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duque\Desktop\COMISION MIXTA\"/>
    </mc:Choice>
  </mc:AlternateContent>
  <bookViews>
    <workbookView xWindow="0" yWindow="0" windowWidth="28800" windowHeight="12210" activeTab="11"/>
  </bookViews>
  <sheets>
    <sheet name="24.03.034" sheetId="1" r:id="rId1"/>
    <sheet name="24.03.602" sheetId="2" r:id="rId2"/>
    <sheet name="33.03.602" sheetId="3" r:id="rId3"/>
    <sheet name="24.03.403" sheetId="4" r:id="rId4"/>
    <sheet name="24.03.406" sheetId="5" r:id="rId5"/>
    <sheet name="33.03.407" sheetId="6" r:id="rId6"/>
    <sheet name="33.03.005" sheetId="7" r:id="rId7"/>
    <sheet name="33.03.006" sheetId="8" r:id="rId8"/>
    <sheet name="33.03.100" sheetId="9" r:id="rId9"/>
    <sheet name="33.03.110" sheetId="10" r:id="rId10"/>
    <sheet name="33.03.111" sheetId="11" r:id="rId11"/>
    <sheet name="33.03.112" sheetId="12" r:id="rId12"/>
  </sheets>
  <calcPr calcId="162913"/>
</workbook>
</file>

<file path=xl/calcChain.xml><?xml version="1.0" encoding="utf-8"?>
<calcChain xmlns="http://schemas.openxmlformats.org/spreadsheetml/2006/main">
  <c r="J34" i="12" l="1"/>
  <c r="F34" i="12"/>
  <c r="E27" i="12"/>
  <c r="E26" i="12"/>
  <c r="E25" i="12"/>
  <c r="E24" i="12"/>
  <c r="E23" i="12"/>
  <c r="E22" i="12"/>
  <c r="E21" i="12"/>
  <c r="B8" i="12"/>
  <c r="B8" i="11"/>
  <c r="B8" i="10"/>
  <c r="J34" i="9"/>
  <c r="B8" i="9"/>
  <c r="B8" i="8"/>
  <c r="B8" i="7"/>
  <c r="B8" i="6"/>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29" i="5"/>
  <c r="C228" i="5"/>
  <c r="C226" i="5"/>
  <c r="C225" i="5"/>
  <c r="C224" i="5"/>
  <c r="C223" i="5"/>
  <c r="C222" i="5"/>
  <c r="C221" i="5"/>
  <c r="C220" i="5"/>
  <c r="C219" i="5"/>
  <c r="C218" i="5"/>
  <c r="C217" i="5"/>
  <c r="C216" i="5"/>
  <c r="B8" i="5"/>
  <c r="C724" i="4"/>
  <c r="B8" i="4"/>
  <c r="B8" i="3"/>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B8" i="2"/>
  <c r="E90" i="11"/>
  <c r="I88" i="11"/>
  <c r="M86" i="11"/>
  <c r="E85" i="11"/>
  <c r="I83" i="11"/>
  <c r="M81" i="11"/>
  <c r="E80" i="11"/>
  <c r="I78" i="11"/>
  <c r="M76" i="11"/>
  <c r="E75" i="11"/>
  <c r="I73" i="11"/>
  <c r="M71" i="11"/>
  <c r="E70" i="11"/>
  <c r="I68" i="11"/>
  <c r="M66" i="11"/>
  <c r="E65" i="11"/>
  <c r="D90" i="11"/>
  <c r="H88" i="11"/>
  <c r="L86" i="11"/>
  <c r="D85" i="11"/>
  <c r="H83" i="11"/>
  <c r="L81" i="11"/>
  <c r="D80" i="11"/>
  <c r="H78" i="11"/>
  <c r="L76" i="11"/>
  <c r="D75" i="11"/>
  <c r="H73" i="11"/>
  <c r="L71" i="11"/>
  <c r="D70" i="11"/>
  <c r="H68" i="11"/>
  <c r="L66" i="11"/>
  <c r="D65" i="11"/>
  <c r="H63" i="11"/>
  <c r="L61" i="11"/>
  <c r="D60" i="11"/>
  <c r="H58" i="11"/>
  <c r="L56" i="11"/>
  <c r="D55" i="11"/>
  <c r="H53" i="11"/>
  <c r="L51" i="11"/>
  <c r="D50" i="11"/>
  <c r="H48" i="11"/>
  <c r="L46" i="11"/>
  <c r="D45" i="11"/>
  <c r="H43" i="11"/>
  <c r="L41" i="11"/>
  <c r="D40" i="11"/>
  <c r="H38" i="11"/>
  <c r="L36" i="11"/>
  <c r="D35" i="11"/>
  <c r="H33" i="11"/>
  <c r="L31" i="11"/>
  <c r="D30" i="11"/>
  <c r="H28" i="11"/>
  <c r="L26" i="11"/>
  <c r="D25" i="11"/>
  <c r="H23" i="11"/>
  <c r="L21" i="11"/>
  <c r="H195" i="10"/>
  <c r="N193" i="10"/>
  <c r="G192" i="10"/>
  <c r="M190" i="10"/>
  <c r="F189" i="10"/>
  <c r="L187" i="10"/>
  <c r="E186" i="10"/>
  <c r="K184" i="10"/>
  <c r="J181" i="10"/>
  <c r="C180" i="10"/>
  <c r="I178" i="10"/>
  <c r="B177" i="10"/>
  <c r="H175" i="10"/>
  <c r="N173" i="10"/>
  <c r="G172" i="10"/>
  <c r="M170" i="10"/>
  <c r="F169" i="10"/>
  <c r="L167" i="10"/>
  <c r="E166" i="10"/>
  <c r="K164" i="10"/>
  <c r="J161" i="10"/>
  <c r="C160" i="10"/>
  <c r="I158" i="10"/>
  <c r="B157" i="10"/>
  <c r="H155" i="10"/>
  <c r="N153" i="10"/>
  <c r="G152" i="10"/>
  <c r="M150" i="10"/>
  <c r="F149" i="10"/>
  <c r="L147" i="10"/>
  <c r="E146" i="10"/>
  <c r="K144" i="10"/>
  <c r="J141" i="10"/>
  <c r="C140" i="10"/>
  <c r="I138" i="10"/>
  <c r="B137" i="10"/>
  <c r="H135" i="10"/>
  <c r="N133" i="10"/>
  <c r="G132" i="10"/>
  <c r="M130" i="10"/>
  <c r="F129" i="10"/>
  <c r="L127" i="10"/>
  <c r="E126" i="10"/>
  <c r="K124" i="10"/>
  <c r="J121" i="10"/>
  <c r="C120" i="10"/>
  <c r="I118" i="10"/>
  <c r="B117" i="10"/>
  <c r="H115" i="10"/>
  <c r="N113" i="10"/>
  <c r="G112" i="10"/>
  <c r="M110" i="10"/>
  <c r="F109" i="10"/>
  <c r="L107" i="10"/>
  <c r="E106" i="10"/>
  <c r="K104" i="10"/>
  <c r="J101" i="10"/>
  <c r="C100" i="10"/>
  <c r="I98" i="10"/>
  <c r="B97" i="10"/>
  <c r="H95" i="10"/>
  <c r="N93" i="10"/>
  <c r="G92" i="10"/>
  <c r="M90" i="10"/>
  <c r="F89" i="10"/>
  <c r="L87" i="10"/>
  <c r="E86" i="10"/>
  <c r="K84" i="10"/>
  <c r="J81" i="10"/>
  <c r="C80" i="10"/>
  <c r="I78" i="10"/>
  <c r="B77" i="10"/>
  <c r="H75" i="10"/>
  <c r="N73" i="10"/>
  <c r="G72" i="10"/>
  <c r="M70" i="10"/>
  <c r="M89" i="11"/>
  <c r="E88" i="11"/>
  <c r="I86" i="11"/>
  <c r="M84" i="11"/>
  <c r="E83" i="11"/>
  <c r="I81" i="11"/>
  <c r="M79" i="11"/>
  <c r="E78" i="11"/>
  <c r="I76" i="11"/>
  <c r="M74" i="11"/>
  <c r="E73" i="11"/>
  <c r="I71" i="11"/>
  <c r="M69" i="11"/>
  <c r="E68" i="11"/>
  <c r="D86" i="11"/>
  <c r="E84" i="11"/>
  <c r="F82" i="11"/>
  <c r="G80" i="11"/>
  <c r="F78" i="11"/>
  <c r="F76" i="11"/>
  <c r="G74" i="11"/>
  <c r="H72" i="11"/>
  <c r="I70" i="11"/>
  <c r="J68" i="11"/>
  <c r="I66" i="11"/>
  <c r="K64" i="11"/>
  <c r="B63" i="11"/>
  <c r="E61" i="11"/>
  <c r="H59" i="11"/>
  <c r="K57" i="11"/>
  <c r="B56" i="11"/>
  <c r="E54" i="11"/>
  <c r="H52" i="11"/>
  <c r="K50" i="11"/>
  <c r="B49" i="11"/>
  <c r="E47" i="11"/>
  <c r="H45" i="11"/>
  <c r="K43" i="11"/>
  <c r="B42" i="11"/>
  <c r="E40" i="11"/>
  <c r="G38" i="11"/>
  <c r="J36" i="11"/>
  <c r="M34" i="11"/>
  <c r="D33" i="11"/>
  <c r="G31" i="11"/>
  <c r="J29" i="11"/>
  <c r="M27" i="11"/>
  <c r="D26" i="11"/>
  <c r="G24" i="11"/>
  <c r="J22" i="11"/>
  <c r="I194" i="10"/>
  <c r="N192" i="10"/>
  <c r="F191" i="10"/>
  <c r="K189" i="10"/>
  <c r="C188" i="10"/>
  <c r="H186" i="10"/>
  <c r="M184" i="10"/>
  <c r="E183" i="10"/>
  <c r="I181" i="10"/>
  <c r="N179" i="10"/>
  <c r="F178" i="10"/>
  <c r="K176" i="10"/>
  <c r="C175" i="10"/>
  <c r="H173" i="10"/>
  <c r="M171" i="10"/>
  <c r="E170" i="10"/>
  <c r="J168" i="10"/>
  <c r="B167" i="10"/>
  <c r="G165" i="10"/>
  <c r="L163" i="10"/>
  <c r="I160" i="10"/>
  <c r="N158" i="10"/>
  <c r="F157" i="10"/>
  <c r="K155" i="10"/>
  <c r="C154" i="10"/>
  <c r="H152" i="10"/>
  <c r="L150" i="10"/>
  <c r="I147" i="10"/>
  <c r="N145" i="10"/>
  <c r="F144" i="10"/>
  <c r="K142" i="10"/>
  <c r="C141" i="10"/>
  <c r="H139" i="10"/>
  <c r="M137" i="10"/>
  <c r="E136" i="10"/>
  <c r="J134" i="10"/>
  <c r="B133" i="10"/>
  <c r="G131" i="10"/>
  <c r="L129" i="10"/>
  <c r="I126" i="10"/>
  <c r="N124" i="10"/>
  <c r="F123" i="10"/>
  <c r="K121" i="10"/>
  <c r="B120" i="10"/>
  <c r="G118" i="10"/>
  <c r="L116" i="10"/>
  <c r="I113" i="10"/>
  <c r="N111" i="10"/>
  <c r="F110" i="10"/>
  <c r="K108" i="10"/>
  <c r="C107" i="10"/>
  <c r="H105" i="10"/>
  <c r="M103" i="10"/>
  <c r="E102" i="10"/>
  <c r="J100" i="10"/>
  <c r="B99" i="10"/>
  <c r="G97" i="10"/>
  <c r="L95" i="10"/>
  <c r="I92" i="10"/>
  <c r="N90" i="10"/>
  <c r="E89" i="10"/>
  <c r="J87" i="10"/>
  <c r="B86" i="10"/>
  <c r="G84" i="10"/>
  <c r="L82" i="10"/>
  <c r="I79" i="10"/>
  <c r="N77" i="10"/>
  <c r="F76" i="10"/>
  <c r="K74" i="10"/>
  <c r="C73" i="10"/>
  <c r="H71" i="10"/>
  <c r="M69" i="10"/>
  <c r="F68" i="10"/>
  <c r="L66" i="10"/>
  <c r="E65" i="10"/>
  <c r="K63" i="10"/>
  <c r="J60" i="10"/>
  <c r="C59" i="10"/>
  <c r="H89" i="11"/>
  <c r="I87" i="11"/>
  <c r="J85" i="11"/>
  <c r="K83" i="11"/>
  <c r="J81" i="11"/>
  <c r="J79" i="11"/>
  <c r="K77" i="11"/>
  <c r="L75" i="11"/>
  <c r="M73" i="11"/>
  <c r="B72" i="11"/>
  <c r="L69" i="11"/>
  <c r="M67" i="11"/>
  <c r="E64" i="11"/>
  <c r="H62" i="11"/>
  <c r="K60" i="11"/>
  <c r="B59" i="11"/>
  <c r="E57" i="11"/>
  <c r="H55" i="11"/>
  <c r="K53" i="11"/>
  <c r="B52" i="11"/>
  <c r="E50" i="11"/>
  <c r="G48" i="11"/>
  <c r="J46" i="11"/>
  <c r="M44" i="11"/>
  <c r="D43" i="11"/>
  <c r="G41" i="11"/>
  <c r="J39" i="11"/>
  <c r="M37" i="11"/>
  <c r="D36" i="11"/>
  <c r="G34" i="11"/>
  <c r="J32" i="11"/>
  <c r="M30" i="11"/>
  <c r="D29" i="11"/>
  <c r="G27" i="11"/>
  <c r="J25" i="11"/>
  <c r="M23" i="11"/>
  <c r="D22" i="11"/>
  <c r="K195" i="10"/>
  <c r="C194" i="10"/>
  <c r="H192" i="10"/>
  <c r="L190" i="10"/>
  <c r="I187" i="10"/>
  <c r="N185" i="10"/>
  <c r="F184" i="10"/>
  <c r="K182" i="10"/>
  <c r="C181" i="10"/>
  <c r="H179" i="10"/>
  <c r="M177" i="10"/>
  <c r="E176" i="10"/>
  <c r="J174" i="10"/>
  <c r="B173" i="10"/>
  <c r="G171" i="10"/>
  <c r="L169" i="10"/>
  <c r="I166" i="10"/>
  <c r="N164" i="10"/>
  <c r="F163" i="10"/>
  <c r="K161" i="10"/>
  <c r="B160" i="10"/>
  <c r="G158" i="10"/>
  <c r="L156" i="10"/>
  <c r="I153" i="10"/>
  <c r="N151" i="10"/>
  <c r="F150" i="10"/>
  <c r="K148" i="10"/>
  <c r="C147" i="10"/>
  <c r="H145" i="10"/>
  <c r="M143" i="10"/>
  <c r="E142" i="10"/>
  <c r="J140" i="10"/>
  <c r="B139" i="10"/>
  <c r="G137" i="10"/>
  <c r="L135" i="10"/>
  <c r="I132" i="10"/>
  <c r="N130" i="10"/>
  <c r="E129" i="10"/>
  <c r="J127" i="10"/>
  <c r="B126" i="10"/>
  <c r="G124" i="10"/>
  <c r="L122" i="10"/>
  <c r="I119" i="10"/>
  <c r="N117" i="10"/>
  <c r="F116" i="10"/>
  <c r="K114" i="10"/>
  <c r="C113" i="10"/>
  <c r="H111" i="10"/>
  <c r="M109" i="10"/>
  <c r="E108" i="10"/>
  <c r="D89" i="11"/>
  <c r="E87" i="11"/>
  <c r="F85" i="11"/>
  <c r="D83" i="11"/>
  <c r="E81" i="11"/>
  <c r="F79" i="11"/>
  <c r="G77" i="11"/>
  <c r="H75" i="11"/>
  <c r="G73" i="11"/>
  <c r="G71" i="11"/>
  <c r="H69" i="11"/>
  <c r="I67" i="11"/>
  <c r="K65" i="11"/>
  <c r="M63" i="11"/>
  <c r="D62" i="11"/>
  <c r="G60" i="11"/>
  <c r="J58" i="11"/>
  <c r="M56" i="11"/>
  <c r="F53" i="11"/>
  <c r="I51" i="11"/>
  <c r="L49" i="11"/>
  <c r="F46" i="11"/>
  <c r="I44" i="11"/>
  <c r="L42" i="11"/>
  <c r="F39" i="11"/>
  <c r="I37" i="11"/>
  <c r="L35" i="11"/>
  <c r="F32" i="11"/>
  <c r="I30" i="11"/>
  <c r="L28" i="11"/>
  <c r="F25" i="11"/>
  <c r="I23" i="11"/>
  <c r="K21" i="11"/>
  <c r="F195" i="10"/>
  <c r="K193" i="10"/>
  <c r="C192" i="10"/>
  <c r="H190" i="10"/>
  <c r="M188" i="10"/>
  <c r="E187" i="10"/>
  <c r="J185" i="10"/>
  <c r="B184" i="10"/>
  <c r="G182" i="10"/>
  <c r="L180" i="10"/>
  <c r="I177" i="10"/>
  <c r="N175" i="10"/>
  <c r="D87" i="11"/>
  <c r="D81" i="11"/>
  <c r="E79" i="11"/>
  <c r="F77" i="11"/>
  <c r="G75" i="11"/>
  <c r="F73" i="11"/>
  <c r="F71" i="11"/>
  <c r="G69" i="11"/>
  <c r="H67" i="11"/>
  <c r="J65" i="11"/>
  <c r="L63" i="11"/>
  <c r="F60" i="11"/>
  <c r="I58" i="11"/>
  <c r="K56" i="11"/>
  <c r="B55" i="11"/>
  <c r="E53" i="11"/>
  <c r="H51" i="11"/>
  <c r="K49" i="11"/>
  <c r="B48" i="11"/>
  <c r="E46" i="11"/>
  <c r="H44" i="11"/>
  <c r="K42" i="11"/>
  <c r="B41" i="11"/>
  <c r="E39" i="11"/>
  <c r="H37" i="11"/>
  <c r="K35" i="11"/>
  <c r="B34" i="11"/>
  <c r="E32" i="11"/>
  <c r="H30" i="11"/>
  <c r="K28" i="11"/>
  <c r="B27" i="11"/>
  <c r="E25" i="11"/>
  <c r="G23" i="11"/>
  <c r="J21" i="11"/>
  <c r="K89" i="11"/>
  <c r="G87" i="11"/>
  <c r="K84" i="11"/>
  <c r="H82" i="11"/>
  <c r="B80" i="11"/>
  <c r="I77" i="11"/>
  <c r="B75" i="11"/>
  <c r="J72" i="11"/>
  <c r="F70" i="11"/>
  <c r="K67" i="11"/>
  <c r="G65" i="11"/>
  <c r="D63" i="11"/>
  <c r="B61" i="11"/>
  <c r="L58" i="11"/>
  <c r="H56" i="11"/>
  <c r="G54" i="11"/>
  <c r="E52" i="11"/>
  <c r="B50" i="11"/>
  <c r="K47" i="11"/>
  <c r="J45" i="11"/>
  <c r="G43" i="11"/>
  <c r="E41" i="11"/>
  <c r="B39" i="11"/>
  <c r="M36" i="11"/>
  <c r="J34" i="11"/>
  <c r="H32" i="11"/>
  <c r="E30" i="11"/>
  <c r="M25" i="11"/>
  <c r="K23" i="11"/>
  <c r="G21" i="11"/>
  <c r="M194" i="10"/>
  <c r="B193" i="10"/>
  <c r="C191" i="10"/>
  <c r="C189" i="10"/>
  <c r="F185" i="10"/>
  <c r="H183" i="10"/>
  <c r="H181" i="10"/>
  <c r="J179" i="10"/>
  <c r="K177" i="10"/>
  <c r="L175" i="10"/>
  <c r="B174" i="10"/>
  <c r="G170" i="10"/>
  <c r="I168" i="10"/>
  <c r="L166" i="10"/>
  <c r="B165" i="10"/>
  <c r="C163" i="10"/>
  <c r="F161" i="10"/>
  <c r="I159" i="10"/>
  <c r="L157" i="10"/>
  <c r="B156" i="10"/>
  <c r="E154" i="10"/>
  <c r="F152" i="10"/>
  <c r="I150" i="10"/>
  <c r="L148" i="10"/>
  <c r="N146" i="10"/>
  <c r="G143" i="10"/>
  <c r="I141" i="10"/>
  <c r="L139" i="10"/>
  <c r="B138" i="10"/>
  <c r="G134" i="10"/>
  <c r="J132" i="10"/>
  <c r="K130" i="10"/>
  <c r="N128" i="10"/>
  <c r="G125" i="10"/>
  <c r="J123" i="10"/>
  <c r="M121" i="10"/>
  <c r="N119" i="10"/>
  <c r="G116" i="10"/>
  <c r="I114" i="10"/>
  <c r="L112" i="10"/>
  <c r="B111" i="10"/>
  <c r="G107" i="10"/>
  <c r="K105" i="10"/>
  <c r="B104" i="10"/>
  <c r="F102" i="10"/>
  <c r="I100" i="10"/>
  <c r="M98" i="10"/>
  <c r="G95" i="10"/>
  <c r="K93" i="10"/>
  <c r="B92" i="10"/>
  <c r="F90" i="10"/>
  <c r="J88" i="10"/>
  <c r="N86" i="10"/>
  <c r="E85" i="10"/>
  <c r="I83" i="10"/>
  <c r="M81" i="10"/>
  <c r="G78" i="10"/>
  <c r="K76" i="10"/>
  <c r="B75" i="10"/>
  <c r="F73" i="10"/>
  <c r="J71" i="10"/>
  <c r="N69" i="10"/>
  <c r="E68" i="10"/>
  <c r="J66" i="10"/>
  <c r="B65" i="10"/>
  <c r="G63" i="10"/>
  <c r="L61" i="10"/>
  <c r="I58" i="10"/>
  <c r="B57" i="10"/>
  <c r="H55" i="10"/>
  <c r="N53" i="10"/>
  <c r="G52" i="10"/>
  <c r="M50" i="10"/>
  <c r="F49" i="10"/>
  <c r="L47" i="10"/>
  <c r="E46" i="10"/>
  <c r="K44" i="10"/>
  <c r="J41" i="10"/>
  <c r="C40" i="10"/>
  <c r="I38" i="10"/>
  <c r="B37" i="10"/>
  <c r="H35" i="10"/>
  <c r="N33" i="10"/>
  <c r="G32" i="10"/>
  <c r="M30" i="10"/>
  <c r="F29" i="10"/>
  <c r="L27" i="10"/>
  <c r="E26" i="10"/>
  <c r="K24" i="10"/>
  <c r="H553" i="8"/>
  <c r="N551" i="8"/>
  <c r="G550" i="8"/>
  <c r="M548" i="8"/>
  <c r="F547" i="8"/>
  <c r="L545" i="8"/>
  <c r="E544" i="8"/>
  <c r="K542" i="8"/>
  <c r="J539" i="8"/>
  <c r="C538" i="8"/>
  <c r="I536" i="8"/>
  <c r="B535" i="8"/>
  <c r="H533" i="8"/>
  <c r="N531" i="8"/>
  <c r="G530" i="8"/>
  <c r="M528" i="8"/>
  <c r="F527" i="8"/>
  <c r="L525" i="8"/>
  <c r="E524" i="8"/>
  <c r="K522" i="8"/>
  <c r="B89" i="11"/>
  <c r="H86" i="11"/>
  <c r="D84" i="11"/>
  <c r="K81" i="11"/>
  <c r="D79" i="11"/>
  <c r="K76" i="11"/>
  <c r="F74" i="11"/>
  <c r="F69" i="11"/>
  <c r="J64" i="11"/>
  <c r="I62" i="11"/>
  <c r="E60" i="11"/>
  <c r="M55" i="11"/>
  <c r="L53" i="11"/>
  <c r="G51" i="11"/>
  <c r="F49" i="11"/>
  <c r="D47" i="11"/>
  <c r="B45" i="11"/>
  <c r="J42" i="11"/>
  <c r="I40" i="11"/>
  <c r="F38" i="11"/>
  <c r="E36" i="11"/>
  <c r="M33" i="11"/>
  <c r="K31" i="11"/>
  <c r="I29" i="11"/>
  <c r="H27" i="11"/>
  <c r="B23" i="11"/>
  <c r="F194" i="10"/>
  <c r="F192" i="10"/>
  <c r="G190" i="10"/>
  <c r="I188" i="10"/>
  <c r="K186" i="10"/>
  <c r="L184" i="10"/>
  <c r="M182" i="10"/>
  <c r="N180" i="10"/>
  <c r="B179" i="10"/>
  <c r="E175" i="10"/>
  <c r="G173" i="10"/>
  <c r="J171" i="10"/>
  <c r="M169" i="10"/>
  <c r="B168" i="10"/>
  <c r="G164" i="10"/>
  <c r="J162" i="10"/>
  <c r="M160" i="10"/>
  <c r="C159" i="10"/>
  <c r="E157" i="10"/>
  <c r="G155" i="10"/>
  <c r="J153" i="10"/>
  <c r="L151" i="10"/>
  <c r="B150" i="10"/>
  <c r="E148" i="10"/>
  <c r="H146" i="10"/>
  <c r="J144" i="10"/>
  <c r="M142" i="10"/>
  <c r="B141" i="10"/>
  <c r="E139" i="10"/>
  <c r="H137" i="10"/>
  <c r="J135" i="10"/>
  <c r="L133" i="10"/>
  <c r="B132" i="10"/>
  <c r="E130" i="10"/>
  <c r="H128" i="10"/>
  <c r="K126" i="10"/>
  <c r="M124" i="10"/>
  <c r="B123" i="10"/>
  <c r="E121" i="10"/>
  <c r="G119" i="10"/>
  <c r="J117" i="10"/>
  <c r="M115" i="10"/>
  <c r="C114" i="10"/>
  <c r="E112" i="10"/>
  <c r="H110" i="10"/>
  <c r="J108" i="10"/>
  <c r="M106" i="10"/>
  <c r="H103" i="10"/>
  <c r="L101" i="10"/>
  <c r="B100" i="10"/>
  <c r="F98" i="10"/>
  <c r="J96" i="10"/>
  <c r="N94" i="10"/>
  <c r="E93" i="10"/>
  <c r="I91" i="10"/>
  <c r="M89" i="10"/>
  <c r="H86" i="10"/>
  <c r="L84" i="10"/>
  <c r="B83" i="10"/>
  <c r="F81" i="10"/>
  <c r="J79" i="10"/>
  <c r="M77" i="10"/>
  <c r="H74" i="10"/>
  <c r="L72" i="10"/>
  <c r="C71" i="10"/>
  <c r="G69" i="10"/>
  <c r="K88" i="11"/>
  <c r="E86" i="11"/>
  <c r="M83" i="11"/>
  <c r="F81" i="11"/>
  <c r="M78" i="11"/>
  <c r="G76" i="11"/>
  <c r="H71" i="11"/>
  <c r="J66" i="11"/>
  <c r="G64" i="11"/>
  <c r="E62" i="11"/>
  <c r="M59" i="11"/>
  <c r="L57" i="11"/>
  <c r="J55" i="11"/>
  <c r="G53" i="11"/>
  <c r="D51" i="11"/>
  <c r="M46" i="11"/>
  <c r="J44" i="11"/>
  <c r="G42" i="11"/>
  <c r="F40" i="11"/>
  <c r="M35" i="11"/>
  <c r="J33" i="11"/>
  <c r="H31" i="11"/>
  <c r="F29" i="11"/>
  <c r="D27" i="11"/>
  <c r="L24" i="11"/>
  <c r="K22" i="11"/>
  <c r="N195" i="10"/>
  <c r="B194" i="10"/>
  <c r="B192" i="10"/>
  <c r="F188" i="10"/>
  <c r="G186" i="10"/>
  <c r="H184" i="10"/>
  <c r="I182" i="10"/>
  <c r="J180" i="10"/>
  <c r="L178" i="10"/>
  <c r="M176" i="10"/>
  <c r="N174" i="10"/>
  <c r="F171" i="10"/>
  <c r="I169" i="10"/>
  <c r="K167" i="10"/>
  <c r="N165" i="10"/>
  <c r="G162" i="10"/>
  <c r="J160" i="10"/>
  <c r="L158" i="10"/>
  <c r="N156" i="10"/>
  <c r="C155" i="10"/>
  <c r="F153" i="10"/>
  <c r="I151" i="10"/>
  <c r="L149" i="10"/>
  <c r="B148" i="10"/>
  <c r="G144" i="10"/>
  <c r="I142" i="10"/>
  <c r="L140" i="10"/>
  <c r="N138" i="10"/>
  <c r="F135" i="10"/>
  <c r="I133" i="10"/>
  <c r="L131" i="10"/>
  <c r="B130" i="10"/>
  <c r="E128" i="10"/>
  <c r="G126" i="10"/>
  <c r="I124" i="10"/>
  <c r="K122" i="10"/>
  <c r="N120" i="10"/>
  <c r="G117" i="10"/>
  <c r="J115" i="10"/>
  <c r="L113" i="10"/>
  <c r="B112" i="10"/>
  <c r="G108" i="10"/>
  <c r="J106" i="10"/>
  <c r="N104" i="10"/>
  <c r="E103" i="10"/>
  <c r="H101" i="10"/>
  <c r="L99" i="10"/>
  <c r="C98" i="10"/>
  <c r="G96" i="10"/>
  <c r="K94" i="10"/>
  <c r="B93" i="10"/>
  <c r="F91" i="10"/>
  <c r="J89" i="10"/>
  <c r="N87" i="10"/>
  <c r="H84" i="10"/>
  <c r="K82" i="10"/>
  <c r="B81" i="10"/>
  <c r="F79" i="10"/>
  <c r="J77" i="10"/>
  <c r="N75" i="10"/>
  <c r="E74" i="10"/>
  <c r="I72" i="10"/>
  <c r="L70" i="10"/>
  <c r="I67" i="10"/>
  <c r="N65" i="10"/>
  <c r="F64" i="10"/>
  <c r="K62" i="10"/>
  <c r="C61" i="10"/>
  <c r="H59" i="10"/>
  <c r="M57" i="10"/>
  <c r="F56" i="10"/>
  <c r="L54" i="10"/>
  <c r="E53" i="10"/>
  <c r="K51" i="10"/>
  <c r="J48" i="10"/>
  <c r="C47" i="10"/>
  <c r="I45" i="10"/>
  <c r="B44" i="10"/>
  <c r="H42" i="10"/>
  <c r="N40" i="10"/>
  <c r="M90" i="11"/>
  <c r="J88" i="11"/>
  <c r="L83" i="11"/>
  <c r="L78" i="11"/>
  <c r="E76" i="11"/>
  <c r="B74" i="11"/>
  <c r="E71" i="11"/>
  <c r="B69" i="11"/>
  <c r="H66" i="11"/>
  <c r="F64" i="11"/>
  <c r="B62" i="11"/>
  <c r="L59" i="11"/>
  <c r="J57" i="11"/>
  <c r="I55" i="11"/>
  <c r="D53" i="11"/>
  <c r="M48" i="11"/>
  <c r="K46" i="11"/>
  <c r="G44" i="11"/>
  <c r="F42" i="11"/>
  <c r="B38" i="11"/>
  <c r="J35" i="11"/>
  <c r="I33" i="11"/>
  <c r="F31" i="11"/>
  <c r="E29" i="11"/>
  <c r="M26" i="11"/>
  <c r="K24" i="11"/>
  <c r="I22" i="11"/>
  <c r="M195" i="10"/>
  <c r="M193" i="10"/>
  <c r="N191" i="10"/>
  <c r="C190" i="10"/>
  <c r="E188" i="10"/>
  <c r="F186" i="10"/>
  <c r="G184" i="10"/>
  <c r="H182" i="10"/>
  <c r="I180" i="10"/>
  <c r="K178" i="10"/>
  <c r="L176" i="10"/>
  <c r="M174" i="10"/>
  <c r="C173" i="10"/>
  <c r="E171" i="10"/>
  <c r="H169" i="10"/>
  <c r="J167" i="10"/>
  <c r="I89" i="11"/>
  <c r="G86" i="11"/>
  <c r="F83" i="11"/>
  <c r="H80" i="11"/>
  <c r="E77" i="11"/>
  <c r="E74" i="11"/>
  <c r="B71" i="11"/>
  <c r="G62" i="11"/>
  <c r="I59" i="11"/>
  <c r="B57" i="11"/>
  <c r="D54" i="11"/>
  <c r="F51" i="11"/>
  <c r="J48" i="11"/>
  <c r="M45" i="11"/>
  <c r="E43" i="11"/>
  <c r="H40" i="11"/>
  <c r="J37" i="11"/>
  <c r="B35" i="11"/>
  <c r="D32" i="11"/>
  <c r="H29" i="11"/>
  <c r="I26" i="11"/>
  <c r="E21" i="11"/>
  <c r="G194" i="10"/>
  <c r="L191" i="10"/>
  <c r="I189" i="10"/>
  <c r="C187" i="10"/>
  <c r="N184" i="10"/>
  <c r="E182" i="10"/>
  <c r="B180" i="10"/>
  <c r="J177" i="10"/>
  <c r="F175" i="10"/>
  <c r="M172" i="10"/>
  <c r="K170" i="10"/>
  <c r="H168" i="10"/>
  <c r="F166" i="10"/>
  <c r="C164" i="10"/>
  <c r="B162" i="10"/>
  <c r="M159" i="10"/>
  <c r="M157" i="10"/>
  <c r="L155" i="10"/>
  <c r="H153" i="10"/>
  <c r="G151" i="10"/>
  <c r="G149" i="10"/>
  <c r="E147" i="10"/>
  <c r="C145" i="10"/>
  <c r="B143" i="10"/>
  <c r="M140" i="10"/>
  <c r="K138" i="10"/>
  <c r="J136" i="10"/>
  <c r="I134" i="10"/>
  <c r="F132" i="10"/>
  <c r="F130" i="10"/>
  <c r="C128" i="10"/>
  <c r="N125" i="10"/>
  <c r="N123" i="10"/>
  <c r="N121" i="10"/>
  <c r="K119" i="10"/>
  <c r="I117" i="10"/>
  <c r="G115" i="10"/>
  <c r="F113" i="10"/>
  <c r="E111" i="10"/>
  <c r="C109" i="10"/>
  <c r="B107" i="10"/>
  <c r="B105" i="10"/>
  <c r="N102" i="10"/>
  <c r="B101" i="10"/>
  <c r="C99" i="10"/>
  <c r="N96" i="10"/>
  <c r="B95" i="10"/>
  <c r="N92" i="10"/>
  <c r="B91" i="10"/>
  <c r="N88" i="10"/>
  <c r="B87" i="10"/>
  <c r="B85" i="10"/>
  <c r="N82" i="10"/>
  <c r="M80" i="10"/>
  <c r="N78" i="10"/>
  <c r="N76" i="10"/>
  <c r="N74" i="10"/>
  <c r="N72" i="10"/>
  <c r="N70" i="10"/>
  <c r="N68" i="10"/>
  <c r="G65" i="10"/>
  <c r="I63" i="10"/>
  <c r="K61" i="10"/>
  <c r="N59" i="10"/>
  <c r="H56" i="10"/>
  <c r="K54" i="10"/>
  <c r="B53" i="10"/>
  <c r="F51" i="10"/>
  <c r="J49" i="10"/>
  <c r="N47" i="10"/>
  <c r="H44" i="10"/>
  <c r="L42" i="10"/>
  <c r="C41" i="10"/>
  <c r="G39" i="10"/>
  <c r="L37" i="10"/>
  <c r="I34" i="10"/>
  <c r="N32" i="10"/>
  <c r="F31" i="10"/>
  <c r="K29" i="10"/>
  <c r="C28" i="10"/>
  <c r="H26" i="10"/>
  <c r="M24" i="10"/>
  <c r="E23" i="10"/>
  <c r="N554" i="8"/>
  <c r="F553" i="8"/>
  <c r="K551" i="8"/>
  <c r="C550" i="8"/>
  <c r="H548" i="8"/>
  <c r="M546" i="8"/>
  <c r="E545" i="8"/>
  <c r="J543" i="8"/>
  <c r="B542" i="8"/>
  <c r="G540" i="8"/>
  <c r="L538" i="8"/>
  <c r="I535" i="8"/>
  <c r="N533" i="8"/>
  <c r="F532" i="8"/>
  <c r="K530" i="8"/>
  <c r="C529" i="8"/>
  <c r="H527" i="8"/>
  <c r="M525" i="8"/>
  <c r="I522" i="8"/>
  <c r="B521" i="8"/>
  <c r="H519" i="8"/>
  <c r="N517" i="8"/>
  <c r="G516" i="8"/>
  <c r="M514" i="8"/>
  <c r="F513" i="8"/>
  <c r="L511" i="8"/>
  <c r="E510" i="8"/>
  <c r="K508" i="8"/>
  <c r="J505" i="8"/>
  <c r="C504" i="8"/>
  <c r="I502" i="8"/>
  <c r="B501" i="8"/>
  <c r="H499" i="8"/>
  <c r="N497" i="8"/>
  <c r="G496" i="8"/>
  <c r="M494" i="8"/>
  <c r="F493" i="8"/>
  <c r="L491" i="8"/>
  <c r="E490" i="8"/>
  <c r="K488" i="8"/>
  <c r="J485" i="8"/>
  <c r="C484" i="8"/>
  <c r="I482" i="8"/>
  <c r="B481" i="8"/>
  <c r="H479" i="8"/>
  <c r="N477" i="8"/>
  <c r="G476" i="8"/>
  <c r="M474" i="8"/>
  <c r="F473" i="8"/>
  <c r="L471" i="8"/>
  <c r="E470" i="8"/>
  <c r="K468" i="8"/>
  <c r="J465" i="8"/>
  <c r="C464" i="8"/>
  <c r="I462" i="8"/>
  <c r="B461" i="8"/>
  <c r="H459" i="8"/>
  <c r="N457" i="8"/>
  <c r="G456" i="8"/>
  <c r="M454" i="8"/>
  <c r="F453" i="8"/>
  <c r="L451" i="8"/>
  <c r="E450" i="8"/>
  <c r="K448" i="8"/>
  <c r="J445" i="8"/>
  <c r="C444" i="8"/>
  <c r="I442" i="8"/>
  <c r="B441" i="8"/>
  <c r="H439" i="8"/>
  <c r="N437" i="8"/>
  <c r="G436" i="8"/>
  <c r="M434" i="8"/>
  <c r="F433" i="8"/>
  <c r="L431" i="8"/>
  <c r="E430" i="8"/>
  <c r="K428" i="8"/>
  <c r="J425" i="8"/>
  <c r="C424" i="8"/>
  <c r="I422" i="8"/>
  <c r="B421" i="8"/>
  <c r="H419" i="8"/>
  <c r="N417" i="8"/>
  <c r="B88" i="11"/>
  <c r="B85" i="11"/>
  <c r="D82" i="11"/>
  <c r="B79" i="11"/>
  <c r="M75" i="11"/>
  <c r="L72" i="11"/>
  <c r="K69" i="11"/>
  <c r="K66" i="11"/>
  <c r="K63" i="11"/>
  <c r="D61" i="11"/>
  <c r="F58" i="11"/>
  <c r="K55" i="11"/>
  <c r="L52" i="11"/>
  <c r="F50" i="11"/>
  <c r="H47" i="11"/>
  <c r="K44" i="11"/>
  <c r="M41" i="11"/>
  <c r="D39" i="11"/>
  <c r="H36" i="11"/>
  <c r="K33" i="11"/>
  <c r="B31" i="11"/>
  <c r="E28" i="11"/>
  <c r="I25" i="11"/>
  <c r="L22" i="11"/>
  <c r="I195" i="10"/>
  <c r="E193" i="10"/>
  <c r="N190" i="10"/>
  <c r="H188" i="10"/>
  <c r="B186" i="10"/>
  <c r="K183" i="10"/>
  <c r="F181" i="10"/>
  <c r="N178" i="10"/>
  <c r="H176" i="10"/>
  <c r="E174" i="10"/>
  <c r="B172" i="10"/>
  <c r="K169" i="10"/>
  <c r="G167" i="10"/>
  <c r="F165" i="10"/>
  <c r="E163" i="10"/>
  <c r="C161" i="10"/>
  <c r="B159" i="10"/>
  <c r="K156" i="10"/>
  <c r="K154" i="10"/>
  <c r="K152" i="10"/>
  <c r="H150" i="10"/>
  <c r="G148" i="10"/>
  <c r="F146" i="10"/>
  <c r="C144" i="10"/>
  <c r="B142" i="10"/>
  <c r="N139" i="10"/>
  <c r="L137" i="10"/>
  <c r="K135" i="10"/>
  <c r="H133" i="10"/>
  <c r="H131" i="10"/>
  <c r="G129" i="10"/>
  <c r="E127" i="10"/>
  <c r="N122" i="10"/>
  <c r="L120" i="10"/>
  <c r="L118" i="10"/>
  <c r="J116" i="10"/>
  <c r="H114" i="10"/>
  <c r="H112" i="10"/>
  <c r="E110" i="10"/>
  <c r="C108" i="10"/>
  <c r="C106" i="10"/>
  <c r="C102" i="10"/>
  <c r="B98" i="10"/>
  <c r="C96" i="10"/>
  <c r="C94" i="10"/>
  <c r="C92" i="10"/>
  <c r="C90" i="10"/>
  <c r="C88" i="10"/>
  <c r="N85" i="10"/>
  <c r="B84" i="10"/>
  <c r="C82" i="10"/>
  <c r="B80" i="10"/>
  <c r="C78" i="10"/>
  <c r="B76" i="10"/>
  <c r="B74" i="10"/>
  <c r="B72" i="10"/>
  <c r="C70" i="10"/>
  <c r="C68" i="10"/>
  <c r="F66" i="10"/>
  <c r="I64" i="10"/>
  <c r="L62" i="10"/>
  <c r="N60" i="10"/>
  <c r="G57" i="10"/>
  <c r="K55" i="10"/>
  <c r="B54" i="10"/>
  <c r="E52" i="10"/>
  <c r="I50" i="10"/>
  <c r="M48" i="10"/>
  <c r="G45" i="10"/>
  <c r="K43" i="10"/>
  <c r="B42" i="10"/>
  <c r="F40" i="10"/>
  <c r="K38" i="10"/>
  <c r="C37" i="10"/>
  <c r="G35" i="10"/>
  <c r="L33" i="10"/>
  <c r="I30" i="10"/>
  <c r="N28" i="10"/>
  <c r="F27" i="10"/>
  <c r="K25" i="10"/>
  <c r="C24" i="10"/>
  <c r="H22" i="10"/>
  <c r="E554" i="8"/>
  <c r="J552" i="8"/>
  <c r="B551" i="8"/>
  <c r="G549" i="8"/>
  <c r="L547" i="8"/>
  <c r="I544" i="8"/>
  <c r="N542" i="8"/>
  <c r="F541" i="8"/>
  <c r="K539" i="8"/>
  <c r="B538" i="8"/>
  <c r="G536" i="8"/>
  <c r="L534" i="8"/>
  <c r="I531" i="8"/>
  <c r="N529" i="8"/>
  <c r="F528" i="8"/>
  <c r="K526" i="8"/>
  <c r="C525" i="8"/>
  <c r="H523" i="8"/>
  <c r="M521" i="8"/>
  <c r="F520" i="8"/>
  <c r="L518" i="8"/>
  <c r="E517" i="8"/>
  <c r="K515" i="8"/>
  <c r="J512" i="8"/>
  <c r="C511" i="8"/>
  <c r="I509" i="8"/>
  <c r="B508" i="8"/>
  <c r="H506" i="8"/>
  <c r="N504" i="8"/>
  <c r="G503" i="8"/>
  <c r="M501" i="8"/>
  <c r="F500" i="8"/>
  <c r="L498" i="8"/>
  <c r="E497" i="8"/>
  <c r="K495" i="8"/>
  <c r="J492" i="8"/>
  <c r="C491" i="8"/>
  <c r="I489" i="8"/>
  <c r="B488" i="8"/>
  <c r="H486" i="8"/>
  <c r="N484" i="8"/>
  <c r="G483" i="8"/>
  <c r="M481" i="8"/>
  <c r="F480" i="8"/>
  <c r="L478" i="8"/>
  <c r="E477" i="8"/>
  <c r="K475" i="8"/>
  <c r="J472" i="8"/>
  <c r="C471" i="8"/>
  <c r="I469" i="8"/>
  <c r="B468" i="8"/>
  <c r="H466" i="8"/>
  <c r="N464" i="8"/>
  <c r="G463" i="8"/>
  <c r="M461" i="8"/>
  <c r="F460" i="8"/>
  <c r="L458" i="8"/>
  <c r="E457" i="8"/>
  <c r="K455" i="8"/>
  <c r="J452" i="8"/>
  <c r="C451" i="8"/>
  <c r="I449" i="8"/>
  <c r="B448" i="8"/>
  <c r="H446" i="8"/>
  <c r="N444" i="8"/>
  <c r="G443" i="8"/>
  <c r="M441" i="8"/>
  <c r="F440" i="8"/>
  <c r="L438" i="8"/>
  <c r="E437" i="8"/>
  <c r="K435" i="8"/>
  <c r="L90" i="11"/>
  <c r="M87" i="11"/>
  <c r="L84" i="11"/>
  <c r="K78" i="11"/>
  <c r="K75" i="11"/>
  <c r="K72" i="11"/>
  <c r="J69" i="11"/>
  <c r="G66" i="11"/>
  <c r="J63" i="11"/>
  <c r="E58" i="11"/>
  <c r="G55" i="11"/>
  <c r="K52" i="11"/>
  <c r="G47" i="11"/>
  <c r="F44" i="11"/>
  <c r="K41" i="11"/>
  <c r="G36" i="11"/>
  <c r="G33" i="11"/>
  <c r="L30" i="11"/>
  <c r="D28" i="11"/>
  <c r="H25" i="11"/>
  <c r="H22" i="11"/>
  <c r="G195" i="10"/>
  <c r="K190" i="10"/>
  <c r="G188" i="10"/>
  <c r="M185" i="10"/>
  <c r="J183" i="10"/>
  <c r="E181" i="10"/>
  <c r="M178" i="10"/>
  <c r="G176" i="10"/>
  <c r="N171" i="10"/>
  <c r="J169" i="10"/>
  <c r="F167" i="10"/>
  <c r="E165" i="10"/>
  <c r="B163" i="10"/>
  <c r="B161" i="10"/>
  <c r="M158" i="10"/>
  <c r="J156" i="10"/>
  <c r="J154" i="10"/>
  <c r="J152" i="10"/>
  <c r="G150" i="10"/>
  <c r="F148" i="10"/>
  <c r="C146" i="10"/>
  <c r="B144" i="10"/>
  <c r="N141" i="10"/>
  <c r="M139" i="10"/>
  <c r="K137" i="10"/>
  <c r="I135" i="10"/>
  <c r="G133" i="10"/>
  <c r="F131" i="10"/>
  <c r="C127" i="10"/>
  <c r="C125" i="10"/>
  <c r="M122" i="10"/>
  <c r="K120" i="10"/>
  <c r="K118" i="10"/>
  <c r="I116" i="10"/>
  <c r="G114" i="10"/>
  <c r="F112" i="10"/>
  <c r="C110" i="10"/>
  <c r="B108" i="10"/>
  <c r="B106" i="10"/>
  <c r="C104" i="10"/>
  <c r="B102" i="10"/>
  <c r="N99" i="10"/>
  <c r="N97" i="10"/>
  <c r="B96" i="10"/>
  <c r="B94" i="10"/>
  <c r="N91" i="10"/>
  <c r="B90" i="10"/>
  <c r="B88" i="10"/>
  <c r="M85" i="10"/>
  <c r="N83" i="10"/>
  <c r="B82" i="10"/>
  <c r="N79" i="10"/>
  <c r="B78" i="10"/>
  <c r="M75" i="10"/>
  <c r="M73" i="10"/>
  <c r="N71" i="10"/>
  <c r="B70" i="10"/>
  <c r="B68" i="10"/>
  <c r="E66" i="10"/>
  <c r="H64" i="10"/>
  <c r="J62" i="10"/>
  <c r="M60" i="10"/>
  <c r="B59" i="10"/>
  <c r="F57" i="10"/>
  <c r="J55" i="10"/>
  <c r="M53" i="10"/>
  <c r="H50" i="10"/>
  <c r="L48" i="10"/>
  <c r="B47" i="10"/>
  <c r="F45" i="10"/>
  <c r="J43" i="10"/>
  <c r="N41" i="10"/>
  <c r="E40" i="10"/>
  <c r="J38" i="10"/>
  <c r="N36" i="10"/>
  <c r="F35" i="10"/>
  <c r="K33" i="10"/>
  <c r="C32" i="10"/>
  <c r="H30" i="10"/>
  <c r="M28" i="10"/>
  <c r="E27" i="10"/>
  <c r="J25" i="10"/>
  <c r="B24" i="10"/>
  <c r="G22" i="10"/>
  <c r="I552" i="8"/>
  <c r="N550" i="8"/>
  <c r="F549" i="8"/>
  <c r="K547" i="8"/>
  <c r="C546" i="8"/>
  <c r="H544" i="8"/>
  <c r="M542" i="8"/>
  <c r="E541" i="8"/>
  <c r="I539" i="8"/>
  <c r="F89" i="11"/>
  <c r="K85" i="11"/>
  <c r="E82" i="11"/>
  <c r="D78" i="11"/>
  <c r="K74" i="11"/>
  <c r="J67" i="11"/>
  <c r="D64" i="11"/>
  <c r="M60" i="11"/>
  <c r="I57" i="11"/>
  <c r="I54" i="11"/>
  <c r="E51" i="11"/>
  <c r="D48" i="11"/>
  <c r="I41" i="11"/>
  <c r="I38" i="11"/>
  <c r="E35" i="11"/>
  <c r="B32" i="11"/>
  <c r="J28" i="11"/>
  <c r="K25" i="11"/>
  <c r="E22" i="11"/>
  <c r="L194" i="10"/>
  <c r="M191" i="10"/>
  <c r="E189" i="10"/>
  <c r="I186" i="10"/>
  <c r="I183" i="10"/>
  <c r="K180" i="10"/>
  <c r="B178" i="10"/>
  <c r="I172" i="10"/>
  <c r="B170" i="10"/>
  <c r="J164" i="10"/>
  <c r="E162" i="10"/>
  <c r="K159" i="10"/>
  <c r="G157" i="10"/>
  <c r="L154" i="10"/>
  <c r="K149" i="10"/>
  <c r="F147" i="10"/>
  <c r="M144" i="10"/>
  <c r="F142" i="10"/>
  <c r="K139" i="10"/>
  <c r="E137" i="10"/>
  <c r="M134" i="10"/>
  <c r="E132" i="10"/>
  <c r="M129" i="10"/>
  <c r="G127" i="10"/>
  <c r="L124" i="10"/>
  <c r="F122" i="10"/>
  <c r="M119" i="10"/>
  <c r="F117" i="10"/>
  <c r="N114" i="10"/>
  <c r="I112" i="10"/>
  <c r="L109" i="10"/>
  <c r="H107" i="10"/>
  <c r="C105" i="10"/>
  <c r="K102" i="10"/>
  <c r="G100" i="10"/>
  <c r="M97" i="10"/>
  <c r="J95" i="10"/>
  <c r="F93" i="10"/>
  <c r="L90" i="10"/>
  <c r="I88" i="10"/>
  <c r="F86" i="10"/>
  <c r="L83" i="10"/>
  <c r="H81" i="10"/>
  <c r="C79" i="10"/>
  <c r="L76" i="10"/>
  <c r="G74" i="10"/>
  <c r="C72" i="10"/>
  <c r="J69" i="10"/>
  <c r="H67" i="10"/>
  <c r="H65" i="10"/>
  <c r="E63" i="10"/>
  <c r="E61" i="10"/>
  <c r="N58" i="10"/>
  <c r="N56" i="10"/>
  <c r="B55" i="10"/>
  <c r="N52" i="10"/>
  <c r="B51" i="10"/>
  <c r="B49" i="10"/>
  <c r="M46" i="10"/>
  <c r="N44" i="10"/>
  <c r="N42" i="10"/>
  <c r="M40" i="10"/>
  <c r="B39" i="10"/>
  <c r="C35" i="10"/>
  <c r="E33" i="10"/>
  <c r="G31" i="10"/>
  <c r="H29" i="10"/>
  <c r="I27" i="10"/>
  <c r="I25" i="10"/>
  <c r="K23" i="10"/>
  <c r="E553" i="8"/>
  <c r="G551" i="8"/>
  <c r="I549" i="8"/>
  <c r="I547" i="8"/>
  <c r="J545" i="8"/>
  <c r="L543" i="8"/>
  <c r="M541" i="8"/>
  <c r="B540" i="8"/>
  <c r="E536" i="8"/>
  <c r="H534" i="8"/>
  <c r="K532" i="8"/>
  <c r="N530" i="8"/>
  <c r="E527" i="8"/>
  <c r="H525" i="8"/>
  <c r="K523" i="8"/>
  <c r="N521" i="8"/>
  <c r="H518" i="8"/>
  <c r="L516" i="8"/>
  <c r="C515" i="8"/>
  <c r="G513" i="8"/>
  <c r="J511" i="8"/>
  <c r="N509" i="8"/>
  <c r="E508" i="8"/>
  <c r="I506" i="8"/>
  <c r="L504" i="8"/>
  <c r="C503" i="8"/>
  <c r="G501" i="8"/>
  <c r="K499" i="8"/>
  <c r="B498" i="8"/>
  <c r="E496" i="8"/>
  <c r="I494" i="8"/>
  <c r="M492" i="8"/>
  <c r="G489" i="8"/>
  <c r="K487" i="8"/>
  <c r="B486" i="8"/>
  <c r="F484" i="8"/>
  <c r="J482" i="8"/>
  <c r="M480" i="8"/>
  <c r="H477" i="8"/>
  <c r="L475" i="8"/>
  <c r="B474" i="8"/>
  <c r="F472" i="8"/>
  <c r="J470" i="8"/>
  <c r="N468" i="8"/>
  <c r="E467" i="8"/>
  <c r="H465" i="8"/>
  <c r="L463" i="8"/>
  <c r="C462" i="8"/>
  <c r="G460" i="8"/>
  <c r="J458" i="8"/>
  <c r="N456" i="8"/>
  <c r="E455" i="8"/>
  <c r="I453" i="8"/>
  <c r="M451" i="8"/>
  <c r="C450" i="8"/>
  <c r="G448" i="8"/>
  <c r="K446" i="8"/>
  <c r="B445" i="8"/>
  <c r="E443" i="8"/>
  <c r="I441" i="8"/>
  <c r="M439" i="8"/>
  <c r="H436" i="8"/>
  <c r="K434" i="8"/>
  <c r="C433" i="8"/>
  <c r="H431" i="8"/>
  <c r="M429" i="8"/>
  <c r="E428" i="8"/>
  <c r="J426" i="8"/>
  <c r="B425" i="8"/>
  <c r="G423" i="8"/>
  <c r="L421" i="8"/>
  <c r="I418" i="8"/>
  <c r="N416" i="8"/>
  <c r="G415" i="8"/>
  <c r="M413" i="8"/>
  <c r="F412" i="8"/>
  <c r="L410" i="8"/>
  <c r="E409" i="8"/>
  <c r="K407" i="8"/>
  <c r="J404" i="8"/>
  <c r="C403" i="8"/>
  <c r="I401" i="8"/>
  <c r="B400" i="8"/>
  <c r="H398" i="8"/>
  <c r="N396" i="8"/>
  <c r="G395" i="8"/>
  <c r="M393" i="8"/>
  <c r="F392" i="8"/>
  <c r="L390" i="8"/>
  <c r="E389" i="8"/>
  <c r="K387" i="8"/>
  <c r="J384" i="8"/>
  <c r="C383" i="8"/>
  <c r="I381" i="8"/>
  <c r="B380" i="8"/>
  <c r="H378" i="8"/>
  <c r="N376" i="8"/>
  <c r="G375" i="8"/>
  <c r="M373" i="8"/>
  <c r="F372" i="8"/>
  <c r="L370" i="8"/>
  <c r="E369" i="8"/>
  <c r="K367" i="8"/>
  <c r="J364" i="8"/>
  <c r="B363" i="8"/>
  <c r="H361" i="8"/>
  <c r="N359" i="8"/>
  <c r="G358" i="8"/>
  <c r="M356" i="8"/>
  <c r="E355" i="8"/>
  <c r="K353" i="8"/>
  <c r="J350" i="8"/>
  <c r="C349" i="8"/>
  <c r="I347" i="8"/>
  <c r="B346" i="8"/>
  <c r="H344" i="8"/>
  <c r="N342" i="8"/>
  <c r="G341" i="8"/>
  <c r="M339" i="8"/>
  <c r="F338" i="8"/>
  <c r="L336" i="8"/>
  <c r="E335" i="8"/>
  <c r="K333" i="8"/>
  <c r="C332" i="8"/>
  <c r="I330" i="8"/>
  <c r="B329" i="8"/>
  <c r="H327" i="8"/>
  <c r="N325" i="8"/>
  <c r="G324" i="8"/>
  <c r="M322" i="8"/>
  <c r="F321" i="8"/>
  <c r="L319" i="8"/>
  <c r="E318" i="8"/>
  <c r="K316" i="8"/>
  <c r="J313" i="8"/>
  <c r="C312" i="8"/>
  <c r="I310" i="8"/>
  <c r="B309" i="8"/>
  <c r="H307" i="8"/>
  <c r="J87" i="11"/>
  <c r="I80" i="11"/>
  <c r="B77" i="11"/>
  <c r="I69" i="11"/>
  <c r="B66" i="11"/>
  <c r="L62" i="11"/>
  <c r="G59" i="11"/>
  <c r="F56" i="11"/>
  <c r="B53" i="11"/>
  <c r="J49" i="11"/>
  <c r="H46" i="11"/>
  <c r="I43" i="11"/>
  <c r="B40" i="11"/>
  <c r="L33" i="11"/>
  <c r="G30" i="11"/>
  <c r="F27" i="11"/>
  <c r="D24" i="11"/>
  <c r="B21" i="11"/>
  <c r="H193" i="10"/>
  <c r="J190" i="10"/>
  <c r="M187" i="10"/>
  <c r="I179" i="10"/>
  <c r="J176" i="10"/>
  <c r="M173" i="10"/>
  <c r="L168" i="10"/>
  <c r="B166" i="10"/>
  <c r="J163" i="10"/>
  <c r="H158" i="10"/>
  <c r="K153" i="10"/>
  <c r="J148" i="10"/>
  <c r="B146" i="10"/>
  <c r="J143" i="10"/>
  <c r="E141" i="10"/>
  <c r="J138" i="10"/>
  <c r="F136" i="10"/>
  <c r="K133" i="10"/>
  <c r="K128" i="10"/>
  <c r="L123" i="10"/>
  <c r="F121" i="10"/>
  <c r="M118" i="10"/>
  <c r="K113" i="10"/>
  <c r="F111" i="10"/>
  <c r="M108" i="10"/>
  <c r="G106" i="10"/>
  <c r="N103" i="10"/>
  <c r="I101" i="10"/>
  <c r="F99" i="10"/>
  <c r="M96" i="10"/>
  <c r="I94" i="10"/>
  <c r="E92" i="10"/>
  <c r="L89" i="10"/>
  <c r="G87" i="10"/>
  <c r="J82" i="10"/>
  <c r="H80" i="10"/>
  <c r="J75" i="10"/>
  <c r="G73" i="10"/>
  <c r="B71" i="10"/>
  <c r="K68" i="10"/>
  <c r="I66" i="10"/>
  <c r="G64" i="10"/>
  <c r="F62" i="10"/>
  <c r="E60" i="10"/>
  <c r="C58" i="10"/>
  <c r="C56" i="10"/>
  <c r="B52" i="10"/>
  <c r="B50" i="10"/>
  <c r="C48" i="10"/>
  <c r="B46" i="10"/>
  <c r="C44" i="10"/>
  <c r="C42" i="10"/>
  <c r="N39" i="10"/>
  <c r="C38" i="10"/>
  <c r="E36" i="10"/>
  <c r="F34" i="10"/>
  <c r="H32" i="10"/>
  <c r="G30" i="10"/>
  <c r="I28" i="10"/>
  <c r="K26" i="10"/>
  <c r="L24" i="10"/>
  <c r="M22" i="10"/>
  <c r="G554" i="8"/>
  <c r="G552" i="8"/>
  <c r="I550" i="8"/>
  <c r="J548" i="8"/>
  <c r="K546" i="8"/>
  <c r="M544" i="8"/>
  <c r="B543" i="8"/>
  <c r="N540" i="8"/>
  <c r="C539" i="8"/>
  <c r="F537" i="8"/>
  <c r="H535" i="8"/>
  <c r="K533" i="8"/>
  <c r="M531" i="8"/>
  <c r="C530" i="8"/>
  <c r="E528" i="8"/>
  <c r="H526" i="8"/>
  <c r="K524" i="8"/>
  <c r="N522" i="8"/>
  <c r="G519" i="8"/>
  <c r="K517" i="8"/>
  <c r="B516" i="8"/>
  <c r="F514" i="8"/>
  <c r="I512" i="8"/>
  <c r="M510" i="8"/>
  <c r="H507" i="8"/>
  <c r="L505" i="8"/>
  <c r="B504" i="8"/>
  <c r="F502" i="8"/>
  <c r="J500" i="8"/>
  <c r="N498" i="8"/>
  <c r="H495" i="8"/>
  <c r="L493" i="8"/>
  <c r="C492" i="8"/>
  <c r="G490" i="8"/>
  <c r="J488" i="8"/>
  <c r="N486" i="8"/>
  <c r="E485" i="8"/>
  <c r="I483" i="8"/>
  <c r="L481" i="8"/>
  <c r="C480" i="8"/>
  <c r="G478" i="8"/>
  <c r="K476" i="8"/>
  <c r="B475" i="8"/>
  <c r="E473" i="8"/>
  <c r="I471" i="8"/>
  <c r="M469" i="8"/>
  <c r="G466" i="8"/>
  <c r="K464" i="8"/>
  <c r="B463" i="8"/>
  <c r="F461" i="8"/>
  <c r="J459" i="8"/>
  <c r="M457" i="8"/>
  <c r="H454" i="8"/>
  <c r="L452" i="8"/>
  <c r="B451" i="8"/>
  <c r="F449" i="8"/>
  <c r="J447" i="8"/>
  <c r="N445" i="8"/>
  <c r="E444" i="8"/>
  <c r="H442" i="8"/>
  <c r="L440" i="8"/>
  <c r="C439" i="8"/>
  <c r="G437" i="8"/>
  <c r="J435" i="8"/>
  <c r="B434" i="8"/>
  <c r="G432" i="8"/>
  <c r="L430" i="8"/>
  <c r="I427" i="8"/>
  <c r="N425" i="8"/>
  <c r="F424" i="8"/>
  <c r="K422" i="8"/>
  <c r="C421" i="8"/>
  <c r="G419" i="8"/>
  <c r="L417" i="8"/>
  <c r="E416" i="8"/>
  <c r="K414" i="8"/>
  <c r="J411" i="8"/>
  <c r="C410" i="8"/>
  <c r="I408" i="8"/>
  <c r="B407" i="8"/>
  <c r="H405" i="8"/>
  <c r="N403" i="8"/>
  <c r="G402" i="8"/>
  <c r="M400" i="8"/>
  <c r="F399" i="8"/>
  <c r="L397" i="8"/>
  <c r="E396" i="8"/>
  <c r="K394" i="8"/>
  <c r="J391" i="8"/>
  <c r="C390" i="8"/>
  <c r="I388" i="8"/>
  <c r="B387" i="8"/>
  <c r="H385" i="8"/>
  <c r="N383" i="8"/>
  <c r="G382" i="8"/>
  <c r="M380" i="8"/>
  <c r="K90" i="11"/>
  <c r="H87" i="11"/>
  <c r="B84" i="11"/>
  <c r="F80" i="11"/>
  <c r="J76" i="11"/>
  <c r="B73" i="11"/>
  <c r="E69" i="11"/>
  <c r="M65" i="11"/>
  <c r="K62" i="11"/>
  <c r="F59" i="11"/>
  <c r="E56" i="11"/>
  <c r="M52" i="11"/>
  <c r="I49" i="11"/>
  <c r="G46" i="11"/>
  <c r="F43" i="11"/>
  <c r="M39" i="11"/>
  <c r="B37" i="11"/>
  <c r="F33" i="11"/>
  <c r="F30" i="11"/>
  <c r="E27" i="11"/>
  <c r="B24" i="11"/>
  <c r="G193" i="10"/>
  <c r="I190" i="10"/>
  <c r="K187" i="10"/>
  <c r="C185" i="10"/>
  <c r="C182" i="10"/>
  <c r="G179" i="10"/>
  <c r="I176" i="10"/>
  <c r="L173" i="10"/>
  <c r="C171" i="10"/>
  <c r="K168" i="10"/>
  <c r="M165" i="10"/>
  <c r="I163" i="10"/>
  <c r="N160" i="10"/>
  <c r="F158" i="10"/>
  <c r="C156" i="10"/>
  <c r="G153" i="10"/>
  <c r="C151" i="10"/>
  <c r="I148" i="10"/>
  <c r="M145" i="10"/>
  <c r="I143" i="10"/>
  <c r="H138" i="10"/>
  <c r="C136" i="10"/>
  <c r="J133" i="10"/>
  <c r="C131" i="10"/>
  <c r="J128" i="10"/>
  <c r="C126" i="10"/>
  <c r="K123" i="10"/>
  <c r="C121" i="10"/>
  <c r="J118" i="10"/>
  <c r="C116" i="10"/>
  <c r="J113" i="10"/>
  <c r="L108" i="10"/>
  <c r="F106" i="10"/>
  <c r="L103" i="10"/>
  <c r="G101" i="10"/>
  <c r="E99" i="10"/>
  <c r="L96" i="10"/>
  <c r="H94" i="10"/>
  <c r="K89" i="10"/>
  <c r="F87" i="10"/>
  <c r="C85" i="10"/>
  <c r="I82" i="10"/>
  <c r="G80" i="10"/>
  <c r="L77" i="10"/>
  <c r="I75" i="10"/>
  <c r="E73" i="10"/>
  <c r="K70" i="10"/>
  <c r="J68" i="10"/>
  <c r="H66" i="10"/>
  <c r="E64" i="10"/>
  <c r="E62" i="10"/>
  <c r="C60" i="10"/>
  <c r="B58" i="10"/>
  <c r="B56" i="10"/>
  <c r="C54" i="10"/>
  <c r="N51" i="10"/>
  <c r="N49" i="10"/>
  <c r="B48" i="10"/>
  <c r="N45" i="10"/>
  <c r="N43" i="10"/>
  <c r="M41" i="10"/>
  <c r="M39" i="10"/>
  <c r="B38" i="10"/>
  <c r="C36" i="10"/>
  <c r="E34" i="10"/>
  <c r="F32" i="10"/>
  <c r="F30" i="10"/>
  <c r="H28" i="10"/>
  <c r="J26" i="10"/>
  <c r="J24" i="10"/>
  <c r="L22" i="10"/>
  <c r="F554" i="8"/>
  <c r="F552" i="8"/>
  <c r="H550" i="8"/>
  <c r="I548" i="8"/>
  <c r="J546" i="8"/>
  <c r="L544" i="8"/>
  <c r="L542" i="8"/>
  <c r="M540" i="8"/>
  <c r="B539" i="8"/>
  <c r="E537" i="8"/>
  <c r="G535" i="8"/>
  <c r="J533" i="8"/>
  <c r="L531" i="8"/>
  <c r="B530" i="8"/>
  <c r="G526" i="8"/>
  <c r="J524" i="8"/>
  <c r="M522" i="8"/>
  <c r="C521" i="8"/>
  <c r="F519" i="8"/>
  <c r="J517" i="8"/>
  <c r="N515" i="8"/>
  <c r="E514" i="8"/>
  <c r="H512" i="8"/>
  <c r="L510" i="8"/>
  <c r="C509" i="8"/>
  <c r="G507" i="8"/>
  <c r="K505" i="8"/>
  <c r="N503" i="8"/>
  <c r="E502" i="8"/>
  <c r="I500" i="8"/>
  <c r="M498" i="8"/>
  <c r="C497" i="8"/>
  <c r="G495" i="8"/>
  <c r="K493" i="8"/>
  <c r="B492" i="8"/>
  <c r="F490" i="8"/>
  <c r="I488" i="8"/>
  <c r="M486" i="8"/>
  <c r="H483" i="8"/>
  <c r="K481" i="8"/>
  <c r="B480" i="8"/>
  <c r="F478" i="8"/>
  <c r="J476" i="8"/>
  <c r="N474" i="8"/>
  <c r="H471" i="8"/>
  <c r="L469" i="8"/>
  <c r="C468" i="8"/>
  <c r="F466" i="8"/>
  <c r="J464" i="8"/>
  <c r="N462" i="8"/>
  <c r="E461" i="8"/>
  <c r="I459" i="8"/>
  <c r="L457" i="8"/>
  <c r="C456" i="8"/>
  <c r="G454" i="8"/>
  <c r="K452" i="8"/>
  <c r="N450" i="8"/>
  <c r="E449" i="8"/>
  <c r="I447" i="8"/>
  <c r="M445" i="8"/>
  <c r="G442" i="8"/>
  <c r="K440" i="8"/>
  <c r="B439" i="8"/>
  <c r="F437" i="8"/>
  <c r="I435" i="8"/>
  <c r="N433" i="8"/>
  <c r="F432" i="8"/>
  <c r="K430" i="8"/>
  <c r="C429" i="8"/>
  <c r="H427" i="8"/>
  <c r="M425" i="8"/>
  <c r="E424" i="8"/>
  <c r="J422" i="8"/>
  <c r="N420" i="8"/>
  <c r="F419" i="8"/>
  <c r="K417" i="8"/>
  <c r="J414" i="8"/>
  <c r="C413" i="8"/>
  <c r="I411" i="8"/>
  <c r="B410" i="8"/>
  <c r="H408" i="8"/>
  <c r="N406" i="8"/>
  <c r="G405" i="8"/>
  <c r="M403" i="8"/>
  <c r="F402" i="8"/>
  <c r="L400" i="8"/>
  <c r="E399" i="8"/>
  <c r="K397" i="8"/>
  <c r="J394" i="8"/>
  <c r="C393" i="8"/>
  <c r="I391" i="8"/>
  <c r="B390" i="8"/>
  <c r="H388" i="8"/>
  <c r="N386" i="8"/>
  <c r="G385" i="8"/>
  <c r="M383" i="8"/>
  <c r="F382" i="8"/>
  <c r="L380" i="8"/>
  <c r="E379" i="8"/>
  <c r="K377" i="8"/>
  <c r="J374" i="8"/>
  <c r="C373" i="8"/>
  <c r="I371" i="8"/>
  <c r="B370" i="8"/>
  <c r="H368" i="8"/>
  <c r="N366" i="8"/>
  <c r="G365" i="8"/>
  <c r="M363" i="8"/>
  <c r="E362" i="8"/>
  <c r="K360" i="8"/>
  <c r="M88" i="11"/>
  <c r="I84" i="11"/>
  <c r="J80" i="11"/>
  <c r="D72" i="11"/>
  <c r="L67" i="11"/>
  <c r="I63" i="11"/>
  <c r="B60" i="11"/>
  <c r="D56" i="11"/>
  <c r="F52" i="11"/>
  <c r="I48" i="11"/>
  <c r="L44" i="11"/>
  <c r="M40" i="11"/>
  <c r="E37" i="11"/>
  <c r="K29" i="11"/>
  <c r="B26" i="11"/>
  <c r="B22" i="11"/>
  <c r="E194" i="10"/>
  <c r="H187" i="10"/>
  <c r="B181" i="10"/>
  <c r="L177" i="10"/>
  <c r="H174" i="10"/>
  <c r="H171" i="10"/>
  <c r="E168" i="10"/>
  <c r="F162" i="10"/>
  <c r="G159" i="10"/>
  <c r="G156" i="10"/>
  <c r="E153" i="10"/>
  <c r="J150" i="10"/>
  <c r="J147" i="10"/>
  <c r="L144" i="10"/>
  <c r="L141" i="10"/>
  <c r="M138" i="10"/>
  <c r="N135" i="10"/>
  <c r="N132" i="10"/>
  <c r="C130" i="10"/>
  <c r="B127" i="10"/>
  <c r="G121" i="10"/>
  <c r="E118" i="10"/>
  <c r="F115" i="10"/>
  <c r="J112" i="10"/>
  <c r="I109" i="10"/>
  <c r="K106" i="10"/>
  <c r="K103" i="10"/>
  <c r="C101" i="10"/>
  <c r="G98" i="10"/>
  <c r="I95" i="10"/>
  <c r="L92" i="10"/>
  <c r="F84" i="10"/>
  <c r="K81" i="10"/>
  <c r="M78" i="10"/>
  <c r="E76" i="10"/>
  <c r="H73" i="10"/>
  <c r="H70" i="10"/>
  <c r="M67" i="10"/>
  <c r="I65" i="10"/>
  <c r="B63" i="10"/>
  <c r="H60" i="10"/>
  <c r="N57" i="10"/>
  <c r="I55" i="10"/>
  <c r="F53" i="10"/>
  <c r="N50" i="10"/>
  <c r="H48" i="10"/>
  <c r="F46" i="10"/>
  <c r="L43" i="10"/>
  <c r="G41" i="10"/>
  <c r="L36" i="10"/>
  <c r="K34" i="10"/>
  <c r="I32" i="10"/>
  <c r="C30" i="10"/>
  <c r="N27" i="10"/>
  <c r="L25" i="10"/>
  <c r="H23" i="10"/>
  <c r="K554" i="8"/>
  <c r="H552" i="8"/>
  <c r="B548" i="8"/>
  <c r="K545" i="8"/>
  <c r="H543" i="8"/>
  <c r="G541" i="8"/>
  <c r="N538" i="8"/>
  <c r="M536" i="8"/>
  <c r="K534" i="8"/>
  <c r="J532" i="8"/>
  <c r="I530" i="8"/>
  <c r="H528" i="8"/>
  <c r="E526" i="8"/>
  <c r="C524" i="8"/>
  <c r="C522" i="8"/>
  <c r="B520" i="8"/>
  <c r="C518" i="8"/>
  <c r="C516" i="8"/>
  <c r="N513" i="8"/>
  <c r="B512" i="8"/>
  <c r="B510" i="8"/>
  <c r="N507" i="8"/>
  <c r="B506" i="8"/>
  <c r="M503" i="8"/>
  <c r="N501" i="8"/>
  <c r="N499" i="8"/>
  <c r="M497" i="8"/>
  <c r="N495" i="8"/>
  <c r="N493" i="8"/>
  <c r="M491" i="8"/>
  <c r="M489" i="8"/>
  <c r="M487" i="8"/>
  <c r="M485" i="8"/>
  <c r="M483" i="8"/>
  <c r="N481" i="8"/>
  <c r="L479" i="8"/>
  <c r="L477" i="8"/>
  <c r="M475" i="8"/>
  <c r="L473" i="8"/>
  <c r="M471" i="8"/>
  <c r="K469" i="8"/>
  <c r="K467" i="8"/>
  <c r="L465" i="8"/>
  <c r="K463" i="8"/>
  <c r="K461" i="8"/>
  <c r="L459" i="8"/>
  <c r="J457" i="8"/>
  <c r="J455" i="8"/>
  <c r="K453" i="8"/>
  <c r="J451" i="8"/>
  <c r="K449" i="8"/>
  <c r="K447" i="8"/>
  <c r="I445" i="8"/>
  <c r="J443" i="8"/>
  <c r="J441" i="8"/>
  <c r="J439" i="8"/>
  <c r="J437" i="8"/>
  <c r="H435" i="8"/>
  <c r="J433" i="8"/>
  <c r="K431" i="8"/>
  <c r="L429" i="8"/>
  <c r="N427" i="8"/>
  <c r="C426" i="8"/>
  <c r="B424" i="8"/>
  <c r="F420" i="8"/>
  <c r="G418" i="8"/>
  <c r="I416" i="8"/>
  <c r="L414" i="8"/>
  <c r="M412" i="8"/>
  <c r="C411" i="8"/>
  <c r="F409" i="8"/>
  <c r="H407" i="8"/>
  <c r="K405" i="8"/>
  <c r="L403" i="8"/>
  <c r="B402" i="8"/>
  <c r="E400" i="8"/>
  <c r="G398" i="8"/>
  <c r="J396" i="8"/>
  <c r="M394" i="8"/>
  <c r="N392" i="8"/>
  <c r="G389" i="8"/>
  <c r="I387" i="8"/>
  <c r="L385" i="8"/>
  <c r="B384" i="8"/>
  <c r="C382" i="8"/>
  <c r="F380" i="8"/>
  <c r="J378" i="8"/>
  <c r="M376" i="8"/>
  <c r="H373" i="8"/>
  <c r="L371" i="8"/>
  <c r="C370" i="8"/>
  <c r="F368" i="8"/>
  <c r="J366" i="8"/>
  <c r="N364" i="8"/>
  <c r="E363" i="8"/>
  <c r="G361" i="8"/>
  <c r="K359" i="8"/>
  <c r="B358" i="8"/>
  <c r="G356" i="8"/>
  <c r="K354" i="8"/>
  <c r="C353" i="8"/>
  <c r="H351" i="8"/>
  <c r="M349" i="8"/>
  <c r="E348" i="8"/>
  <c r="J346" i="8"/>
  <c r="B345" i="8"/>
  <c r="G343" i="8"/>
  <c r="L341" i="8"/>
  <c r="I338" i="8"/>
  <c r="N336" i="8"/>
  <c r="F335" i="8"/>
  <c r="J333" i="8"/>
  <c r="N331" i="8"/>
  <c r="F330" i="8"/>
  <c r="K328" i="8"/>
  <c r="C327" i="8"/>
  <c r="H325" i="8"/>
  <c r="M323" i="8"/>
  <c r="E322" i="8"/>
  <c r="J320" i="8"/>
  <c r="B319" i="8"/>
  <c r="G317" i="8"/>
  <c r="L315" i="8"/>
  <c r="I312" i="8"/>
  <c r="N310" i="8"/>
  <c r="F309" i="8"/>
  <c r="K307" i="8"/>
  <c r="C306" i="8"/>
  <c r="I304" i="8"/>
  <c r="B303" i="8"/>
  <c r="H301" i="8"/>
  <c r="N299" i="8"/>
  <c r="G298" i="8"/>
  <c r="M296" i="8"/>
  <c r="F295" i="8"/>
  <c r="L293" i="8"/>
  <c r="E292" i="8"/>
  <c r="K290" i="8"/>
  <c r="J287" i="8"/>
  <c r="C286" i="8"/>
  <c r="I284" i="8"/>
  <c r="B283" i="8"/>
  <c r="H281" i="8"/>
  <c r="N279" i="8"/>
  <c r="G278" i="8"/>
  <c r="M276" i="8"/>
  <c r="F275" i="8"/>
  <c r="L273" i="8"/>
  <c r="E272" i="8"/>
  <c r="K270" i="8"/>
  <c r="J267" i="8"/>
  <c r="C266" i="8"/>
  <c r="I264" i="8"/>
  <c r="B263" i="8"/>
  <c r="H261" i="8"/>
  <c r="N259" i="8"/>
  <c r="G258" i="8"/>
  <c r="M256" i="8"/>
  <c r="F255" i="8"/>
  <c r="L253" i="8"/>
  <c r="E252" i="8"/>
  <c r="K250" i="8"/>
  <c r="J247" i="8"/>
  <c r="C246" i="8"/>
  <c r="I244" i="8"/>
  <c r="B243" i="8"/>
  <c r="H241" i="8"/>
  <c r="L88" i="11"/>
  <c r="H84" i="11"/>
  <c r="B76" i="11"/>
  <c r="K71" i="11"/>
  <c r="G67" i="11"/>
  <c r="G63" i="11"/>
  <c r="K59" i="11"/>
  <c r="D52" i="11"/>
  <c r="F48" i="11"/>
  <c r="E44" i="11"/>
  <c r="L40" i="11"/>
  <c r="D37" i="11"/>
  <c r="B33" i="11"/>
  <c r="G29" i="11"/>
  <c r="L25" i="11"/>
  <c r="M21" i="11"/>
  <c r="B191" i="10"/>
  <c r="G187" i="10"/>
  <c r="C184" i="10"/>
  <c r="M180" i="10"/>
  <c r="H177" i="10"/>
  <c r="G174" i="10"/>
  <c r="B171" i="10"/>
  <c r="C168" i="10"/>
  <c r="C165" i="10"/>
  <c r="C162" i="10"/>
  <c r="F159" i="10"/>
  <c r="F156" i="10"/>
  <c r="E150" i="10"/>
  <c r="H147" i="10"/>
  <c r="I144" i="10"/>
  <c r="K141" i="10"/>
  <c r="L138" i="10"/>
  <c r="M135" i="10"/>
  <c r="M132" i="10"/>
  <c r="N129" i="10"/>
  <c r="N126" i="10"/>
  <c r="C124" i="10"/>
  <c r="B121" i="10"/>
  <c r="C118" i="10"/>
  <c r="E115" i="10"/>
  <c r="H109" i="10"/>
  <c r="I106" i="10"/>
  <c r="J103" i="10"/>
  <c r="N100" i="10"/>
  <c r="E98" i="10"/>
  <c r="F95" i="10"/>
  <c r="K92" i="10"/>
  <c r="N89" i="10"/>
  <c r="C87" i="10"/>
  <c r="E84" i="10"/>
  <c r="I81" i="10"/>
  <c r="L78" i="10"/>
  <c r="C76" i="10"/>
  <c r="G70" i="10"/>
  <c r="L67" i="10"/>
  <c r="F65" i="10"/>
  <c r="N62" i="10"/>
  <c r="G60" i="10"/>
  <c r="L57" i="10"/>
  <c r="G55" i="10"/>
  <c r="L50" i="10"/>
  <c r="G48" i="10"/>
  <c r="C46" i="10"/>
  <c r="I43" i="10"/>
  <c r="F41" i="10"/>
  <c r="C39" i="10"/>
  <c r="K36" i="10"/>
  <c r="J34" i="10"/>
  <c r="E32" i="10"/>
  <c r="B30" i="10"/>
  <c r="M27" i="10"/>
  <c r="H25" i="10"/>
  <c r="G23" i="10"/>
  <c r="J554" i="8"/>
  <c r="E552" i="8"/>
  <c r="B550" i="8"/>
  <c r="N547" i="8"/>
  <c r="I545" i="8"/>
  <c r="G543" i="8"/>
  <c r="C541" i="8"/>
  <c r="M538" i="8"/>
  <c r="L536" i="8"/>
  <c r="J534" i="8"/>
  <c r="I532" i="8"/>
  <c r="H530" i="8"/>
  <c r="G528" i="8"/>
  <c r="B524" i="8"/>
  <c r="B522" i="8"/>
  <c r="N519" i="8"/>
  <c r="B518" i="8"/>
  <c r="M515" i="8"/>
  <c r="M513" i="8"/>
  <c r="N511" i="8"/>
  <c r="M509" i="8"/>
  <c r="M507" i="8"/>
  <c r="N505" i="8"/>
  <c r="L503" i="8"/>
  <c r="L501" i="8"/>
  <c r="M499" i="8"/>
  <c r="L497" i="8"/>
  <c r="M495" i="8"/>
  <c r="M493" i="8"/>
  <c r="K491" i="8"/>
  <c r="L489" i="8"/>
  <c r="L487" i="8"/>
  <c r="L485" i="8"/>
  <c r="L483" i="8"/>
  <c r="J481" i="8"/>
  <c r="K479" i="8"/>
  <c r="K477" i="8"/>
  <c r="J475" i="8"/>
  <c r="K473" i="8"/>
  <c r="K471" i="8"/>
  <c r="J469" i="8"/>
  <c r="J467" i="8"/>
  <c r="K465" i="8"/>
  <c r="J463" i="8"/>
  <c r="J461" i="8"/>
  <c r="K459" i="8"/>
  <c r="I457" i="8"/>
  <c r="I455" i="8"/>
  <c r="J453" i="8"/>
  <c r="I451" i="8"/>
  <c r="J449" i="8"/>
  <c r="H447" i="8"/>
  <c r="H445" i="8"/>
  <c r="I443" i="8"/>
  <c r="H441" i="8"/>
  <c r="I439" i="8"/>
  <c r="I437" i="8"/>
  <c r="G435" i="8"/>
  <c r="I433" i="8"/>
  <c r="J431" i="8"/>
  <c r="K429" i="8"/>
  <c r="M427" i="8"/>
  <c r="B426" i="8"/>
  <c r="N423" i="8"/>
  <c r="C422" i="8"/>
  <c r="E420" i="8"/>
  <c r="F418" i="8"/>
  <c r="H416" i="8"/>
  <c r="I414" i="8"/>
  <c r="L412" i="8"/>
  <c r="B411" i="8"/>
  <c r="G407" i="8"/>
  <c r="J405" i="8"/>
  <c r="K403" i="8"/>
  <c r="N401" i="8"/>
  <c r="F398" i="8"/>
  <c r="I396" i="8"/>
  <c r="L394" i="8"/>
  <c r="M392" i="8"/>
  <c r="C391" i="8"/>
  <c r="F389" i="8"/>
  <c r="H387" i="8"/>
  <c r="K385" i="8"/>
  <c r="L383" i="8"/>
  <c r="B382" i="8"/>
  <c r="E380" i="8"/>
  <c r="I378" i="8"/>
  <c r="L376" i="8"/>
  <c r="C375" i="8"/>
  <c r="G373" i="8"/>
  <c r="K371" i="8"/>
  <c r="N369" i="8"/>
  <c r="E368" i="8"/>
  <c r="I366" i="8"/>
  <c r="M364" i="8"/>
  <c r="C363" i="8"/>
  <c r="F361" i="8"/>
  <c r="J359" i="8"/>
  <c r="N357" i="8"/>
  <c r="F356" i="8"/>
  <c r="J354" i="8"/>
  <c r="B353" i="8"/>
  <c r="G351" i="8"/>
  <c r="L349" i="8"/>
  <c r="I346" i="8"/>
  <c r="N344" i="8"/>
  <c r="F343" i="8"/>
  <c r="K341" i="8"/>
  <c r="C340" i="8"/>
  <c r="H338" i="8"/>
  <c r="M336" i="8"/>
  <c r="I333" i="8"/>
  <c r="M331" i="8"/>
  <c r="E330" i="8"/>
  <c r="J328" i="8"/>
  <c r="B327" i="8"/>
  <c r="G325" i="8"/>
  <c r="L323" i="8"/>
  <c r="I320" i="8"/>
  <c r="N318" i="8"/>
  <c r="F317" i="8"/>
  <c r="K315" i="8"/>
  <c r="C314" i="8"/>
  <c r="H312" i="8"/>
  <c r="M310" i="8"/>
  <c r="E309" i="8"/>
  <c r="J307" i="8"/>
  <c r="B306" i="8"/>
  <c r="H304" i="8"/>
  <c r="N302" i="8"/>
  <c r="G301" i="8"/>
  <c r="M299" i="8"/>
  <c r="F298" i="8"/>
  <c r="L296" i="8"/>
  <c r="E295" i="8"/>
  <c r="K293" i="8"/>
  <c r="J290" i="8"/>
  <c r="C289" i="8"/>
  <c r="I287" i="8"/>
  <c r="B286" i="8"/>
  <c r="H284" i="8"/>
  <c r="N282" i="8"/>
  <c r="G281" i="8"/>
  <c r="M279" i="8"/>
  <c r="F278" i="8"/>
  <c r="L276" i="8"/>
  <c r="E275" i="8"/>
  <c r="K273" i="8"/>
  <c r="J270" i="8"/>
  <c r="C269" i="8"/>
  <c r="I267" i="8"/>
  <c r="B266" i="8"/>
  <c r="H264" i="8"/>
  <c r="N262" i="8"/>
  <c r="G261" i="8"/>
  <c r="M259" i="8"/>
  <c r="F258" i="8"/>
  <c r="L256" i="8"/>
  <c r="E255" i="8"/>
  <c r="B87" i="11"/>
  <c r="K82" i="11"/>
  <c r="G78" i="11"/>
  <c r="H74" i="11"/>
  <c r="G70" i="11"/>
  <c r="L65" i="11"/>
  <c r="K61" i="11"/>
  <c r="D58" i="11"/>
  <c r="H54" i="11"/>
  <c r="J50" i="11"/>
  <c r="B47" i="11"/>
  <c r="B43" i="11"/>
  <c r="G39" i="11"/>
  <c r="G35" i="11"/>
  <c r="J31" i="11"/>
  <c r="L27" i="11"/>
  <c r="E24" i="11"/>
  <c r="K192" i="10"/>
  <c r="H189" i="10"/>
  <c r="C186" i="10"/>
  <c r="N182" i="10"/>
  <c r="K179" i="10"/>
  <c r="C176" i="10"/>
  <c r="N172" i="10"/>
  <c r="C170" i="10"/>
  <c r="M166" i="10"/>
  <c r="N163" i="10"/>
  <c r="L160" i="10"/>
  <c r="B158" i="10"/>
  <c r="B155" i="10"/>
  <c r="C152" i="10"/>
  <c r="E149" i="10"/>
  <c r="I146" i="10"/>
  <c r="F143" i="10"/>
  <c r="G140" i="10"/>
  <c r="I137" i="10"/>
  <c r="K134" i="10"/>
  <c r="K131" i="10"/>
  <c r="L128" i="10"/>
  <c r="K125" i="10"/>
  <c r="J122" i="10"/>
  <c r="C117" i="10"/>
  <c r="C111" i="10"/>
  <c r="G105" i="10"/>
  <c r="J102" i="10"/>
  <c r="K99" i="10"/>
  <c r="E97" i="10"/>
  <c r="F94" i="10"/>
  <c r="H91" i="10"/>
  <c r="L88" i="10"/>
  <c r="L85" i="10"/>
  <c r="F83" i="10"/>
  <c r="I80" i="10"/>
  <c r="H77" i="10"/>
  <c r="M74" i="10"/>
  <c r="F69" i="10"/>
  <c r="N66" i="10"/>
  <c r="M61" i="10"/>
  <c r="G59" i="10"/>
  <c r="M56" i="10"/>
  <c r="I54" i="10"/>
  <c r="F52" i="10"/>
  <c r="L49" i="10"/>
  <c r="H47" i="10"/>
  <c r="C45" i="10"/>
  <c r="K42" i="10"/>
  <c r="H40" i="10"/>
  <c r="M35" i="10"/>
  <c r="I33" i="10"/>
  <c r="H31" i="10"/>
  <c r="N26" i="10"/>
  <c r="I24" i="10"/>
  <c r="F22" i="10"/>
  <c r="K553" i="8"/>
  <c r="H551" i="8"/>
  <c r="B547" i="8"/>
  <c r="K544" i="8"/>
  <c r="G542" i="8"/>
  <c r="E540" i="8"/>
  <c r="N537" i="8"/>
  <c r="N535" i="8"/>
  <c r="M533" i="8"/>
  <c r="J531" i="8"/>
  <c r="I529" i="8"/>
  <c r="I527" i="8"/>
  <c r="F525" i="8"/>
  <c r="E523" i="8"/>
  <c r="E521" i="8"/>
  <c r="C519" i="8"/>
  <c r="C517" i="8"/>
  <c r="C513" i="8"/>
  <c r="B509" i="8"/>
  <c r="B507" i="8"/>
  <c r="C505" i="8"/>
  <c r="B503" i="8"/>
  <c r="C501" i="8"/>
  <c r="C499" i="8"/>
  <c r="N496" i="8"/>
  <c r="B495" i="8"/>
  <c r="B493" i="8"/>
  <c r="N490" i="8"/>
  <c r="B489" i="8"/>
  <c r="B487" i="8"/>
  <c r="M484" i="8"/>
  <c r="N482" i="8"/>
  <c r="N480" i="8"/>
  <c r="N478" i="8"/>
  <c r="N476" i="8"/>
  <c r="L474" i="8"/>
  <c r="M472" i="8"/>
  <c r="M470" i="8"/>
  <c r="M468" i="8"/>
  <c r="M466" i="8"/>
  <c r="M464" i="8"/>
  <c r="L462" i="8"/>
  <c r="L460" i="8"/>
  <c r="M458" i="8"/>
  <c r="L456" i="8"/>
  <c r="L454" i="8"/>
  <c r="M452" i="8"/>
  <c r="K450" i="8"/>
  <c r="L448" i="8"/>
  <c r="L446" i="8"/>
  <c r="K444" i="8"/>
  <c r="L442" i="8"/>
  <c r="J440" i="8"/>
  <c r="J438" i="8"/>
  <c r="K436" i="8"/>
  <c r="J434" i="8"/>
  <c r="L432" i="8"/>
  <c r="N430" i="8"/>
  <c r="N428" i="8"/>
  <c r="B427" i="8"/>
  <c r="E423" i="8"/>
  <c r="G421" i="8"/>
  <c r="I419" i="8"/>
  <c r="H417" i="8"/>
  <c r="K415" i="8"/>
  <c r="N413" i="8"/>
  <c r="C412" i="8"/>
  <c r="F410" i="8"/>
  <c r="G408" i="8"/>
  <c r="J406" i="8"/>
  <c r="M404" i="8"/>
  <c r="B403" i="8"/>
  <c r="E401" i="8"/>
  <c r="H399" i="8"/>
  <c r="I397" i="8"/>
  <c r="L395" i="8"/>
  <c r="B394" i="8"/>
  <c r="G390" i="8"/>
  <c r="J388" i="8"/>
  <c r="K386" i="8"/>
  <c r="N384" i="8"/>
  <c r="F381" i="8"/>
  <c r="I379" i="8"/>
  <c r="M377" i="8"/>
  <c r="C376" i="8"/>
  <c r="G374" i="8"/>
  <c r="K372" i="8"/>
  <c r="B371" i="8"/>
  <c r="F369" i="8"/>
  <c r="I367" i="8"/>
  <c r="M365" i="8"/>
  <c r="G362" i="8"/>
  <c r="J360" i="8"/>
  <c r="N358" i="8"/>
  <c r="F357" i="8"/>
  <c r="K355" i="8"/>
  <c r="B354" i="8"/>
  <c r="G352" i="8"/>
  <c r="L350" i="8"/>
  <c r="H347" i="8"/>
  <c r="M345" i="8"/>
  <c r="E344" i="8"/>
  <c r="J342" i="8"/>
  <c r="B341" i="8"/>
  <c r="G339" i="8"/>
  <c r="L337" i="8"/>
  <c r="I334" i="8"/>
  <c r="M332" i="8"/>
  <c r="E331" i="8"/>
  <c r="J329" i="8"/>
  <c r="B328" i="8"/>
  <c r="G326" i="8"/>
  <c r="L324" i="8"/>
  <c r="I321" i="8"/>
  <c r="N319" i="8"/>
  <c r="F318" i="8"/>
  <c r="J316" i="8"/>
  <c r="B315" i="8"/>
  <c r="G313" i="8"/>
  <c r="L311" i="8"/>
  <c r="I308" i="8"/>
  <c r="N306" i="8"/>
  <c r="G305" i="8"/>
  <c r="M303" i="8"/>
  <c r="F302" i="8"/>
  <c r="L300" i="8"/>
  <c r="E299" i="8"/>
  <c r="K297" i="8"/>
  <c r="J90" i="11"/>
  <c r="K86" i="11"/>
  <c r="J82" i="11"/>
  <c r="D74" i="11"/>
  <c r="I65" i="11"/>
  <c r="J61" i="11"/>
  <c r="B58" i="11"/>
  <c r="F54" i="11"/>
  <c r="I50" i="11"/>
  <c r="I46" i="11"/>
  <c r="M42" i="11"/>
  <c r="M38" i="11"/>
  <c r="F35" i="11"/>
  <c r="I31" i="11"/>
  <c r="K27" i="11"/>
  <c r="L23" i="11"/>
  <c r="L195" i="10"/>
  <c r="J192" i="10"/>
  <c r="G189" i="10"/>
  <c r="L185" i="10"/>
  <c r="L182" i="10"/>
  <c r="F179" i="10"/>
  <c r="B176" i="10"/>
  <c r="L172" i="10"/>
  <c r="N169" i="10"/>
  <c r="K166" i="10"/>
  <c r="M163" i="10"/>
  <c r="K160" i="10"/>
  <c r="N157" i="10"/>
  <c r="N154" i="10"/>
  <c r="B152" i="10"/>
  <c r="C149" i="10"/>
  <c r="G146" i="10"/>
  <c r="E143" i="10"/>
  <c r="F140" i="10"/>
  <c r="F137" i="10"/>
  <c r="H134" i="10"/>
  <c r="J131" i="10"/>
  <c r="I128" i="10"/>
  <c r="J125" i="10"/>
  <c r="I122" i="10"/>
  <c r="L119" i="10"/>
  <c r="N116" i="10"/>
  <c r="B114" i="10"/>
  <c r="N110" i="10"/>
  <c r="N107" i="10"/>
  <c r="F105" i="10"/>
  <c r="I102" i="10"/>
  <c r="J99" i="10"/>
  <c r="C97" i="10"/>
  <c r="E94" i="10"/>
  <c r="G91" i="10"/>
  <c r="K88" i="10"/>
  <c r="K85" i="10"/>
  <c r="E83" i="10"/>
  <c r="F80" i="10"/>
  <c r="G77" i="10"/>
  <c r="L74" i="10"/>
  <c r="M71" i="10"/>
  <c r="E69" i="10"/>
  <c r="M66" i="10"/>
  <c r="C64" i="10"/>
  <c r="J61" i="10"/>
  <c r="F59" i="10"/>
  <c r="L56" i="10"/>
  <c r="H54" i="10"/>
  <c r="C52" i="10"/>
  <c r="K49" i="10"/>
  <c r="G47" i="10"/>
  <c r="B45" i="10"/>
  <c r="J42" i="10"/>
  <c r="G40" i="10"/>
  <c r="N37" i="10"/>
  <c r="L35" i="10"/>
  <c r="H33" i="10"/>
  <c r="E31" i="10"/>
  <c r="C29" i="10"/>
  <c r="M26" i="10"/>
  <c r="H24" i="10"/>
  <c r="E22" i="10"/>
  <c r="J553" i="8"/>
  <c r="F551" i="8"/>
  <c r="C549" i="8"/>
  <c r="N546" i="8"/>
  <c r="J544" i="8"/>
  <c r="F542" i="8"/>
  <c r="M537" i="8"/>
  <c r="M535" i="8"/>
  <c r="L533" i="8"/>
  <c r="H531" i="8"/>
  <c r="H529" i="8"/>
  <c r="G527" i="8"/>
  <c r="E525" i="8"/>
  <c r="N520" i="8"/>
  <c r="B519" i="8"/>
  <c r="B517" i="8"/>
  <c r="B515" i="8"/>
  <c r="B513" i="8"/>
  <c r="B511" i="8"/>
  <c r="N508" i="8"/>
  <c r="N506" i="8"/>
  <c r="B505" i="8"/>
  <c r="N502" i="8"/>
  <c r="N500" i="8"/>
  <c r="B499" i="8"/>
  <c r="M496" i="8"/>
  <c r="N494" i="8"/>
  <c r="N492" i="8"/>
  <c r="M490" i="8"/>
  <c r="N488" i="8"/>
  <c r="L486" i="8"/>
  <c r="L484" i="8"/>
  <c r="M482" i="8"/>
  <c r="L480" i="8"/>
  <c r="M478" i="8"/>
  <c r="M476" i="8"/>
  <c r="K474" i="8"/>
  <c r="L472" i="8"/>
  <c r="L470" i="8"/>
  <c r="L468" i="8"/>
  <c r="L466" i="8"/>
  <c r="L464" i="8"/>
  <c r="K462" i="8"/>
  <c r="K460" i="8"/>
  <c r="K458" i="8"/>
  <c r="K456" i="8"/>
  <c r="K454" i="8"/>
  <c r="I452" i="8"/>
  <c r="J450" i="8"/>
  <c r="J448" i="8"/>
  <c r="J446" i="8"/>
  <c r="J444" i="8"/>
  <c r="K442" i="8"/>
  <c r="I440" i="8"/>
  <c r="I438" i="8"/>
  <c r="J436" i="8"/>
  <c r="I434" i="8"/>
  <c r="K432" i="8"/>
  <c r="M430" i="8"/>
  <c r="M428" i="8"/>
  <c r="N426" i="8"/>
  <c r="C425" i="8"/>
  <c r="F421" i="8"/>
  <c r="E419" i="8"/>
  <c r="G417" i="8"/>
  <c r="J415" i="8"/>
  <c r="L413" i="8"/>
  <c r="B412" i="8"/>
  <c r="E410" i="8"/>
  <c r="F408" i="8"/>
  <c r="I406" i="8"/>
  <c r="L404" i="8"/>
  <c r="N402" i="8"/>
  <c r="G399" i="8"/>
  <c r="H397" i="8"/>
  <c r="K395" i="8"/>
  <c r="N393" i="8"/>
  <c r="C392" i="8"/>
  <c r="F390" i="8"/>
  <c r="G388" i="8"/>
  <c r="J386" i="8"/>
  <c r="M384" i="8"/>
  <c r="B383" i="8"/>
  <c r="E381" i="8"/>
  <c r="H379" i="8"/>
  <c r="L377" i="8"/>
  <c r="B376" i="8"/>
  <c r="F374" i="8"/>
  <c r="J372" i="8"/>
  <c r="N370" i="8"/>
  <c r="H367" i="8"/>
  <c r="L365" i="8"/>
  <c r="C364" i="8"/>
  <c r="F362" i="8"/>
  <c r="I360" i="8"/>
  <c r="M358" i="8"/>
  <c r="E357" i="8"/>
  <c r="J355" i="8"/>
  <c r="N353" i="8"/>
  <c r="F352" i="8"/>
  <c r="K350" i="8"/>
  <c r="B349" i="8"/>
  <c r="G347" i="8"/>
  <c r="L345" i="8"/>
  <c r="I342" i="8"/>
  <c r="N340" i="8"/>
  <c r="F339" i="8"/>
  <c r="K337" i="8"/>
  <c r="C336" i="8"/>
  <c r="H334" i="8"/>
  <c r="L332" i="8"/>
  <c r="I329" i="8"/>
  <c r="N327" i="8"/>
  <c r="F326" i="8"/>
  <c r="K324" i="8"/>
  <c r="C323" i="8"/>
  <c r="H321" i="8"/>
  <c r="M319" i="8"/>
  <c r="I316" i="8"/>
  <c r="N314" i="8"/>
  <c r="F313" i="8"/>
  <c r="K311" i="8"/>
  <c r="C310" i="8"/>
  <c r="H308" i="8"/>
  <c r="M306" i="8"/>
  <c r="F305" i="8"/>
  <c r="L303" i="8"/>
  <c r="E302" i="8"/>
  <c r="K300" i="8"/>
  <c r="J297" i="8"/>
  <c r="C296" i="8"/>
  <c r="I294" i="8"/>
  <c r="B293" i="8"/>
  <c r="H291" i="8"/>
  <c r="N289" i="8"/>
  <c r="G288" i="8"/>
  <c r="M286" i="8"/>
  <c r="F285" i="8"/>
  <c r="L283" i="8"/>
  <c r="E282" i="8"/>
  <c r="F88" i="11"/>
  <c r="M82" i="11"/>
  <c r="L77" i="11"/>
  <c r="G72" i="11"/>
  <c r="E67" i="11"/>
  <c r="F62" i="11"/>
  <c r="G57" i="11"/>
  <c r="J52" i="11"/>
  <c r="M47" i="11"/>
  <c r="J43" i="11"/>
  <c r="J38" i="11"/>
  <c r="E34" i="11"/>
  <c r="B29" i="11"/>
  <c r="H24" i="11"/>
  <c r="H191" i="10"/>
  <c r="B187" i="10"/>
  <c r="C183" i="10"/>
  <c r="J178" i="10"/>
  <c r="L174" i="10"/>
  <c r="L170" i="10"/>
  <c r="C167" i="10"/>
  <c r="G163" i="10"/>
  <c r="L159" i="10"/>
  <c r="N155" i="10"/>
  <c r="I152" i="10"/>
  <c r="M148" i="10"/>
  <c r="E145" i="10"/>
  <c r="G141" i="10"/>
  <c r="N137" i="10"/>
  <c r="C134" i="10"/>
  <c r="H130" i="10"/>
  <c r="L126" i="10"/>
  <c r="E123" i="10"/>
  <c r="F119" i="10"/>
  <c r="L115" i="10"/>
  <c r="M111" i="10"/>
  <c r="H108" i="10"/>
  <c r="L104" i="10"/>
  <c r="F101" i="10"/>
  <c r="L97" i="10"/>
  <c r="J94" i="10"/>
  <c r="C91" i="10"/>
  <c r="I87" i="10"/>
  <c r="C84" i="10"/>
  <c r="K80" i="10"/>
  <c r="K73" i="10"/>
  <c r="E70" i="10"/>
  <c r="C67" i="10"/>
  <c r="M63" i="10"/>
  <c r="L60" i="10"/>
  <c r="J57" i="10"/>
  <c r="M54" i="10"/>
  <c r="J51" i="10"/>
  <c r="N48" i="10"/>
  <c r="L45" i="10"/>
  <c r="B43" i="10"/>
  <c r="L39" i="10"/>
  <c r="F37" i="10"/>
  <c r="G34" i="10"/>
  <c r="J31" i="10"/>
  <c r="K28" i="10"/>
  <c r="B26" i="10"/>
  <c r="C23" i="10"/>
  <c r="M553" i="8"/>
  <c r="C551" i="8"/>
  <c r="E548" i="8"/>
  <c r="G545" i="8"/>
  <c r="I542" i="8"/>
  <c r="M539" i="8"/>
  <c r="C537" i="8"/>
  <c r="G534" i="8"/>
  <c r="B532" i="8"/>
  <c r="E529" i="8"/>
  <c r="J526" i="8"/>
  <c r="M523" i="8"/>
  <c r="G521" i="8"/>
  <c r="K518" i="8"/>
  <c r="F516" i="8"/>
  <c r="K513" i="8"/>
  <c r="F511" i="8"/>
  <c r="J508" i="8"/>
  <c r="E506" i="8"/>
  <c r="J503" i="8"/>
  <c r="E501" i="8"/>
  <c r="I498" i="8"/>
  <c r="I493" i="8"/>
  <c r="E491" i="8"/>
  <c r="H488" i="8"/>
  <c r="J483" i="8"/>
  <c r="I478" i="8"/>
  <c r="C476" i="8"/>
  <c r="I473" i="8"/>
  <c r="B471" i="8"/>
  <c r="H468" i="8"/>
  <c r="B466" i="8"/>
  <c r="H463" i="8"/>
  <c r="N460" i="8"/>
  <c r="G458" i="8"/>
  <c r="N455" i="8"/>
  <c r="G453" i="8"/>
  <c r="M450" i="8"/>
  <c r="F448" i="8"/>
  <c r="B446" i="8"/>
  <c r="F443" i="8"/>
  <c r="N440" i="8"/>
  <c r="F438" i="8"/>
  <c r="N435" i="8"/>
  <c r="G433" i="8"/>
  <c r="C431" i="8"/>
  <c r="I428" i="8"/>
  <c r="F426" i="8"/>
  <c r="L423" i="8"/>
  <c r="I421" i="8"/>
  <c r="B419" i="8"/>
  <c r="L416" i="8"/>
  <c r="G414" i="8"/>
  <c r="E412" i="8"/>
  <c r="M409" i="8"/>
  <c r="L407" i="8"/>
  <c r="F405" i="8"/>
  <c r="E403" i="8"/>
  <c r="N400" i="8"/>
  <c r="K398" i="8"/>
  <c r="G396" i="8"/>
  <c r="M391" i="8"/>
  <c r="J389" i="8"/>
  <c r="F387" i="8"/>
  <c r="C385" i="8"/>
  <c r="L382" i="8"/>
  <c r="I380" i="8"/>
  <c r="F378" i="8"/>
  <c r="F376" i="8"/>
  <c r="C374" i="8"/>
  <c r="B372" i="8"/>
  <c r="L369" i="8"/>
  <c r="L367" i="8"/>
  <c r="I365" i="8"/>
  <c r="H363" i="8"/>
  <c r="C359" i="8"/>
  <c r="B357" i="8"/>
  <c r="N354" i="8"/>
  <c r="M352" i="8"/>
  <c r="N350" i="8"/>
  <c r="L348" i="8"/>
  <c r="M346" i="8"/>
  <c r="L344" i="8"/>
  <c r="L342" i="8"/>
  <c r="K340" i="8"/>
  <c r="L338" i="8"/>
  <c r="J336" i="8"/>
  <c r="K334" i="8"/>
  <c r="I332" i="8"/>
  <c r="J330" i="8"/>
  <c r="H328" i="8"/>
  <c r="I326" i="8"/>
  <c r="H324" i="8"/>
  <c r="H322" i="8"/>
  <c r="G320" i="8"/>
  <c r="H318" i="8"/>
  <c r="F316" i="8"/>
  <c r="G314" i="8"/>
  <c r="F312" i="8"/>
  <c r="F310" i="8"/>
  <c r="E308" i="8"/>
  <c r="F306" i="8"/>
  <c r="F304" i="8"/>
  <c r="H302" i="8"/>
  <c r="H300" i="8"/>
  <c r="J298" i="8"/>
  <c r="J296" i="8"/>
  <c r="L294" i="8"/>
  <c r="N292" i="8"/>
  <c r="G289" i="8"/>
  <c r="H287" i="8"/>
  <c r="K285" i="8"/>
  <c r="N283" i="8"/>
  <c r="C282" i="8"/>
  <c r="G280" i="8"/>
  <c r="K278" i="8"/>
  <c r="B277" i="8"/>
  <c r="H273" i="8"/>
  <c r="L271" i="8"/>
  <c r="C270" i="8"/>
  <c r="G268" i="8"/>
  <c r="K266" i="8"/>
  <c r="B265" i="8"/>
  <c r="F263" i="8"/>
  <c r="J261" i="8"/>
  <c r="L259" i="8"/>
  <c r="C258" i="8"/>
  <c r="G256" i="8"/>
  <c r="K254" i="8"/>
  <c r="C253" i="8"/>
  <c r="H251" i="8"/>
  <c r="M249" i="8"/>
  <c r="E248" i="8"/>
  <c r="J246" i="8"/>
  <c r="B245" i="8"/>
  <c r="G243" i="8"/>
  <c r="L241" i="8"/>
  <c r="J238" i="8"/>
  <c r="C237" i="8"/>
  <c r="I235" i="8"/>
  <c r="B234" i="8"/>
  <c r="H232" i="8"/>
  <c r="N230" i="8"/>
  <c r="G229" i="8"/>
  <c r="M227" i="8"/>
  <c r="F226" i="8"/>
  <c r="L224" i="8"/>
  <c r="E223" i="8"/>
  <c r="K221" i="8"/>
  <c r="J218" i="8"/>
  <c r="C217" i="8"/>
  <c r="I215" i="8"/>
  <c r="B214" i="8"/>
  <c r="H212" i="8"/>
  <c r="N210" i="8"/>
  <c r="G209" i="8"/>
  <c r="M207" i="8"/>
  <c r="F206" i="8"/>
  <c r="L204" i="8"/>
  <c r="E203" i="8"/>
  <c r="K201" i="8"/>
  <c r="J198" i="8"/>
  <c r="C197" i="8"/>
  <c r="I195" i="8"/>
  <c r="B194" i="8"/>
  <c r="H192" i="8"/>
  <c r="N190" i="8"/>
  <c r="G189" i="8"/>
  <c r="M187" i="8"/>
  <c r="F186" i="8"/>
  <c r="L184" i="8"/>
  <c r="E183" i="8"/>
  <c r="K181" i="8"/>
  <c r="J178" i="8"/>
  <c r="C177" i="8"/>
  <c r="I175" i="8"/>
  <c r="B174" i="8"/>
  <c r="H172" i="8"/>
  <c r="N170" i="8"/>
  <c r="G169" i="8"/>
  <c r="M167" i="8"/>
  <c r="F166" i="8"/>
  <c r="L164" i="8"/>
  <c r="E163" i="8"/>
  <c r="K161" i="8"/>
  <c r="J158" i="8"/>
  <c r="C157" i="8"/>
  <c r="I155" i="8"/>
  <c r="B154" i="8"/>
  <c r="H152" i="8"/>
  <c r="N150" i="8"/>
  <c r="G149" i="8"/>
  <c r="M147" i="8"/>
  <c r="F146" i="8"/>
  <c r="L144" i="8"/>
  <c r="E143" i="8"/>
  <c r="K141" i="8"/>
  <c r="D88" i="11"/>
  <c r="L82" i="11"/>
  <c r="J77" i="11"/>
  <c r="F72" i="11"/>
  <c r="D67" i="11"/>
  <c r="M61" i="11"/>
  <c r="F57" i="11"/>
  <c r="I52" i="11"/>
  <c r="L47" i="11"/>
  <c r="E38" i="11"/>
  <c r="D34" i="11"/>
  <c r="M28" i="11"/>
  <c r="F24" i="11"/>
  <c r="C195" i="10"/>
  <c r="G191" i="10"/>
  <c r="N186" i="10"/>
  <c r="B183" i="10"/>
  <c r="H178" i="10"/>
  <c r="K174" i="10"/>
  <c r="J170" i="10"/>
  <c r="N166" i="10"/>
  <c r="N162" i="10"/>
  <c r="J159" i="10"/>
  <c r="M155" i="10"/>
  <c r="E152" i="10"/>
  <c r="H148" i="10"/>
  <c r="B145" i="10"/>
  <c r="F141" i="10"/>
  <c r="J137" i="10"/>
  <c r="B134" i="10"/>
  <c r="G130" i="10"/>
  <c r="J126" i="10"/>
  <c r="C123" i="10"/>
  <c r="E119" i="10"/>
  <c r="K115" i="10"/>
  <c r="L111" i="10"/>
  <c r="F108" i="10"/>
  <c r="J104" i="10"/>
  <c r="E101" i="10"/>
  <c r="K97" i="10"/>
  <c r="G94" i="10"/>
  <c r="K90" i="10"/>
  <c r="H87" i="10"/>
  <c r="M83" i="10"/>
  <c r="J80" i="10"/>
  <c r="C77" i="10"/>
  <c r="J73" i="10"/>
  <c r="B67" i="10"/>
  <c r="L63" i="10"/>
  <c r="K60" i="10"/>
  <c r="I57" i="10"/>
  <c r="J54" i="10"/>
  <c r="I51" i="10"/>
  <c r="K48" i="10"/>
  <c r="K45" i="10"/>
  <c r="M42" i="10"/>
  <c r="K39" i="10"/>
  <c r="E37" i="10"/>
  <c r="I31" i="10"/>
  <c r="J28" i="10"/>
  <c r="N25" i="10"/>
  <c r="B23" i="10"/>
  <c r="L553" i="8"/>
  <c r="M550" i="8"/>
  <c r="F545" i="8"/>
  <c r="H542" i="8"/>
  <c r="L539" i="8"/>
  <c r="B537" i="8"/>
  <c r="F534" i="8"/>
  <c r="K531" i="8"/>
  <c r="B529" i="8"/>
  <c r="I526" i="8"/>
  <c r="L523" i="8"/>
  <c r="F521" i="8"/>
  <c r="J518" i="8"/>
  <c r="E516" i="8"/>
  <c r="J513" i="8"/>
  <c r="E511" i="8"/>
  <c r="I508" i="8"/>
  <c r="I503" i="8"/>
  <c r="H498" i="8"/>
  <c r="C496" i="8"/>
  <c r="H493" i="8"/>
  <c r="B491" i="8"/>
  <c r="G488" i="8"/>
  <c r="C486" i="8"/>
  <c r="F483" i="8"/>
  <c r="C481" i="8"/>
  <c r="H478" i="8"/>
  <c r="B476" i="8"/>
  <c r="H473" i="8"/>
  <c r="N470" i="8"/>
  <c r="G468" i="8"/>
  <c r="N465" i="8"/>
  <c r="F463" i="8"/>
  <c r="M460" i="8"/>
  <c r="F458" i="8"/>
  <c r="M455" i="8"/>
  <c r="E453" i="8"/>
  <c r="L450" i="8"/>
  <c r="E448" i="8"/>
  <c r="L445" i="8"/>
  <c r="M440" i="8"/>
  <c r="E438" i="8"/>
  <c r="M435" i="8"/>
  <c r="E433" i="8"/>
  <c r="B431" i="8"/>
  <c r="H428" i="8"/>
  <c r="E426" i="8"/>
  <c r="K423" i="8"/>
  <c r="H421" i="8"/>
  <c r="N418" i="8"/>
  <c r="K416" i="8"/>
  <c r="F414" i="8"/>
  <c r="L409" i="8"/>
  <c r="J407" i="8"/>
  <c r="E405" i="8"/>
  <c r="K400" i="8"/>
  <c r="J398" i="8"/>
  <c r="F396" i="8"/>
  <c r="C394" i="8"/>
  <c r="L391" i="8"/>
  <c r="I389" i="8"/>
  <c r="E387" i="8"/>
  <c r="B385" i="8"/>
  <c r="K382" i="8"/>
  <c r="H380" i="8"/>
  <c r="E378" i="8"/>
  <c r="E376" i="8"/>
  <c r="B374" i="8"/>
  <c r="N371" i="8"/>
  <c r="K369" i="8"/>
  <c r="J367" i="8"/>
  <c r="H365" i="8"/>
  <c r="G363" i="8"/>
  <c r="C361" i="8"/>
  <c r="B359" i="8"/>
  <c r="N356" i="8"/>
  <c r="M354" i="8"/>
  <c r="L352" i="8"/>
  <c r="M350" i="8"/>
  <c r="K348" i="8"/>
  <c r="L346" i="8"/>
  <c r="K344" i="8"/>
  <c r="K342" i="8"/>
  <c r="J340" i="8"/>
  <c r="K338" i="8"/>
  <c r="I336" i="8"/>
  <c r="J334" i="8"/>
  <c r="H332" i="8"/>
  <c r="H330" i="8"/>
  <c r="G328" i="8"/>
  <c r="H326" i="8"/>
  <c r="F324" i="8"/>
  <c r="G322" i="8"/>
  <c r="F320" i="8"/>
  <c r="G318" i="8"/>
  <c r="E316" i="8"/>
  <c r="F314" i="8"/>
  <c r="E312" i="8"/>
  <c r="E310" i="8"/>
  <c r="E306" i="8"/>
  <c r="E304" i="8"/>
  <c r="G302" i="8"/>
  <c r="G300" i="8"/>
  <c r="I298" i="8"/>
  <c r="I296" i="8"/>
  <c r="K294" i="8"/>
  <c r="M292" i="8"/>
  <c r="C291" i="8"/>
  <c r="F289" i="8"/>
  <c r="G287" i="8"/>
  <c r="J285" i="8"/>
  <c r="M283" i="8"/>
  <c r="B282" i="8"/>
  <c r="F280" i="8"/>
  <c r="J278" i="8"/>
  <c r="N276" i="8"/>
  <c r="C275" i="8"/>
  <c r="G273" i="8"/>
  <c r="K271" i="8"/>
  <c r="B270" i="8"/>
  <c r="F268" i="8"/>
  <c r="J266" i="8"/>
  <c r="N264" i="8"/>
  <c r="E263" i="8"/>
  <c r="I261" i="8"/>
  <c r="K259" i="8"/>
  <c r="B258" i="8"/>
  <c r="F256" i="8"/>
  <c r="J254" i="8"/>
  <c r="B253" i="8"/>
  <c r="G251" i="8"/>
  <c r="L249" i="8"/>
  <c r="I246" i="8"/>
  <c r="N244" i="8"/>
  <c r="F243" i="8"/>
  <c r="K241" i="8"/>
  <c r="C240" i="8"/>
  <c r="I238" i="8"/>
  <c r="B237" i="8"/>
  <c r="H235" i="8"/>
  <c r="N233" i="8"/>
  <c r="G232" i="8"/>
  <c r="M230" i="8"/>
  <c r="F229" i="8"/>
  <c r="L227" i="8"/>
  <c r="E226" i="8"/>
  <c r="K224" i="8"/>
  <c r="J221" i="8"/>
  <c r="C220" i="8"/>
  <c r="I218" i="8"/>
  <c r="B217" i="8"/>
  <c r="H215" i="8"/>
  <c r="N213" i="8"/>
  <c r="G212" i="8"/>
  <c r="M210" i="8"/>
  <c r="F209" i="8"/>
  <c r="L207" i="8"/>
  <c r="E206" i="8"/>
  <c r="K204" i="8"/>
  <c r="J201" i="8"/>
  <c r="C200" i="8"/>
  <c r="I198" i="8"/>
  <c r="B197" i="8"/>
  <c r="H195" i="8"/>
  <c r="N193" i="8"/>
  <c r="G192" i="8"/>
  <c r="M190" i="8"/>
  <c r="F189" i="8"/>
  <c r="L187" i="8"/>
  <c r="E186" i="8"/>
  <c r="K184" i="8"/>
  <c r="J181" i="8"/>
  <c r="C180" i="8"/>
  <c r="I178" i="8"/>
  <c r="B177" i="8"/>
  <c r="H175" i="8"/>
  <c r="N173" i="8"/>
  <c r="G172" i="8"/>
  <c r="M170" i="8"/>
  <c r="F169" i="8"/>
  <c r="L167" i="8"/>
  <c r="E166" i="8"/>
  <c r="K164" i="8"/>
  <c r="J161" i="8"/>
  <c r="C160" i="8"/>
  <c r="I158" i="8"/>
  <c r="B157" i="8"/>
  <c r="H155" i="8"/>
  <c r="N153" i="8"/>
  <c r="G152" i="8"/>
  <c r="M150" i="8"/>
  <c r="F149" i="8"/>
  <c r="L147" i="8"/>
  <c r="M85" i="11"/>
  <c r="L80" i="11"/>
  <c r="F75" i="11"/>
  <c r="H70" i="11"/>
  <c r="M64" i="11"/>
  <c r="H60" i="11"/>
  <c r="E55" i="11"/>
  <c r="L50" i="11"/>
  <c r="L45" i="11"/>
  <c r="F41" i="11"/>
  <c r="F36" i="11"/>
  <c r="M31" i="11"/>
  <c r="J26" i="11"/>
  <c r="F22" i="11"/>
  <c r="I193" i="10"/>
  <c r="J189" i="10"/>
  <c r="G185" i="10"/>
  <c r="G181" i="10"/>
  <c r="E177" i="10"/>
  <c r="E173" i="10"/>
  <c r="C169" i="10"/>
  <c r="I165" i="10"/>
  <c r="L161" i="10"/>
  <c r="C158" i="10"/>
  <c r="G154" i="10"/>
  <c r="N150" i="10"/>
  <c r="B147" i="10"/>
  <c r="H143" i="10"/>
  <c r="J139" i="10"/>
  <c r="G136" i="10"/>
  <c r="H132" i="10"/>
  <c r="M128" i="10"/>
  <c r="E125" i="10"/>
  <c r="I121" i="10"/>
  <c r="L117" i="10"/>
  <c r="E114" i="10"/>
  <c r="I110" i="10"/>
  <c r="N106" i="10"/>
  <c r="F103" i="10"/>
  <c r="M99" i="10"/>
  <c r="F96" i="10"/>
  <c r="C93" i="10"/>
  <c r="G89" i="10"/>
  <c r="C86" i="10"/>
  <c r="G82" i="10"/>
  <c r="G75" i="10"/>
  <c r="E72" i="10"/>
  <c r="L68" i="10"/>
  <c r="K65" i="10"/>
  <c r="H62" i="10"/>
  <c r="I59" i="10"/>
  <c r="G56" i="10"/>
  <c r="H53" i="10"/>
  <c r="G50" i="10"/>
  <c r="I47" i="10"/>
  <c r="I44" i="10"/>
  <c r="I41" i="10"/>
  <c r="L38" i="10"/>
  <c r="N35" i="10"/>
  <c r="C33" i="10"/>
  <c r="E30" i="10"/>
  <c r="H27" i="10"/>
  <c r="N24" i="10"/>
  <c r="L552" i="8"/>
  <c r="L549" i="8"/>
  <c r="C547" i="8"/>
  <c r="C544" i="8"/>
  <c r="I541" i="8"/>
  <c r="I538" i="8"/>
  <c r="B536" i="8"/>
  <c r="E533" i="8"/>
  <c r="L530" i="8"/>
  <c r="N527" i="8"/>
  <c r="G525" i="8"/>
  <c r="J522" i="8"/>
  <c r="E520" i="8"/>
  <c r="I517" i="8"/>
  <c r="E515" i="8"/>
  <c r="K512" i="8"/>
  <c r="J507" i="8"/>
  <c r="J502" i="8"/>
  <c r="C500" i="8"/>
  <c r="I497" i="8"/>
  <c r="C495" i="8"/>
  <c r="H492" i="8"/>
  <c r="B490" i="8"/>
  <c r="H487" i="8"/>
  <c r="B485" i="8"/>
  <c r="G482" i="8"/>
  <c r="N479" i="8"/>
  <c r="G477" i="8"/>
  <c r="C475" i="8"/>
  <c r="G472" i="8"/>
  <c r="B470" i="8"/>
  <c r="G467" i="8"/>
  <c r="B465" i="8"/>
  <c r="F462" i="8"/>
  <c r="N459" i="8"/>
  <c r="F457" i="8"/>
  <c r="N454" i="8"/>
  <c r="E452" i="8"/>
  <c r="M449" i="8"/>
  <c r="E447" i="8"/>
  <c r="L444" i="8"/>
  <c r="L439" i="8"/>
  <c r="C437" i="8"/>
  <c r="L434" i="8"/>
  <c r="E432" i="8"/>
  <c r="B430" i="8"/>
  <c r="J427" i="8"/>
  <c r="E425" i="8"/>
  <c r="M422" i="8"/>
  <c r="H420" i="8"/>
  <c r="C418" i="8"/>
  <c r="L415" i="8"/>
  <c r="H413" i="8"/>
  <c r="E411" i="8"/>
  <c r="N408" i="8"/>
  <c r="K406" i="8"/>
  <c r="G404" i="8"/>
  <c r="M399" i="8"/>
  <c r="J397" i="8"/>
  <c r="F395" i="8"/>
  <c r="E393" i="8"/>
  <c r="M390" i="8"/>
  <c r="K388" i="8"/>
  <c r="F386" i="8"/>
  <c r="L381" i="8"/>
  <c r="J379" i="8"/>
  <c r="G377" i="8"/>
  <c r="F375" i="8"/>
  <c r="C371" i="8"/>
  <c r="M368" i="8"/>
  <c r="L366" i="8"/>
  <c r="I364" i="8"/>
  <c r="H362" i="8"/>
  <c r="E360" i="8"/>
  <c r="C356" i="8"/>
  <c r="C354" i="8"/>
  <c r="N351" i="8"/>
  <c r="B350" i="8"/>
  <c r="N347" i="8"/>
  <c r="N345" i="8"/>
  <c r="M343" i="8"/>
  <c r="N341" i="8"/>
  <c r="L339" i="8"/>
  <c r="M337" i="8"/>
  <c r="L335" i="8"/>
  <c r="M333" i="8"/>
  <c r="J331" i="8"/>
  <c r="K329" i="8"/>
  <c r="J327" i="8"/>
  <c r="J325" i="8"/>
  <c r="I323" i="8"/>
  <c r="J321" i="8"/>
  <c r="H319" i="8"/>
  <c r="I317" i="8"/>
  <c r="H315" i="8"/>
  <c r="H313" i="8"/>
  <c r="G311" i="8"/>
  <c r="H309" i="8"/>
  <c r="F307" i="8"/>
  <c r="H305" i="8"/>
  <c r="H303" i="8"/>
  <c r="J301" i="8"/>
  <c r="J299" i="8"/>
  <c r="L297" i="8"/>
  <c r="L295" i="8"/>
  <c r="B294" i="8"/>
  <c r="C292" i="8"/>
  <c r="F290" i="8"/>
  <c r="I288" i="8"/>
  <c r="K286" i="8"/>
  <c r="N284" i="8"/>
  <c r="E281" i="8"/>
  <c r="I279" i="8"/>
  <c r="M277" i="8"/>
  <c r="H274" i="8"/>
  <c r="L272" i="8"/>
  <c r="C271" i="8"/>
  <c r="G269" i="8"/>
  <c r="K267" i="8"/>
  <c r="M265" i="8"/>
  <c r="H262" i="8"/>
  <c r="L260" i="8"/>
  <c r="C259" i="8"/>
  <c r="G257" i="8"/>
  <c r="K255" i="8"/>
  <c r="B254" i="8"/>
  <c r="G252" i="8"/>
  <c r="L250" i="8"/>
  <c r="C249" i="8"/>
  <c r="H247" i="8"/>
  <c r="M245" i="8"/>
  <c r="E244" i="8"/>
  <c r="J242" i="8"/>
  <c r="B241" i="8"/>
  <c r="H239" i="8"/>
  <c r="N237" i="8"/>
  <c r="G236" i="8"/>
  <c r="M234" i="8"/>
  <c r="F233" i="8"/>
  <c r="L231" i="8"/>
  <c r="E230" i="8"/>
  <c r="K228" i="8"/>
  <c r="J225" i="8"/>
  <c r="I90" i="11"/>
  <c r="L85" i="11"/>
  <c r="K80" i="11"/>
  <c r="B70" i="11"/>
  <c r="L64" i="11"/>
  <c r="M54" i="11"/>
  <c r="H50" i="11"/>
  <c r="K45" i="11"/>
  <c r="D41" i="11"/>
  <c r="E31" i="11"/>
  <c r="H26" i="11"/>
  <c r="F193" i="10"/>
  <c r="B189" i="10"/>
  <c r="E185" i="10"/>
  <c r="C177" i="10"/>
  <c r="K172" i="10"/>
  <c r="B169" i="10"/>
  <c r="H165" i="10"/>
  <c r="I161" i="10"/>
  <c r="K157" i="10"/>
  <c r="F154" i="10"/>
  <c r="K150" i="10"/>
  <c r="M146" i="10"/>
  <c r="C143" i="10"/>
  <c r="I139" i="10"/>
  <c r="B136" i="10"/>
  <c r="G128" i="10"/>
  <c r="B125" i="10"/>
  <c r="H121" i="10"/>
  <c r="K117" i="10"/>
  <c r="M113" i="10"/>
  <c r="G110" i="10"/>
  <c r="L106" i="10"/>
  <c r="C103" i="10"/>
  <c r="I99" i="10"/>
  <c r="E96" i="10"/>
  <c r="M92" i="10"/>
  <c r="J85" i="10"/>
  <c r="F82" i="10"/>
  <c r="B79" i="10"/>
  <c r="F75" i="10"/>
  <c r="L71" i="10"/>
  <c r="I68" i="10"/>
  <c r="J65" i="10"/>
  <c r="G62" i="10"/>
  <c r="E59" i="10"/>
  <c r="E56" i="10"/>
  <c r="G53" i="10"/>
  <c r="F50" i="10"/>
  <c r="F47" i="10"/>
  <c r="G44" i="10"/>
  <c r="H41" i="10"/>
  <c r="H38" i="10"/>
  <c r="K35" i="10"/>
  <c r="B33" i="10"/>
  <c r="G27" i="10"/>
  <c r="G24" i="10"/>
  <c r="K552" i="8"/>
  <c r="K549" i="8"/>
  <c r="L546" i="8"/>
  <c r="B544" i="8"/>
  <c r="H541" i="8"/>
  <c r="H538" i="8"/>
  <c r="L535" i="8"/>
  <c r="C533" i="8"/>
  <c r="J530" i="8"/>
  <c r="M527" i="8"/>
  <c r="H522" i="8"/>
  <c r="C520" i="8"/>
  <c r="H517" i="8"/>
  <c r="N514" i="8"/>
  <c r="G512" i="8"/>
  <c r="C510" i="8"/>
  <c r="I507" i="8"/>
  <c r="M504" i="8"/>
  <c r="H502" i="8"/>
  <c r="B500" i="8"/>
  <c r="H497" i="8"/>
  <c r="L494" i="8"/>
  <c r="G492" i="8"/>
  <c r="N489" i="8"/>
  <c r="G487" i="8"/>
  <c r="K484" i="8"/>
  <c r="F482" i="8"/>
  <c r="M479" i="8"/>
  <c r="F477" i="8"/>
  <c r="J474" i="8"/>
  <c r="E472" i="8"/>
  <c r="N469" i="8"/>
  <c r="F467" i="8"/>
  <c r="I464" i="8"/>
  <c r="E462" i="8"/>
  <c r="M459" i="8"/>
  <c r="J454" i="8"/>
  <c r="L449" i="8"/>
  <c r="C447" i="8"/>
  <c r="I444" i="8"/>
  <c r="C442" i="8"/>
  <c r="K439" i="8"/>
  <c r="B437" i="8"/>
  <c r="H434" i="8"/>
  <c r="N429" i="8"/>
  <c r="G427" i="8"/>
  <c r="N424" i="8"/>
  <c r="L422" i="8"/>
  <c r="G420" i="8"/>
  <c r="B418" i="8"/>
  <c r="I415" i="8"/>
  <c r="G413" i="8"/>
  <c r="M408" i="8"/>
  <c r="H406" i="8"/>
  <c r="F404" i="8"/>
  <c r="C402" i="8"/>
  <c r="L399" i="8"/>
  <c r="G397" i="8"/>
  <c r="E395" i="8"/>
  <c r="B393" i="8"/>
  <c r="K390" i="8"/>
  <c r="F388" i="8"/>
  <c r="E386" i="8"/>
  <c r="C384" i="8"/>
  <c r="K381" i="8"/>
  <c r="G379" i="8"/>
  <c r="F377" i="8"/>
  <c r="E375" i="8"/>
  <c r="B373" i="8"/>
  <c r="M370" i="8"/>
  <c r="L368" i="8"/>
  <c r="K366" i="8"/>
  <c r="H364" i="8"/>
  <c r="C358" i="8"/>
  <c r="B356" i="8"/>
  <c r="M353" i="8"/>
  <c r="M351" i="8"/>
  <c r="N349" i="8"/>
  <c r="M347" i="8"/>
  <c r="K345" i="8"/>
  <c r="L343" i="8"/>
  <c r="M341" i="8"/>
  <c r="K339" i="8"/>
  <c r="J337" i="8"/>
  <c r="K335" i="8"/>
  <c r="L333" i="8"/>
  <c r="I331" i="8"/>
  <c r="H329" i="8"/>
  <c r="I327" i="8"/>
  <c r="I325" i="8"/>
  <c r="H323" i="8"/>
  <c r="G321" i="8"/>
  <c r="G319" i="8"/>
  <c r="H317" i="8"/>
  <c r="G315" i="8"/>
  <c r="E313" i="8"/>
  <c r="F311" i="8"/>
  <c r="G309" i="8"/>
  <c r="E307" i="8"/>
  <c r="E305" i="8"/>
  <c r="G303" i="8"/>
  <c r="I301" i="8"/>
  <c r="I299" i="8"/>
  <c r="I297" i="8"/>
  <c r="K295" i="8"/>
  <c r="N293" i="8"/>
  <c r="B292" i="8"/>
  <c r="E290" i="8"/>
  <c r="H288" i="8"/>
  <c r="J286" i="8"/>
  <c r="M284" i="8"/>
  <c r="C283" i="8"/>
  <c r="H279" i="8"/>
  <c r="L277" i="8"/>
  <c r="C276" i="8"/>
  <c r="G274" i="8"/>
  <c r="K272" i="8"/>
  <c r="B271" i="8"/>
  <c r="F269" i="8"/>
  <c r="H267" i="8"/>
  <c r="L265" i="8"/>
  <c r="C264" i="8"/>
  <c r="G262" i="8"/>
  <c r="K260" i="8"/>
  <c r="B259" i="8"/>
  <c r="F257" i="8"/>
  <c r="J255" i="8"/>
  <c r="N253" i="8"/>
  <c r="F252" i="8"/>
  <c r="J250" i="8"/>
  <c r="B249" i="8"/>
  <c r="G247" i="8"/>
  <c r="L245" i="8"/>
  <c r="I242" i="8"/>
  <c r="N240" i="8"/>
  <c r="G239" i="8"/>
  <c r="M237" i="8"/>
  <c r="F236" i="8"/>
  <c r="L234" i="8"/>
  <c r="E233" i="8"/>
  <c r="K231" i="8"/>
  <c r="J228" i="8"/>
  <c r="C227" i="8"/>
  <c r="I225" i="8"/>
  <c r="B224" i="8"/>
  <c r="H222" i="8"/>
  <c r="N220" i="8"/>
  <c r="G219" i="8"/>
  <c r="M217" i="8"/>
  <c r="F216" i="8"/>
  <c r="L214" i="8"/>
  <c r="E213" i="8"/>
  <c r="K211" i="8"/>
  <c r="J208" i="8"/>
  <c r="C207" i="8"/>
  <c r="I205" i="8"/>
  <c r="B204" i="8"/>
  <c r="H202" i="8"/>
  <c r="N200" i="8"/>
  <c r="G199" i="8"/>
  <c r="M197" i="8"/>
  <c r="F196" i="8"/>
  <c r="L194" i="8"/>
  <c r="E193" i="8"/>
  <c r="K191" i="8"/>
  <c r="J188" i="8"/>
  <c r="C187" i="8"/>
  <c r="I185" i="8"/>
  <c r="K87" i="11"/>
  <c r="B81" i="11"/>
  <c r="I74" i="11"/>
  <c r="D68" i="11"/>
  <c r="H61" i="11"/>
  <c r="L55" i="11"/>
  <c r="H49" i="11"/>
  <c r="B44" i="11"/>
  <c r="L37" i="11"/>
  <c r="G32" i="11"/>
  <c r="E26" i="11"/>
  <c r="F190" i="10"/>
  <c r="I185" i="10"/>
  <c r="F180" i="10"/>
  <c r="I175" i="10"/>
  <c r="H170" i="10"/>
  <c r="K165" i="10"/>
  <c r="E161" i="10"/>
  <c r="I156" i="10"/>
  <c r="K151" i="10"/>
  <c r="G147" i="10"/>
  <c r="J142" i="10"/>
  <c r="E138" i="10"/>
  <c r="F133" i="10"/>
  <c r="C129" i="10"/>
  <c r="F124" i="10"/>
  <c r="E120" i="10"/>
  <c r="C115" i="10"/>
  <c r="K110" i="10"/>
  <c r="N105" i="10"/>
  <c r="N101" i="10"/>
  <c r="I97" i="10"/>
  <c r="G93" i="10"/>
  <c r="M88" i="10"/>
  <c r="J84" i="10"/>
  <c r="M79" i="10"/>
  <c r="L75" i="10"/>
  <c r="G71" i="10"/>
  <c r="G67" i="10"/>
  <c r="H63" i="10"/>
  <c r="K59" i="10"/>
  <c r="M55" i="10"/>
  <c r="H52" i="10"/>
  <c r="F48" i="10"/>
  <c r="L44" i="10"/>
  <c r="B41" i="10"/>
  <c r="I37" i="10"/>
  <c r="B34" i="10"/>
  <c r="K30" i="10"/>
  <c r="B27" i="10"/>
  <c r="J23" i="10"/>
  <c r="N553" i="8"/>
  <c r="F550" i="8"/>
  <c r="I546" i="8"/>
  <c r="F543" i="8"/>
  <c r="N539" i="8"/>
  <c r="H536" i="8"/>
  <c r="B533" i="8"/>
  <c r="L529" i="8"/>
  <c r="L526" i="8"/>
  <c r="F523" i="8"/>
  <c r="M519" i="8"/>
  <c r="M516" i="8"/>
  <c r="L513" i="8"/>
  <c r="I510" i="8"/>
  <c r="F507" i="8"/>
  <c r="G504" i="8"/>
  <c r="F501" i="8"/>
  <c r="K494" i="8"/>
  <c r="J491" i="8"/>
  <c r="L488" i="8"/>
  <c r="H485" i="8"/>
  <c r="E482" i="8"/>
  <c r="E479" i="8"/>
  <c r="N472" i="8"/>
  <c r="H469" i="8"/>
  <c r="J466" i="8"/>
  <c r="I463" i="8"/>
  <c r="E460" i="8"/>
  <c r="C457" i="8"/>
  <c r="B454" i="8"/>
  <c r="M447" i="8"/>
  <c r="H444" i="8"/>
  <c r="G441" i="8"/>
  <c r="G438" i="8"/>
  <c r="C432" i="8"/>
  <c r="F429" i="8"/>
  <c r="G426" i="8"/>
  <c r="F423" i="8"/>
  <c r="C420" i="8"/>
  <c r="E417" i="8"/>
  <c r="H414" i="8"/>
  <c r="K411" i="8"/>
  <c r="L408" i="8"/>
  <c r="B406" i="8"/>
  <c r="F403" i="8"/>
  <c r="G400" i="8"/>
  <c r="F397" i="8"/>
  <c r="I394" i="8"/>
  <c r="N391" i="8"/>
  <c r="B389" i="8"/>
  <c r="C386" i="8"/>
  <c r="G383" i="8"/>
  <c r="J380" i="8"/>
  <c r="N377" i="8"/>
  <c r="B375" i="8"/>
  <c r="H372" i="8"/>
  <c r="M369" i="8"/>
  <c r="G364" i="8"/>
  <c r="L361" i="8"/>
  <c r="E359" i="8"/>
  <c r="I356" i="8"/>
  <c r="L353" i="8"/>
  <c r="F351" i="8"/>
  <c r="M348" i="8"/>
  <c r="F346" i="8"/>
  <c r="K343" i="8"/>
  <c r="E341" i="8"/>
  <c r="M338" i="8"/>
  <c r="E336" i="8"/>
  <c r="H333" i="8"/>
  <c r="B331" i="8"/>
  <c r="I328" i="8"/>
  <c r="B326" i="8"/>
  <c r="G323" i="8"/>
  <c r="N320" i="8"/>
  <c r="I318" i="8"/>
  <c r="N315" i="8"/>
  <c r="L310" i="8"/>
  <c r="F308" i="8"/>
  <c r="L305" i="8"/>
  <c r="F303" i="8"/>
  <c r="B301" i="8"/>
  <c r="K298" i="8"/>
  <c r="E296" i="8"/>
  <c r="M293" i="8"/>
  <c r="J291" i="8"/>
  <c r="H289" i="8"/>
  <c r="C287" i="8"/>
  <c r="L284" i="8"/>
  <c r="I282" i="8"/>
  <c r="H280" i="8"/>
  <c r="B276" i="8"/>
  <c r="B274" i="8"/>
  <c r="M271" i="8"/>
  <c r="K269" i="8"/>
  <c r="G267" i="8"/>
  <c r="G265" i="8"/>
  <c r="G263" i="8"/>
  <c r="C261" i="8"/>
  <c r="N258" i="8"/>
  <c r="N256" i="8"/>
  <c r="L254" i="8"/>
  <c r="K252" i="8"/>
  <c r="I250" i="8"/>
  <c r="J248" i="8"/>
  <c r="K246" i="8"/>
  <c r="J244" i="8"/>
  <c r="H242" i="8"/>
  <c r="I240" i="8"/>
  <c r="K238" i="8"/>
  <c r="K236" i="8"/>
  <c r="K234" i="8"/>
  <c r="M232" i="8"/>
  <c r="B231" i="8"/>
  <c r="B229" i="8"/>
  <c r="B227" i="8"/>
  <c r="G223" i="8"/>
  <c r="H221" i="8"/>
  <c r="K219" i="8"/>
  <c r="N217" i="8"/>
  <c r="C216" i="8"/>
  <c r="F214" i="8"/>
  <c r="I212" i="8"/>
  <c r="J210" i="8"/>
  <c r="M208" i="8"/>
  <c r="B207" i="8"/>
  <c r="E205" i="8"/>
  <c r="H203" i="8"/>
  <c r="I201" i="8"/>
  <c r="L199" i="8"/>
  <c r="B198" i="8"/>
  <c r="G194" i="8"/>
  <c r="J192" i="8"/>
  <c r="K190" i="8"/>
  <c r="N188" i="8"/>
  <c r="F185" i="8"/>
  <c r="J183" i="8"/>
  <c r="N181" i="8"/>
  <c r="E180" i="8"/>
  <c r="G178" i="8"/>
  <c r="K176" i="8"/>
  <c r="B175" i="8"/>
  <c r="F173" i="8"/>
  <c r="J171" i="8"/>
  <c r="N169" i="8"/>
  <c r="E168" i="8"/>
  <c r="I166" i="8"/>
  <c r="M164" i="8"/>
  <c r="B163" i="8"/>
  <c r="F161" i="8"/>
  <c r="J159" i="8"/>
  <c r="N157" i="8"/>
  <c r="E156" i="8"/>
  <c r="I154" i="8"/>
  <c r="M152" i="8"/>
  <c r="H149" i="8"/>
  <c r="J147" i="8"/>
  <c r="B146" i="8"/>
  <c r="G144" i="8"/>
  <c r="L142" i="8"/>
  <c r="J139" i="8"/>
  <c r="C138" i="8"/>
  <c r="I136" i="8"/>
  <c r="B135" i="8"/>
  <c r="H133" i="8"/>
  <c r="N131" i="8"/>
  <c r="G130" i="8"/>
  <c r="M128" i="8"/>
  <c r="F127" i="8"/>
  <c r="L125" i="8"/>
  <c r="E124" i="8"/>
  <c r="K122" i="8"/>
  <c r="J119" i="8"/>
  <c r="C118" i="8"/>
  <c r="I116" i="8"/>
  <c r="B115" i="8"/>
  <c r="H113" i="8"/>
  <c r="N111" i="8"/>
  <c r="G110" i="8"/>
  <c r="M108" i="8"/>
  <c r="F107" i="8"/>
  <c r="L105" i="8"/>
  <c r="E104" i="8"/>
  <c r="F87" i="11"/>
  <c r="M80" i="11"/>
  <c r="L73" i="11"/>
  <c r="B68" i="11"/>
  <c r="G61" i="11"/>
  <c r="F55" i="11"/>
  <c r="G49" i="11"/>
  <c r="M43" i="11"/>
  <c r="K37" i="11"/>
  <c r="J195" i="10"/>
  <c r="E190" i="10"/>
  <c r="H185" i="10"/>
  <c r="E180" i="10"/>
  <c r="G175" i="10"/>
  <c r="F170" i="10"/>
  <c r="J165" i="10"/>
  <c r="H160" i="10"/>
  <c r="H156" i="10"/>
  <c r="J151" i="10"/>
  <c r="H142" i="10"/>
  <c r="E133" i="10"/>
  <c r="B129" i="10"/>
  <c r="E124" i="10"/>
  <c r="J119" i="10"/>
  <c r="B115" i="10"/>
  <c r="J110" i="10"/>
  <c r="M105" i="10"/>
  <c r="M101" i="10"/>
  <c r="H97" i="10"/>
  <c r="H88" i="10"/>
  <c r="I84" i="10"/>
  <c r="L79" i="10"/>
  <c r="K75" i="10"/>
  <c r="F71" i="10"/>
  <c r="F67" i="10"/>
  <c r="F63" i="10"/>
  <c r="J59" i="10"/>
  <c r="L55" i="10"/>
  <c r="M51" i="10"/>
  <c r="E48" i="10"/>
  <c r="J44" i="10"/>
  <c r="L40" i="10"/>
  <c r="H37" i="10"/>
  <c r="M33" i="10"/>
  <c r="J30" i="10"/>
  <c r="L26" i="10"/>
  <c r="I23" i="10"/>
  <c r="I553" i="8"/>
  <c r="E550" i="8"/>
  <c r="H546" i="8"/>
  <c r="E543" i="8"/>
  <c r="H539" i="8"/>
  <c r="F536" i="8"/>
  <c r="N532" i="8"/>
  <c r="K529" i="8"/>
  <c r="F526" i="8"/>
  <c r="C523" i="8"/>
  <c r="L519" i="8"/>
  <c r="K516" i="8"/>
  <c r="I513" i="8"/>
  <c r="H510" i="8"/>
  <c r="E507" i="8"/>
  <c r="F504" i="8"/>
  <c r="M500" i="8"/>
  <c r="C498" i="8"/>
  <c r="J494" i="8"/>
  <c r="I491" i="8"/>
  <c r="F488" i="8"/>
  <c r="G485" i="8"/>
  <c r="C479" i="8"/>
  <c r="N475" i="8"/>
  <c r="K472" i="8"/>
  <c r="G469" i="8"/>
  <c r="I466" i="8"/>
  <c r="E463" i="8"/>
  <c r="B457" i="8"/>
  <c r="N453" i="8"/>
  <c r="I450" i="8"/>
  <c r="L447" i="8"/>
  <c r="G444" i="8"/>
  <c r="F441" i="8"/>
  <c r="C438" i="8"/>
  <c r="C435" i="8"/>
  <c r="B432" i="8"/>
  <c r="E429" i="8"/>
  <c r="C423" i="8"/>
  <c r="B420" i="8"/>
  <c r="E414" i="8"/>
  <c r="H411" i="8"/>
  <c r="K408" i="8"/>
  <c r="N405" i="8"/>
  <c r="M402" i="8"/>
  <c r="F400" i="8"/>
  <c r="E397" i="8"/>
  <c r="H394" i="8"/>
  <c r="K391" i="8"/>
  <c r="N388" i="8"/>
  <c r="B386" i="8"/>
  <c r="F383" i="8"/>
  <c r="G380" i="8"/>
  <c r="J377" i="8"/>
  <c r="N374" i="8"/>
  <c r="G372" i="8"/>
  <c r="J369" i="8"/>
  <c r="C367" i="8"/>
  <c r="F364" i="8"/>
  <c r="K361" i="8"/>
  <c r="L358" i="8"/>
  <c r="H356" i="8"/>
  <c r="J353" i="8"/>
  <c r="E351" i="8"/>
  <c r="J348" i="8"/>
  <c r="E346" i="8"/>
  <c r="J343" i="8"/>
  <c r="J338" i="8"/>
  <c r="B336" i="8"/>
  <c r="G333" i="8"/>
  <c r="N330" i="8"/>
  <c r="F328" i="8"/>
  <c r="M325" i="8"/>
  <c r="F323" i="8"/>
  <c r="M320" i="8"/>
  <c r="C318" i="8"/>
  <c r="M315" i="8"/>
  <c r="C313" i="8"/>
  <c r="K310" i="8"/>
  <c r="C308" i="8"/>
  <c r="K305" i="8"/>
  <c r="E303" i="8"/>
  <c r="N300" i="8"/>
  <c r="H298" i="8"/>
  <c r="B296" i="8"/>
  <c r="J293" i="8"/>
  <c r="I291" i="8"/>
  <c r="E289" i="8"/>
  <c r="B287" i="8"/>
  <c r="K284" i="8"/>
  <c r="H282" i="8"/>
  <c r="E280" i="8"/>
  <c r="C278" i="8"/>
  <c r="N275" i="8"/>
  <c r="N273" i="8"/>
  <c r="J271" i="8"/>
  <c r="J269" i="8"/>
  <c r="F267" i="8"/>
  <c r="F265" i="8"/>
  <c r="B261" i="8"/>
  <c r="M258" i="8"/>
  <c r="K256" i="8"/>
  <c r="I254" i="8"/>
  <c r="J252" i="8"/>
  <c r="H250" i="8"/>
  <c r="I248" i="8"/>
  <c r="H246" i="8"/>
  <c r="H244" i="8"/>
  <c r="G242" i="8"/>
  <c r="H240" i="8"/>
  <c r="H238" i="8"/>
  <c r="J236" i="8"/>
  <c r="J234" i="8"/>
  <c r="L232" i="8"/>
  <c r="L230" i="8"/>
  <c r="N228" i="8"/>
  <c r="N226" i="8"/>
  <c r="C225" i="8"/>
  <c r="F223" i="8"/>
  <c r="G221" i="8"/>
  <c r="J219" i="8"/>
  <c r="L217" i="8"/>
  <c r="B216" i="8"/>
  <c r="E214" i="8"/>
  <c r="F212" i="8"/>
  <c r="I210" i="8"/>
  <c r="L208" i="8"/>
  <c r="N206" i="8"/>
  <c r="G203" i="8"/>
  <c r="H201" i="8"/>
  <c r="K199" i="8"/>
  <c r="N197" i="8"/>
  <c r="C196" i="8"/>
  <c r="F194" i="8"/>
  <c r="I192" i="8"/>
  <c r="J190" i="8"/>
  <c r="M188" i="8"/>
  <c r="B187" i="8"/>
  <c r="E185" i="8"/>
  <c r="I183" i="8"/>
  <c r="M181" i="8"/>
  <c r="B180" i="8"/>
  <c r="F178" i="8"/>
  <c r="J176" i="8"/>
  <c r="N174" i="8"/>
  <c r="E173" i="8"/>
  <c r="I171" i="8"/>
  <c r="M169" i="8"/>
  <c r="H166" i="8"/>
  <c r="J164" i="8"/>
  <c r="N162" i="8"/>
  <c r="E161" i="8"/>
  <c r="I159" i="8"/>
  <c r="M157" i="8"/>
  <c r="H154" i="8"/>
  <c r="L152" i="8"/>
  <c r="C151" i="8"/>
  <c r="E149" i="8"/>
  <c r="I147" i="8"/>
  <c r="N145" i="8"/>
  <c r="F144" i="8"/>
  <c r="K142" i="8"/>
  <c r="C141" i="8"/>
  <c r="I139" i="8"/>
  <c r="B138" i="8"/>
  <c r="H136" i="8"/>
  <c r="N134" i="8"/>
  <c r="G133" i="8"/>
  <c r="M131" i="8"/>
  <c r="F130" i="8"/>
  <c r="L128" i="8"/>
  <c r="E127" i="8"/>
  <c r="K125" i="8"/>
  <c r="J122" i="8"/>
  <c r="C121" i="8"/>
  <c r="I119" i="8"/>
  <c r="B118" i="8"/>
  <c r="H116" i="8"/>
  <c r="N114" i="8"/>
  <c r="G113" i="8"/>
  <c r="M111" i="8"/>
  <c r="F110" i="8"/>
  <c r="J86" i="11"/>
  <c r="K79" i="11"/>
  <c r="J73" i="11"/>
  <c r="B67" i="11"/>
  <c r="L60" i="11"/>
  <c r="K54" i="11"/>
  <c r="D49" i="11"/>
  <c r="I42" i="11"/>
  <c r="F37" i="11"/>
  <c r="B25" i="11"/>
  <c r="B195" i="10"/>
  <c r="N189" i="10"/>
  <c r="J184" i="10"/>
  <c r="M179" i="10"/>
  <c r="I174" i="10"/>
  <c r="G169" i="10"/>
  <c r="L164" i="10"/>
  <c r="F160" i="10"/>
  <c r="J155" i="10"/>
  <c r="F151" i="10"/>
  <c r="K146" i="10"/>
  <c r="C137" i="10"/>
  <c r="B86" i="11"/>
  <c r="H79" i="11"/>
  <c r="M72" i="11"/>
  <c r="E66" i="11"/>
  <c r="I60" i="11"/>
  <c r="K48" i="11"/>
  <c r="E42" i="11"/>
  <c r="I36" i="11"/>
  <c r="J30" i="11"/>
  <c r="J24" i="11"/>
  <c r="K194" i="10"/>
  <c r="L189" i="10"/>
  <c r="E184" i="10"/>
  <c r="E179" i="10"/>
  <c r="J84" i="11"/>
  <c r="B78" i="11"/>
  <c r="D71" i="11"/>
  <c r="B65" i="11"/>
  <c r="I53" i="11"/>
  <c r="F47" i="11"/>
  <c r="H41" i="11"/>
  <c r="L29" i="11"/>
  <c r="E23" i="11"/>
  <c r="J193" i="10"/>
  <c r="J188" i="10"/>
  <c r="G183" i="10"/>
  <c r="F173" i="10"/>
  <c r="F168" i="10"/>
  <c r="K163" i="10"/>
  <c r="H154" i="10"/>
  <c r="M149" i="10"/>
  <c r="G145" i="10"/>
  <c r="I140" i="10"/>
  <c r="H136" i="10"/>
  <c r="I131" i="10"/>
  <c r="F127" i="10"/>
  <c r="E122" i="10"/>
  <c r="M117" i="10"/>
  <c r="N108" i="10"/>
  <c r="G104" i="10"/>
  <c r="E100" i="10"/>
  <c r="K95" i="10"/>
  <c r="E91" i="10"/>
  <c r="L86" i="10"/>
  <c r="H82" i="10"/>
  <c r="F78" i="10"/>
  <c r="C74" i="10"/>
  <c r="I69" i="10"/>
  <c r="L65" i="10"/>
  <c r="I61" i="10"/>
  <c r="E58" i="10"/>
  <c r="E54" i="10"/>
  <c r="J50" i="10"/>
  <c r="K46" i="10"/>
  <c r="E43" i="10"/>
  <c r="H39" i="10"/>
  <c r="B36" i="10"/>
  <c r="J32" i="10"/>
  <c r="B29" i="10"/>
  <c r="F25" i="10"/>
  <c r="B22" i="10"/>
  <c r="C552" i="8"/>
  <c r="L548" i="8"/>
  <c r="L541" i="8"/>
  <c r="F538" i="8"/>
  <c r="C535" i="8"/>
  <c r="G531" i="8"/>
  <c r="I528" i="8"/>
  <c r="N524" i="8"/>
  <c r="K521" i="8"/>
  <c r="I518" i="8"/>
  <c r="H515" i="8"/>
  <c r="E512" i="8"/>
  <c r="F509" i="8"/>
  <c r="C506" i="8"/>
  <c r="M502" i="8"/>
  <c r="J499" i="8"/>
  <c r="J496" i="8"/>
  <c r="G493" i="8"/>
  <c r="H490" i="8"/>
  <c r="E487" i="8"/>
  <c r="K480" i="8"/>
  <c r="M477" i="8"/>
  <c r="H474" i="8"/>
  <c r="G471" i="8"/>
  <c r="F468" i="8"/>
  <c r="E465" i="8"/>
  <c r="B462" i="8"/>
  <c r="B459" i="8"/>
  <c r="L455" i="8"/>
  <c r="H452" i="8"/>
  <c r="G449" i="8"/>
  <c r="F446" i="8"/>
  <c r="C443" i="8"/>
  <c r="C440" i="8"/>
  <c r="M436" i="8"/>
  <c r="M433" i="8"/>
  <c r="J430" i="8"/>
  <c r="B428" i="8"/>
  <c r="L424" i="8"/>
  <c r="N421" i="8"/>
  <c r="M418" i="8"/>
  <c r="B416" i="8"/>
  <c r="E413" i="8"/>
  <c r="H410" i="8"/>
  <c r="I407" i="8"/>
  <c r="K404" i="8"/>
  <c r="L401" i="8"/>
  <c r="B399" i="8"/>
  <c r="C396" i="8"/>
  <c r="H393" i="8"/>
  <c r="I390" i="8"/>
  <c r="M387" i="8"/>
  <c r="L384" i="8"/>
  <c r="J376" i="8"/>
  <c r="N373" i="8"/>
  <c r="F371" i="8"/>
  <c r="J368" i="8"/>
  <c r="B366" i="8"/>
  <c r="F363" i="8"/>
  <c r="H360" i="8"/>
  <c r="L357" i="8"/>
  <c r="F355" i="8"/>
  <c r="K352" i="8"/>
  <c r="E350" i="8"/>
  <c r="K347" i="8"/>
  <c r="E345" i="8"/>
  <c r="H342" i="8"/>
  <c r="E340" i="8"/>
  <c r="H337" i="8"/>
  <c r="B335" i="8"/>
  <c r="G332" i="8"/>
  <c r="N329" i="8"/>
  <c r="F327" i="8"/>
  <c r="N324" i="8"/>
  <c r="F322" i="8"/>
  <c r="K319" i="8"/>
  <c r="K314" i="8"/>
  <c r="K309" i="8"/>
  <c r="C307" i="8"/>
  <c r="L304" i="8"/>
  <c r="B300" i="8"/>
  <c r="G297" i="8"/>
  <c r="C295" i="8"/>
  <c r="L292" i="8"/>
  <c r="I290" i="8"/>
  <c r="E288" i="8"/>
  <c r="K283" i="8"/>
  <c r="J281" i="8"/>
  <c r="F279" i="8"/>
  <c r="F277" i="8"/>
  <c r="B275" i="8"/>
  <c r="B273" i="8"/>
  <c r="M270" i="8"/>
  <c r="K268" i="8"/>
  <c r="I266" i="8"/>
  <c r="G264" i="8"/>
  <c r="E262" i="8"/>
  <c r="E260" i="8"/>
  <c r="N257" i="8"/>
  <c r="N255" i="8"/>
  <c r="K253" i="8"/>
  <c r="L251" i="8"/>
  <c r="K249" i="8"/>
  <c r="L247" i="8"/>
  <c r="J245" i="8"/>
  <c r="K243" i="8"/>
  <c r="J241" i="8"/>
  <c r="K239" i="8"/>
  <c r="K237" i="8"/>
  <c r="M235" i="8"/>
  <c r="M233" i="8"/>
  <c r="B232" i="8"/>
  <c r="B230" i="8"/>
  <c r="F224" i="8"/>
  <c r="I222" i="8"/>
  <c r="K220" i="8"/>
  <c r="N218" i="8"/>
  <c r="E215" i="8"/>
  <c r="H213" i="8"/>
  <c r="J211" i="8"/>
  <c r="M209" i="8"/>
  <c r="C208" i="8"/>
  <c r="G204" i="8"/>
  <c r="J202" i="8"/>
  <c r="L200" i="8"/>
  <c r="B199" i="8"/>
  <c r="E197" i="8"/>
  <c r="F195" i="8"/>
  <c r="I193" i="8"/>
  <c r="L191" i="8"/>
  <c r="N189" i="8"/>
  <c r="G186" i="8"/>
  <c r="H184" i="8"/>
  <c r="L182" i="8"/>
  <c r="C181" i="8"/>
  <c r="G179" i="8"/>
  <c r="K177" i="8"/>
  <c r="B176" i="8"/>
  <c r="F174" i="8"/>
  <c r="J172" i="8"/>
  <c r="L170" i="8"/>
  <c r="C169" i="8"/>
  <c r="G167" i="8"/>
  <c r="K165" i="8"/>
  <c r="B164" i="8"/>
  <c r="F162" i="8"/>
  <c r="J160" i="8"/>
  <c r="N158" i="8"/>
  <c r="E157" i="8"/>
  <c r="G155" i="8"/>
  <c r="K153" i="8"/>
  <c r="B152" i="8"/>
  <c r="F150" i="8"/>
  <c r="J148" i="8"/>
  <c r="N146" i="8"/>
  <c r="F145" i="8"/>
  <c r="K143" i="8"/>
  <c r="C142" i="8"/>
  <c r="H140" i="8"/>
  <c r="N138" i="8"/>
  <c r="G137" i="8"/>
  <c r="M135" i="8"/>
  <c r="F134" i="8"/>
  <c r="L132" i="8"/>
  <c r="E131" i="8"/>
  <c r="K129" i="8"/>
  <c r="J126" i="8"/>
  <c r="C125" i="8"/>
  <c r="I123" i="8"/>
  <c r="B122" i="8"/>
  <c r="H120" i="8"/>
  <c r="N118" i="8"/>
  <c r="G117" i="8"/>
  <c r="M115" i="8"/>
  <c r="F114" i="8"/>
  <c r="L112" i="8"/>
  <c r="E111" i="8"/>
  <c r="K109" i="8"/>
  <c r="H90" i="11"/>
  <c r="G84" i="11"/>
  <c r="M77" i="11"/>
  <c r="M70" i="11"/>
  <c r="I64" i="11"/>
  <c r="M58" i="11"/>
  <c r="K40" i="11"/>
  <c r="L34" i="11"/>
  <c r="D23" i="11"/>
  <c r="C193" i="10"/>
  <c r="F183" i="10"/>
  <c r="C178" i="10"/>
  <c r="J172" i="10"/>
  <c r="N167" i="10"/>
  <c r="H163" i="10"/>
  <c r="K158" i="10"/>
  <c r="J149" i="10"/>
  <c r="F145" i="10"/>
  <c r="H140" i="10"/>
  <c r="G135" i="10"/>
  <c r="E131" i="10"/>
  <c r="M126" i="10"/>
  <c r="H117" i="10"/>
  <c r="B113" i="10"/>
  <c r="I108" i="10"/>
  <c r="F104" i="10"/>
  <c r="H99" i="10"/>
  <c r="E95" i="10"/>
  <c r="K86" i="10"/>
  <c r="E82" i="10"/>
  <c r="E78" i="10"/>
  <c r="L73" i="10"/>
  <c r="H69" i="10"/>
  <c r="H61" i="10"/>
  <c r="K57" i="10"/>
  <c r="L53" i="10"/>
  <c r="E50" i="10"/>
  <c r="J46" i="10"/>
  <c r="C43" i="10"/>
  <c r="F39" i="10"/>
  <c r="J35" i="10"/>
  <c r="B32" i="10"/>
  <c r="L28" i="10"/>
  <c r="E25" i="10"/>
  <c r="B552" i="8"/>
  <c r="K548" i="8"/>
  <c r="C545" i="8"/>
  <c r="K541" i="8"/>
  <c r="E538" i="8"/>
  <c r="N534" i="8"/>
  <c r="F531" i="8"/>
  <c r="C528" i="8"/>
  <c r="M524" i="8"/>
  <c r="J521" i="8"/>
  <c r="G518" i="8"/>
  <c r="G515" i="8"/>
  <c r="E509" i="8"/>
  <c r="M505" i="8"/>
  <c r="L502" i="8"/>
  <c r="I499" i="8"/>
  <c r="I496" i="8"/>
  <c r="E493" i="8"/>
  <c r="C487" i="8"/>
  <c r="B484" i="8"/>
  <c r="J480" i="8"/>
  <c r="J477" i="8"/>
  <c r="G474" i="8"/>
  <c r="F471" i="8"/>
  <c r="E468" i="8"/>
  <c r="N461" i="8"/>
  <c r="N458" i="8"/>
  <c r="H455" i="8"/>
  <c r="G452" i="8"/>
  <c r="E446" i="8"/>
  <c r="B443" i="8"/>
  <c r="B440" i="8"/>
  <c r="L436" i="8"/>
  <c r="L433" i="8"/>
  <c r="I430" i="8"/>
  <c r="L427" i="8"/>
  <c r="K424" i="8"/>
  <c r="M421" i="8"/>
  <c r="L418" i="8"/>
  <c r="N415" i="8"/>
  <c r="B413" i="8"/>
  <c r="G410" i="8"/>
  <c r="F407" i="8"/>
  <c r="I404" i="8"/>
  <c r="K401" i="8"/>
  <c r="N398" i="8"/>
  <c r="B396" i="8"/>
  <c r="G393" i="8"/>
  <c r="H390" i="8"/>
  <c r="L387" i="8"/>
  <c r="K384" i="8"/>
  <c r="N381" i="8"/>
  <c r="C379" i="8"/>
  <c r="I376" i="8"/>
  <c r="L373" i="8"/>
  <c r="E371" i="8"/>
  <c r="I368" i="8"/>
  <c r="N365" i="8"/>
  <c r="N362" i="8"/>
  <c r="G360" i="8"/>
  <c r="K357" i="8"/>
  <c r="J352" i="8"/>
  <c r="J347" i="8"/>
  <c r="G342" i="8"/>
  <c r="B340" i="8"/>
  <c r="G337" i="8"/>
  <c r="N334" i="8"/>
  <c r="F332" i="8"/>
  <c r="M329" i="8"/>
  <c r="E327" i="8"/>
  <c r="M324" i="8"/>
  <c r="C322" i="8"/>
  <c r="J319" i="8"/>
  <c r="C317" i="8"/>
  <c r="J314" i="8"/>
  <c r="B312" i="8"/>
  <c r="J309" i="8"/>
  <c r="B307" i="8"/>
  <c r="K304" i="8"/>
  <c r="C302" i="8"/>
  <c r="L299" i="8"/>
  <c r="F297" i="8"/>
  <c r="B295" i="8"/>
  <c r="K292" i="8"/>
  <c r="H290" i="8"/>
  <c r="N285" i="8"/>
  <c r="J283" i="8"/>
  <c r="I281" i="8"/>
  <c r="E279" i="8"/>
  <c r="E277" i="8"/>
  <c r="N274" i="8"/>
  <c r="N272" i="8"/>
  <c r="L270" i="8"/>
  <c r="J268" i="8"/>
  <c r="H266" i="8"/>
  <c r="F264" i="8"/>
  <c r="M257" i="8"/>
  <c r="M255" i="8"/>
  <c r="J253" i="8"/>
  <c r="K251" i="8"/>
  <c r="J249" i="8"/>
  <c r="K247" i="8"/>
  <c r="I245" i="8"/>
  <c r="J243" i="8"/>
  <c r="I241" i="8"/>
  <c r="J239" i="8"/>
  <c r="J237" i="8"/>
  <c r="L235" i="8"/>
  <c r="L233" i="8"/>
  <c r="N231" i="8"/>
  <c r="N229" i="8"/>
  <c r="C228" i="8"/>
  <c r="C226" i="8"/>
  <c r="E224" i="8"/>
  <c r="G222" i="8"/>
  <c r="J220" i="8"/>
  <c r="F86" i="11"/>
  <c r="F68" i="11"/>
  <c r="K58" i="11"/>
  <c r="M50" i="11"/>
  <c r="E33" i="11"/>
  <c r="M24" i="11"/>
  <c r="I192" i="10"/>
  <c r="K185" i="10"/>
  <c r="N177" i="10"/>
  <c r="K171" i="10"/>
  <c r="I164" i="10"/>
  <c r="J158" i="10"/>
  <c r="N152" i="10"/>
  <c r="J146" i="10"/>
  <c r="E140" i="10"/>
  <c r="L134" i="10"/>
  <c r="F128" i="10"/>
  <c r="G123" i="10"/>
  <c r="J111" i="10"/>
  <c r="L105" i="10"/>
  <c r="K100" i="10"/>
  <c r="C95" i="10"/>
  <c r="I89" i="10"/>
  <c r="K78" i="10"/>
  <c r="B73" i="10"/>
  <c r="H58" i="10"/>
  <c r="J53" i="10"/>
  <c r="E49" i="10"/>
  <c r="F44" i="10"/>
  <c r="B40" i="10"/>
  <c r="E35" i="10"/>
  <c r="C31" i="10"/>
  <c r="I26" i="10"/>
  <c r="I22" i="10"/>
  <c r="M551" i="8"/>
  <c r="J547" i="8"/>
  <c r="I543" i="8"/>
  <c r="M534" i="8"/>
  <c r="M530" i="8"/>
  <c r="M526" i="8"/>
  <c r="F522" i="8"/>
  <c r="F518" i="8"/>
  <c r="I514" i="8"/>
  <c r="J510" i="8"/>
  <c r="K506" i="8"/>
  <c r="K502" i="8"/>
  <c r="K498" i="8"/>
  <c r="L490" i="8"/>
  <c r="K486" i="8"/>
  <c r="C483" i="8"/>
  <c r="F479" i="8"/>
  <c r="F475" i="8"/>
  <c r="E471" i="8"/>
  <c r="H467" i="8"/>
  <c r="M463" i="8"/>
  <c r="F459" i="8"/>
  <c r="G455" i="8"/>
  <c r="K451" i="8"/>
  <c r="N447" i="8"/>
  <c r="M443" i="8"/>
  <c r="N439" i="8"/>
  <c r="C436" i="8"/>
  <c r="H432" i="8"/>
  <c r="G428" i="8"/>
  <c r="J424" i="8"/>
  <c r="M420" i="8"/>
  <c r="F417" i="8"/>
  <c r="K413" i="8"/>
  <c r="L406" i="8"/>
  <c r="G403" i="8"/>
  <c r="J399" i="8"/>
  <c r="N395" i="8"/>
  <c r="I392" i="8"/>
  <c r="C389" i="8"/>
  <c r="I385" i="8"/>
  <c r="M381" i="8"/>
  <c r="K378" i="8"/>
  <c r="H375" i="8"/>
  <c r="M371" i="8"/>
  <c r="G368" i="8"/>
  <c r="M361" i="8"/>
  <c r="H358" i="8"/>
  <c r="C355" i="8"/>
  <c r="B352" i="8"/>
  <c r="N348" i="8"/>
  <c r="I345" i="8"/>
  <c r="F342" i="8"/>
  <c r="E339" i="8"/>
  <c r="F336" i="8"/>
  <c r="B333" i="8"/>
  <c r="L329" i="8"/>
  <c r="K326" i="8"/>
  <c r="J323" i="8"/>
  <c r="E320" i="8"/>
  <c r="B317" i="8"/>
  <c r="N313" i="8"/>
  <c r="B311" i="8"/>
  <c r="L307" i="8"/>
  <c r="J304" i="8"/>
  <c r="K301" i="8"/>
  <c r="L298" i="8"/>
  <c r="I295" i="8"/>
  <c r="J292" i="8"/>
  <c r="M289" i="8"/>
  <c r="E284" i="8"/>
  <c r="F281" i="8"/>
  <c r="M278" i="8"/>
  <c r="E276" i="8"/>
  <c r="F273" i="8"/>
  <c r="I270" i="8"/>
  <c r="C268" i="8"/>
  <c r="H265" i="8"/>
  <c r="K262" i="8"/>
  <c r="C260" i="8"/>
  <c r="H257" i="8"/>
  <c r="M254" i="8"/>
  <c r="C252" i="8"/>
  <c r="I249" i="8"/>
  <c r="C247" i="8"/>
  <c r="K244" i="8"/>
  <c r="C242" i="8"/>
  <c r="I239" i="8"/>
  <c r="I85" i="11"/>
  <c r="H76" i="11"/>
  <c r="F67" i="11"/>
  <c r="G58" i="11"/>
  <c r="G50" i="11"/>
  <c r="J41" i="11"/>
  <c r="M32" i="11"/>
  <c r="I24" i="11"/>
  <c r="E192" i="10"/>
  <c r="B185" i="10"/>
  <c r="G177" i="10"/>
  <c r="I171" i="10"/>
  <c r="H164" i="10"/>
  <c r="E158" i="10"/>
  <c r="M152" i="10"/>
  <c r="L145" i="10"/>
  <c r="F134" i="10"/>
  <c r="B128" i="10"/>
  <c r="H122" i="10"/>
  <c r="M116" i="10"/>
  <c r="I111" i="10"/>
  <c r="J105" i="10"/>
  <c r="H100" i="10"/>
  <c r="M94" i="10"/>
  <c r="H89" i="10"/>
  <c r="K83" i="10"/>
  <c r="J78" i="10"/>
  <c r="M72" i="10"/>
  <c r="N67" i="10"/>
  <c r="C63" i="10"/>
  <c r="G58" i="10"/>
  <c r="I53" i="10"/>
  <c r="E44" i="10"/>
  <c r="J39" i="10"/>
  <c r="B31" i="10"/>
  <c r="G26" i="10"/>
  <c r="L551" i="8"/>
  <c r="H547" i="8"/>
  <c r="K538" i="8"/>
  <c r="I534" i="8"/>
  <c r="F530" i="8"/>
  <c r="C526" i="8"/>
  <c r="E522" i="8"/>
  <c r="E518" i="8"/>
  <c r="H514" i="8"/>
  <c r="G510" i="8"/>
  <c r="J506" i="8"/>
  <c r="G502" i="8"/>
  <c r="J498" i="8"/>
  <c r="H494" i="8"/>
  <c r="K490" i="8"/>
  <c r="J486" i="8"/>
  <c r="B483" i="8"/>
  <c r="B479" i="8"/>
  <c r="E475" i="8"/>
  <c r="C467" i="8"/>
  <c r="E459" i="8"/>
  <c r="F455" i="8"/>
  <c r="H451" i="8"/>
  <c r="G447" i="8"/>
  <c r="L443" i="8"/>
  <c r="G439" i="8"/>
  <c r="B436" i="8"/>
  <c r="N431" i="8"/>
  <c r="F428" i="8"/>
  <c r="I424" i="8"/>
  <c r="L420" i="8"/>
  <c r="C417" i="8"/>
  <c r="J413" i="8"/>
  <c r="N409" i="8"/>
  <c r="G406" i="8"/>
  <c r="L402" i="8"/>
  <c r="I399" i="8"/>
  <c r="M395" i="8"/>
  <c r="H392" i="8"/>
  <c r="M388" i="8"/>
  <c r="F385" i="8"/>
  <c r="J381" i="8"/>
  <c r="G378" i="8"/>
  <c r="M374" i="8"/>
  <c r="J371" i="8"/>
  <c r="C365" i="8"/>
  <c r="J361" i="8"/>
  <c r="F358" i="8"/>
  <c r="B355" i="8"/>
  <c r="L351" i="8"/>
  <c r="I348" i="8"/>
  <c r="H345" i="8"/>
  <c r="E342" i="8"/>
  <c r="N335" i="8"/>
  <c r="N332" i="8"/>
  <c r="G329" i="8"/>
  <c r="J326" i="8"/>
  <c r="E323" i="8"/>
  <c r="N316" i="8"/>
  <c r="M313" i="8"/>
  <c r="J310" i="8"/>
  <c r="I307" i="8"/>
  <c r="G304" i="8"/>
  <c r="F301" i="8"/>
  <c r="E298" i="8"/>
  <c r="H295" i="8"/>
  <c r="I292" i="8"/>
  <c r="L289" i="8"/>
  <c r="N286" i="8"/>
  <c r="C281" i="8"/>
  <c r="L278" i="8"/>
  <c r="M275" i="8"/>
  <c r="E273" i="8"/>
  <c r="H270" i="8"/>
  <c r="B268" i="8"/>
  <c r="E265" i="8"/>
  <c r="J262" i="8"/>
  <c r="B260" i="8"/>
  <c r="H85" i="11"/>
  <c r="D76" i="11"/>
  <c r="F66" i="11"/>
  <c r="M57" i="11"/>
  <c r="M49" i="11"/>
  <c r="J40" i="11"/>
  <c r="L32" i="11"/>
  <c r="J23" i="11"/>
  <c r="I184" i="10"/>
  <c r="F177" i="10"/>
  <c r="N170" i="10"/>
  <c r="F164" i="10"/>
  <c r="L152" i="10"/>
  <c r="K145" i="10"/>
  <c r="B140" i="10"/>
  <c r="E134" i="10"/>
  <c r="N127" i="10"/>
  <c r="G122" i="10"/>
  <c r="K116" i="10"/>
  <c r="G111" i="10"/>
  <c r="I105" i="10"/>
  <c r="F100" i="10"/>
  <c r="L94" i="10"/>
  <c r="C89" i="10"/>
  <c r="J83" i="10"/>
  <c r="H78" i="10"/>
  <c r="K72" i="10"/>
  <c r="K67" i="10"/>
  <c r="M62" i="10"/>
  <c r="F58" i="10"/>
  <c r="C53" i="10"/>
  <c r="C49" i="10"/>
  <c r="I39" i="10"/>
  <c r="B35" i="10"/>
  <c r="N30" i="10"/>
  <c r="F26" i="10"/>
  <c r="C22" i="10"/>
  <c r="J551" i="8"/>
  <c r="G547" i="8"/>
  <c r="C543" i="8"/>
  <c r="J538" i="8"/>
  <c r="E534" i="8"/>
  <c r="E530" i="8"/>
  <c r="B526" i="8"/>
  <c r="G514" i="8"/>
  <c r="F510" i="8"/>
  <c r="G506" i="8"/>
  <c r="G498" i="8"/>
  <c r="G494" i="8"/>
  <c r="J490" i="8"/>
  <c r="I486" i="8"/>
  <c r="L482" i="8"/>
  <c r="K478" i="8"/>
  <c r="K470" i="8"/>
  <c r="B467" i="8"/>
  <c r="C463" i="8"/>
  <c r="G451" i="8"/>
  <c r="F447" i="8"/>
  <c r="K443" i="8"/>
  <c r="F439" i="8"/>
  <c r="L435" i="8"/>
  <c r="M431" i="8"/>
  <c r="H424" i="8"/>
  <c r="K420" i="8"/>
  <c r="B417" i="8"/>
  <c r="I413" i="8"/>
  <c r="K409" i="8"/>
  <c r="F406" i="8"/>
  <c r="K402" i="8"/>
  <c r="J395" i="8"/>
  <c r="G392" i="8"/>
  <c r="L388" i="8"/>
  <c r="E385" i="8"/>
  <c r="H381" i="8"/>
  <c r="L374" i="8"/>
  <c r="H371" i="8"/>
  <c r="C368" i="8"/>
  <c r="B365" i="8"/>
  <c r="I361" i="8"/>
  <c r="E358" i="8"/>
  <c r="L354" i="8"/>
  <c r="K351" i="8"/>
  <c r="H348" i="8"/>
  <c r="G345" i="8"/>
  <c r="C339" i="8"/>
  <c r="M335" i="8"/>
  <c r="K332" i="8"/>
  <c r="F329" i="8"/>
  <c r="E326" i="8"/>
  <c r="B323" i="8"/>
  <c r="C320" i="8"/>
  <c r="M316" i="8"/>
  <c r="L313" i="8"/>
  <c r="H310" i="8"/>
  <c r="G307" i="8"/>
  <c r="E301" i="8"/>
  <c r="G295" i="8"/>
  <c r="H292" i="8"/>
  <c r="K289" i="8"/>
  <c r="L286" i="8"/>
  <c r="C284" i="8"/>
  <c r="B281" i="8"/>
  <c r="I278" i="8"/>
  <c r="L275" i="8"/>
  <c r="G82" i="11"/>
  <c r="I72" i="11"/>
  <c r="F63" i="11"/>
  <c r="L54" i="11"/>
  <c r="K38" i="11"/>
  <c r="M29" i="11"/>
  <c r="F21" i="11"/>
  <c r="N188" i="10"/>
  <c r="N181" i="10"/>
  <c r="B175" i="10"/>
  <c r="G168" i="10"/>
  <c r="H162" i="10"/>
  <c r="E156" i="10"/>
  <c r="N149" i="10"/>
  <c r="N143" i="10"/>
  <c r="C138" i="10"/>
  <c r="N131" i="10"/>
  <c r="M125" i="10"/>
  <c r="H120" i="10"/>
  <c r="L114" i="10"/>
  <c r="E109" i="10"/>
  <c r="G103" i="10"/>
  <c r="H98" i="10"/>
  <c r="H92" i="10"/>
  <c r="E87" i="10"/>
  <c r="L81" i="10"/>
  <c r="I76" i="10"/>
  <c r="B66" i="10"/>
  <c r="I56" i="10"/>
  <c r="H51" i="10"/>
  <c r="N46" i="10"/>
  <c r="F42" i="10"/>
  <c r="M37" i="10"/>
  <c r="G33" i="10"/>
  <c r="G29" i="10"/>
  <c r="B25" i="10"/>
  <c r="I554" i="8"/>
  <c r="N549" i="8"/>
  <c r="N545" i="8"/>
  <c r="B541" i="8"/>
  <c r="G537" i="8"/>
  <c r="M532" i="8"/>
  <c r="L528" i="8"/>
  <c r="I524" i="8"/>
  <c r="J520" i="8"/>
  <c r="J516" i="8"/>
  <c r="M512" i="8"/>
  <c r="L508" i="8"/>
  <c r="K504" i="8"/>
  <c r="L500" i="8"/>
  <c r="B497" i="8"/>
  <c r="C493" i="8"/>
  <c r="E489" i="8"/>
  <c r="F485" i="8"/>
  <c r="G481" i="8"/>
  <c r="J473" i="8"/>
  <c r="F469" i="8"/>
  <c r="I465" i="8"/>
  <c r="I461" i="8"/>
  <c r="B458" i="8"/>
  <c r="M453" i="8"/>
  <c r="B450" i="8"/>
  <c r="C446" i="8"/>
  <c r="B442" i="8"/>
  <c r="B438" i="8"/>
  <c r="E434" i="8"/>
  <c r="G430" i="8"/>
  <c r="L426" i="8"/>
  <c r="B423" i="8"/>
  <c r="J419" i="8"/>
  <c r="H415" i="8"/>
  <c r="G412" i="8"/>
  <c r="J408" i="8"/>
  <c r="C405" i="8"/>
  <c r="H401" i="8"/>
  <c r="C398" i="8"/>
  <c r="G394" i="8"/>
  <c r="B391" i="8"/>
  <c r="G387" i="8"/>
  <c r="K383" i="8"/>
  <c r="C377" i="8"/>
  <c r="J373" i="8"/>
  <c r="G370" i="8"/>
  <c r="B367" i="8"/>
  <c r="K363" i="8"/>
  <c r="C360" i="8"/>
  <c r="C357" i="8"/>
  <c r="I353" i="8"/>
  <c r="H350" i="8"/>
  <c r="E347" i="8"/>
  <c r="F344" i="8"/>
  <c r="C341" i="8"/>
  <c r="B338" i="8"/>
  <c r="L334" i="8"/>
  <c r="H331" i="8"/>
  <c r="E328" i="8"/>
  <c r="N321" i="8"/>
  <c r="G90" i="11"/>
  <c r="B82" i="11"/>
  <c r="E72" i="11"/>
  <c r="E63" i="11"/>
  <c r="J54" i="11"/>
  <c r="B46" i="11"/>
  <c r="D38" i="11"/>
  <c r="I28" i="11"/>
  <c r="D21" i="11"/>
  <c r="L188" i="10"/>
  <c r="M181" i="10"/>
  <c r="F174" i="10"/>
  <c r="M167" i="10"/>
  <c r="N161" i="10"/>
  <c r="I155" i="10"/>
  <c r="I149" i="10"/>
  <c r="L143" i="10"/>
  <c r="N136" i="10"/>
  <c r="M131" i="10"/>
  <c r="L125" i="10"/>
  <c r="G120" i="10"/>
  <c r="J114" i="10"/>
  <c r="B109" i="10"/>
  <c r="B103" i="10"/>
  <c r="F92" i="10"/>
  <c r="M86" i="10"/>
  <c r="G81" i="10"/>
  <c r="H76" i="10"/>
  <c r="J70" i="10"/>
  <c r="M65" i="10"/>
  <c r="B61" i="10"/>
  <c r="G51" i="10"/>
  <c r="L46" i="10"/>
  <c r="E42" i="10"/>
  <c r="K37" i="10"/>
  <c r="F33" i="10"/>
  <c r="E29" i="10"/>
  <c r="F24" i="10"/>
  <c r="H554" i="8"/>
  <c r="M549" i="8"/>
  <c r="M545" i="8"/>
  <c r="L540" i="8"/>
  <c r="N536" i="8"/>
  <c r="L532" i="8"/>
  <c r="K528" i="8"/>
  <c r="H524" i="8"/>
  <c r="I520" i="8"/>
  <c r="I516" i="8"/>
  <c r="L512" i="8"/>
  <c r="H508" i="8"/>
  <c r="J504" i="8"/>
  <c r="K500" i="8"/>
  <c r="L496" i="8"/>
  <c r="L492" i="8"/>
  <c r="C485" i="8"/>
  <c r="F481" i="8"/>
  <c r="C477" i="8"/>
  <c r="G473" i="8"/>
  <c r="E469" i="8"/>
  <c r="G465" i="8"/>
  <c r="H461" i="8"/>
  <c r="K457" i="8"/>
  <c r="L453" i="8"/>
  <c r="N449" i="8"/>
  <c r="K445" i="8"/>
  <c r="N441" i="8"/>
  <c r="M437" i="8"/>
  <c r="F430" i="8"/>
  <c r="K426" i="8"/>
  <c r="N422" i="8"/>
  <c r="F415" i="8"/>
  <c r="N411" i="8"/>
  <c r="E408" i="8"/>
  <c r="B405" i="8"/>
  <c r="G401" i="8"/>
  <c r="B398" i="8"/>
  <c r="F394" i="8"/>
  <c r="F84" i="11"/>
  <c r="J71" i="11"/>
  <c r="J60" i="11"/>
  <c r="L48" i="11"/>
  <c r="G37" i="11"/>
  <c r="K26" i="11"/>
  <c r="J191" i="10"/>
  <c r="L181" i="10"/>
  <c r="F172" i="10"/>
  <c r="B164" i="10"/>
  <c r="F155" i="10"/>
  <c r="N147" i="10"/>
  <c r="F139" i="10"/>
  <c r="B131" i="10"/>
  <c r="B124" i="10"/>
  <c r="E116" i="10"/>
  <c r="M107" i="10"/>
  <c r="K101" i="10"/>
  <c r="L93" i="10"/>
  <c r="J86" i="10"/>
  <c r="K79" i="10"/>
  <c r="H72" i="10"/>
  <c r="C65" i="10"/>
  <c r="M58" i="10"/>
  <c r="L52" i="10"/>
  <c r="I46" i="10"/>
  <c r="K40" i="10"/>
  <c r="M34" i="10"/>
  <c r="G28" i="10"/>
  <c r="F23" i="10"/>
  <c r="E551" i="8"/>
  <c r="H545" i="8"/>
  <c r="C540" i="8"/>
  <c r="C534" i="8"/>
  <c r="J528" i="8"/>
  <c r="G523" i="8"/>
  <c r="L517" i="8"/>
  <c r="F512" i="8"/>
  <c r="K507" i="8"/>
  <c r="B502" i="8"/>
  <c r="K496" i="8"/>
  <c r="N491" i="8"/>
  <c r="F486" i="8"/>
  <c r="E481" i="8"/>
  <c r="E476" i="8"/>
  <c r="H470" i="8"/>
  <c r="F465" i="8"/>
  <c r="H460" i="8"/>
  <c r="B455" i="8"/>
  <c r="H449" i="8"/>
  <c r="M444" i="8"/>
  <c r="C434" i="8"/>
  <c r="G429" i="8"/>
  <c r="C419" i="8"/>
  <c r="M414" i="8"/>
  <c r="I409" i="8"/>
  <c r="N404" i="8"/>
  <c r="H400" i="8"/>
  <c r="H395" i="8"/>
  <c r="N390" i="8"/>
  <c r="I386" i="8"/>
  <c r="H382" i="8"/>
  <c r="I377" i="8"/>
  <c r="I373" i="8"/>
  <c r="H369" i="8"/>
  <c r="F365" i="8"/>
  <c r="N360" i="8"/>
  <c r="L356" i="8"/>
  <c r="F349" i="8"/>
  <c r="M344" i="8"/>
  <c r="M340" i="8"/>
  <c r="E333" i="8"/>
  <c r="C329" i="8"/>
  <c r="C325" i="8"/>
  <c r="K317" i="8"/>
  <c r="K313" i="8"/>
  <c r="M309" i="8"/>
  <c r="G306" i="8"/>
  <c r="L302" i="8"/>
  <c r="F299" i="8"/>
  <c r="M295" i="8"/>
  <c r="F292" i="8"/>
  <c r="M288" i="8"/>
  <c r="I285" i="8"/>
  <c r="G282" i="8"/>
  <c r="F276" i="8"/>
  <c r="J272" i="8"/>
  <c r="M269" i="8"/>
  <c r="N266" i="8"/>
  <c r="M263" i="8"/>
  <c r="N260" i="8"/>
  <c r="I252" i="8"/>
  <c r="B250" i="8"/>
  <c r="G244" i="8"/>
  <c r="N241" i="8"/>
  <c r="M236" i="8"/>
  <c r="G234" i="8"/>
  <c r="C232" i="8"/>
  <c r="J229" i="8"/>
  <c r="F227" i="8"/>
  <c r="M224" i="8"/>
  <c r="J222" i="8"/>
  <c r="F220" i="8"/>
  <c r="N215" i="8"/>
  <c r="L213" i="8"/>
  <c r="L211" i="8"/>
  <c r="J209" i="8"/>
  <c r="H207" i="8"/>
  <c r="G205" i="8"/>
  <c r="C203" i="8"/>
  <c r="C201" i="8"/>
  <c r="N198" i="8"/>
  <c r="L196" i="8"/>
  <c r="K194" i="8"/>
  <c r="K192" i="8"/>
  <c r="G190" i="8"/>
  <c r="F188" i="8"/>
  <c r="C186" i="8"/>
  <c r="C184" i="8"/>
  <c r="N179" i="8"/>
  <c r="B178" i="8"/>
  <c r="C176" i="8"/>
  <c r="C174" i="8"/>
  <c r="B172" i="8"/>
  <c r="C170" i="8"/>
  <c r="B168" i="8"/>
  <c r="N165" i="8"/>
  <c r="N163" i="8"/>
  <c r="B162" i="8"/>
  <c r="N159" i="8"/>
  <c r="B158" i="8"/>
  <c r="N155" i="8"/>
  <c r="M153" i="8"/>
  <c r="M151" i="8"/>
  <c r="N149" i="8"/>
  <c r="B148" i="8"/>
  <c r="M145" i="8"/>
  <c r="B144" i="8"/>
  <c r="E140" i="8"/>
  <c r="H138" i="8"/>
  <c r="K136" i="8"/>
  <c r="L134" i="8"/>
  <c r="B133" i="8"/>
  <c r="G129" i="8"/>
  <c r="J127" i="8"/>
  <c r="M125" i="8"/>
  <c r="N123" i="8"/>
  <c r="F120" i="8"/>
  <c r="I118" i="8"/>
  <c r="L116" i="8"/>
  <c r="M114" i="8"/>
  <c r="C113" i="8"/>
  <c r="F111" i="8"/>
  <c r="H109" i="8"/>
  <c r="L107" i="8"/>
  <c r="I104" i="8"/>
  <c r="N102" i="8"/>
  <c r="G101" i="8"/>
  <c r="M99" i="8"/>
  <c r="F98" i="8"/>
  <c r="L96" i="8"/>
  <c r="E95" i="8"/>
  <c r="K93" i="8"/>
  <c r="J90" i="8"/>
  <c r="C89" i="8"/>
  <c r="I87" i="8"/>
  <c r="B86" i="8"/>
  <c r="H84" i="8"/>
  <c r="N82" i="8"/>
  <c r="G81" i="8"/>
  <c r="M79" i="8"/>
  <c r="F78" i="8"/>
  <c r="L76" i="8"/>
  <c r="E75" i="8"/>
  <c r="K73" i="8"/>
  <c r="J83" i="11"/>
  <c r="L70" i="11"/>
  <c r="J59" i="11"/>
  <c r="E48" i="11"/>
  <c r="K36" i="11"/>
  <c r="G26" i="11"/>
  <c r="I191" i="10"/>
  <c r="K181" i="10"/>
  <c r="E172" i="10"/>
  <c r="M162" i="10"/>
  <c r="E155" i="10"/>
  <c r="M147" i="10"/>
  <c r="L130" i="10"/>
  <c r="M123" i="10"/>
  <c r="B116" i="10"/>
  <c r="K107" i="10"/>
  <c r="J93" i="10"/>
  <c r="I86" i="10"/>
  <c r="H79" i="10"/>
  <c r="F72" i="10"/>
  <c r="N64" i="10"/>
  <c r="L58" i="10"/>
  <c r="K52" i="10"/>
  <c r="H46" i="10"/>
  <c r="J40" i="10"/>
  <c r="L34" i="10"/>
  <c r="F28" i="10"/>
  <c r="N22" i="10"/>
  <c r="B545" i="8"/>
  <c r="G539" i="8"/>
  <c r="B534" i="8"/>
  <c r="B528" i="8"/>
  <c r="B523" i="8"/>
  <c r="G517" i="8"/>
  <c r="C512" i="8"/>
  <c r="C507" i="8"/>
  <c r="K501" i="8"/>
  <c r="H496" i="8"/>
  <c r="H491" i="8"/>
  <c r="E486" i="8"/>
  <c r="I480" i="8"/>
  <c r="I475" i="8"/>
  <c r="G470" i="8"/>
  <c r="C465" i="8"/>
  <c r="C460" i="8"/>
  <c r="I454" i="8"/>
  <c r="C449" i="8"/>
  <c r="F444" i="8"/>
  <c r="N438" i="8"/>
  <c r="K433" i="8"/>
  <c r="B429" i="8"/>
  <c r="M423" i="8"/>
  <c r="K418" i="8"/>
  <c r="H409" i="8"/>
  <c r="H404" i="8"/>
  <c r="C400" i="8"/>
  <c r="J390" i="8"/>
  <c r="H386" i="8"/>
  <c r="E382" i="8"/>
  <c r="H377" i="8"/>
  <c r="F373" i="8"/>
  <c r="G369" i="8"/>
  <c r="E365" i="8"/>
  <c r="M360" i="8"/>
  <c r="K356" i="8"/>
  <c r="N352" i="8"/>
  <c r="E349" i="8"/>
  <c r="J344" i="8"/>
  <c r="L340" i="8"/>
  <c r="C337" i="8"/>
  <c r="C333" i="8"/>
  <c r="N328" i="8"/>
  <c r="B325" i="8"/>
  <c r="C321" i="8"/>
  <c r="J317" i="8"/>
  <c r="I313" i="8"/>
  <c r="L309" i="8"/>
  <c r="K302" i="8"/>
  <c r="C299" i="8"/>
  <c r="J295" i="8"/>
  <c r="N291" i="8"/>
  <c r="L288" i="8"/>
  <c r="H285" i="8"/>
  <c r="F282" i="8"/>
  <c r="C279" i="8"/>
  <c r="K275" i="8"/>
  <c r="I272" i="8"/>
  <c r="L269" i="8"/>
  <c r="M266" i="8"/>
  <c r="L263" i="8"/>
  <c r="M260" i="8"/>
  <c r="L257" i="8"/>
  <c r="C255" i="8"/>
  <c r="H252" i="8"/>
  <c r="N249" i="8"/>
  <c r="B247" i="8"/>
  <c r="F244" i="8"/>
  <c r="M241" i="8"/>
  <c r="C239" i="8"/>
  <c r="L236" i="8"/>
  <c r="F234" i="8"/>
  <c r="M231" i="8"/>
  <c r="I229" i="8"/>
  <c r="E227" i="8"/>
  <c r="J224" i="8"/>
  <c r="F222" i="8"/>
  <c r="E220" i="8"/>
  <c r="C218" i="8"/>
  <c r="M215" i="8"/>
  <c r="K213" i="8"/>
  <c r="I211" i="8"/>
  <c r="I209" i="8"/>
  <c r="G207" i="8"/>
  <c r="F205" i="8"/>
  <c r="B203" i="8"/>
  <c r="B201" i="8"/>
  <c r="M198" i="8"/>
  <c r="K196" i="8"/>
  <c r="J194" i="8"/>
  <c r="F192" i="8"/>
  <c r="F190" i="8"/>
  <c r="E188" i="8"/>
  <c r="B186" i="8"/>
  <c r="B184" i="8"/>
  <c r="C182" i="8"/>
  <c r="M179" i="8"/>
  <c r="N177" i="8"/>
  <c r="N175" i="8"/>
  <c r="M173" i="8"/>
  <c r="N171" i="8"/>
  <c r="B170" i="8"/>
  <c r="N167" i="8"/>
  <c r="M165" i="8"/>
  <c r="M163" i="8"/>
  <c r="N161" i="8"/>
  <c r="M159" i="8"/>
  <c r="L157" i="8"/>
  <c r="M155" i="8"/>
  <c r="L153" i="8"/>
  <c r="L151" i="8"/>
  <c r="M149" i="8"/>
  <c r="N147" i="8"/>
  <c r="L145" i="8"/>
  <c r="N143" i="8"/>
  <c r="B142" i="8"/>
  <c r="G138" i="8"/>
  <c r="J136" i="8"/>
  <c r="K134" i="8"/>
  <c r="N132" i="8"/>
  <c r="C131" i="8"/>
  <c r="F129" i="8"/>
  <c r="I127" i="8"/>
  <c r="J125" i="8"/>
  <c r="M123" i="8"/>
  <c r="C122" i="8"/>
  <c r="E120" i="8"/>
  <c r="H118" i="8"/>
  <c r="K116" i="8"/>
  <c r="L114" i="8"/>
  <c r="B113" i="8"/>
  <c r="G109" i="8"/>
  <c r="K107" i="8"/>
  <c r="C106" i="8"/>
  <c r="H104" i="8"/>
  <c r="M102" i="8"/>
  <c r="F101" i="8"/>
  <c r="B83" i="11"/>
  <c r="J70" i="11"/>
  <c r="D59" i="11"/>
  <c r="I47" i="11"/>
  <c r="I35" i="11"/>
  <c r="G25" i="11"/>
  <c r="B190" i="10"/>
  <c r="G180" i="10"/>
  <c r="L171" i="10"/>
  <c r="K162" i="10"/>
  <c r="I154" i="10"/>
  <c r="L146" i="10"/>
  <c r="G138" i="10"/>
  <c r="I130" i="10"/>
  <c r="H123" i="10"/>
  <c r="I115" i="10"/>
  <c r="I107" i="10"/>
  <c r="L100" i="10"/>
  <c r="H93" i="10"/>
  <c r="I85" i="10"/>
  <c r="E79" i="10"/>
  <c r="I71" i="10"/>
  <c r="L64" i="10"/>
  <c r="J58" i="10"/>
  <c r="I52" i="10"/>
  <c r="M45" i="10"/>
  <c r="C34" i="10"/>
  <c r="J22" i="10"/>
  <c r="K550" i="8"/>
  <c r="G544" i="8"/>
  <c r="E539" i="8"/>
  <c r="G533" i="8"/>
  <c r="K527" i="8"/>
  <c r="G522" i="8"/>
  <c r="K511" i="8"/>
  <c r="L506" i="8"/>
  <c r="I501" i="8"/>
  <c r="B496" i="8"/>
  <c r="F491" i="8"/>
  <c r="K485" i="8"/>
  <c r="G480" i="8"/>
  <c r="G475" i="8"/>
  <c r="G464" i="8"/>
  <c r="G459" i="8"/>
  <c r="E454" i="8"/>
  <c r="N448" i="8"/>
  <c r="N443" i="8"/>
  <c r="K438" i="8"/>
  <c r="J428" i="8"/>
  <c r="I423" i="8"/>
  <c r="H418" i="8"/>
  <c r="B414" i="8"/>
  <c r="C409" i="8"/>
  <c r="K399" i="8"/>
  <c r="B395" i="8"/>
  <c r="N385" i="8"/>
  <c r="N372" i="8"/>
  <c r="B369" i="8"/>
  <c r="K364" i="8"/>
  <c r="F360" i="8"/>
  <c r="E356" i="8"/>
  <c r="H352" i="8"/>
  <c r="F348" i="8"/>
  <c r="G344" i="8"/>
  <c r="H340" i="8"/>
  <c r="K336" i="8"/>
  <c r="E332" i="8"/>
  <c r="L328" i="8"/>
  <c r="I324" i="8"/>
  <c r="L320" i="8"/>
  <c r="L316" i="8"/>
  <c r="N312" i="8"/>
  <c r="M305" i="8"/>
  <c r="I302" i="8"/>
  <c r="N298" i="8"/>
  <c r="N294" i="8"/>
  <c r="L291" i="8"/>
  <c r="J288" i="8"/>
  <c r="E285" i="8"/>
  <c r="N281" i="8"/>
  <c r="N278" i="8"/>
  <c r="I275" i="8"/>
  <c r="G272" i="8"/>
  <c r="H269" i="8"/>
  <c r="G266" i="8"/>
  <c r="J263" i="8"/>
  <c r="I260" i="8"/>
  <c r="J257" i="8"/>
  <c r="N254" i="8"/>
  <c r="B252" i="8"/>
  <c r="G249" i="8"/>
  <c r="M246" i="8"/>
  <c r="B244" i="8"/>
  <c r="F241" i="8"/>
  <c r="N238" i="8"/>
  <c r="H236" i="8"/>
  <c r="I231" i="8"/>
  <c r="E229" i="8"/>
  <c r="L226" i="8"/>
  <c r="H224" i="8"/>
  <c r="N219" i="8"/>
  <c r="K217" i="8"/>
  <c r="K215" i="8"/>
  <c r="I213" i="8"/>
  <c r="G211" i="8"/>
  <c r="E209" i="8"/>
  <c r="E207" i="8"/>
  <c r="B205" i="8"/>
  <c r="M202" i="8"/>
  <c r="G79" i="11"/>
  <c r="D66" i="11"/>
  <c r="G56" i="11"/>
  <c r="D44" i="11"/>
  <c r="K32" i="11"/>
  <c r="H21" i="11"/>
  <c r="F187" i="10"/>
  <c r="N176" i="10"/>
  <c r="M168" i="10"/>
  <c r="E160" i="10"/>
  <c r="M151" i="10"/>
  <c r="E135" i="10"/>
  <c r="M127" i="10"/>
  <c r="I120" i="10"/>
  <c r="N112" i="10"/>
  <c r="E105" i="10"/>
  <c r="J98" i="10"/>
  <c r="J90" i="10"/>
  <c r="H83" i="10"/>
  <c r="J76" i="10"/>
  <c r="C69" i="10"/>
  <c r="I62" i="10"/>
  <c r="J56" i="10"/>
  <c r="C50" i="10"/>
  <c r="M43" i="10"/>
  <c r="E38" i="10"/>
  <c r="N31" i="10"/>
  <c r="L554" i="8"/>
  <c r="N548" i="8"/>
  <c r="J542" i="8"/>
  <c r="H537" i="8"/>
  <c r="C532" i="8"/>
  <c r="N525" i="8"/>
  <c r="K520" i="8"/>
  <c r="I515" i="8"/>
  <c r="L509" i="8"/>
  <c r="E505" i="8"/>
  <c r="L499" i="8"/>
  <c r="F494" i="8"/>
  <c r="F489" i="8"/>
  <c r="E484" i="8"/>
  <c r="J478" i="8"/>
  <c r="M473" i="8"/>
  <c r="I468" i="8"/>
  <c r="M462" i="8"/>
  <c r="C458" i="8"/>
  <c r="N452" i="8"/>
  <c r="B447" i="8"/>
  <c r="E442" i="8"/>
  <c r="N436" i="8"/>
  <c r="I431" i="8"/>
  <c r="M426" i="8"/>
  <c r="B422" i="8"/>
  <c r="M416" i="8"/>
  <c r="H412" i="8"/>
  <c r="M407" i="8"/>
  <c r="J402" i="8"/>
  <c r="I393" i="8"/>
  <c r="G384" i="8"/>
  <c r="N379" i="8"/>
  <c r="M375" i="8"/>
  <c r="C372" i="8"/>
  <c r="G367" i="8"/>
  <c r="I363" i="8"/>
  <c r="G359" i="8"/>
  <c r="G355" i="8"/>
  <c r="C351" i="8"/>
  <c r="C347" i="8"/>
  <c r="E343" i="8"/>
  <c r="H339" i="8"/>
  <c r="G335" i="8"/>
  <c r="F331" i="8"/>
  <c r="G327" i="8"/>
  <c r="K323" i="8"/>
  <c r="E319" i="8"/>
  <c r="J315" i="8"/>
  <c r="N311" i="8"/>
  <c r="J308" i="8"/>
  <c r="N304" i="8"/>
  <c r="C301" i="8"/>
  <c r="H297" i="8"/>
  <c r="E294" i="8"/>
  <c r="N290" i="8"/>
  <c r="L287" i="8"/>
  <c r="F284" i="8"/>
  <c r="L280" i="8"/>
  <c r="J277" i="8"/>
  <c r="J274" i="8"/>
  <c r="H271" i="8"/>
  <c r="I268" i="8"/>
  <c r="J265" i="8"/>
  <c r="I262" i="8"/>
  <c r="H259" i="8"/>
  <c r="J256" i="8"/>
  <c r="C254" i="8"/>
  <c r="E251" i="8"/>
  <c r="K248" i="8"/>
  <c r="B246" i="8"/>
  <c r="E243" i="8"/>
  <c r="K240" i="8"/>
  <c r="K235" i="8"/>
  <c r="G233" i="8"/>
  <c r="C231" i="8"/>
  <c r="H228" i="8"/>
  <c r="B226" i="8"/>
  <c r="L223" i="8"/>
  <c r="I221" i="8"/>
  <c r="E219" i="8"/>
  <c r="E217" i="8"/>
  <c r="B215" i="8"/>
  <c r="N212" i="8"/>
  <c r="L210" i="8"/>
  <c r="I208" i="8"/>
  <c r="I206" i="8"/>
  <c r="F204" i="8"/>
  <c r="E202" i="8"/>
  <c r="E200" i="8"/>
  <c r="C198" i="8"/>
  <c r="M195" i="8"/>
  <c r="K193" i="8"/>
  <c r="I191" i="8"/>
  <c r="I189" i="8"/>
  <c r="G187" i="8"/>
  <c r="C183" i="8"/>
  <c r="E177" i="8"/>
  <c r="C173" i="8"/>
  <c r="B169" i="8"/>
  <c r="C167" i="8"/>
  <c r="G83" i="11"/>
  <c r="K68" i="11"/>
  <c r="J53" i="11"/>
  <c r="K39" i="11"/>
  <c r="F26" i="11"/>
  <c r="N187" i="10"/>
  <c r="M175" i="10"/>
  <c r="C166" i="10"/>
  <c r="M154" i="10"/>
  <c r="H144" i="10"/>
  <c r="B135" i="10"/>
  <c r="H125" i="10"/>
  <c r="N115" i="10"/>
  <c r="H106" i="10"/>
  <c r="K96" i="10"/>
  <c r="F88" i="10"/>
  <c r="G79" i="10"/>
  <c r="L69" i="10"/>
  <c r="N61" i="10"/>
  <c r="G54" i="10"/>
  <c r="G46" i="10"/>
  <c r="G38" i="10"/>
  <c r="K31" i="10"/>
  <c r="L550" i="8"/>
  <c r="M543" i="8"/>
  <c r="J529" i="8"/>
  <c r="L522" i="8"/>
  <c r="L515" i="8"/>
  <c r="H509" i="8"/>
  <c r="F503" i="8"/>
  <c r="F496" i="8"/>
  <c r="J489" i="8"/>
  <c r="E483" i="8"/>
  <c r="L476" i="8"/>
  <c r="F470" i="8"/>
  <c r="B464" i="8"/>
  <c r="M456" i="8"/>
  <c r="H450" i="8"/>
  <c r="B444" i="8"/>
  <c r="H437" i="8"/>
  <c r="E431" i="8"/>
  <c r="G425" i="8"/>
  <c r="J418" i="8"/>
  <c r="J412" i="8"/>
  <c r="C407" i="8"/>
  <c r="C401" i="8"/>
  <c r="C395" i="8"/>
  <c r="K389" i="8"/>
  <c r="J383" i="8"/>
  <c r="M378" i="8"/>
  <c r="E373" i="8"/>
  <c r="N367" i="8"/>
  <c r="K362" i="8"/>
  <c r="I357" i="8"/>
  <c r="I352" i="8"/>
  <c r="F347" i="8"/>
  <c r="B343" i="8"/>
  <c r="N337" i="8"/>
  <c r="J332" i="8"/>
  <c r="L327" i="8"/>
  <c r="K322" i="8"/>
  <c r="B318" i="8"/>
  <c r="B313" i="8"/>
  <c r="L308" i="8"/>
  <c r="B304" i="8"/>
  <c r="C300" i="8"/>
  <c r="E291" i="8"/>
  <c r="E287" i="8"/>
  <c r="M282" i="8"/>
  <c r="B279" i="8"/>
  <c r="L274" i="8"/>
  <c r="E271" i="8"/>
  <c r="E267" i="8"/>
  <c r="K263" i="8"/>
  <c r="J259" i="8"/>
  <c r="E256" i="8"/>
  <c r="H249" i="8"/>
  <c r="E246" i="8"/>
  <c r="N242" i="8"/>
  <c r="M239" i="8"/>
  <c r="I236" i="8"/>
  <c r="I233" i="8"/>
  <c r="I230" i="8"/>
  <c r="J227" i="8"/>
  <c r="I224" i="8"/>
  <c r="M221" i="8"/>
  <c r="B219" i="8"/>
  <c r="H216" i="8"/>
  <c r="J213" i="8"/>
  <c r="C211" i="8"/>
  <c r="F208" i="8"/>
  <c r="L205" i="8"/>
  <c r="N202" i="8"/>
  <c r="H200" i="8"/>
  <c r="L197" i="8"/>
  <c r="G195" i="8"/>
  <c r="B193" i="8"/>
  <c r="H190" i="8"/>
  <c r="N187" i="8"/>
  <c r="H185" i="8"/>
  <c r="N182" i="8"/>
  <c r="K180" i="8"/>
  <c r="E178" i="8"/>
  <c r="M175" i="8"/>
  <c r="I173" i="8"/>
  <c r="E171" i="8"/>
  <c r="L168" i="8"/>
  <c r="J166" i="8"/>
  <c r="E164" i="8"/>
  <c r="C162" i="8"/>
  <c r="K159" i="8"/>
  <c r="H157" i="8"/>
  <c r="C153" i="8"/>
  <c r="K150" i="8"/>
  <c r="I148" i="8"/>
  <c r="H146" i="8"/>
  <c r="E144" i="8"/>
  <c r="E142" i="8"/>
  <c r="B140" i="8"/>
  <c r="N137" i="8"/>
  <c r="B136" i="8"/>
  <c r="B134" i="8"/>
  <c r="C132" i="8"/>
  <c r="B130" i="8"/>
  <c r="B128" i="8"/>
  <c r="C126" i="8"/>
  <c r="B124" i="8"/>
  <c r="M121" i="8"/>
  <c r="N119" i="8"/>
  <c r="M117" i="8"/>
  <c r="N115" i="8"/>
  <c r="N113" i="8"/>
  <c r="B112" i="8"/>
  <c r="N109" i="8"/>
  <c r="B108" i="8"/>
  <c r="E106" i="8"/>
  <c r="F104" i="8"/>
  <c r="I102" i="8"/>
  <c r="M100" i="8"/>
  <c r="E99" i="8"/>
  <c r="J97" i="8"/>
  <c r="B96" i="8"/>
  <c r="G94" i="8"/>
  <c r="L92" i="8"/>
  <c r="I89" i="8"/>
  <c r="N87" i="8"/>
  <c r="F86" i="8"/>
  <c r="K84" i="8"/>
  <c r="C83" i="8"/>
  <c r="H81" i="8"/>
  <c r="L79" i="8"/>
  <c r="I76" i="8"/>
  <c r="N74" i="8"/>
  <c r="F73" i="8"/>
  <c r="K71" i="8"/>
  <c r="J68" i="8"/>
  <c r="C67" i="8"/>
  <c r="I65" i="8"/>
  <c r="B64" i="8"/>
  <c r="H62" i="8"/>
  <c r="N60" i="8"/>
  <c r="G59" i="8"/>
  <c r="M57" i="8"/>
  <c r="F56" i="8"/>
  <c r="L54" i="8"/>
  <c r="E53" i="8"/>
  <c r="K51" i="8"/>
  <c r="J48" i="8"/>
  <c r="C47" i="8"/>
  <c r="I45" i="8"/>
  <c r="B44" i="8"/>
  <c r="H42" i="8"/>
  <c r="N40" i="8"/>
  <c r="G39" i="8"/>
  <c r="M37" i="8"/>
  <c r="I82" i="11"/>
  <c r="G68" i="11"/>
  <c r="G52" i="11"/>
  <c r="I39" i="11"/>
  <c r="F23" i="11"/>
  <c r="J187" i="10"/>
  <c r="K175" i="10"/>
  <c r="L165" i="10"/>
  <c r="B154" i="10"/>
  <c r="E144" i="10"/>
  <c r="N134" i="10"/>
  <c r="F125" i="10"/>
  <c r="M114" i="10"/>
  <c r="I96" i="10"/>
  <c r="E88" i="10"/>
  <c r="K77" i="10"/>
  <c r="K69" i="10"/>
  <c r="G61" i="10"/>
  <c r="F54" i="10"/>
  <c r="J45" i="10"/>
  <c r="F38" i="10"/>
  <c r="N23" i="10"/>
  <c r="J550" i="8"/>
  <c r="K543" i="8"/>
  <c r="C536" i="8"/>
  <c r="G529" i="8"/>
  <c r="L521" i="8"/>
  <c r="J515" i="8"/>
  <c r="G509" i="8"/>
  <c r="E503" i="8"/>
  <c r="L495" i="8"/>
  <c r="H489" i="8"/>
  <c r="I476" i="8"/>
  <c r="C470" i="8"/>
  <c r="N463" i="8"/>
  <c r="J456" i="8"/>
  <c r="G450" i="8"/>
  <c r="H443" i="8"/>
  <c r="F425" i="8"/>
  <c r="E418" i="8"/>
  <c r="I412" i="8"/>
  <c r="M406" i="8"/>
  <c r="B401" i="8"/>
  <c r="N394" i="8"/>
  <c r="H389" i="8"/>
  <c r="I383" i="8"/>
  <c r="L378" i="8"/>
  <c r="M372" i="8"/>
  <c r="M367" i="8"/>
  <c r="J362" i="8"/>
  <c r="H357" i="8"/>
  <c r="E352" i="8"/>
  <c r="M342" i="8"/>
  <c r="I337" i="8"/>
  <c r="K327" i="8"/>
  <c r="J322" i="8"/>
  <c r="N317" i="8"/>
  <c r="M312" i="8"/>
  <c r="K308" i="8"/>
  <c r="N303" i="8"/>
  <c r="K299" i="8"/>
  <c r="M294" i="8"/>
  <c r="B291" i="8"/>
  <c r="I286" i="8"/>
  <c r="L282" i="8"/>
  <c r="H278" i="8"/>
  <c r="K274" i="8"/>
  <c r="I263" i="8"/>
  <c r="I259" i="8"/>
  <c r="N252" i="8"/>
  <c r="F249" i="8"/>
  <c r="M242" i="8"/>
  <c r="L239" i="8"/>
  <c r="E236" i="8"/>
  <c r="H233" i="8"/>
  <c r="H230" i="8"/>
  <c r="I227" i="8"/>
  <c r="G224" i="8"/>
  <c r="L221" i="8"/>
  <c r="M218" i="8"/>
  <c r="G216" i="8"/>
  <c r="G213" i="8"/>
  <c r="B211" i="8"/>
  <c r="E208" i="8"/>
  <c r="K205" i="8"/>
  <c r="L202" i="8"/>
  <c r="G200" i="8"/>
  <c r="K197" i="8"/>
  <c r="E195" i="8"/>
  <c r="N192" i="8"/>
  <c r="E190" i="8"/>
  <c r="K187" i="8"/>
  <c r="G185" i="8"/>
  <c r="M182" i="8"/>
  <c r="J180" i="8"/>
  <c r="L175" i="8"/>
  <c r="H173" i="8"/>
  <c r="C171" i="8"/>
  <c r="K168" i="8"/>
  <c r="G166" i="8"/>
  <c r="M161" i="8"/>
  <c r="H159" i="8"/>
  <c r="G157" i="8"/>
  <c r="C155" i="8"/>
  <c r="B153" i="8"/>
  <c r="J150" i="8"/>
  <c r="H148" i="8"/>
  <c r="G146" i="8"/>
  <c r="N141" i="8"/>
  <c r="N139" i="8"/>
  <c r="M137" i="8"/>
  <c r="N135" i="8"/>
  <c r="N133" i="8"/>
  <c r="B132" i="8"/>
  <c r="N129" i="8"/>
  <c r="N127" i="8"/>
  <c r="B126" i="8"/>
  <c r="L123" i="8"/>
  <c r="L121" i="8"/>
  <c r="M119" i="8"/>
  <c r="L117" i="8"/>
  <c r="L115" i="8"/>
  <c r="M113" i="8"/>
  <c r="L111" i="8"/>
  <c r="M109" i="8"/>
  <c r="N107" i="8"/>
  <c r="B106" i="8"/>
  <c r="H102" i="8"/>
  <c r="L100" i="8"/>
  <c r="I97" i="8"/>
  <c r="N95" i="8"/>
  <c r="F94" i="8"/>
  <c r="K92" i="8"/>
  <c r="C91" i="8"/>
  <c r="H81" i="11"/>
  <c r="H65" i="11"/>
  <c r="H39" i="11"/>
  <c r="M186" i="10"/>
  <c r="J175" i="10"/>
  <c r="M164" i="10"/>
  <c r="M153" i="10"/>
  <c r="K143" i="10"/>
  <c r="M133" i="10"/>
  <c r="J124" i="10"/>
  <c r="F114" i="10"/>
  <c r="M104" i="10"/>
  <c r="H96" i="10"/>
  <c r="M87" i="10"/>
  <c r="I77" i="10"/>
  <c r="B69" i="10"/>
  <c r="F61" i="10"/>
  <c r="K53" i="10"/>
  <c r="H45" i="10"/>
  <c r="J37" i="10"/>
  <c r="L30" i="10"/>
  <c r="M23" i="10"/>
  <c r="J549" i="8"/>
  <c r="E542" i="8"/>
  <c r="K535" i="8"/>
  <c r="F529" i="8"/>
  <c r="I521" i="8"/>
  <c r="F515" i="8"/>
  <c r="M508" i="8"/>
  <c r="J495" i="8"/>
  <c r="C489" i="8"/>
  <c r="K482" i="8"/>
  <c r="H476" i="8"/>
  <c r="J462" i="8"/>
  <c r="I456" i="8"/>
  <c r="F450" i="8"/>
  <c r="N442" i="8"/>
  <c r="I436" i="8"/>
  <c r="H430" i="8"/>
  <c r="M424" i="8"/>
  <c r="M411" i="8"/>
  <c r="E406" i="8"/>
  <c r="J400" i="8"/>
  <c r="E394" i="8"/>
  <c r="E388" i="8"/>
  <c r="H383" i="8"/>
  <c r="C378" i="8"/>
  <c r="L372" i="8"/>
  <c r="F367" i="8"/>
  <c r="I362" i="8"/>
  <c r="G357" i="8"/>
  <c r="C352" i="8"/>
  <c r="B347" i="8"/>
  <c r="C342" i="8"/>
  <c r="F337" i="8"/>
  <c r="B332" i="8"/>
  <c r="I322" i="8"/>
  <c r="M317" i="8"/>
  <c r="L312" i="8"/>
  <c r="G308" i="8"/>
  <c r="K303" i="8"/>
  <c r="H299" i="8"/>
  <c r="J294" i="8"/>
  <c r="M290" i="8"/>
  <c r="H286" i="8"/>
  <c r="K282" i="8"/>
  <c r="E278" i="8"/>
  <c r="I274" i="8"/>
  <c r="N270" i="8"/>
  <c r="C267" i="8"/>
  <c r="H263" i="8"/>
  <c r="G259" i="8"/>
  <c r="C256" i="8"/>
  <c r="M252" i="8"/>
  <c r="E249" i="8"/>
  <c r="N245" i="8"/>
  <c r="L242" i="8"/>
  <c r="F239" i="8"/>
  <c r="G230" i="8"/>
  <c r="H227" i="8"/>
  <c r="F221" i="8"/>
  <c r="L218" i="8"/>
  <c r="E216" i="8"/>
  <c r="F213" i="8"/>
  <c r="K210" i="8"/>
  <c r="J205" i="8"/>
  <c r="K202" i="8"/>
  <c r="F200" i="8"/>
  <c r="J197" i="8"/>
  <c r="M192" i="8"/>
  <c r="C190" i="8"/>
  <c r="J187" i="8"/>
  <c r="C185" i="8"/>
  <c r="K182" i="8"/>
  <c r="I180" i="8"/>
  <c r="C178" i="8"/>
  <c r="K175" i="8"/>
  <c r="G173" i="8"/>
  <c r="B171" i="8"/>
  <c r="J168" i="8"/>
  <c r="C164" i="8"/>
  <c r="L161" i="8"/>
  <c r="G159" i="8"/>
  <c r="F157" i="8"/>
  <c r="B155" i="8"/>
  <c r="N152" i="8"/>
  <c r="I150" i="8"/>
  <c r="G148" i="8"/>
  <c r="E146" i="8"/>
  <c r="C144" i="8"/>
  <c r="M141" i="8"/>
  <c r="M139" i="8"/>
  <c r="L137" i="8"/>
  <c r="L135" i="8"/>
  <c r="M133" i="8"/>
  <c r="L131" i="8"/>
  <c r="M129" i="8"/>
  <c r="M127" i="8"/>
  <c r="N125" i="8"/>
  <c r="K123" i="8"/>
  <c r="K121" i="8"/>
  <c r="L119" i="8"/>
  <c r="K117" i="8"/>
  <c r="K115" i="8"/>
  <c r="L113" i="8"/>
  <c r="K111" i="8"/>
  <c r="L109" i="8"/>
  <c r="M107" i="8"/>
  <c r="N105" i="8"/>
  <c r="C104" i="8"/>
  <c r="G102" i="8"/>
  <c r="K100" i="8"/>
  <c r="C99" i="8"/>
  <c r="H97" i="8"/>
  <c r="M95" i="8"/>
  <c r="E94" i="8"/>
  <c r="J92" i="8"/>
  <c r="B91" i="8"/>
  <c r="G89" i="8"/>
  <c r="L87" i="8"/>
  <c r="F90" i="11"/>
  <c r="J75" i="11"/>
  <c r="I61" i="11"/>
  <c r="I45" i="11"/>
  <c r="I32" i="11"/>
  <c r="J194" i="10"/>
  <c r="F182" i="10"/>
  <c r="C150" i="10"/>
  <c r="K140" i="10"/>
  <c r="K129" i="10"/>
  <c r="F120" i="10"/>
  <c r="L110" i="10"/>
  <c r="G102" i="10"/>
  <c r="M91" i="10"/>
  <c r="G83" i="10"/>
  <c r="J74" i="10"/>
  <c r="E57" i="10"/>
  <c r="M49" i="10"/>
  <c r="G42" i="10"/>
  <c r="I35" i="10"/>
  <c r="K27" i="10"/>
  <c r="C554" i="8"/>
  <c r="E547" i="8"/>
  <c r="H540" i="8"/>
  <c r="H532" i="8"/>
  <c r="K525" i="8"/>
  <c r="I519" i="8"/>
  <c r="I505" i="8"/>
  <c r="G499" i="8"/>
  <c r="F487" i="8"/>
  <c r="C473" i="8"/>
  <c r="N466" i="8"/>
  <c r="J460" i="8"/>
  <c r="H453" i="8"/>
  <c r="N446" i="8"/>
  <c r="C441" i="8"/>
  <c r="G434" i="8"/>
  <c r="K427" i="8"/>
  <c r="K421" i="8"/>
  <c r="M415" i="8"/>
  <c r="I410" i="8"/>
  <c r="B404" i="8"/>
  <c r="N397" i="8"/>
  <c r="E392" i="8"/>
  <c r="M386" i="8"/>
  <c r="B381" i="8"/>
  <c r="L375" i="8"/>
  <c r="I370" i="8"/>
  <c r="K365" i="8"/>
  <c r="M359" i="8"/>
  <c r="I354" i="8"/>
  <c r="C350" i="8"/>
  <c r="F345" i="8"/>
  <c r="F340" i="8"/>
  <c r="C335" i="8"/>
  <c r="G330" i="8"/>
  <c r="F325" i="8"/>
  <c r="H320" i="8"/>
  <c r="I315" i="8"/>
  <c r="E311" i="8"/>
  <c r="I306" i="8"/>
  <c r="N301" i="8"/>
  <c r="E297" i="8"/>
  <c r="G293" i="8"/>
  <c r="B289" i="8"/>
  <c r="C285" i="8"/>
  <c r="K280" i="8"/>
  <c r="C277" i="8"/>
  <c r="C273" i="8"/>
  <c r="B269" i="8"/>
  <c r="I265" i="8"/>
  <c r="M261" i="8"/>
  <c r="H258" i="8"/>
  <c r="G254" i="8"/>
  <c r="B248" i="8"/>
  <c r="M244" i="8"/>
  <c r="C238" i="8"/>
  <c r="E232" i="8"/>
  <c r="C229" i="8"/>
  <c r="N225" i="8"/>
  <c r="C223" i="8"/>
  <c r="H220" i="8"/>
  <c r="I217" i="8"/>
  <c r="N214" i="8"/>
  <c r="E212" i="8"/>
  <c r="L209" i="8"/>
  <c r="M206" i="8"/>
  <c r="E204" i="8"/>
  <c r="M201" i="8"/>
  <c r="E199" i="8"/>
  <c r="J196" i="8"/>
  <c r="J191" i="8"/>
  <c r="K186" i="8"/>
  <c r="E184" i="8"/>
  <c r="L181" i="8"/>
  <c r="H179" i="8"/>
  <c r="K174" i="8"/>
  <c r="F172" i="8"/>
  <c r="I167" i="8"/>
  <c r="F165" i="8"/>
  <c r="C163" i="8"/>
  <c r="M160" i="8"/>
  <c r="K158" i="8"/>
  <c r="H156" i="8"/>
  <c r="E154" i="8"/>
  <c r="N151" i="8"/>
  <c r="K149" i="8"/>
  <c r="F147" i="8"/>
  <c r="E145" i="8"/>
  <c r="B141" i="8"/>
  <c r="C139" i="8"/>
  <c r="C137" i="8"/>
  <c r="C133" i="8"/>
  <c r="N130" i="8"/>
  <c r="B129" i="8"/>
  <c r="N126" i="8"/>
  <c r="N124" i="8"/>
  <c r="B123" i="8"/>
  <c r="N120" i="8"/>
  <c r="B119" i="8"/>
  <c r="B117" i="8"/>
  <c r="C115" i="8"/>
  <c r="M112" i="8"/>
  <c r="M110" i="8"/>
  <c r="N108" i="8"/>
  <c r="B107" i="8"/>
  <c r="E105" i="8"/>
  <c r="H103" i="8"/>
  <c r="L101" i="8"/>
  <c r="C100" i="8"/>
  <c r="J89" i="11"/>
  <c r="J74" i="11"/>
  <c r="H57" i="11"/>
  <c r="E45" i="11"/>
  <c r="M192" i="10"/>
  <c r="N168" i="10"/>
  <c r="E159" i="10"/>
  <c r="N148" i="10"/>
  <c r="F138" i="10"/>
  <c r="H129" i="10"/>
  <c r="B119" i="10"/>
  <c r="K109" i="10"/>
  <c r="G99" i="10"/>
  <c r="J91" i="10"/>
  <c r="K64" i="10"/>
  <c r="K56" i="10"/>
  <c r="G49" i="10"/>
  <c r="K41" i="10"/>
  <c r="J33" i="10"/>
  <c r="C27" i="10"/>
  <c r="F546" i="8"/>
  <c r="G538" i="8"/>
  <c r="B525" i="8"/>
  <c r="N518" i="8"/>
  <c r="I511" i="8"/>
  <c r="F505" i="8"/>
  <c r="F492" i="8"/>
  <c r="I485" i="8"/>
  <c r="G479" i="8"/>
  <c r="H472" i="8"/>
  <c r="C459" i="8"/>
  <c r="B453" i="8"/>
  <c r="G446" i="8"/>
  <c r="E440" i="8"/>
  <c r="B433" i="8"/>
  <c r="C427" i="8"/>
  <c r="C415" i="8"/>
  <c r="B409" i="8"/>
  <c r="H403" i="8"/>
  <c r="C397" i="8"/>
  <c r="G391" i="8"/>
  <c r="M385" i="8"/>
  <c r="C380" i="8"/>
  <c r="I375" i="8"/>
  <c r="E370" i="8"/>
  <c r="E364" i="8"/>
  <c r="H359" i="8"/>
  <c r="F354" i="8"/>
  <c r="I349" i="8"/>
  <c r="C344" i="8"/>
  <c r="I339" i="8"/>
  <c r="F334" i="8"/>
  <c r="B330" i="8"/>
  <c r="E324" i="8"/>
  <c r="F319" i="8"/>
  <c r="C315" i="8"/>
  <c r="G310" i="8"/>
  <c r="J305" i="8"/>
  <c r="B297" i="8"/>
  <c r="F288" i="8"/>
  <c r="G284" i="8"/>
  <c r="I276" i="8"/>
  <c r="F272" i="8"/>
  <c r="L268" i="8"/>
  <c r="M264" i="8"/>
  <c r="F261" i="8"/>
  <c r="I257" i="8"/>
  <c r="N250" i="8"/>
  <c r="I247" i="8"/>
  <c r="N243" i="8"/>
  <c r="L240" i="8"/>
  <c r="I237" i="8"/>
  <c r="N234" i="8"/>
  <c r="H231" i="8"/>
  <c r="I228" i="8"/>
  <c r="K225" i="8"/>
  <c r="M222" i="8"/>
  <c r="M219" i="8"/>
  <c r="F217" i="8"/>
  <c r="J214" i="8"/>
  <c r="B212" i="8"/>
  <c r="J206" i="8"/>
  <c r="N203" i="8"/>
  <c r="F201" i="8"/>
  <c r="L198" i="8"/>
  <c r="G196" i="8"/>
  <c r="L193" i="8"/>
  <c r="F191" i="8"/>
  <c r="L188" i="8"/>
  <c r="H186" i="8"/>
  <c r="M183" i="8"/>
  <c r="G181" i="8"/>
  <c r="C179" i="8"/>
  <c r="L176" i="8"/>
  <c r="H174" i="8"/>
  <c r="C172" i="8"/>
  <c r="J169" i="8"/>
  <c r="E167" i="8"/>
  <c r="C165" i="8"/>
  <c r="K162" i="8"/>
  <c r="I160" i="8"/>
  <c r="F158" i="8"/>
  <c r="C156" i="8"/>
  <c r="J153" i="8"/>
  <c r="I151" i="8"/>
  <c r="I79" i="11"/>
  <c r="F61" i="11"/>
  <c r="D42" i="11"/>
  <c r="I21" i="11"/>
  <c r="B182" i="10"/>
  <c r="J166" i="10"/>
  <c r="B153" i="10"/>
  <c r="G139" i="10"/>
  <c r="H126" i="10"/>
  <c r="E113" i="10"/>
  <c r="E90" i="10"/>
  <c r="M76" i="10"/>
  <c r="C66" i="10"/>
  <c r="M44" i="10"/>
  <c r="N34" i="10"/>
  <c r="B549" i="8"/>
  <c r="F540" i="8"/>
  <c r="B531" i="8"/>
  <c r="L520" i="8"/>
  <c r="N512" i="8"/>
  <c r="E495" i="8"/>
  <c r="G486" i="8"/>
  <c r="B478" i="8"/>
  <c r="J468" i="8"/>
  <c r="I460" i="8"/>
  <c r="N451" i="8"/>
  <c r="F442" i="8"/>
  <c r="F434" i="8"/>
  <c r="K425" i="8"/>
  <c r="I417" i="8"/>
  <c r="J409" i="8"/>
  <c r="M401" i="8"/>
  <c r="J393" i="8"/>
  <c r="L386" i="8"/>
  <c r="F379" i="8"/>
  <c r="J365" i="8"/>
  <c r="I358" i="8"/>
  <c r="C345" i="8"/>
  <c r="E338" i="8"/>
  <c r="G331" i="8"/>
  <c r="E325" i="8"/>
  <c r="L318" i="8"/>
  <c r="G312" i="8"/>
  <c r="H306" i="8"/>
  <c r="F300" i="8"/>
  <c r="F294" i="8"/>
  <c r="N288" i="8"/>
  <c r="G283" i="8"/>
  <c r="K277" i="8"/>
  <c r="M272" i="8"/>
  <c r="N267" i="8"/>
  <c r="L262" i="8"/>
  <c r="E258" i="8"/>
  <c r="G253" i="8"/>
  <c r="L248" i="8"/>
  <c r="L244" i="8"/>
  <c r="E240" i="8"/>
  <c r="N235" i="8"/>
  <c r="B228" i="8"/>
  <c r="M223" i="8"/>
  <c r="G220" i="8"/>
  <c r="K216" i="8"/>
  <c r="B213" i="8"/>
  <c r="K209" i="8"/>
  <c r="B206" i="8"/>
  <c r="F202" i="8"/>
  <c r="L195" i="8"/>
  <c r="C189" i="8"/>
  <c r="L185" i="8"/>
  <c r="H182" i="8"/>
  <c r="F179" i="8"/>
  <c r="F176" i="8"/>
  <c r="N172" i="8"/>
  <c r="L169" i="8"/>
  <c r="M166" i="8"/>
  <c r="J163" i="8"/>
  <c r="L160" i="8"/>
  <c r="K157" i="8"/>
  <c r="L154" i="8"/>
  <c r="K151" i="8"/>
  <c r="M148" i="8"/>
  <c r="C146" i="8"/>
  <c r="G143" i="8"/>
  <c r="L140" i="8"/>
  <c r="F138" i="8"/>
  <c r="J135" i="8"/>
  <c r="E133" i="8"/>
  <c r="K130" i="8"/>
  <c r="F128" i="8"/>
  <c r="H125" i="8"/>
  <c r="K120" i="8"/>
  <c r="E118" i="8"/>
  <c r="I115" i="8"/>
  <c r="J110" i="8"/>
  <c r="F108" i="8"/>
  <c r="K105" i="8"/>
  <c r="J103" i="8"/>
  <c r="I101" i="8"/>
  <c r="H99" i="8"/>
  <c r="G97" i="8"/>
  <c r="I95" i="8"/>
  <c r="J93" i="8"/>
  <c r="L91" i="8"/>
  <c r="N89" i="8"/>
  <c r="G86" i="8"/>
  <c r="J84" i="8"/>
  <c r="M82" i="8"/>
  <c r="H79" i="8"/>
  <c r="L77" i="8"/>
  <c r="C76" i="8"/>
  <c r="G74" i="8"/>
  <c r="K72" i="8"/>
  <c r="B71" i="8"/>
  <c r="G69" i="8"/>
  <c r="L67" i="8"/>
  <c r="I64" i="8"/>
  <c r="N62" i="8"/>
  <c r="F61" i="8"/>
  <c r="K59" i="8"/>
  <c r="C58" i="8"/>
  <c r="H56" i="8"/>
  <c r="M54" i="8"/>
  <c r="I51" i="8"/>
  <c r="N49" i="8"/>
  <c r="F48" i="8"/>
  <c r="K46" i="8"/>
  <c r="C45" i="8"/>
  <c r="H43" i="8"/>
  <c r="M41" i="8"/>
  <c r="E40" i="8"/>
  <c r="J38" i="8"/>
  <c r="B37" i="8"/>
  <c r="H35" i="8"/>
  <c r="N33" i="8"/>
  <c r="G32" i="8"/>
  <c r="M30" i="8"/>
  <c r="F29" i="8"/>
  <c r="L27" i="8"/>
  <c r="E26" i="8"/>
  <c r="K24" i="8"/>
  <c r="M1241" i="7"/>
  <c r="E1240" i="7"/>
  <c r="I1238" i="7"/>
  <c r="M1236" i="7"/>
  <c r="E1235" i="7"/>
  <c r="I1233" i="7"/>
  <c r="M1231" i="7"/>
  <c r="E1230" i="7"/>
  <c r="I1228" i="7"/>
  <c r="M1226" i="7"/>
  <c r="E1225" i="7"/>
  <c r="I1223" i="7"/>
  <c r="E59" i="11"/>
  <c r="G40" i="11"/>
  <c r="H180" i="10"/>
  <c r="H166" i="10"/>
  <c r="H151" i="10"/>
  <c r="C139" i="10"/>
  <c r="F126" i="10"/>
  <c r="M112" i="10"/>
  <c r="M100" i="10"/>
  <c r="B89" i="10"/>
  <c r="G76" i="10"/>
  <c r="M64" i="10"/>
  <c r="C55" i="10"/>
  <c r="H43" i="10"/>
  <c r="H34" i="10"/>
  <c r="C25" i="10"/>
  <c r="G548" i="8"/>
  <c r="F539" i="8"/>
  <c r="H520" i="8"/>
  <c r="M511" i="8"/>
  <c r="K503" i="8"/>
  <c r="E494" i="8"/>
  <c r="N485" i="8"/>
  <c r="I477" i="8"/>
  <c r="N467" i="8"/>
  <c r="B460" i="8"/>
  <c r="F451" i="8"/>
  <c r="L441" i="8"/>
  <c r="H433" i="8"/>
  <c r="I425" i="8"/>
  <c r="J416" i="8"/>
  <c r="G409" i="8"/>
  <c r="J401" i="8"/>
  <c r="F393" i="8"/>
  <c r="G386" i="8"/>
  <c r="B379" i="8"/>
  <c r="G371" i="8"/>
  <c r="L364" i="8"/>
  <c r="M357" i="8"/>
  <c r="B351" i="8"/>
  <c r="I344" i="8"/>
  <c r="C331" i="8"/>
  <c r="J324" i="8"/>
  <c r="K318" i="8"/>
  <c r="M311" i="8"/>
  <c r="N305" i="8"/>
  <c r="E300" i="8"/>
  <c r="K288" i="8"/>
  <c r="F283" i="8"/>
  <c r="I277" i="8"/>
  <c r="H272" i="8"/>
  <c r="M267" i="8"/>
  <c r="F262" i="8"/>
  <c r="K257" i="8"/>
  <c r="F253" i="8"/>
  <c r="H248" i="8"/>
  <c r="C244" i="8"/>
  <c r="B240" i="8"/>
  <c r="J235" i="8"/>
  <c r="J231" i="8"/>
  <c r="N227" i="8"/>
  <c r="K223" i="8"/>
  <c r="B220" i="8"/>
  <c r="J216" i="8"/>
  <c r="M212" i="8"/>
  <c r="H209" i="8"/>
  <c r="N205" i="8"/>
  <c r="C199" i="8"/>
  <c r="K195" i="8"/>
  <c r="C192" i="8"/>
  <c r="B189" i="8"/>
  <c r="K185" i="8"/>
  <c r="G182" i="8"/>
  <c r="E179" i="8"/>
  <c r="E176" i="8"/>
  <c r="M172" i="8"/>
  <c r="K169" i="8"/>
  <c r="L166" i="8"/>
  <c r="I163" i="8"/>
  <c r="K160" i="8"/>
  <c r="J157" i="8"/>
  <c r="K154" i="8"/>
  <c r="J151" i="8"/>
  <c r="L148" i="8"/>
  <c r="K145" i="8"/>
  <c r="F143" i="8"/>
  <c r="K140" i="8"/>
  <c r="E138" i="8"/>
  <c r="I135" i="8"/>
  <c r="J130" i="8"/>
  <c r="E128" i="8"/>
  <c r="G125" i="8"/>
  <c r="C123" i="8"/>
  <c r="J120" i="8"/>
  <c r="H115" i="8"/>
  <c r="N112" i="8"/>
  <c r="I110" i="8"/>
  <c r="E108" i="8"/>
  <c r="J105" i="8"/>
  <c r="I103" i="8"/>
  <c r="H101" i="8"/>
  <c r="G99" i="8"/>
  <c r="F97" i="8"/>
  <c r="H95" i="8"/>
  <c r="I93" i="8"/>
  <c r="K91" i="8"/>
  <c r="M89" i="8"/>
  <c r="C88" i="8"/>
  <c r="E86" i="8"/>
  <c r="I84" i="8"/>
  <c r="L82" i="8"/>
  <c r="C81" i="8"/>
  <c r="G79" i="8"/>
  <c r="K77" i="8"/>
  <c r="B76" i="8"/>
  <c r="F74" i="8"/>
  <c r="J72" i="8"/>
  <c r="N70" i="8"/>
  <c r="F69" i="8"/>
  <c r="K67" i="8"/>
  <c r="C66" i="8"/>
  <c r="H64" i="8"/>
  <c r="M62" i="8"/>
  <c r="E61" i="8"/>
  <c r="J59" i="8"/>
  <c r="B58" i="8"/>
  <c r="G56" i="8"/>
  <c r="K54" i="8"/>
  <c r="C53" i="8"/>
  <c r="H51" i="8"/>
  <c r="M49" i="8"/>
  <c r="E48" i="8"/>
  <c r="J46" i="8"/>
  <c r="B45" i="8"/>
  <c r="G43" i="8"/>
  <c r="L41" i="8"/>
  <c r="I38" i="8"/>
  <c r="N36" i="8"/>
  <c r="G35" i="8"/>
  <c r="M33" i="8"/>
  <c r="F32" i="8"/>
  <c r="L30" i="8"/>
  <c r="E29" i="8"/>
  <c r="K27" i="8"/>
  <c r="J24" i="8"/>
  <c r="C23" i="8"/>
  <c r="L1241" i="7"/>
  <c r="C1240" i="7"/>
  <c r="H1238" i="7"/>
  <c r="L1236" i="7"/>
  <c r="C1235" i="7"/>
  <c r="H1233" i="7"/>
  <c r="L1231" i="7"/>
  <c r="C1230" i="7"/>
  <c r="H1228" i="7"/>
  <c r="L1226" i="7"/>
  <c r="C1225" i="7"/>
  <c r="H1223" i="7"/>
  <c r="L1221" i="7"/>
  <c r="J78" i="11"/>
  <c r="D57" i="11"/>
  <c r="L39" i="11"/>
  <c r="L179" i="10"/>
  <c r="G166" i="10"/>
  <c r="E151" i="10"/>
  <c r="M136" i="10"/>
  <c r="I125" i="10"/>
  <c r="K112" i="10"/>
  <c r="G88" i="10"/>
  <c r="E75" i="10"/>
  <c r="J64" i="10"/>
  <c r="N54" i="10"/>
  <c r="G43" i="10"/>
  <c r="E24" i="10"/>
  <c r="F548" i="8"/>
  <c r="L537" i="8"/>
  <c r="M529" i="8"/>
  <c r="G520" i="8"/>
  <c r="H511" i="8"/>
  <c r="H503" i="8"/>
  <c r="C494" i="8"/>
  <c r="J484" i="8"/>
  <c r="B477" i="8"/>
  <c r="M467" i="8"/>
  <c r="I458" i="8"/>
  <c r="E451" i="8"/>
  <c r="K441" i="8"/>
  <c r="N432" i="8"/>
  <c r="H425" i="8"/>
  <c r="G416" i="8"/>
  <c r="F401" i="8"/>
  <c r="L392" i="8"/>
  <c r="J385" i="8"/>
  <c r="N378" i="8"/>
  <c r="B364" i="8"/>
  <c r="J357" i="8"/>
  <c r="I350" i="8"/>
  <c r="B344" i="8"/>
  <c r="C338" i="8"/>
  <c r="M330" i="8"/>
  <c r="J318" i="8"/>
  <c r="J311" i="8"/>
  <c r="I305" i="8"/>
  <c r="C294" i="8"/>
  <c r="C288" i="8"/>
  <c r="E283" i="8"/>
  <c r="H277" i="8"/>
  <c r="C272" i="8"/>
  <c r="L267" i="8"/>
  <c r="C262" i="8"/>
  <c r="E257" i="8"/>
  <c r="E253" i="8"/>
  <c r="G248" i="8"/>
  <c r="M243" i="8"/>
  <c r="N239" i="8"/>
  <c r="G235" i="8"/>
  <c r="G231" i="8"/>
  <c r="K227" i="8"/>
  <c r="J223" i="8"/>
  <c r="L219" i="8"/>
  <c r="I216" i="8"/>
  <c r="L212" i="8"/>
  <c r="C209" i="8"/>
  <c r="M205" i="8"/>
  <c r="C202" i="8"/>
  <c r="K198" i="8"/>
  <c r="J195" i="8"/>
  <c r="B192" i="8"/>
  <c r="K188" i="8"/>
  <c r="J185" i="8"/>
  <c r="F182" i="8"/>
  <c r="B179" i="8"/>
  <c r="L172" i="8"/>
  <c r="I169" i="8"/>
  <c r="K166" i="8"/>
  <c r="H163" i="8"/>
  <c r="H160" i="8"/>
  <c r="I157" i="8"/>
  <c r="J154" i="8"/>
  <c r="H151" i="8"/>
  <c r="K148" i="8"/>
  <c r="J145" i="8"/>
  <c r="C143" i="8"/>
  <c r="J140" i="8"/>
  <c r="H135" i="8"/>
  <c r="M132" i="8"/>
  <c r="I130" i="8"/>
  <c r="C128" i="8"/>
  <c r="F125" i="8"/>
  <c r="N122" i="8"/>
  <c r="I120" i="8"/>
  <c r="N117" i="8"/>
  <c r="G115" i="8"/>
  <c r="K112" i="8"/>
  <c r="H110" i="8"/>
  <c r="C108" i="8"/>
  <c r="I105" i="8"/>
  <c r="H77" i="11"/>
  <c r="L38" i="11"/>
  <c r="E195" i="10"/>
  <c r="C179" i="10"/>
  <c r="E164" i="10"/>
  <c r="B151" i="10"/>
  <c r="L136" i="10"/>
  <c r="H124" i="10"/>
  <c r="C112" i="10"/>
  <c r="N98" i="10"/>
  <c r="K87" i="10"/>
  <c r="B64" i="10"/>
  <c r="M52" i="10"/>
  <c r="F43" i="10"/>
  <c r="M32" i="10"/>
  <c r="L23" i="10"/>
  <c r="C548" i="8"/>
  <c r="K537" i="8"/>
  <c r="N528" i="8"/>
  <c r="K519" i="8"/>
  <c r="G511" i="8"/>
  <c r="C502" i="8"/>
  <c r="B494" i="8"/>
  <c r="I484" i="8"/>
  <c r="F476" i="8"/>
  <c r="L467" i="8"/>
  <c r="H458" i="8"/>
  <c r="E441" i="8"/>
  <c r="M432" i="8"/>
  <c r="G424" i="8"/>
  <c r="F416" i="8"/>
  <c r="C408" i="8"/>
  <c r="I400" i="8"/>
  <c r="K392" i="8"/>
  <c r="B378" i="8"/>
  <c r="K370" i="8"/>
  <c r="N363" i="8"/>
  <c r="G350" i="8"/>
  <c r="N343" i="8"/>
  <c r="E337" i="8"/>
  <c r="L330" i="8"/>
  <c r="C324" i="8"/>
  <c r="L317" i="8"/>
  <c r="I311" i="8"/>
  <c r="G299" i="8"/>
  <c r="I293" i="8"/>
  <c r="B288" i="8"/>
  <c r="J282" i="8"/>
  <c r="G277" i="8"/>
  <c r="B272" i="8"/>
  <c r="B267" i="8"/>
  <c r="B262" i="8"/>
  <c r="L252" i="8"/>
  <c r="F248" i="8"/>
  <c r="L243" i="8"/>
  <c r="E239" i="8"/>
  <c r="F235" i="8"/>
  <c r="F231" i="8"/>
  <c r="G227" i="8"/>
  <c r="I223" i="8"/>
  <c r="I219" i="8"/>
  <c r="K212" i="8"/>
  <c r="B209" i="8"/>
  <c r="H205" i="8"/>
  <c r="B202" i="8"/>
  <c r="H198" i="8"/>
  <c r="C195" i="8"/>
  <c r="N191" i="8"/>
  <c r="I188" i="8"/>
  <c r="B185" i="8"/>
  <c r="E182" i="8"/>
  <c r="N178" i="8"/>
  <c r="J175" i="8"/>
  <c r="K172" i="8"/>
  <c r="H169" i="8"/>
  <c r="C166" i="8"/>
  <c r="G163" i="8"/>
  <c r="G160" i="8"/>
  <c r="G154" i="8"/>
  <c r="G151" i="8"/>
  <c r="F148" i="8"/>
  <c r="I145" i="8"/>
  <c r="B143" i="8"/>
  <c r="I140" i="8"/>
  <c r="K137" i="8"/>
  <c r="G135" i="8"/>
  <c r="K132" i="8"/>
  <c r="H130" i="8"/>
  <c r="L127" i="8"/>
  <c r="E125" i="8"/>
  <c r="M122" i="8"/>
  <c r="G120" i="8"/>
  <c r="J117" i="8"/>
  <c r="F115" i="8"/>
  <c r="J112" i="8"/>
  <c r="E110" i="8"/>
  <c r="J107" i="8"/>
  <c r="H105" i="8"/>
  <c r="F103" i="8"/>
  <c r="B99" i="8"/>
  <c r="F95" i="8"/>
  <c r="G93" i="8"/>
  <c r="I91" i="8"/>
  <c r="K89" i="8"/>
  <c r="M87" i="8"/>
  <c r="K70" i="11"/>
  <c r="K51" i="11"/>
  <c r="F34" i="11"/>
  <c r="E191" i="10"/>
  <c r="K173" i="10"/>
  <c r="G160" i="10"/>
  <c r="K147" i="10"/>
  <c r="C133" i="10"/>
  <c r="J120" i="10"/>
  <c r="J107" i="10"/>
  <c r="N95" i="10"/>
  <c r="M84" i="10"/>
  <c r="K71" i="10"/>
  <c r="F60" i="10"/>
  <c r="K50" i="10"/>
  <c r="I40" i="10"/>
  <c r="M29" i="10"/>
  <c r="M554" i="8"/>
  <c r="N544" i="8"/>
  <c r="F535" i="8"/>
  <c r="N526" i="8"/>
  <c r="F517" i="8"/>
  <c r="F508" i="8"/>
  <c r="G491" i="8"/>
  <c r="C482" i="8"/>
  <c r="N473" i="8"/>
  <c r="H464" i="8"/>
  <c r="F456" i="8"/>
  <c r="C448" i="8"/>
  <c r="M438" i="8"/>
  <c r="C430" i="8"/>
  <c r="E422" i="8"/>
  <c r="C414" i="8"/>
  <c r="M405" i="8"/>
  <c r="E398" i="8"/>
  <c r="E390" i="8"/>
  <c r="N382" i="8"/>
  <c r="N375" i="8"/>
  <c r="C369" i="8"/>
  <c r="B362" i="8"/>
  <c r="H355" i="8"/>
  <c r="G348" i="8"/>
  <c r="J341" i="8"/>
  <c r="H335" i="8"/>
  <c r="M328" i="8"/>
  <c r="M321" i="8"/>
  <c r="B316" i="8"/>
  <c r="I309" i="8"/>
  <c r="I303" i="8"/>
  <c r="M297" i="8"/>
  <c r="M291" i="8"/>
  <c r="F286" i="8"/>
  <c r="M280" i="8"/>
  <c r="J275" i="8"/>
  <c r="F270" i="8"/>
  <c r="K265" i="8"/>
  <c r="J260" i="8"/>
  <c r="L255" i="8"/>
  <c r="F251" i="8"/>
  <c r="N246" i="8"/>
  <c r="F242" i="8"/>
  <c r="E238" i="8"/>
  <c r="E234" i="8"/>
  <c r="C230" i="8"/>
  <c r="G226" i="8"/>
  <c r="E222" i="8"/>
  <c r="H218" i="8"/>
  <c r="C215" i="8"/>
  <c r="H211" i="8"/>
  <c r="N207" i="8"/>
  <c r="H204" i="8"/>
  <c r="M200" i="8"/>
  <c r="H197" i="8"/>
  <c r="E194" i="8"/>
  <c r="C191" i="8"/>
  <c r="H187" i="8"/>
  <c r="F184" i="8"/>
  <c r="B181" i="8"/>
  <c r="L177" i="8"/>
  <c r="L174" i="8"/>
  <c r="K171" i="8"/>
  <c r="H168" i="8"/>
  <c r="G165" i="8"/>
  <c r="H162" i="8"/>
  <c r="E159" i="8"/>
  <c r="I156" i="8"/>
  <c r="G153" i="8"/>
  <c r="G150" i="8"/>
  <c r="G147" i="8"/>
  <c r="N144" i="8"/>
  <c r="G142" i="8"/>
  <c r="H139" i="8"/>
  <c r="I134" i="8"/>
  <c r="E132" i="8"/>
  <c r="I129" i="8"/>
  <c r="B127" i="8"/>
  <c r="J124" i="8"/>
  <c r="E122" i="8"/>
  <c r="G119" i="8"/>
  <c r="C117" i="8"/>
  <c r="H114" i="8"/>
  <c r="F109" i="8"/>
  <c r="C107" i="8"/>
  <c r="N104" i="8"/>
  <c r="K102" i="8"/>
  <c r="H100" i="8"/>
  <c r="I98" i="8"/>
  <c r="J96" i="8"/>
  <c r="L94" i="8"/>
  <c r="N92" i="8"/>
  <c r="M90" i="8"/>
  <c r="B89" i="8"/>
  <c r="E87" i="8"/>
  <c r="I85" i="8"/>
  <c r="M83" i="8"/>
  <c r="H80" i="8"/>
  <c r="L78" i="8"/>
  <c r="C77" i="8"/>
  <c r="G75" i="8"/>
  <c r="J73" i="8"/>
  <c r="N71" i="8"/>
  <c r="F70" i="8"/>
  <c r="K68" i="8"/>
  <c r="B67" i="8"/>
  <c r="G65" i="8"/>
  <c r="L63" i="8"/>
  <c r="I60" i="8"/>
  <c r="N58" i="8"/>
  <c r="F57" i="8"/>
  <c r="K55" i="8"/>
  <c r="C54" i="8"/>
  <c r="H52" i="8"/>
  <c r="M50" i="8"/>
  <c r="E49" i="8"/>
  <c r="J47" i="8"/>
  <c r="B46" i="8"/>
  <c r="G44" i="8"/>
  <c r="L42" i="8"/>
  <c r="I39" i="8"/>
  <c r="N37" i="8"/>
  <c r="F36" i="8"/>
  <c r="L34" i="8"/>
  <c r="E33" i="8"/>
  <c r="K31" i="8"/>
  <c r="J28" i="8"/>
  <c r="C27" i="8"/>
  <c r="I25" i="8"/>
  <c r="B24" i="8"/>
  <c r="H22" i="8"/>
  <c r="C1241" i="7"/>
  <c r="G88" i="11"/>
  <c r="H64" i="11"/>
  <c r="D46" i="11"/>
  <c r="F28" i="11"/>
  <c r="J186" i="10"/>
  <c r="I170" i="10"/>
  <c r="H157" i="10"/>
  <c r="L142" i="10"/>
  <c r="F118" i="10"/>
  <c r="H104" i="10"/>
  <c r="J92" i="10"/>
  <c r="C81" i="10"/>
  <c r="H68" i="10"/>
  <c r="H57" i="10"/>
  <c r="M47" i="10"/>
  <c r="M36" i="10"/>
  <c r="B28" i="10"/>
  <c r="N552" i="8"/>
  <c r="C542" i="8"/>
  <c r="F533" i="8"/>
  <c r="F524" i="8"/>
  <c r="K514" i="8"/>
  <c r="F506" i="8"/>
  <c r="K497" i="8"/>
  <c r="E488" i="8"/>
  <c r="E480" i="8"/>
  <c r="B472" i="8"/>
  <c r="G462" i="8"/>
  <c r="C454" i="8"/>
  <c r="F445" i="8"/>
  <c r="E436" i="8"/>
  <c r="C428" i="8"/>
  <c r="N419" i="8"/>
  <c r="G411" i="8"/>
  <c r="C404" i="8"/>
  <c r="L396" i="8"/>
  <c r="C388" i="8"/>
  <c r="C381" i="8"/>
  <c r="H374" i="8"/>
  <c r="M366" i="8"/>
  <c r="B360" i="8"/>
  <c r="H353" i="8"/>
  <c r="K346" i="8"/>
  <c r="G340" i="8"/>
  <c r="C334" i="8"/>
  <c r="M326" i="8"/>
  <c r="K320" i="8"/>
  <c r="I314" i="8"/>
  <c r="N307" i="8"/>
  <c r="B302" i="8"/>
  <c r="H296" i="8"/>
  <c r="G290" i="8"/>
  <c r="L279" i="8"/>
  <c r="E274" i="8"/>
  <c r="E269" i="8"/>
  <c r="J264" i="8"/>
  <c r="E259" i="8"/>
  <c r="H254" i="8"/>
  <c r="F250" i="8"/>
  <c r="H245" i="8"/>
  <c r="E241" i="8"/>
  <c r="F237" i="8"/>
  <c r="B233" i="8"/>
  <c r="F225" i="8"/>
  <c r="J217" i="8"/>
  <c r="G214" i="8"/>
  <c r="G210" i="8"/>
  <c r="K203" i="8"/>
  <c r="N199" i="8"/>
  <c r="M196" i="8"/>
  <c r="G193" i="8"/>
  <c r="M189" i="8"/>
  <c r="L186" i="8"/>
  <c r="H183" i="8"/>
  <c r="G180" i="8"/>
  <c r="F177" i="8"/>
  <c r="J170" i="8"/>
  <c r="J167" i="8"/>
  <c r="I164" i="8"/>
  <c r="H161" i="8"/>
  <c r="L158" i="8"/>
  <c r="K155" i="8"/>
  <c r="J152" i="8"/>
  <c r="L149" i="8"/>
  <c r="M146" i="8"/>
  <c r="H144" i="8"/>
  <c r="H141" i="8"/>
  <c r="B139" i="8"/>
  <c r="G136" i="8"/>
  <c r="C134" i="8"/>
  <c r="H131" i="8"/>
  <c r="N128" i="8"/>
  <c r="H126" i="8"/>
  <c r="C124" i="8"/>
  <c r="G121" i="8"/>
  <c r="M118" i="8"/>
  <c r="F116" i="8"/>
  <c r="B114" i="8"/>
  <c r="G111" i="8"/>
  <c r="L108" i="8"/>
  <c r="J106" i="8"/>
  <c r="G104" i="8"/>
  <c r="C102" i="8"/>
  <c r="B100" i="8"/>
  <c r="C98" i="8"/>
  <c r="E96" i="8"/>
  <c r="F92" i="8"/>
  <c r="G90" i="8"/>
  <c r="J88" i="8"/>
  <c r="M86" i="8"/>
  <c r="H83" i="8"/>
  <c r="L81" i="8"/>
  <c r="C80" i="8"/>
  <c r="G78" i="8"/>
  <c r="J76" i="8"/>
  <c r="I75" i="11"/>
  <c r="E49" i="11"/>
  <c r="G22" i="11"/>
  <c r="C174" i="10"/>
  <c r="C157" i="10"/>
  <c r="H118" i="10"/>
  <c r="L98" i="10"/>
  <c r="M82" i="10"/>
  <c r="K66" i="10"/>
  <c r="C51" i="10"/>
  <c r="I36" i="10"/>
  <c r="L527" i="8"/>
  <c r="H516" i="8"/>
  <c r="H504" i="8"/>
  <c r="I479" i="8"/>
  <c r="E466" i="8"/>
  <c r="F454" i="8"/>
  <c r="I429" i="8"/>
  <c r="M417" i="8"/>
  <c r="C406" i="8"/>
  <c r="H396" i="8"/>
  <c r="F384" i="8"/>
  <c r="I374" i="8"/>
  <c r="L363" i="8"/>
  <c r="G354" i="8"/>
  <c r="C346" i="8"/>
  <c r="I335" i="8"/>
  <c r="G316" i="8"/>
  <c r="B308" i="8"/>
  <c r="B299" i="8"/>
  <c r="G291" i="8"/>
  <c r="I283" i="8"/>
  <c r="G276" i="8"/>
  <c r="M268" i="8"/>
  <c r="K261" i="8"/>
  <c r="B255" i="8"/>
  <c r="C248" i="8"/>
  <c r="C236" i="8"/>
  <c r="F230" i="8"/>
  <c r="B225" i="8"/>
  <c r="H214" i="8"/>
  <c r="N208" i="8"/>
  <c r="C204" i="8"/>
  <c r="H199" i="8"/>
  <c r="H194" i="8"/>
  <c r="K189" i="8"/>
  <c r="J184" i="8"/>
  <c r="H180" i="8"/>
  <c r="G175" i="8"/>
  <c r="G171" i="8"/>
  <c r="B167" i="8"/>
  <c r="I162" i="8"/>
  <c r="G158" i="8"/>
  <c r="C154" i="8"/>
  <c r="B150" i="8"/>
  <c r="H145" i="8"/>
  <c r="L141" i="8"/>
  <c r="J138" i="8"/>
  <c r="J134" i="8"/>
  <c r="F131" i="8"/>
  <c r="G127" i="8"/>
  <c r="F124" i="8"/>
  <c r="M116" i="8"/>
  <c r="F113" i="8"/>
  <c r="I109" i="8"/>
  <c r="H106" i="8"/>
  <c r="F100" i="8"/>
  <c r="M97" i="8"/>
  <c r="C95" i="8"/>
  <c r="I92" i="8"/>
  <c r="J87" i="8"/>
  <c r="H85" i="8"/>
  <c r="G83" i="8"/>
  <c r="E81" i="8"/>
  <c r="C79" i="8"/>
  <c r="B77" i="8"/>
  <c r="M74" i="8"/>
  <c r="N72" i="8"/>
  <c r="M70" i="8"/>
  <c r="B69" i="8"/>
  <c r="F63" i="8"/>
  <c r="H61" i="8"/>
  <c r="H59" i="8"/>
  <c r="I57" i="8"/>
  <c r="J55" i="8"/>
  <c r="L53" i="8"/>
  <c r="N51" i="8"/>
  <c r="B50" i="8"/>
  <c r="B48" i="8"/>
  <c r="E44" i="8"/>
  <c r="F42" i="8"/>
  <c r="H40" i="8"/>
  <c r="H38" i="8"/>
  <c r="J36" i="8"/>
  <c r="M34" i="8"/>
  <c r="B33" i="8"/>
  <c r="E31" i="8"/>
  <c r="H29" i="8"/>
  <c r="I27" i="8"/>
  <c r="L25" i="8"/>
  <c r="N23" i="8"/>
  <c r="I1240" i="7"/>
  <c r="K1238" i="7"/>
  <c r="K1236" i="7"/>
  <c r="M1234" i="7"/>
  <c r="B1233" i="7"/>
  <c r="E1231" i="7"/>
  <c r="G1229" i="7"/>
  <c r="I1227" i="7"/>
  <c r="K1225" i="7"/>
  <c r="M1223" i="7"/>
  <c r="B1222" i="7"/>
  <c r="F1220" i="7"/>
  <c r="J1218" i="7"/>
  <c r="N1216" i="7"/>
  <c r="F1215" i="7"/>
  <c r="J1213" i="7"/>
  <c r="N1211" i="7"/>
  <c r="F1210" i="7"/>
  <c r="J1208" i="7"/>
  <c r="N1206" i="7"/>
  <c r="F1205" i="7"/>
  <c r="J1203" i="7"/>
  <c r="N1201" i="7"/>
  <c r="F1200" i="7"/>
  <c r="J1198" i="7"/>
  <c r="N1196" i="7"/>
  <c r="F1195" i="7"/>
  <c r="J1193" i="7"/>
  <c r="N1191" i="7"/>
  <c r="F1190" i="7"/>
  <c r="J1188" i="7"/>
  <c r="N1186" i="7"/>
  <c r="F1185" i="7"/>
  <c r="J1183" i="7"/>
  <c r="L74" i="11"/>
  <c r="J47" i="11"/>
  <c r="J173" i="10"/>
  <c r="M156" i="10"/>
  <c r="C135" i="10"/>
  <c r="B118" i="10"/>
  <c r="K98" i="10"/>
  <c r="N81" i="10"/>
  <c r="G66" i="10"/>
  <c r="I49" i="10"/>
  <c r="H36" i="10"/>
  <c r="N541" i="8"/>
  <c r="J527" i="8"/>
  <c r="E504" i="8"/>
  <c r="I490" i="8"/>
  <c r="E478" i="8"/>
  <c r="C466" i="8"/>
  <c r="H440" i="8"/>
  <c r="H429" i="8"/>
  <c r="J417" i="8"/>
  <c r="L405" i="8"/>
  <c r="I395" i="8"/>
  <c r="E384" i="8"/>
  <c r="E374" i="8"/>
  <c r="J363" i="8"/>
  <c r="E354" i="8"/>
  <c r="J345" i="8"/>
  <c r="M334" i="8"/>
  <c r="C326" i="8"/>
  <c r="M307" i="8"/>
  <c r="M298" i="8"/>
  <c r="F291" i="8"/>
  <c r="H283" i="8"/>
  <c r="H275" i="8"/>
  <c r="H268" i="8"/>
  <c r="E261" i="8"/>
  <c r="F254" i="8"/>
  <c r="N247" i="8"/>
  <c r="B242" i="8"/>
  <c r="B236" i="8"/>
  <c r="M229" i="8"/>
  <c r="N224" i="8"/>
  <c r="C219" i="8"/>
  <c r="K208" i="8"/>
  <c r="M203" i="8"/>
  <c r="F199" i="8"/>
  <c r="C194" i="8"/>
  <c r="J189" i="8"/>
  <c r="I184" i="8"/>
  <c r="F180" i="8"/>
  <c r="F175" i="8"/>
  <c r="F171" i="8"/>
  <c r="N166" i="8"/>
  <c r="G162" i="8"/>
  <c r="E158" i="8"/>
  <c r="I153" i="8"/>
  <c r="J149" i="8"/>
  <c r="G145" i="8"/>
  <c r="J141" i="8"/>
  <c r="I138" i="8"/>
  <c r="H134" i="8"/>
  <c r="B131" i="8"/>
  <c r="J123" i="8"/>
  <c r="C120" i="8"/>
  <c r="J116" i="8"/>
  <c r="E113" i="8"/>
  <c r="E109" i="8"/>
  <c r="G106" i="8"/>
  <c r="C103" i="8"/>
  <c r="E100" i="8"/>
  <c r="L97" i="8"/>
  <c r="B95" i="8"/>
  <c r="H92" i="8"/>
  <c r="C90" i="8"/>
  <c r="H87" i="8"/>
  <c r="G85" i="8"/>
  <c r="F83" i="8"/>
  <c r="B81" i="8"/>
  <c r="B79" i="8"/>
  <c r="N76" i="8"/>
  <c r="L74" i="8"/>
  <c r="M72" i="8"/>
  <c r="L70" i="8"/>
  <c r="N68" i="8"/>
  <c r="N66" i="8"/>
  <c r="C65" i="8"/>
  <c r="E63" i="8"/>
  <c r="G61" i="8"/>
  <c r="F59" i="8"/>
  <c r="H57" i="8"/>
  <c r="I55" i="8"/>
  <c r="K53" i="8"/>
  <c r="M51" i="8"/>
  <c r="L49" i="8"/>
  <c r="N47" i="8"/>
  <c r="C46" i="8"/>
  <c r="E42" i="8"/>
  <c r="G40" i="8"/>
  <c r="G38" i="8"/>
  <c r="I36" i="8"/>
  <c r="K34" i="8"/>
  <c r="N32" i="8"/>
  <c r="G29" i="8"/>
  <c r="H27" i="8"/>
  <c r="K25" i="8"/>
  <c r="M23" i="8"/>
  <c r="C22" i="8"/>
  <c r="H1240" i="7"/>
  <c r="J1238" i="7"/>
  <c r="J1236" i="7"/>
  <c r="L1234" i="7"/>
  <c r="N1232" i="7"/>
  <c r="C1231" i="7"/>
  <c r="F1229" i="7"/>
  <c r="H1227" i="7"/>
  <c r="J1225" i="7"/>
  <c r="L1223" i="7"/>
  <c r="N1221" i="7"/>
  <c r="E1220" i="7"/>
  <c r="I1218" i="7"/>
  <c r="M1216" i="7"/>
  <c r="E1215" i="7"/>
  <c r="I1213" i="7"/>
  <c r="K73" i="11"/>
  <c r="G45" i="11"/>
  <c r="N194" i="10"/>
  <c r="I173" i="10"/>
  <c r="L153" i="10"/>
  <c r="E117" i="10"/>
  <c r="J97" i="10"/>
  <c r="E81" i="10"/>
  <c r="N63" i="10"/>
  <c r="H49" i="10"/>
  <c r="G36" i="10"/>
  <c r="J541" i="8"/>
  <c r="L514" i="8"/>
  <c r="J501" i="8"/>
  <c r="C490" i="8"/>
  <c r="M465" i="8"/>
  <c r="C453" i="8"/>
  <c r="G440" i="8"/>
  <c r="L428" i="8"/>
  <c r="C416" i="8"/>
  <c r="I405" i="8"/>
  <c r="L393" i="8"/>
  <c r="E383" i="8"/>
  <c r="M362" i="8"/>
  <c r="I343" i="8"/>
  <c r="G334" i="8"/>
  <c r="L325" i="8"/>
  <c r="C316" i="8"/>
  <c r="C298" i="8"/>
  <c r="L290" i="8"/>
  <c r="G275" i="8"/>
  <c r="E268" i="8"/>
  <c r="E254" i="8"/>
  <c r="M247" i="8"/>
  <c r="G241" i="8"/>
  <c r="E235" i="8"/>
  <c r="L229" i="8"/>
  <c r="C224" i="8"/>
  <c r="K218" i="8"/>
  <c r="C214" i="8"/>
  <c r="H208" i="8"/>
  <c r="L203" i="8"/>
  <c r="G198" i="8"/>
  <c r="M193" i="8"/>
  <c r="H189" i="8"/>
  <c r="G184" i="8"/>
  <c r="L179" i="8"/>
  <c r="E175" i="8"/>
  <c r="K170" i="8"/>
  <c r="B166" i="8"/>
  <c r="E162" i="8"/>
  <c r="H153" i="8"/>
  <c r="I149" i="8"/>
  <c r="I141" i="8"/>
  <c r="J137" i="8"/>
  <c r="G134" i="8"/>
  <c r="M130" i="8"/>
  <c r="C127" i="8"/>
  <c r="H123" i="8"/>
  <c r="B120" i="8"/>
  <c r="G116" i="8"/>
  <c r="I112" i="8"/>
  <c r="F106" i="8"/>
  <c r="B103" i="8"/>
  <c r="K97" i="8"/>
  <c r="N94" i="8"/>
  <c r="G92" i="8"/>
  <c r="B90" i="8"/>
  <c r="G87" i="8"/>
  <c r="F85" i="8"/>
  <c r="E83" i="8"/>
  <c r="N80" i="8"/>
  <c r="N78" i="8"/>
  <c r="M76" i="8"/>
  <c r="K74" i="8"/>
  <c r="L72" i="8"/>
  <c r="K70" i="8"/>
  <c r="M68" i="8"/>
  <c r="M66" i="8"/>
  <c r="B65" i="8"/>
  <c r="E59" i="8"/>
  <c r="G57" i="8"/>
  <c r="H55" i="8"/>
  <c r="J53" i="8"/>
  <c r="L51" i="8"/>
  <c r="K49" i="8"/>
  <c r="M68" i="11"/>
  <c r="L43" i="11"/>
  <c r="L192" i="10"/>
  <c r="E169" i="10"/>
  <c r="H149" i="10"/>
  <c r="C132" i="10"/>
  <c r="G113" i="10"/>
  <c r="M95" i="10"/>
  <c r="E80" i="10"/>
  <c r="B62" i="10"/>
  <c r="K47" i="10"/>
  <c r="K32" i="10"/>
  <c r="C553" i="8"/>
  <c r="I540" i="8"/>
  <c r="J525" i="8"/>
  <c r="B514" i="8"/>
  <c r="G500" i="8"/>
  <c r="I474" i="8"/>
  <c r="B452" i="8"/>
  <c r="H438" i="8"/>
  <c r="I426" i="8"/>
  <c r="B415" i="8"/>
  <c r="J403" i="8"/>
  <c r="B392" i="8"/>
  <c r="I382" i="8"/>
  <c r="E372" i="8"/>
  <c r="N361" i="8"/>
  <c r="E353" i="8"/>
  <c r="C343" i="8"/>
  <c r="B334" i="8"/>
  <c r="N323" i="8"/>
  <c r="M314" i="8"/>
  <c r="J306" i="8"/>
  <c r="B290" i="8"/>
  <c r="K281" i="8"/>
  <c r="F266" i="8"/>
  <c r="F260" i="8"/>
  <c r="H253" i="8"/>
  <c r="L246" i="8"/>
  <c r="J240" i="8"/>
  <c r="I234" i="8"/>
  <c r="M228" i="8"/>
  <c r="B223" i="8"/>
  <c r="E218" i="8"/>
  <c r="C213" i="8"/>
  <c r="K207" i="8"/>
  <c r="F203" i="8"/>
  <c r="F193" i="8"/>
  <c r="G188" i="8"/>
  <c r="L183" i="8"/>
  <c r="I179" i="8"/>
  <c r="J174" i="8"/>
  <c r="G170" i="8"/>
  <c r="I165" i="8"/>
  <c r="G161" i="8"/>
  <c r="M156" i="8"/>
  <c r="N148" i="8"/>
  <c r="M144" i="8"/>
  <c r="E141" i="8"/>
  <c r="F137" i="8"/>
  <c r="L133" i="8"/>
  <c r="K126" i="8"/>
  <c r="E123" i="8"/>
  <c r="F119" i="8"/>
  <c r="C116" i="8"/>
  <c r="F112" i="8"/>
  <c r="K108" i="8"/>
  <c r="F105" i="8"/>
  <c r="F102" i="8"/>
  <c r="K99" i="8"/>
  <c r="B97" i="8"/>
  <c r="J94" i="8"/>
  <c r="B92" i="8"/>
  <c r="H89" i="8"/>
  <c r="C87" i="8"/>
  <c r="B85" i="8"/>
  <c r="K82" i="8"/>
  <c r="K80" i="8"/>
  <c r="J78" i="8"/>
  <c r="G76" i="8"/>
  <c r="H74" i="8"/>
  <c r="G72" i="8"/>
  <c r="H70" i="8"/>
  <c r="H68" i="8"/>
  <c r="J66" i="8"/>
  <c r="L64" i="8"/>
  <c r="L62" i="8"/>
  <c r="M60" i="8"/>
  <c r="B59" i="8"/>
  <c r="C57" i="8"/>
  <c r="E55" i="8"/>
  <c r="G53" i="8"/>
  <c r="F51" i="8"/>
  <c r="H49" i="8"/>
  <c r="I47" i="8"/>
  <c r="K45" i="8"/>
  <c r="L43" i="8"/>
  <c r="N41" i="8"/>
  <c r="N39" i="8"/>
  <c r="C38" i="8"/>
  <c r="G34" i="8"/>
  <c r="J32" i="8"/>
  <c r="K30" i="8"/>
  <c r="N28" i="8"/>
  <c r="F25" i="8"/>
  <c r="I23" i="8"/>
  <c r="L68" i="11"/>
  <c r="H42" i="11"/>
  <c r="K191" i="10"/>
  <c r="B149" i="10"/>
  <c r="J130" i="10"/>
  <c r="K111" i="10"/>
  <c r="F77" i="10"/>
  <c r="I60" i="10"/>
  <c r="J47" i="10"/>
  <c r="M31" i="10"/>
  <c r="B553" i="8"/>
  <c r="J537" i="8"/>
  <c r="I525" i="8"/>
  <c r="H513" i="8"/>
  <c r="E500" i="8"/>
  <c r="C488" i="8"/>
  <c r="F474" i="8"/>
  <c r="H462" i="8"/>
  <c r="B449" i="8"/>
  <c r="L437" i="8"/>
  <c r="H426" i="8"/>
  <c r="N414" i="8"/>
  <c r="I403" i="8"/>
  <c r="H391" i="8"/>
  <c r="G381" i="8"/>
  <c r="J370" i="8"/>
  <c r="E361" i="8"/>
  <c r="J351" i="8"/>
  <c r="B342" i="8"/>
  <c r="N333" i="8"/>
  <c r="N322" i="8"/>
  <c r="L314" i="8"/>
  <c r="C305" i="8"/>
  <c r="C297" i="8"/>
  <c r="J289" i="8"/>
  <c r="N280" i="8"/>
  <c r="C274" i="8"/>
  <c r="E266" i="8"/>
  <c r="F259" i="8"/>
  <c r="G246" i="8"/>
  <c r="G240" i="8"/>
  <c r="H234" i="8"/>
  <c r="L228" i="8"/>
  <c r="N222" i="8"/>
  <c r="B218" i="8"/>
  <c r="J212" i="8"/>
  <c r="J207" i="8"/>
  <c r="I202" i="8"/>
  <c r="I197" i="8"/>
  <c r="C188" i="8"/>
  <c r="K183" i="8"/>
  <c r="M178" i="8"/>
  <c r="I174" i="8"/>
  <c r="F170" i="8"/>
  <c r="H165" i="8"/>
  <c r="L156" i="8"/>
  <c r="K152" i="8"/>
  <c r="E148" i="8"/>
  <c r="K144" i="8"/>
  <c r="N140" i="8"/>
  <c r="E137" i="8"/>
  <c r="K133" i="8"/>
  <c r="C130" i="8"/>
  <c r="I126" i="8"/>
  <c r="L122" i="8"/>
  <c r="E119" i="8"/>
  <c r="B116" i="8"/>
  <c r="E112" i="8"/>
  <c r="J108" i="8"/>
  <c r="E102" i="8"/>
  <c r="J99" i="8"/>
  <c r="N96" i="8"/>
  <c r="I94" i="8"/>
  <c r="N91" i="8"/>
  <c r="F89" i="8"/>
  <c r="B87" i="8"/>
  <c r="N84" i="8"/>
  <c r="J82" i="8"/>
  <c r="J80" i="8"/>
  <c r="I78" i="8"/>
  <c r="F76" i="8"/>
  <c r="E74" i="8"/>
  <c r="F72" i="8"/>
  <c r="G70" i="8"/>
  <c r="G68" i="8"/>
  <c r="I66" i="8"/>
  <c r="K64" i="8"/>
  <c r="K62" i="8"/>
  <c r="L60" i="8"/>
  <c r="M58" i="8"/>
  <c r="B57" i="8"/>
  <c r="F53" i="8"/>
  <c r="E51" i="8"/>
  <c r="G49" i="8"/>
  <c r="H47" i="8"/>
  <c r="J45" i="8"/>
  <c r="K43" i="8"/>
  <c r="K41" i="8"/>
  <c r="M39" i="8"/>
  <c r="B38" i="8"/>
  <c r="C36" i="8"/>
  <c r="F34" i="8"/>
  <c r="I32" i="8"/>
  <c r="J30" i="8"/>
  <c r="M28" i="8"/>
  <c r="B27" i="8"/>
  <c r="E25" i="8"/>
  <c r="H23" i="8"/>
  <c r="N1241" i="7"/>
  <c r="M1239" i="7"/>
  <c r="B1238" i="7"/>
  <c r="E1236" i="7"/>
  <c r="G1234" i="7"/>
  <c r="I1232" i="7"/>
  <c r="K1230" i="7"/>
  <c r="M1228" i="7"/>
  <c r="B1227" i="7"/>
  <c r="B64" i="11"/>
  <c r="K34" i="11"/>
  <c r="B188" i="10"/>
  <c r="E167" i="10"/>
  <c r="J145" i="10"/>
  <c r="K127" i="10"/>
  <c r="J109" i="10"/>
  <c r="L91" i="10"/>
  <c r="I74" i="10"/>
  <c r="L59" i="10"/>
  <c r="L29" i="10"/>
  <c r="I551" i="8"/>
  <c r="J536" i="8"/>
  <c r="N523" i="8"/>
  <c r="K510" i="8"/>
  <c r="F498" i="8"/>
  <c r="I487" i="8"/>
  <c r="B473" i="8"/>
  <c r="G461" i="8"/>
  <c r="H448" i="8"/>
  <c r="H423" i="8"/>
  <c r="K412" i="8"/>
  <c r="E402" i="8"/>
  <c r="N389" i="8"/>
  <c r="M379" i="8"/>
  <c r="L359" i="8"/>
  <c r="K349" i="8"/>
  <c r="F341" i="8"/>
  <c r="K331" i="8"/>
  <c r="L321" i="8"/>
  <c r="B314" i="8"/>
  <c r="C304" i="8"/>
  <c r="G296" i="8"/>
  <c r="M287" i="8"/>
  <c r="C280" i="8"/>
  <c r="I273" i="8"/>
  <c r="K258" i="8"/>
  <c r="J251" i="8"/>
  <c r="G245" i="8"/>
  <c r="M238" i="8"/>
  <c r="J233" i="8"/>
  <c r="E228" i="8"/>
  <c r="C222" i="8"/>
  <c r="N216" i="8"/>
  <c r="N211" i="8"/>
  <c r="L206" i="8"/>
  <c r="L201" i="8"/>
  <c r="E192" i="8"/>
  <c r="F187" i="8"/>
  <c r="B183" i="8"/>
  <c r="H178" i="8"/>
  <c r="L173" i="8"/>
  <c r="B165" i="8"/>
  <c r="N160" i="8"/>
  <c r="G156" i="8"/>
  <c r="E152" i="8"/>
  <c r="K147" i="8"/>
  <c r="M143" i="8"/>
  <c r="F140" i="8"/>
  <c r="M136" i="8"/>
  <c r="F133" i="8"/>
  <c r="H129" i="8"/>
  <c r="E126" i="8"/>
  <c r="G122" i="8"/>
  <c r="L118" i="8"/>
  <c r="I111" i="8"/>
  <c r="G108" i="8"/>
  <c r="M104" i="8"/>
  <c r="N101" i="8"/>
  <c r="N98" i="8"/>
  <c r="I96" i="8"/>
  <c r="B94" i="8"/>
  <c r="H91" i="8"/>
  <c r="N88" i="8"/>
  <c r="K86" i="8"/>
  <c r="G84" i="8"/>
  <c r="G82" i="8"/>
  <c r="F80" i="8"/>
  <c r="C78" i="8"/>
  <c r="N75" i="8"/>
  <c r="B74" i="8"/>
  <c r="L89" i="11"/>
  <c r="M62" i="11"/>
  <c r="H34" i="11"/>
  <c r="I162" i="10"/>
  <c r="N144" i="10"/>
  <c r="H127" i="10"/>
  <c r="F107" i="10"/>
  <c r="I90" i="10"/>
  <c r="I73" i="10"/>
  <c r="I29" i="10"/>
  <c r="E549" i="8"/>
  <c r="E535" i="8"/>
  <c r="I523" i="8"/>
  <c r="J509" i="8"/>
  <c r="J497" i="8"/>
  <c r="G484" i="8"/>
  <c r="C461" i="8"/>
  <c r="M446" i="8"/>
  <c r="E435" i="8"/>
  <c r="G422" i="8"/>
  <c r="F411" i="8"/>
  <c r="C399" i="8"/>
  <c r="L389" i="8"/>
  <c r="K379" i="8"/>
  <c r="N368" i="8"/>
  <c r="F359" i="8"/>
  <c r="H349" i="8"/>
  <c r="N339" i="8"/>
  <c r="E321" i="8"/>
  <c r="J312" i="8"/>
  <c r="N295" i="8"/>
  <c r="F287" i="8"/>
  <c r="K279" i="8"/>
  <c r="I271" i="8"/>
  <c r="L264" i="8"/>
  <c r="I258" i="8"/>
  <c r="C251" i="8"/>
  <c r="E245" i="8"/>
  <c r="G238" i="8"/>
  <c r="N232" i="8"/>
  <c r="K226" i="8"/>
  <c r="N221" i="8"/>
  <c r="L216" i="8"/>
  <c r="F211" i="8"/>
  <c r="H206" i="8"/>
  <c r="E201" i="8"/>
  <c r="I196" i="8"/>
  <c r="H191" i="8"/>
  <c r="N186" i="8"/>
  <c r="I182" i="8"/>
  <c r="J177" i="8"/>
  <c r="J173" i="8"/>
  <c r="M168" i="8"/>
  <c r="H164" i="8"/>
  <c r="E160" i="8"/>
  <c r="B156" i="8"/>
  <c r="C152" i="8"/>
  <c r="E147" i="8"/>
  <c r="J143" i="8"/>
  <c r="L139" i="8"/>
  <c r="F136" i="8"/>
  <c r="I132" i="8"/>
  <c r="I125" i="8"/>
  <c r="N121" i="8"/>
  <c r="J118" i="8"/>
  <c r="J114" i="8"/>
  <c r="C111" i="8"/>
  <c r="H107" i="8"/>
  <c r="K104" i="8"/>
  <c r="K101" i="8"/>
  <c r="L98" i="8"/>
  <c r="G96" i="8"/>
  <c r="M93" i="8"/>
  <c r="F91" i="8"/>
  <c r="L88" i="8"/>
  <c r="I86" i="8"/>
  <c r="E84" i="8"/>
  <c r="E82" i="8"/>
  <c r="N77" i="8"/>
  <c r="L75" i="8"/>
  <c r="M73" i="8"/>
  <c r="L71" i="8"/>
  <c r="M69" i="8"/>
  <c r="B68" i="8"/>
  <c r="B66" i="8"/>
  <c r="E62" i="8"/>
  <c r="F60" i="8"/>
  <c r="H58" i="8"/>
  <c r="J56" i="8"/>
  <c r="I54" i="8"/>
  <c r="K52" i="8"/>
  <c r="L50" i="8"/>
  <c r="N48" i="8"/>
  <c r="B47" i="8"/>
  <c r="F41" i="8"/>
  <c r="F39" i="8"/>
  <c r="H37" i="8"/>
  <c r="K35" i="8"/>
  <c r="D69" i="11"/>
  <c r="G28" i="11"/>
  <c r="C172" i="10"/>
  <c r="M141" i="10"/>
  <c r="B110" i="10"/>
  <c r="G85" i="10"/>
  <c r="M59" i="10"/>
  <c r="M38" i="10"/>
  <c r="M552" i="8"/>
  <c r="E532" i="8"/>
  <c r="N510" i="8"/>
  <c r="K492" i="8"/>
  <c r="I472" i="8"/>
  <c r="B456" i="8"/>
  <c r="B435" i="8"/>
  <c r="K419" i="8"/>
  <c r="L398" i="8"/>
  <c r="M382" i="8"/>
  <c r="E367" i="8"/>
  <c r="F353" i="8"/>
  <c r="G338" i="8"/>
  <c r="L322" i="8"/>
  <c r="N309" i="8"/>
  <c r="K296" i="8"/>
  <c r="B285" i="8"/>
  <c r="N271" i="8"/>
  <c r="N261" i="8"/>
  <c r="B251" i="8"/>
  <c r="E242" i="8"/>
  <c r="J232" i="8"/>
  <c r="N223" i="8"/>
  <c r="G215" i="8"/>
  <c r="B208" i="8"/>
  <c r="I200" i="8"/>
  <c r="C193" i="8"/>
  <c r="N185" i="8"/>
  <c r="K178" i="8"/>
  <c r="M171" i="8"/>
  <c r="N164" i="8"/>
  <c r="M158" i="8"/>
  <c r="F151" i="8"/>
  <c r="G139" i="8"/>
  <c r="E134" i="8"/>
  <c r="J128" i="8"/>
  <c r="F123" i="8"/>
  <c r="H117" i="8"/>
  <c r="C112" i="8"/>
  <c r="M106" i="8"/>
  <c r="B102" i="8"/>
  <c r="N93" i="8"/>
  <c r="F90" i="8"/>
  <c r="H86" i="8"/>
  <c r="I83" i="8"/>
  <c r="N79" i="8"/>
  <c r="K76" i="8"/>
  <c r="H73" i="8"/>
  <c r="J70" i="8"/>
  <c r="N67" i="8"/>
  <c r="F65" i="8"/>
  <c r="G62" i="8"/>
  <c r="N59" i="8"/>
  <c r="N56" i="8"/>
  <c r="F54" i="8"/>
  <c r="J51" i="8"/>
  <c r="M48" i="8"/>
  <c r="G46" i="8"/>
  <c r="M43" i="8"/>
  <c r="E41" i="8"/>
  <c r="M38" i="8"/>
  <c r="E36" i="8"/>
  <c r="L33" i="8"/>
  <c r="J31" i="8"/>
  <c r="I29" i="8"/>
  <c r="N26" i="8"/>
  <c r="M24" i="8"/>
  <c r="J22" i="8"/>
  <c r="J1240" i="7"/>
  <c r="E1238" i="7"/>
  <c r="B1236" i="7"/>
  <c r="N1233" i="7"/>
  <c r="K1231" i="7"/>
  <c r="J1229" i="7"/>
  <c r="G1227" i="7"/>
  <c r="F1225" i="7"/>
  <c r="C1223" i="7"/>
  <c r="E1221" i="7"/>
  <c r="G1219" i="7"/>
  <c r="I1217" i="7"/>
  <c r="K1215" i="7"/>
  <c r="M1213" i="7"/>
  <c r="B1212" i="7"/>
  <c r="E1210" i="7"/>
  <c r="H1208" i="7"/>
  <c r="K1206" i="7"/>
  <c r="N1204" i="7"/>
  <c r="E1203" i="7"/>
  <c r="H1201" i="7"/>
  <c r="K1199" i="7"/>
  <c r="N1197" i="7"/>
  <c r="E1196" i="7"/>
  <c r="H1194" i="7"/>
  <c r="K1192" i="7"/>
  <c r="N1190" i="7"/>
  <c r="E1189" i="7"/>
  <c r="H1187" i="7"/>
  <c r="K1185" i="7"/>
  <c r="N1183" i="7"/>
  <c r="E1182" i="7"/>
  <c r="I1180" i="7"/>
  <c r="M1178" i="7"/>
  <c r="E1177" i="7"/>
  <c r="I1175" i="7"/>
  <c r="M1173" i="7"/>
  <c r="E1172" i="7"/>
  <c r="I1170" i="7"/>
  <c r="M1168" i="7"/>
  <c r="E1167" i="7"/>
  <c r="I1165" i="7"/>
  <c r="M1163" i="7"/>
  <c r="E1162" i="7"/>
  <c r="I1160" i="7"/>
  <c r="M1158" i="7"/>
  <c r="E1157" i="7"/>
  <c r="I1155" i="7"/>
  <c r="M1153" i="7"/>
  <c r="E1152" i="7"/>
  <c r="I1150" i="7"/>
  <c r="M1148" i="7"/>
  <c r="E1147" i="7"/>
  <c r="I1145" i="7"/>
  <c r="M1143" i="7"/>
  <c r="E1142" i="7"/>
  <c r="I1140" i="7"/>
  <c r="F65" i="11"/>
  <c r="B28" i="11"/>
  <c r="I167" i="10"/>
  <c r="H141" i="10"/>
  <c r="N109" i="10"/>
  <c r="F85" i="10"/>
  <c r="K58" i="10"/>
  <c r="G37" i="10"/>
  <c r="E531" i="8"/>
  <c r="K509" i="8"/>
  <c r="I492" i="8"/>
  <c r="C472" i="8"/>
  <c r="C455" i="8"/>
  <c r="N434" i="8"/>
  <c r="E415" i="8"/>
  <c r="I398" i="8"/>
  <c r="J382" i="8"/>
  <c r="H366" i="8"/>
  <c r="I351" i="8"/>
  <c r="B337" i="8"/>
  <c r="B322" i="8"/>
  <c r="C309" i="8"/>
  <c r="F296" i="8"/>
  <c r="J284" i="8"/>
  <c r="G271" i="8"/>
  <c r="L261" i="8"/>
  <c r="M250" i="8"/>
  <c r="C241" i="8"/>
  <c r="I232" i="8"/>
  <c r="H223" i="8"/>
  <c r="F215" i="8"/>
  <c r="I207" i="8"/>
  <c r="B200" i="8"/>
  <c r="L192" i="8"/>
  <c r="M185" i="8"/>
  <c r="M177" i="8"/>
  <c r="L171" i="8"/>
  <c r="G164" i="8"/>
  <c r="H158" i="8"/>
  <c r="E151" i="8"/>
  <c r="C145" i="8"/>
  <c r="F139" i="8"/>
  <c r="I128" i="8"/>
  <c r="I122" i="8"/>
  <c r="F117" i="8"/>
  <c r="J111" i="8"/>
  <c r="L106" i="8"/>
  <c r="M101" i="8"/>
  <c r="B98" i="8"/>
  <c r="L93" i="8"/>
  <c r="E90" i="8"/>
  <c r="K79" i="8"/>
  <c r="H76" i="8"/>
  <c r="G73" i="8"/>
  <c r="I70" i="8"/>
  <c r="M67" i="8"/>
  <c r="E65" i="8"/>
  <c r="F62" i="8"/>
  <c r="M59" i="8"/>
  <c r="M56" i="8"/>
  <c r="E54" i="8"/>
  <c r="G51" i="8"/>
  <c r="L48" i="8"/>
  <c r="F46" i="8"/>
  <c r="J43" i="8"/>
  <c r="C41" i="8"/>
  <c r="L38" i="8"/>
  <c r="B36" i="8"/>
  <c r="K33" i="8"/>
  <c r="I31" i="8"/>
  <c r="M26" i="8"/>
  <c r="L24" i="8"/>
  <c r="I22" i="8"/>
  <c r="G1240" i="7"/>
  <c r="C1238" i="7"/>
  <c r="N1235" i="7"/>
  <c r="M1233" i="7"/>
  <c r="J1231" i="7"/>
  <c r="I1229" i="7"/>
  <c r="F1227" i="7"/>
  <c r="B1225" i="7"/>
  <c r="B1223" i="7"/>
  <c r="C1221" i="7"/>
  <c r="F1219" i="7"/>
  <c r="H1217" i="7"/>
  <c r="J1215" i="7"/>
  <c r="L1213" i="7"/>
  <c r="M1211" i="7"/>
  <c r="C1210" i="7"/>
  <c r="G1208" i="7"/>
  <c r="J1206" i="7"/>
  <c r="M1204" i="7"/>
  <c r="C1203" i="7"/>
  <c r="G1201" i="7"/>
  <c r="J1199" i="7"/>
  <c r="M1197" i="7"/>
  <c r="C1196" i="7"/>
  <c r="G1194" i="7"/>
  <c r="J1192" i="7"/>
  <c r="M1190" i="7"/>
  <c r="C1189" i="7"/>
  <c r="G1187" i="7"/>
  <c r="J1185" i="7"/>
  <c r="M1183" i="7"/>
  <c r="C1182" i="7"/>
  <c r="H1180" i="7"/>
  <c r="L1178" i="7"/>
  <c r="C1177" i="7"/>
  <c r="H1175" i="7"/>
  <c r="L1173" i="7"/>
  <c r="C1172" i="7"/>
  <c r="H1170" i="7"/>
  <c r="L1168" i="7"/>
  <c r="C1167" i="7"/>
  <c r="H1165" i="7"/>
  <c r="L1163" i="7"/>
  <c r="C1162" i="7"/>
  <c r="H1160" i="7"/>
  <c r="L1158" i="7"/>
  <c r="C1157" i="7"/>
  <c r="H1155" i="7"/>
  <c r="L1153" i="7"/>
  <c r="C1152" i="7"/>
  <c r="J27" i="11"/>
  <c r="H167" i="10"/>
  <c r="N140" i="10"/>
  <c r="G109" i="10"/>
  <c r="N84" i="10"/>
  <c r="C57" i="10"/>
  <c r="J36" i="10"/>
  <c r="H549" i="8"/>
  <c r="G508" i="8"/>
  <c r="E492" i="8"/>
  <c r="N471" i="8"/>
  <c r="F452" i="8"/>
  <c r="J432" i="8"/>
  <c r="M397" i="8"/>
  <c r="N380" i="8"/>
  <c r="G366" i="8"/>
  <c r="F350" i="8"/>
  <c r="H336" i="8"/>
  <c r="K321" i="8"/>
  <c r="N308" i="8"/>
  <c r="H294" i="8"/>
  <c r="B284" i="8"/>
  <c r="F271" i="8"/>
  <c r="H260" i="8"/>
  <c r="G250" i="8"/>
  <c r="M240" i="8"/>
  <c r="F232" i="8"/>
  <c r="L222" i="8"/>
  <c r="F207" i="8"/>
  <c r="M199" i="8"/>
  <c r="M191" i="8"/>
  <c r="N184" i="8"/>
  <c r="I177" i="8"/>
  <c r="H171" i="8"/>
  <c r="F164" i="8"/>
  <c r="C158" i="8"/>
  <c r="B151" i="8"/>
  <c r="B145" i="8"/>
  <c r="E139" i="8"/>
  <c r="J133" i="8"/>
  <c r="H128" i="8"/>
  <c r="H122" i="8"/>
  <c r="E117" i="8"/>
  <c r="H111" i="8"/>
  <c r="K106" i="8"/>
  <c r="J101" i="8"/>
  <c r="N97" i="8"/>
  <c r="H93" i="8"/>
  <c r="L89" i="8"/>
  <c r="C86" i="8"/>
  <c r="B83" i="8"/>
  <c r="J79" i="8"/>
  <c r="E76" i="8"/>
  <c r="E73" i="8"/>
  <c r="E70" i="8"/>
  <c r="J67" i="8"/>
  <c r="N64" i="8"/>
  <c r="C62" i="8"/>
  <c r="L59" i="8"/>
  <c r="L56" i="8"/>
  <c r="K48" i="8"/>
  <c r="E46" i="8"/>
  <c r="I43" i="8"/>
  <c r="B41" i="8"/>
  <c r="K38" i="8"/>
  <c r="N35" i="8"/>
  <c r="J33" i="8"/>
  <c r="H31" i="8"/>
  <c r="C29" i="8"/>
  <c r="L26" i="8"/>
  <c r="I24" i="8"/>
  <c r="G22" i="8"/>
  <c r="I27" i="11"/>
  <c r="L162" i="10"/>
  <c r="K136" i="10"/>
  <c r="E107" i="10"/>
  <c r="C83" i="10"/>
  <c r="N55" i="10"/>
  <c r="F36" i="10"/>
  <c r="M547" i="8"/>
  <c r="C531" i="8"/>
  <c r="K489" i="8"/>
  <c r="J471" i="8"/>
  <c r="C452" i="8"/>
  <c r="I432" i="8"/>
  <c r="F413" i="8"/>
  <c r="K380" i="8"/>
  <c r="F366" i="8"/>
  <c r="J349" i="8"/>
  <c r="G336" i="8"/>
  <c r="B321" i="8"/>
  <c r="M308" i="8"/>
  <c r="G294" i="8"/>
  <c r="M281" i="8"/>
  <c r="G270" i="8"/>
  <c r="G260" i="8"/>
  <c r="E250" i="8"/>
  <c r="F240" i="8"/>
  <c r="E231" i="8"/>
  <c r="K222" i="8"/>
  <c r="M214" i="8"/>
  <c r="K206" i="8"/>
  <c r="J199" i="8"/>
  <c r="G191" i="8"/>
  <c r="M184" i="8"/>
  <c r="H177" i="8"/>
  <c r="I170" i="8"/>
  <c r="L163" i="8"/>
  <c r="N156" i="8"/>
  <c r="L150" i="8"/>
  <c r="J144" i="8"/>
  <c r="I133" i="8"/>
  <c r="G128" i="8"/>
  <c r="F122" i="8"/>
  <c r="B111" i="8"/>
  <c r="I106" i="8"/>
  <c r="E101" i="8"/>
  <c r="E97" i="8"/>
  <c r="F93" i="8"/>
  <c r="J89" i="8"/>
  <c r="N85" i="8"/>
  <c r="I82" i="8"/>
  <c r="I79" i="8"/>
  <c r="J56" i="11"/>
  <c r="H161" i="10"/>
  <c r="L132" i="10"/>
  <c r="I104" i="10"/>
  <c r="L80" i="10"/>
  <c r="E55" i="10"/>
  <c r="L31" i="10"/>
  <c r="G546" i="8"/>
  <c r="B527" i="8"/>
  <c r="L507" i="8"/>
  <c r="N487" i="8"/>
  <c r="C469" i="8"/>
  <c r="I448" i="8"/>
  <c r="F431" i="8"/>
  <c r="L411" i="8"/>
  <c r="M396" i="8"/>
  <c r="E377" i="8"/>
  <c r="C366" i="8"/>
  <c r="C348" i="8"/>
  <c r="E334" i="8"/>
  <c r="I319" i="8"/>
  <c r="K306" i="8"/>
  <c r="F293" i="8"/>
  <c r="J280" i="8"/>
  <c r="L258" i="8"/>
  <c r="C250" i="8"/>
  <c r="L238" i="8"/>
  <c r="K230" i="8"/>
  <c r="E221" i="8"/>
  <c r="I214" i="8"/>
  <c r="C206" i="8"/>
  <c r="F198" i="8"/>
  <c r="N183" i="8"/>
  <c r="N176" i="8"/>
  <c r="E170" i="8"/>
  <c r="F163" i="8"/>
  <c r="J156" i="8"/>
  <c r="E150" i="8"/>
  <c r="L143" i="8"/>
  <c r="L138" i="8"/>
  <c r="H132" i="8"/>
  <c r="H127" i="8"/>
  <c r="I121" i="8"/>
  <c r="E116" i="8"/>
  <c r="L110" i="8"/>
  <c r="G105" i="8"/>
  <c r="B101" i="8"/>
  <c r="M96" i="8"/>
  <c r="L85" i="8"/>
  <c r="F82" i="8"/>
  <c r="E79" i="8"/>
  <c r="K75" i="8"/>
  <c r="B73" i="8"/>
  <c r="N69" i="8"/>
  <c r="G67" i="8"/>
  <c r="G64" i="8"/>
  <c r="M61" i="8"/>
  <c r="C59" i="8"/>
  <c r="E56" i="8"/>
  <c r="M53" i="8"/>
  <c r="N50" i="8"/>
  <c r="G48" i="8"/>
  <c r="L45" i="8"/>
  <c r="C43" i="8"/>
  <c r="K40" i="8"/>
  <c r="J35" i="8"/>
  <c r="G33" i="8"/>
  <c r="C31" i="8"/>
  <c r="K28" i="8"/>
  <c r="I26" i="8"/>
  <c r="F24" i="8"/>
  <c r="B22" i="8"/>
  <c r="L1239" i="7"/>
  <c r="K1237" i="7"/>
  <c r="J1235" i="7"/>
  <c r="G1233" i="7"/>
  <c r="F1231" i="7"/>
  <c r="B1229" i="7"/>
  <c r="K1226" i="7"/>
  <c r="K1224" i="7"/>
  <c r="K1222" i="7"/>
  <c r="L1220" i="7"/>
  <c r="N1218" i="7"/>
  <c r="C1217" i="7"/>
  <c r="C1215" i="7"/>
  <c r="F1213" i="7"/>
  <c r="I1211" i="7"/>
  <c r="L1209" i="7"/>
  <c r="B1208" i="7"/>
  <c r="F1206" i="7"/>
  <c r="I1204" i="7"/>
  <c r="L1202" i="7"/>
  <c r="B1201" i="7"/>
  <c r="F1199" i="7"/>
  <c r="I1197" i="7"/>
  <c r="L1195" i="7"/>
  <c r="B1194" i="7"/>
  <c r="F1192" i="7"/>
  <c r="I1190" i="7"/>
  <c r="L1188" i="7"/>
  <c r="B1187" i="7"/>
  <c r="E1185" i="7"/>
  <c r="H1183" i="7"/>
  <c r="L1181" i="7"/>
  <c r="C1180" i="7"/>
  <c r="H1178" i="7"/>
  <c r="L1176" i="7"/>
  <c r="C1175" i="7"/>
  <c r="H1173" i="7"/>
  <c r="L1171" i="7"/>
  <c r="C1170" i="7"/>
  <c r="H1168" i="7"/>
  <c r="L1166" i="7"/>
  <c r="C1165" i="7"/>
  <c r="H1163" i="7"/>
  <c r="L1161" i="7"/>
  <c r="C1160" i="7"/>
  <c r="H1158" i="7"/>
  <c r="L1156" i="7"/>
  <c r="C1155" i="7"/>
  <c r="M53" i="11"/>
  <c r="M189" i="10"/>
  <c r="H159" i="10"/>
  <c r="I129" i="10"/>
  <c r="M102" i="10"/>
  <c r="F74" i="10"/>
  <c r="E51" i="10"/>
  <c r="E28" i="10"/>
  <c r="F544" i="8"/>
  <c r="J523" i="8"/>
  <c r="G505" i="8"/>
  <c r="N483" i="8"/>
  <c r="K466" i="8"/>
  <c r="F427" i="8"/>
  <c r="K410" i="8"/>
  <c r="J392" i="8"/>
  <c r="H376" i="8"/>
  <c r="B361" i="8"/>
  <c r="N346" i="8"/>
  <c r="L331" i="8"/>
  <c r="M318" i="8"/>
  <c r="J303" i="8"/>
  <c r="G292" i="8"/>
  <c r="J279" i="8"/>
  <c r="N268" i="8"/>
  <c r="B257" i="8"/>
  <c r="F247" i="8"/>
  <c r="L237" i="8"/>
  <c r="H229" i="8"/>
  <c r="M220" i="8"/>
  <c r="M204" i="8"/>
  <c r="F197" i="8"/>
  <c r="I190" i="8"/>
  <c r="J182" i="8"/>
  <c r="H176" i="8"/>
  <c r="I168" i="8"/>
  <c r="J162" i="8"/>
  <c r="J155" i="8"/>
  <c r="C149" i="8"/>
  <c r="N142" i="8"/>
  <c r="H137" i="8"/>
  <c r="G126" i="8"/>
  <c r="E121" i="8"/>
  <c r="E115" i="8"/>
  <c r="C110" i="8"/>
  <c r="L104" i="8"/>
  <c r="I100" i="8"/>
  <c r="F96" i="8"/>
  <c r="M92" i="8"/>
  <c r="I88" i="8"/>
  <c r="E85" i="8"/>
  <c r="N81" i="8"/>
  <c r="K78" i="8"/>
  <c r="H75" i="8"/>
  <c r="E72" i="8"/>
  <c r="J69" i="8"/>
  <c r="L66" i="8"/>
  <c r="C64" i="8"/>
  <c r="J61" i="8"/>
  <c r="J58" i="8"/>
  <c r="B56" i="8"/>
  <c r="B53" i="8"/>
  <c r="I50" i="8"/>
  <c r="M47" i="8"/>
  <c r="F45" i="8"/>
  <c r="M42" i="8"/>
  <c r="F40" i="8"/>
  <c r="J37" i="8"/>
  <c r="E35" i="8"/>
  <c r="C33" i="8"/>
  <c r="I30" i="8"/>
  <c r="G28" i="8"/>
  <c r="F26" i="8"/>
  <c r="C24" i="8"/>
  <c r="K1241" i="7"/>
  <c r="I1239" i="7"/>
  <c r="H1237" i="7"/>
  <c r="G1235" i="7"/>
  <c r="C1233" i="7"/>
  <c r="M1230" i="7"/>
  <c r="K1228" i="7"/>
  <c r="H1226" i="7"/>
  <c r="H1224" i="7"/>
  <c r="H1222" i="7"/>
  <c r="I1220" i="7"/>
  <c r="K1218" i="7"/>
  <c r="K1216" i="7"/>
  <c r="M1214" i="7"/>
  <c r="B1213" i="7"/>
  <c r="F1211" i="7"/>
  <c r="I1209" i="7"/>
  <c r="L1207" i="7"/>
  <c r="B1206" i="7"/>
  <c r="F1204" i="7"/>
  <c r="I1202" i="7"/>
  <c r="L1200" i="7"/>
  <c r="B1199" i="7"/>
  <c r="F1197" i="7"/>
  <c r="I1195" i="7"/>
  <c r="L1193" i="7"/>
  <c r="B1192" i="7"/>
  <c r="E1190" i="7"/>
  <c r="H1188" i="7"/>
  <c r="K1186" i="7"/>
  <c r="M51" i="11"/>
  <c r="K188" i="10"/>
  <c r="J157" i="10"/>
  <c r="I127" i="10"/>
  <c r="L102" i="10"/>
  <c r="J72" i="10"/>
  <c r="J27" i="10"/>
  <c r="H521" i="8"/>
  <c r="I504" i="8"/>
  <c r="K483" i="8"/>
  <c r="F464" i="8"/>
  <c r="G445" i="8"/>
  <c r="E427" i="8"/>
  <c r="J410" i="8"/>
  <c r="F391" i="8"/>
  <c r="G376" i="8"/>
  <c r="L360" i="8"/>
  <c r="H346" i="8"/>
  <c r="K330" i="8"/>
  <c r="E317" i="8"/>
  <c r="C303" i="8"/>
  <c r="K291" i="8"/>
  <c r="G279" i="8"/>
  <c r="I256" i="8"/>
  <c r="E247" i="8"/>
  <c r="H237" i="8"/>
  <c r="G228" i="8"/>
  <c r="L220" i="8"/>
  <c r="C212" i="8"/>
  <c r="J204" i="8"/>
  <c r="N196" i="8"/>
  <c r="B190" i="8"/>
  <c r="B182" i="8"/>
  <c r="G176" i="8"/>
  <c r="G168" i="8"/>
  <c r="F155" i="8"/>
  <c r="B149" i="8"/>
  <c r="M142" i="8"/>
  <c r="B137" i="8"/>
  <c r="K131" i="8"/>
  <c r="F126" i="8"/>
  <c r="B121" i="8"/>
  <c r="K114" i="8"/>
  <c r="B110" i="8"/>
  <c r="J104" i="8"/>
  <c r="G100" i="8"/>
  <c r="E92" i="8"/>
  <c r="H88" i="8"/>
  <c r="C85" i="8"/>
  <c r="M81" i="8"/>
  <c r="H78" i="8"/>
  <c r="F75" i="8"/>
  <c r="C72" i="8"/>
  <c r="I69" i="8"/>
  <c r="K66" i="8"/>
  <c r="N63" i="8"/>
  <c r="I61" i="8"/>
  <c r="I58" i="8"/>
  <c r="N55" i="8"/>
  <c r="N52" i="8"/>
  <c r="H50" i="8"/>
  <c r="L47" i="8"/>
  <c r="E45" i="8"/>
  <c r="K42" i="8"/>
  <c r="C40" i="8"/>
  <c r="I37" i="8"/>
  <c r="M32" i="8"/>
  <c r="H30" i="8"/>
  <c r="F28" i="8"/>
  <c r="C26" i="8"/>
  <c r="L23" i="8"/>
  <c r="J1241" i="7"/>
  <c r="H1239" i="7"/>
  <c r="G1237" i="7"/>
  <c r="F1235" i="7"/>
  <c r="M1232" i="7"/>
  <c r="L1230" i="7"/>
  <c r="J1228" i="7"/>
  <c r="G1226" i="7"/>
  <c r="G1224" i="7"/>
  <c r="G1222" i="7"/>
  <c r="H1220" i="7"/>
  <c r="H1218" i="7"/>
  <c r="J1216" i="7"/>
  <c r="L1214" i="7"/>
  <c r="N1212" i="7"/>
  <c r="E1211" i="7"/>
  <c r="H1209" i="7"/>
  <c r="J62" i="11"/>
  <c r="L183" i="10"/>
  <c r="I136" i="10"/>
  <c r="I93" i="10"/>
  <c r="J52" i="10"/>
  <c r="G524" i="8"/>
  <c r="F497" i="8"/>
  <c r="E464" i="8"/>
  <c r="K437" i="8"/>
  <c r="N407" i="8"/>
  <c r="I384" i="8"/>
  <c r="J358" i="8"/>
  <c r="N338" i="8"/>
  <c r="H314" i="8"/>
  <c r="H293" i="8"/>
  <c r="J276" i="8"/>
  <c r="J258" i="8"/>
  <c r="I243" i="8"/>
  <c r="K229" i="8"/>
  <c r="G217" i="8"/>
  <c r="I204" i="8"/>
  <c r="I194" i="8"/>
  <c r="H181" i="8"/>
  <c r="E172" i="8"/>
  <c r="B161" i="8"/>
  <c r="F142" i="8"/>
  <c r="J132" i="8"/>
  <c r="L124" i="8"/>
  <c r="I107" i="8"/>
  <c r="J100" i="8"/>
  <c r="M94" i="8"/>
  <c r="G88" i="8"/>
  <c r="L83" i="8"/>
  <c r="B78" i="8"/>
  <c r="L73" i="8"/>
  <c r="E69" i="8"/>
  <c r="K65" i="8"/>
  <c r="K61" i="8"/>
  <c r="L57" i="8"/>
  <c r="N53" i="8"/>
  <c r="C50" i="8"/>
  <c r="H46" i="8"/>
  <c r="I42" i="8"/>
  <c r="C39" i="8"/>
  <c r="F35" i="8"/>
  <c r="C32" i="8"/>
  <c r="L28" i="8"/>
  <c r="J25" i="8"/>
  <c r="K22" i="8"/>
  <c r="G1239" i="7"/>
  <c r="I1236" i="7"/>
  <c r="L1233" i="7"/>
  <c r="J1230" i="7"/>
  <c r="N1227" i="7"/>
  <c r="N1224" i="7"/>
  <c r="F1222" i="7"/>
  <c r="L1219" i="7"/>
  <c r="G1217" i="7"/>
  <c r="K1214" i="7"/>
  <c r="H1212" i="7"/>
  <c r="B1210" i="7"/>
  <c r="K1207" i="7"/>
  <c r="J1205" i="7"/>
  <c r="H1203" i="7"/>
  <c r="E1201" i="7"/>
  <c r="N1198" i="7"/>
  <c r="L1196" i="7"/>
  <c r="K1194" i="7"/>
  <c r="H1192" i="7"/>
  <c r="C1190" i="7"/>
  <c r="B1188" i="7"/>
  <c r="N1185" i="7"/>
  <c r="L1183" i="7"/>
  <c r="K1181" i="7"/>
  <c r="L1179" i="7"/>
  <c r="M1177" i="7"/>
  <c r="N1175" i="7"/>
  <c r="B1174" i="7"/>
  <c r="N1171" i="7"/>
  <c r="N1169" i="7"/>
  <c r="B1168" i="7"/>
  <c r="C1166" i="7"/>
  <c r="E1164" i="7"/>
  <c r="F1162" i="7"/>
  <c r="E1160" i="7"/>
  <c r="E1158" i="7"/>
  <c r="F1156" i="7"/>
  <c r="G1154" i="7"/>
  <c r="I1152" i="7"/>
  <c r="K1150" i="7"/>
  <c r="N1148" i="7"/>
  <c r="C1147" i="7"/>
  <c r="G1145" i="7"/>
  <c r="J1143" i="7"/>
  <c r="M1141" i="7"/>
  <c r="C1140" i="7"/>
  <c r="H1138" i="7"/>
  <c r="L1136" i="7"/>
  <c r="C1135" i="7"/>
  <c r="H1133" i="7"/>
  <c r="L1131" i="7"/>
  <c r="C1130" i="7"/>
  <c r="H1128" i="7"/>
  <c r="L1126" i="7"/>
  <c r="C1125" i="7"/>
  <c r="H1123" i="7"/>
  <c r="L1121" i="7"/>
  <c r="C1120" i="7"/>
  <c r="H1118" i="7"/>
  <c r="L1116" i="7"/>
  <c r="C1115" i="7"/>
  <c r="H1113" i="7"/>
  <c r="L1111" i="7"/>
  <c r="C1110" i="7"/>
  <c r="H1108" i="7"/>
  <c r="L1106" i="7"/>
  <c r="C1105" i="7"/>
  <c r="H1103" i="7"/>
  <c r="L1101" i="7"/>
  <c r="C1100" i="7"/>
  <c r="H1098" i="7"/>
  <c r="L1096" i="7"/>
  <c r="C1095" i="7"/>
  <c r="H1093" i="7"/>
  <c r="L1091" i="7"/>
  <c r="C1090" i="7"/>
  <c r="H1088" i="7"/>
  <c r="L1086" i="7"/>
  <c r="C1085" i="7"/>
  <c r="H1083" i="7"/>
  <c r="L1081" i="7"/>
  <c r="C1080" i="7"/>
  <c r="H1078" i="7"/>
  <c r="L1076" i="7"/>
  <c r="C1075" i="7"/>
  <c r="H1073" i="7"/>
  <c r="L1071" i="7"/>
  <c r="C1070" i="7"/>
  <c r="H1068" i="7"/>
  <c r="L1066" i="7"/>
  <c r="C1065" i="7"/>
  <c r="H1063" i="7"/>
  <c r="L1061" i="7"/>
  <c r="C1060" i="7"/>
  <c r="H1058" i="7"/>
  <c r="L1056" i="7"/>
  <c r="C1055" i="7"/>
  <c r="H1053" i="7"/>
  <c r="L1051" i="7"/>
  <c r="C1050" i="7"/>
  <c r="H1048" i="7"/>
  <c r="L1046" i="7"/>
  <c r="C1045" i="7"/>
  <c r="H1043" i="7"/>
  <c r="L1041" i="7"/>
  <c r="C1040" i="7"/>
  <c r="H1038" i="7"/>
  <c r="L1036" i="7"/>
  <c r="C1035" i="7"/>
  <c r="H1033" i="7"/>
  <c r="L1031" i="7"/>
  <c r="C1030" i="7"/>
  <c r="H1028" i="7"/>
  <c r="L1026" i="7"/>
  <c r="C1025" i="7"/>
  <c r="H1023" i="7"/>
  <c r="L1021" i="7"/>
  <c r="C1020" i="7"/>
  <c r="H1018" i="7"/>
  <c r="L1016" i="7"/>
  <c r="C1015" i="7"/>
  <c r="H1013" i="7"/>
  <c r="L1011" i="7"/>
  <c r="C1010" i="7"/>
  <c r="H1008" i="7"/>
  <c r="I56" i="11"/>
  <c r="J182" i="10"/>
  <c r="K132" i="10"/>
  <c r="K91" i="10"/>
  <c r="L51" i="10"/>
  <c r="M520" i="8"/>
  <c r="I495" i="8"/>
  <c r="F436" i="8"/>
  <c r="E407" i="8"/>
  <c r="H384" i="8"/>
  <c r="J356" i="8"/>
  <c r="J335" i="8"/>
  <c r="E314" i="8"/>
  <c r="E293" i="8"/>
  <c r="H276" i="8"/>
  <c r="C257" i="8"/>
  <c r="H243" i="8"/>
  <c r="F228" i="8"/>
  <c r="M216" i="8"/>
  <c r="J193" i="8"/>
  <c r="F181" i="8"/>
  <c r="F160" i="8"/>
  <c r="H150" i="8"/>
  <c r="G141" i="8"/>
  <c r="G132" i="8"/>
  <c r="K124" i="8"/>
  <c r="J115" i="8"/>
  <c r="G107" i="8"/>
  <c r="N99" i="8"/>
  <c r="K94" i="8"/>
  <c r="F88" i="8"/>
  <c r="K83" i="8"/>
  <c r="M77" i="8"/>
  <c r="I73" i="8"/>
  <c r="J65" i="8"/>
  <c r="C61" i="8"/>
  <c r="K57" i="8"/>
  <c r="I53" i="8"/>
  <c r="J49" i="8"/>
  <c r="N45" i="8"/>
  <c r="G42" i="8"/>
  <c r="B39" i="8"/>
  <c r="C35" i="8"/>
  <c r="B32" i="8"/>
  <c r="I28" i="8"/>
  <c r="H25" i="8"/>
  <c r="F22" i="8"/>
  <c r="F1239" i="7"/>
  <c r="H1236" i="7"/>
  <c r="K1233" i="7"/>
  <c r="I1230" i="7"/>
  <c r="M1227" i="7"/>
  <c r="M1224" i="7"/>
  <c r="E1222" i="7"/>
  <c r="K1219" i="7"/>
  <c r="F1217" i="7"/>
  <c r="J1214" i="7"/>
  <c r="G1212" i="7"/>
  <c r="N1209" i="7"/>
  <c r="J1207" i="7"/>
  <c r="I1205" i="7"/>
  <c r="G1203" i="7"/>
  <c r="C1201" i="7"/>
  <c r="M1198" i="7"/>
  <c r="K1196" i="7"/>
  <c r="J1194" i="7"/>
  <c r="G1192" i="7"/>
  <c r="B1190" i="7"/>
  <c r="N1187" i="7"/>
  <c r="M1185" i="7"/>
  <c r="K1183" i="7"/>
  <c r="J1181" i="7"/>
  <c r="K1179" i="7"/>
  <c r="L1177" i="7"/>
  <c r="M1175" i="7"/>
  <c r="N1173" i="7"/>
  <c r="M1171" i="7"/>
  <c r="M1169" i="7"/>
  <c r="N1167" i="7"/>
  <c r="B1166" i="7"/>
  <c r="C1164" i="7"/>
  <c r="B1162" i="7"/>
  <c r="B1160" i="7"/>
  <c r="C1158" i="7"/>
  <c r="E1156" i="7"/>
  <c r="F1154" i="7"/>
  <c r="H1152" i="7"/>
  <c r="J1150" i="7"/>
  <c r="L1148" i="7"/>
  <c r="B1147" i="7"/>
  <c r="F1145" i="7"/>
  <c r="I1143" i="7"/>
  <c r="L1141" i="7"/>
  <c r="B1140" i="7"/>
  <c r="G1138" i="7"/>
  <c r="K1136" i="7"/>
  <c r="B1135" i="7"/>
  <c r="G1133" i="7"/>
  <c r="K1131" i="7"/>
  <c r="B1130" i="7"/>
  <c r="G1128" i="7"/>
  <c r="K1126" i="7"/>
  <c r="B1125" i="7"/>
  <c r="G1123" i="7"/>
  <c r="K1121" i="7"/>
  <c r="B1120" i="7"/>
  <c r="G1118" i="7"/>
  <c r="K1116" i="7"/>
  <c r="B1115" i="7"/>
  <c r="G1113" i="7"/>
  <c r="K1111" i="7"/>
  <c r="B1110" i="7"/>
  <c r="G1108" i="7"/>
  <c r="K1106" i="7"/>
  <c r="B1105" i="7"/>
  <c r="G1103" i="7"/>
  <c r="K1101" i="7"/>
  <c r="B1100" i="7"/>
  <c r="G1098" i="7"/>
  <c r="K1096" i="7"/>
  <c r="B1095" i="7"/>
  <c r="G1093" i="7"/>
  <c r="K1091" i="7"/>
  <c r="B1090" i="7"/>
  <c r="G1088" i="7"/>
  <c r="K1086" i="7"/>
  <c r="B1085" i="7"/>
  <c r="G1083" i="7"/>
  <c r="K1081" i="7"/>
  <c r="B1080" i="7"/>
  <c r="G1078" i="7"/>
  <c r="K1076" i="7"/>
  <c r="B1075" i="7"/>
  <c r="G1073" i="7"/>
  <c r="K1071" i="7"/>
  <c r="B1070" i="7"/>
  <c r="G1068" i="7"/>
  <c r="K1066" i="7"/>
  <c r="B1065" i="7"/>
  <c r="G1063" i="7"/>
  <c r="K1061" i="7"/>
  <c r="B1060" i="7"/>
  <c r="G1058" i="7"/>
  <c r="B54" i="11"/>
  <c r="G178" i="10"/>
  <c r="J129" i="10"/>
  <c r="H90" i="10"/>
  <c r="I48" i="10"/>
  <c r="J519" i="8"/>
  <c r="F495" i="8"/>
  <c r="L461" i="8"/>
  <c r="F435" i="8"/>
  <c r="L379" i="8"/>
  <c r="K312" i="8"/>
  <c r="C293" i="8"/>
  <c r="M274" i="8"/>
  <c r="H256" i="8"/>
  <c r="M226" i="8"/>
  <c r="L215" i="8"/>
  <c r="J203" i="8"/>
  <c r="H193" i="8"/>
  <c r="E181" i="8"/>
  <c r="H170" i="8"/>
  <c r="B160" i="8"/>
  <c r="F141" i="8"/>
  <c r="F132" i="8"/>
  <c r="I124" i="8"/>
  <c r="I114" i="8"/>
  <c r="E107" i="8"/>
  <c r="L99" i="8"/>
  <c r="H94" i="8"/>
  <c r="E88" i="8"/>
  <c r="J83" i="8"/>
  <c r="J77" i="8"/>
  <c r="C73" i="8"/>
  <c r="C69" i="8"/>
  <c r="H65" i="8"/>
  <c r="B61" i="8"/>
  <c r="J57" i="8"/>
  <c r="H53" i="8"/>
  <c r="I49" i="8"/>
  <c r="M45" i="8"/>
  <c r="N38" i="8"/>
  <c r="B35" i="8"/>
  <c r="N31" i="8"/>
  <c r="H28" i="8"/>
  <c r="G25" i="8"/>
  <c r="E22" i="8"/>
  <c r="E1239" i="7"/>
  <c r="G1236" i="7"/>
  <c r="J1233" i="7"/>
  <c r="H1230" i="7"/>
  <c r="L1227" i="7"/>
  <c r="L1224" i="7"/>
  <c r="C1222" i="7"/>
  <c r="J1219" i="7"/>
  <c r="E1217" i="7"/>
  <c r="I1214" i="7"/>
  <c r="F1212" i="7"/>
  <c r="M1209" i="7"/>
  <c r="I1207" i="7"/>
  <c r="H1205" i="7"/>
  <c r="F1203" i="7"/>
  <c r="N1200" i="7"/>
  <c r="L1198" i="7"/>
  <c r="J1196" i="7"/>
  <c r="I1194" i="7"/>
  <c r="E1192" i="7"/>
  <c r="N1189" i="7"/>
  <c r="M1187" i="7"/>
  <c r="L1185" i="7"/>
  <c r="I1183" i="7"/>
  <c r="I1181" i="7"/>
  <c r="J1179" i="7"/>
  <c r="K1177" i="7"/>
  <c r="L1175" i="7"/>
  <c r="K1173" i="7"/>
  <c r="K1171" i="7"/>
  <c r="L1169" i="7"/>
  <c r="M1167" i="7"/>
  <c r="N1165" i="7"/>
  <c r="B1164" i="7"/>
  <c r="N1161" i="7"/>
  <c r="N1159" i="7"/>
  <c r="B1158" i="7"/>
  <c r="C1156" i="7"/>
  <c r="E1154" i="7"/>
  <c r="G1152" i="7"/>
  <c r="H1150" i="7"/>
  <c r="K1148" i="7"/>
  <c r="N1146" i="7"/>
  <c r="E1145" i="7"/>
  <c r="H1143" i="7"/>
  <c r="K1141" i="7"/>
  <c r="N1139" i="7"/>
  <c r="F1138" i="7"/>
  <c r="J1136" i="7"/>
  <c r="N1134" i="7"/>
  <c r="F1133" i="7"/>
  <c r="J1131" i="7"/>
  <c r="N1129" i="7"/>
  <c r="F1128" i="7"/>
  <c r="J1126" i="7"/>
  <c r="N1124" i="7"/>
  <c r="F1123" i="7"/>
  <c r="J1121" i="7"/>
  <c r="N1119" i="7"/>
  <c r="F1118" i="7"/>
  <c r="J1116" i="7"/>
  <c r="N1114" i="7"/>
  <c r="F1113" i="7"/>
  <c r="J1111" i="7"/>
  <c r="N1109" i="7"/>
  <c r="F1108" i="7"/>
  <c r="J1106" i="7"/>
  <c r="N1104" i="7"/>
  <c r="F1103" i="7"/>
  <c r="J1101" i="7"/>
  <c r="N1099" i="7"/>
  <c r="F1098" i="7"/>
  <c r="J1096" i="7"/>
  <c r="N1094" i="7"/>
  <c r="F1093" i="7"/>
  <c r="F45" i="11"/>
  <c r="B122" i="10"/>
  <c r="H85" i="10"/>
  <c r="E45" i="10"/>
  <c r="M518" i="8"/>
  <c r="J487" i="8"/>
  <c r="J429" i="8"/>
  <c r="I402" i="8"/>
  <c r="K375" i="8"/>
  <c r="L355" i="8"/>
  <c r="E329" i="8"/>
  <c r="C311" i="8"/>
  <c r="I289" i="8"/>
  <c r="J273" i="8"/>
  <c r="H255" i="8"/>
  <c r="B239" i="8"/>
  <c r="H226" i="8"/>
  <c r="M213" i="8"/>
  <c r="N201" i="8"/>
  <c r="L190" i="8"/>
  <c r="L180" i="8"/>
  <c r="F168" i="8"/>
  <c r="C148" i="8"/>
  <c r="C140" i="8"/>
  <c r="G131" i="8"/>
  <c r="G123" i="8"/>
  <c r="M105" i="8"/>
  <c r="M98" i="8"/>
  <c r="C93" i="8"/>
  <c r="F87" i="8"/>
  <c r="B82" i="8"/>
  <c r="G77" i="8"/>
  <c r="B72" i="8"/>
  <c r="F68" i="8"/>
  <c r="F64" i="8"/>
  <c r="H60" i="8"/>
  <c r="K56" i="8"/>
  <c r="J52" i="8"/>
  <c r="C49" i="8"/>
  <c r="N44" i="8"/>
  <c r="J41" i="8"/>
  <c r="L37" i="8"/>
  <c r="I34" i="8"/>
  <c r="G31" i="8"/>
  <c r="C28" i="8"/>
  <c r="B25" i="8"/>
  <c r="I1241" i="7"/>
  <c r="N1238" i="7"/>
  <c r="M1235" i="7"/>
  <c r="L1232" i="7"/>
  <c r="B1230" i="7"/>
  <c r="E1227" i="7"/>
  <c r="F1224" i="7"/>
  <c r="J1221" i="7"/>
  <c r="E1219" i="7"/>
  <c r="I1216" i="7"/>
  <c r="F1214" i="7"/>
  <c r="L1211" i="7"/>
  <c r="G1209" i="7"/>
  <c r="F1207" i="7"/>
  <c r="C1205" i="7"/>
  <c r="M1202" i="7"/>
  <c r="J1200" i="7"/>
  <c r="H1198" i="7"/>
  <c r="G1196" i="7"/>
  <c r="C1194" i="7"/>
  <c r="L1191" i="7"/>
  <c r="K1189" i="7"/>
  <c r="J1187" i="7"/>
  <c r="G1185" i="7"/>
  <c r="E1183" i="7"/>
  <c r="F1181" i="7"/>
  <c r="G1179" i="7"/>
  <c r="H1177" i="7"/>
  <c r="G1175" i="7"/>
  <c r="G1173" i="7"/>
  <c r="H1171" i="7"/>
  <c r="I1169" i="7"/>
  <c r="J1167" i="7"/>
  <c r="K1165" i="7"/>
  <c r="J1163" i="7"/>
  <c r="J1161" i="7"/>
  <c r="K1159" i="7"/>
  <c r="L1157" i="7"/>
  <c r="M1155" i="7"/>
  <c r="N1153" i="7"/>
  <c r="N1151" i="7"/>
  <c r="E1150" i="7"/>
  <c r="H1148" i="7"/>
  <c r="K1146" i="7"/>
  <c r="N1144" i="7"/>
  <c r="E1143" i="7"/>
  <c r="H1141" i="7"/>
  <c r="K1139" i="7"/>
  <c r="B1138" i="7"/>
  <c r="G1136" i="7"/>
  <c r="K1134" i="7"/>
  <c r="B1133" i="7"/>
  <c r="G1131" i="7"/>
  <c r="K1129" i="7"/>
  <c r="B1128" i="7"/>
  <c r="G1126" i="7"/>
  <c r="K1124" i="7"/>
  <c r="B1123" i="7"/>
  <c r="G1121" i="7"/>
  <c r="K1119" i="7"/>
  <c r="B1118" i="7"/>
  <c r="G1116" i="7"/>
  <c r="K1114" i="7"/>
  <c r="B1113" i="7"/>
  <c r="G1111" i="7"/>
  <c r="K1109" i="7"/>
  <c r="B1108" i="7"/>
  <c r="G1106" i="7"/>
  <c r="K1104" i="7"/>
  <c r="B1103" i="7"/>
  <c r="G1101" i="7"/>
  <c r="K1099" i="7"/>
  <c r="B1098" i="7"/>
  <c r="G1096" i="7"/>
  <c r="K1094" i="7"/>
  <c r="B1093" i="7"/>
  <c r="G1091" i="7"/>
  <c r="K1089" i="7"/>
  <c r="B1088" i="7"/>
  <c r="G1086" i="7"/>
  <c r="K1084" i="7"/>
  <c r="B1083" i="7"/>
  <c r="G1081" i="7"/>
  <c r="K1079" i="7"/>
  <c r="B1078" i="7"/>
  <c r="G1076" i="7"/>
  <c r="K1074" i="7"/>
  <c r="B1073" i="7"/>
  <c r="G1071" i="7"/>
  <c r="K1069" i="7"/>
  <c r="H172" i="10"/>
  <c r="L121" i="10"/>
  <c r="N80" i="10"/>
  <c r="I42" i="10"/>
  <c r="E546" i="8"/>
  <c r="M517" i="8"/>
  <c r="H484" i="8"/>
  <c r="H457" i="8"/>
  <c r="L425" i="8"/>
  <c r="H402" i="8"/>
  <c r="J375" i="8"/>
  <c r="H354" i="8"/>
  <c r="B310" i="8"/>
  <c r="N287" i="8"/>
  <c r="E270" i="8"/>
  <c r="G255" i="8"/>
  <c r="F238" i="8"/>
  <c r="M225" i="8"/>
  <c r="G201" i="8"/>
  <c r="L189" i="8"/>
  <c r="K179" i="8"/>
  <c r="C168" i="8"/>
  <c r="C159" i="8"/>
  <c r="H147" i="8"/>
  <c r="K139" i="8"/>
  <c r="L130" i="8"/>
  <c r="J121" i="8"/>
  <c r="C114" i="8"/>
  <c r="C105" i="8"/>
  <c r="K98" i="8"/>
  <c r="B93" i="8"/>
  <c r="K81" i="8"/>
  <c r="F77" i="8"/>
  <c r="M71" i="8"/>
  <c r="E68" i="8"/>
  <c r="E64" i="8"/>
  <c r="G60" i="8"/>
  <c r="I56" i="8"/>
  <c r="I52" i="8"/>
  <c r="B49" i="8"/>
  <c r="M44" i="8"/>
  <c r="I41" i="8"/>
  <c r="K37" i="8"/>
  <c r="H34" i="8"/>
  <c r="F31" i="8"/>
  <c r="B28" i="8"/>
  <c r="N24" i="8"/>
  <c r="H1241" i="7"/>
  <c r="M1238" i="7"/>
  <c r="L1235" i="7"/>
  <c r="K1232" i="7"/>
  <c r="N1229" i="7"/>
  <c r="C1227" i="7"/>
  <c r="E1224" i="7"/>
  <c r="I1221" i="7"/>
  <c r="C1219" i="7"/>
  <c r="H1216" i="7"/>
  <c r="E1214" i="7"/>
  <c r="K1211" i="7"/>
  <c r="F1209" i="7"/>
  <c r="E1207" i="7"/>
  <c r="B1205" i="7"/>
  <c r="K1202" i="7"/>
  <c r="I1200" i="7"/>
  <c r="G1198" i="7"/>
  <c r="F1196" i="7"/>
  <c r="N1193" i="7"/>
  <c r="K1191" i="7"/>
  <c r="J1189" i="7"/>
  <c r="I1187" i="7"/>
  <c r="C1185" i="7"/>
  <c r="C1183" i="7"/>
  <c r="E1181" i="7"/>
  <c r="F1179" i="7"/>
  <c r="G1177" i="7"/>
  <c r="F1175" i="7"/>
  <c r="F1173" i="7"/>
  <c r="G1171" i="7"/>
  <c r="H1169" i="7"/>
  <c r="I1167" i="7"/>
  <c r="J1165" i="7"/>
  <c r="I1163" i="7"/>
  <c r="I1161" i="7"/>
  <c r="J1159" i="7"/>
  <c r="K1157" i="7"/>
  <c r="L1155" i="7"/>
  <c r="K1153" i="7"/>
  <c r="M1151" i="7"/>
  <c r="C1150" i="7"/>
  <c r="G1148" i="7"/>
  <c r="J1146" i="7"/>
  <c r="M1144" i="7"/>
  <c r="C1143" i="7"/>
  <c r="G1141" i="7"/>
  <c r="J1139" i="7"/>
  <c r="N1137" i="7"/>
  <c r="F1136" i="7"/>
  <c r="J1134" i="7"/>
  <c r="N1132" i="7"/>
  <c r="F1131" i="7"/>
  <c r="J1129" i="7"/>
  <c r="N1127" i="7"/>
  <c r="F1126" i="7"/>
  <c r="J1124" i="7"/>
  <c r="N1122" i="7"/>
  <c r="F1121" i="7"/>
  <c r="J1119" i="7"/>
  <c r="N1117" i="7"/>
  <c r="F1116" i="7"/>
  <c r="J1114" i="7"/>
  <c r="N1112" i="7"/>
  <c r="F1111" i="7"/>
  <c r="J1109" i="7"/>
  <c r="N1107" i="7"/>
  <c r="F1106" i="7"/>
  <c r="J1104" i="7"/>
  <c r="N1102" i="7"/>
  <c r="F1101" i="7"/>
  <c r="J1099" i="7"/>
  <c r="N1097" i="7"/>
  <c r="F1096" i="7"/>
  <c r="J1094" i="7"/>
  <c r="N1092" i="7"/>
  <c r="F1091" i="7"/>
  <c r="J1089" i="7"/>
  <c r="N1087" i="7"/>
  <c r="F1086" i="7"/>
  <c r="J1084" i="7"/>
  <c r="N1082" i="7"/>
  <c r="F1081" i="7"/>
  <c r="J1079" i="7"/>
  <c r="N1077" i="7"/>
  <c r="F1076" i="7"/>
  <c r="J1074" i="7"/>
  <c r="N1072" i="7"/>
  <c r="F1071" i="7"/>
  <c r="J1069" i="7"/>
  <c r="N1067" i="7"/>
  <c r="F1066" i="7"/>
  <c r="J1064" i="7"/>
  <c r="N1062" i="7"/>
  <c r="F1061" i="7"/>
  <c r="J1059" i="7"/>
  <c r="N1057" i="7"/>
  <c r="I34" i="11"/>
  <c r="N159" i="10"/>
  <c r="C119" i="10"/>
  <c r="E71" i="10"/>
  <c r="K540" i="8"/>
  <c r="C514" i="8"/>
  <c r="I481" i="8"/>
  <c r="E456" i="8"/>
  <c r="F422" i="8"/>
  <c r="B397" i="8"/>
  <c r="I372" i="8"/>
  <c r="B348" i="8"/>
  <c r="M327" i="8"/>
  <c r="M304" i="8"/>
  <c r="E286" i="8"/>
  <c r="L266" i="8"/>
  <c r="N251" i="8"/>
  <c r="E237" i="8"/>
  <c r="G225" i="8"/>
  <c r="J200" i="8"/>
  <c r="B188" i="8"/>
  <c r="G177" i="8"/>
  <c r="F167" i="8"/>
  <c r="F156" i="8"/>
  <c r="B147" i="8"/>
  <c r="I137" i="8"/>
  <c r="J129" i="8"/>
  <c r="M120" i="8"/>
  <c r="I113" i="8"/>
  <c r="N103" i="8"/>
  <c r="G98" i="8"/>
  <c r="J91" i="8"/>
  <c r="J86" i="8"/>
  <c r="F81" i="8"/>
  <c r="M75" i="8"/>
  <c r="H71" i="8"/>
  <c r="I67" i="8"/>
  <c r="J63" i="8"/>
  <c r="C60" i="8"/>
  <c r="M55" i="8"/>
  <c r="E52" i="8"/>
  <c r="J44" i="8"/>
  <c r="M40" i="8"/>
  <c r="E37" i="8"/>
  <c r="C34" i="8"/>
  <c r="G30" i="8"/>
  <c r="J27" i="8"/>
  <c r="E24" i="8"/>
  <c r="E1241" i="7"/>
  <c r="F1238" i="7"/>
  <c r="H1235" i="7"/>
  <c r="G1232" i="7"/>
  <c r="K1229" i="7"/>
  <c r="I1226" i="7"/>
  <c r="N1223" i="7"/>
  <c r="F1221" i="7"/>
  <c r="L1218" i="7"/>
  <c r="E1216" i="7"/>
  <c r="N1213" i="7"/>
  <c r="G1211" i="7"/>
  <c r="B1209" i="7"/>
  <c r="M1206" i="7"/>
  <c r="J1204" i="7"/>
  <c r="G1202" i="7"/>
  <c r="E1200" i="7"/>
  <c r="C1198" i="7"/>
  <c r="M1195" i="7"/>
  <c r="I1193" i="7"/>
  <c r="H1191" i="7"/>
  <c r="G1189" i="7"/>
  <c r="C1187" i="7"/>
  <c r="M1184" i="7"/>
  <c r="M1182" i="7"/>
  <c r="N1180" i="7"/>
  <c r="B1179" i="7"/>
  <c r="N1176" i="7"/>
  <c r="N1174" i="7"/>
  <c r="B1173" i="7"/>
  <c r="C1171" i="7"/>
  <c r="E1169" i="7"/>
  <c r="F1167" i="7"/>
  <c r="E1165" i="7"/>
  <c r="E1163" i="7"/>
  <c r="F1161" i="7"/>
  <c r="G1159" i="7"/>
  <c r="H1157" i="7"/>
  <c r="G1155" i="7"/>
  <c r="H1153" i="7"/>
  <c r="J1151" i="7"/>
  <c r="M1149" i="7"/>
  <c r="C1148" i="7"/>
  <c r="G1146" i="7"/>
  <c r="J1144" i="7"/>
  <c r="M1142" i="7"/>
  <c r="C1141" i="7"/>
  <c r="G1139" i="7"/>
  <c r="K1137" i="7"/>
  <c r="B1136" i="7"/>
  <c r="G1134" i="7"/>
  <c r="K1132" i="7"/>
  <c r="B1131" i="7"/>
  <c r="G1129" i="7"/>
  <c r="K1127" i="7"/>
  <c r="B1126" i="7"/>
  <c r="G1124" i="7"/>
  <c r="K1122" i="7"/>
  <c r="B1121" i="7"/>
  <c r="G1119" i="7"/>
  <c r="K1117" i="7"/>
  <c r="B1116" i="7"/>
  <c r="G1114" i="7"/>
  <c r="K1112" i="7"/>
  <c r="B1111" i="7"/>
  <c r="G1109" i="7"/>
  <c r="K1107" i="7"/>
  <c r="B1106" i="7"/>
  <c r="G1104" i="7"/>
  <c r="K1102" i="7"/>
  <c r="B1101" i="7"/>
  <c r="G1099" i="7"/>
  <c r="K1097" i="7"/>
  <c r="G89" i="11"/>
  <c r="K30" i="11"/>
  <c r="H116" i="10"/>
  <c r="F70" i="10"/>
  <c r="N38" i="10"/>
  <c r="I537" i="8"/>
  <c r="C508" i="8"/>
  <c r="H480" i="8"/>
  <c r="E421" i="8"/>
  <c r="K393" i="8"/>
  <c r="F370" i="8"/>
  <c r="G346" i="8"/>
  <c r="L326" i="8"/>
  <c r="J302" i="8"/>
  <c r="L285" i="8"/>
  <c r="N265" i="8"/>
  <c r="I251" i="8"/>
  <c r="N236" i="8"/>
  <c r="B222" i="8"/>
  <c r="F210" i="8"/>
  <c r="E198" i="8"/>
  <c r="E187" i="8"/>
  <c r="I176" i="8"/>
  <c r="L165" i="8"/>
  <c r="E155" i="8"/>
  <c r="K146" i="8"/>
  <c r="L136" i="8"/>
  <c r="C129" i="8"/>
  <c r="K119" i="8"/>
  <c r="G112" i="8"/>
  <c r="L103" i="8"/>
  <c r="C97" i="8"/>
  <c r="E91" i="8"/>
  <c r="K85" i="8"/>
  <c r="L80" i="8"/>
  <c r="I75" i="8"/>
  <c r="F71" i="8"/>
  <c r="F67" i="8"/>
  <c r="H63" i="8"/>
  <c r="I59" i="8"/>
  <c r="G55" i="8"/>
  <c r="C52" i="8"/>
  <c r="K47" i="8"/>
  <c r="H44" i="8"/>
  <c r="J40" i="8"/>
  <c r="C37" i="8"/>
  <c r="I33" i="8"/>
  <c r="E30" i="8"/>
  <c r="F27" i="8"/>
  <c r="K23" i="8"/>
  <c r="N1240" i="7"/>
  <c r="M1237" i="7"/>
  <c r="N1234" i="7"/>
  <c r="E1232" i="7"/>
  <c r="E1229" i="7"/>
  <c r="E1226" i="7"/>
  <c r="J1223" i="7"/>
  <c r="N1220" i="7"/>
  <c r="F1218" i="7"/>
  <c r="B1216" i="7"/>
  <c r="H1213" i="7"/>
  <c r="B1211" i="7"/>
  <c r="M1208" i="7"/>
  <c r="I1206" i="7"/>
  <c r="G1204" i="7"/>
  <c r="E1202" i="7"/>
  <c r="B1200" i="7"/>
  <c r="L1197" i="7"/>
  <c r="J1195" i="7"/>
  <c r="G1193" i="7"/>
  <c r="F1191" i="7"/>
  <c r="B1189" i="7"/>
  <c r="L1186" i="7"/>
  <c r="K1184" i="7"/>
  <c r="K1182" i="7"/>
  <c r="L1180" i="7"/>
  <c r="K1178" i="7"/>
  <c r="K1176" i="7"/>
  <c r="L1174" i="7"/>
  <c r="M1172" i="7"/>
  <c r="N1170" i="7"/>
  <c r="B1169" i="7"/>
  <c r="N1166" i="7"/>
  <c r="N1164" i="7"/>
  <c r="B1163" i="7"/>
  <c r="C1161" i="7"/>
  <c r="E1159" i="7"/>
  <c r="F1157" i="7"/>
  <c r="E1155" i="7"/>
  <c r="F1153" i="7"/>
  <c r="H1151" i="7"/>
  <c r="K1149" i="7"/>
  <c r="N1147" i="7"/>
  <c r="E1146" i="7"/>
  <c r="H1144" i="7"/>
  <c r="K1142" i="7"/>
  <c r="N1140" i="7"/>
  <c r="E1139" i="7"/>
  <c r="I1137" i="7"/>
  <c r="M1135" i="7"/>
  <c r="E1134" i="7"/>
  <c r="I1132" i="7"/>
  <c r="M1130" i="7"/>
  <c r="E1129" i="7"/>
  <c r="I1127" i="7"/>
  <c r="M1125" i="7"/>
  <c r="E1124" i="7"/>
  <c r="I1122" i="7"/>
  <c r="M1120" i="7"/>
  <c r="E1119" i="7"/>
  <c r="I1117" i="7"/>
  <c r="M1115" i="7"/>
  <c r="E1114" i="7"/>
  <c r="I1112" i="7"/>
  <c r="M1110" i="7"/>
  <c r="E1109" i="7"/>
  <c r="I1107" i="7"/>
  <c r="M1105" i="7"/>
  <c r="E1104" i="7"/>
  <c r="I1102" i="7"/>
  <c r="M1100" i="7"/>
  <c r="E1099" i="7"/>
  <c r="I1097" i="7"/>
  <c r="M1095" i="7"/>
  <c r="B51" i="11"/>
  <c r="C148" i="10"/>
  <c r="E77" i="10"/>
  <c r="C26" i="10"/>
  <c r="E519" i="8"/>
  <c r="H475" i="8"/>
  <c r="B388" i="8"/>
  <c r="G353" i="8"/>
  <c r="C319" i="8"/>
  <c r="G286" i="8"/>
  <c r="C263" i="8"/>
  <c r="F218" i="8"/>
  <c r="G197" i="8"/>
  <c r="I181" i="8"/>
  <c r="E165" i="8"/>
  <c r="C150" i="8"/>
  <c r="C136" i="8"/>
  <c r="G124" i="8"/>
  <c r="J109" i="8"/>
  <c r="J98" i="8"/>
  <c r="H90" i="8"/>
  <c r="I81" i="8"/>
  <c r="H67" i="8"/>
  <c r="N61" i="8"/>
  <c r="F55" i="8"/>
  <c r="E50" i="8"/>
  <c r="C44" i="8"/>
  <c r="F38" i="8"/>
  <c r="E23" i="8"/>
  <c r="L1238" i="7"/>
  <c r="F1234" i="7"/>
  <c r="L1229" i="7"/>
  <c r="I1225" i="7"/>
  <c r="B1221" i="7"/>
  <c r="K1217" i="7"/>
  <c r="G1213" i="7"/>
  <c r="G1210" i="7"/>
  <c r="G1206" i="7"/>
  <c r="B1203" i="7"/>
  <c r="L1199" i="7"/>
  <c r="H1196" i="7"/>
  <c r="B1193" i="7"/>
  <c r="I1189" i="7"/>
  <c r="F1186" i="7"/>
  <c r="N1182" i="7"/>
  <c r="B1180" i="7"/>
  <c r="M1176" i="7"/>
  <c r="E1174" i="7"/>
  <c r="M1170" i="7"/>
  <c r="C1168" i="7"/>
  <c r="L1164" i="7"/>
  <c r="M1161" i="7"/>
  <c r="N1158" i="7"/>
  <c r="N1155" i="7"/>
  <c r="N1152" i="7"/>
  <c r="B1150" i="7"/>
  <c r="I1147" i="7"/>
  <c r="K1144" i="7"/>
  <c r="C1142" i="7"/>
  <c r="F1139" i="7"/>
  <c r="N1136" i="7"/>
  <c r="C1134" i="7"/>
  <c r="M1131" i="7"/>
  <c r="B1129" i="7"/>
  <c r="I1126" i="7"/>
  <c r="N1123" i="7"/>
  <c r="H1121" i="7"/>
  <c r="M1118" i="7"/>
  <c r="E1116" i="7"/>
  <c r="L1113" i="7"/>
  <c r="C1111" i="7"/>
  <c r="K1108" i="7"/>
  <c r="N1105" i="7"/>
  <c r="J1103" i="7"/>
  <c r="L1100" i="7"/>
  <c r="I1098" i="7"/>
  <c r="L1095" i="7"/>
  <c r="K1093" i="7"/>
  <c r="H1091" i="7"/>
  <c r="F1089" i="7"/>
  <c r="F1087" i="7"/>
  <c r="F1085" i="7"/>
  <c r="C1083" i="7"/>
  <c r="N1080" i="7"/>
  <c r="N1078" i="7"/>
  <c r="N1076" i="7"/>
  <c r="L1074" i="7"/>
  <c r="J1072" i="7"/>
  <c r="J1070" i="7"/>
  <c r="J1068" i="7"/>
  <c r="I1066" i="7"/>
  <c r="I1064" i="7"/>
  <c r="J1062" i="7"/>
  <c r="K1060" i="7"/>
  <c r="L1058" i="7"/>
  <c r="M1056" i="7"/>
  <c r="B1055" i="7"/>
  <c r="F1053" i="7"/>
  <c r="I1051" i="7"/>
  <c r="L1049" i="7"/>
  <c r="B1048" i="7"/>
  <c r="F1046" i="7"/>
  <c r="I1044" i="7"/>
  <c r="L1042" i="7"/>
  <c r="B1041" i="7"/>
  <c r="F1039" i="7"/>
  <c r="I1037" i="7"/>
  <c r="L1035" i="7"/>
  <c r="B1034" i="7"/>
  <c r="F1032" i="7"/>
  <c r="I1030" i="7"/>
  <c r="L1028" i="7"/>
  <c r="B1027" i="7"/>
  <c r="F1025" i="7"/>
  <c r="I1023" i="7"/>
  <c r="K1021" i="7"/>
  <c r="N1019" i="7"/>
  <c r="E1018" i="7"/>
  <c r="H1016" i="7"/>
  <c r="K1014" i="7"/>
  <c r="N1012" i="7"/>
  <c r="E1011" i="7"/>
  <c r="H1009" i="7"/>
  <c r="K1007" i="7"/>
  <c r="B1006" i="7"/>
  <c r="G1004" i="7"/>
  <c r="K1002" i="7"/>
  <c r="B1001" i="7"/>
  <c r="G999" i="7"/>
  <c r="K997" i="7"/>
  <c r="B996" i="7"/>
  <c r="G994" i="7"/>
  <c r="K992" i="7"/>
  <c r="B991" i="7"/>
  <c r="G989" i="7"/>
  <c r="K987" i="7"/>
  <c r="B986" i="7"/>
  <c r="G984" i="7"/>
  <c r="K982" i="7"/>
  <c r="B981" i="7"/>
  <c r="G979" i="7"/>
  <c r="K977" i="7"/>
  <c r="B976" i="7"/>
  <c r="G974" i="7"/>
  <c r="K972" i="7"/>
  <c r="B36" i="11"/>
  <c r="I145" i="10"/>
  <c r="C75" i="10"/>
  <c r="M25" i="10"/>
  <c r="E474" i="8"/>
  <c r="J423" i="8"/>
  <c r="N387" i="8"/>
  <c r="G349" i="8"/>
  <c r="H316" i="8"/>
  <c r="M285" i="8"/>
  <c r="M262" i="8"/>
  <c r="C235" i="8"/>
  <c r="H217" i="8"/>
  <c r="H196" i="8"/>
  <c r="N180" i="8"/>
  <c r="K135" i="8"/>
  <c r="H121" i="8"/>
  <c r="C109" i="8"/>
  <c r="H98" i="8"/>
  <c r="E89" i="8"/>
  <c r="M80" i="8"/>
  <c r="C74" i="8"/>
  <c r="E67" i="8"/>
  <c r="L61" i="8"/>
  <c r="C55" i="8"/>
  <c r="F49" i="8"/>
  <c r="N43" i="8"/>
  <c r="E38" i="8"/>
  <c r="L32" i="8"/>
  <c r="N27" i="8"/>
  <c r="B23" i="8"/>
  <c r="G1238" i="7"/>
  <c r="E1234" i="7"/>
  <c r="H1229" i="7"/>
  <c r="H1225" i="7"/>
  <c r="M1220" i="7"/>
  <c r="J1217" i="7"/>
  <c r="E1213" i="7"/>
  <c r="K1209" i="7"/>
  <c r="E1206" i="7"/>
  <c r="N1202" i="7"/>
  <c r="I1199" i="7"/>
  <c r="B1196" i="7"/>
  <c r="N1192" i="7"/>
  <c r="H1189" i="7"/>
  <c r="E1186" i="7"/>
  <c r="L1182" i="7"/>
  <c r="N1179" i="7"/>
  <c r="J1176" i="7"/>
  <c r="C1174" i="7"/>
  <c r="L1170" i="7"/>
  <c r="L1167" i="7"/>
  <c r="K1164" i="7"/>
  <c r="K1161" i="7"/>
  <c r="K1158" i="7"/>
  <c r="K1155" i="7"/>
  <c r="M1152" i="7"/>
  <c r="N1149" i="7"/>
  <c r="H1147" i="7"/>
  <c r="I1144" i="7"/>
  <c r="B1142" i="7"/>
  <c r="C1139" i="7"/>
  <c r="M1136" i="7"/>
  <c r="B1134" i="7"/>
  <c r="I1131" i="7"/>
  <c r="N1128" i="7"/>
  <c r="H1126" i="7"/>
  <c r="M1123" i="7"/>
  <c r="E1121" i="7"/>
  <c r="L1118" i="7"/>
  <c r="C1116" i="7"/>
  <c r="K1113" i="7"/>
  <c r="N1110" i="7"/>
  <c r="J1108" i="7"/>
  <c r="L1105" i="7"/>
  <c r="I1103" i="7"/>
  <c r="K1100" i="7"/>
  <c r="E1098" i="7"/>
  <c r="K1095" i="7"/>
  <c r="J1093" i="7"/>
  <c r="E1091" i="7"/>
  <c r="E1089" i="7"/>
  <c r="E1087" i="7"/>
  <c r="E1085" i="7"/>
  <c r="M1082" i="7"/>
  <c r="M1080" i="7"/>
  <c r="M1078" i="7"/>
  <c r="M1076" i="7"/>
  <c r="I1074" i="7"/>
  <c r="I1072" i="7"/>
  <c r="I1070" i="7"/>
  <c r="I1068" i="7"/>
  <c r="H1066" i="7"/>
  <c r="H1064" i="7"/>
  <c r="I1062" i="7"/>
  <c r="J1060" i="7"/>
  <c r="K1058" i="7"/>
  <c r="K1056" i="7"/>
  <c r="N1054" i="7"/>
  <c r="E1053" i="7"/>
  <c r="H1051" i="7"/>
  <c r="K1049" i="7"/>
  <c r="N1047" i="7"/>
  <c r="E1046" i="7"/>
  <c r="H1044" i="7"/>
  <c r="K1042" i="7"/>
  <c r="N1040" i="7"/>
  <c r="E1039" i="7"/>
  <c r="H1037" i="7"/>
  <c r="K1035" i="7"/>
  <c r="N1033" i="7"/>
  <c r="E1032" i="7"/>
  <c r="H1030" i="7"/>
  <c r="K1028" i="7"/>
  <c r="N1026" i="7"/>
  <c r="E1025" i="7"/>
  <c r="G1023" i="7"/>
  <c r="J1021" i="7"/>
  <c r="M1019" i="7"/>
  <c r="C1018" i="7"/>
  <c r="G1016" i="7"/>
  <c r="J1014" i="7"/>
  <c r="M1012" i="7"/>
  <c r="H35" i="11"/>
  <c r="N142" i="10"/>
  <c r="I70" i="10"/>
  <c r="G25" i="10"/>
  <c r="N516" i="8"/>
  <c r="C474" i="8"/>
  <c r="H422" i="8"/>
  <c r="J387" i="8"/>
  <c r="L347" i="8"/>
  <c r="F315" i="8"/>
  <c r="G285" i="8"/>
  <c r="B235" i="8"/>
  <c r="J215" i="8"/>
  <c r="E196" i="8"/>
  <c r="M180" i="8"/>
  <c r="K163" i="8"/>
  <c r="F135" i="8"/>
  <c r="F121" i="8"/>
  <c r="B109" i="8"/>
  <c r="E98" i="8"/>
  <c r="M88" i="8"/>
  <c r="I80" i="8"/>
  <c r="N73" i="8"/>
  <c r="H66" i="8"/>
  <c r="K60" i="8"/>
  <c r="B55" i="8"/>
  <c r="F43" i="8"/>
  <c r="G37" i="8"/>
  <c r="K32" i="8"/>
  <c r="M27" i="8"/>
  <c r="N22" i="8"/>
  <c r="N1237" i="7"/>
  <c r="C1234" i="7"/>
  <c r="C1229" i="7"/>
  <c r="G1225" i="7"/>
  <c r="K1220" i="7"/>
  <c r="B1217" i="7"/>
  <c r="C1213" i="7"/>
  <c r="J1209" i="7"/>
  <c r="C1206" i="7"/>
  <c r="J1202" i="7"/>
  <c r="H1199" i="7"/>
  <c r="N1195" i="7"/>
  <c r="M1192" i="7"/>
  <c r="F1189" i="7"/>
  <c r="C1186" i="7"/>
  <c r="J1182" i="7"/>
  <c r="M1179" i="7"/>
  <c r="I1176" i="7"/>
  <c r="J1173" i="7"/>
  <c r="K1170" i="7"/>
  <c r="K1167" i="7"/>
  <c r="J1164" i="7"/>
  <c r="H1161" i="7"/>
  <c r="J1158" i="7"/>
  <c r="J1155" i="7"/>
  <c r="L1152" i="7"/>
  <c r="L1149" i="7"/>
  <c r="G1147" i="7"/>
  <c r="G1144" i="7"/>
  <c r="N1141" i="7"/>
  <c r="B1139" i="7"/>
  <c r="I1136" i="7"/>
  <c r="N1133" i="7"/>
  <c r="H1131" i="7"/>
  <c r="M1128" i="7"/>
  <c r="E1126" i="7"/>
  <c r="L1123" i="7"/>
  <c r="C1121" i="7"/>
  <c r="K1118" i="7"/>
  <c r="N1115" i="7"/>
  <c r="J1113" i="7"/>
  <c r="L1110" i="7"/>
  <c r="I1108" i="7"/>
  <c r="K1105" i="7"/>
  <c r="E1103" i="7"/>
  <c r="J1100" i="7"/>
  <c r="C1098" i="7"/>
  <c r="J1095" i="7"/>
  <c r="I1093" i="7"/>
  <c r="C1091" i="7"/>
  <c r="C1089" i="7"/>
  <c r="C1087" i="7"/>
  <c r="N1084" i="7"/>
  <c r="L1082" i="7"/>
  <c r="L1080" i="7"/>
  <c r="L1078" i="7"/>
  <c r="J1076" i="7"/>
  <c r="H1074" i="7"/>
  <c r="H1072" i="7"/>
  <c r="H1070" i="7"/>
  <c r="F1068" i="7"/>
  <c r="G1066" i="7"/>
  <c r="G1064" i="7"/>
  <c r="H1062" i="7"/>
  <c r="I1060" i="7"/>
  <c r="J1058" i="7"/>
  <c r="B30" i="11"/>
  <c r="C142" i="10"/>
  <c r="G68" i="10"/>
  <c r="E513" i="8"/>
  <c r="B469" i="8"/>
  <c r="J420" i="8"/>
  <c r="C387" i="8"/>
  <c r="H343" i="8"/>
  <c r="H311" i="8"/>
  <c r="I280" i="8"/>
  <c r="I255" i="8"/>
  <c r="K233" i="8"/>
  <c r="M211" i="8"/>
  <c r="N195" i="8"/>
  <c r="L178" i="8"/>
  <c r="L162" i="8"/>
  <c r="L146" i="8"/>
  <c r="C135" i="8"/>
  <c r="H119" i="8"/>
  <c r="H108" i="8"/>
  <c r="H96" i="8"/>
  <c r="B88" i="8"/>
  <c r="E80" i="8"/>
  <c r="H72" i="8"/>
  <c r="F66" i="8"/>
  <c r="E60" i="8"/>
  <c r="J54" i="8"/>
  <c r="H48" i="8"/>
  <c r="B43" i="8"/>
  <c r="E32" i="8"/>
  <c r="E27" i="8"/>
  <c r="L22" i="8"/>
  <c r="J1237" i="7"/>
  <c r="F1233" i="7"/>
  <c r="L1228" i="7"/>
  <c r="I1224" i="7"/>
  <c r="G1220" i="7"/>
  <c r="G1216" i="7"/>
  <c r="L1212" i="7"/>
  <c r="C1209" i="7"/>
  <c r="M1205" i="7"/>
  <c r="F1202" i="7"/>
  <c r="E1199" i="7"/>
  <c r="H1195" i="7"/>
  <c r="I1192" i="7"/>
  <c r="M1188" i="7"/>
  <c r="I1185" i="7"/>
  <c r="H1182" i="7"/>
  <c r="H1179" i="7"/>
  <c r="G1176" i="7"/>
  <c r="E1173" i="7"/>
  <c r="G1170" i="7"/>
  <c r="G1167" i="7"/>
  <c r="H1164" i="7"/>
  <c r="E1161" i="7"/>
  <c r="G1158" i="7"/>
  <c r="B1155" i="7"/>
  <c r="J1152" i="7"/>
  <c r="I1149" i="7"/>
  <c r="M1146" i="7"/>
  <c r="E1144" i="7"/>
  <c r="I1141" i="7"/>
  <c r="M1138" i="7"/>
  <c r="E1136" i="7"/>
  <c r="L1133" i="7"/>
  <c r="C1131" i="7"/>
  <c r="K1128" i="7"/>
  <c r="N1125" i="7"/>
  <c r="J1123" i="7"/>
  <c r="L1120" i="7"/>
  <c r="I1118" i="7"/>
  <c r="K1115" i="7"/>
  <c r="E1113" i="7"/>
  <c r="J1110" i="7"/>
  <c r="C1108" i="7"/>
  <c r="I1105" i="7"/>
  <c r="M1102" i="7"/>
  <c r="H1100" i="7"/>
  <c r="L1097" i="7"/>
  <c r="H1095" i="7"/>
  <c r="C1093" i="7"/>
  <c r="N1090" i="7"/>
  <c r="N1088" i="7"/>
  <c r="N1086" i="7"/>
  <c r="L1084" i="7"/>
  <c r="J1082" i="7"/>
  <c r="J1080" i="7"/>
  <c r="J1078" i="7"/>
  <c r="H1076" i="7"/>
  <c r="F1074" i="7"/>
  <c r="F1072" i="7"/>
  <c r="F1070" i="7"/>
  <c r="C1068" i="7"/>
  <c r="C1066" i="7"/>
  <c r="E1064" i="7"/>
  <c r="F1062" i="7"/>
  <c r="G1060" i="7"/>
  <c r="F1058" i="7"/>
  <c r="H1056" i="7"/>
  <c r="K1054" i="7"/>
  <c r="N1052" i="7"/>
  <c r="E1051" i="7"/>
  <c r="H1049" i="7"/>
  <c r="K1047" i="7"/>
  <c r="N1045" i="7"/>
  <c r="E1044" i="7"/>
  <c r="H1042" i="7"/>
  <c r="K1040" i="7"/>
  <c r="N1038" i="7"/>
  <c r="E1037" i="7"/>
  <c r="H1035" i="7"/>
  <c r="K1033" i="7"/>
  <c r="N1031" i="7"/>
  <c r="E1030" i="7"/>
  <c r="G1028" i="7"/>
  <c r="J1026" i="7"/>
  <c r="M1024" i="7"/>
  <c r="C1023" i="7"/>
  <c r="G1021" i="7"/>
  <c r="J1019" i="7"/>
  <c r="M1017" i="7"/>
  <c r="C1016" i="7"/>
  <c r="G1014" i="7"/>
  <c r="J1012" i="7"/>
  <c r="M1010" i="7"/>
  <c r="C1009" i="7"/>
  <c r="C122" i="10"/>
  <c r="E67" i="10"/>
  <c r="H505" i="8"/>
  <c r="M419" i="8"/>
  <c r="K376" i="8"/>
  <c r="I341" i="8"/>
  <c r="L306" i="8"/>
  <c r="B278" i="8"/>
  <c r="I253" i="8"/>
  <c r="K232" i="8"/>
  <c r="H210" i="8"/>
  <c r="N194" i="8"/>
  <c r="C175" i="8"/>
  <c r="C161" i="8"/>
  <c r="I146" i="8"/>
  <c r="J131" i="8"/>
  <c r="C119" i="8"/>
  <c r="N106" i="8"/>
  <c r="L95" i="8"/>
  <c r="N86" i="8"/>
  <c r="F79" i="8"/>
  <c r="I71" i="8"/>
  <c r="N65" i="8"/>
  <c r="B60" i="8"/>
  <c r="G54" i="8"/>
  <c r="G47" i="8"/>
  <c r="J42" i="8"/>
  <c r="L36" i="8"/>
  <c r="M31" i="8"/>
  <c r="J26" i="8"/>
  <c r="F1237" i="7"/>
  <c r="J1232" i="7"/>
  <c r="F1228" i="7"/>
  <c r="B1224" i="7"/>
  <c r="B1220" i="7"/>
  <c r="C1216" i="7"/>
  <c r="J1212" i="7"/>
  <c r="L1208" i="7"/>
  <c r="K1205" i="7"/>
  <c r="B1202" i="7"/>
  <c r="K1198" i="7"/>
  <c r="E1195" i="7"/>
  <c r="M1191" i="7"/>
  <c r="I1188" i="7"/>
  <c r="B1185" i="7"/>
  <c r="F1182" i="7"/>
  <c r="C1179" i="7"/>
  <c r="E1176" i="7"/>
  <c r="N1172" i="7"/>
  <c r="E1170" i="7"/>
  <c r="M1166" i="7"/>
  <c r="F1164" i="7"/>
  <c r="N1160" i="7"/>
  <c r="N1157" i="7"/>
  <c r="M1154" i="7"/>
  <c r="B1152" i="7"/>
  <c r="G1149" i="7"/>
  <c r="I1146" i="7"/>
  <c r="B1144" i="7"/>
  <c r="E1141" i="7"/>
  <c r="K1138" i="7"/>
  <c r="N1135" i="7"/>
  <c r="J1133" i="7"/>
  <c r="L1130" i="7"/>
  <c r="I1128" i="7"/>
  <c r="K1125" i="7"/>
  <c r="E1123" i="7"/>
  <c r="J1120" i="7"/>
  <c r="C1118" i="7"/>
  <c r="I1115" i="7"/>
  <c r="M1112" i="7"/>
  <c r="H1110" i="7"/>
  <c r="L1107" i="7"/>
  <c r="G1105" i="7"/>
  <c r="J1102" i="7"/>
  <c r="F1100" i="7"/>
  <c r="H1097" i="7"/>
  <c r="F1095" i="7"/>
  <c r="L1092" i="7"/>
  <c r="L1090" i="7"/>
  <c r="L1088" i="7"/>
  <c r="J1086" i="7"/>
  <c r="H1084" i="7"/>
  <c r="H1082" i="7"/>
  <c r="H1080" i="7"/>
  <c r="F1078" i="7"/>
  <c r="C1076" i="7"/>
  <c r="C1074" i="7"/>
  <c r="C1072" i="7"/>
  <c r="N1069" i="7"/>
  <c r="M1067" i="7"/>
  <c r="N1065" i="7"/>
  <c r="B1064" i="7"/>
  <c r="C1062" i="7"/>
  <c r="E1060" i="7"/>
  <c r="C1058" i="7"/>
  <c r="F1056" i="7"/>
  <c r="I1054" i="7"/>
  <c r="L1052" i="7"/>
  <c r="B1051" i="7"/>
  <c r="F1049" i="7"/>
  <c r="I1047" i="7"/>
  <c r="L1045" i="7"/>
  <c r="B1044" i="7"/>
  <c r="F1042" i="7"/>
  <c r="I1040" i="7"/>
  <c r="L1038" i="7"/>
  <c r="B1037" i="7"/>
  <c r="F1035" i="7"/>
  <c r="I1033" i="7"/>
  <c r="K1031" i="7"/>
  <c r="N1029" i="7"/>
  <c r="E1028" i="7"/>
  <c r="H1026" i="7"/>
  <c r="K1024" i="7"/>
  <c r="N1022" i="7"/>
  <c r="E1021" i="7"/>
  <c r="H1019" i="7"/>
  <c r="K1017" i="7"/>
  <c r="N1015" i="7"/>
  <c r="E1014" i="7"/>
  <c r="H1012" i="7"/>
  <c r="K1010" i="7"/>
  <c r="N1008" i="7"/>
  <c r="E1007" i="7"/>
  <c r="I1005" i="7"/>
  <c r="M1003" i="7"/>
  <c r="E1002" i="7"/>
  <c r="L193" i="10"/>
  <c r="H119" i="10"/>
  <c r="C62" i="10"/>
  <c r="G553" i="8"/>
  <c r="H500" i="8"/>
  <c r="G457" i="8"/>
  <c r="N412" i="8"/>
  <c r="K373" i="8"/>
  <c r="I340" i="8"/>
  <c r="M302" i="8"/>
  <c r="J230" i="8"/>
  <c r="C210" i="8"/>
  <c r="E191" i="8"/>
  <c r="G174" i="8"/>
  <c r="F159" i="8"/>
  <c r="I143" i="8"/>
  <c r="E130" i="8"/>
  <c r="G118" i="8"/>
  <c r="B104" i="8"/>
  <c r="J95" i="8"/>
  <c r="M85" i="8"/>
  <c r="M78" i="8"/>
  <c r="E71" i="8"/>
  <c r="L65" i="8"/>
  <c r="L58" i="8"/>
  <c r="M52" i="8"/>
  <c r="E47" i="8"/>
  <c r="B42" i="8"/>
  <c r="H36" i="8"/>
  <c r="B31" i="8"/>
  <c r="G26" i="8"/>
  <c r="F1241" i="7"/>
  <c r="C1237" i="7"/>
  <c r="F1232" i="7"/>
  <c r="C1228" i="7"/>
  <c r="G1223" i="7"/>
  <c r="M1219" i="7"/>
  <c r="M1215" i="7"/>
  <c r="E1212" i="7"/>
  <c r="I1208" i="7"/>
  <c r="E1205" i="7"/>
  <c r="L1201" i="7"/>
  <c r="F1198" i="7"/>
  <c r="B1195" i="7"/>
  <c r="I1191" i="7"/>
  <c r="F1188" i="7"/>
  <c r="L1184" i="7"/>
  <c r="N1181" i="7"/>
  <c r="J1178" i="7"/>
  <c r="B1176" i="7"/>
  <c r="K1172" i="7"/>
  <c r="K1169" i="7"/>
  <c r="J1166" i="7"/>
  <c r="K1163" i="7"/>
  <c r="L1160" i="7"/>
  <c r="J1157" i="7"/>
  <c r="K1154" i="7"/>
  <c r="K1151" i="7"/>
  <c r="E1149" i="7"/>
  <c r="F1146" i="7"/>
  <c r="L1143" i="7"/>
  <c r="M1140" i="7"/>
  <c r="I1138" i="7"/>
  <c r="K1135" i="7"/>
  <c r="E1133" i="7"/>
  <c r="J1130" i="7"/>
  <c r="C1128" i="7"/>
  <c r="I1125" i="7"/>
  <c r="M1122" i="7"/>
  <c r="H1120" i="7"/>
  <c r="L1117" i="7"/>
  <c r="G1115" i="7"/>
  <c r="J1112" i="7"/>
  <c r="F1110" i="7"/>
  <c r="H1107" i="7"/>
  <c r="E1105" i="7"/>
  <c r="G1102" i="7"/>
  <c r="M1099" i="7"/>
  <c r="F1097" i="7"/>
  <c r="M1094" i="7"/>
  <c r="J1092" i="7"/>
  <c r="J1090" i="7"/>
  <c r="J1088" i="7"/>
  <c r="H1086" i="7"/>
  <c r="F1084" i="7"/>
  <c r="F1082" i="7"/>
  <c r="F1080" i="7"/>
  <c r="C1078" i="7"/>
  <c r="N1075" i="7"/>
  <c r="N1073" i="7"/>
  <c r="N1071" i="7"/>
  <c r="L1069" i="7"/>
  <c r="K1067" i="7"/>
  <c r="L1065" i="7"/>
  <c r="M1063" i="7"/>
  <c r="N1061" i="7"/>
  <c r="M1059" i="7"/>
  <c r="M1057" i="7"/>
  <c r="C1056" i="7"/>
  <c r="G1054" i="7"/>
  <c r="J1052" i="7"/>
  <c r="M1050" i="7"/>
  <c r="C1049" i="7"/>
  <c r="G1047" i="7"/>
  <c r="J1045" i="7"/>
  <c r="M1043" i="7"/>
  <c r="C1042" i="7"/>
  <c r="G1040" i="7"/>
  <c r="J1038" i="7"/>
  <c r="M1036" i="7"/>
  <c r="B1035" i="7"/>
  <c r="F1033" i="7"/>
  <c r="I1031" i="7"/>
  <c r="L1029" i="7"/>
  <c r="B1028" i="7"/>
  <c r="F1026" i="7"/>
  <c r="I1024" i="7"/>
  <c r="L1022" i="7"/>
  <c r="B1021" i="7"/>
  <c r="F1019" i="7"/>
  <c r="I1017" i="7"/>
  <c r="L186" i="10"/>
  <c r="N118" i="10"/>
  <c r="B60" i="10"/>
  <c r="B546" i="8"/>
  <c r="F499" i="8"/>
  <c r="H456" i="8"/>
  <c r="N410" i="8"/>
  <c r="H370" i="8"/>
  <c r="J339" i="8"/>
  <c r="M301" i="8"/>
  <c r="K276" i="8"/>
  <c r="N248" i="8"/>
  <c r="J226" i="8"/>
  <c r="B210" i="8"/>
  <c r="B191" i="8"/>
  <c r="E174" i="8"/>
  <c r="B159" i="8"/>
  <c r="H143" i="8"/>
  <c r="L129" i="8"/>
  <c r="F118" i="8"/>
  <c r="M103" i="8"/>
  <c r="G95" i="8"/>
  <c r="J85" i="8"/>
  <c r="E78" i="8"/>
  <c r="M64" i="8"/>
  <c r="K58" i="8"/>
  <c r="L52" i="8"/>
  <c r="H41" i="8"/>
  <c r="G36" i="8"/>
  <c r="N30" i="8"/>
  <c r="B26" i="8"/>
  <c r="B1241" i="7"/>
  <c r="B1237" i="7"/>
  <c r="C1232" i="7"/>
  <c r="B1228" i="7"/>
  <c r="F1223" i="7"/>
  <c r="I1219" i="7"/>
  <c r="L1215" i="7"/>
  <c r="C1212" i="7"/>
  <c r="F1208" i="7"/>
  <c r="L1204" i="7"/>
  <c r="K1201" i="7"/>
  <c r="E1198" i="7"/>
  <c r="N1194" i="7"/>
  <c r="G1191" i="7"/>
  <c r="E1188" i="7"/>
  <c r="J1184" i="7"/>
  <c r="M1181" i="7"/>
  <c r="I1178" i="7"/>
  <c r="K1175" i="7"/>
  <c r="J1172" i="7"/>
  <c r="J1169" i="7"/>
  <c r="I1166" i="7"/>
  <c r="G1163" i="7"/>
  <c r="K1160" i="7"/>
  <c r="I1157" i="7"/>
  <c r="J1154" i="7"/>
  <c r="I1151" i="7"/>
  <c r="C1149" i="7"/>
  <c r="C1146" i="7"/>
  <c r="K1143" i="7"/>
  <c r="L1140" i="7"/>
  <c r="E1138" i="7"/>
  <c r="J1135" i="7"/>
  <c r="C1133" i="7"/>
  <c r="I1130" i="7"/>
  <c r="M1127" i="7"/>
  <c r="L87" i="11"/>
  <c r="E178" i="10"/>
  <c r="E104" i="10"/>
  <c r="E47" i="10"/>
  <c r="K536" i="8"/>
  <c r="G497" i="8"/>
  <c r="E445" i="8"/>
  <c r="B368" i="8"/>
  <c r="C330" i="8"/>
  <c r="J300" i="8"/>
  <c r="N269" i="8"/>
  <c r="K245" i="8"/>
  <c r="H225" i="8"/>
  <c r="G206" i="8"/>
  <c r="I187" i="8"/>
  <c r="B173" i="8"/>
  <c r="N154" i="8"/>
  <c r="H142" i="8"/>
  <c r="K127" i="8"/>
  <c r="G114" i="8"/>
  <c r="E103" i="8"/>
  <c r="E93" i="8"/>
  <c r="F84" i="8"/>
  <c r="E77" i="8"/>
  <c r="B70" i="8"/>
  <c r="K63" i="8"/>
  <c r="E58" i="8"/>
  <c r="L46" i="8"/>
  <c r="I40" i="8"/>
  <c r="M22" i="11"/>
  <c r="B554" i="8"/>
  <c r="J479" i="8"/>
  <c r="N399" i="8"/>
  <c r="H341" i="8"/>
  <c r="C290" i="8"/>
  <c r="E210" i="8"/>
  <c r="G183" i="8"/>
  <c r="F154" i="8"/>
  <c r="I131" i="8"/>
  <c r="K110" i="8"/>
  <c r="M91" i="8"/>
  <c r="N57" i="8"/>
  <c r="F47" i="8"/>
  <c r="E39" i="8"/>
  <c r="B30" i="8"/>
  <c r="F23" i="8"/>
  <c r="K1235" i="7"/>
  <c r="N1228" i="7"/>
  <c r="J1222" i="7"/>
  <c r="F1216" i="7"/>
  <c r="L1210" i="7"/>
  <c r="G1205" i="7"/>
  <c r="G1200" i="7"/>
  <c r="M1194" i="7"/>
  <c r="G1190" i="7"/>
  <c r="H1184" i="7"/>
  <c r="F1180" i="7"/>
  <c r="B1175" i="7"/>
  <c r="B1171" i="7"/>
  <c r="E1166" i="7"/>
  <c r="G1161" i="7"/>
  <c r="K1156" i="7"/>
  <c r="F1152" i="7"/>
  <c r="B1148" i="7"/>
  <c r="N1143" i="7"/>
  <c r="M1139" i="7"/>
  <c r="I1135" i="7"/>
  <c r="C1132" i="7"/>
  <c r="J1127" i="7"/>
  <c r="F1124" i="7"/>
  <c r="G1120" i="7"/>
  <c r="B1117" i="7"/>
  <c r="C1113" i="7"/>
  <c r="H1109" i="7"/>
  <c r="C1106" i="7"/>
  <c r="C1102" i="7"/>
  <c r="L1098" i="7"/>
  <c r="L1094" i="7"/>
  <c r="B1092" i="7"/>
  <c r="M1088" i="7"/>
  <c r="M1085" i="7"/>
  <c r="E1083" i="7"/>
  <c r="M1079" i="7"/>
  <c r="E1077" i="7"/>
  <c r="M1073" i="7"/>
  <c r="B1071" i="7"/>
  <c r="B1068" i="7"/>
  <c r="G1065" i="7"/>
  <c r="K1062" i="7"/>
  <c r="I1059" i="7"/>
  <c r="C1057" i="7"/>
  <c r="J1054" i="7"/>
  <c r="F1052" i="7"/>
  <c r="B1050" i="7"/>
  <c r="J1047" i="7"/>
  <c r="F1045" i="7"/>
  <c r="B1043" i="7"/>
  <c r="J1040" i="7"/>
  <c r="E1038" i="7"/>
  <c r="B1036" i="7"/>
  <c r="J1033" i="7"/>
  <c r="E1031" i="7"/>
  <c r="B1029" i="7"/>
  <c r="I1026" i="7"/>
  <c r="E1024" i="7"/>
  <c r="B1022" i="7"/>
  <c r="I1019" i="7"/>
  <c r="E1017" i="7"/>
  <c r="B1015" i="7"/>
  <c r="L1012" i="7"/>
  <c r="J1010" i="7"/>
  <c r="J1008" i="7"/>
  <c r="K1006" i="7"/>
  <c r="M1004" i="7"/>
  <c r="B1003" i="7"/>
  <c r="E1001" i="7"/>
  <c r="H999" i="7"/>
  <c r="J997" i="7"/>
  <c r="M995" i="7"/>
  <c r="C994" i="7"/>
  <c r="G992" i="7"/>
  <c r="J990" i="7"/>
  <c r="M988" i="7"/>
  <c r="C987" i="7"/>
  <c r="G985" i="7"/>
  <c r="J983" i="7"/>
  <c r="M981" i="7"/>
  <c r="C980" i="7"/>
  <c r="G978" i="7"/>
  <c r="J976" i="7"/>
  <c r="M974" i="7"/>
  <c r="C973" i="7"/>
  <c r="G971" i="7"/>
  <c r="K969" i="7"/>
  <c r="B968" i="7"/>
  <c r="G966" i="7"/>
  <c r="K964" i="7"/>
  <c r="B963" i="7"/>
  <c r="G961" i="7"/>
  <c r="K959" i="7"/>
  <c r="B958" i="7"/>
  <c r="G956" i="7"/>
  <c r="K954" i="7"/>
  <c r="B953" i="7"/>
  <c r="G951" i="7"/>
  <c r="K949" i="7"/>
  <c r="B948" i="7"/>
  <c r="G946" i="7"/>
  <c r="K944" i="7"/>
  <c r="B943" i="7"/>
  <c r="G941" i="7"/>
  <c r="K939" i="7"/>
  <c r="B938" i="7"/>
  <c r="G936" i="7"/>
  <c r="K934" i="7"/>
  <c r="B933" i="7"/>
  <c r="G931" i="7"/>
  <c r="K929" i="7"/>
  <c r="B928" i="7"/>
  <c r="G926" i="7"/>
  <c r="K924" i="7"/>
  <c r="B923" i="7"/>
  <c r="G921" i="7"/>
  <c r="K919" i="7"/>
  <c r="B918" i="7"/>
  <c r="G916" i="7"/>
  <c r="K914" i="7"/>
  <c r="B913" i="7"/>
  <c r="G911" i="7"/>
  <c r="K909" i="7"/>
  <c r="B908" i="7"/>
  <c r="M93" i="10"/>
  <c r="N543" i="8"/>
  <c r="C478" i="8"/>
  <c r="M398" i="8"/>
  <c r="B339" i="8"/>
  <c r="K287" i="8"/>
  <c r="C245" i="8"/>
  <c r="N209" i="8"/>
  <c r="F183" i="8"/>
  <c r="E129" i="8"/>
  <c r="G91" i="8"/>
  <c r="I77" i="8"/>
  <c r="C68" i="8"/>
  <c r="E57" i="8"/>
  <c r="N46" i="8"/>
  <c r="N29" i="8"/>
  <c r="M22" i="8"/>
  <c r="I1235" i="7"/>
  <c r="G1228" i="7"/>
  <c r="I1222" i="7"/>
  <c r="N1215" i="7"/>
  <c r="K1210" i="7"/>
  <c r="K1204" i="7"/>
  <c r="C1200" i="7"/>
  <c r="L1194" i="7"/>
  <c r="M1189" i="7"/>
  <c r="G1184" i="7"/>
  <c r="E1180" i="7"/>
  <c r="M1174" i="7"/>
  <c r="J1170" i="7"/>
  <c r="M1165" i="7"/>
  <c r="B1161" i="7"/>
  <c r="J1156" i="7"/>
  <c r="L1151" i="7"/>
  <c r="M1147" i="7"/>
  <c r="G1143" i="7"/>
  <c r="L1139" i="7"/>
  <c r="H1135" i="7"/>
  <c r="B1132" i="7"/>
  <c r="H1127" i="7"/>
  <c r="C1124" i="7"/>
  <c r="F1120" i="7"/>
  <c r="N1116" i="7"/>
  <c r="L1112" i="7"/>
  <c r="F1109" i="7"/>
  <c r="J1105" i="7"/>
  <c r="B1102" i="7"/>
  <c r="K1098" i="7"/>
  <c r="I1094" i="7"/>
  <c r="N1091" i="7"/>
  <c r="K1088" i="7"/>
  <c r="L1085" i="7"/>
  <c r="K1082" i="7"/>
  <c r="L1079" i="7"/>
  <c r="C1077" i="7"/>
  <c r="L1073" i="7"/>
  <c r="N1070" i="7"/>
  <c r="L1067" i="7"/>
  <c r="F1065" i="7"/>
  <c r="G1062" i="7"/>
  <c r="H1059" i="7"/>
  <c r="B1057" i="7"/>
  <c r="H1054" i="7"/>
  <c r="E1052" i="7"/>
  <c r="N1049" i="7"/>
  <c r="H1047" i="7"/>
  <c r="E1045" i="7"/>
  <c r="N1042" i="7"/>
  <c r="H1040" i="7"/>
  <c r="C1038" i="7"/>
  <c r="N1035" i="7"/>
  <c r="G1033" i="7"/>
  <c r="C1031" i="7"/>
  <c r="N1028" i="7"/>
  <c r="G1026" i="7"/>
  <c r="C1024" i="7"/>
  <c r="N1021" i="7"/>
  <c r="G1019" i="7"/>
  <c r="C1017" i="7"/>
  <c r="N1014" i="7"/>
  <c r="K1012" i="7"/>
  <c r="I1010" i="7"/>
  <c r="I1008" i="7"/>
  <c r="J1006" i="7"/>
  <c r="L1004" i="7"/>
  <c r="N1002" i="7"/>
  <c r="C1001" i="7"/>
  <c r="F999" i="7"/>
  <c r="I997" i="7"/>
  <c r="L995" i="7"/>
  <c r="B994" i="7"/>
  <c r="F992" i="7"/>
  <c r="I990" i="7"/>
  <c r="L988" i="7"/>
  <c r="B987" i="7"/>
  <c r="F985" i="7"/>
  <c r="I983" i="7"/>
  <c r="L981" i="7"/>
  <c r="B980" i="7"/>
  <c r="F978" i="7"/>
  <c r="I976" i="7"/>
  <c r="L974" i="7"/>
  <c r="B973" i="7"/>
  <c r="F971" i="7"/>
  <c r="J969" i="7"/>
  <c r="N967" i="7"/>
  <c r="F966" i="7"/>
  <c r="J964" i="7"/>
  <c r="N962" i="7"/>
  <c r="F961" i="7"/>
  <c r="J959" i="7"/>
  <c r="N957" i="7"/>
  <c r="F956" i="7"/>
  <c r="J954" i="7"/>
  <c r="N952" i="7"/>
  <c r="F951" i="7"/>
  <c r="J949" i="7"/>
  <c r="N947" i="7"/>
  <c r="F946" i="7"/>
  <c r="J944" i="7"/>
  <c r="N942" i="7"/>
  <c r="F941" i="7"/>
  <c r="J939" i="7"/>
  <c r="N937" i="7"/>
  <c r="F936" i="7"/>
  <c r="J934" i="7"/>
  <c r="N932" i="7"/>
  <c r="F931" i="7"/>
  <c r="J929" i="7"/>
  <c r="N927" i="7"/>
  <c r="F926" i="7"/>
  <c r="J924" i="7"/>
  <c r="N922" i="7"/>
  <c r="F921" i="7"/>
  <c r="J919" i="7"/>
  <c r="N917" i="7"/>
  <c r="F916" i="7"/>
  <c r="J914" i="7"/>
  <c r="N912" i="7"/>
  <c r="F911" i="7"/>
  <c r="J909" i="7"/>
  <c r="N907" i="7"/>
  <c r="F906" i="7"/>
  <c r="J904" i="7"/>
  <c r="N902" i="7"/>
  <c r="F901" i="7"/>
  <c r="H194" i="10"/>
  <c r="G90" i="10"/>
  <c r="J540" i="8"/>
  <c r="I470" i="8"/>
  <c r="K396" i="8"/>
  <c r="F333" i="8"/>
  <c r="L281" i="8"/>
  <c r="C243" i="8"/>
  <c r="G208" i="8"/>
  <c r="J179" i="8"/>
  <c r="F153" i="8"/>
  <c r="K128" i="8"/>
  <c r="I108" i="8"/>
  <c r="N90" i="8"/>
  <c r="H77" i="8"/>
  <c r="G66" i="8"/>
  <c r="M46" i="8"/>
  <c r="F37" i="8"/>
  <c r="M29" i="8"/>
  <c r="B1235" i="7"/>
  <c r="E1228" i="7"/>
  <c r="M1221" i="7"/>
  <c r="I1215" i="7"/>
  <c r="J1210" i="7"/>
  <c r="H1204" i="7"/>
  <c r="N1199" i="7"/>
  <c r="F1194" i="7"/>
  <c r="L1189" i="7"/>
  <c r="F1184" i="7"/>
  <c r="I1179" i="7"/>
  <c r="K1174" i="7"/>
  <c r="F1170" i="7"/>
  <c r="L1165" i="7"/>
  <c r="M1160" i="7"/>
  <c r="I1156" i="7"/>
  <c r="G1151" i="7"/>
  <c r="L1147" i="7"/>
  <c r="F1143" i="7"/>
  <c r="I1139" i="7"/>
  <c r="G1135" i="7"/>
  <c r="N1131" i="7"/>
  <c r="G1127" i="7"/>
  <c r="B1124" i="7"/>
  <c r="E1120" i="7"/>
  <c r="M1116" i="7"/>
  <c r="H1112" i="7"/>
  <c r="C1109" i="7"/>
  <c r="H1105" i="7"/>
  <c r="N1101" i="7"/>
  <c r="J1098" i="7"/>
  <c r="H1094" i="7"/>
  <c r="M1091" i="7"/>
  <c r="I1088" i="7"/>
  <c r="K1085" i="7"/>
  <c r="I1082" i="7"/>
  <c r="I1079" i="7"/>
  <c r="B1077" i="7"/>
  <c r="K1073" i="7"/>
  <c r="M1070" i="7"/>
  <c r="J1067" i="7"/>
  <c r="E1065" i="7"/>
  <c r="E1062" i="7"/>
  <c r="G1059" i="7"/>
  <c r="N1056" i="7"/>
  <c r="F1054" i="7"/>
  <c r="C1052" i="7"/>
  <c r="M1049" i="7"/>
  <c r="F1047" i="7"/>
  <c r="B1045" i="7"/>
  <c r="M1042" i="7"/>
  <c r="F1040" i="7"/>
  <c r="B1038" i="7"/>
  <c r="M1035" i="7"/>
  <c r="E1033" i="7"/>
  <c r="B1031" i="7"/>
  <c r="M1028" i="7"/>
  <c r="E1026" i="7"/>
  <c r="B1024" i="7"/>
  <c r="M1021" i="7"/>
  <c r="E1019" i="7"/>
  <c r="B1017" i="7"/>
  <c r="M1014" i="7"/>
  <c r="I1012" i="7"/>
  <c r="H1010" i="7"/>
  <c r="G1008" i="7"/>
  <c r="I1006" i="7"/>
  <c r="K1004" i="7"/>
  <c r="M1002" i="7"/>
  <c r="N1000" i="7"/>
  <c r="E999" i="7"/>
  <c r="H997" i="7"/>
  <c r="K995" i="7"/>
  <c r="N993" i="7"/>
  <c r="E992" i="7"/>
  <c r="H990" i="7"/>
  <c r="K988" i="7"/>
  <c r="N986" i="7"/>
  <c r="E985" i="7"/>
  <c r="H983" i="7"/>
  <c r="K981" i="7"/>
  <c r="N979" i="7"/>
  <c r="E978" i="7"/>
  <c r="H976" i="7"/>
  <c r="K974" i="7"/>
  <c r="N972" i="7"/>
  <c r="E971" i="7"/>
  <c r="I969" i="7"/>
  <c r="M967" i="7"/>
  <c r="E966" i="7"/>
  <c r="I964" i="7"/>
  <c r="M962" i="7"/>
  <c r="E961" i="7"/>
  <c r="I959" i="7"/>
  <c r="M957" i="7"/>
  <c r="E956" i="7"/>
  <c r="I954" i="7"/>
  <c r="M952" i="7"/>
  <c r="E951" i="7"/>
  <c r="I949" i="7"/>
  <c r="M947" i="7"/>
  <c r="E946" i="7"/>
  <c r="I944" i="7"/>
  <c r="M942" i="7"/>
  <c r="E941" i="7"/>
  <c r="I939" i="7"/>
  <c r="M937" i="7"/>
  <c r="E936" i="7"/>
  <c r="I934" i="7"/>
  <c r="M932" i="7"/>
  <c r="E931" i="7"/>
  <c r="I929" i="7"/>
  <c r="M927" i="7"/>
  <c r="E926" i="7"/>
  <c r="I924" i="7"/>
  <c r="M922" i="7"/>
  <c r="E921" i="7"/>
  <c r="I919" i="7"/>
  <c r="M917" i="7"/>
  <c r="E916" i="7"/>
  <c r="I914" i="7"/>
  <c r="M912" i="7"/>
  <c r="E911" i="7"/>
  <c r="I909" i="7"/>
  <c r="M907" i="7"/>
  <c r="N183" i="10"/>
  <c r="G86" i="10"/>
  <c r="J535" i="8"/>
  <c r="I467" i="8"/>
  <c r="E391" i="8"/>
  <c r="B280" i="8"/>
  <c r="K242" i="8"/>
  <c r="C205" i="8"/>
  <c r="M176" i="8"/>
  <c r="E153" i="8"/>
  <c r="M126" i="8"/>
  <c r="L90" i="8"/>
  <c r="E66" i="8"/>
  <c r="I46" i="8"/>
  <c r="M36" i="8"/>
  <c r="L29" i="8"/>
  <c r="G1241" i="7"/>
  <c r="K1234" i="7"/>
  <c r="K1227" i="7"/>
  <c r="K1221" i="7"/>
  <c r="H1215" i="7"/>
  <c r="I1210" i="7"/>
  <c r="E1204" i="7"/>
  <c r="M1199" i="7"/>
  <c r="E1194" i="7"/>
  <c r="N1188" i="7"/>
  <c r="E1184" i="7"/>
  <c r="E1179" i="7"/>
  <c r="J1174" i="7"/>
  <c r="B1170" i="7"/>
  <c r="G1165" i="7"/>
  <c r="J1160" i="7"/>
  <c r="H1156" i="7"/>
  <c r="F1151" i="7"/>
  <c r="K1147" i="7"/>
  <c r="B1143" i="7"/>
  <c r="H1139" i="7"/>
  <c r="F1135" i="7"/>
  <c r="E1131" i="7"/>
  <c r="F1127" i="7"/>
  <c r="K1123" i="7"/>
  <c r="M1119" i="7"/>
  <c r="I1116" i="7"/>
  <c r="G1112" i="7"/>
  <c r="B1109" i="7"/>
  <c r="F1105" i="7"/>
  <c r="M1101" i="7"/>
  <c r="M1097" i="7"/>
  <c r="G1094" i="7"/>
  <c r="J1091" i="7"/>
  <c r="F1088" i="7"/>
  <c r="J1085" i="7"/>
  <c r="G1082" i="7"/>
  <c r="H1079" i="7"/>
  <c r="I1076" i="7"/>
  <c r="J1073" i="7"/>
  <c r="L1070" i="7"/>
  <c r="I1067" i="7"/>
  <c r="N1064" i="7"/>
  <c r="B1062" i="7"/>
  <c r="F1059" i="7"/>
  <c r="J1056" i="7"/>
  <c r="E1054" i="7"/>
  <c r="B1052" i="7"/>
  <c r="J1049" i="7"/>
  <c r="E1047" i="7"/>
  <c r="N1044" i="7"/>
  <c r="J1042" i="7"/>
  <c r="E1040" i="7"/>
  <c r="N1037" i="7"/>
  <c r="J1035" i="7"/>
  <c r="C1033" i="7"/>
  <c r="N1030" i="7"/>
  <c r="J1028" i="7"/>
  <c r="C1026" i="7"/>
  <c r="N1023" i="7"/>
  <c r="I1021" i="7"/>
  <c r="C1019" i="7"/>
  <c r="N1016" i="7"/>
  <c r="L1014" i="7"/>
  <c r="G1012" i="7"/>
  <c r="G1010" i="7"/>
  <c r="F1008" i="7"/>
  <c r="H1006" i="7"/>
  <c r="J1004" i="7"/>
  <c r="L1002" i="7"/>
  <c r="M1000" i="7"/>
  <c r="C999" i="7"/>
  <c r="G997" i="7"/>
  <c r="J995" i="7"/>
  <c r="M993" i="7"/>
  <c r="C992" i="7"/>
  <c r="G990" i="7"/>
  <c r="J988" i="7"/>
  <c r="M986" i="7"/>
  <c r="C985" i="7"/>
  <c r="G983" i="7"/>
  <c r="J981" i="7"/>
  <c r="M979" i="7"/>
  <c r="C978" i="7"/>
  <c r="G976" i="7"/>
  <c r="J974" i="7"/>
  <c r="M972" i="7"/>
  <c r="C971" i="7"/>
  <c r="H969" i="7"/>
  <c r="L967" i="7"/>
  <c r="C966" i="7"/>
  <c r="H964" i="7"/>
  <c r="L962" i="7"/>
  <c r="C961" i="7"/>
  <c r="H959" i="7"/>
  <c r="L957" i="7"/>
  <c r="C956" i="7"/>
  <c r="H954" i="7"/>
  <c r="L952" i="7"/>
  <c r="C951" i="7"/>
  <c r="H949" i="7"/>
  <c r="L947" i="7"/>
  <c r="C946" i="7"/>
  <c r="H944" i="7"/>
  <c r="L942" i="7"/>
  <c r="C941" i="7"/>
  <c r="H939" i="7"/>
  <c r="L937" i="7"/>
  <c r="C936" i="7"/>
  <c r="H934" i="7"/>
  <c r="L932" i="7"/>
  <c r="C931" i="7"/>
  <c r="H929" i="7"/>
  <c r="L927" i="7"/>
  <c r="C926" i="7"/>
  <c r="H924" i="7"/>
  <c r="L922" i="7"/>
  <c r="C921" i="7"/>
  <c r="H919" i="7"/>
  <c r="L917" i="7"/>
  <c r="C916" i="7"/>
  <c r="H914" i="7"/>
  <c r="L912" i="7"/>
  <c r="C911" i="7"/>
  <c r="C153" i="10"/>
  <c r="L41" i="10"/>
  <c r="L524" i="8"/>
  <c r="M442" i="8"/>
  <c r="I369" i="8"/>
  <c r="C265" i="8"/>
  <c r="I226" i="8"/>
  <c r="I199" i="8"/>
  <c r="N168" i="8"/>
  <c r="J142" i="8"/>
  <c r="H124" i="8"/>
  <c r="M84" i="8"/>
  <c r="I74" i="8"/>
  <c r="C63" i="8"/>
  <c r="G52" i="8"/>
  <c r="F44" i="8"/>
  <c r="J34" i="8"/>
  <c r="K26" i="8"/>
  <c r="N1239" i="7"/>
  <c r="H1232" i="7"/>
  <c r="B1226" i="7"/>
  <c r="H1219" i="7"/>
  <c r="C1214" i="7"/>
  <c r="C1208" i="7"/>
  <c r="K1203" i="7"/>
  <c r="J1197" i="7"/>
  <c r="C1193" i="7"/>
  <c r="F1187" i="7"/>
  <c r="I1182" i="7"/>
  <c r="B1178" i="7"/>
  <c r="C1173" i="7"/>
  <c r="J1168" i="7"/>
  <c r="N1163" i="7"/>
  <c r="H1159" i="7"/>
  <c r="I1154" i="7"/>
  <c r="L1150" i="7"/>
  <c r="N1145" i="7"/>
  <c r="G1142" i="7"/>
  <c r="L1137" i="7"/>
  <c r="F1134" i="7"/>
  <c r="E1130" i="7"/>
  <c r="C1126" i="7"/>
  <c r="G1122" i="7"/>
  <c r="B1119" i="7"/>
  <c r="E1115" i="7"/>
  <c r="M1111" i="7"/>
  <c r="J1107" i="7"/>
  <c r="C1104" i="7"/>
  <c r="I1100" i="7"/>
  <c r="N1096" i="7"/>
  <c r="M1093" i="7"/>
  <c r="H1090" i="7"/>
  <c r="J1087" i="7"/>
  <c r="G1084" i="7"/>
  <c r="J1081" i="7"/>
  <c r="K1078" i="7"/>
  <c r="J1075" i="7"/>
  <c r="L1072" i="7"/>
  <c r="H1069" i="7"/>
  <c r="B1067" i="7"/>
  <c r="N1063" i="7"/>
  <c r="E1061" i="7"/>
  <c r="I1058" i="7"/>
  <c r="M1055" i="7"/>
  <c r="K1053" i="7"/>
  <c r="F1051" i="7"/>
  <c r="M1048" i="7"/>
  <c r="J1046" i="7"/>
  <c r="F1044" i="7"/>
  <c r="M1041" i="7"/>
  <c r="J1039" i="7"/>
  <c r="F1037" i="7"/>
  <c r="L1034" i="7"/>
  <c r="J1032" i="7"/>
  <c r="F1030" i="7"/>
  <c r="L1027" i="7"/>
  <c r="J1025" i="7"/>
  <c r="E1023" i="7"/>
  <c r="L1020" i="7"/>
  <c r="J1018" i="7"/>
  <c r="E1016" i="7"/>
  <c r="N1013" i="7"/>
  <c r="M1011" i="7"/>
  <c r="L1009" i="7"/>
  <c r="L1007" i="7"/>
  <c r="M1005" i="7"/>
  <c r="B1004" i="7"/>
  <c r="C1002" i="7"/>
  <c r="G1000" i="7"/>
  <c r="J998" i="7"/>
  <c r="M996" i="7"/>
  <c r="C995" i="7"/>
  <c r="G993" i="7"/>
  <c r="J991" i="7"/>
  <c r="M989" i="7"/>
  <c r="C988" i="7"/>
  <c r="G986" i="7"/>
  <c r="J984" i="7"/>
  <c r="M982" i="7"/>
  <c r="C981" i="7"/>
  <c r="F979" i="7"/>
  <c r="I977" i="7"/>
  <c r="L975" i="7"/>
  <c r="B974" i="7"/>
  <c r="F972" i="7"/>
  <c r="J970" i="7"/>
  <c r="N968" i="7"/>
  <c r="F967" i="7"/>
  <c r="J965" i="7"/>
  <c r="N963" i="7"/>
  <c r="F962" i="7"/>
  <c r="J960" i="7"/>
  <c r="N958" i="7"/>
  <c r="F957" i="7"/>
  <c r="J955" i="7"/>
  <c r="N953" i="7"/>
  <c r="F952" i="7"/>
  <c r="J950" i="7"/>
  <c r="N948" i="7"/>
  <c r="F947" i="7"/>
  <c r="J945" i="7"/>
  <c r="N943" i="7"/>
  <c r="F942" i="7"/>
  <c r="J940" i="7"/>
  <c r="N938" i="7"/>
  <c r="F937" i="7"/>
  <c r="J935" i="7"/>
  <c r="N933" i="7"/>
  <c r="F932" i="7"/>
  <c r="J930" i="7"/>
  <c r="N928" i="7"/>
  <c r="F927" i="7"/>
  <c r="J925" i="7"/>
  <c r="N923" i="7"/>
  <c r="F922" i="7"/>
  <c r="J920" i="7"/>
  <c r="N918" i="7"/>
  <c r="F917" i="7"/>
  <c r="J915" i="7"/>
  <c r="N913" i="7"/>
  <c r="F912" i="7"/>
  <c r="J910" i="7"/>
  <c r="N908" i="7"/>
  <c r="B90" i="11"/>
  <c r="E41" i="10"/>
  <c r="J514" i="8"/>
  <c r="J442" i="8"/>
  <c r="K368" i="8"/>
  <c r="E315" i="8"/>
  <c r="K264" i="8"/>
  <c r="L225" i="8"/>
  <c r="B196" i="8"/>
  <c r="K167" i="8"/>
  <c r="I142" i="8"/>
  <c r="L120" i="8"/>
  <c r="C101" i="8"/>
  <c r="L84" i="8"/>
  <c r="I72" i="8"/>
  <c r="B63" i="8"/>
  <c r="F52" i="8"/>
  <c r="E43" i="8"/>
  <c r="E34" i="8"/>
  <c r="H26" i="8"/>
  <c r="K1239" i="7"/>
  <c r="B1232" i="7"/>
  <c r="N1225" i="7"/>
  <c r="B1219" i="7"/>
  <c r="B1214" i="7"/>
  <c r="N1207" i="7"/>
  <c r="I1203" i="7"/>
  <c r="H1197" i="7"/>
  <c r="L1192" i="7"/>
  <c r="E1187" i="7"/>
  <c r="G1182" i="7"/>
  <c r="N1177" i="7"/>
  <c r="L1172" i="7"/>
  <c r="I1168" i="7"/>
  <c r="F1163" i="7"/>
  <c r="F1159" i="7"/>
  <c r="H1154" i="7"/>
  <c r="G1150" i="7"/>
  <c r="M1145" i="7"/>
  <c r="F1142" i="7"/>
  <c r="J1137" i="7"/>
  <c r="M1133" i="7"/>
  <c r="M1129" i="7"/>
  <c r="L1125" i="7"/>
  <c r="F1122" i="7"/>
  <c r="N1118" i="7"/>
  <c r="M1114" i="7"/>
  <c r="I1111" i="7"/>
  <c r="G1107" i="7"/>
  <c r="B1104" i="7"/>
  <c r="G1100" i="7"/>
  <c r="M1096" i="7"/>
  <c r="L1093" i="7"/>
  <c r="G1090" i="7"/>
  <c r="I1087" i="7"/>
  <c r="E1084" i="7"/>
  <c r="I1081" i="7"/>
  <c r="I1078" i="7"/>
  <c r="I1075" i="7"/>
  <c r="K1072" i="7"/>
  <c r="G1069" i="7"/>
  <c r="N1066" i="7"/>
  <c r="L1063" i="7"/>
  <c r="C1061" i="7"/>
  <c r="E1058" i="7"/>
  <c r="L1055" i="7"/>
  <c r="J1053" i="7"/>
  <c r="C1051" i="7"/>
  <c r="L1048" i="7"/>
  <c r="I1046" i="7"/>
  <c r="C1044" i="7"/>
  <c r="K1041" i="7"/>
  <c r="I1039" i="7"/>
  <c r="C1037" i="7"/>
  <c r="K1034" i="7"/>
  <c r="I1032" i="7"/>
  <c r="B1030" i="7"/>
  <c r="K1027" i="7"/>
  <c r="I1025" i="7"/>
  <c r="B1023" i="7"/>
  <c r="K1020" i="7"/>
  <c r="I1018" i="7"/>
  <c r="B1016" i="7"/>
  <c r="M1013" i="7"/>
  <c r="K1011" i="7"/>
  <c r="K1009" i="7"/>
  <c r="J1007" i="7"/>
  <c r="L1005" i="7"/>
  <c r="N1003" i="7"/>
  <c r="B1002" i="7"/>
  <c r="G142" i="10"/>
  <c r="L32" i="10"/>
  <c r="H501" i="8"/>
  <c r="E439" i="8"/>
  <c r="L362" i="8"/>
  <c r="B305" i="8"/>
  <c r="B264" i="8"/>
  <c r="C221" i="8"/>
  <c r="M194" i="8"/>
  <c r="G140" i="8"/>
  <c r="K118" i="8"/>
  <c r="I99" i="8"/>
  <c r="C84" i="8"/>
  <c r="G71" i="8"/>
  <c r="I62" i="8"/>
  <c r="C51" i="8"/>
  <c r="C42" i="8"/>
  <c r="B34" i="8"/>
  <c r="M25" i="8"/>
  <c r="C1239" i="7"/>
  <c r="I1231" i="7"/>
  <c r="L1225" i="7"/>
  <c r="G1218" i="7"/>
  <c r="M1212" i="7"/>
  <c r="H1207" i="7"/>
  <c r="C1202" i="7"/>
  <c r="E1197" i="7"/>
  <c r="J1191" i="7"/>
  <c r="J1186" i="7"/>
  <c r="H1181" i="7"/>
  <c r="I1177" i="7"/>
  <c r="H1172" i="7"/>
  <c r="F1168" i="7"/>
  <c r="N1162" i="7"/>
  <c r="B1159" i="7"/>
  <c r="B1154" i="7"/>
  <c r="J1149" i="7"/>
  <c r="K1145" i="7"/>
  <c r="F1141" i="7"/>
  <c r="G1137" i="7"/>
  <c r="I1133" i="7"/>
  <c r="I1129" i="7"/>
  <c r="H1125" i="7"/>
  <c r="C1122" i="7"/>
  <c r="E1118" i="7"/>
  <c r="I1114" i="7"/>
  <c r="E1111" i="7"/>
  <c r="E1107" i="7"/>
  <c r="M1103" i="7"/>
  <c r="L1099" i="7"/>
  <c r="H1096" i="7"/>
  <c r="M1092" i="7"/>
  <c r="E1090" i="7"/>
  <c r="G1087" i="7"/>
  <c r="B1084" i="7"/>
  <c r="E1081" i="7"/>
  <c r="M1077" i="7"/>
  <c r="G1075" i="7"/>
  <c r="E1072" i="7"/>
  <c r="E1069" i="7"/>
  <c r="J1066" i="7"/>
  <c r="J1063" i="7"/>
  <c r="N1060" i="7"/>
  <c r="L1057" i="7"/>
  <c r="J1055" i="7"/>
  <c r="G1053" i="7"/>
  <c r="L1050" i="7"/>
  <c r="J1048" i="7"/>
  <c r="G1046" i="7"/>
  <c r="L1043" i="7"/>
  <c r="I1041" i="7"/>
  <c r="G1039" i="7"/>
  <c r="K1036" i="7"/>
  <c r="I1034" i="7"/>
  <c r="G1032" i="7"/>
  <c r="K1029" i="7"/>
  <c r="I1027" i="7"/>
  <c r="G1025" i="7"/>
  <c r="K1022" i="7"/>
  <c r="I1020" i="7"/>
  <c r="F1018" i="7"/>
  <c r="L1015" i="7"/>
  <c r="K1013" i="7"/>
  <c r="I1011" i="7"/>
  <c r="I1009" i="7"/>
  <c r="H1007" i="7"/>
  <c r="J1005" i="7"/>
  <c r="K1003" i="7"/>
  <c r="M1001" i="7"/>
  <c r="C1000" i="7"/>
  <c r="G998" i="7"/>
  <c r="J996" i="7"/>
  <c r="M994" i="7"/>
  <c r="C993" i="7"/>
  <c r="G991" i="7"/>
  <c r="J989" i="7"/>
  <c r="M987" i="7"/>
  <c r="C986" i="7"/>
  <c r="F984" i="7"/>
  <c r="I982" i="7"/>
  <c r="L980" i="7"/>
  <c r="B979" i="7"/>
  <c r="F977" i="7"/>
  <c r="I975" i="7"/>
  <c r="L973" i="7"/>
  <c r="B972" i="7"/>
  <c r="G970" i="7"/>
  <c r="K968" i="7"/>
  <c r="B967" i="7"/>
  <c r="G965" i="7"/>
  <c r="K963" i="7"/>
  <c r="B962" i="7"/>
  <c r="G960" i="7"/>
  <c r="K958" i="7"/>
  <c r="B957" i="7"/>
  <c r="G955" i="7"/>
  <c r="K953" i="7"/>
  <c r="B952" i="7"/>
  <c r="G950" i="7"/>
  <c r="K948" i="7"/>
  <c r="B947" i="7"/>
  <c r="G945" i="7"/>
  <c r="K943" i="7"/>
  <c r="B942" i="7"/>
  <c r="F176" i="10"/>
  <c r="I446" i="8"/>
  <c r="N355" i="8"/>
  <c r="I269" i="8"/>
  <c r="G218" i="8"/>
  <c r="E169" i="8"/>
  <c r="E135" i="8"/>
  <c r="N100" i="8"/>
  <c r="B80" i="8"/>
  <c r="B62" i="8"/>
  <c r="H45" i="8"/>
  <c r="F33" i="8"/>
  <c r="M1240" i="7"/>
  <c r="G1231" i="7"/>
  <c r="G1221" i="7"/>
  <c r="J1211" i="7"/>
  <c r="N1203" i="7"/>
  <c r="I1196" i="7"/>
  <c r="L1187" i="7"/>
  <c r="K1180" i="7"/>
  <c r="I1173" i="7"/>
  <c r="G1166" i="7"/>
  <c r="C1159" i="7"/>
  <c r="K1152" i="7"/>
  <c r="J1145" i="7"/>
  <c r="N1138" i="7"/>
  <c r="L1132" i="7"/>
  <c r="C1127" i="7"/>
  <c r="M1121" i="7"/>
  <c r="J1115" i="7"/>
  <c r="E1110" i="7"/>
  <c r="H1104" i="7"/>
  <c r="B1099" i="7"/>
  <c r="N1093" i="7"/>
  <c r="G1089" i="7"/>
  <c r="C1084" i="7"/>
  <c r="N1079" i="7"/>
  <c r="F1075" i="7"/>
  <c r="K1070" i="7"/>
  <c r="B1066" i="7"/>
  <c r="J1061" i="7"/>
  <c r="I1057" i="7"/>
  <c r="N1053" i="7"/>
  <c r="H1050" i="7"/>
  <c r="M1046" i="7"/>
  <c r="F1043" i="7"/>
  <c r="K1039" i="7"/>
  <c r="E1036" i="7"/>
  <c r="H1032" i="7"/>
  <c r="C1029" i="7"/>
  <c r="B1025" i="7"/>
  <c r="H1021" i="7"/>
  <c r="N1017" i="7"/>
  <c r="H1014" i="7"/>
  <c r="F1011" i="7"/>
  <c r="B1008" i="7"/>
  <c r="E1005" i="7"/>
  <c r="G1002" i="7"/>
  <c r="L999" i="7"/>
  <c r="C997" i="7"/>
  <c r="K994" i="7"/>
  <c r="B992" i="7"/>
  <c r="K989" i="7"/>
  <c r="F987" i="7"/>
  <c r="K984" i="7"/>
  <c r="E982" i="7"/>
  <c r="J979" i="7"/>
  <c r="C977" i="7"/>
  <c r="I974" i="7"/>
  <c r="C972" i="7"/>
  <c r="M969" i="7"/>
  <c r="G967" i="7"/>
  <c r="B965" i="7"/>
  <c r="I962" i="7"/>
  <c r="E960" i="7"/>
  <c r="K957" i="7"/>
  <c r="H955" i="7"/>
  <c r="E953" i="7"/>
  <c r="K950" i="7"/>
  <c r="G948" i="7"/>
  <c r="M945" i="7"/>
  <c r="I943" i="7"/>
  <c r="B941" i="7"/>
  <c r="M938" i="7"/>
  <c r="L936" i="7"/>
  <c r="G934" i="7"/>
  <c r="E932" i="7"/>
  <c r="C930" i="7"/>
  <c r="K927" i="7"/>
  <c r="I925" i="7"/>
  <c r="H923" i="7"/>
  <c r="B921" i="7"/>
  <c r="M918" i="7"/>
  <c r="L916" i="7"/>
  <c r="G914" i="7"/>
  <c r="E912" i="7"/>
  <c r="C910" i="7"/>
  <c r="C908" i="7"/>
  <c r="C906" i="7"/>
  <c r="G904" i="7"/>
  <c r="J902" i="7"/>
  <c r="M900" i="7"/>
  <c r="E899" i="7"/>
  <c r="I897" i="7"/>
  <c r="M895" i="7"/>
  <c r="E894" i="7"/>
  <c r="I892" i="7"/>
  <c r="M890" i="7"/>
  <c r="E889" i="7"/>
  <c r="I887" i="7"/>
  <c r="M885" i="7"/>
  <c r="E884" i="7"/>
  <c r="I882" i="7"/>
  <c r="M880" i="7"/>
  <c r="E879" i="7"/>
  <c r="I877" i="7"/>
  <c r="M875" i="7"/>
  <c r="E874" i="7"/>
  <c r="I872" i="7"/>
  <c r="M870" i="7"/>
  <c r="E869" i="7"/>
  <c r="I867" i="7"/>
  <c r="M865" i="7"/>
  <c r="E864" i="7"/>
  <c r="I862" i="7"/>
  <c r="M860" i="7"/>
  <c r="E859" i="7"/>
  <c r="I857" i="7"/>
  <c r="M855" i="7"/>
  <c r="E854" i="7"/>
  <c r="I852" i="7"/>
  <c r="M850" i="7"/>
  <c r="E849" i="7"/>
  <c r="I847" i="7"/>
  <c r="M845" i="7"/>
  <c r="E844" i="7"/>
  <c r="I842" i="7"/>
  <c r="M840" i="7"/>
  <c r="E839" i="7"/>
  <c r="I837" i="7"/>
  <c r="M835" i="7"/>
  <c r="E834" i="7"/>
  <c r="I832" i="7"/>
  <c r="M830" i="7"/>
  <c r="E829" i="7"/>
  <c r="I827" i="7"/>
  <c r="M825" i="7"/>
  <c r="E824" i="7"/>
  <c r="I822" i="7"/>
  <c r="M820" i="7"/>
  <c r="E819" i="7"/>
  <c r="I817" i="7"/>
  <c r="M815" i="7"/>
  <c r="E814" i="7"/>
  <c r="I812" i="7"/>
  <c r="M810" i="7"/>
  <c r="E809" i="7"/>
  <c r="I807" i="7"/>
  <c r="M805" i="7"/>
  <c r="E804" i="7"/>
  <c r="I802" i="7"/>
  <c r="M800" i="7"/>
  <c r="E799" i="7"/>
  <c r="I797" i="7"/>
  <c r="M795" i="7"/>
  <c r="E794" i="7"/>
  <c r="M161" i="10"/>
  <c r="K22" i="10"/>
  <c r="M355" i="8"/>
  <c r="K214" i="8"/>
  <c r="H167" i="8"/>
  <c r="M134" i="8"/>
  <c r="F99" i="8"/>
  <c r="J75" i="8"/>
  <c r="J60" i="8"/>
  <c r="G45" i="8"/>
  <c r="H32" i="8"/>
  <c r="L1240" i="7"/>
  <c r="B1231" i="7"/>
  <c r="J1220" i="7"/>
  <c r="H1211" i="7"/>
  <c r="M1203" i="7"/>
  <c r="K1195" i="7"/>
  <c r="K1187" i="7"/>
  <c r="J1180" i="7"/>
  <c r="I1172" i="7"/>
  <c r="F1166" i="7"/>
  <c r="I1158" i="7"/>
  <c r="E1151" i="7"/>
  <c r="H1145" i="7"/>
  <c r="L1138" i="7"/>
  <c r="J1132" i="7"/>
  <c r="B1127" i="7"/>
  <c r="I1121" i="7"/>
  <c r="H1115" i="7"/>
  <c r="M1109" i="7"/>
  <c r="F1104" i="7"/>
  <c r="N1098" i="7"/>
  <c r="E1093" i="7"/>
  <c r="B1089" i="7"/>
  <c r="N1083" i="7"/>
  <c r="G1079" i="7"/>
  <c r="E1075" i="7"/>
  <c r="G1070" i="7"/>
  <c r="M1065" i="7"/>
  <c r="I1061" i="7"/>
  <c r="H1057" i="7"/>
  <c r="M1053" i="7"/>
  <c r="G1050" i="7"/>
  <c r="K1046" i="7"/>
  <c r="E1043" i="7"/>
  <c r="H1039" i="7"/>
  <c r="C1036" i="7"/>
  <c r="C1032" i="7"/>
  <c r="I1028" i="7"/>
  <c r="N1024" i="7"/>
  <c r="F1021" i="7"/>
  <c r="L1017" i="7"/>
  <c r="F1014" i="7"/>
  <c r="C1011" i="7"/>
  <c r="N1007" i="7"/>
  <c r="C1005" i="7"/>
  <c r="F1002" i="7"/>
  <c r="K999" i="7"/>
  <c r="B997" i="7"/>
  <c r="J994" i="7"/>
  <c r="N991" i="7"/>
  <c r="I989" i="7"/>
  <c r="E987" i="7"/>
  <c r="I984" i="7"/>
  <c r="C982" i="7"/>
  <c r="I979" i="7"/>
  <c r="B977" i="7"/>
  <c r="H974" i="7"/>
  <c r="N971" i="7"/>
  <c r="L969" i="7"/>
  <c r="E967" i="7"/>
  <c r="N964" i="7"/>
  <c r="H962" i="7"/>
  <c r="C960" i="7"/>
  <c r="J957" i="7"/>
  <c r="F955" i="7"/>
  <c r="C953" i="7"/>
  <c r="I950" i="7"/>
  <c r="F948" i="7"/>
  <c r="L945" i="7"/>
  <c r="H943" i="7"/>
  <c r="N940" i="7"/>
  <c r="L938" i="7"/>
  <c r="K936" i="7"/>
  <c r="F934" i="7"/>
  <c r="C932" i="7"/>
  <c r="B930" i="7"/>
  <c r="J927" i="7"/>
  <c r="H925" i="7"/>
  <c r="G923" i="7"/>
  <c r="N920" i="7"/>
  <c r="L918" i="7"/>
  <c r="K916" i="7"/>
  <c r="F914" i="7"/>
  <c r="C912" i="7"/>
  <c r="B910" i="7"/>
  <c r="L907" i="7"/>
  <c r="B906" i="7"/>
  <c r="F904" i="7"/>
  <c r="I902" i="7"/>
  <c r="L900" i="7"/>
  <c r="C899" i="7"/>
  <c r="H897" i="7"/>
  <c r="L895" i="7"/>
  <c r="C894" i="7"/>
  <c r="H892" i="7"/>
  <c r="L890" i="7"/>
  <c r="C889" i="7"/>
  <c r="H887" i="7"/>
  <c r="L885" i="7"/>
  <c r="C884" i="7"/>
  <c r="H882" i="7"/>
  <c r="L880" i="7"/>
  <c r="C879" i="7"/>
  <c r="H877" i="7"/>
  <c r="L875" i="7"/>
  <c r="C874" i="7"/>
  <c r="H872" i="7"/>
  <c r="L870" i="7"/>
  <c r="C869" i="7"/>
  <c r="H867" i="7"/>
  <c r="L865" i="7"/>
  <c r="C864" i="7"/>
  <c r="H862" i="7"/>
  <c r="L860" i="7"/>
  <c r="C859" i="7"/>
  <c r="H857" i="7"/>
  <c r="L855" i="7"/>
  <c r="C854" i="7"/>
  <c r="H852" i="7"/>
  <c r="L850" i="7"/>
  <c r="C849" i="7"/>
  <c r="H847" i="7"/>
  <c r="L845" i="7"/>
  <c r="C844" i="7"/>
  <c r="H842" i="7"/>
  <c r="L840" i="7"/>
  <c r="C839" i="7"/>
  <c r="H837" i="7"/>
  <c r="L835" i="7"/>
  <c r="C834" i="7"/>
  <c r="H832" i="7"/>
  <c r="L830" i="7"/>
  <c r="C829" i="7"/>
  <c r="H827" i="7"/>
  <c r="L825" i="7"/>
  <c r="C824" i="7"/>
  <c r="H822" i="7"/>
  <c r="L820" i="7"/>
  <c r="C819" i="7"/>
  <c r="H817" i="7"/>
  <c r="L815" i="7"/>
  <c r="C814" i="7"/>
  <c r="H812" i="7"/>
  <c r="G161" i="10"/>
  <c r="C445" i="8"/>
  <c r="E264" i="8"/>
  <c r="E211" i="8"/>
  <c r="J165" i="8"/>
  <c r="L126" i="8"/>
  <c r="K96" i="8"/>
  <c r="L44" i="8"/>
  <c r="K1240" i="7"/>
  <c r="N1230" i="7"/>
  <c r="C1220" i="7"/>
  <c r="C1211" i="7"/>
  <c r="L1203" i="7"/>
  <c r="G1195" i="7"/>
  <c r="M1186" i="7"/>
  <c r="G1180" i="7"/>
  <c r="G1172" i="7"/>
  <c r="F1165" i="7"/>
  <c r="F1158" i="7"/>
  <c r="C1151" i="7"/>
  <c r="C1145" i="7"/>
  <c r="J1138" i="7"/>
  <c r="H1132" i="7"/>
  <c r="N1126" i="7"/>
  <c r="N1120" i="7"/>
  <c r="F1115" i="7"/>
  <c r="L1109" i="7"/>
  <c r="N1103" i="7"/>
  <c r="M1098" i="7"/>
  <c r="K1092" i="7"/>
  <c r="E1088" i="7"/>
  <c r="M1083" i="7"/>
  <c r="F1079" i="7"/>
  <c r="N1074" i="7"/>
  <c r="E1070" i="7"/>
  <c r="K1065" i="7"/>
  <c r="H1061" i="7"/>
  <c r="G1057" i="7"/>
  <c r="L1053" i="7"/>
  <c r="F1050" i="7"/>
  <c r="H1046" i="7"/>
  <c r="C1043" i="7"/>
  <c r="C1039" i="7"/>
  <c r="I1035" i="7"/>
  <c r="B1032" i="7"/>
  <c r="F1028" i="7"/>
  <c r="L1024" i="7"/>
  <c r="C1021" i="7"/>
  <c r="J1017" i="7"/>
  <c r="C1014" i="7"/>
  <c r="B1011" i="7"/>
  <c r="M1007" i="7"/>
  <c r="B1005" i="7"/>
  <c r="N1001" i="7"/>
  <c r="J999" i="7"/>
  <c r="N996" i="7"/>
  <c r="I994" i="7"/>
  <c r="M991" i="7"/>
  <c r="H989" i="7"/>
  <c r="L986" i="7"/>
  <c r="H984" i="7"/>
  <c r="B982" i="7"/>
  <c r="H979" i="7"/>
  <c r="N976" i="7"/>
  <c r="F974" i="7"/>
  <c r="M971" i="7"/>
  <c r="G969" i="7"/>
  <c r="C967" i="7"/>
  <c r="M964" i="7"/>
  <c r="G962" i="7"/>
  <c r="B960" i="7"/>
  <c r="I957" i="7"/>
  <c r="E955" i="7"/>
  <c r="K952" i="7"/>
  <c r="H950" i="7"/>
  <c r="E948" i="7"/>
  <c r="K945" i="7"/>
  <c r="G943" i="7"/>
  <c r="M940" i="7"/>
  <c r="K938" i="7"/>
  <c r="J936" i="7"/>
  <c r="E934" i="7"/>
  <c r="B932" i="7"/>
  <c r="N929" i="7"/>
  <c r="I927" i="7"/>
  <c r="G925" i="7"/>
  <c r="F923" i="7"/>
  <c r="M920" i="7"/>
  <c r="K918" i="7"/>
  <c r="J916" i="7"/>
  <c r="E914" i="7"/>
  <c r="B912" i="7"/>
  <c r="N909" i="7"/>
  <c r="K907" i="7"/>
  <c r="N905" i="7"/>
  <c r="E904" i="7"/>
  <c r="H902" i="7"/>
  <c r="K900" i="7"/>
  <c r="B899" i="7"/>
  <c r="G897" i="7"/>
  <c r="K895" i="7"/>
  <c r="B894" i="7"/>
  <c r="G892" i="7"/>
  <c r="K890" i="7"/>
  <c r="B889" i="7"/>
  <c r="G887" i="7"/>
  <c r="K885" i="7"/>
  <c r="B884" i="7"/>
  <c r="G882" i="7"/>
  <c r="K880" i="7"/>
  <c r="B879" i="7"/>
  <c r="G877" i="7"/>
  <c r="K875" i="7"/>
  <c r="B874" i="7"/>
  <c r="G872" i="7"/>
  <c r="K870" i="7"/>
  <c r="B869" i="7"/>
  <c r="G867" i="7"/>
  <c r="K865" i="7"/>
  <c r="B864" i="7"/>
  <c r="G862" i="7"/>
  <c r="K860" i="7"/>
  <c r="B859" i="7"/>
  <c r="G857" i="7"/>
  <c r="K855" i="7"/>
  <c r="B854" i="7"/>
  <c r="G852" i="7"/>
  <c r="K850" i="7"/>
  <c r="B849" i="7"/>
  <c r="G847" i="7"/>
  <c r="K845" i="7"/>
  <c r="B844" i="7"/>
  <c r="G842" i="7"/>
  <c r="K840" i="7"/>
  <c r="B839" i="7"/>
  <c r="G837" i="7"/>
  <c r="K835" i="7"/>
  <c r="B834" i="7"/>
  <c r="G832" i="7"/>
  <c r="K830" i="7"/>
  <c r="B829" i="7"/>
  <c r="G827" i="7"/>
  <c r="K825" i="7"/>
  <c r="B824" i="7"/>
  <c r="G822" i="7"/>
  <c r="K820" i="7"/>
  <c r="B819" i="7"/>
  <c r="G817" i="7"/>
  <c r="I157" i="10"/>
  <c r="N263" i="8"/>
  <c r="N204" i="8"/>
  <c r="M162" i="8"/>
  <c r="C96" i="8"/>
  <c r="C75" i="8"/>
  <c r="K44" i="8"/>
  <c r="L31" i="8"/>
  <c r="F1240" i="7"/>
  <c r="G1230" i="7"/>
  <c r="N1219" i="7"/>
  <c r="N1210" i="7"/>
  <c r="H1202" i="7"/>
  <c r="C1195" i="7"/>
  <c r="I1186" i="7"/>
  <c r="N1178" i="7"/>
  <c r="F1172" i="7"/>
  <c r="B1165" i="7"/>
  <c r="M1157" i="7"/>
  <c r="B1151" i="7"/>
  <c r="B1145" i="7"/>
  <c r="C1138" i="7"/>
  <c r="G1132" i="7"/>
  <c r="M1126" i="7"/>
  <c r="K1120" i="7"/>
  <c r="L1114" i="7"/>
  <c r="I1109" i="7"/>
  <c r="L1103" i="7"/>
  <c r="J1097" i="7"/>
  <c r="I1092" i="7"/>
  <c r="C1088" i="7"/>
  <c r="L1083" i="7"/>
  <c r="E1079" i="7"/>
  <c r="M1074" i="7"/>
  <c r="M1069" i="7"/>
  <c r="J1065" i="7"/>
  <c r="G1061" i="7"/>
  <c r="F1057" i="7"/>
  <c r="I1053" i="7"/>
  <c r="E1050" i="7"/>
  <c r="C1046" i="7"/>
  <c r="I1042" i="7"/>
  <c r="B1039" i="7"/>
  <c r="G1035" i="7"/>
  <c r="M1031" i="7"/>
  <c r="C1028" i="7"/>
  <c r="J1024" i="7"/>
  <c r="N1020" i="7"/>
  <c r="H1017" i="7"/>
  <c r="B1014" i="7"/>
  <c r="N1010" i="7"/>
  <c r="I1007" i="7"/>
  <c r="N1004" i="7"/>
  <c r="L1001" i="7"/>
  <c r="I999" i="7"/>
  <c r="L996" i="7"/>
  <c r="H994" i="7"/>
  <c r="L991" i="7"/>
  <c r="F989" i="7"/>
  <c r="K986" i="7"/>
  <c r="E984" i="7"/>
  <c r="N981" i="7"/>
  <c r="E979" i="7"/>
  <c r="M976" i="7"/>
  <c r="E974" i="7"/>
  <c r="L971" i="7"/>
  <c r="F969" i="7"/>
  <c r="N966" i="7"/>
  <c r="L964" i="7"/>
  <c r="E962" i="7"/>
  <c r="N959" i="7"/>
  <c r="H957" i="7"/>
  <c r="C955" i="7"/>
  <c r="J952" i="7"/>
  <c r="F950" i="7"/>
  <c r="C948" i="7"/>
  <c r="I945" i="7"/>
  <c r="F943" i="7"/>
  <c r="L940" i="7"/>
  <c r="J938" i="7"/>
  <c r="I936" i="7"/>
  <c r="C934" i="7"/>
  <c r="N931" i="7"/>
  <c r="M929" i="7"/>
  <c r="H927" i="7"/>
  <c r="F925" i="7"/>
  <c r="E923" i="7"/>
  <c r="L920" i="7"/>
  <c r="J918" i="7"/>
  <c r="I916" i="7"/>
  <c r="C914" i="7"/>
  <c r="N911" i="7"/>
  <c r="M909" i="7"/>
  <c r="J907" i="7"/>
  <c r="M905" i="7"/>
  <c r="C904" i="7"/>
  <c r="G902" i="7"/>
  <c r="J900" i="7"/>
  <c r="N898" i="7"/>
  <c r="G431" i="8"/>
  <c r="C328" i="8"/>
  <c r="B256" i="8"/>
  <c r="I203" i="8"/>
  <c r="I161" i="8"/>
  <c r="K95" i="8"/>
  <c r="B75" i="8"/>
  <c r="G58" i="8"/>
  <c r="I44" i="8"/>
  <c r="F30" i="8"/>
  <c r="B1240" i="7"/>
  <c r="F1230" i="7"/>
  <c r="M1218" i="7"/>
  <c r="M1210" i="7"/>
  <c r="M1201" i="7"/>
  <c r="M1193" i="7"/>
  <c r="H1186" i="7"/>
  <c r="G1178" i="7"/>
  <c r="B1172" i="7"/>
  <c r="M1164" i="7"/>
  <c r="G1157" i="7"/>
  <c r="N1150" i="7"/>
  <c r="L1144" i="7"/>
  <c r="M1137" i="7"/>
  <c r="F1132" i="7"/>
  <c r="J1125" i="7"/>
  <c r="I1120" i="7"/>
  <c r="H1114" i="7"/>
  <c r="N1108" i="7"/>
  <c r="K1103" i="7"/>
  <c r="G1097" i="7"/>
  <c r="H1092" i="7"/>
  <c r="M1087" i="7"/>
  <c r="K1083" i="7"/>
  <c r="C1079" i="7"/>
  <c r="G1074" i="7"/>
  <c r="I1069" i="7"/>
  <c r="I1065" i="7"/>
  <c r="B1061" i="7"/>
  <c r="E1057" i="7"/>
  <c r="C1053" i="7"/>
  <c r="I1049" i="7"/>
  <c r="B1046" i="7"/>
  <c r="G1042" i="7"/>
  <c r="M1038" i="7"/>
  <c r="E1035" i="7"/>
  <c r="J1031" i="7"/>
  <c r="N1027" i="7"/>
  <c r="H1024" i="7"/>
  <c r="M1020" i="7"/>
  <c r="G1017" i="7"/>
  <c r="L1013" i="7"/>
  <c r="L1010" i="7"/>
  <c r="G1007" i="7"/>
  <c r="I1004" i="7"/>
  <c r="K1001" i="7"/>
  <c r="B999" i="7"/>
  <c r="K996" i="7"/>
  <c r="F994" i="7"/>
  <c r="K991" i="7"/>
  <c r="E989" i="7"/>
  <c r="J986" i="7"/>
  <c r="C984" i="7"/>
  <c r="I981" i="7"/>
  <c r="C979" i="7"/>
  <c r="L976" i="7"/>
  <c r="C974" i="7"/>
  <c r="K971" i="7"/>
  <c r="E969" i="7"/>
  <c r="M966" i="7"/>
  <c r="G964" i="7"/>
  <c r="C962" i="7"/>
  <c r="M959" i="7"/>
  <c r="G957" i="7"/>
  <c r="B955" i="7"/>
  <c r="I952" i="7"/>
  <c r="E950" i="7"/>
  <c r="K947" i="7"/>
  <c r="H945" i="7"/>
  <c r="E943" i="7"/>
  <c r="K940" i="7"/>
  <c r="I938" i="7"/>
  <c r="H936" i="7"/>
  <c r="B934" i="7"/>
  <c r="M931" i="7"/>
  <c r="L929" i="7"/>
  <c r="G927" i="7"/>
  <c r="E925" i="7"/>
  <c r="C923" i="7"/>
  <c r="K920" i="7"/>
  <c r="I918" i="7"/>
  <c r="H916" i="7"/>
  <c r="B914" i="7"/>
  <c r="M911" i="7"/>
  <c r="L909" i="7"/>
  <c r="I907" i="7"/>
  <c r="L905" i="7"/>
  <c r="B904" i="7"/>
  <c r="F902" i="7"/>
  <c r="I900" i="7"/>
  <c r="M898" i="7"/>
  <c r="H113" i="10"/>
  <c r="I533" i="8"/>
  <c r="L419" i="8"/>
  <c r="B324" i="8"/>
  <c r="M248" i="8"/>
  <c r="K200" i="8"/>
  <c r="L155" i="8"/>
  <c r="C92" i="8"/>
  <c r="C71" i="8"/>
  <c r="C56" i="8"/>
  <c r="L40" i="8"/>
  <c r="J29" i="8"/>
  <c r="L1237" i="7"/>
  <c r="N1226" i="7"/>
  <c r="B1218" i="7"/>
  <c r="N1208" i="7"/>
  <c r="F1201" i="7"/>
  <c r="F1193" i="7"/>
  <c r="H1185" i="7"/>
  <c r="C1178" i="7"/>
  <c r="F1171" i="7"/>
  <c r="C1163" i="7"/>
  <c r="M1156" i="7"/>
  <c r="H1149" i="7"/>
  <c r="N1142" i="7"/>
  <c r="E1137" i="7"/>
  <c r="K1130" i="7"/>
  <c r="E1125" i="7"/>
  <c r="H1119" i="7"/>
  <c r="B1114" i="7"/>
  <c r="E1108" i="7"/>
  <c r="H1102" i="7"/>
  <c r="B1097" i="7"/>
  <c r="E1092" i="7"/>
  <c r="H1087" i="7"/>
  <c r="F1083" i="7"/>
  <c r="L1077" i="7"/>
  <c r="I1073" i="7"/>
  <c r="B1069" i="7"/>
  <c r="L1064" i="7"/>
  <c r="H1060" i="7"/>
  <c r="E1056" i="7"/>
  <c r="K1052" i="7"/>
  <c r="B1049" i="7"/>
  <c r="I1045" i="7"/>
  <c r="N1041" i="7"/>
  <c r="G1038" i="7"/>
  <c r="J1034" i="7"/>
  <c r="F1031" i="7"/>
  <c r="H1027" i="7"/>
  <c r="M1023" i="7"/>
  <c r="G1020" i="7"/>
  <c r="K1016" i="7"/>
  <c r="G1013" i="7"/>
  <c r="B1010" i="7"/>
  <c r="B1007" i="7"/>
  <c r="E1004" i="7"/>
  <c r="H1001" i="7"/>
  <c r="L998" i="7"/>
  <c r="G996" i="7"/>
  <c r="K993" i="7"/>
  <c r="F991" i="7"/>
  <c r="N988" i="7"/>
  <c r="F986" i="7"/>
  <c r="M983" i="7"/>
  <c r="F981" i="7"/>
  <c r="L978" i="7"/>
  <c r="E976" i="7"/>
  <c r="K973" i="7"/>
  <c r="H971" i="7"/>
  <c r="M968" i="7"/>
  <c r="J966" i="7"/>
  <c r="C964" i="7"/>
  <c r="L961" i="7"/>
  <c r="F959" i="7"/>
  <c r="N956" i="7"/>
  <c r="L954" i="7"/>
  <c r="E952" i="7"/>
  <c r="N949" i="7"/>
  <c r="H947" i="7"/>
  <c r="C945" i="7"/>
  <c r="J942" i="7"/>
  <c r="G940" i="7"/>
  <c r="F938" i="7"/>
  <c r="M935" i="7"/>
  <c r="K933" i="7"/>
  <c r="J931" i="7"/>
  <c r="E929" i="7"/>
  <c r="B927" i="7"/>
  <c r="N924" i="7"/>
  <c r="I922" i="7"/>
  <c r="G920" i="7"/>
  <c r="F918" i="7"/>
  <c r="M915" i="7"/>
  <c r="K913" i="7"/>
  <c r="J911" i="7"/>
  <c r="F909" i="7"/>
  <c r="F907" i="7"/>
  <c r="I905" i="7"/>
  <c r="L903" i="7"/>
  <c r="B902" i="7"/>
  <c r="F900" i="7"/>
  <c r="J898" i="7"/>
  <c r="N896" i="7"/>
  <c r="F895" i="7"/>
  <c r="J893" i="7"/>
  <c r="N891" i="7"/>
  <c r="F890" i="7"/>
  <c r="J888" i="7"/>
  <c r="N886" i="7"/>
  <c r="F885" i="7"/>
  <c r="J883" i="7"/>
  <c r="N881" i="7"/>
  <c r="F880" i="7"/>
  <c r="J878" i="7"/>
  <c r="N876" i="7"/>
  <c r="F875" i="7"/>
  <c r="J873" i="7"/>
  <c r="N871" i="7"/>
  <c r="F870" i="7"/>
  <c r="J868" i="7"/>
  <c r="N866" i="7"/>
  <c r="F865" i="7"/>
  <c r="J863" i="7"/>
  <c r="N861" i="7"/>
  <c r="F860" i="7"/>
  <c r="I103" i="10"/>
  <c r="C527" i="8"/>
  <c r="B408" i="8"/>
  <c r="F245" i="8"/>
  <c r="E189" i="8"/>
  <c r="I152" i="8"/>
  <c r="N116" i="8"/>
  <c r="I90" i="8"/>
  <c r="L69" i="8"/>
  <c r="N54" i="8"/>
  <c r="L39" i="8"/>
  <c r="E28" i="8"/>
  <c r="E1237" i="7"/>
  <c r="F1226" i="7"/>
  <c r="M1217" i="7"/>
  <c r="E1208" i="7"/>
  <c r="K1200" i="7"/>
  <c r="C1192" i="7"/>
  <c r="I1184" i="7"/>
  <c r="F1177" i="7"/>
  <c r="G1169" i="7"/>
  <c r="L1162" i="7"/>
  <c r="B1156" i="7"/>
  <c r="B1149" i="7"/>
  <c r="J1142" i="7"/>
  <c r="B1137" i="7"/>
  <c r="G1130" i="7"/>
  <c r="L1124" i="7"/>
  <c r="C1119" i="7"/>
  <c r="M1113" i="7"/>
  <c r="F1107" i="7"/>
  <c r="E1102" i="7"/>
  <c r="E1096" i="7"/>
  <c r="I1091" i="7"/>
  <c r="M1086" i="7"/>
  <c r="C1082" i="7"/>
  <c r="J1077" i="7"/>
  <c r="E1073" i="7"/>
  <c r="M1068" i="7"/>
  <c r="F1064" i="7"/>
  <c r="N1059" i="7"/>
  <c r="N1055" i="7"/>
  <c r="H1052" i="7"/>
  <c r="K1048" i="7"/>
  <c r="G1045" i="7"/>
  <c r="H1041" i="7"/>
  <c r="M1037" i="7"/>
  <c r="G1034" i="7"/>
  <c r="L1030" i="7"/>
  <c r="F1027" i="7"/>
  <c r="K1023" i="7"/>
  <c r="E1020" i="7"/>
  <c r="I1016" i="7"/>
  <c r="E1013" i="7"/>
  <c r="M1009" i="7"/>
  <c r="M1006" i="7"/>
  <c r="L1003" i="7"/>
  <c r="F1001" i="7"/>
  <c r="I998" i="7"/>
  <c r="E996" i="7"/>
  <c r="I993" i="7"/>
  <c r="C991" i="7"/>
  <c r="H988" i="7"/>
  <c r="N985" i="7"/>
  <c r="K983" i="7"/>
  <c r="N980" i="7"/>
  <c r="J978" i="7"/>
  <c r="N975" i="7"/>
  <c r="I973" i="7"/>
  <c r="N970" i="7"/>
  <c r="J968" i="7"/>
  <c r="H966" i="7"/>
  <c r="M963" i="7"/>
  <c r="J961" i="7"/>
  <c r="C959" i="7"/>
  <c r="L956" i="7"/>
  <c r="F954" i="7"/>
  <c r="N951" i="7"/>
  <c r="L949" i="7"/>
  <c r="E947" i="7"/>
  <c r="N944" i="7"/>
  <c r="H942" i="7"/>
  <c r="E940" i="7"/>
  <c r="C938" i="7"/>
  <c r="K935" i="7"/>
  <c r="I933" i="7"/>
  <c r="H931" i="7"/>
  <c r="B929" i="7"/>
  <c r="M926" i="7"/>
  <c r="L924" i="7"/>
  <c r="G922" i="7"/>
  <c r="E920" i="7"/>
  <c r="C918" i="7"/>
  <c r="K915" i="7"/>
  <c r="I913" i="7"/>
  <c r="H911" i="7"/>
  <c r="C909" i="7"/>
  <c r="C907" i="7"/>
  <c r="G905" i="7"/>
  <c r="J903" i="7"/>
  <c r="M901" i="7"/>
  <c r="C900" i="7"/>
  <c r="H898" i="7"/>
  <c r="L896" i="7"/>
  <c r="C895" i="7"/>
  <c r="H893" i="7"/>
  <c r="L891" i="7"/>
  <c r="C890" i="7"/>
  <c r="H888" i="7"/>
  <c r="L886" i="7"/>
  <c r="C885" i="7"/>
  <c r="H883" i="7"/>
  <c r="L881" i="7"/>
  <c r="C880" i="7"/>
  <c r="H878" i="7"/>
  <c r="L876" i="7"/>
  <c r="C875" i="7"/>
  <c r="H873" i="7"/>
  <c r="L871" i="7"/>
  <c r="C870" i="7"/>
  <c r="H868" i="7"/>
  <c r="L866" i="7"/>
  <c r="C865" i="7"/>
  <c r="H863" i="7"/>
  <c r="L861" i="7"/>
  <c r="C860" i="7"/>
  <c r="H858" i="7"/>
  <c r="L856" i="7"/>
  <c r="C855" i="7"/>
  <c r="H853" i="7"/>
  <c r="L851" i="7"/>
  <c r="C850" i="7"/>
  <c r="H848" i="7"/>
  <c r="G85" i="11"/>
  <c r="F97" i="10"/>
  <c r="E499" i="8"/>
  <c r="M389" i="8"/>
  <c r="M300" i="8"/>
  <c r="G237" i="8"/>
  <c r="M186" i="8"/>
  <c r="C147" i="8"/>
  <c r="K113" i="8"/>
  <c r="K87" i="8"/>
  <c r="H69" i="8"/>
  <c r="B54" i="8"/>
  <c r="J39" i="8"/>
  <c r="N25" i="8"/>
  <c r="F1236" i="7"/>
  <c r="M1225" i="7"/>
  <c r="L1216" i="7"/>
  <c r="G1207" i="7"/>
  <c r="G1199" i="7"/>
  <c r="C1191" i="7"/>
  <c r="B1184" i="7"/>
  <c r="H1176" i="7"/>
  <c r="C1169" i="7"/>
  <c r="J1162" i="7"/>
  <c r="N1154" i="7"/>
  <c r="I1148" i="7"/>
  <c r="H1142" i="7"/>
  <c r="C1136" i="7"/>
  <c r="L1129" i="7"/>
  <c r="H1124" i="7"/>
  <c r="M1117" i="7"/>
  <c r="F1112" i="7"/>
  <c r="B1107" i="7"/>
  <c r="H1101" i="7"/>
  <c r="B1096" i="7"/>
  <c r="M1090" i="7"/>
  <c r="E1086" i="7"/>
  <c r="N1081" i="7"/>
  <c r="H1077" i="7"/>
  <c r="M1072" i="7"/>
  <c r="K1068" i="7"/>
  <c r="K1063" i="7"/>
  <c r="K1059" i="7"/>
  <c r="I1055" i="7"/>
  <c r="N1051" i="7"/>
  <c r="G1048" i="7"/>
  <c r="L1044" i="7"/>
  <c r="F1041" i="7"/>
  <c r="K1037" i="7"/>
  <c r="E1034" i="7"/>
  <c r="J1030" i="7"/>
  <c r="C1027" i="7"/>
  <c r="F1023" i="7"/>
  <c r="L1019" i="7"/>
  <c r="M1015" i="7"/>
  <c r="B1013" i="7"/>
  <c r="G1009" i="7"/>
  <c r="G1006" i="7"/>
  <c r="I1003" i="7"/>
  <c r="K1000" i="7"/>
  <c r="F998" i="7"/>
  <c r="N995" i="7"/>
  <c r="F993" i="7"/>
  <c r="M990" i="7"/>
  <c r="F988" i="7"/>
  <c r="L985" i="7"/>
  <c r="E983" i="7"/>
  <c r="K980" i="7"/>
  <c r="H978" i="7"/>
  <c r="K975" i="7"/>
  <c r="G973" i="7"/>
  <c r="L970" i="7"/>
  <c r="H968" i="7"/>
  <c r="N965" i="7"/>
  <c r="J963" i="7"/>
  <c r="H961" i="7"/>
  <c r="M958" i="7"/>
  <c r="J956" i="7"/>
  <c r="C954" i="7"/>
  <c r="L951" i="7"/>
  <c r="F949" i="7"/>
  <c r="N946" i="7"/>
  <c r="L944" i="7"/>
  <c r="E942" i="7"/>
  <c r="B940" i="7"/>
  <c r="J937" i="7"/>
  <c r="H935" i="7"/>
  <c r="G933" i="7"/>
  <c r="N930" i="7"/>
  <c r="L928" i="7"/>
  <c r="K926" i="7"/>
  <c r="F924" i="7"/>
  <c r="C922" i="7"/>
  <c r="B920" i="7"/>
  <c r="J917" i="7"/>
  <c r="H915" i="7"/>
  <c r="G913" i="7"/>
  <c r="N910" i="7"/>
  <c r="M908" i="7"/>
  <c r="N906" i="7"/>
  <c r="E905" i="7"/>
  <c r="H903" i="7"/>
  <c r="K901" i="7"/>
  <c r="N899" i="7"/>
  <c r="F898" i="7"/>
  <c r="J896" i="7"/>
  <c r="N894" i="7"/>
  <c r="F893" i="7"/>
  <c r="J891" i="7"/>
  <c r="N889" i="7"/>
  <c r="F888" i="7"/>
  <c r="J886" i="7"/>
  <c r="N884" i="7"/>
  <c r="F883" i="7"/>
  <c r="J881" i="7"/>
  <c r="N879" i="7"/>
  <c r="F878" i="7"/>
  <c r="J876" i="7"/>
  <c r="N874" i="7"/>
  <c r="F873" i="7"/>
  <c r="J871" i="7"/>
  <c r="N869" i="7"/>
  <c r="F868" i="7"/>
  <c r="J866" i="7"/>
  <c r="N864" i="7"/>
  <c r="F863" i="7"/>
  <c r="J861" i="7"/>
  <c r="N859" i="7"/>
  <c r="F858" i="7"/>
  <c r="J856" i="7"/>
  <c r="N854" i="7"/>
  <c r="F853" i="7"/>
  <c r="J851" i="7"/>
  <c r="N849" i="7"/>
  <c r="F848" i="7"/>
  <c r="J846" i="7"/>
  <c r="M120" i="10"/>
  <c r="M488" i="8"/>
  <c r="B320" i="8"/>
  <c r="H219" i="8"/>
  <c r="M140" i="8"/>
  <c r="K90" i="8"/>
  <c r="G63" i="8"/>
  <c r="M35" i="8"/>
  <c r="I1237" i="7"/>
  <c r="L1222" i="7"/>
  <c r="L1206" i="7"/>
  <c r="E1193" i="7"/>
  <c r="B1181" i="7"/>
  <c r="G1168" i="7"/>
  <c r="G1156" i="7"/>
  <c r="B1146" i="7"/>
  <c r="M1134" i="7"/>
  <c r="M1124" i="7"/>
  <c r="H1116" i="7"/>
  <c r="I1106" i="7"/>
  <c r="I1096" i="7"/>
  <c r="I1089" i="7"/>
  <c r="C1081" i="7"/>
  <c r="F1073" i="7"/>
  <c r="M1066" i="7"/>
  <c r="B1059" i="7"/>
  <c r="I1052" i="7"/>
  <c r="B1047" i="7"/>
  <c r="M1040" i="7"/>
  <c r="H1034" i="7"/>
  <c r="F1029" i="7"/>
  <c r="I1022" i="7"/>
  <c r="J1016" i="7"/>
  <c r="H1011" i="7"/>
  <c r="C1006" i="7"/>
  <c r="G1001" i="7"/>
  <c r="F997" i="7"/>
  <c r="N992" i="7"/>
  <c r="I988" i="7"/>
  <c r="M984" i="7"/>
  <c r="H980" i="7"/>
  <c r="C976" i="7"/>
  <c r="G972" i="7"/>
  <c r="E968" i="7"/>
  <c r="B964" i="7"/>
  <c r="H960" i="7"/>
  <c r="B956" i="7"/>
  <c r="C952" i="7"/>
  <c r="I948" i="7"/>
  <c r="E944" i="7"/>
  <c r="F940" i="7"/>
  <c r="N936" i="7"/>
  <c r="C933" i="7"/>
  <c r="C929" i="7"/>
  <c r="L925" i="7"/>
  <c r="M921" i="7"/>
  <c r="E918" i="7"/>
  <c r="M914" i="7"/>
  <c r="K910" i="7"/>
  <c r="E907" i="7"/>
  <c r="I904" i="7"/>
  <c r="H901" i="7"/>
  <c r="I898" i="7"/>
  <c r="E896" i="7"/>
  <c r="L893" i="7"/>
  <c r="G891" i="7"/>
  <c r="N888" i="7"/>
  <c r="I886" i="7"/>
  <c r="G884" i="7"/>
  <c r="M881" i="7"/>
  <c r="I879" i="7"/>
  <c r="C877" i="7"/>
  <c r="K874" i="7"/>
  <c r="F872" i="7"/>
  <c r="M869" i="7"/>
  <c r="K867" i="7"/>
  <c r="E865" i="7"/>
  <c r="M862" i="7"/>
  <c r="H860" i="7"/>
  <c r="C858" i="7"/>
  <c r="B856" i="7"/>
  <c r="K853" i="7"/>
  <c r="H851" i="7"/>
  <c r="G849" i="7"/>
  <c r="B847" i="7"/>
  <c r="B845" i="7"/>
  <c r="C843" i="7"/>
  <c r="E841" i="7"/>
  <c r="F839" i="7"/>
  <c r="C837" i="7"/>
  <c r="E835" i="7"/>
  <c r="F833" i="7"/>
  <c r="G831" i="7"/>
  <c r="H829" i="7"/>
  <c r="F827" i="7"/>
  <c r="G825" i="7"/>
  <c r="H823" i="7"/>
  <c r="I821" i="7"/>
  <c r="J819" i="7"/>
  <c r="K817" i="7"/>
  <c r="J815" i="7"/>
  <c r="L813" i="7"/>
  <c r="N811" i="7"/>
  <c r="E810" i="7"/>
  <c r="H808" i="7"/>
  <c r="K806" i="7"/>
  <c r="N804" i="7"/>
  <c r="E803" i="7"/>
  <c r="H801" i="7"/>
  <c r="K799" i="7"/>
  <c r="N797" i="7"/>
  <c r="E796" i="7"/>
  <c r="H794" i="7"/>
  <c r="K792" i="7"/>
  <c r="B791" i="7"/>
  <c r="G789" i="7"/>
  <c r="K787" i="7"/>
  <c r="B786" i="7"/>
  <c r="G784" i="7"/>
  <c r="K782" i="7"/>
  <c r="B781" i="7"/>
  <c r="G779" i="7"/>
  <c r="K777" i="7"/>
  <c r="B776" i="7"/>
  <c r="G774" i="7"/>
  <c r="L772" i="7"/>
  <c r="E771" i="7"/>
  <c r="K769" i="7"/>
  <c r="J766" i="7"/>
  <c r="C765" i="7"/>
  <c r="I763" i="7"/>
  <c r="B762" i="7"/>
  <c r="H760" i="7"/>
  <c r="N758" i="7"/>
  <c r="G757" i="7"/>
  <c r="M755" i="7"/>
  <c r="F754" i="7"/>
  <c r="L752" i="7"/>
  <c r="E751" i="7"/>
  <c r="K749" i="7"/>
  <c r="J746" i="7"/>
  <c r="C745" i="7"/>
  <c r="I743" i="7"/>
  <c r="B742" i="7"/>
  <c r="H740" i="7"/>
  <c r="N738" i="7"/>
  <c r="G737" i="7"/>
  <c r="M735" i="7"/>
  <c r="F734" i="7"/>
  <c r="L732" i="7"/>
  <c r="E731" i="7"/>
  <c r="K729" i="7"/>
  <c r="J726" i="7"/>
  <c r="C725" i="7"/>
  <c r="I723" i="7"/>
  <c r="B722" i="7"/>
  <c r="H720" i="7"/>
  <c r="N718" i="7"/>
  <c r="G717" i="7"/>
  <c r="M715" i="7"/>
  <c r="F714" i="7"/>
  <c r="L712" i="7"/>
  <c r="E711" i="7"/>
  <c r="K709" i="7"/>
  <c r="J706" i="7"/>
  <c r="C705" i="7"/>
  <c r="I703" i="7"/>
  <c r="B702" i="7"/>
  <c r="H700" i="7"/>
  <c r="N698" i="7"/>
  <c r="G697" i="7"/>
  <c r="M695" i="7"/>
  <c r="F694" i="7"/>
  <c r="L692" i="7"/>
  <c r="E691" i="7"/>
  <c r="K689" i="7"/>
  <c r="J686" i="7"/>
  <c r="C685" i="7"/>
  <c r="I683" i="7"/>
  <c r="B682" i="7"/>
  <c r="H680" i="7"/>
  <c r="N678" i="7"/>
  <c r="G677" i="7"/>
  <c r="M675" i="7"/>
  <c r="F674" i="7"/>
  <c r="L672" i="7"/>
  <c r="E671" i="7"/>
  <c r="K669" i="7"/>
  <c r="J666" i="7"/>
  <c r="C665" i="7"/>
  <c r="I663" i="7"/>
  <c r="B662" i="7"/>
  <c r="H660" i="7"/>
  <c r="N658" i="7"/>
  <c r="G657" i="7"/>
  <c r="M655" i="7"/>
  <c r="F654" i="7"/>
  <c r="L652" i="7"/>
  <c r="E651" i="7"/>
  <c r="K649" i="7"/>
  <c r="J646" i="7"/>
  <c r="C645" i="7"/>
  <c r="I643" i="7"/>
  <c r="B642" i="7"/>
  <c r="H640" i="7"/>
  <c r="N638" i="7"/>
  <c r="G637" i="7"/>
  <c r="M635" i="7"/>
  <c r="F634" i="7"/>
  <c r="L632" i="7"/>
  <c r="E631" i="7"/>
  <c r="K629" i="7"/>
  <c r="J626" i="7"/>
  <c r="C625" i="7"/>
  <c r="I623" i="7"/>
  <c r="B622" i="7"/>
  <c r="H620" i="7"/>
  <c r="N618" i="7"/>
  <c r="G617" i="7"/>
  <c r="M615" i="7"/>
  <c r="F614" i="7"/>
  <c r="L612" i="7"/>
  <c r="E611" i="7"/>
  <c r="K609" i="7"/>
  <c r="J606" i="7"/>
  <c r="C605" i="7"/>
  <c r="I603" i="7"/>
  <c r="B602" i="7"/>
  <c r="H600" i="7"/>
  <c r="N598" i="7"/>
  <c r="G597" i="7"/>
  <c r="M595" i="7"/>
  <c r="F594" i="7"/>
  <c r="L592" i="7"/>
  <c r="E591" i="7"/>
  <c r="K589" i="7"/>
  <c r="J586" i="7"/>
  <c r="C585" i="7"/>
  <c r="I583" i="7"/>
  <c r="H482" i="8"/>
  <c r="L301" i="8"/>
  <c r="F219" i="8"/>
  <c r="M138" i="8"/>
  <c r="K88" i="8"/>
  <c r="J62" i="8"/>
  <c r="L35" i="8"/>
  <c r="N1236" i="7"/>
  <c r="H1221" i="7"/>
  <c r="H1206" i="7"/>
  <c r="E1191" i="7"/>
  <c r="M1180" i="7"/>
  <c r="E1168" i="7"/>
  <c r="F1155" i="7"/>
  <c r="L1145" i="7"/>
  <c r="L1134" i="7"/>
  <c r="I1124" i="7"/>
  <c r="L1115" i="7"/>
  <c r="H1106" i="7"/>
  <c r="C1096" i="7"/>
  <c r="H1089" i="7"/>
  <c r="B1081" i="7"/>
  <c r="C1073" i="7"/>
  <c r="E1066" i="7"/>
  <c r="N1058" i="7"/>
  <c r="G1052" i="7"/>
  <c r="N1046" i="7"/>
  <c r="L1040" i="7"/>
  <c r="F1034" i="7"/>
  <c r="E1029" i="7"/>
  <c r="H1022" i="7"/>
  <c r="F1016" i="7"/>
  <c r="G1011" i="7"/>
  <c r="N1005" i="7"/>
  <c r="L1000" i="7"/>
  <c r="E997" i="7"/>
  <c r="M992" i="7"/>
  <c r="G988" i="7"/>
  <c r="L984" i="7"/>
  <c r="G980" i="7"/>
  <c r="M975" i="7"/>
  <c r="E972" i="7"/>
  <c r="C968" i="7"/>
  <c r="L963" i="7"/>
  <c r="F960" i="7"/>
  <c r="N955" i="7"/>
  <c r="M951" i="7"/>
  <c r="H948" i="7"/>
  <c r="C944" i="7"/>
  <c r="C940" i="7"/>
  <c r="M936" i="7"/>
  <c r="K932" i="7"/>
  <c r="M928" i="7"/>
  <c r="K925" i="7"/>
  <c r="L921" i="7"/>
  <c r="K917" i="7"/>
  <c r="L914" i="7"/>
  <c r="I910" i="7"/>
  <c r="B907" i="7"/>
  <c r="H904" i="7"/>
  <c r="G901" i="7"/>
  <c r="G898" i="7"/>
  <c r="C896" i="7"/>
  <c r="K893" i="7"/>
  <c r="F891" i="7"/>
  <c r="M888" i="7"/>
  <c r="H886" i="7"/>
  <c r="F884" i="7"/>
  <c r="K881" i="7"/>
  <c r="H879" i="7"/>
  <c r="B877" i="7"/>
  <c r="J874" i="7"/>
  <c r="E872" i="7"/>
  <c r="L869" i="7"/>
  <c r="J867" i="7"/>
  <c r="B865" i="7"/>
  <c r="L862" i="7"/>
  <c r="G860" i="7"/>
  <c r="B858" i="7"/>
  <c r="N855" i="7"/>
  <c r="J853" i="7"/>
  <c r="G851" i="7"/>
  <c r="F849" i="7"/>
  <c r="N846" i="7"/>
  <c r="N844" i="7"/>
  <c r="B843" i="7"/>
  <c r="C841" i="7"/>
  <c r="N838" i="7"/>
  <c r="B837" i="7"/>
  <c r="C835" i="7"/>
  <c r="E833" i="7"/>
  <c r="F831" i="7"/>
  <c r="G829" i="7"/>
  <c r="E827" i="7"/>
  <c r="F825" i="7"/>
  <c r="G823" i="7"/>
  <c r="H821" i="7"/>
  <c r="I819" i="7"/>
  <c r="J817" i="7"/>
  <c r="I815" i="7"/>
  <c r="K813" i="7"/>
  <c r="M811" i="7"/>
  <c r="C810" i="7"/>
  <c r="G808" i="7"/>
  <c r="J806" i="7"/>
  <c r="M804" i="7"/>
  <c r="C803" i="7"/>
  <c r="G801" i="7"/>
  <c r="J799" i="7"/>
  <c r="M797" i="7"/>
  <c r="C796" i="7"/>
  <c r="G794" i="7"/>
  <c r="J792" i="7"/>
  <c r="N790" i="7"/>
  <c r="F789" i="7"/>
  <c r="J787" i="7"/>
  <c r="N785" i="7"/>
  <c r="F784" i="7"/>
  <c r="J782" i="7"/>
  <c r="N780" i="7"/>
  <c r="F779" i="7"/>
  <c r="J777" i="7"/>
  <c r="N775" i="7"/>
  <c r="F774" i="7"/>
  <c r="K772" i="7"/>
  <c r="J769" i="7"/>
  <c r="C768" i="7"/>
  <c r="I766" i="7"/>
  <c r="B765" i="7"/>
  <c r="H763" i="7"/>
  <c r="N761" i="7"/>
  <c r="G760" i="7"/>
  <c r="M758" i="7"/>
  <c r="F757" i="7"/>
  <c r="L755" i="7"/>
  <c r="E754" i="7"/>
  <c r="K752" i="7"/>
  <c r="J749" i="7"/>
  <c r="C748" i="7"/>
  <c r="I746" i="7"/>
  <c r="B745" i="7"/>
  <c r="H743" i="7"/>
  <c r="N741" i="7"/>
  <c r="G740" i="7"/>
  <c r="M738" i="7"/>
  <c r="F737" i="7"/>
  <c r="L735" i="7"/>
  <c r="E734" i="7"/>
  <c r="K732" i="7"/>
  <c r="J729" i="7"/>
  <c r="C728" i="7"/>
  <c r="I726" i="7"/>
  <c r="B725" i="7"/>
  <c r="H723" i="7"/>
  <c r="N721" i="7"/>
  <c r="G720" i="7"/>
  <c r="M718" i="7"/>
  <c r="F717" i="7"/>
  <c r="L715" i="7"/>
  <c r="E714" i="7"/>
  <c r="K712" i="7"/>
  <c r="J709" i="7"/>
  <c r="C708" i="7"/>
  <c r="I706" i="7"/>
  <c r="B705" i="7"/>
  <c r="H703" i="7"/>
  <c r="N701" i="7"/>
  <c r="G700" i="7"/>
  <c r="M698" i="7"/>
  <c r="F697" i="7"/>
  <c r="L695" i="7"/>
  <c r="E694" i="7"/>
  <c r="K692" i="7"/>
  <c r="J689" i="7"/>
  <c r="C688" i="7"/>
  <c r="I686" i="7"/>
  <c r="B685" i="7"/>
  <c r="H683" i="7"/>
  <c r="N681" i="7"/>
  <c r="G680" i="7"/>
  <c r="M678" i="7"/>
  <c r="F677" i="7"/>
  <c r="L675" i="7"/>
  <c r="E674" i="7"/>
  <c r="K672" i="7"/>
  <c r="J669" i="7"/>
  <c r="C668" i="7"/>
  <c r="I666" i="7"/>
  <c r="B665" i="7"/>
  <c r="H663" i="7"/>
  <c r="N661" i="7"/>
  <c r="G660" i="7"/>
  <c r="M658" i="7"/>
  <c r="F657" i="7"/>
  <c r="L655" i="7"/>
  <c r="E654" i="7"/>
  <c r="K652" i="7"/>
  <c r="J649" i="7"/>
  <c r="C648" i="7"/>
  <c r="I646" i="7"/>
  <c r="B645" i="7"/>
  <c r="H643" i="7"/>
  <c r="N641" i="7"/>
  <c r="G640" i="7"/>
  <c r="M638" i="7"/>
  <c r="F637" i="7"/>
  <c r="L635" i="7"/>
  <c r="E634" i="7"/>
  <c r="K632" i="7"/>
  <c r="J629" i="7"/>
  <c r="C628" i="7"/>
  <c r="I626" i="7"/>
  <c r="B625" i="7"/>
  <c r="H623" i="7"/>
  <c r="N621" i="7"/>
  <c r="G620" i="7"/>
  <c r="M618" i="7"/>
  <c r="F617" i="7"/>
  <c r="L615" i="7"/>
  <c r="E614" i="7"/>
  <c r="K612" i="7"/>
  <c r="J609" i="7"/>
  <c r="C608" i="7"/>
  <c r="I606" i="7"/>
  <c r="B605" i="7"/>
  <c r="H603" i="7"/>
  <c r="N601" i="7"/>
  <c r="G600" i="7"/>
  <c r="M598" i="7"/>
  <c r="F597" i="7"/>
  <c r="L595" i="7"/>
  <c r="E594" i="7"/>
  <c r="K592" i="7"/>
  <c r="H102" i="10"/>
  <c r="B482" i="8"/>
  <c r="I300" i="8"/>
  <c r="G202" i="8"/>
  <c r="K138" i="8"/>
  <c r="L86" i="8"/>
  <c r="F58" i="8"/>
  <c r="I35" i="8"/>
  <c r="C1236" i="7"/>
  <c r="E1218" i="7"/>
  <c r="N1205" i="7"/>
  <c r="B1191" i="7"/>
  <c r="F1178" i="7"/>
  <c r="H1167" i="7"/>
  <c r="L1154" i="7"/>
  <c r="F1144" i="7"/>
  <c r="I1134" i="7"/>
  <c r="I1123" i="7"/>
  <c r="F1114" i="7"/>
  <c r="E1106" i="7"/>
  <c r="N1095" i="7"/>
  <c r="L1087" i="7"/>
  <c r="K1080" i="7"/>
  <c r="G1072" i="7"/>
  <c r="H1065" i="7"/>
  <c r="M1058" i="7"/>
  <c r="M1051" i="7"/>
  <c r="M1045" i="7"/>
  <c r="B1040" i="7"/>
  <c r="C1034" i="7"/>
  <c r="M1027" i="7"/>
  <c r="G1022" i="7"/>
  <c r="K1015" i="7"/>
  <c r="F1010" i="7"/>
  <c r="K1005" i="7"/>
  <c r="J1000" i="7"/>
  <c r="I996" i="7"/>
  <c r="L992" i="7"/>
  <c r="E988" i="7"/>
  <c r="B984" i="7"/>
  <c r="F980" i="7"/>
  <c r="J975" i="7"/>
  <c r="J971" i="7"/>
  <c r="K967" i="7"/>
  <c r="I963" i="7"/>
  <c r="L959" i="7"/>
  <c r="M955" i="7"/>
  <c r="K951" i="7"/>
  <c r="J947" i="7"/>
  <c r="B944" i="7"/>
  <c r="N939" i="7"/>
  <c r="B936" i="7"/>
  <c r="J932" i="7"/>
  <c r="K928" i="7"/>
  <c r="C925" i="7"/>
  <c r="K921" i="7"/>
  <c r="I917" i="7"/>
  <c r="M913" i="7"/>
  <c r="H910" i="7"/>
  <c r="M906" i="7"/>
  <c r="N903" i="7"/>
  <c r="E901" i="7"/>
  <c r="E898" i="7"/>
  <c r="B896" i="7"/>
  <c r="I893" i="7"/>
  <c r="E891" i="7"/>
  <c r="L888" i="7"/>
  <c r="G886" i="7"/>
  <c r="N883" i="7"/>
  <c r="I881" i="7"/>
  <c r="G879" i="7"/>
  <c r="M876" i="7"/>
  <c r="I874" i="7"/>
  <c r="C872" i="7"/>
  <c r="K869" i="7"/>
  <c r="F867" i="7"/>
  <c r="M864" i="7"/>
  <c r="K862" i="7"/>
  <c r="E860" i="7"/>
  <c r="N857" i="7"/>
  <c r="J855" i="7"/>
  <c r="I853" i="7"/>
  <c r="F851" i="7"/>
  <c r="N848" i="7"/>
  <c r="M846" i="7"/>
  <c r="M844" i="7"/>
  <c r="N842" i="7"/>
  <c r="B841" i="7"/>
  <c r="M838" i="7"/>
  <c r="N836" i="7"/>
  <c r="B835" i="7"/>
  <c r="C833" i="7"/>
  <c r="E831" i="7"/>
  <c r="F829" i="7"/>
  <c r="C827" i="7"/>
  <c r="E825" i="7"/>
  <c r="F823" i="7"/>
  <c r="G821" i="7"/>
  <c r="H819" i="7"/>
  <c r="F817" i="7"/>
  <c r="H815" i="7"/>
  <c r="J813" i="7"/>
  <c r="L811" i="7"/>
  <c r="B810" i="7"/>
  <c r="F808" i="7"/>
  <c r="I806" i="7"/>
  <c r="L804" i="7"/>
  <c r="B803" i="7"/>
  <c r="F801" i="7"/>
  <c r="I799" i="7"/>
  <c r="L797" i="7"/>
  <c r="B796" i="7"/>
  <c r="F794" i="7"/>
  <c r="I792" i="7"/>
  <c r="M790" i="7"/>
  <c r="E789" i="7"/>
  <c r="I787" i="7"/>
  <c r="M785" i="7"/>
  <c r="E784" i="7"/>
  <c r="I782" i="7"/>
  <c r="M780" i="7"/>
  <c r="E779" i="7"/>
  <c r="I777" i="7"/>
  <c r="M775" i="7"/>
  <c r="E774" i="7"/>
  <c r="J772" i="7"/>
  <c r="C771" i="7"/>
  <c r="I769" i="7"/>
  <c r="B768" i="7"/>
  <c r="H766" i="7"/>
  <c r="N764" i="7"/>
  <c r="G763" i="7"/>
  <c r="M761" i="7"/>
  <c r="F760" i="7"/>
  <c r="L758" i="7"/>
  <c r="E757" i="7"/>
  <c r="K755" i="7"/>
  <c r="J752" i="7"/>
  <c r="C751" i="7"/>
  <c r="I749" i="7"/>
  <c r="B748" i="7"/>
  <c r="H746" i="7"/>
  <c r="N744" i="7"/>
  <c r="G743" i="7"/>
  <c r="M741" i="7"/>
  <c r="F740" i="7"/>
  <c r="L738" i="7"/>
  <c r="E737" i="7"/>
  <c r="K735" i="7"/>
  <c r="J732" i="7"/>
  <c r="C731" i="7"/>
  <c r="I729" i="7"/>
  <c r="B728" i="7"/>
  <c r="H726" i="7"/>
  <c r="N724" i="7"/>
  <c r="G723" i="7"/>
  <c r="M721" i="7"/>
  <c r="F720" i="7"/>
  <c r="L718" i="7"/>
  <c r="E717" i="7"/>
  <c r="K715" i="7"/>
  <c r="J712" i="7"/>
  <c r="C711" i="7"/>
  <c r="I709" i="7"/>
  <c r="B708" i="7"/>
  <c r="H706" i="7"/>
  <c r="N704" i="7"/>
  <c r="G703" i="7"/>
  <c r="M701" i="7"/>
  <c r="F700" i="7"/>
  <c r="L698" i="7"/>
  <c r="E697" i="7"/>
  <c r="K695" i="7"/>
  <c r="J692" i="7"/>
  <c r="C691" i="7"/>
  <c r="I689" i="7"/>
  <c r="B688" i="7"/>
  <c r="H686" i="7"/>
  <c r="N684" i="7"/>
  <c r="G683" i="7"/>
  <c r="M681" i="7"/>
  <c r="F680" i="7"/>
  <c r="L678" i="7"/>
  <c r="E677" i="7"/>
  <c r="K675" i="7"/>
  <c r="J672" i="7"/>
  <c r="C671" i="7"/>
  <c r="I669" i="7"/>
  <c r="B668" i="7"/>
  <c r="H666" i="7"/>
  <c r="N664" i="7"/>
  <c r="G663" i="7"/>
  <c r="M661" i="7"/>
  <c r="F660" i="7"/>
  <c r="L658" i="7"/>
  <c r="E657" i="7"/>
  <c r="K655" i="7"/>
  <c r="J652" i="7"/>
  <c r="C651" i="7"/>
  <c r="I649" i="7"/>
  <c r="B648" i="7"/>
  <c r="H646" i="7"/>
  <c r="N644" i="7"/>
  <c r="G643" i="7"/>
  <c r="M641" i="7"/>
  <c r="F640" i="7"/>
  <c r="L638" i="7"/>
  <c r="E637" i="7"/>
  <c r="K635" i="7"/>
  <c r="J632" i="7"/>
  <c r="C631" i="7"/>
  <c r="I629" i="7"/>
  <c r="B628" i="7"/>
  <c r="H626" i="7"/>
  <c r="N624" i="7"/>
  <c r="G623" i="7"/>
  <c r="M621" i="7"/>
  <c r="F620" i="7"/>
  <c r="L618" i="7"/>
  <c r="E617" i="7"/>
  <c r="K615" i="7"/>
  <c r="J612" i="7"/>
  <c r="M68" i="10"/>
  <c r="H481" i="8"/>
  <c r="B298" i="8"/>
  <c r="N136" i="8"/>
  <c r="N34" i="8"/>
  <c r="J1234" i="7"/>
  <c r="C1218" i="7"/>
  <c r="L1205" i="7"/>
  <c r="L1190" i="7"/>
  <c r="E1178" i="7"/>
  <c r="B1167" i="7"/>
  <c r="C1154" i="7"/>
  <c r="C1144" i="7"/>
  <c r="H1134" i="7"/>
  <c r="C1123" i="7"/>
  <c r="C1114" i="7"/>
  <c r="M1104" i="7"/>
  <c r="I1095" i="7"/>
  <c r="K1087" i="7"/>
  <c r="I1080" i="7"/>
  <c r="B1072" i="7"/>
  <c r="M1064" i="7"/>
  <c r="B1058" i="7"/>
  <c r="K1051" i="7"/>
  <c r="K1045" i="7"/>
  <c r="N1039" i="7"/>
  <c r="M1033" i="7"/>
  <c r="J1027" i="7"/>
  <c r="F1022" i="7"/>
  <c r="J1015" i="7"/>
  <c r="E1010" i="7"/>
  <c r="H1005" i="7"/>
  <c r="I1000" i="7"/>
  <c r="H996" i="7"/>
  <c r="J992" i="7"/>
  <c r="B988" i="7"/>
  <c r="N983" i="7"/>
  <c r="E980" i="7"/>
  <c r="H975" i="7"/>
  <c r="I971" i="7"/>
  <c r="J967" i="7"/>
  <c r="H963" i="7"/>
  <c r="G959" i="7"/>
  <c r="L955" i="7"/>
  <c r="J951" i="7"/>
  <c r="I947" i="7"/>
  <c r="M943" i="7"/>
  <c r="M939" i="7"/>
  <c r="N935" i="7"/>
  <c r="I932" i="7"/>
  <c r="J928" i="7"/>
  <c r="B925" i="7"/>
  <c r="J921" i="7"/>
  <c r="H917" i="7"/>
  <c r="L913" i="7"/>
  <c r="G910" i="7"/>
  <c r="L906" i="7"/>
  <c r="M903" i="7"/>
  <c r="C901" i="7"/>
  <c r="C898" i="7"/>
  <c r="N895" i="7"/>
  <c r="G893" i="7"/>
  <c r="C891" i="7"/>
  <c r="K888" i="7"/>
  <c r="F886" i="7"/>
  <c r="M883" i="7"/>
  <c r="H881" i="7"/>
  <c r="F879" i="7"/>
  <c r="K876" i="7"/>
  <c r="H874" i="7"/>
  <c r="B872" i="7"/>
  <c r="J869" i="7"/>
  <c r="E867" i="7"/>
  <c r="L864" i="7"/>
  <c r="J862" i="7"/>
  <c r="B860" i="7"/>
  <c r="M857" i="7"/>
  <c r="I855" i="7"/>
  <c r="G853" i="7"/>
  <c r="E851" i="7"/>
  <c r="M848" i="7"/>
  <c r="L846" i="7"/>
  <c r="L844" i="7"/>
  <c r="M842" i="7"/>
  <c r="N840" i="7"/>
  <c r="L838" i="7"/>
  <c r="M836" i="7"/>
  <c r="N834" i="7"/>
  <c r="B833" i="7"/>
  <c r="C831" i="7"/>
  <c r="N828" i="7"/>
  <c r="B827" i="7"/>
  <c r="C825" i="7"/>
  <c r="E823" i="7"/>
  <c r="F821" i="7"/>
  <c r="G819" i="7"/>
  <c r="E817" i="7"/>
  <c r="G815" i="7"/>
  <c r="I813" i="7"/>
  <c r="K811" i="7"/>
  <c r="N809" i="7"/>
  <c r="E808" i="7"/>
  <c r="H806" i="7"/>
  <c r="K804" i="7"/>
  <c r="N802" i="7"/>
  <c r="E801" i="7"/>
  <c r="H799" i="7"/>
  <c r="K797" i="7"/>
  <c r="N795" i="7"/>
  <c r="C794" i="7"/>
  <c r="H792" i="7"/>
  <c r="L790" i="7"/>
  <c r="C789" i="7"/>
  <c r="H787" i="7"/>
  <c r="L785" i="7"/>
  <c r="C784" i="7"/>
  <c r="H782" i="7"/>
  <c r="L780" i="7"/>
  <c r="C779" i="7"/>
  <c r="H777" i="7"/>
  <c r="L775" i="7"/>
  <c r="F55" i="10"/>
  <c r="J421" i="8"/>
  <c r="J186" i="8"/>
  <c r="B125" i="8"/>
  <c r="H82" i="8"/>
  <c r="B52" i="8"/>
  <c r="C30" i="8"/>
  <c r="B1234" i="7"/>
  <c r="G1215" i="7"/>
  <c r="J1201" i="7"/>
  <c r="H1190" i="7"/>
  <c r="F1176" i="7"/>
  <c r="I1164" i="7"/>
  <c r="G1153" i="7"/>
  <c r="J1141" i="7"/>
  <c r="E1132" i="7"/>
  <c r="H1122" i="7"/>
  <c r="E1112" i="7"/>
  <c r="C1103" i="7"/>
  <c r="F1094" i="7"/>
  <c r="C1086" i="7"/>
  <c r="B1079" i="7"/>
  <c r="I1071" i="7"/>
  <c r="I1063" i="7"/>
  <c r="I1056" i="7"/>
  <c r="N1050" i="7"/>
  <c r="K1044" i="7"/>
  <c r="K1038" i="7"/>
  <c r="N1032" i="7"/>
  <c r="M1026" i="7"/>
  <c r="J1020" i="7"/>
  <c r="G1015" i="7"/>
  <c r="F1009" i="7"/>
  <c r="H1004" i="7"/>
  <c r="E1000" i="7"/>
  <c r="I995" i="7"/>
  <c r="I991" i="7"/>
  <c r="J987" i="7"/>
  <c r="C983" i="7"/>
  <c r="N978" i="7"/>
  <c r="E975" i="7"/>
  <c r="K970" i="7"/>
  <c r="L966" i="7"/>
  <c r="E963" i="7"/>
  <c r="L958" i="7"/>
  <c r="N954" i="7"/>
  <c r="B951" i="7"/>
  <c r="M946" i="7"/>
  <c r="C943" i="7"/>
  <c r="F939" i="7"/>
  <c r="G935" i="7"/>
  <c r="L931" i="7"/>
  <c r="G928" i="7"/>
  <c r="E924" i="7"/>
  <c r="I920" i="7"/>
  <c r="C917" i="7"/>
  <c r="F913" i="7"/>
  <c r="H909" i="7"/>
  <c r="I906" i="7"/>
  <c r="G903" i="7"/>
  <c r="H900" i="7"/>
  <c r="M897" i="7"/>
  <c r="H895" i="7"/>
  <c r="B893" i="7"/>
  <c r="J890" i="7"/>
  <c r="E888" i="7"/>
  <c r="B886" i="7"/>
  <c r="I883" i="7"/>
  <c r="E881" i="7"/>
  <c r="L878" i="7"/>
  <c r="G876" i="7"/>
  <c r="N873" i="7"/>
  <c r="I871" i="7"/>
  <c r="G869" i="7"/>
  <c r="M866" i="7"/>
  <c r="I864" i="7"/>
  <c r="C862" i="7"/>
  <c r="K859" i="7"/>
  <c r="J857" i="7"/>
  <c r="F855" i="7"/>
  <c r="B853" i="7"/>
  <c r="N850" i="7"/>
  <c r="J848" i="7"/>
  <c r="H846" i="7"/>
  <c r="I844" i="7"/>
  <c r="J842" i="7"/>
  <c r="H840" i="7"/>
  <c r="I838" i="7"/>
  <c r="J836" i="7"/>
  <c r="K834" i="7"/>
  <c r="L832" i="7"/>
  <c r="J830" i="7"/>
  <c r="K828" i="7"/>
  <c r="L826" i="7"/>
  <c r="M824" i="7"/>
  <c r="N822" i="7"/>
  <c r="B821" i="7"/>
  <c r="M818" i="7"/>
  <c r="N816" i="7"/>
  <c r="C815" i="7"/>
  <c r="F813" i="7"/>
  <c r="H811" i="7"/>
  <c r="K809" i="7"/>
  <c r="N807" i="7"/>
  <c r="E806" i="7"/>
  <c r="H804" i="7"/>
  <c r="K802" i="7"/>
  <c r="N800" i="7"/>
  <c r="C799" i="7"/>
  <c r="G797" i="7"/>
  <c r="J795" i="7"/>
  <c r="M793" i="7"/>
  <c r="E792" i="7"/>
  <c r="I790" i="7"/>
  <c r="M788" i="7"/>
  <c r="E787" i="7"/>
  <c r="I785" i="7"/>
  <c r="M783" i="7"/>
  <c r="E782" i="7"/>
  <c r="I780" i="7"/>
  <c r="M778" i="7"/>
  <c r="E777" i="7"/>
  <c r="I775" i="7"/>
  <c r="M773" i="7"/>
  <c r="F772" i="7"/>
  <c r="L770" i="7"/>
  <c r="E769" i="7"/>
  <c r="K767" i="7"/>
  <c r="J764" i="7"/>
  <c r="C763" i="7"/>
  <c r="I761" i="7"/>
  <c r="B760" i="7"/>
  <c r="H758" i="7"/>
  <c r="N756" i="7"/>
  <c r="G755" i="7"/>
  <c r="M753" i="7"/>
  <c r="F752" i="7"/>
  <c r="L750" i="7"/>
  <c r="E749" i="7"/>
  <c r="K747" i="7"/>
  <c r="J744" i="7"/>
  <c r="C743" i="7"/>
  <c r="I741" i="7"/>
  <c r="B740" i="7"/>
  <c r="H738" i="7"/>
  <c r="N736" i="7"/>
  <c r="G735" i="7"/>
  <c r="M733" i="7"/>
  <c r="F732" i="7"/>
  <c r="L730" i="7"/>
  <c r="E729" i="7"/>
  <c r="K727" i="7"/>
  <c r="J724" i="7"/>
  <c r="C723" i="7"/>
  <c r="I721" i="7"/>
  <c r="B720" i="7"/>
  <c r="H718" i="7"/>
  <c r="N716" i="7"/>
  <c r="G715" i="7"/>
  <c r="M713" i="7"/>
  <c r="F712" i="7"/>
  <c r="L710" i="7"/>
  <c r="E709" i="7"/>
  <c r="K707" i="7"/>
  <c r="J704" i="7"/>
  <c r="C703" i="7"/>
  <c r="I701" i="7"/>
  <c r="B700" i="7"/>
  <c r="H698" i="7"/>
  <c r="N696" i="7"/>
  <c r="G695" i="7"/>
  <c r="M693" i="7"/>
  <c r="F692" i="7"/>
  <c r="L690" i="7"/>
  <c r="E689" i="7"/>
  <c r="K687" i="7"/>
  <c r="J684" i="7"/>
  <c r="C683" i="7"/>
  <c r="I681" i="7"/>
  <c r="B680" i="7"/>
  <c r="H678" i="7"/>
  <c r="N676" i="7"/>
  <c r="G675" i="7"/>
  <c r="M673" i="7"/>
  <c r="F672" i="7"/>
  <c r="L670" i="7"/>
  <c r="E669" i="7"/>
  <c r="K667" i="7"/>
  <c r="J664" i="7"/>
  <c r="C663" i="7"/>
  <c r="I661" i="7"/>
  <c r="B660" i="7"/>
  <c r="H658" i="7"/>
  <c r="N656" i="7"/>
  <c r="G655" i="7"/>
  <c r="M653" i="7"/>
  <c r="F652" i="7"/>
  <c r="L650" i="7"/>
  <c r="E649" i="7"/>
  <c r="K647" i="7"/>
  <c r="J644" i="7"/>
  <c r="C643" i="7"/>
  <c r="I641" i="7"/>
  <c r="B640" i="7"/>
  <c r="H638" i="7"/>
  <c r="N636" i="7"/>
  <c r="G635" i="7"/>
  <c r="M633" i="7"/>
  <c r="F632" i="7"/>
  <c r="L630" i="7"/>
  <c r="E629" i="7"/>
  <c r="K627" i="7"/>
  <c r="J624" i="7"/>
  <c r="C623" i="7"/>
  <c r="I621" i="7"/>
  <c r="B620" i="7"/>
  <c r="H618" i="7"/>
  <c r="N616" i="7"/>
  <c r="G615" i="7"/>
  <c r="M613" i="7"/>
  <c r="F612" i="7"/>
  <c r="L610" i="7"/>
  <c r="N29" i="10"/>
  <c r="E404" i="8"/>
  <c r="M273" i="8"/>
  <c r="E114" i="8"/>
  <c r="G80" i="8"/>
  <c r="J50" i="8"/>
  <c r="G27" i="8"/>
  <c r="H1231" i="7"/>
  <c r="H1214" i="7"/>
  <c r="H1200" i="7"/>
  <c r="C1188" i="7"/>
  <c r="E1175" i="7"/>
  <c r="K1162" i="7"/>
  <c r="B1153" i="7"/>
  <c r="J1140" i="7"/>
  <c r="F1130" i="7"/>
  <c r="N1121" i="7"/>
  <c r="N1111" i="7"/>
  <c r="I1101" i="7"/>
  <c r="B1094" i="7"/>
  <c r="I1085" i="7"/>
  <c r="I1077" i="7"/>
  <c r="C1071" i="7"/>
  <c r="C1063" i="7"/>
  <c r="K1055" i="7"/>
  <c r="I1050" i="7"/>
  <c r="N1043" i="7"/>
  <c r="L1037" i="7"/>
  <c r="K1032" i="7"/>
  <c r="N1025" i="7"/>
  <c r="B1020" i="7"/>
  <c r="I1014" i="7"/>
  <c r="M1008" i="7"/>
  <c r="J1003" i="7"/>
  <c r="M999" i="7"/>
  <c r="F995" i="7"/>
  <c r="N990" i="7"/>
  <c r="G987" i="7"/>
  <c r="L982" i="7"/>
  <c r="I978" i="7"/>
  <c r="N974" i="7"/>
  <c r="F970" i="7"/>
  <c r="B966" i="7"/>
  <c r="J962" i="7"/>
  <c r="H958" i="7"/>
  <c r="E954" i="7"/>
  <c r="L950" i="7"/>
  <c r="J946" i="7"/>
  <c r="G942" i="7"/>
  <c r="B939" i="7"/>
  <c r="C935" i="7"/>
  <c r="B931" i="7"/>
  <c r="C928" i="7"/>
  <c r="M923" i="7"/>
  <c r="C920" i="7"/>
  <c r="M916" i="7"/>
  <c r="K912" i="7"/>
  <c r="B909" i="7"/>
  <c r="E906" i="7"/>
  <c r="C903" i="7"/>
  <c r="B900" i="7"/>
  <c r="J897" i="7"/>
  <c r="B895" i="7"/>
  <c r="L892" i="7"/>
  <c r="G890" i="7"/>
  <c r="N887" i="7"/>
  <c r="I885" i="7"/>
  <c r="C883" i="7"/>
  <c r="N880" i="7"/>
  <c r="G878" i="7"/>
  <c r="C876" i="7"/>
  <c r="K873" i="7"/>
  <c r="F871" i="7"/>
  <c r="M868" i="7"/>
  <c r="H866" i="7"/>
  <c r="F864" i="7"/>
  <c r="K861" i="7"/>
  <c r="H859" i="7"/>
  <c r="C857" i="7"/>
  <c r="M854" i="7"/>
  <c r="L852" i="7"/>
  <c r="H850" i="7"/>
  <c r="E848" i="7"/>
  <c r="E846" i="7"/>
  <c r="F844" i="7"/>
  <c r="C842" i="7"/>
  <c r="E840" i="7"/>
  <c r="F838" i="7"/>
  <c r="G836" i="7"/>
  <c r="H834" i="7"/>
  <c r="F832" i="7"/>
  <c r="G830" i="7"/>
  <c r="H828" i="7"/>
  <c r="I826" i="7"/>
  <c r="J824" i="7"/>
  <c r="K822" i="7"/>
  <c r="I820" i="7"/>
  <c r="J818" i="7"/>
  <c r="K816" i="7"/>
  <c r="M814" i="7"/>
  <c r="B813" i="7"/>
  <c r="E811" i="7"/>
  <c r="H809" i="7"/>
  <c r="K807" i="7"/>
  <c r="N805" i="7"/>
  <c r="C804" i="7"/>
  <c r="G802" i="7"/>
  <c r="J800" i="7"/>
  <c r="M798" i="7"/>
  <c r="C797" i="7"/>
  <c r="G795" i="7"/>
  <c r="J793" i="7"/>
  <c r="N791" i="7"/>
  <c r="F790" i="7"/>
  <c r="J788" i="7"/>
  <c r="N786" i="7"/>
  <c r="F785" i="7"/>
  <c r="J783" i="7"/>
  <c r="N781" i="7"/>
  <c r="F780" i="7"/>
  <c r="J778" i="7"/>
  <c r="N776" i="7"/>
  <c r="F775" i="7"/>
  <c r="J773" i="7"/>
  <c r="C772" i="7"/>
  <c r="I770" i="7"/>
  <c r="B769" i="7"/>
  <c r="H767" i="7"/>
  <c r="N765" i="7"/>
  <c r="G764" i="7"/>
  <c r="M762" i="7"/>
  <c r="F761" i="7"/>
  <c r="L759" i="7"/>
  <c r="E89" i="11"/>
  <c r="J29" i="10"/>
  <c r="M253" i="8"/>
  <c r="M174" i="8"/>
  <c r="J113" i="8"/>
  <c r="J74" i="8"/>
  <c r="G50" i="8"/>
  <c r="M1229" i="7"/>
  <c r="G1214" i="7"/>
  <c r="C1199" i="7"/>
  <c r="G1186" i="7"/>
  <c r="I1174" i="7"/>
  <c r="I1162" i="7"/>
  <c r="M1150" i="7"/>
  <c r="H1140" i="7"/>
  <c r="H1129" i="7"/>
  <c r="L1119" i="7"/>
  <c r="H1111" i="7"/>
  <c r="E1101" i="7"/>
  <c r="G1092" i="7"/>
  <c r="H1085" i="7"/>
  <c r="G1077" i="7"/>
  <c r="F1069" i="7"/>
  <c r="B1063" i="7"/>
  <c r="H1055" i="7"/>
  <c r="G1049" i="7"/>
  <c r="K1043" i="7"/>
  <c r="J1037" i="7"/>
  <c r="H1031" i="7"/>
  <c r="M1025" i="7"/>
  <c r="K1019" i="7"/>
  <c r="J1013" i="7"/>
  <c r="L1008" i="7"/>
  <c r="H1003" i="7"/>
  <c r="N998" i="7"/>
  <c r="E995" i="7"/>
  <c r="L990" i="7"/>
  <c r="I986" i="7"/>
  <c r="J982" i="7"/>
  <c r="B978" i="7"/>
  <c r="N973" i="7"/>
  <c r="E970" i="7"/>
  <c r="M965" i="7"/>
  <c r="N961" i="7"/>
  <c r="G958" i="7"/>
  <c r="B954" i="7"/>
  <c r="C950" i="7"/>
  <c r="I946" i="7"/>
  <c r="G81" i="11"/>
  <c r="M251" i="8"/>
  <c r="K173" i="8"/>
  <c r="H112" i="8"/>
  <c r="J71" i="8"/>
  <c r="F50" i="8"/>
  <c r="C25" i="8"/>
  <c r="J1227" i="7"/>
  <c r="K1213" i="7"/>
  <c r="I1198" i="7"/>
  <c r="B1186" i="7"/>
  <c r="H1174" i="7"/>
  <c r="H1162" i="7"/>
  <c r="F1150" i="7"/>
  <c r="G1140" i="7"/>
  <c r="F1129" i="7"/>
  <c r="I1119" i="7"/>
  <c r="K1110" i="7"/>
  <c r="C1101" i="7"/>
  <c r="F1092" i="7"/>
  <c r="G1085" i="7"/>
  <c r="F1077" i="7"/>
  <c r="C1069" i="7"/>
  <c r="M1062" i="7"/>
  <c r="G1055" i="7"/>
  <c r="E1049" i="7"/>
  <c r="J1043" i="7"/>
  <c r="G1037" i="7"/>
  <c r="G1031" i="7"/>
  <c r="L1025" i="7"/>
  <c r="B1019" i="7"/>
  <c r="I1013" i="7"/>
  <c r="K1008" i="7"/>
  <c r="G1003" i="7"/>
  <c r="M998" i="7"/>
  <c r="B995" i="7"/>
  <c r="K990" i="7"/>
  <c r="H986" i="7"/>
  <c r="H982" i="7"/>
  <c r="N977" i="7"/>
  <c r="M973" i="7"/>
  <c r="C970" i="7"/>
  <c r="L965" i="7"/>
  <c r="M961" i="7"/>
  <c r="F958" i="7"/>
  <c r="M953" i="7"/>
  <c r="B950" i="7"/>
  <c r="H946" i="7"/>
  <c r="N941" i="7"/>
  <c r="G938" i="7"/>
  <c r="N934" i="7"/>
  <c r="L930" i="7"/>
  <c r="C927" i="7"/>
  <c r="K923" i="7"/>
  <c r="M919" i="7"/>
  <c r="N915" i="7"/>
  <c r="I912" i="7"/>
  <c r="K908" i="7"/>
  <c r="J905" i="7"/>
  <c r="M902" i="7"/>
  <c r="L899" i="7"/>
  <c r="E897" i="7"/>
  <c r="L894" i="7"/>
  <c r="J892" i="7"/>
  <c r="B890" i="7"/>
  <c r="L887" i="7"/>
  <c r="G885" i="7"/>
  <c r="N882" i="7"/>
  <c r="I880" i="7"/>
  <c r="C878" i="7"/>
  <c r="N875" i="7"/>
  <c r="G873" i="7"/>
  <c r="C871" i="7"/>
  <c r="K868" i="7"/>
  <c r="F866" i="7"/>
  <c r="M863" i="7"/>
  <c r="H861" i="7"/>
  <c r="F859" i="7"/>
  <c r="N856" i="7"/>
  <c r="K854" i="7"/>
  <c r="J852" i="7"/>
  <c r="F850" i="7"/>
  <c r="B848" i="7"/>
  <c r="B846" i="7"/>
  <c r="M843" i="7"/>
  <c r="N841" i="7"/>
  <c r="B840" i="7"/>
  <c r="C838" i="7"/>
  <c r="E836" i="7"/>
  <c r="F834" i="7"/>
  <c r="C832" i="7"/>
  <c r="E830" i="7"/>
  <c r="F828" i="7"/>
  <c r="G826" i="7"/>
  <c r="H824" i="7"/>
  <c r="F822" i="7"/>
  <c r="G820" i="7"/>
  <c r="H818" i="7"/>
  <c r="I816" i="7"/>
  <c r="K814" i="7"/>
  <c r="M812" i="7"/>
  <c r="B811" i="7"/>
  <c r="F809" i="7"/>
  <c r="H807" i="7"/>
  <c r="K805" i="7"/>
  <c r="N803" i="7"/>
  <c r="E802" i="7"/>
  <c r="H800" i="7"/>
  <c r="K798" i="7"/>
  <c r="N796" i="7"/>
  <c r="E795" i="7"/>
  <c r="H793" i="7"/>
  <c r="L791" i="7"/>
  <c r="C790" i="7"/>
  <c r="H788" i="7"/>
  <c r="L786" i="7"/>
  <c r="C785" i="7"/>
  <c r="H783" i="7"/>
  <c r="L781" i="7"/>
  <c r="C780" i="7"/>
  <c r="H778" i="7"/>
  <c r="L776" i="7"/>
  <c r="C775" i="7"/>
  <c r="H773" i="7"/>
  <c r="N771" i="7"/>
  <c r="G770" i="7"/>
  <c r="M768" i="7"/>
  <c r="F767" i="7"/>
  <c r="L765" i="7"/>
  <c r="E764" i="7"/>
  <c r="K762" i="7"/>
  <c r="J759" i="7"/>
  <c r="C758" i="7"/>
  <c r="I756" i="7"/>
  <c r="B755" i="7"/>
  <c r="H753" i="7"/>
  <c r="N751" i="7"/>
  <c r="G750" i="7"/>
  <c r="M748" i="7"/>
  <c r="F747" i="7"/>
  <c r="L745" i="7"/>
  <c r="E744" i="7"/>
  <c r="K742" i="7"/>
  <c r="J739" i="7"/>
  <c r="C738" i="7"/>
  <c r="I736" i="7"/>
  <c r="B735" i="7"/>
  <c r="H733" i="7"/>
  <c r="N731" i="7"/>
  <c r="G730" i="7"/>
  <c r="M728" i="7"/>
  <c r="F727" i="7"/>
  <c r="L725" i="7"/>
  <c r="E724" i="7"/>
  <c r="K722" i="7"/>
  <c r="J719" i="7"/>
  <c r="C718" i="7"/>
  <c r="I716" i="7"/>
  <c r="B715" i="7"/>
  <c r="H713" i="7"/>
  <c r="N711" i="7"/>
  <c r="G710" i="7"/>
  <c r="M708" i="7"/>
  <c r="F707" i="7"/>
  <c r="L705" i="7"/>
  <c r="E704" i="7"/>
  <c r="K702" i="7"/>
  <c r="J699" i="7"/>
  <c r="C698" i="7"/>
  <c r="I696" i="7"/>
  <c r="B695" i="7"/>
  <c r="H693" i="7"/>
  <c r="N691" i="7"/>
  <c r="G690" i="7"/>
  <c r="M688" i="7"/>
  <c r="F687" i="7"/>
  <c r="L685" i="7"/>
  <c r="E684" i="7"/>
  <c r="K682" i="7"/>
  <c r="J679" i="7"/>
  <c r="C678" i="7"/>
  <c r="I676" i="7"/>
  <c r="B675" i="7"/>
  <c r="H673" i="7"/>
  <c r="N671" i="7"/>
  <c r="G670" i="7"/>
  <c r="M668" i="7"/>
  <c r="F667" i="7"/>
  <c r="L665" i="7"/>
  <c r="E664" i="7"/>
  <c r="K662" i="7"/>
  <c r="J659" i="7"/>
  <c r="C658" i="7"/>
  <c r="I656" i="7"/>
  <c r="B655" i="7"/>
  <c r="H653" i="7"/>
  <c r="N651" i="7"/>
  <c r="G650" i="7"/>
  <c r="M648" i="7"/>
  <c r="F647" i="7"/>
  <c r="L645" i="7"/>
  <c r="E644" i="7"/>
  <c r="K642" i="7"/>
  <c r="J639" i="7"/>
  <c r="C638" i="7"/>
  <c r="I636" i="7"/>
  <c r="B635" i="7"/>
  <c r="H633" i="7"/>
  <c r="N631" i="7"/>
  <c r="G630" i="7"/>
  <c r="M628" i="7"/>
  <c r="F627" i="7"/>
  <c r="L625" i="7"/>
  <c r="E624" i="7"/>
  <c r="K622" i="7"/>
  <c r="J619" i="7"/>
  <c r="C618" i="7"/>
  <c r="I616" i="7"/>
  <c r="B615" i="7"/>
  <c r="H613" i="7"/>
  <c r="N611" i="7"/>
  <c r="G610" i="7"/>
  <c r="M608" i="7"/>
  <c r="F607" i="7"/>
  <c r="L605" i="7"/>
  <c r="E604" i="7"/>
  <c r="K602" i="7"/>
  <c r="J599" i="7"/>
  <c r="C598" i="7"/>
  <c r="I596" i="7"/>
  <c r="B595" i="7"/>
  <c r="H593" i="7"/>
  <c r="N591" i="7"/>
  <c r="G590" i="7"/>
  <c r="M588" i="7"/>
  <c r="F587" i="7"/>
  <c r="L585" i="7"/>
  <c r="E584" i="7"/>
  <c r="K582" i="7"/>
  <c r="L79" i="11"/>
  <c r="B377" i="8"/>
  <c r="F246" i="8"/>
  <c r="N110" i="8"/>
  <c r="C70" i="8"/>
  <c r="I48" i="8"/>
  <c r="H24" i="8"/>
  <c r="J1226" i="7"/>
  <c r="K1212" i="7"/>
  <c r="B1198" i="7"/>
  <c r="N1184" i="7"/>
  <c r="G1174" i="7"/>
  <c r="G1162" i="7"/>
  <c r="F1149" i="7"/>
  <c r="F1140" i="7"/>
  <c r="C1129" i="7"/>
  <c r="F1119" i="7"/>
  <c r="I1110" i="7"/>
  <c r="N1100" i="7"/>
  <c r="C1092" i="7"/>
  <c r="M1084" i="7"/>
  <c r="E1076" i="7"/>
  <c r="N1068" i="7"/>
  <c r="L1062" i="7"/>
  <c r="F1055" i="7"/>
  <c r="N1048" i="7"/>
  <c r="I1043" i="7"/>
  <c r="N1036" i="7"/>
  <c r="M1030" i="7"/>
  <c r="K1025" i="7"/>
  <c r="N1018" i="7"/>
  <c r="F1013" i="7"/>
  <c r="E1008" i="7"/>
  <c r="F1003" i="7"/>
  <c r="K998" i="7"/>
  <c r="N994" i="7"/>
  <c r="F990" i="7"/>
  <c r="E986" i="7"/>
  <c r="G982" i="7"/>
  <c r="M977" i="7"/>
  <c r="J973" i="7"/>
  <c r="B970" i="7"/>
  <c r="K965" i="7"/>
  <c r="K961" i="7"/>
  <c r="E958" i="7"/>
  <c r="L953" i="7"/>
  <c r="M949" i="7"/>
  <c r="B946" i="7"/>
  <c r="M941" i="7"/>
  <c r="E938" i="7"/>
  <c r="M934" i="7"/>
  <c r="K930" i="7"/>
  <c r="N926" i="7"/>
  <c r="J923" i="7"/>
  <c r="L919" i="7"/>
  <c r="L915" i="7"/>
  <c r="H912" i="7"/>
  <c r="J908" i="7"/>
  <c r="H905" i="7"/>
  <c r="L902" i="7"/>
  <c r="K899" i="7"/>
  <c r="C897" i="7"/>
  <c r="K894" i="7"/>
  <c r="F892" i="7"/>
  <c r="M889" i="7"/>
  <c r="K887" i="7"/>
  <c r="E885" i="7"/>
  <c r="M882" i="7"/>
  <c r="H880" i="7"/>
  <c r="B878" i="7"/>
  <c r="J875" i="7"/>
  <c r="E873" i="7"/>
  <c r="B871" i="7"/>
  <c r="I868" i="7"/>
  <c r="E866" i="7"/>
  <c r="L863" i="7"/>
  <c r="G861" i="7"/>
  <c r="N858" i="7"/>
  <c r="M856" i="7"/>
  <c r="J854" i="7"/>
  <c r="F852" i="7"/>
  <c r="E850" i="7"/>
  <c r="N847" i="7"/>
  <c r="N845" i="7"/>
  <c r="L843" i="7"/>
  <c r="M841" i="7"/>
  <c r="N839" i="7"/>
  <c r="B838" i="7"/>
  <c r="C836" i="7"/>
  <c r="N833" i="7"/>
  <c r="B832" i="7"/>
  <c r="C830" i="7"/>
  <c r="E828" i="7"/>
  <c r="F826" i="7"/>
  <c r="G824" i="7"/>
  <c r="E822" i="7"/>
  <c r="F820" i="7"/>
  <c r="G818" i="7"/>
  <c r="H816" i="7"/>
  <c r="J814" i="7"/>
  <c r="L812" i="7"/>
  <c r="N810" i="7"/>
  <c r="C809" i="7"/>
  <c r="G807" i="7"/>
  <c r="J805" i="7"/>
  <c r="M803" i="7"/>
  <c r="C802" i="7"/>
  <c r="G800" i="7"/>
  <c r="J798" i="7"/>
  <c r="M796" i="7"/>
  <c r="E39" i="10"/>
  <c r="K325" i="8"/>
  <c r="F152" i="8"/>
  <c r="I68" i="8"/>
  <c r="G24" i="8"/>
  <c r="B1215" i="7"/>
  <c r="K1190" i="7"/>
  <c r="N1168" i="7"/>
  <c r="J1147" i="7"/>
  <c r="J1128" i="7"/>
  <c r="B1112" i="7"/>
  <c r="E1095" i="7"/>
  <c r="H1081" i="7"/>
  <c r="F1067" i="7"/>
  <c r="L1054" i="7"/>
  <c r="G1043" i="7"/>
  <c r="M1032" i="7"/>
  <c r="E1022" i="7"/>
  <c r="N1011" i="7"/>
  <c r="I1002" i="7"/>
  <c r="E994" i="7"/>
  <c r="H987" i="7"/>
  <c r="K979" i="7"/>
  <c r="H972" i="7"/>
  <c r="C965" i="7"/>
  <c r="C957" i="7"/>
  <c r="G949" i="7"/>
  <c r="K942" i="7"/>
  <c r="C937" i="7"/>
  <c r="H930" i="7"/>
  <c r="C924" i="7"/>
  <c r="H918" i="7"/>
  <c r="L911" i="7"/>
  <c r="H906" i="7"/>
  <c r="J901" i="7"/>
  <c r="M896" i="7"/>
  <c r="N892" i="7"/>
  <c r="G889" i="7"/>
  <c r="M884" i="7"/>
  <c r="C881" i="7"/>
  <c r="F877" i="7"/>
  <c r="B873" i="7"/>
  <c r="F869" i="7"/>
  <c r="H865" i="7"/>
  <c r="E861" i="7"/>
  <c r="F857" i="7"/>
  <c r="M853" i="7"/>
  <c r="M849" i="7"/>
  <c r="G846" i="7"/>
  <c r="F843" i="7"/>
  <c r="L839" i="7"/>
  <c r="I836" i="7"/>
  <c r="H833" i="7"/>
  <c r="N829" i="7"/>
  <c r="K826" i="7"/>
  <c r="J823" i="7"/>
  <c r="C820" i="7"/>
  <c r="M816" i="7"/>
  <c r="N813" i="7"/>
  <c r="K810" i="7"/>
  <c r="M807" i="7"/>
  <c r="C805" i="7"/>
  <c r="N801" i="7"/>
  <c r="B799" i="7"/>
  <c r="G796" i="7"/>
  <c r="G793" i="7"/>
  <c r="C791" i="7"/>
  <c r="F788" i="7"/>
  <c r="K785" i="7"/>
  <c r="E783" i="7"/>
  <c r="J780" i="7"/>
  <c r="C778" i="7"/>
  <c r="H775" i="7"/>
  <c r="N770" i="7"/>
  <c r="K768" i="7"/>
  <c r="K766" i="7"/>
  <c r="F764" i="7"/>
  <c r="E762" i="7"/>
  <c r="N759" i="7"/>
  <c r="M757" i="7"/>
  <c r="N755" i="7"/>
  <c r="K753" i="7"/>
  <c r="K751" i="7"/>
  <c r="L749" i="7"/>
  <c r="I747" i="7"/>
  <c r="I745" i="7"/>
  <c r="J743" i="7"/>
  <c r="G741" i="7"/>
  <c r="G739" i="7"/>
  <c r="H737" i="7"/>
  <c r="E735" i="7"/>
  <c r="E733" i="7"/>
  <c r="F731" i="7"/>
  <c r="C729" i="7"/>
  <c r="C727" i="7"/>
  <c r="N722" i="7"/>
  <c r="N720" i="7"/>
  <c r="B719" i="7"/>
  <c r="L716" i="7"/>
  <c r="L714" i="7"/>
  <c r="M712" i="7"/>
  <c r="J710" i="7"/>
  <c r="J708" i="7"/>
  <c r="K706" i="7"/>
  <c r="H704" i="7"/>
  <c r="H702" i="7"/>
  <c r="I700" i="7"/>
  <c r="F698" i="7"/>
  <c r="F696" i="7"/>
  <c r="G694" i="7"/>
  <c r="E688" i="7"/>
  <c r="B686" i="7"/>
  <c r="B684" i="7"/>
  <c r="C682" i="7"/>
  <c r="M679" i="7"/>
  <c r="M677" i="7"/>
  <c r="N675" i="7"/>
  <c r="K673" i="7"/>
  <c r="K671" i="7"/>
  <c r="L669" i="7"/>
  <c r="I667" i="7"/>
  <c r="I665" i="7"/>
  <c r="J663" i="7"/>
  <c r="G661" i="7"/>
  <c r="G659" i="7"/>
  <c r="H657" i="7"/>
  <c r="E655" i="7"/>
  <c r="E653" i="7"/>
  <c r="F651" i="7"/>
  <c r="C649" i="7"/>
  <c r="C647" i="7"/>
  <c r="N642" i="7"/>
  <c r="N640" i="7"/>
  <c r="B639" i="7"/>
  <c r="L636" i="7"/>
  <c r="L634" i="7"/>
  <c r="M632" i="7"/>
  <c r="J630" i="7"/>
  <c r="J628" i="7"/>
  <c r="K626" i="7"/>
  <c r="H624" i="7"/>
  <c r="H622" i="7"/>
  <c r="I620" i="7"/>
  <c r="F618" i="7"/>
  <c r="F616" i="7"/>
  <c r="G614" i="7"/>
  <c r="E610" i="7"/>
  <c r="H608" i="7"/>
  <c r="K606" i="7"/>
  <c r="L604" i="7"/>
  <c r="B603" i="7"/>
  <c r="E601" i="7"/>
  <c r="G599" i="7"/>
  <c r="J597" i="7"/>
  <c r="K595" i="7"/>
  <c r="N593" i="7"/>
  <c r="F590" i="7"/>
  <c r="J588" i="7"/>
  <c r="N586" i="7"/>
  <c r="E585" i="7"/>
  <c r="H583" i="7"/>
  <c r="M581" i="7"/>
  <c r="E580" i="7"/>
  <c r="K578" i="7"/>
  <c r="J575" i="7"/>
  <c r="C574" i="7"/>
  <c r="I572" i="7"/>
  <c r="B571" i="7"/>
  <c r="H569" i="7"/>
  <c r="N567" i="7"/>
  <c r="G566" i="7"/>
  <c r="M564" i="7"/>
  <c r="F563" i="7"/>
  <c r="L561" i="7"/>
  <c r="E560" i="7"/>
  <c r="K558" i="7"/>
  <c r="J555" i="7"/>
  <c r="C554" i="7"/>
  <c r="I552" i="7"/>
  <c r="B551" i="7"/>
  <c r="H549" i="7"/>
  <c r="N547" i="7"/>
  <c r="G546" i="7"/>
  <c r="M544" i="7"/>
  <c r="F543" i="7"/>
  <c r="L541" i="7"/>
  <c r="E540" i="7"/>
  <c r="K538" i="7"/>
  <c r="J535" i="7"/>
  <c r="C534" i="7"/>
  <c r="I532" i="7"/>
  <c r="B531" i="7"/>
  <c r="H529" i="7"/>
  <c r="N527" i="7"/>
  <c r="G526" i="7"/>
  <c r="M524" i="7"/>
  <c r="F523" i="7"/>
  <c r="L521" i="7"/>
  <c r="E520" i="7"/>
  <c r="K518" i="7"/>
  <c r="J515" i="7"/>
  <c r="C514" i="7"/>
  <c r="I512" i="7"/>
  <c r="B511" i="7"/>
  <c r="H509" i="7"/>
  <c r="N507" i="7"/>
  <c r="G506" i="7"/>
  <c r="M504" i="7"/>
  <c r="F503" i="7"/>
  <c r="L501" i="7"/>
  <c r="E500" i="7"/>
  <c r="K498" i="7"/>
  <c r="J495" i="7"/>
  <c r="C494" i="7"/>
  <c r="I492" i="7"/>
  <c r="B491" i="7"/>
  <c r="H489" i="7"/>
  <c r="N487" i="7"/>
  <c r="G486" i="7"/>
  <c r="M484" i="7"/>
  <c r="F483" i="7"/>
  <c r="L481" i="7"/>
  <c r="E480" i="7"/>
  <c r="K478" i="7"/>
  <c r="J475" i="7"/>
  <c r="C474" i="7"/>
  <c r="I472" i="7"/>
  <c r="B471" i="7"/>
  <c r="H469" i="7"/>
  <c r="N467" i="7"/>
  <c r="G466" i="7"/>
  <c r="M464" i="7"/>
  <c r="F463" i="7"/>
  <c r="L461" i="7"/>
  <c r="E460" i="7"/>
  <c r="K458" i="7"/>
  <c r="J455" i="7"/>
  <c r="N297" i="8"/>
  <c r="J146" i="8"/>
  <c r="M65" i="8"/>
  <c r="N1214" i="7"/>
  <c r="J1190" i="7"/>
  <c r="K1168" i="7"/>
  <c r="F1147" i="7"/>
  <c r="E1128" i="7"/>
  <c r="G1110" i="7"/>
  <c r="E1094" i="7"/>
  <c r="G1080" i="7"/>
  <c r="E1067" i="7"/>
  <c r="C1054" i="7"/>
  <c r="E1042" i="7"/>
  <c r="L1032" i="7"/>
  <c r="C1022" i="7"/>
  <c r="J1011" i="7"/>
  <c r="H1002" i="7"/>
  <c r="L993" i="7"/>
  <c r="M985" i="7"/>
  <c r="M978" i="7"/>
  <c r="B971" i="7"/>
  <c r="F964" i="7"/>
  <c r="M956" i="7"/>
  <c r="E949" i="7"/>
  <c r="I942" i="7"/>
  <c r="B937" i="7"/>
  <c r="G930" i="7"/>
  <c r="B924" i="7"/>
  <c r="G918" i="7"/>
  <c r="K911" i="7"/>
  <c r="G906" i="7"/>
  <c r="I901" i="7"/>
  <c r="K896" i="7"/>
  <c r="M892" i="7"/>
  <c r="F889" i="7"/>
  <c r="L884" i="7"/>
  <c r="B881" i="7"/>
  <c r="E877" i="7"/>
  <c r="N872" i="7"/>
  <c r="N868" i="7"/>
  <c r="G865" i="7"/>
  <c r="C861" i="7"/>
  <c r="E857" i="7"/>
  <c r="L853" i="7"/>
  <c r="L849" i="7"/>
  <c r="F846" i="7"/>
  <c r="E843" i="7"/>
  <c r="K839" i="7"/>
  <c r="H836" i="7"/>
  <c r="G833" i="7"/>
  <c r="M829" i="7"/>
  <c r="J826" i="7"/>
  <c r="I823" i="7"/>
  <c r="B820" i="7"/>
  <c r="L816" i="7"/>
  <c r="M813" i="7"/>
  <c r="J810" i="7"/>
  <c r="L807" i="7"/>
  <c r="B805" i="7"/>
  <c r="M801" i="7"/>
  <c r="N798" i="7"/>
  <c r="F796" i="7"/>
  <c r="F793" i="7"/>
  <c r="K790" i="7"/>
  <c r="E788" i="7"/>
  <c r="J785" i="7"/>
  <c r="C783" i="7"/>
  <c r="H780" i="7"/>
  <c r="B778" i="7"/>
  <c r="G775" i="7"/>
  <c r="C773" i="7"/>
  <c r="M770" i="7"/>
  <c r="J768" i="7"/>
  <c r="G766" i="7"/>
  <c r="M759" i="7"/>
  <c r="L757" i="7"/>
  <c r="J755" i="7"/>
  <c r="J753" i="7"/>
  <c r="J751" i="7"/>
  <c r="H749" i="7"/>
  <c r="H747" i="7"/>
  <c r="H745" i="7"/>
  <c r="F743" i="7"/>
  <c r="F741" i="7"/>
  <c r="F739" i="7"/>
  <c r="B731" i="7"/>
  <c r="B729" i="7"/>
  <c r="B727" i="7"/>
  <c r="M724" i="7"/>
  <c r="M722" i="7"/>
  <c r="M720" i="7"/>
  <c r="K718" i="7"/>
  <c r="K716" i="7"/>
  <c r="K714" i="7"/>
  <c r="I712" i="7"/>
  <c r="I710" i="7"/>
  <c r="I708" i="7"/>
  <c r="G706" i="7"/>
  <c r="G704" i="7"/>
  <c r="G702" i="7"/>
  <c r="E700" i="7"/>
  <c r="E698" i="7"/>
  <c r="E696" i="7"/>
  <c r="C694" i="7"/>
  <c r="C692" i="7"/>
  <c r="C690" i="7"/>
  <c r="N687" i="7"/>
  <c r="N685" i="7"/>
  <c r="N683" i="7"/>
  <c r="L681" i="7"/>
  <c r="L679" i="7"/>
  <c r="L677" i="7"/>
  <c r="J675" i="7"/>
  <c r="J673" i="7"/>
  <c r="J671" i="7"/>
  <c r="H669" i="7"/>
  <c r="H667" i="7"/>
  <c r="H665" i="7"/>
  <c r="F663" i="7"/>
  <c r="F661" i="7"/>
  <c r="F659" i="7"/>
  <c r="B651" i="7"/>
  <c r="B649" i="7"/>
  <c r="B647" i="7"/>
  <c r="M644" i="7"/>
  <c r="M642" i="7"/>
  <c r="M640" i="7"/>
  <c r="K638" i="7"/>
  <c r="K636" i="7"/>
  <c r="K634" i="7"/>
  <c r="I632" i="7"/>
  <c r="I630" i="7"/>
  <c r="I628" i="7"/>
  <c r="G626" i="7"/>
  <c r="G624" i="7"/>
  <c r="G622" i="7"/>
  <c r="E620" i="7"/>
  <c r="E618" i="7"/>
  <c r="E616" i="7"/>
  <c r="C614" i="7"/>
  <c r="C612" i="7"/>
  <c r="G608" i="7"/>
  <c r="H606" i="7"/>
  <c r="K604" i="7"/>
  <c r="N602" i="7"/>
  <c r="C601" i="7"/>
  <c r="F599" i="7"/>
  <c r="I597" i="7"/>
  <c r="J595" i="7"/>
  <c r="M593" i="7"/>
  <c r="C592" i="7"/>
  <c r="E590" i="7"/>
  <c r="I588" i="7"/>
  <c r="M586" i="7"/>
  <c r="G583" i="7"/>
  <c r="L581" i="7"/>
  <c r="J578" i="7"/>
  <c r="C577" i="7"/>
  <c r="I575" i="7"/>
  <c r="B574" i="7"/>
  <c r="H572" i="7"/>
  <c r="N570" i="7"/>
  <c r="G569" i="7"/>
  <c r="M567" i="7"/>
  <c r="F566" i="7"/>
  <c r="L564" i="7"/>
  <c r="E563" i="7"/>
  <c r="K561" i="7"/>
  <c r="J558" i="7"/>
  <c r="C557" i="7"/>
  <c r="I555" i="7"/>
  <c r="B554" i="7"/>
  <c r="H552" i="7"/>
  <c r="N550" i="7"/>
  <c r="G549" i="7"/>
  <c r="M547" i="7"/>
  <c r="F546" i="7"/>
  <c r="L544" i="7"/>
  <c r="E543" i="7"/>
  <c r="K541" i="7"/>
  <c r="J538" i="7"/>
  <c r="C537" i="7"/>
  <c r="I535" i="7"/>
  <c r="B534" i="7"/>
  <c r="H532" i="7"/>
  <c r="N530" i="7"/>
  <c r="G529" i="7"/>
  <c r="M527" i="7"/>
  <c r="F526" i="7"/>
  <c r="L524" i="7"/>
  <c r="E523" i="7"/>
  <c r="K521" i="7"/>
  <c r="J518" i="7"/>
  <c r="C517" i="7"/>
  <c r="I515" i="7"/>
  <c r="B514" i="7"/>
  <c r="H512" i="7"/>
  <c r="N510" i="7"/>
  <c r="G509" i="7"/>
  <c r="M507" i="7"/>
  <c r="F506" i="7"/>
  <c r="L504" i="7"/>
  <c r="E503" i="7"/>
  <c r="K501" i="7"/>
  <c r="J498" i="7"/>
  <c r="C497" i="7"/>
  <c r="I495" i="7"/>
  <c r="B494" i="7"/>
  <c r="H492" i="7"/>
  <c r="N490" i="7"/>
  <c r="G489" i="7"/>
  <c r="M487" i="7"/>
  <c r="F486" i="7"/>
  <c r="L484" i="7"/>
  <c r="E483" i="7"/>
  <c r="K481" i="7"/>
  <c r="J478" i="7"/>
  <c r="C477" i="7"/>
  <c r="I475" i="7"/>
  <c r="B474" i="7"/>
  <c r="H472" i="7"/>
  <c r="N470" i="7"/>
  <c r="G469" i="7"/>
  <c r="M467" i="7"/>
  <c r="F466" i="7"/>
  <c r="L464" i="7"/>
  <c r="E463" i="7"/>
  <c r="K461" i="7"/>
  <c r="J458" i="7"/>
  <c r="C457" i="7"/>
  <c r="I455" i="7"/>
  <c r="N296" i="8"/>
  <c r="I144" i="8"/>
  <c r="J64" i="8"/>
  <c r="J23" i="8"/>
  <c r="I1212" i="7"/>
  <c r="K1188" i="7"/>
  <c r="K1166" i="7"/>
  <c r="L1146" i="7"/>
  <c r="L1127" i="7"/>
  <c r="M1108" i="7"/>
  <c r="C1094" i="7"/>
  <c r="E1080" i="7"/>
  <c r="C1067" i="7"/>
  <c r="B1054" i="7"/>
  <c r="B1042" i="7"/>
  <c r="K1030" i="7"/>
  <c r="H1020" i="7"/>
  <c r="N1009" i="7"/>
  <c r="J1001" i="7"/>
  <c r="J993" i="7"/>
  <c r="K985" i="7"/>
  <c r="K978" i="7"/>
  <c r="M970" i="7"/>
  <c r="E964" i="7"/>
  <c r="K956" i="7"/>
  <c r="C949" i="7"/>
  <c r="C942" i="7"/>
  <c r="L935" i="7"/>
  <c r="F930" i="7"/>
  <c r="L923" i="7"/>
  <c r="G917" i="7"/>
  <c r="I911" i="7"/>
  <c r="K905" i="7"/>
  <c r="B901" i="7"/>
  <c r="I896" i="7"/>
  <c r="K892" i="7"/>
  <c r="I888" i="7"/>
  <c r="K884" i="7"/>
  <c r="J880" i="7"/>
  <c r="I876" i="7"/>
  <c r="M872" i="7"/>
  <c r="L868" i="7"/>
  <c r="K864" i="7"/>
  <c r="B861" i="7"/>
  <c r="B857" i="7"/>
  <c r="E853" i="7"/>
  <c r="K849" i="7"/>
  <c r="C846" i="7"/>
  <c r="L842" i="7"/>
  <c r="J839" i="7"/>
  <c r="F836" i="7"/>
  <c r="N832" i="7"/>
  <c r="L829" i="7"/>
  <c r="H826" i="7"/>
  <c r="C823" i="7"/>
  <c r="N819" i="7"/>
  <c r="J816" i="7"/>
  <c r="H813" i="7"/>
  <c r="I810" i="7"/>
  <c r="J807" i="7"/>
  <c r="J804" i="7"/>
  <c r="L801" i="7"/>
  <c r="L798" i="7"/>
  <c r="L795" i="7"/>
  <c r="E793" i="7"/>
  <c r="J790" i="7"/>
  <c r="C788" i="7"/>
  <c r="H785" i="7"/>
  <c r="B783" i="7"/>
  <c r="G780" i="7"/>
  <c r="N777" i="7"/>
  <c r="E775" i="7"/>
  <c r="B773" i="7"/>
  <c r="K770" i="7"/>
  <c r="I768" i="7"/>
  <c r="F766" i="7"/>
  <c r="C764" i="7"/>
  <c r="C762" i="7"/>
  <c r="K759" i="7"/>
  <c r="K757" i="7"/>
  <c r="I755" i="7"/>
  <c r="I753" i="7"/>
  <c r="I751" i="7"/>
  <c r="G749" i="7"/>
  <c r="G747" i="7"/>
  <c r="G745" i="7"/>
  <c r="E743" i="7"/>
  <c r="E741" i="7"/>
  <c r="E739" i="7"/>
  <c r="C737" i="7"/>
  <c r="C735" i="7"/>
  <c r="C733" i="7"/>
  <c r="N730" i="7"/>
  <c r="N728" i="7"/>
  <c r="N726" i="7"/>
  <c r="L724" i="7"/>
  <c r="L722" i="7"/>
  <c r="L720" i="7"/>
  <c r="J718" i="7"/>
  <c r="J716" i="7"/>
  <c r="J714" i="7"/>
  <c r="H712" i="7"/>
  <c r="H710" i="7"/>
  <c r="H708" i="7"/>
  <c r="F706" i="7"/>
  <c r="F704" i="7"/>
  <c r="F702" i="7"/>
  <c r="B694" i="7"/>
  <c r="B692" i="7"/>
  <c r="B690" i="7"/>
  <c r="M687" i="7"/>
  <c r="M685" i="7"/>
  <c r="M683" i="7"/>
  <c r="K681" i="7"/>
  <c r="K679" i="7"/>
  <c r="K677" i="7"/>
  <c r="I675" i="7"/>
  <c r="I673" i="7"/>
  <c r="I671" i="7"/>
  <c r="G669" i="7"/>
  <c r="G667" i="7"/>
  <c r="G665" i="7"/>
  <c r="E663" i="7"/>
  <c r="E661" i="7"/>
  <c r="E659" i="7"/>
  <c r="C657" i="7"/>
  <c r="C655" i="7"/>
  <c r="C653" i="7"/>
  <c r="N650" i="7"/>
  <c r="N648" i="7"/>
  <c r="N646" i="7"/>
  <c r="L644" i="7"/>
  <c r="L642" i="7"/>
  <c r="L640" i="7"/>
  <c r="J638" i="7"/>
  <c r="J636" i="7"/>
  <c r="J634" i="7"/>
  <c r="H632" i="7"/>
  <c r="H630" i="7"/>
  <c r="H628" i="7"/>
  <c r="F626" i="7"/>
  <c r="F624" i="7"/>
  <c r="F622" i="7"/>
  <c r="B614" i="7"/>
  <c r="B612" i="7"/>
  <c r="C610" i="7"/>
  <c r="F608" i="7"/>
  <c r="G606" i="7"/>
  <c r="J604" i="7"/>
  <c r="M602" i="7"/>
  <c r="B601" i="7"/>
  <c r="E599" i="7"/>
  <c r="H597" i="7"/>
  <c r="I595" i="7"/>
  <c r="L593" i="7"/>
  <c r="B592" i="7"/>
  <c r="H588" i="7"/>
  <c r="L586" i="7"/>
  <c r="B585" i="7"/>
  <c r="F583" i="7"/>
  <c r="K581" i="7"/>
  <c r="C580" i="7"/>
  <c r="I578" i="7"/>
  <c r="B577" i="7"/>
  <c r="H575" i="7"/>
  <c r="N573" i="7"/>
  <c r="G572" i="7"/>
  <c r="M570" i="7"/>
  <c r="F569" i="7"/>
  <c r="L567" i="7"/>
  <c r="E566" i="7"/>
  <c r="K564" i="7"/>
  <c r="J561" i="7"/>
  <c r="C560" i="7"/>
  <c r="I558" i="7"/>
  <c r="B557" i="7"/>
  <c r="H555" i="7"/>
  <c r="N553" i="7"/>
  <c r="G552" i="7"/>
  <c r="M550" i="7"/>
  <c r="F549" i="7"/>
  <c r="L547" i="7"/>
  <c r="E546" i="7"/>
  <c r="K544" i="7"/>
  <c r="J541" i="7"/>
  <c r="C540" i="7"/>
  <c r="I538" i="7"/>
  <c r="B537" i="7"/>
  <c r="H535" i="7"/>
  <c r="N533" i="7"/>
  <c r="G532" i="7"/>
  <c r="M530" i="7"/>
  <c r="F529" i="7"/>
  <c r="L527" i="7"/>
  <c r="E526" i="7"/>
  <c r="K524" i="7"/>
  <c r="J521" i="7"/>
  <c r="C520" i="7"/>
  <c r="I518" i="7"/>
  <c r="N277" i="8"/>
  <c r="E136" i="8"/>
  <c r="M63" i="8"/>
  <c r="G23" i="8"/>
  <c r="H1210" i="7"/>
  <c r="G1188" i="7"/>
  <c r="H1166" i="7"/>
  <c r="H1146" i="7"/>
  <c r="E1127" i="7"/>
  <c r="L1108" i="7"/>
  <c r="B1091" i="7"/>
  <c r="E1078" i="7"/>
  <c r="K1064" i="7"/>
  <c r="B1053" i="7"/>
  <c r="J1041" i="7"/>
  <c r="G1030" i="7"/>
  <c r="F1020" i="7"/>
  <c r="J1009" i="7"/>
  <c r="I1001" i="7"/>
  <c r="H993" i="7"/>
  <c r="J985" i="7"/>
  <c r="L977" i="7"/>
  <c r="I970" i="7"/>
  <c r="G963" i="7"/>
  <c r="I956" i="7"/>
  <c r="B949" i="7"/>
  <c r="L941" i="7"/>
  <c r="I935" i="7"/>
  <c r="E930" i="7"/>
  <c r="I923" i="7"/>
  <c r="E917" i="7"/>
  <c r="B911" i="7"/>
  <c r="F905" i="7"/>
  <c r="N900" i="7"/>
  <c r="H896" i="7"/>
  <c r="E892" i="7"/>
  <c r="G888" i="7"/>
  <c r="J884" i="7"/>
  <c r="G880" i="7"/>
  <c r="H876" i="7"/>
  <c r="L872" i="7"/>
  <c r="G868" i="7"/>
  <c r="J864" i="7"/>
  <c r="N860" i="7"/>
  <c r="K856" i="7"/>
  <c r="C853" i="7"/>
  <c r="J849" i="7"/>
  <c r="J845" i="7"/>
  <c r="K842" i="7"/>
  <c r="I839" i="7"/>
  <c r="B836" i="7"/>
  <c r="M832" i="7"/>
  <c r="K829" i="7"/>
  <c r="E826" i="7"/>
  <c r="B823" i="7"/>
  <c r="M819" i="7"/>
  <c r="G816" i="7"/>
  <c r="G813" i="7"/>
  <c r="H810" i="7"/>
  <c r="F807" i="7"/>
  <c r="I804" i="7"/>
  <c r="K801" i="7"/>
  <c r="I798" i="7"/>
  <c r="K795" i="7"/>
  <c r="C793" i="7"/>
  <c r="H790" i="7"/>
  <c r="B788" i="7"/>
  <c r="G785" i="7"/>
  <c r="N782" i="7"/>
  <c r="E780" i="7"/>
  <c r="M777" i="7"/>
  <c r="B775" i="7"/>
  <c r="N772" i="7"/>
  <c r="J770" i="7"/>
  <c r="H768" i="7"/>
  <c r="E766" i="7"/>
  <c r="B764" i="7"/>
  <c r="L761" i="7"/>
  <c r="I759" i="7"/>
  <c r="J757" i="7"/>
  <c r="H755" i="7"/>
  <c r="G753" i="7"/>
  <c r="H751" i="7"/>
  <c r="F749" i="7"/>
  <c r="E747" i="7"/>
  <c r="F745" i="7"/>
  <c r="C741" i="7"/>
  <c r="B737" i="7"/>
  <c r="N734" i="7"/>
  <c r="B733" i="7"/>
  <c r="M730" i="7"/>
  <c r="L728" i="7"/>
  <c r="M726" i="7"/>
  <c r="K724" i="7"/>
  <c r="J722" i="7"/>
  <c r="K720" i="7"/>
  <c r="I718" i="7"/>
  <c r="H716" i="7"/>
  <c r="I714" i="7"/>
  <c r="G712" i="7"/>
  <c r="F710" i="7"/>
  <c r="G708" i="7"/>
  <c r="E706" i="7"/>
  <c r="E702" i="7"/>
  <c r="C700" i="7"/>
  <c r="B698" i="7"/>
  <c r="C696" i="7"/>
  <c r="N693" i="7"/>
  <c r="M691" i="7"/>
  <c r="N689" i="7"/>
  <c r="L687" i="7"/>
  <c r="K685" i="7"/>
  <c r="L683" i="7"/>
  <c r="J681" i="7"/>
  <c r="I679" i="7"/>
  <c r="J677" i="7"/>
  <c r="H675" i="7"/>
  <c r="G673" i="7"/>
  <c r="H671" i="7"/>
  <c r="F669" i="7"/>
  <c r="E667" i="7"/>
  <c r="F665" i="7"/>
  <c r="C661" i="7"/>
  <c r="B657" i="7"/>
  <c r="N654" i="7"/>
  <c r="B653" i="7"/>
  <c r="M650" i="7"/>
  <c r="L648" i="7"/>
  <c r="M646" i="7"/>
  <c r="K644" i="7"/>
  <c r="J642" i="7"/>
  <c r="K640" i="7"/>
  <c r="I638" i="7"/>
  <c r="H636" i="7"/>
  <c r="I634" i="7"/>
  <c r="G632" i="7"/>
  <c r="F630" i="7"/>
  <c r="G628" i="7"/>
  <c r="E626" i="7"/>
  <c r="E622" i="7"/>
  <c r="C620" i="7"/>
  <c r="B618" i="7"/>
  <c r="C616" i="7"/>
  <c r="N613" i="7"/>
  <c r="M611" i="7"/>
  <c r="B610" i="7"/>
  <c r="E608" i="7"/>
  <c r="F606" i="7"/>
  <c r="I604" i="7"/>
  <c r="L602" i="7"/>
  <c r="N600" i="7"/>
  <c r="E597" i="7"/>
  <c r="H595" i="7"/>
  <c r="K593" i="7"/>
  <c r="M591" i="7"/>
  <c r="C590" i="7"/>
  <c r="G588" i="7"/>
  <c r="K586" i="7"/>
  <c r="N584" i="7"/>
  <c r="E583" i="7"/>
  <c r="J581" i="7"/>
  <c r="B580" i="7"/>
  <c r="H578" i="7"/>
  <c r="N576" i="7"/>
  <c r="G575" i="7"/>
  <c r="M573" i="7"/>
  <c r="F572" i="7"/>
  <c r="L570" i="7"/>
  <c r="E569" i="7"/>
  <c r="K567" i="7"/>
  <c r="J564" i="7"/>
  <c r="C563" i="7"/>
  <c r="I561" i="7"/>
  <c r="B560" i="7"/>
  <c r="H558" i="7"/>
  <c r="N556" i="7"/>
  <c r="G555" i="7"/>
  <c r="M553" i="7"/>
  <c r="F552" i="7"/>
  <c r="L550" i="7"/>
  <c r="E549" i="7"/>
  <c r="K547" i="7"/>
  <c r="J544" i="7"/>
  <c r="C543" i="7"/>
  <c r="I541" i="7"/>
  <c r="B540" i="7"/>
  <c r="H538" i="7"/>
  <c r="N536" i="7"/>
  <c r="G535" i="7"/>
  <c r="M533" i="7"/>
  <c r="F532" i="7"/>
  <c r="L530" i="7"/>
  <c r="E529" i="7"/>
  <c r="K527" i="7"/>
  <c r="J524" i="7"/>
  <c r="C523" i="7"/>
  <c r="I521" i="7"/>
  <c r="B520" i="7"/>
  <c r="H518" i="7"/>
  <c r="N516" i="7"/>
  <c r="G515" i="7"/>
  <c r="M513" i="7"/>
  <c r="F512" i="7"/>
  <c r="L510" i="7"/>
  <c r="E509" i="7"/>
  <c r="K507" i="7"/>
  <c r="J504" i="7"/>
  <c r="C503" i="7"/>
  <c r="I501" i="7"/>
  <c r="B500" i="7"/>
  <c r="H498" i="7"/>
  <c r="N496" i="7"/>
  <c r="G495" i="7"/>
  <c r="M493" i="7"/>
  <c r="F492" i="7"/>
  <c r="L490" i="7"/>
  <c r="E489" i="7"/>
  <c r="K487" i="7"/>
  <c r="J484" i="7"/>
  <c r="C483" i="7"/>
  <c r="I481" i="7"/>
  <c r="B480" i="7"/>
  <c r="H478" i="7"/>
  <c r="N476" i="7"/>
  <c r="G475" i="7"/>
  <c r="M473" i="7"/>
  <c r="F472" i="7"/>
  <c r="L470" i="7"/>
  <c r="E469" i="7"/>
  <c r="K467" i="7"/>
  <c r="J464" i="7"/>
  <c r="C463" i="7"/>
  <c r="I461" i="7"/>
  <c r="B460" i="7"/>
  <c r="H458" i="7"/>
  <c r="N456" i="7"/>
  <c r="F274" i="8"/>
  <c r="I63" i="8"/>
  <c r="E1209" i="7"/>
  <c r="C1184" i="7"/>
  <c r="G1164" i="7"/>
  <c r="L1142" i="7"/>
  <c r="G1125" i="7"/>
  <c r="M1107" i="7"/>
  <c r="K1090" i="7"/>
  <c r="K1077" i="7"/>
  <c r="C1064" i="7"/>
  <c r="M1052" i="7"/>
  <c r="G1041" i="7"/>
  <c r="M1029" i="7"/>
  <c r="M1018" i="7"/>
  <c r="E1009" i="7"/>
  <c r="H1000" i="7"/>
  <c r="E993" i="7"/>
  <c r="I985" i="7"/>
  <c r="J977" i="7"/>
  <c r="H970" i="7"/>
  <c r="F963" i="7"/>
  <c r="H956" i="7"/>
  <c r="M948" i="7"/>
  <c r="K941" i="7"/>
  <c r="F935" i="7"/>
  <c r="G929" i="7"/>
  <c r="K922" i="7"/>
  <c r="B917" i="7"/>
  <c r="M910" i="7"/>
  <c r="C905" i="7"/>
  <c r="G900" i="7"/>
  <c r="G896" i="7"/>
  <c r="C892" i="7"/>
  <c r="C888" i="7"/>
  <c r="I884" i="7"/>
  <c r="E880" i="7"/>
  <c r="F876" i="7"/>
  <c r="K872" i="7"/>
  <c r="E868" i="7"/>
  <c r="H864" i="7"/>
  <c r="J860" i="7"/>
  <c r="I856" i="7"/>
  <c r="N852" i="7"/>
  <c r="I849" i="7"/>
  <c r="I845" i="7"/>
  <c r="F842" i="7"/>
  <c r="H839" i="7"/>
  <c r="N835" i="7"/>
  <c r="K832" i="7"/>
  <c r="J829" i="7"/>
  <c r="C826" i="7"/>
  <c r="M822" i="7"/>
  <c r="L819" i="7"/>
  <c r="F816" i="7"/>
  <c r="E813" i="7"/>
  <c r="G810" i="7"/>
  <c r="E807" i="7"/>
  <c r="G804" i="7"/>
  <c r="J801" i="7"/>
  <c r="H798" i="7"/>
  <c r="I795" i="7"/>
  <c r="B793" i="7"/>
  <c r="G790" i="7"/>
  <c r="N787" i="7"/>
  <c r="E785" i="7"/>
  <c r="M782" i="7"/>
  <c r="B780" i="7"/>
  <c r="L777" i="7"/>
  <c r="N774" i="7"/>
  <c r="M772" i="7"/>
  <c r="H770" i="7"/>
  <c r="G768" i="7"/>
  <c r="C766" i="7"/>
  <c r="N763" i="7"/>
  <c r="K761" i="7"/>
  <c r="H759" i="7"/>
  <c r="I757" i="7"/>
  <c r="F755" i="7"/>
  <c r="F753" i="7"/>
  <c r="G751" i="7"/>
  <c r="E745" i="7"/>
  <c r="B743" i="7"/>
  <c r="B741" i="7"/>
  <c r="C739" i="7"/>
  <c r="M736" i="7"/>
  <c r="M734" i="7"/>
  <c r="N732" i="7"/>
  <c r="K730" i="7"/>
  <c r="K728" i="7"/>
  <c r="L726" i="7"/>
  <c r="I724" i="7"/>
  <c r="I722" i="7"/>
  <c r="J720" i="7"/>
  <c r="G718" i="7"/>
  <c r="G716" i="7"/>
  <c r="H714" i="7"/>
  <c r="E712" i="7"/>
  <c r="E710" i="7"/>
  <c r="F708" i="7"/>
  <c r="C706" i="7"/>
  <c r="C704" i="7"/>
  <c r="N699" i="7"/>
  <c r="N697" i="7"/>
  <c r="B696" i="7"/>
  <c r="L693" i="7"/>
  <c r="L691" i="7"/>
  <c r="M689" i="7"/>
  <c r="J687" i="7"/>
  <c r="J685" i="7"/>
  <c r="K683" i="7"/>
  <c r="H681" i="7"/>
  <c r="H679" i="7"/>
  <c r="I677" i="7"/>
  <c r="F675" i="7"/>
  <c r="F673" i="7"/>
  <c r="G671" i="7"/>
  <c r="E665" i="7"/>
  <c r="B663" i="7"/>
  <c r="B661" i="7"/>
  <c r="C659" i="7"/>
  <c r="M656" i="7"/>
  <c r="M654" i="7"/>
  <c r="N652" i="7"/>
  <c r="K650" i="7"/>
  <c r="K648" i="7"/>
  <c r="L646" i="7"/>
  <c r="I644" i="7"/>
  <c r="M506" i="8"/>
  <c r="C233" i="8"/>
  <c r="B105" i="8"/>
  <c r="B51" i="8"/>
  <c r="I1234" i="7"/>
  <c r="C1207" i="7"/>
  <c r="B1183" i="7"/>
  <c r="F1160" i="7"/>
  <c r="K1140" i="7"/>
  <c r="J1122" i="7"/>
  <c r="M1106" i="7"/>
  <c r="N1089" i="7"/>
  <c r="L1075" i="7"/>
  <c r="M1061" i="7"/>
  <c r="K1050" i="7"/>
  <c r="M1039" i="7"/>
  <c r="H1029" i="7"/>
  <c r="G1018" i="7"/>
  <c r="F1007" i="7"/>
  <c r="N999" i="7"/>
  <c r="H992" i="7"/>
  <c r="N984" i="7"/>
  <c r="E977" i="7"/>
  <c r="B969" i="7"/>
  <c r="I961" i="7"/>
  <c r="M954" i="7"/>
  <c r="G947" i="7"/>
  <c r="H941" i="7"/>
  <c r="L934" i="7"/>
  <c r="H928" i="7"/>
  <c r="E922" i="7"/>
  <c r="I915" i="7"/>
  <c r="E910" i="7"/>
  <c r="M904" i="7"/>
  <c r="J899" i="7"/>
  <c r="I895" i="7"/>
  <c r="K891" i="7"/>
  <c r="J887" i="7"/>
  <c r="K883" i="7"/>
  <c r="L879" i="7"/>
  <c r="I875" i="7"/>
  <c r="K871" i="7"/>
  <c r="N867" i="7"/>
  <c r="K863" i="7"/>
  <c r="L859" i="7"/>
  <c r="F856" i="7"/>
  <c r="E852" i="7"/>
  <c r="K848" i="7"/>
  <c r="F845" i="7"/>
  <c r="L841" i="7"/>
  <c r="J838" i="7"/>
  <c r="H835" i="7"/>
  <c r="N831" i="7"/>
  <c r="L828" i="7"/>
  <c r="J825" i="7"/>
  <c r="C822" i="7"/>
  <c r="N818" i="7"/>
  <c r="B816" i="7"/>
  <c r="K812" i="7"/>
  <c r="L809" i="7"/>
  <c r="N806" i="7"/>
  <c r="L803" i="7"/>
  <c r="B801" i="7"/>
  <c r="E798" i="7"/>
  <c r="C795" i="7"/>
  <c r="L792" i="7"/>
  <c r="N789" i="7"/>
  <c r="G787" i="7"/>
  <c r="M784" i="7"/>
  <c r="F782" i="7"/>
  <c r="L779" i="7"/>
  <c r="C777" i="7"/>
  <c r="K774" i="7"/>
  <c r="G772" i="7"/>
  <c r="N767" i="7"/>
  <c r="K765" i="7"/>
  <c r="K763" i="7"/>
  <c r="G761" i="7"/>
  <c r="E759" i="7"/>
  <c r="C757" i="7"/>
  <c r="C755" i="7"/>
  <c r="C753" i="7"/>
  <c r="N750" i="7"/>
  <c r="N748" i="7"/>
  <c r="N746" i="7"/>
  <c r="L744" i="7"/>
  <c r="L742" i="7"/>
  <c r="L740" i="7"/>
  <c r="J738" i="7"/>
  <c r="J736" i="7"/>
  <c r="J734" i="7"/>
  <c r="H732" i="7"/>
  <c r="H730" i="7"/>
  <c r="H728" i="7"/>
  <c r="F726" i="7"/>
  <c r="F724" i="7"/>
  <c r="F722" i="7"/>
  <c r="B714" i="7"/>
  <c r="B712" i="7"/>
  <c r="B710" i="7"/>
  <c r="M707" i="7"/>
  <c r="M705" i="7"/>
  <c r="M703" i="7"/>
  <c r="K701" i="7"/>
  <c r="K699" i="7"/>
  <c r="K697" i="7"/>
  <c r="I695" i="7"/>
  <c r="I693" i="7"/>
  <c r="I691" i="7"/>
  <c r="G689" i="7"/>
  <c r="G687" i="7"/>
  <c r="G685" i="7"/>
  <c r="E683" i="7"/>
  <c r="E681" i="7"/>
  <c r="E679" i="7"/>
  <c r="C677" i="7"/>
  <c r="C675" i="7"/>
  <c r="C673" i="7"/>
  <c r="N670" i="7"/>
  <c r="N668" i="7"/>
  <c r="N666" i="7"/>
  <c r="L664" i="7"/>
  <c r="L662" i="7"/>
  <c r="L660" i="7"/>
  <c r="J658" i="7"/>
  <c r="J656" i="7"/>
  <c r="J654" i="7"/>
  <c r="H652" i="7"/>
  <c r="H650" i="7"/>
  <c r="H648" i="7"/>
  <c r="F646" i="7"/>
  <c r="F644" i="7"/>
  <c r="F642" i="7"/>
  <c r="B634" i="7"/>
  <c r="B632" i="7"/>
  <c r="B630" i="7"/>
  <c r="M627" i="7"/>
  <c r="M625" i="7"/>
  <c r="M623" i="7"/>
  <c r="K621" i="7"/>
  <c r="K619" i="7"/>
  <c r="K617" i="7"/>
  <c r="I615" i="7"/>
  <c r="I613" i="7"/>
  <c r="I611" i="7"/>
  <c r="I609" i="7"/>
  <c r="L607" i="7"/>
  <c r="B606" i="7"/>
  <c r="G602" i="7"/>
  <c r="J600" i="7"/>
  <c r="K598" i="7"/>
  <c r="N596" i="7"/>
  <c r="F593" i="7"/>
  <c r="I591" i="7"/>
  <c r="L589" i="7"/>
  <c r="B588" i="7"/>
  <c r="F586" i="7"/>
  <c r="J584" i="7"/>
  <c r="N582" i="7"/>
  <c r="F581" i="7"/>
  <c r="K579" i="7"/>
  <c r="J576" i="7"/>
  <c r="C575" i="7"/>
  <c r="I573" i="7"/>
  <c r="B572" i="7"/>
  <c r="H570" i="7"/>
  <c r="N568" i="7"/>
  <c r="G567" i="7"/>
  <c r="M565" i="7"/>
  <c r="F564" i="7"/>
  <c r="L562" i="7"/>
  <c r="E561" i="7"/>
  <c r="K559" i="7"/>
  <c r="J556" i="7"/>
  <c r="C555" i="7"/>
  <c r="I553" i="7"/>
  <c r="B552" i="7"/>
  <c r="H550" i="7"/>
  <c r="N548" i="7"/>
  <c r="G547" i="7"/>
  <c r="M545" i="7"/>
  <c r="F544" i="7"/>
  <c r="L542" i="7"/>
  <c r="E541" i="7"/>
  <c r="K539" i="7"/>
  <c r="J536" i="7"/>
  <c r="C535" i="7"/>
  <c r="I533" i="7"/>
  <c r="B532" i="7"/>
  <c r="H530" i="7"/>
  <c r="N528" i="7"/>
  <c r="G527" i="7"/>
  <c r="M525" i="7"/>
  <c r="F524" i="7"/>
  <c r="L522" i="7"/>
  <c r="E521" i="7"/>
  <c r="K519" i="7"/>
  <c r="J516" i="7"/>
  <c r="C515" i="7"/>
  <c r="I513" i="7"/>
  <c r="B512" i="7"/>
  <c r="H510" i="7"/>
  <c r="N508" i="7"/>
  <c r="G507" i="7"/>
  <c r="M505" i="7"/>
  <c r="F504" i="7"/>
  <c r="L502" i="7"/>
  <c r="E501" i="7"/>
  <c r="K499" i="7"/>
  <c r="J496" i="7"/>
  <c r="C495" i="7"/>
  <c r="I493" i="7"/>
  <c r="B492" i="7"/>
  <c r="H490" i="7"/>
  <c r="N488" i="7"/>
  <c r="G487" i="7"/>
  <c r="M485" i="7"/>
  <c r="F484" i="7"/>
  <c r="L482" i="7"/>
  <c r="E481" i="7"/>
  <c r="K479" i="7"/>
  <c r="J476" i="7"/>
  <c r="C475" i="7"/>
  <c r="I473" i="7"/>
  <c r="B472" i="7"/>
  <c r="H470" i="7"/>
  <c r="N468" i="7"/>
  <c r="G467" i="7"/>
  <c r="M465" i="7"/>
  <c r="F464" i="7"/>
  <c r="L462" i="7"/>
  <c r="E461" i="7"/>
  <c r="K459" i="7"/>
  <c r="J493" i="8"/>
  <c r="E225" i="8"/>
  <c r="G103" i="8"/>
  <c r="C48" i="8"/>
  <c r="E1233" i="7"/>
  <c r="C1204" i="7"/>
  <c r="G1181" i="7"/>
  <c r="L1159" i="7"/>
  <c r="H1137" i="7"/>
  <c r="B1122" i="7"/>
  <c r="I1104" i="7"/>
  <c r="L1089" i="7"/>
  <c r="H1075" i="7"/>
  <c r="L1060" i="7"/>
  <c r="I1048" i="7"/>
  <c r="I1038" i="7"/>
  <c r="G1027" i="7"/>
  <c r="F1017" i="7"/>
  <c r="N1006" i="7"/>
  <c r="E998" i="7"/>
  <c r="E991" i="7"/>
  <c r="F983" i="7"/>
  <c r="F976" i="7"/>
  <c r="I968" i="7"/>
  <c r="N960" i="7"/>
  <c r="J953" i="7"/>
  <c r="L946" i="7"/>
  <c r="H940" i="7"/>
  <c r="L933" i="7"/>
  <c r="E928" i="7"/>
  <c r="N921" i="7"/>
  <c r="F915" i="7"/>
  <c r="E909" i="7"/>
  <c r="K904" i="7"/>
  <c r="H899" i="7"/>
  <c r="E895" i="7"/>
  <c r="H891" i="7"/>
  <c r="E887" i="7"/>
  <c r="E883" i="7"/>
  <c r="J879" i="7"/>
  <c r="G875" i="7"/>
  <c r="G871" i="7"/>
  <c r="L867" i="7"/>
  <c r="G863" i="7"/>
  <c r="I859" i="7"/>
  <c r="C856" i="7"/>
  <c r="B852" i="7"/>
  <c r="G848" i="7"/>
  <c r="C845" i="7"/>
  <c r="J841" i="7"/>
  <c r="G838" i="7"/>
  <c r="F835" i="7"/>
  <c r="L831" i="7"/>
  <c r="I828" i="7"/>
  <c r="H825" i="7"/>
  <c r="N821" i="7"/>
  <c r="K818" i="7"/>
  <c r="K815" i="7"/>
  <c r="G812" i="7"/>
  <c r="I809" i="7"/>
  <c r="L806" i="7"/>
  <c r="J803" i="7"/>
  <c r="K800" i="7"/>
  <c r="B798" i="7"/>
  <c r="N794" i="7"/>
  <c r="F792" i="7"/>
  <c r="L789" i="7"/>
  <c r="C787" i="7"/>
  <c r="K784" i="7"/>
  <c r="B782" i="7"/>
  <c r="J779" i="7"/>
  <c r="M776" i="7"/>
  <c r="I774" i="7"/>
  <c r="B770" i="7"/>
  <c r="L767" i="7"/>
  <c r="I765" i="7"/>
  <c r="F763" i="7"/>
  <c r="C761" i="7"/>
  <c r="C759" i="7"/>
  <c r="M756" i="7"/>
  <c r="M754" i="7"/>
  <c r="N752" i="7"/>
  <c r="K750" i="7"/>
  <c r="K748" i="7"/>
  <c r="L746" i="7"/>
  <c r="I744" i="7"/>
  <c r="I742" i="7"/>
  <c r="J740" i="7"/>
  <c r="G738" i="7"/>
  <c r="G736" i="7"/>
  <c r="H734" i="7"/>
  <c r="E732" i="7"/>
  <c r="E730" i="7"/>
  <c r="F728" i="7"/>
  <c r="C726" i="7"/>
  <c r="C724" i="7"/>
  <c r="N719" i="7"/>
  <c r="N717" i="7"/>
  <c r="B716" i="7"/>
  <c r="L713" i="7"/>
  <c r="L711" i="7"/>
  <c r="M709" i="7"/>
  <c r="J707" i="7"/>
  <c r="J705" i="7"/>
  <c r="K703" i="7"/>
  <c r="H701" i="7"/>
  <c r="H699" i="7"/>
  <c r="I697" i="7"/>
  <c r="F695" i="7"/>
  <c r="F693" i="7"/>
  <c r="G691" i="7"/>
  <c r="E685" i="7"/>
  <c r="B683" i="7"/>
  <c r="B681" i="7"/>
  <c r="C679" i="7"/>
  <c r="M676" i="7"/>
  <c r="M674" i="7"/>
  <c r="N672" i="7"/>
  <c r="K670" i="7"/>
  <c r="K668" i="7"/>
  <c r="L666" i="7"/>
  <c r="I664" i="7"/>
  <c r="I662" i="7"/>
  <c r="J660" i="7"/>
  <c r="G658" i="7"/>
  <c r="G656" i="7"/>
  <c r="H654" i="7"/>
  <c r="E652" i="7"/>
  <c r="E650" i="7"/>
  <c r="F648" i="7"/>
  <c r="C646" i="7"/>
  <c r="C644" i="7"/>
  <c r="N639" i="7"/>
  <c r="N637" i="7"/>
  <c r="B636" i="7"/>
  <c r="L633" i="7"/>
  <c r="L631" i="7"/>
  <c r="M629" i="7"/>
  <c r="J627" i="7"/>
  <c r="J625" i="7"/>
  <c r="K623" i="7"/>
  <c r="H621" i="7"/>
  <c r="H619" i="7"/>
  <c r="I617" i="7"/>
  <c r="F615" i="7"/>
  <c r="F613" i="7"/>
  <c r="G611" i="7"/>
  <c r="G609" i="7"/>
  <c r="J607" i="7"/>
  <c r="M605" i="7"/>
  <c r="B604" i="7"/>
  <c r="E602" i="7"/>
  <c r="F600" i="7"/>
  <c r="I598" i="7"/>
  <c r="L596" i="7"/>
  <c r="N594" i="7"/>
  <c r="G591" i="7"/>
  <c r="I589" i="7"/>
  <c r="M587" i="7"/>
  <c r="H584" i="7"/>
  <c r="L582" i="7"/>
  <c r="C581" i="7"/>
  <c r="I579" i="7"/>
  <c r="B578" i="7"/>
  <c r="H576" i="7"/>
  <c r="N574" i="7"/>
  <c r="G573" i="7"/>
  <c r="M571" i="7"/>
  <c r="F570" i="7"/>
  <c r="L568" i="7"/>
  <c r="E567" i="7"/>
  <c r="K565" i="7"/>
  <c r="J562" i="7"/>
  <c r="C561" i="7"/>
  <c r="I559" i="7"/>
  <c r="B558" i="7"/>
  <c r="H556" i="7"/>
  <c r="N554" i="7"/>
  <c r="G553" i="7"/>
  <c r="M551" i="7"/>
  <c r="F550" i="7"/>
  <c r="L548" i="7"/>
  <c r="E547" i="7"/>
  <c r="K545" i="7"/>
  <c r="J542" i="7"/>
  <c r="C541" i="7"/>
  <c r="I539" i="7"/>
  <c r="B538" i="7"/>
  <c r="H536" i="7"/>
  <c r="N534" i="7"/>
  <c r="G533" i="7"/>
  <c r="M531" i="7"/>
  <c r="F530" i="7"/>
  <c r="L528" i="7"/>
  <c r="E527" i="7"/>
  <c r="K525" i="7"/>
  <c r="J522" i="7"/>
  <c r="C521" i="7"/>
  <c r="I519" i="7"/>
  <c r="B518" i="7"/>
  <c r="H516" i="7"/>
  <c r="N514" i="7"/>
  <c r="G513" i="7"/>
  <c r="M511" i="7"/>
  <c r="F510" i="7"/>
  <c r="L508" i="7"/>
  <c r="E507" i="7"/>
  <c r="K505" i="7"/>
  <c r="J502" i="7"/>
  <c r="C501" i="7"/>
  <c r="I499" i="7"/>
  <c r="B498" i="7"/>
  <c r="H496" i="7"/>
  <c r="N494" i="7"/>
  <c r="G493" i="7"/>
  <c r="M491" i="7"/>
  <c r="F490" i="7"/>
  <c r="L488" i="7"/>
  <c r="E487" i="7"/>
  <c r="K485" i="7"/>
  <c r="J482" i="7"/>
  <c r="C481" i="7"/>
  <c r="I479" i="7"/>
  <c r="B478" i="7"/>
  <c r="H476" i="7"/>
  <c r="N474" i="7"/>
  <c r="D77" i="11"/>
  <c r="E458" i="8"/>
  <c r="B221" i="8"/>
  <c r="L102" i="8"/>
  <c r="N42" i="8"/>
  <c r="N1231" i="7"/>
  <c r="B1204" i="7"/>
  <c r="C1181" i="7"/>
  <c r="I1159" i="7"/>
  <c r="F1137" i="7"/>
  <c r="J1118" i="7"/>
  <c r="L1102" i="7"/>
  <c r="B1087" i="7"/>
  <c r="E1074" i="7"/>
  <c r="F1060" i="7"/>
  <c r="F1048" i="7"/>
  <c r="F1038" i="7"/>
  <c r="E1027" i="7"/>
  <c r="M1016" i="7"/>
  <c r="L1006" i="7"/>
  <c r="C998" i="7"/>
  <c r="E990" i="7"/>
  <c r="B983" i="7"/>
  <c r="G975" i="7"/>
  <c r="G968" i="7"/>
  <c r="M960" i="7"/>
  <c r="I953" i="7"/>
  <c r="K946" i="7"/>
  <c r="L939" i="7"/>
  <c r="J933" i="7"/>
  <c r="E927" i="7"/>
  <c r="I921" i="7"/>
  <c r="E915" i="7"/>
  <c r="L908" i="7"/>
  <c r="K903" i="7"/>
  <c r="G899" i="7"/>
  <c r="M894" i="7"/>
  <c r="B891" i="7"/>
  <c r="C887" i="7"/>
  <c r="B883" i="7"/>
  <c r="N878" i="7"/>
  <c r="E875" i="7"/>
  <c r="E871" i="7"/>
  <c r="C867" i="7"/>
  <c r="E863" i="7"/>
  <c r="G859" i="7"/>
  <c r="H855" i="7"/>
  <c r="N851" i="7"/>
  <c r="C848" i="7"/>
  <c r="K844" i="7"/>
  <c r="I841" i="7"/>
  <c r="E838" i="7"/>
  <c r="M834" i="7"/>
  <c r="K831" i="7"/>
  <c r="G828" i="7"/>
  <c r="B825" i="7"/>
  <c r="M821" i="7"/>
  <c r="I818" i="7"/>
  <c r="F815" i="7"/>
  <c r="F812" i="7"/>
  <c r="G809" i="7"/>
  <c r="G806" i="7"/>
  <c r="I803" i="7"/>
  <c r="I800" i="7"/>
  <c r="J797" i="7"/>
  <c r="M794" i="7"/>
  <c r="C792" i="7"/>
  <c r="K789" i="7"/>
  <c r="B787" i="7"/>
  <c r="J784" i="7"/>
  <c r="M781" i="7"/>
  <c r="I779" i="7"/>
  <c r="K776" i="7"/>
  <c r="H774" i="7"/>
  <c r="B772" i="7"/>
  <c r="N769" i="7"/>
  <c r="J767" i="7"/>
  <c r="H765" i="7"/>
  <c r="E763" i="7"/>
  <c r="B761" i="7"/>
  <c r="B759" i="7"/>
  <c r="L756" i="7"/>
  <c r="L754" i="7"/>
  <c r="M752" i="7"/>
  <c r="J750" i="7"/>
  <c r="J748" i="7"/>
  <c r="K746" i="7"/>
  <c r="H744" i="7"/>
  <c r="H742" i="7"/>
  <c r="I740" i="7"/>
  <c r="F738" i="7"/>
  <c r="F736" i="7"/>
  <c r="G734" i="7"/>
  <c r="E728" i="7"/>
  <c r="B726" i="7"/>
  <c r="B724" i="7"/>
  <c r="C722" i="7"/>
  <c r="M719" i="7"/>
  <c r="M717" i="7"/>
  <c r="N715" i="7"/>
  <c r="K713" i="7"/>
  <c r="K711" i="7"/>
  <c r="L709" i="7"/>
  <c r="I707" i="7"/>
  <c r="I705" i="7"/>
  <c r="J703" i="7"/>
  <c r="G701" i="7"/>
  <c r="G699" i="7"/>
  <c r="H697" i="7"/>
  <c r="E695" i="7"/>
  <c r="E693" i="7"/>
  <c r="F691" i="7"/>
  <c r="C689" i="7"/>
  <c r="C687" i="7"/>
  <c r="N682" i="7"/>
  <c r="N680" i="7"/>
  <c r="B679" i="7"/>
  <c r="L676" i="7"/>
  <c r="L674" i="7"/>
  <c r="M672" i="7"/>
  <c r="J670" i="7"/>
  <c r="J668" i="7"/>
  <c r="K666" i="7"/>
  <c r="H664" i="7"/>
  <c r="H662" i="7"/>
  <c r="I660" i="7"/>
  <c r="F658" i="7"/>
  <c r="F656" i="7"/>
  <c r="G654" i="7"/>
  <c r="E648" i="7"/>
  <c r="B646" i="7"/>
  <c r="B644" i="7"/>
  <c r="C642" i="7"/>
  <c r="M639" i="7"/>
  <c r="M637" i="7"/>
  <c r="N635" i="7"/>
  <c r="K633" i="7"/>
  <c r="K631" i="7"/>
  <c r="L629" i="7"/>
  <c r="I627" i="7"/>
  <c r="I625" i="7"/>
  <c r="J623" i="7"/>
  <c r="G621" i="7"/>
  <c r="G619" i="7"/>
  <c r="H617" i="7"/>
  <c r="E615" i="7"/>
  <c r="E613" i="7"/>
  <c r="F611" i="7"/>
  <c r="F609" i="7"/>
  <c r="I607" i="7"/>
  <c r="K605" i="7"/>
  <c r="N603" i="7"/>
  <c r="E600" i="7"/>
  <c r="H598" i="7"/>
  <c r="K596" i="7"/>
  <c r="M594" i="7"/>
  <c r="C593" i="7"/>
  <c r="F591" i="7"/>
  <c r="H589" i="7"/>
  <c r="L587" i="7"/>
  <c r="C586" i="7"/>
  <c r="G584" i="7"/>
  <c r="J582" i="7"/>
  <c r="B581" i="7"/>
  <c r="H579" i="7"/>
  <c r="N577" i="7"/>
  <c r="G576" i="7"/>
  <c r="M574" i="7"/>
  <c r="F573" i="7"/>
  <c r="L571" i="7"/>
  <c r="E570" i="7"/>
  <c r="K568" i="7"/>
  <c r="J565" i="7"/>
  <c r="C564" i="7"/>
  <c r="I562" i="7"/>
  <c r="B561" i="7"/>
  <c r="H559" i="7"/>
  <c r="N557" i="7"/>
  <c r="G556" i="7"/>
  <c r="M554" i="7"/>
  <c r="F553" i="7"/>
  <c r="L551" i="7"/>
  <c r="E550" i="7"/>
  <c r="K548" i="7"/>
  <c r="J545" i="7"/>
  <c r="C544" i="7"/>
  <c r="I542" i="7"/>
  <c r="B541" i="7"/>
  <c r="H539" i="7"/>
  <c r="N537" i="7"/>
  <c r="G536" i="7"/>
  <c r="M534" i="7"/>
  <c r="F533" i="7"/>
  <c r="L531" i="7"/>
  <c r="E530" i="7"/>
  <c r="K528" i="7"/>
  <c r="J525" i="7"/>
  <c r="C524" i="7"/>
  <c r="I522" i="7"/>
  <c r="B521" i="7"/>
  <c r="H519" i="7"/>
  <c r="N517" i="7"/>
  <c r="G516" i="7"/>
  <c r="M514" i="7"/>
  <c r="F513" i="7"/>
  <c r="L511" i="7"/>
  <c r="E510" i="7"/>
  <c r="K508" i="7"/>
  <c r="J505" i="7"/>
  <c r="C504" i="7"/>
  <c r="I502" i="7"/>
  <c r="B501" i="7"/>
  <c r="H499" i="7"/>
  <c r="N497" i="7"/>
  <c r="G496" i="7"/>
  <c r="M494" i="7"/>
  <c r="F493" i="7"/>
  <c r="L491" i="7"/>
  <c r="E490" i="7"/>
  <c r="K488" i="7"/>
  <c r="J485" i="7"/>
  <c r="C484" i="7"/>
  <c r="I482" i="7"/>
  <c r="B481" i="7"/>
  <c r="H479" i="7"/>
  <c r="N477" i="7"/>
  <c r="G476" i="7"/>
  <c r="M474" i="7"/>
  <c r="F473" i="7"/>
  <c r="L471" i="7"/>
  <c r="E470" i="7"/>
  <c r="K468" i="7"/>
  <c r="J465" i="7"/>
  <c r="C464" i="7"/>
  <c r="I462" i="7"/>
  <c r="B461" i="7"/>
  <c r="H459" i="7"/>
  <c r="N457" i="7"/>
  <c r="G456" i="7"/>
  <c r="M454" i="7"/>
  <c r="F453" i="7"/>
  <c r="L451" i="7"/>
  <c r="J51" i="11"/>
  <c r="I420" i="8"/>
  <c r="B195" i="8"/>
  <c r="B40" i="8"/>
  <c r="J1224" i="7"/>
  <c r="M1200" i="7"/>
  <c r="B1177" i="7"/>
  <c r="N1156" i="7"/>
  <c r="H1136" i="7"/>
  <c r="H1117" i="7"/>
  <c r="E1100" i="7"/>
  <c r="B1086" i="7"/>
  <c r="M1071" i="7"/>
  <c r="E1059" i="7"/>
  <c r="C1048" i="7"/>
  <c r="I1036" i="7"/>
  <c r="B1026" i="7"/>
  <c r="H1015" i="7"/>
  <c r="E1006" i="7"/>
  <c r="N997" i="7"/>
  <c r="B990" i="7"/>
  <c r="F982" i="7"/>
  <c r="C975" i="7"/>
  <c r="I967" i="7"/>
  <c r="K960" i="7"/>
  <c r="G953" i="7"/>
  <c r="F945" i="7"/>
  <c r="E939" i="7"/>
  <c r="F933" i="7"/>
  <c r="J926" i="7"/>
  <c r="H920" i="7"/>
  <c r="B915" i="7"/>
  <c r="H908" i="7"/>
  <c r="F903" i="7"/>
  <c r="L898" i="7"/>
  <c r="I894" i="7"/>
  <c r="I890" i="7"/>
  <c r="M886" i="7"/>
  <c r="K882" i="7"/>
  <c r="K878" i="7"/>
  <c r="M874" i="7"/>
  <c r="J870" i="7"/>
  <c r="K866" i="7"/>
  <c r="B863" i="7"/>
  <c r="L858" i="7"/>
  <c r="E855" i="7"/>
  <c r="K851" i="7"/>
  <c r="L847" i="7"/>
  <c r="H844" i="7"/>
  <c r="G841" i="7"/>
  <c r="M837" i="7"/>
  <c r="J834" i="7"/>
  <c r="I831" i="7"/>
  <c r="B828" i="7"/>
  <c r="L824" i="7"/>
  <c r="K821" i="7"/>
  <c r="E818" i="7"/>
  <c r="B815" i="7"/>
  <c r="C812" i="7"/>
  <c r="N808" i="7"/>
  <c r="C806" i="7"/>
  <c r="G803" i="7"/>
  <c r="E800" i="7"/>
  <c r="F797" i="7"/>
  <c r="K794" i="7"/>
  <c r="M791" i="7"/>
  <c r="I789" i="7"/>
  <c r="K786" i="7"/>
  <c r="H784" i="7"/>
  <c r="J781" i="7"/>
  <c r="B779" i="7"/>
  <c r="I776" i="7"/>
  <c r="B774" i="7"/>
  <c r="L771" i="7"/>
  <c r="L769" i="7"/>
  <c r="G767" i="7"/>
  <c r="F765" i="7"/>
  <c r="B763" i="7"/>
  <c r="M760" i="7"/>
  <c r="J758" i="7"/>
  <c r="J756" i="7"/>
  <c r="J754" i="7"/>
  <c r="H752" i="7"/>
  <c r="H750" i="7"/>
  <c r="H748" i="7"/>
  <c r="F746" i="7"/>
  <c r="F744" i="7"/>
  <c r="F742" i="7"/>
  <c r="B734" i="7"/>
  <c r="B732" i="7"/>
  <c r="B730" i="7"/>
  <c r="M727" i="7"/>
  <c r="M725" i="7"/>
  <c r="M723" i="7"/>
  <c r="K721" i="7"/>
  <c r="K719" i="7"/>
  <c r="K717" i="7"/>
  <c r="I715" i="7"/>
  <c r="I713" i="7"/>
  <c r="I711" i="7"/>
  <c r="G709" i="7"/>
  <c r="D31" i="11"/>
  <c r="M410" i="8"/>
  <c r="H188" i="8"/>
  <c r="C94" i="8"/>
  <c r="K39" i="8"/>
  <c r="C1224" i="7"/>
  <c r="K1197" i="7"/>
  <c r="C1176" i="7"/>
  <c r="J1153" i="7"/>
  <c r="L1135" i="7"/>
  <c r="G1117" i="7"/>
  <c r="I1099" i="7"/>
  <c r="N1085" i="7"/>
  <c r="J1071" i="7"/>
  <c r="C1059" i="7"/>
  <c r="M1047" i="7"/>
  <c r="H1036" i="7"/>
  <c r="H1025" i="7"/>
  <c r="F1015" i="7"/>
  <c r="G1005" i="7"/>
  <c r="M997" i="7"/>
  <c r="N989" i="7"/>
  <c r="H981" i="7"/>
  <c r="B975" i="7"/>
  <c r="H967" i="7"/>
  <c r="I960" i="7"/>
  <c r="F953" i="7"/>
  <c r="E945" i="7"/>
  <c r="C939" i="7"/>
  <c r="E933" i="7"/>
  <c r="I926" i="7"/>
  <c r="F920" i="7"/>
  <c r="N914" i="7"/>
  <c r="G908" i="7"/>
  <c r="E903" i="7"/>
  <c r="K898" i="7"/>
  <c r="H894" i="7"/>
  <c r="H890" i="7"/>
  <c r="K886" i="7"/>
  <c r="J882" i="7"/>
  <c r="I878" i="7"/>
  <c r="L874" i="7"/>
  <c r="I870" i="7"/>
  <c r="I866" i="7"/>
  <c r="N862" i="7"/>
  <c r="K858" i="7"/>
  <c r="B855" i="7"/>
  <c r="I851" i="7"/>
  <c r="K847" i="7"/>
  <c r="G844" i="7"/>
  <c r="F841" i="7"/>
  <c r="L837" i="7"/>
  <c r="I834" i="7"/>
  <c r="H831" i="7"/>
  <c r="N827" i="7"/>
  <c r="K824" i="7"/>
  <c r="J821" i="7"/>
  <c r="C818" i="7"/>
  <c r="N814" i="7"/>
  <c r="B812" i="7"/>
  <c r="M808" i="7"/>
  <c r="B806" i="7"/>
  <c r="F803" i="7"/>
  <c r="C800" i="7"/>
  <c r="E797" i="7"/>
  <c r="J794" i="7"/>
  <c r="K791" i="7"/>
  <c r="H789" i="7"/>
  <c r="J786" i="7"/>
  <c r="B784" i="7"/>
  <c r="I781" i="7"/>
  <c r="N778" i="7"/>
  <c r="H776" i="7"/>
  <c r="N773" i="7"/>
  <c r="K771" i="7"/>
  <c r="H769" i="7"/>
  <c r="E767" i="7"/>
  <c r="E765" i="7"/>
  <c r="N762" i="7"/>
  <c r="L760" i="7"/>
  <c r="I758" i="7"/>
  <c r="H756" i="7"/>
  <c r="I754" i="7"/>
  <c r="G752" i="7"/>
  <c r="F750" i="7"/>
  <c r="G748" i="7"/>
  <c r="E746" i="7"/>
  <c r="E742" i="7"/>
  <c r="C740" i="7"/>
  <c r="B738" i="7"/>
  <c r="C736" i="7"/>
  <c r="N733" i="7"/>
  <c r="M731" i="7"/>
  <c r="N729" i="7"/>
  <c r="M124" i="8"/>
  <c r="H1193" i="7"/>
  <c r="E1148" i="7"/>
  <c r="C1112" i="7"/>
  <c r="M1081" i="7"/>
  <c r="M1054" i="7"/>
  <c r="B1033" i="7"/>
  <c r="B1012" i="7"/>
  <c r="L994" i="7"/>
  <c r="L979" i="7"/>
  <c r="E965" i="7"/>
  <c r="M950" i="7"/>
  <c r="E937" i="7"/>
  <c r="G924" i="7"/>
  <c r="G912" i="7"/>
  <c r="L901" i="7"/>
  <c r="C893" i="7"/>
  <c r="B885" i="7"/>
  <c r="J877" i="7"/>
  <c r="H869" i="7"/>
  <c r="F861" i="7"/>
  <c r="N853" i="7"/>
  <c r="I846" i="7"/>
  <c r="M839" i="7"/>
  <c r="I833" i="7"/>
  <c r="M826" i="7"/>
  <c r="E820" i="7"/>
  <c r="B814" i="7"/>
  <c r="B808" i="7"/>
  <c r="B802" i="7"/>
  <c r="H796" i="7"/>
  <c r="E791" i="7"/>
  <c r="C786" i="7"/>
  <c r="K780" i="7"/>
  <c r="J775" i="7"/>
  <c r="B771" i="7"/>
  <c r="L766" i="7"/>
  <c r="F762" i="7"/>
  <c r="N757" i="7"/>
  <c r="L753" i="7"/>
  <c r="M749" i="7"/>
  <c r="J745" i="7"/>
  <c r="H741" i="7"/>
  <c r="I737" i="7"/>
  <c r="F733" i="7"/>
  <c r="G725" i="7"/>
  <c r="G721" i="7"/>
  <c r="J717" i="7"/>
  <c r="N713" i="7"/>
  <c r="N706" i="7"/>
  <c r="L699" i="7"/>
  <c r="J696" i="7"/>
  <c r="B693" i="7"/>
  <c r="H689" i="7"/>
  <c r="F686" i="7"/>
  <c r="J682" i="7"/>
  <c r="F679" i="7"/>
  <c r="G672" i="7"/>
  <c r="B669" i="7"/>
  <c r="M665" i="7"/>
  <c r="E662" i="7"/>
  <c r="K658" i="7"/>
  <c r="I655" i="7"/>
  <c r="M651" i="7"/>
  <c r="I648" i="7"/>
  <c r="G645" i="7"/>
  <c r="K641" i="7"/>
  <c r="C639" i="7"/>
  <c r="H635" i="7"/>
  <c r="E632" i="7"/>
  <c r="B626" i="7"/>
  <c r="N622" i="7"/>
  <c r="L619" i="7"/>
  <c r="K616" i="7"/>
  <c r="G613" i="7"/>
  <c r="I610" i="7"/>
  <c r="H607" i="7"/>
  <c r="N604" i="7"/>
  <c r="M601" i="7"/>
  <c r="H599" i="7"/>
  <c r="G596" i="7"/>
  <c r="J593" i="7"/>
  <c r="M590" i="7"/>
  <c r="E588" i="7"/>
  <c r="J585" i="7"/>
  <c r="B583" i="7"/>
  <c r="I580" i="7"/>
  <c r="C578" i="7"/>
  <c r="M575" i="7"/>
  <c r="E573" i="7"/>
  <c r="I568" i="7"/>
  <c r="H566" i="7"/>
  <c r="M563" i="7"/>
  <c r="H561" i="7"/>
  <c r="L556" i="7"/>
  <c r="H554" i="7"/>
  <c r="C552" i="7"/>
  <c r="L549" i="7"/>
  <c r="F547" i="7"/>
  <c r="C545" i="7"/>
  <c r="H542" i="7"/>
  <c r="G540" i="7"/>
  <c r="L537" i="7"/>
  <c r="K535" i="7"/>
  <c r="C533" i="7"/>
  <c r="K530" i="7"/>
  <c r="G528" i="7"/>
  <c r="B526" i="7"/>
  <c r="K523" i="7"/>
  <c r="F521" i="7"/>
  <c r="B519" i="7"/>
  <c r="K516" i="7"/>
  <c r="H514" i="7"/>
  <c r="E512" i="7"/>
  <c r="B510" i="7"/>
  <c r="B508" i="7"/>
  <c r="I505" i="7"/>
  <c r="I503" i="7"/>
  <c r="F501" i="7"/>
  <c r="C499" i="7"/>
  <c r="M496" i="7"/>
  <c r="J494" i="7"/>
  <c r="J492" i="7"/>
  <c r="N485" i="7"/>
  <c r="K483" i="7"/>
  <c r="H481" i="7"/>
  <c r="E479" i="7"/>
  <c r="E477" i="7"/>
  <c r="L474" i="7"/>
  <c r="M472" i="7"/>
  <c r="K470" i="7"/>
  <c r="J468" i="7"/>
  <c r="K466" i="7"/>
  <c r="I464" i="7"/>
  <c r="H462" i="7"/>
  <c r="I460" i="7"/>
  <c r="G458" i="7"/>
  <c r="I456" i="7"/>
  <c r="K454" i="7"/>
  <c r="C453" i="7"/>
  <c r="H451" i="7"/>
  <c r="N449" i="7"/>
  <c r="G448" i="7"/>
  <c r="M446" i="7"/>
  <c r="F445" i="7"/>
  <c r="L443" i="7"/>
  <c r="E442" i="7"/>
  <c r="K440" i="7"/>
  <c r="J437" i="7"/>
  <c r="C436" i="7"/>
  <c r="I434" i="7"/>
  <c r="B433" i="7"/>
  <c r="H431" i="7"/>
  <c r="N429" i="7"/>
  <c r="G428" i="7"/>
  <c r="M426" i="7"/>
  <c r="F425" i="7"/>
  <c r="L423" i="7"/>
  <c r="E422" i="7"/>
  <c r="K420" i="7"/>
  <c r="J417" i="7"/>
  <c r="C416" i="7"/>
  <c r="I414" i="7"/>
  <c r="B413" i="7"/>
  <c r="H411" i="7"/>
  <c r="N409" i="7"/>
  <c r="G408" i="7"/>
  <c r="M406" i="7"/>
  <c r="F405" i="7"/>
  <c r="L403" i="7"/>
  <c r="E402" i="7"/>
  <c r="K400" i="7"/>
  <c r="J397" i="7"/>
  <c r="C396" i="7"/>
  <c r="I394" i="7"/>
  <c r="B393" i="7"/>
  <c r="H391" i="7"/>
  <c r="N389" i="7"/>
  <c r="G388" i="7"/>
  <c r="M386" i="7"/>
  <c r="F385" i="7"/>
  <c r="L383" i="7"/>
  <c r="E382" i="7"/>
  <c r="K380" i="7"/>
  <c r="J377" i="7"/>
  <c r="C376" i="7"/>
  <c r="I374" i="7"/>
  <c r="B373" i="7"/>
  <c r="H371" i="7"/>
  <c r="N369" i="7"/>
  <c r="G368" i="7"/>
  <c r="M366" i="7"/>
  <c r="F365" i="7"/>
  <c r="L363" i="7"/>
  <c r="E362" i="7"/>
  <c r="K360" i="7"/>
  <c r="J357" i="7"/>
  <c r="C356" i="7"/>
  <c r="I354" i="7"/>
  <c r="B353" i="7"/>
  <c r="H351" i="7"/>
  <c r="N349" i="7"/>
  <c r="G348" i="7"/>
  <c r="M346" i="7"/>
  <c r="F345" i="7"/>
  <c r="L343" i="7"/>
  <c r="E342" i="7"/>
  <c r="K340" i="7"/>
  <c r="J337" i="7"/>
  <c r="C336" i="7"/>
  <c r="I334" i="7"/>
  <c r="B333" i="7"/>
  <c r="H331" i="7"/>
  <c r="N329" i="7"/>
  <c r="G328" i="7"/>
  <c r="M326" i="7"/>
  <c r="F325" i="7"/>
  <c r="L323" i="7"/>
  <c r="E322" i="7"/>
  <c r="K320" i="7"/>
  <c r="J317" i="7"/>
  <c r="C316" i="7"/>
  <c r="I314" i="7"/>
  <c r="B313" i="7"/>
  <c r="H311" i="7"/>
  <c r="N309" i="7"/>
  <c r="G308" i="7"/>
  <c r="M306" i="7"/>
  <c r="F305" i="7"/>
  <c r="L303" i="7"/>
  <c r="E302" i="7"/>
  <c r="K300" i="7"/>
  <c r="J297" i="7"/>
  <c r="C296" i="7"/>
  <c r="I294" i="7"/>
  <c r="B293" i="7"/>
  <c r="H291" i="7"/>
  <c r="N289" i="7"/>
  <c r="G288" i="7"/>
  <c r="M286" i="7"/>
  <c r="F285" i="7"/>
  <c r="L283" i="7"/>
  <c r="E282" i="7"/>
  <c r="K280" i="7"/>
  <c r="J277" i="7"/>
  <c r="C276" i="7"/>
  <c r="I274" i="7"/>
  <c r="B273" i="7"/>
  <c r="H271" i="7"/>
  <c r="N269" i="7"/>
  <c r="G268" i="7"/>
  <c r="M266" i="7"/>
  <c r="F265" i="7"/>
  <c r="L263" i="7"/>
  <c r="E262" i="7"/>
  <c r="K260" i="7"/>
  <c r="G532" i="8"/>
  <c r="I117" i="8"/>
  <c r="J1239" i="7"/>
  <c r="G1183" i="7"/>
  <c r="I1142" i="7"/>
  <c r="C1107" i="7"/>
  <c r="B1076" i="7"/>
  <c r="J1051" i="7"/>
  <c r="J1029" i="7"/>
  <c r="B1009" i="7"/>
  <c r="B993" i="7"/>
  <c r="H977" i="7"/>
  <c r="C963" i="7"/>
  <c r="L948" i="7"/>
  <c r="E935" i="7"/>
  <c r="J922" i="7"/>
  <c r="L910" i="7"/>
  <c r="E900" i="7"/>
  <c r="B892" i="7"/>
  <c r="H884" i="7"/>
  <c r="E876" i="7"/>
  <c r="C868" i="7"/>
  <c r="I860" i="7"/>
  <c r="M852" i="7"/>
  <c r="H845" i="7"/>
  <c r="G839" i="7"/>
  <c r="J832" i="7"/>
  <c r="B826" i="7"/>
  <c r="K819" i="7"/>
  <c r="C813" i="7"/>
  <c r="C807" i="7"/>
  <c r="I801" i="7"/>
  <c r="H795" i="7"/>
  <c r="E790" i="7"/>
  <c r="B785" i="7"/>
  <c r="N779" i="7"/>
  <c r="M774" i="7"/>
  <c r="F770" i="7"/>
  <c r="B766" i="7"/>
  <c r="J761" i="7"/>
  <c r="H757" i="7"/>
  <c r="E753" i="7"/>
  <c r="C749" i="7"/>
  <c r="N740" i="7"/>
  <c r="L736" i="7"/>
  <c r="M732" i="7"/>
  <c r="J728" i="7"/>
  <c r="F725" i="7"/>
  <c r="F721" i="7"/>
  <c r="I717" i="7"/>
  <c r="J713" i="7"/>
  <c r="C710" i="7"/>
  <c r="M706" i="7"/>
  <c r="B703" i="7"/>
  <c r="I699" i="7"/>
  <c r="H696" i="7"/>
  <c r="N692" i="7"/>
  <c r="F689" i="7"/>
  <c r="E686" i="7"/>
  <c r="I682" i="7"/>
  <c r="C676" i="7"/>
  <c r="E672" i="7"/>
  <c r="L668" i="7"/>
  <c r="K665" i="7"/>
  <c r="I658" i="7"/>
  <c r="H655" i="7"/>
  <c r="L651" i="7"/>
  <c r="G648" i="7"/>
  <c r="F645" i="7"/>
  <c r="J641" i="7"/>
  <c r="G638" i="7"/>
  <c r="F635" i="7"/>
  <c r="C629" i="7"/>
  <c r="N625" i="7"/>
  <c r="M622" i="7"/>
  <c r="I619" i="7"/>
  <c r="J616" i="7"/>
  <c r="H610" i="7"/>
  <c r="G607" i="7"/>
  <c r="M604" i="7"/>
  <c r="L601" i="7"/>
  <c r="C599" i="7"/>
  <c r="F596" i="7"/>
  <c r="I593" i="7"/>
  <c r="L590" i="7"/>
  <c r="C588" i="7"/>
  <c r="I585" i="7"/>
  <c r="M582" i="7"/>
  <c r="H580" i="7"/>
  <c r="M577" i="7"/>
  <c r="L575" i="7"/>
  <c r="C571" i="7"/>
  <c r="H568" i="7"/>
  <c r="C566" i="7"/>
  <c r="L563" i="7"/>
  <c r="G561" i="7"/>
  <c r="C559" i="7"/>
  <c r="K556" i="7"/>
  <c r="G554" i="7"/>
  <c r="N551" i="7"/>
  <c r="K549" i="7"/>
  <c r="C547" i="7"/>
  <c r="B545" i="7"/>
  <c r="G542" i="7"/>
  <c r="F540" i="7"/>
  <c r="K537" i="7"/>
  <c r="F535" i="7"/>
  <c r="B533" i="7"/>
  <c r="J530" i="7"/>
  <c r="F528" i="7"/>
  <c r="N525" i="7"/>
  <c r="J523" i="7"/>
  <c r="N518" i="7"/>
  <c r="I516" i="7"/>
  <c r="G514" i="7"/>
  <c r="N509" i="7"/>
  <c r="L507" i="7"/>
  <c r="H505" i="7"/>
  <c r="H503" i="7"/>
  <c r="B499" i="7"/>
  <c r="L496" i="7"/>
  <c r="I494" i="7"/>
  <c r="G492" i="7"/>
  <c r="C490" i="7"/>
  <c r="C488" i="7"/>
  <c r="L485" i="7"/>
  <c r="J483" i="7"/>
  <c r="G481" i="7"/>
  <c r="B477" i="7"/>
  <c r="K474" i="7"/>
  <c r="L472" i="7"/>
  <c r="J470" i="7"/>
  <c r="I468" i="7"/>
  <c r="J466" i="7"/>
  <c r="H464" i="7"/>
  <c r="G462" i="7"/>
  <c r="H460" i="7"/>
  <c r="F458" i="7"/>
  <c r="H456" i="7"/>
  <c r="J454" i="7"/>
  <c r="B453" i="7"/>
  <c r="G451" i="7"/>
  <c r="M449" i="7"/>
  <c r="F448" i="7"/>
  <c r="L446" i="7"/>
  <c r="E445" i="7"/>
  <c r="K443" i="7"/>
  <c r="J440" i="7"/>
  <c r="C439" i="7"/>
  <c r="I437" i="7"/>
  <c r="B436" i="7"/>
  <c r="H434" i="7"/>
  <c r="N432" i="7"/>
  <c r="G431" i="7"/>
  <c r="M429" i="7"/>
  <c r="F428" i="7"/>
  <c r="L426" i="7"/>
  <c r="E425" i="7"/>
  <c r="K423" i="7"/>
  <c r="J420" i="7"/>
  <c r="C419" i="7"/>
  <c r="I417" i="7"/>
  <c r="B416" i="7"/>
  <c r="H414" i="7"/>
  <c r="N412" i="7"/>
  <c r="G411" i="7"/>
  <c r="M409" i="7"/>
  <c r="F408" i="7"/>
  <c r="L406" i="7"/>
  <c r="E405" i="7"/>
  <c r="K403" i="7"/>
  <c r="J400" i="7"/>
  <c r="C399" i="7"/>
  <c r="I397" i="7"/>
  <c r="B396" i="7"/>
  <c r="H394" i="7"/>
  <c r="N392" i="7"/>
  <c r="G391" i="7"/>
  <c r="M389" i="7"/>
  <c r="F388" i="7"/>
  <c r="L386" i="7"/>
  <c r="E385" i="7"/>
  <c r="K383" i="7"/>
  <c r="J380" i="7"/>
  <c r="C379" i="7"/>
  <c r="I377" i="7"/>
  <c r="B376" i="7"/>
  <c r="H374" i="7"/>
  <c r="N372" i="7"/>
  <c r="G371" i="7"/>
  <c r="M369" i="7"/>
  <c r="F368" i="7"/>
  <c r="L366" i="7"/>
  <c r="E365" i="7"/>
  <c r="K363" i="7"/>
  <c r="J360" i="7"/>
  <c r="C359" i="7"/>
  <c r="I357" i="7"/>
  <c r="B356" i="7"/>
  <c r="H354" i="7"/>
  <c r="N352" i="7"/>
  <c r="G351" i="7"/>
  <c r="M349" i="7"/>
  <c r="F348" i="7"/>
  <c r="L346" i="7"/>
  <c r="E345" i="7"/>
  <c r="K343" i="7"/>
  <c r="J340" i="7"/>
  <c r="C339" i="7"/>
  <c r="I337" i="7"/>
  <c r="B336" i="7"/>
  <c r="H334" i="7"/>
  <c r="N332" i="7"/>
  <c r="G331" i="7"/>
  <c r="M329" i="7"/>
  <c r="F328" i="7"/>
  <c r="L326" i="7"/>
  <c r="E325" i="7"/>
  <c r="K323" i="7"/>
  <c r="J320" i="7"/>
  <c r="C319" i="7"/>
  <c r="I317" i="7"/>
  <c r="B316" i="7"/>
  <c r="H314" i="7"/>
  <c r="N312" i="7"/>
  <c r="G311" i="7"/>
  <c r="M309" i="7"/>
  <c r="F308" i="7"/>
  <c r="L306" i="7"/>
  <c r="E305" i="7"/>
  <c r="K303" i="7"/>
  <c r="J300" i="7"/>
  <c r="C299" i="7"/>
  <c r="I297" i="7"/>
  <c r="B296" i="7"/>
  <c r="H294" i="7"/>
  <c r="N292" i="7"/>
  <c r="G291" i="7"/>
  <c r="M289" i="7"/>
  <c r="F288" i="7"/>
  <c r="L286" i="7"/>
  <c r="E498" i="8"/>
  <c r="K103" i="8"/>
  <c r="B1239" i="7"/>
  <c r="F1183" i="7"/>
  <c r="B1141" i="7"/>
  <c r="N1106" i="7"/>
  <c r="M1075" i="7"/>
  <c r="G1051" i="7"/>
  <c r="I1029" i="7"/>
  <c r="C1008" i="7"/>
  <c r="I992" i="7"/>
  <c r="G977" i="7"/>
  <c r="K962" i="7"/>
  <c r="J948" i="7"/>
  <c r="B935" i="7"/>
  <c r="H922" i="7"/>
  <c r="F910" i="7"/>
  <c r="M899" i="7"/>
  <c r="M891" i="7"/>
  <c r="L883" i="7"/>
  <c r="B876" i="7"/>
  <c r="B868" i="7"/>
  <c r="M859" i="7"/>
  <c r="K852" i="7"/>
  <c r="G845" i="7"/>
  <c r="K838" i="7"/>
  <c r="E832" i="7"/>
  <c r="N825" i="7"/>
  <c r="F819" i="7"/>
  <c r="N812" i="7"/>
  <c r="B807" i="7"/>
  <c r="C801" i="7"/>
  <c r="F795" i="7"/>
  <c r="B790" i="7"/>
  <c r="N784" i="7"/>
  <c r="M779" i="7"/>
  <c r="L774" i="7"/>
  <c r="E770" i="7"/>
  <c r="M765" i="7"/>
  <c r="H761" i="7"/>
  <c r="B749" i="7"/>
  <c r="M744" i="7"/>
  <c r="M740" i="7"/>
  <c r="K736" i="7"/>
  <c r="I732" i="7"/>
  <c r="I728" i="7"/>
  <c r="E725" i="7"/>
  <c r="E721" i="7"/>
  <c r="H717" i="7"/>
  <c r="G713" i="7"/>
  <c r="N709" i="7"/>
  <c r="L706" i="7"/>
  <c r="N702" i="7"/>
  <c r="F699" i="7"/>
  <c r="G696" i="7"/>
  <c r="M692" i="7"/>
  <c r="B689" i="7"/>
  <c r="C686" i="7"/>
  <c r="H682" i="7"/>
  <c r="K678" i="7"/>
  <c r="B676" i="7"/>
  <c r="I668" i="7"/>
  <c r="J665" i="7"/>
  <c r="C662" i="7"/>
  <c r="E658" i="7"/>
  <c r="F655" i="7"/>
  <c r="K651" i="7"/>
  <c r="N647" i="7"/>
  <c r="E645" i="7"/>
  <c r="H641" i="7"/>
  <c r="F638" i="7"/>
  <c r="E635" i="7"/>
  <c r="C632" i="7"/>
  <c r="B629" i="7"/>
  <c r="K625" i="7"/>
  <c r="L622" i="7"/>
  <c r="F619" i="7"/>
  <c r="H616" i="7"/>
  <c r="C613" i="7"/>
  <c r="F610" i="7"/>
  <c r="E607" i="7"/>
  <c r="H604" i="7"/>
  <c r="K601" i="7"/>
  <c r="B599" i="7"/>
  <c r="E596" i="7"/>
  <c r="G593" i="7"/>
  <c r="K590" i="7"/>
  <c r="N587" i="7"/>
  <c r="H585" i="7"/>
  <c r="I582" i="7"/>
  <c r="G580" i="7"/>
  <c r="L577" i="7"/>
  <c r="K575" i="7"/>
  <c r="C573" i="7"/>
  <c r="K570" i="7"/>
  <c r="G568" i="7"/>
  <c r="B566" i="7"/>
  <c r="K563" i="7"/>
  <c r="F561" i="7"/>
  <c r="B559" i="7"/>
  <c r="I556" i="7"/>
  <c r="F554" i="7"/>
  <c r="K551" i="7"/>
  <c r="J549" i="7"/>
  <c r="B547" i="7"/>
  <c r="N544" i="7"/>
  <c r="F542" i="7"/>
  <c r="N539" i="7"/>
  <c r="J537" i="7"/>
  <c r="E535" i="7"/>
  <c r="N532" i="7"/>
  <c r="I530" i="7"/>
  <c r="E528" i="7"/>
  <c r="L525" i="7"/>
  <c r="I523" i="7"/>
  <c r="N520" i="7"/>
  <c r="M518" i="7"/>
  <c r="F516" i="7"/>
  <c r="F514" i="7"/>
  <c r="C512" i="7"/>
  <c r="M509" i="7"/>
  <c r="J507" i="7"/>
  <c r="G505" i="7"/>
  <c r="G503" i="7"/>
  <c r="N500" i="7"/>
  <c r="N498" i="7"/>
  <c r="K496" i="7"/>
  <c r="H494" i="7"/>
  <c r="E492" i="7"/>
  <c r="B490" i="7"/>
  <c r="B488" i="7"/>
  <c r="I485" i="7"/>
  <c r="I483" i="7"/>
  <c r="F481" i="7"/>
  <c r="C479" i="7"/>
  <c r="M476" i="7"/>
  <c r="J474" i="7"/>
  <c r="K472" i="7"/>
  <c r="I470" i="7"/>
  <c r="H468" i="7"/>
  <c r="I466" i="7"/>
  <c r="G464" i="7"/>
  <c r="F462" i="7"/>
  <c r="G460" i="7"/>
  <c r="E458" i="7"/>
  <c r="F456" i="7"/>
  <c r="I454" i="7"/>
  <c r="N452" i="7"/>
  <c r="F451" i="7"/>
  <c r="L449" i="7"/>
  <c r="E448" i="7"/>
  <c r="K446" i="7"/>
  <c r="J443" i="7"/>
  <c r="C442" i="7"/>
  <c r="I440" i="7"/>
  <c r="B439" i="7"/>
  <c r="H437" i="7"/>
  <c r="N435" i="7"/>
  <c r="G434" i="7"/>
  <c r="M432" i="7"/>
  <c r="F431" i="7"/>
  <c r="L429" i="7"/>
  <c r="E428" i="7"/>
  <c r="K426" i="7"/>
  <c r="J423" i="7"/>
  <c r="C422" i="7"/>
  <c r="I420" i="7"/>
  <c r="B419" i="7"/>
  <c r="H417" i="7"/>
  <c r="N415" i="7"/>
  <c r="G414" i="7"/>
  <c r="M412" i="7"/>
  <c r="F411" i="7"/>
  <c r="L409" i="7"/>
  <c r="E408" i="7"/>
  <c r="K406" i="7"/>
  <c r="J403" i="7"/>
  <c r="C402" i="7"/>
  <c r="I400" i="7"/>
  <c r="B399" i="7"/>
  <c r="H397" i="7"/>
  <c r="N395" i="7"/>
  <c r="G394" i="7"/>
  <c r="M392" i="7"/>
  <c r="F391" i="7"/>
  <c r="L389" i="7"/>
  <c r="E388" i="7"/>
  <c r="K386" i="7"/>
  <c r="J383" i="7"/>
  <c r="C382" i="7"/>
  <c r="I380" i="7"/>
  <c r="B379" i="7"/>
  <c r="H377" i="7"/>
  <c r="N375" i="7"/>
  <c r="G374" i="7"/>
  <c r="M372" i="7"/>
  <c r="F371" i="7"/>
  <c r="L369" i="7"/>
  <c r="E368" i="7"/>
  <c r="K366" i="7"/>
  <c r="J363" i="7"/>
  <c r="C362" i="7"/>
  <c r="I360" i="7"/>
  <c r="B359" i="7"/>
  <c r="H357" i="7"/>
  <c r="N355" i="7"/>
  <c r="G354" i="7"/>
  <c r="M352" i="7"/>
  <c r="F351" i="7"/>
  <c r="L349" i="7"/>
  <c r="E348" i="7"/>
  <c r="K346" i="7"/>
  <c r="J343" i="7"/>
  <c r="C342" i="7"/>
  <c r="I340" i="7"/>
  <c r="B339" i="7"/>
  <c r="H337" i="7"/>
  <c r="N335" i="7"/>
  <c r="G334" i="7"/>
  <c r="M332" i="7"/>
  <c r="F331" i="7"/>
  <c r="L329" i="7"/>
  <c r="E328" i="7"/>
  <c r="K326" i="7"/>
  <c r="J323" i="7"/>
  <c r="C322" i="7"/>
  <c r="I320" i="7"/>
  <c r="B319" i="7"/>
  <c r="H317" i="7"/>
  <c r="N315" i="7"/>
  <c r="G314" i="7"/>
  <c r="M312" i="7"/>
  <c r="F311" i="7"/>
  <c r="L309" i="7"/>
  <c r="E308" i="7"/>
  <c r="K306" i="7"/>
  <c r="J303" i="7"/>
  <c r="C302" i="7"/>
  <c r="M448" i="8"/>
  <c r="J102" i="8"/>
  <c r="H1234" i="7"/>
  <c r="B1182" i="7"/>
  <c r="E1140" i="7"/>
  <c r="L1104" i="7"/>
  <c r="K1075" i="7"/>
  <c r="J1050" i="7"/>
  <c r="G1029" i="7"/>
  <c r="C1007" i="7"/>
  <c r="H991" i="7"/>
  <c r="K976" i="7"/>
  <c r="B961" i="7"/>
  <c r="C947" i="7"/>
  <c r="M933" i="7"/>
  <c r="B922" i="7"/>
  <c r="G909" i="7"/>
  <c r="I899" i="7"/>
  <c r="I891" i="7"/>
  <c r="G883" i="7"/>
  <c r="H875" i="7"/>
  <c r="M867" i="7"/>
  <c r="J859" i="7"/>
  <c r="C852" i="7"/>
  <c r="E845" i="7"/>
  <c r="H838" i="7"/>
  <c r="M831" i="7"/>
  <c r="I825" i="7"/>
  <c r="L818" i="7"/>
  <c r="J812" i="7"/>
  <c r="M806" i="7"/>
  <c r="L800" i="7"/>
  <c r="B795" i="7"/>
  <c r="M789" i="7"/>
  <c r="L784" i="7"/>
  <c r="K779" i="7"/>
  <c r="J774" i="7"/>
  <c r="C770" i="7"/>
  <c r="J765" i="7"/>
  <c r="E761" i="7"/>
  <c r="B757" i="7"/>
  <c r="B753" i="7"/>
  <c r="L748" i="7"/>
  <c r="K744" i="7"/>
  <c r="K740" i="7"/>
  <c r="H736" i="7"/>
  <c r="G732" i="7"/>
  <c r="G728" i="7"/>
  <c r="H724" i="7"/>
  <c r="C721" i="7"/>
  <c r="F713" i="7"/>
  <c r="H709" i="7"/>
  <c r="B706" i="7"/>
  <c r="M702" i="7"/>
  <c r="E699" i="7"/>
  <c r="N695" i="7"/>
  <c r="I692" i="7"/>
  <c r="N688" i="7"/>
  <c r="I685" i="7"/>
  <c r="G682" i="7"/>
  <c r="J678" i="7"/>
  <c r="E675" i="7"/>
  <c r="C672" i="7"/>
  <c r="H668" i="7"/>
  <c r="L661" i="7"/>
  <c r="L654" i="7"/>
  <c r="J651" i="7"/>
  <c r="M647" i="7"/>
  <c r="H644" i="7"/>
  <c r="G641" i="7"/>
  <c r="E638" i="7"/>
  <c r="M631" i="7"/>
  <c r="N628" i="7"/>
  <c r="H625" i="7"/>
  <c r="J622" i="7"/>
  <c r="E619" i="7"/>
  <c r="G616" i="7"/>
  <c r="B613" i="7"/>
  <c r="N609" i="7"/>
  <c r="G604" i="7"/>
  <c r="J601" i="7"/>
  <c r="L598" i="7"/>
  <c r="E593" i="7"/>
  <c r="J590" i="7"/>
  <c r="K587" i="7"/>
  <c r="G585" i="7"/>
  <c r="H582" i="7"/>
  <c r="F580" i="7"/>
  <c r="K577" i="7"/>
  <c r="F575" i="7"/>
  <c r="B573" i="7"/>
  <c r="J570" i="7"/>
  <c r="F568" i="7"/>
  <c r="N565" i="7"/>
  <c r="J563" i="7"/>
  <c r="N558" i="7"/>
  <c r="F556" i="7"/>
  <c r="E554" i="7"/>
  <c r="J551" i="7"/>
  <c r="I549" i="7"/>
  <c r="N546" i="7"/>
  <c r="I544" i="7"/>
  <c r="E542" i="7"/>
  <c r="M539" i="7"/>
  <c r="I537" i="7"/>
  <c r="M532" i="7"/>
  <c r="G530" i="7"/>
  <c r="I525" i="7"/>
  <c r="H523" i="7"/>
  <c r="M520" i="7"/>
  <c r="L518" i="7"/>
  <c r="E516" i="7"/>
  <c r="E514" i="7"/>
  <c r="N511" i="7"/>
  <c r="L509" i="7"/>
  <c r="I507" i="7"/>
  <c r="F505" i="7"/>
  <c r="M500" i="7"/>
  <c r="M498" i="7"/>
  <c r="I496" i="7"/>
  <c r="G494" i="7"/>
  <c r="N489" i="7"/>
  <c r="L487" i="7"/>
  <c r="H485" i="7"/>
  <c r="H483" i="7"/>
  <c r="B479" i="7"/>
  <c r="L476" i="7"/>
  <c r="I474" i="7"/>
  <c r="J472" i="7"/>
  <c r="G470" i="7"/>
  <c r="G468" i="7"/>
  <c r="H466" i="7"/>
  <c r="E464" i="7"/>
  <c r="E462" i="7"/>
  <c r="F460" i="7"/>
  <c r="E456" i="7"/>
  <c r="H454" i="7"/>
  <c r="M452" i="7"/>
  <c r="E451" i="7"/>
  <c r="K449" i="7"/>
  <c r="J446" i="7"/>
  <c r="C445" i="7"/>
  <c r="I443" i="7"/>
  <c r="B442" i="7"/>
  <c r="H440" i="7"/>
  <c r="N438" i="7"/>
  <c r="G437" i="7"/>
  <c r="M435" i="7"/>
  <c r="F434" i="7"/>
  <c r="L432" i="7"/>
  <c r="E431" i="7"/>
  <c r="K429" i="7"/>
  <c r="J426" i="7"/>
  <c r="C425" i="7"/>
  <c r="I423" i="7"/>
  <c r="B422" i="7"/>
  <c r="H420" i="7"/>
  <c r="N418" i="7"/>
  <c r="G417" i="7"/>
  <c r="M415" i="7"/>
  <c r="F414" i="7"/>
  <c r="L412" i="7"/>
  <c r="E411" i="7"/>
  <c r="K409" i="7"/>
  <c r="J406" i="7"/>
  <c r="C405" i="7"/>
  <c r="I403" i="7"/>
  <c r="B402" i="7"/>
  <c r="H400" i="7"/>
  <c r="N398" i="7"/>
  <c r="G397" i="7"/>
  <c r="M395" i="7"/>
  <c r="F394" i="7"/>
  <c r="L392" i="7"/>
  <c r="E391" i="7"/>
  <c r="K389" i="7"/>
  <c r="J386" i="7"/>
  <c r="C385" i="7"/>
  <c r="I383" i="7"/>
  <c r="B382" i="7"/>
  <c r="H380" i="7"/>
  <c r="N378" i="7"/>
  <c r="G377" i="7"/>
  <c r="M375" i="7"/>
  <c r="F374" i="7"/>
  <c r="L372" i="7"/>
  <c r="E371" i="7"/>
  <c r="K369" i="7"/>
  <c r="J366" i="7"/>
  <c r="C365" i="7"/>
  <c r="I363" i="7"/>
  <c r="B362" i="7"/>
  <c r="H360" i="7"/>
  <c r="N358" i="7"/>
  <c r="G357" i="7"/>
  <c r="M355" i="7"/>
  <c r="F354" i="7"/>
  <c r="L352" i="7"/>
  <c r="E351" i="7"/>
  <c r="K349" i="7"/>
  <c r="J346" i="7"/>
  <c r="C345" i="7"/>
  <c r="I343" i="7"/>
  <c r="B342" i="7"/>
  <c r="H340" i="7"/>
  <c r="N338" i="7"/>
  <c r="G337" i="7"/>
  <c r="M335" i="7"/>
  <c r="F334" i="7"/>
  <c r="L332" i="7"/>
  <c r="E331" i="7"/>
  <c r="K329" i="7"/>
  <c r="J326" i="7"/>
  <c r="C362" i="8"/>
  <c r="C82" i="8"/>
  <c r="E1223" i="7"/>
  <c r="F1174" i="7"/>
  <c r="K1133" i="7"/>
  <c r="F1099" i="7"/>
  <c r="E1071" i="7"/>
  <c r="C1047" i="7"/>
  <c r="F1024" i="7"/>
  <c r="F1004" i="7"/>
  <c r="C989" i="7"/>
  <c r="F973" i="7"/>
  <c r="B959" i="7"/>
  <c r="M944" i="7"/>
  <c r="G932" i="7"/>
  <c r="G919" i="7"/>
  <c r="E908" i="7"/>
  <c r="N897" i="7"/>
  <c r="L889" i="7"/>
  <c r="E882" i="7"/>
  <c r="F874" i="7"/>
  <c r="C866" i="7"/>
  <c r="I858" i="7"/>
  <c r="B851" i="7"/>
  <c r="K843" i="7"/>
  <c r="J837" i="7"/>
  <c r="N830" i="7"/>
  <c r="F824" i="7"/>
  <c r="N817" i="7"/>
  <c r="I811" i="7"/>
  <c r="I805" i="7"/>
  <c r="N799" i="7"/>
  <c r="B794" i="7"/>
  <c r="N788" i="7"/>
  <c r="L783" i="7"/>
  <c r="K778" i="7"/>
  <c r="K773" i="7"/>
  <c r="F769" i="7"/>
  <c r="M764" i="7"/>
  <c r="J760" i="7"/>
  <c r="F756" i="7"/>
  <c r="E748" i="7"/>
  <c r="B744" i="7"/>
  <c r="M739" i="7"/>
  <c r="N735" i="7"/>
  <c r="K731" i="7"/>
  <c r="J727" i="7"/>
  <c r="N723" i="7"/>
  <c r="E720" i="7"/>
  <c r="M716" i="7"/>
  <c r="C713" i="7"/>
  <c r="C709" i="7"/>
  <c r="H705" i="7"/>
  <c r="I702" i="7"/>
  <c r="B699" i="7"/>
  <c r="E692" i="7"/>
  <c r="J688" i="7"/>
  <c r="M684" i="7"/>
  <c r="F678" i="7"/>
  <c r="K674" i="7"/>
  <c r="L671" i="7"/>
  <c r="E668" i="7"/>
  <c r="G664" i="7"/>
  <c r="H661" i="7"/>
  <c r="M657" i="7"/>
  <c r="C654" i="7"/>
  <c r="G651" i="7"/>
  <c r="I647" i="7"/>
  <c r="N643" i="7"/>
  <c r="C641" i="7"/>
  <c r="K637" i="7"/>
  <c r="M634" i="7"/>
  <c r="H631" i="7"/>
  <c r="F628" i="7"/>
  <c r="E625" i="7"/>
  <c r="C622" i="7"/>
  <c r="B619" i="7"/>
  <c r="J615" i="7"/>
  <c r="I612" i="7"/>
  <c r="H609" i="7"/>
  <c r="N606" i="7"/>
  <c r="M603" i="7"/>
  <c r="G601" i="7"/>
  <c r="F598" i="7"/>
  <c r="N595" i="7"/>
  <c r="M592" i="7"/>
  <c r="B590" i="7"/>
  <c r="H587" i="7"/>
  <c r="L584" i="7"/>
  <c r="E582" i="7"/>
  <c r="L579" i="7"/>
  <c r="H577" i="7"/>
  <c r="B575" i="7"/>
  <c r="L572" i="7"/>
  <c r="C568" i="7"/>
  <c r="H565" i="7"/>
  <c r="G563" i="7"/>
  <c r="L560" i="7"/>
  <c r="G558" i="7"/>
  <c r="C556" i="7"/>
  <c r="K553" i="7"/>
  <c r="G551" i="7"/>
  <c r="B549" i="7"/>
  <c r="K546" i="7"/>
  <c r="E544" i="7"/>
  <c r="B542" i="7"/>
  <c r="G539" i="7"/>
  <c r="F537" i="7"/>
  <c r="K534" i="7"/>
  <c r="J532" i="7"/>
  <c r="B530" i="7"/>
  <c r="J527" i="7"/>
  <c r="F525" i="7"/>
  <c r="N522" i="7"/>
  <c r="J520" i="7"/>
  <c r="E518" i="7"/>
  <c r="B516" i="7"/>
  <c r="L513" i="7"/>
  <c r="I511" i="7"/>
  <c r="I509" i="7"/>
  <c r="C507" i="7"/>
  <c r="C505" i="7"/>
  <c r="M502" i="7"/>
  <c r="J500" i="7"/>
  <c r="G498" i="7"/>
  <c r="K491" i="7"/>
  <c r="K489" i="7"/>
  <c r="H487" i="7"/>
  <c r="E485" i="7"/>
  <c r="B483" i="7"/>
  <c r="L480" i="7"/>
  <c r="L478" i="7"/>
  <c r="F476" i="7"/>
  <c r="F474" i="7"/>
  <c r="C470" i="7"/>
  <c r="B466" i="7"/>
  <c r="N463" i="7"/>
  <c r="B462" i="7"/>
  <c r="M459" i="7"/>
  <c r="M457" i="7"/>
  <c r="B456" i="7"/>
  <c r="E454" i="7"/>
  <c r="J452" i="7"/>
  <c r="B451" i="7"/>
  <c r="H449" i="7"/>
  <c r="N447" i="7"/>
  <c r="G446" i="7"/>
  <c r="M444" i="7"/>
  <c r="F443" i="7"/>
  <c r="L441" i="7"/>
  <c r="E440" i="7"/>
  <c r="K438" i="7"/>
  <c r="J435" i="7"/>
  <c r="C434" i="7"/>
  <c r="I432" i="7"/>
  <c r="B431" i="7"/>
  <c r="H429" i="7"/>
  <c r="N427" i="7"/>
  <c r="G426" i="7"/>
  <c r="M424" i="7"/>
  <c r="F423" i="7"/>
  <c r="L421" i="7"/>
  <c r="E420" i="7"/>
  <c r="K418" i="7"/>
  <c r="J415" i="7"/>
  <c r="C414" i="7"/>
  <c r="I412" i="7"/>
  <c r="B411" i="7"/>
  <c r="H409" i="7"/>
  <c r="N407" i="7"/>
  <c r="G406" i="7"/>
  <c r="M404" i="7"/>
  <c r="F403" i="7"/>
  <c r="L401" i="7"/>
  <c r="E400" i="7"/>
  <c r="K398" i="7"/>
  <c r="J395" i="7"/>
  <c r="C394" i="7"/>
  <c r="I392" i="7"/>
  <c r="B391" i="7"/>
  <c r="H389" i="7"/>
  <c r="N387" i="7"/>
  <c r="G386" i="7"/>
  <c r="M384" i="7"/>
  <c r="F383" i="7"/>
  <c r="L381" i="7"/>
  <c r="E380" i="7"/>
  <c r="K378" i="7"/>
  <c r="J375" i="7"/>
  <c r="C374" i="7"/>
  <c r="I372" i="7"/>
  <c r="B371" i="7"/>
  <c r="H369" i="7"/>
  <c r="N367" i="7"/>
  <c r="G366" i="7"/>
  <c r="M364" i="7"/>
  <c r="F363" i="7"/>
  <c r="L361" i="7"/>
  <c r="E360" i="7"/>
  <c r="K358" i="7"/>
  <c r="J355" i="7"/>
  <c r="C354" i="7"/>
  <c r="I352" i="7"/>
  <c r="B351" i="7"/>
  <c r="H349" i="7"/>
  <c r="N347" i="7"/>
  <c r="G346" i="7"/>
  <c r="M344" i="7"/>
  <c r="F343" i="7"/>
  <c r="L341" i="7"/>
  <c r="E340" i="7"/>
  <c r="K338" i="7"/>
  <c r="J335" i="7"/>
  <c r="C334" i="7"/>
  <c r="I332" i="7"/>
  <c r="B331" i="7"/>
  <c r="H329" i="7"/>
  <c r="N327" i="7"/>
  <c r="G326" i="7"/>
  <c r="M324" i="7"/>
  <c r="F323" i="7"/>
  <c r="L321" i="7"/>
  <c r="E320" i="7"/>
  <c r="K318" i="7"/>
  <c r="J315" i="7"/>
  <c r="C314" i="7"/>
  <c r="I312" i="7"/>
  <c r="B311" i="7"/>
  <c r="H309" i="7"/>
  <c r="N307" i="7"/>
  <c r="G306" i="7"/>
  <c r="M304" i="7"/>
  <c r="F303" i="7"/>
  <c r="N326" i="8"/>
  <c r="L68" i="8"/>
  <c r="N1217" i="7"/>
  <c r="E1171" i="7"/>
  <c r="H1130" i="7"/>
  <c r="C1097" i="7"/>
  <c r="H1067" i="7"/>
  <c r="J1044" i="7"/>
  <c r="M1022" i="7"/>
  <c r="C1003" i="7"/>
  <c r="L987" i="7"/>
  <c r="J972" i="7"/>
  <c r="C958" i="7"/>
  <c r="L943" i="7"/>
  <c r="M930" i="7"/>
  <c r="C919" i="7"/>
  <c r="K906" i="7"/>
  <c r="F897" i="7"/>
  <c r="I889" i="7"/>
  <c r="G881" i="7"/>
  <c r="I873" i="7"/>
  <c r="J865" i="7"/>
  <c r="L857" i="7"/>
  <c r="G850" i="7"/>
  <c r="H843" i="7"/>
  <c r="L836" i="7"/>
  <c r="F830" i="7"/>
  <c r="L823" i="7"/>
  <c r="C817" i="7"/>
  <c r="C811" i="7"/>
  <c r="F805" i="7"/>
  <c r="G799" i="7"/>
  <c r="K793" i="7"/>
  <c r="I788" i="7"/>
  <c r="G783" i="7"/>
  <c r="F778" i="7"/>
  <c r="F773" i="7"/>
  <c r="N768" i="7"/>
  <c r="I764" i="7"/>
  <c r="C756" i="7"/>
  <c r="M751" i="7"/>
  <c r="L747" i="7"/>
  <c r="L743" i="7"/>
  <c r="I739" i="7"/>
  <c r="H735" i="7"/>
  <c r="H731" i="7"/>
  <c r="G727" i="7"/>
  <c r="J723" i="7"/>
  <c r="I719" i="7"/>
  <c r="C716" i="7"/>
  <c r="L708" i="7"/>
  <c r="E705" i="7"/>
  <c r="J701" i="7"/>
  <c r="I698" i="7"/>
  <c r="M694" i="7"/>
  <c r="H691" i="7"/>
  <c r="G688" i="7"/>
  <c r="I684" i="7"/>
  <c r="C681" i="7"/>
  <c r="B678" i="7"/>
  <c r="H674" i="7"/>
  <c r="M670" i="7"/>
  <c r="L667" i="7"/>
  <c r="C664" i="7"/>
  <c r="K660" i="7"/>
  <c r="J657" i="7"/>
  <c r="L653" i="7"/>
  <c r="F650" i="7"/>
  <c r="E647" i="7"/>
  <c r="K643" i="7"/>
  <c r="I640" i="7"/>
  <c r="H637" i="7"/>
  <c r="C634" i="7"/>
  <c r="B631" i="7"/>
  <c r="L627" i="7"/>
  <c r="L624" i="7"/>
  <c r="F621" i="7"/>
  <c r="I618" i="7"/>
  <c r="C615" i="7"/>
  <c r="E612" i="7"/>
  <c r="C609" i="7"/>
  <c r="E606" i="7"/>
  <c r="J603" i="7"/>
  <c r="L600" i="7"/>
  <c r="B598" i="7"/>
  <c r="E595" i="7"/>
  <c r="H592" i="7"/>
  <c r="J589" i="7"/>
  <c r="F584" i="7"/>
  <c r="B582" i="7"/>
  <c r="F579" i="7"/>
  <c r="E577" i="7"/>
  <c r="J574" i="7"/>
  <c r="E572" i="7"/>
  <c r="N569" i="7"/>
  <c r="I567" i="7"/>
  <c r="E565" i="7"/>
  <c r="M562" i="7"/>
  <c r="I560" i="7"/>
  <c r="C558" i="7"/>
  <c r="M555" i="7"/>
  <c r="E553" i="7"/>
  <c r="I548" i="7"/>
  <c r="H546" i="7"/>
  <c r="M543" i="7"/>
  <c r="H541" i="7"/>
  <c r="L536" i="7"/>
  <c r="H534" i="7"/>
  <c r="C532" i="7"/>
  <c r="L529" i="7"/>
  <c r="F527" i="7"/>
  <c r="C525" i="7"/>
  <c r="H522" i="7"/>
  <c r="G520" i="7"/>
  <c r="L517" i="7"/>
  <c r="L515" i="7"/>
  <c r="H513" i="7"/>
  <c r="F511" i="7"/>
  <c r="C509" i="7"/>
  <c r="M506" i="7"/>
  <c r="K504" i="7"/>
  <c r="G502" i="7"/>
  <c r="G500" i="7"/>
  <c r="C498" i="7"/>
  <c r="N495" i="7"/>
  <c r="K493" i="7"/>
  <c r="H491" i="7"/>
  <c r="F489" i="7"/>
  <c r="B487" i="7"/>
  <c r="B485" i="7"/>
  <c r="K482" i="7"/>
  <c r="I480" i="7"/>
  <c r="F478" i="7"/>
  <c r="C476" i="7"/>
  <c r="N473" i="7"/>
  <c r="M471" i="7"/>
  <c r="M469" i="7"/>
  <c r="L467" i="7"/>
  <c r="K465" i="7"/>
  <c r="K463" i="7"/>
  <c r="J461" i="7"/>
  <c r="I459" i="7"/>
  <c r="J457" i="7"/>
  <c r="L455" i="7"/>
  <c r="B454" i="7"/>
  <c r="G452" i="7"/>
  <c r="L450" i="7"/>
  <c r="E449" i="7"/>
  <c r="K447" i="7"/>
  <c r="J444" i="7"/>
  <c r="C443" i="7"/>
  <c r="I441" i="7"/>
  <c r="B440" i="7"/>
  <c r="H438" i="7"/>
  <c r="N436" i="7"/>
  <c r="G435" i="7"/>
  <c r="M433" i="7"/>
  <c r="F432" i="7"/>
  <c r="L430" i="7"/>
  <c r="E429" i="7"/>
  <c r="K427" i="7"/>
  <c r="J424" i="7"/>
  <c r="C423" i="7"/>
  <c r="I421" i="7"/>
  <c r="B420" i="7"/>
  <c r="H418" i="7"/>
  <c r="N416" i="7"/>
  <c r="G415" i="7"/>
  <c r="M413" i="7"/>
  <c r="F412" i="7"/>
  <c r="L410" i="7"/>
  <c r="E409" i="7"/>
  <c r="K407" i="7"/>
  <c r="J404" i="7"/>
  <c r="C403" i="7"/>
  <c r="I401" i="7"/>
  <c r="B400" i="7"/>
  <c r="H398" i="7"/>
  <c r="N396" i="7"/>
  <c r="G395" i="7"/>
  <c r="M393" i="7"/>
  <c r="F392" i="7"/>
  <c r="L390" i="7"/>
  <c r="E389" i="7"/>
  <c r="K387" i="7"/>
  <c r="J384" i="7"/>
  <c r="C383" i="7"/>
  <c r="I381" i="7"/>
  <c r="B380" i="7"/>
  <c r="H378" i="7"/>
  <c r="N376" i="7"/>
  <c r="G375" i="7"/>
  <c r="M373" i="7"/>
  <c r="F372" i="7"/>
  <c r="L370" i="7"/>
  <c r="E369" i="7"/>
  <c r="K367" i="7"/>
  <c r="J364" i="7"/>
  <c r="C363" i="7"/>
  <c r="I361" i="7"/>
  <c r="B360" i="7"/>
  <c r="H358" i="7"/>
  <c r="N356" i="7"/>
  <c r="G355" i="7"/>
  <c r="M353" i="7"/>
  <c r="F352" i="7"/>
  <c r="L350" i="7"/>
  <c r="E349" i="7"/>
  <c r="K347" i="7"/>
  <c r="J344" i="7"/>
  <c r="C343" i="7"/>
  <c r="I341" i="7"/>
  <c r="B340" i="7"/>
  <c r="H338" i="7"/>
  <c r="N336" i="7"/>
  <c r="G335" i="7"/>
  <c r="M333" i="7"/>
  <c r="F332" i="7"/>
  <c r="L330" i="7"/>
  <c r="E329" i="7"/>
  <c r="K327" i="7"/>
  <c r="J324" i="7"/>
  <c r="C323" i="7"/>
  <c r="I321" i="7"/>
  <c r="B320" i="7"/>
  <c r="H318" i="7"/>
  <c r="N316" i="7"/>
  <c r="G315" i="7"/>
  <c r="M313" i="7"/>
  <c r="F312" i="7"/>
  <c r="L310" i="7"/>
  <c r="E309" i="7"/>
  <c r="K307" i="7"/>
  <c r="J304" i="7"/>
  <c r="C303" i="7"/>
  <c r="I301" i="7"/>
  <c r="D73" i="11"/>
  <c r="B238" i="8"/>
  <c r="L55" i="8"/>
  <c r="L1217" i="7"/>
  <c r="F1169" i="7"/>
  <c r="L1128" i="7"/>
  <c r="G1095" i="7"/>
  <c r="G1067" i="7"/>
  <c r="G1044" i="7"/>
  <c r="J1022" i="7"/>
  <c r="J1002" i="7"/>
  <c r="I987" i="7"/>
  <c r="I972" i="7"/>
  <c r="E957" i="7"/>
  <c r="J943" i="7"/>
  <c r="I930" i="7"/>
  <c r="B919" i="7"/>
  <c r="J906" i="7"/>
  <c r="B897" i="7"/>
  <c r="H889" i="7"/>
  <c r="F881" i="7"/>
  <c r="C873" i="7"/>
  <c r="I865" i="7"/>
  <c r="K857" i="7"/>
  <c r="B850" i="7"/>
  <c r="G843" i="7"/>
  <c r="K836" i="7"/>
  <c r="B830" i="7"/>
  <c r="K823" i="7"/>
  <c r="B817" i="7"/>
  <c r="L810" i="7"/>
  <c r="E805" i="7"/>
  <c r="F799" i="7"/>
  <c r="I793" i="7"/>
  <c r="G788" i="7"/>
  <c r="F783" i="7"/>
  <c r="E778" i="7"/>
  <c r="E773" i="7"/>
  <c r="L768" i="7"/>
  <c r="H764" i="7"/>
  <c r="C760" i="7"/>
  <c r="B756" i="7"/>
  <c r="L751" i="7"/>
  <c r="J747" i="7"/>
  <c r="K743" i="7"/>
  <c r="H739" i="7"/>
  <c r="F735" i="7"/>
  <c r="G731" i="7"/>
  <c r="E727" i="7"/>
  <c r="F723" i="7"/>
  <c r="H719" i="7"/>
  <c r="J715" i="7"/>
  <c r="C712" i="7"/>
  <c r="K708" i="7"/>
  <c r="F701" i="7"/>
  <c r="G698" i="7"/>
  <c r="L694" i="7"/>
  <c r="B691" i="7"/>
  <c r="F688" i="7"/>
  <c r="H684" i="7"/>
  <c r="M680" i="7"/>
  <c r="N677" i="7"/>
  <c r="G674" i="7"/>
  <c r="I670" i="7"/>
  <c r="J667" i="7"/>
  <c r="B664" i="7"/>
  <c r="E660" i="7"/>
  <c r="I657" i="7"/>
  <c r="K653" i="7"/>
  <c r="C650" i="7"/>
  <c r="J643" i="7"/>
  <c r="E640" i="7"/>
  <c r="N633" i="7"/>
  <c r="N630" i="7"/>
  <c r="H627" i="7"/>
  <c r="K624" i="7"/>
  <c r="E621" i="7"/>
  <c r="G618" i="7"/>
  <c r="N614" i="7"/>
  <c r="L611" i="7"/>
  <c r="B609" i="7"/>
  <c r="G603" i="7"/>
  <c r="K600" i="7"/>
  <c r="N597" i="7"/>
  <c r="C595" i="7"/>
  <c r="G592" i="7"/>
  <c r="G589" i="7"/>
  <c r="C587" i="7"/>
  <c r="N581" i="7"/>
  <c r="E579" i="7"/>
  <c r="M576" i="7"/>
  <c r="I574" i="7"/>
  <c r="M569" i="7"/>
  <c r="H567" i="7"/>
  <c r="K562" i="7"/>
  <c r="H560" i="7"/>
  <c r="M557" i="7"/>
  <c r="L555" i="7"/>
  <c r="C551" i="7"/>
  <c r="H548" i="7"/>
  <c r="C546" i="7"/>
  <c r="L543" i="7"/>
  <c r="G541" i="7"/>
  <c r="C539" i="7"/>
  <c r="K536" i="7"/>
  <c r="G534" i="7"/>
  <c r="N531" i="7"/>
  <c r="K529" i="7"/>
  <c r="C527" i="7"/>
  <c r="B525" i="7"/>
  <c r="G522" i="7"/>
  <c r="F520" i="7"/>
  <c r="K517" i="7"/>
  <c r="K515" i="7"/>
  <c r="E513" i="7"/>
  <c r="E511" i="7"/>
  <c r="B509" i="7"/>
  <c r="L506" i="7"/>
  <c r="I504" i="7"/>
  <c r="F502" i="7"/>
  <c r="F500" i="7"/>
  <c r="M497" i="7"/>
  <c r="M495" i="7"/>
  <c r="J493" i="7"/>
  <c r="G491" i="7"/>
  <c r="N486" i="7"/>
  <c r="N484" i="7"/>
  <c r="H482" i="7"/>
  <c r="H480" i="7"/>
  <c r="E478" i="7"/>
  <c r="B476" i="7"/>
  <c r="L473" i="7"/>
  <c r="K471" i="7"/>
  <c r="L469" i="7"/>
  <c r="J467" i="7"/>
  <c r="I465" i="7"/>
  <c r="J463" i="7"/>
  <c r="H461" i="7"/>
  <c r="G459" i="7"/>
  <c r="I457" i="7"/>
  <c r="K455" i="7"/>
  <c r="N453" i="7"/>
  <c r="F452" i="7"/>
  <c r="K450" i="7"/>
  <c r="J447" i="7"/>
  <c r="C446" i="7"/>
  <c r="I444" i="7"/>
  <c r="B443" i="7"/>
  <c r="H441" i="7"/>
  <c r="N439" i="7"/>
  <c r="G438" i="7"/>
  <c r="M436" i="7"/>
  <c r="F435" i="7"/>
  <c r="L433" i="7"/>
  <c r="E432" i="7"/>
  <c r="K430" i="7"/>
  <c r="J427" i="7"/>
  <c r="C426" i="7"/>
  <c r="I424" i="7"/>
  <c r="B423" i="7"/>
  <c r="H421" i="7"/>
  <c r="N419" i="7"/>
  <c r="G418" i="7"/>
  <c r="M416" i="7"/>
  <c r="F415" i="7"/>
  <c r="L413" i="7"/>
  <c r="E412" i="7"/>
  <c r="K410" i="7"/>
  <c r="J407" i="7"/>
  <c r="C406" i="7"/>
  <c r="I404" i="7"/>
  <c r="B403" i="7"/>
  <c r="H401" i="7"/>
  <c r="N399" i="7"/>
  <c r="G398" i="7"/>
  <c r="M396" i="7"/>
  <c r="F395" i="7"/>
  <c r="L393" i="7"/>
  <c r="E392" i="7"/>
  <c r="K390" i="7"/>
  <c r="J387" i="7"/>
  <c r="C386" i="7"/>
  <c r="I384" i="7"/>
  <c r="B383" i="7"/>
  <c r="H381" i="7"/>
  <c r="N379" i="7"/>
  <c r="G378" i="7"/>
  <c r="M376" i="7"/>
  <c r="F375" i="7"/>
  <c r="L373" i="7"/>
  <c r="E372" i="7"/>
  <c r="K370" i="7"/>
  <c r="J367" i="7"/>
  <c r="C366" i="7"/>
  <c r="I364" i="7"/>
  <c r="B363" i="7"/>
  <c r="H361" i="7"/>
  <c r="N359" i="7"/>
  <c r="G358" i="7"/>
  <c r="M356" i="7"/>
  <c r="F355" i="7"/>
  <c r="L353" i="7"/>
  <c r="E352" i="7"/>
  <c r="K350" i="7"/>
  <c r="J347" i="7"/>
  <c r="C346" i="7"/>
  <c r="I344" i="7"/>
  <c r="B343" i="7"/>
  <c r="H341" i="7"/>
  <c r="N339" i="7"/>
  <c r="G338" i="7"/>
  <c r="M336" i="7"/>
  <c r="F335" i="7"/>
  <c r="L333" i="7"/>
  <c r="E332" i="7"/>
  <c r="K330" i="7"/>
  <c r="J327" i="7"/>
  <c r="C326" i="7"/>
  <c r="I324" i="7"/>
  <c r="B323" i="7"/>
  <c r="H321" i="7"/>
  <c r="N319" i="7"/>
  <c r="G318" i="7"/>
  <c r="M316" i="7"/>
  <c r="F315" i="7"/>
  <c r="L313" i="7"/>
  <c r="E312" i="7"/>
  <c r="K310" i="7"/>
  <c r="J307" i="7"/>
  <c r="C306" i="7"/>
  <c r="I304" i="7"/>
  <c r="B303" i="7"/>
  <c r="H301" i="7"/>
  <c r="N299" i="7"/>
  <c r="G298" i="7"/>
  <c r="M296" i="7"/>
  <c r="F295" i="7"/>
  <c r="L293" i="7"/>
  <c r="E292" i="7"/>
  <c r="K290" i="7"/>
  <c r="C234" i="8"/>
  <c r="H54" i="8"/>
  <c r="K1208" i="7"/>
  <c r="M1162" i="7"/>
  <c r="F1125" i="7"/>
  <c r="I1090" i="7"/>
  <c r="F1063" i="7"/>
  <c r="E1041" i="7"/>
  <c r="L1018" i="7"/>
  <c r="F1000" i="7"/>
  <c r="H985" i="7"/>
  <c r="N969" i="7"/>
  <c r="K955" i="7"/>
  <c r="J941" i="7"/>
  <c r="F929" i="7"/>
  <c r="N916" i="7"/>
  <c r="B905" i="7"/>
  <c r="F896" i="7"/>
  <c r="B888" i="7"/>
  <c r="B880" i="7"/>
  <c r="J872" i="7"/>
  <c r="G864" i="7"/>
  <c r="H856" i="7"/>
  <c r="H849" i="7"/>
  <c r="E842" i="7"/>
  <c r="J835" i="7"/>
  <c r="I829" i="7"/>
  <c r="L822" i="7"/>
  <c r="E816" i="7"/>
  <c r="F810" i="7"/>
  <c r="F804" i="7"/>
  <c r="G798" i="7"/>
  <c r="N792" i="7"/>
  <c r="M787" i="7"/>
  <c r="L782" i="7"/>
  <c r="G777" i="7"/>
  <c r="I772" i="7"/>
  <c r="F768" i="7"/>
  <c r="M763" i="7"/>
  <c r="G759" i="7"/>
  <c r="E755" i="7"/>
  <c r="F751" i="7"/>
  <c r="C747" i="7"/>
  <c r="N742" i="7"/>
  <c r="B739" i="7"/>
  <c r="L734" i="7"/>
  <c r="J730" i="7"/>
  <c r="E723" i="7"/>
  <c r="G719" i="7"/>
  <c r="H715" i="7"/>
  <c r="M711" i="7"/>
  <c r="E708" i="7"/>
  <c r="M704" i="7"/>
  <c r="E701" i="7"/>
  <c r="M697" i="7"/>
  <c r="K694" i="7"/>
  <c r="N690" i="7"/>
  <c r="I687" i="7"/>
  <c r="G684" i="7"/>
  <c r="L680" i="7"/>
  <c r="H677" i="7"/>
  <c r="C674" i="7"/>
  <c r="H670" i="7"/>
  <c r="C667" i="7"/>
  <c r="N663" i="7"/>
  <c r="L656" i="7"/>
  <c r="J653" i="7"/>
  <c r="B650" i="7"/>
  <c r="K646" i="7"/>
  <c r="F643" i="7"/>
  <c r="C640" i="7"/>
  <c r="C637" i="7"/>
  <c r="J633" i="7"/>
  <c r="M630" i="7"/>
  <c r="G627" i="7"/>
  <c r="I624" i="7"/>
  <c r="C621" i="7"/>
  <c r="N617" i="7"/>
  <c r="M614" i="7"/>
  <c r="K611" i="7"/>
  <c r="N608" i="7"/>
  <c r="C606" i="7"/>
  <c r="F603" i="7"/>
  <c r="I600" i="7"/>
  <c r="M597" i="7"/>
  <c r="L594" i="7"/>
  <c r="F592" i="7"/>
  <c r="F589" i="7"/>
  <c r="B587" i="7"/>
  <c r="C584" i="7"/>
  <c r="I581" i="7"/>
  <c r="L576" i="7"/>
  <c r="H574" i="7"/>
  <c r="C572" i="7"/>
  <c r="L569" i="7"/>
  <c r="F567" i="7"/>
  <c r="C565" i="7"/>
  <c r="H562" i="7"/>
  <c r="G560" i="7"/>
  <c r="L557" i="7"/>
  <c r="K555" i="7"/>
  <c r="C553" i="7"/>
  <c r="K550" i="7"/>
  <c r="G548" i="7"/>
  <c r="B546" i="7"/>
  <c r="K543" i="7"/>
  <c r="F541" i="7"/>
  <c r="B539" i="7"/>
  <c r="I536" i="7"/>
  <c r="F534" i="7"/>
  <c r="K531" i="7"/>
  <c r="J529" i="7"/>
  <c r="B527" i="7"/>
  <c r="N524" i="7"/>
  <c r="F522" i="7"/>
  <c r="N519" i="7"/>
  <c r="J517" i="7"/>
  <c r="H515" i="7"/>
  <c r="M508" i="7"/>
  <c r="K506" i="7"/>
  <c r="H504" i="7"/>
  <c r="E502" i="7"/>
  <c r="C500" i="7"/>
  <c r="L497" i="7"/>
  <c r="L495" i="7"/>
  <c r="H493" i="7"/>
  <c r="F491" i="7"/>
  <c r="C489" i="7"/>
  <c r="M486" i="7"/>
  <c r="K484" i="7"/>
  <c r="G482" i="7"/>
  <c r="G480" i="7"/>
  <c r="C478" i="7"/>
  <c r="N475" i="7"/>
  <c r="K473" i="7"/>
  <c r="J471" i="7"/>
  <c r="K469" i="7"/>
  <c r="I467" i="7"/>
  <c r="H465" i="7"/>
  <c r="I463" i="7"/>
  <c r="G461" i="7"/>
  <c r="F459" i="7"/>
  <c r="H457" i="7"/>
  <c r="H455" i="7"/>
  <c r="M453" i="7"/>
  <c r="E452" i="7"/>
  <c r="J450" i="7"/>
  <c r="C449" i="7"/>
  <c r="I447" i="7"/>
  <c r="B446" i="7"/>
  <c r="H444" i="7"/>
  <c r="N442" i="7"/>
  <c r="G441" i="7"/>
  <c r="M439" i="7"/>
  <c r="F438" i="7"/>
  <c r="L436" i="7"/>
  <c r="E435" i="7"/>
  <c r="K433" i="7"/>
  <c r="J430" i="7"/>
  <c r="C429" i="7"/>
  <c r="I427" i="7"/>
  <c r="B426" i="7"/>
  <c r="H424" i="7"/>
  <c r="N422" i="7"/>
  <c r="G421" i="7"/>
  <c r="M419" i="7"/>
  <c r="F418" i="7"/>
  <c r="L416" i="7"/>
  <c r="E415" i="7"/>
  <c r="K413" i="7"/>
  <c r="J410" i="7"/>
  <c r="C409" i="7"/>
  <c r="I407" i="7"/>
  <c r="B406" i="7"/>
  <c r="H404" i="7"/>
  <c r="N402" i="7"/>
  <c r="G401" i="7"/>
  <c r="M399" i="7"/>
  <c r="F398" i="7"/>
  <c r="L396" i="7"/>
  <c r="E395" i="7"/>
  <c r="K393" i="7"/>
  <c r="J390" i="7"/>
  <c r="C389" i="7"/>
  <c r="I387" i="7"/>
  <c r="B386" i="7"/>
  <c r="H384" i="7"/>
  <c r="N382" i="7"/>
  <c r="G381" i="7"/>
  <c r="M379" i="7"/>
  <c r="F378" i="7"/>
  <c r="L376" i="7"/>
  <c r="E375" i="7"/>
  <c r="K373" i="7"/>
  <c r="J370" i="7"/>
  <c r="C369" i="7"/>
  <c r="I367" i="7"/>
  <c r="B366" i="7"/>
  <c r="H364" i="7"/>
  <c r="N362" i="7"/>
  <c r="G361" i="7"/>
  <c r="M359" i="7"/>
  <c r="F358" i="7"/>
  <c r="L356" i="7"/>
  <c r="E355" i="7"/>
  <c r="K353" i="7"/>
  <c r="J350" i="7"/>
  <c r="C349" i="7"/>
  <c r="I347" i="7"/>
  <c r="B346" i="7"/>
  <c r="H344" i="7"/>
  <c r="N342" i="7"/>
  <c r="G341" i="7"/>
  <c r="M339" i="7"/>
  <c r="F338" i="7"/>
  <c r="L336" i="7"/>
  <c r="E335" i="7"/>
  <c r="K333" i="7"/>
  <c r="J330" i="7"/>
  <c r="C329" i="7"/>
  <c r="I327" i="7"/>
  <c r="B326" i="7"/>
  <c r="H324" i="7"/>
  <c r="N322" i="7"/>
  <c r="G321" i="7"/>
  <c r="M319" i="7"/>
  <c r="F318" i="7"/>
  <c r="L316" i="7"/>
  <c r="E315" i="7"/>
  <c r="K313" i="7"/>
  <c r="J310" i="7"/>
  <c r="C309" i="7"/>
  <c r="I307" i="7"/>
  <c r="B306" i="7"/>
  <c r="H304" i="7"/>
  <c r="N302" i="7"/>
  <c r="G301" i="7"/>
  <c r="M299" i="7"/>
  <c r="F298" i="7"/>
  <c r="L296" i="7"/>
  <c r="E295" i="7"/>
  <c r="K293" i="7"/>
  <c r="J290" i="7"/>
  <c r="C289" i="7"/>
  <c r="I287" i="7"/>
  <c r="B286" i="7"/>
  <c r="H284" i="7"/>
  <c r="N282" i="7"/>
  <c r="G281" i="7"/>
  <c r="M279" i="7"/>
  <c r="F278" i="7"/>
  <c r="L276" i="7"/>
  <c r="E275" i="7"/>
  <c r="K273" i="7"/>
  <c r="J270" i="7"/>
  <c r="C269" i="7"/>
  <c r="I267" i="7"/>
  <c r="B266" i="7"/>
  <c r="H264" i="7"/>
  <c r="N262" i="7"/>
  <c r="G261" i="7"/>
  <c r="M259" i="7"/>
  <c r="F258" i="7"/>
  <c r="L256" i="7"/>
  <c r="E255" i="7"/>
  <c r="K253" i="7"/>
  <c r="J250" i="7"/>
  <c r="C249" i="7"/>
  <c r="M183" i="10"/>
  <c r="K50" i="8"/>
  <c r="M1207" i="7"/>
  <c r="G1160" i="7"/>
  <c r="L1122" i="7"/>
  <c r="F1090" i="7"/>
  <c r="E1063" i="7"/>
  <c r="C1041" i="7"/>
  <c r="K1018" i="7"/>
  <c r="B1000" i="7"/>
  <c r="B985" i="7"/>
  <c r="C969" i="7"/>
  <c r="I955" i="7"/>
  <c r="I941" i="7"/>
  <c r="I928" i="7"/>
  <c r="B916" i="7"/>
  <c r="N904" i="7"/>
  <c r="J895" i="7"/>
  <c r="M887" i="7"/>
  <c r="M879" i="7"/>
  <c r="M871" i="7"/>
  <c r="N863" i="7"/>
  <c r="G856" i="7"/>
  <c r="L848" i="7"/>
  <c r="B842" i="7"/>
  <c r="I835" i="7"/>
  <c r="M828" i="7"/>
  <c r="J822" i="7"/>
  <c r="C816" i="7"/>
  <c r="M809" i="7"/>
  <c r="B804" i="7"/>
  <c r="F798" i="7"/>
  <c r="M792" i="7"/>
  <c r="L787" i="7"/>
  <c r="G782" i="7"/>
  <c r="F777" i="7"/>
  <c r="H772" i="7"/>
  <c r="E768" i="7"/>
  <c r="L763" i="7"/>
  <c r="F759" i="7"/>
  <c r="B751" i="7"/>
  <c r="B747" i="7"/>
  <c r="M742" i="7"/>
  <c r="K738" i="7"/>
  <c r="K734" i="7"/>
  <c r="I730" i="7"/>
  <c r="K726" i="7"/>
  <c r="F719" i="7"/>
  <c r="F715" i="7"/>
  <c r="J711" i="7"/>
  <c r="N707" i="7"/>
  <c r="L704" i="7"/>
  <c r="C701" i="7"/>
  <c r="L697" i="7"/>
  <c r="J694" i="7"/>
  <c r="M690" i="7"/>
  <c r="H687" i="7"/>
  <c r="F684" i="7"/>
  <c r="K680" i="7"/>
  <c r="B674" i="7"/>
  <c r="F670" i="7"/>
  <c r="B667" i="7"/>
  <c r="M663" i="7"/>
  <c r="C660" i="7"/>
  <c r="K656" i="7"/>
  <c r="I653" i="7"/>
  <c r="N649" i="7"/>
  <c r="G646" i="7"/>
  <c r="E643" i="7"/>
  <c r="L639" i="7"/>
  <c r="B637" i="7"/>
  <c r="I633" i="7"/>
  <c r="K630" i="7"/>
  <c r="E627" i="7"/>
  <c r="C624" i="7"/>
  <c r="B621" i="7"/>
  <c r="M617" i="7"/>
  <c r="L614" i="7"/>
  <c r="J611" i="7"/>
  <c r="L608" i="7"/>
  <c r="N605" i="7"/>
  <c r="E603" i="7"/>
  <c r="L597" i="7"/>
  <c r="K594" i="7"/>
  <c r="E592" i="7"/>
  <c r="E589" i="7"/>
  <c r="I586" i="7"/>
  <c r="B584" i="7"/>
  <c r="H581" i="7"/>
  <c r="C579" i="7"/>
  <c r="K576" i="7"/>
  <c r="G574" i="7"/>
  <c r="N571" i="7"/>
  <c r="K569" i="7"/>
  <c r="C567" i="7"/>
  <c r="B565" i="7"/>
  <c r="G562" i="7"/>
  <c r="F560" i="7"/>
  <c r="K557" i="7"/>
  <c r="F555" i="7"/>
  <c r="B553" i="7"/>
  <c r="J550" i="7"/>
  <c r="F548" i="7"/>
  <c r="N545" i="7"/>
  <c r="J543" i="7"/>
  <c r="N538" i="7"/>
  <c r="F536" i="7"/>
  <c r="E534" i="7"/>
  <c r="J531" i="7"/>
  <c r="I529" i="7"/>
  <c r="N526" i="7"/>
  <c r="I524" i="7"/>
  <c r="E522" i="7"/>
  <c r="M519" i="7"/>
  <c r="I517" i="7"/>
  <c r="F515" i="7"/>
  <c r="C513" i="7"/>
  <c r="C511" i="7"/>
  <c r="J508" i="7"/>
  <c r="J506" i="7"/>
  <c r="G504" i="7"/>
  <c r="N499" i="7"/>
  <c r="K497" i="7"/>
  <c r="K495" i="7"/>
  <c r="E493" i="7"/>
  <c r="E491" i="7"/>
  <c r="B489" i="7"/>
  <c r="L486" i="7"/>
  <c r="I484" i="7"/>
  <c r="F482" i="7"/>
  <c r="F480" i="7"/>
  <c r="M477" i="7"/>
  <c r="M475" i="7"/>
  <c r="J473" i="7"/>
  <c r="I471" i="7"/>
  <c r="J469" i="7"/>
  <c r="H467" i="7"/>
  <c r="G465" i="7"/>
  <c r="H463" i="7"/>
  <c r="F461" i="7"/>
  <c r="E459" i="7"/>
  <c r="G457" i="7"/>
  <c r="G455" i="7"/>
  <c r="L453" i="7"/>
  <c r="I450" i="7"/>
  <c r="B449" i="7"/>
  <c r="H447" i="7"/>
  <c r="N445" i="7"/>
  <c r="G444" i="7"/>
  <c r="M442" i="7"/>
  <c r="F441" i="7"/>
  <c r="L439" i="7"/>
  <c r="E438" i="7"/>
  <c r="K436" i="7"/>
  <c r="J433" i="7"/>
  <c r="C432" i="7"/>
  <c r="I430" i="7"/>
  <c r="B429" i="7"/>
  <c r="H427" i="7"/>
  <c r="N425" i="7"/>
  <c r="I359" i="8"/>
  <c r="C1153" i="7"/>
  <c r="I1084" i="7"/>
  <c r="L1039" i="7"/>
  <c r="C1004" i="7"/>
  <c r="F975" i="7"/>
  <c r="H951" i="7"/>
  <c r="B926" i="7"/>
  <c r="I903" i="7"/>
  <c r="J889" i="7"/>
  <c r="G874" i="7"/>
  <c r="I861" i="7"/>
  <c r="E847" i="7"/>
  <c r="G834" i="7"/>
  <c r="B822" i="7"/>
  <c r="G811" i="7"/>
  <c r="F800" i="7"/>
  <c r="G791" i="7"/>
  <c r="G781" i="7"/>
  <c r="M771" i="7"/>
  <c r="K764" i="7"/>
  <c r="G756" i="7"/>
  <c r="N749" i="7"/>
  <c r="L741" i="7"/>
  <c r="L733" i="7"/>
  <c r="G726" i="7"/>
  <c r="C720" i="7"/>
  <c r="E713" i="7"/>
  <c r="C707" i="7"/>
  <c r="L700" i="7"/>
  <c r="H694" i="7"/>
  <c r="H688" i="7"/>
  <c r="E682" i="7"/>
  <c r="E676" i="7"/>
  <c r="N669" i="7"/>
  <c r="N662" i="7"/>
  <c r="H656" i="7"/>
  <c r="J650" i="7"/>
  <c r="G644" i="7"/>
  <c r="E639" i="7"/>
  <c r="C627" i="7"/>
  <c r="J621" i="7"/>
  <c r="N615" i="7"/>
  <c r="J610" i="7"/>
  <c r="F605" i="7"/>
  <c r="N599" i="7"/>
  <c r="J594" i="7"/>
  <c r="N589" i="7"/>
  <c r="F585" i="7"/>
  <c r="K580" i="7"/>
  <c r="J571" i="7"/>
  <c r="J567" i="7"/>
  <c r="H563" i="7"/>
  <c r="E559" i="7"/>
  <c r="K554" i="7"/>
  <c r="L545" i="7"/>
  <c r="N541" i="7"/>
  <c r="H537" i="7"/>
  <c r="E533" i="7"/>
  <c r="M528" i="7"/>
  <c r="G524" i="7"/>
  <c r="H520" i="7"/>
  <c r="C516" i="7"/>
  <c r="G512" i="7"/>
  <c r="E508" i="7"/>
  <c r="N503" i="7"/>
  <c r="M499" i="7"/>
  <c r="C496" i="7"/>
  <c r="C492" i="7"/>
  <c r="F488" i="7"/>
  <c r="B484" i="7"/>
  <c r="N479" i="7"/>
  <c r="E472" i="7"/>
  <c r="L468" i="7"/>
  <c r="B465" i="7"/>
  <c r="N460" i="7"/>
  <c r="F457" i="7"/>
  <c r="I448" i="7"/>
  <c r="J445" i="7"/>
  <c r="K442" i="7"/>
  <c r="C440" i="7"/>
  <c r="E437" i="7"/>
  <c r="J434" i="7"/>
  <c r="K431" i="7"/>
  <c r="L428" i="7"/>
  <c r="M425" i="7"/>
  <c r="G423" i="7"/>
  <c r="N420" i="7"/>
  <c r="K415" i="7"/>
  <c r="E413" i="7"/>
  <c r="H410" i="7"/>
  <c r="B408" i="7"/>
  <c r="I405" i="7"/>
  <c r="L402" i="7"/>
  <c r="F400" i="7"/>
  <c r="M397" i="7"/>
  <c r="C395" i="7"/>
  <c r="J392" i="7"/>
  <c r="G387" i="7"/>
  <c r="N384" i="7"/>
  <c r="H382" i="7"/>
  <c r="K379" i="7"/>
  <c r="E377" i="7"/>
  <c r="L374" i="7"/>
  <c r="B372" i="7"/>
  <c r="I369" i="7"/>
  <c r="C367" i="7"/>
  <c r="F364" i="7"/>
  <c r="M361" i="7"/>
  <c r="G359" i="7"/>
  <c r="J356" i="7"/>
  <c r="K351" i="7"/>
  <c r="N348" i="7"/>
  <c r="H346" i="7"/>
  <c r="B344" i="7"/>
  <c r="E341" i="7"/>
  <c r="L338" i="7"/>
  <c r="F336" i="7"/>
  <c r="I333" i="7"/>
  <c r="C331" i="7"/>
  <c r="J328" i="7"/>
  <c r="M325" i="7"/>
  <c r="I323" i="7"/>
  <c r="M318" i="7"/>
  <c r="H316" i="7"/>
  <c r="L311" i="7"/>
  <c r="G309" i="7"/>
  <c r="C307" i="7"/>
  <c r="K304" i="7"/>
  <c r="G302" i="7"/>
  <c r="E300" i="7"/>
  <c r="E298" i="7"/>
  <c r="G296" i="7"/>
  <c r="G294" i="7"/>
  <c r="I292" i="7"/>
  <c r="I290" i="7"/>
  <c r="K288" i="7"/>
  <c r="N286" i="7"/>
  <c r="C285" i="7"/>
  <c r="G283" i="7"/>
  <c r="K281" i="7"/>
  <c r="B280" i="7"/>
  <c r="E278" i="7"/>
  <c r="I276" i="7"/>
  <c r="M274" i="7"/>
  <c r="G271" i="7"/>
  <c r="K269" i="7"/>
  <c r="B268" i="7"/>
  <c r="F266" i="7"/>
  <c r="J264" i="7"/>
  <c r="M262" i="7"/>
  <c r="H259" i="7"/>
  <c r="L257" i="7"/>
  <c r="I254" i="7"/>
  <c r="N252" i="7"/>
  <c r="F251" i="7"/>
  <c r="K249" i="7"/>
  <c r="C248" i="7"/>
  <c r="I246" i="7"/>
  <c r="B245" i="7"/>
  <c r="H243" i="7"/>
  <c r="N241" i="7"/>
  <c r="G240" i="7"/>
  <c r="M238" i="7"/>
  <c r="F237" i="7"/>
  <c r="L235" i="7"/>
  <c r="E234" i="7"/>
  <c r="K232" i="7"/>
  <c r="J229" i="7"/>
  <c r="C228" i="7"/>
  <c r="I226" i="7"/>
  <c r="B225" i="7"/>
  <c r="H223" i="7"/>
  <c r="N221" i="7"/>
  <c r="G220" i="7"/>
  <c r="M218" i="7"/>
  <c r="F217" i="7"/>
  <c r="L215" i="7"/>
  <c r="E214" i="7"/>
  <c r="K212" i="7"/>
  <c r="J209" i="7"/>
  <c r="C208" i="7"/>
  <c r="I206" i="7"/>
  <c r="B205" i="7"/>
  <c r="H203" i="7"/>
  <c r="N201" i="7"/>
  <c r="G200" i="7"/>
  <c r="M198" i="7"/>
  <c r="F197" i="7"/>
  <c r="L195" i="7"/>
  <c r="E194" i="7"/>
  <c r="K192" i="7"/>
  <c r="J189" i="7"/>
  <c r="C188" i="7"/>
  <c r="I186" i="7"/>
  <c r="B185" i="7"/>
  <c r="H183" i="7"/>
  <c r="N181" i="7"/>
  <c r="G180" i="7"/>
  <c r="M178" i="7"/>
  <c r="F177" i="7"/>
  <c r="L175" i="7"/>
  <c r="E174" i="7"/>
  <c r="K172" i="7"/>
  <c r="J169" i="7"/>
  <c r="C168" i="7"/>
  <c r="I166" i="7"/>
  <c r="B165" i="7"/>
  <c r="H163" i="7"/>
  <c r="N161" i="7"/>
  <c r="G160" i="7"/>
  <c r="M158" i="7"/>
  <c r="F157" i="7"/>
  <c r="L155" i="7"/>
  <c r="E154" i="7"/>
  <c r="K152" i="7"/>
  <c r="J149" i="7"/>
  <c r="C148" i="7"/>
  <c r="I146" i="7"/>
  <c r="B145" i="7"/>
  <c r="H143" i="7"/>
  <c r="N141" i="7"/>
  <c r="G140" i="7"/>
  <c r="M138" i="7"/>
  <c r="F137" i="7"/>
  <c r="L135" i="7"/>
  <c r="E134" i="7"/>
  <c r="K132" i="7"/>
  <c r="J129" i="7"/>
  <c r="C128" i="7"/>
  <c r="I126" i="7"/>
  <c r="B125" i="7"/>
  <c r="H123" i="7"/>
  <c r="N121" i="7"/>
  <c r="G120" i="7"/>
  <c r="M118" i="7"/>
  <c r="F117" i="7"/>
  <c r="L115" i="7"/>
  <c r="E114" i="7"/>
  <c r="K112" i="7"/>
  <c r="J109" i="7"/>
  <c r="C108" i="7"/>
  <c r="I106" i="7"/>
  <c r="B105" i="7"/>
  <c r="H103" i="7"/>
  <c r="N101" i="7"/>
  <c r="G100" i="7"/>
  <c r="M98" i="7"/>
  <c r="F97" i="7"/>
  <c r="L95" i="7"/>
  <c r="E94" i="7"/>
  <c r="K92" i="7"/>
  <c r="J89" i="7"/>
  <c r="C88" i="7"/>
  <c r="I86" i="7"/>
  <c r="B85" i="7"/>
  <c r="H83" i="7"/>
  <c r="N81" i="7"/>
  <c r="G80" i="7"/>
  <c r="M78" i="7"/>
  <c r="F77" i="7"/>
  <c r="L75" i="7"/>
  <c r="E74" i="7"/>
  <c r="K72" i="7"/>
  <c r="J69" i="7"/>
  <c r="C68" i="7"/>
  <c r="I66" i="7"/>
  <c r="B65" i="7"/>
  <c r="H63" i="7"/>
  <c r="N61" i="7"/>
  <c r="G60" i="7"/>
  <c r="M58" i="7"/>
  <c r="F57" i="7"/>
  <c r="L55" i="7"/>
  <c r="E54" i="7"/>
  <c r="K52" i="7"/>
  <c r="K358" i="8"/>
  <c r="C1226" i="7"/>
  <c r="J1148" i="7"/>
  <c r="J1083" i="7"/>
  <c r="J1036" i="7"/>
  <c r="E1003" i="7"/>
  <c r="H973" i="7"/>
  <c r="N950" i="7"/>
  <c r="N925" i="7"/>
  <c r="B903" i="7"/>
  <c r="F887" i="7"/>
  <c r="M873" i="7"/>
  <c r="M858" i="7"/>
  <c r="C847" i="7"/>
  <c r="M833" i="7"/>
  <c r="L821" i="7"/>
  <c r="F811" i="7"/>
  <c r="B800" i="7"/>
  <c r="F791" i="7"/>
  <c r="F781" i="7"/>
  <c r="J771" i="7"/>
  <c r="J763" i="7"/>
  <c r="E756" i="7"/>
  <c r="I748" i="7"/>
  <c r="K741" i="7"/>
  <c r="K733" i="7"/>
  <c r="E726" i="7"/>
  <c r="L719" i="7"/>
  <c r="B707" i="7"/>
  <c r="K700" i="7"/>
  <c r="K693" i="7"/>
  <c r="E687" i="7"/>
  <c r="G681" i="7"/>
  <c r="M669" i="7"/>
  <c r="M662" i="7"/>
  <c r="E656" i="7"/>
  <c r="I650" i="7"/>
  <c r="C633" i="7"/>
  <c r="B627" i="7"/>
  <c r="N620" i="7"/>
  <c r="H615" i="7"/>
  <c r="M609" i="7"/>
  <c r="E605" i="7"/>
  <c r="M599" i="7"/>
  <c r="I594" i="7"/>
  <c r="M589" i="7"/>
  <c r="M584" i="7"/>
  <c r="J580" i="7"/>
  <c r="C576" i="7"/>
  <c r="I571" i="7"/>
  <c r="B567" i="7"/>
  <c r="B563" i="7"/>
  <c r="M558" i="7"/>
  <c r="J554" i="7"/>
  <c r="C550" i="7"/>
  <c r="I545" i="7"/>
  <c r="M541" i="7"/>
  <c r="G537" i="7"/>
  <c r="J528" i="7"/>
  <c r="E524" i="7"/>
  <c r="L519" i="7"/>
  <c r="N515" i="7"/>
  <c r="K511" i="7"/>
  <c r="M503" i="7"/>
  <c r="L499" i="7"/>
  <c r="B496" i="7"/>
  <c r="N491" i="7"/>
  <c r="E488" i="7"/>
  <c r="N483" i="7"/>
  <c r="M479" i="7"/>
  <c r="L475" i="7"/>
  <c r="C472" i="7"/>
  <c r="F468" i="7"/>
  <c r="N464" i="7"/>
  <c r="M460" i="7"/>
  <c r="E457" i="7"/>
  <c r="C454" i="7"/>
  <c r="C451" i="7"/>
  <c r="H448" i="7"/>
  <c r="I445" i="7"/>
  <c r="J442" i="7"/>
  <c r="K439" i="7"/>
  <c r="C437" i="7"/>
  <c r="E434" i="7"/>
  <c r="J431" i="7"/>
  <c r="K428" i="7"/>
  <c r="L425" i="7"/>
  <c r="E423" i="7"/>
  <c r="M420" i="7"/>
  <c r="C418" i="7"/>
  <c r="I415" i="7"/>
  <c r="G410" i="7"/>
  <c r="M407" i="7"/>
  <c r="H405" i="7"/>
  <c r="K402" i="7"/>
  <c r="L397" i="7"/>
  <c r="B395" i="7"/>
  <c r="H392" i="7"/>
  <c r="C390" i="7"/>
  <c r="F387" i="7"/>
  <c r="L384" i="7"/>
  <c r="G382" i="7"/>
  <c r="J379" i="7"/>
  <c r="C377" i="7"/>
  <c r="K374" i="7"/>
  <c r="N371" i="7"/>
  <c r="G369" i="7"/>
  <c r="B367" i="7"/>
  <c r="E364" i="7"/>
  <c r="K361" i="7"/>
  <c r="F359" i="7"/>
  <c r="I356" i="7"/>
  <c r="B354" i="7"/>
  <c r="J351" i="7"/>
  <c r="M348" i="7"/>
  <c r="F346" i="7"/>
  <c r="N343" i="7"/>
  <c r="J338" i="7"/>
  <c r="E336" i="7"/>
  <c r="H333" i="7"/>
  <c r="N330" i="7"/>
  <c r="I328" i="7"/>
  <c r="L325" i="7"/>
  <c r="H323" i="7"/>
  <c r="C321" i="7"/>
  <c r="L318" i="7"/>
  <c r="G316" i="7"/>
  <c r="B314" i="7"/>
  <c r="K311" i="7"/>
  <c r="F309" i="7"/>
  <c r="B307" i="7"/>
  <c r="G304" i="7"/>
  <c r="F302" i="7"/>
  <c r="F296" i="7"/>
  <c r="F294" i="7"/>
  <c r="H292" i="7"/>
  <c r="H290" i="7"/>
  <c r="J288" i="7"/>
  <c r="K286" i="7"/>
  <c r="B285" i="7"/>
  <c r="F283" i="7"/>
  <c r="J281" i="7"/>
  <c r="N279" i="7"/>
  <c r="H276" i="7"/>
  <c r="L274" i="7"/>
  <c r="C273" i="7"/>
  <c r="F271" i="7"/>
  <c r="J269" i="7"/>
  <c r="N267" i="7"/>
  <c r="E266" i="7"/>
  <c r="I264" i="7"/>
  <c r="L262" i="7"/>
  <c r="C261" i="7"/>
  <c r="G259" i="7"/>
  <c r="K257" i="7"/>
  <c r="C256" i="7"/>
  <c r="H254" i="7"/>
  <c r="M252" i="7"/>
  <c r="E251" i="7"/>
  <c r="J249" i="7"/>
  <c r="B248" i="7"/>
  <c r="H246" i="7"/>
  <c r="N244" i="7"/>
  <c r="G243" i="7"/>
  <c r="M241" i="7"/>
  <c r="F240" i="7"/>
  <c r="L238" i="7"/>
  <c r="E237" i="7"/>
  <c r="K235" i="7"/>
  <c r="J232" i="7"/>
  <c r="C231" i="7"/>
  <c r="I229" i="7"/>
  <c r="B228" i="7"/>
  <c r="H226" i="7"/>
  <c r="N224" i="7"/>
  <c r="G223" i="7"/>
  <c r="M221" i="7"/>
  <c r="F220" i="7"/>
  <c r="L218" i="7"/>
  <c r="E217" i="7"/>
  <c r="K215" i="7"/>
  <c r="J212" i="7"/>
  <c r="C211" i="7"/>
  <c r="I209" i="7"/>
  <c r="B208" i="7"/>
  <c r="H206" i="7"/>
  <c r="N204" i="7"/>
  <c r="G203" i="7"/>
  <c r="M201" i="7"/>
  <c r="F200" i="7"/>
  <c r="L198" i="7"/>
  <c r="E197" i="7"/>
  <c r="K195" i="7"/>
  <c r="J192" i="7"/>
  <c r="C191" i="7"/>
  <c r="I189" i="7"/>
  <c r="B188" i="7"/>
  <c r="H186" i="7"/>
  <c r="N184" i="7"/>
  <c r="G183" i="7"/>
  <c r="M181" i="7"/>
  <c r="F180" i="7"/>
  <c r="L178" i="7"/>
  <c r="E177" i="7"/>
  <c r="K175" i="7"/>
  <c r="J172" i="7"/>
  <c r="C171" i="7"/>
  <c r="I169" i="7"/>
  <c r="I220" i="8"/>
  <c r="K1223" i="7"/>
  <c r="F1148" i="7"/>
  <c r="I1083" i="7"/>
  <c r="G1036" i="7"/>
  <c r="H998" i="7"/>
  <c r="E973" i="7"/>
  <c r="N945" i="7"/>
  <c r="M925" i="7"/>
  <c r="K902" i="7"/>
  <c r="B887" i="7"/>
  <c r="L873" i="7"/>
  <c r="J858" i="7"/>
  <c r="K846" i="7"/>
  <c r="L833" i="7"/>
  <c r="E821" i="7"/>
  <c r="J809" i="7"/>
  <c r="M799" i="7"/>
  <c r="J789" i="7"/>
  <c r="E781" i="7"/>
  <c r="I771" i="7"/>
  <c r="F748" i="7"/>
  <c r="J741" i="7"/>
  <c r="J733" i="7"/>
  <c r="N725" i="7"/>
  <c r="E719" i="7"/>
  <c r="B713" i="7"/>
  <c r="N705" i="7"/>
  <c r="J700" i="7"/>
  <c r="J693" i="7"/>
  <c r="B687" i="7"/>
  <c r="F681" i="7"/>
  <c r="N674" i="7"/>
  <c r="C669" i="7"/>
  <c r="J662" i="7"/>
  <c r="M649" i="7"/>
  <c r="M643" i="7"/>
  <c r="B638" i="7"/>
  <c r="B633" i="7"/>
  <c r="N626" i="7"/>
  <c r="M620" i="7"/>
  <c r="L609" i="7"/>
  <c r="L599" i="7"/>
  <c r="H594" i="7"/>
  <c r="K584" i="7"/>
  <c r="N579" i="7"/>
  <c r="B576" i="7"/>
  <c r="H571" i="7"/>
  <c r="N566" i="7"/>
  <c r="N562" i="7"/>
  <c r="L558" i="7"/>
  <c r="I554" i="7"/>
  <c r="B550" i="7"/>
  <c r="H545" i="7"/>
  <c r="N540" i="7"/>
  <c r="E537" i="7"/>
  <c r="L532" i="7"/>
  <c r="I528" i="7"/>
  <c r="B524" i="7"/>
  <c r="J519" i="7"/>
  <c r="M515" i="7"/>
  <c r="J511" i="7"/>
  <c r="C508" i="7"/>
  <c r="L503" i="7"/>
  <c r="J499" i="7"/>
  <c r="H495" i="7"/>
  <c r="J491" i="7"/>
  <c r="J487" i="7"/>
  <c r="M483" i="7"/>
  <c r="L479" i="7"/>
  <c r="K475" i="7"/>
  <c r="N471" i="7"/>
  <c r="E468" i="7"/>
  <c r="K464" i="7"/>
  <c r="L460" i="7"/>
  <c r="B457" i="7"/>
  <c r="K453" i="7"/>
  <c r="N450" i="7"/>
  <c r="C448" i="7"/>
  <c r="H445" i="7"/>
  <c r="I442" i="7"/>
  <c r="J439" i="7"/>
  <c r="B437" i="7"/>
  <c r="I431" i="7"/>
  <c r="J428" i="7"/>
  <c r="K425" i="7"/>
  <c r="L420" i="7"/>
  <c r="B418" i="7"/>
  <c r="H415" i="7"/>
  <c r="C413" i="7"/>
  <c r="F410" i="7"/>
  <c r="L407" i="7"/>
  <c r="G405" i="7"/>
  <c r="J402" i="7"/>
  <c r="C400" i="7"/>
  <c r="K397" i="7"/>
  <c r="N394" i="7"/>
  <c r="G392" i="7"/>
  <c r="B390" i="7"/>
  <c r="E387" i="7"/>
  <c r="K384" i="7"/>
  <c r="F382" i="7"/>
  <c r="I379" i="7"/>
  <c r="B377" i="7"/>
  <c r="J374" i="7"/>
  <c r="M371" i="7"/>
  <c r="F369" i="7"/>
  <c r="N366" i="7"/>
  <c r="J361" i="7"/>
  <c r="E359" i="7"/>
  <c r="H356" i="7"/>
  <c r="N353" i="7"/>
  <c r="I351" i="7"/>
  <c r="L348" i="7"/>
  <c r="E346" i="7"/>
  <c r="M343" i="7"/>
  <c r="C341" i="7"/>
  <c r="I338" i="7"/>
  <c r="G333" i="7"/>
  <c r="M330" i="7"/>
  <c r="H328" i="7"/>
  <c r="K325" i="7"/>
  <c r="G323" i="7"/>
  <c r="B321" i="7"/>
  <c r="J318" i="7"/>
  <c r="F316" i="7"/>
  <c r="N313" i="7"/>
  <c r="J311" i="7"/>
  <c r="B309" i="7"/>
  <c r="N306" i="7"/>
  <c r="F304" i="7"/>
  <c r="B302" i="7"/>
  <c r="C300" i="7"/>
  <c r="C298" i="7"/>
  <c r="E296" i="7"/>
  <c r="E294" i="7"/>
  <c r="G292" i="7"/>
  <c r="G290" i="7"/>
  <c r="I288" i="7"/>
  <c r="J286" i="7"/>
  <c r="N284" i="7"/>
  <c r="E283" i="7"/>
  <c r="I281" i="7"/>
  <c r="L279" i="7"/>
  <c r="C278" i="7"/>
  <c r="G276" i="7"/>
  <c r="K274" i="7"/>
  <c r="N272" i="7"/>
  <c r="E271" i="7"/>
  <c r="I269" i="7"/>
  <c r="M267" i="7"/>
  <c r="G264" i="7"/>
  <c r="K262" i="7"/>
  <c r="B261" i="7"/>
  <c r="F259" i="7"/>
  <c r="J257" i="7"/>
  <c r="B256" i="7"/>
  <c r="G254" i="7"/>
  <c r="L252" i="7"/>
  <c r="I249" i="7"/>
  <c r="N247" i="7"/>
  <c r="G246" i="7"/>
  <c r="M244" i="7"/>
  <c r="F243" i="7"/>
  <c r="L241" i="7"/>
  <c r="E240" i="7"/>
  <c r="K238" i="7"/>
  <c r="J235" i="7"/>
  <c r="C234" i="7"/>
  <c r="I232" i="7"/>
  <c r="B231" i="7"/>
  <c r="H229" i="7"/>
  <c r="N227" i="7"/>
  <c r="G226" i="7"/>
  <c r="M224" i="7"/>
  <c r="F223" i="7"/>
  <c r="L221" i="7"/>
  <c r="E220" i="7"/>
  <c r="K218" i="7"/>
  <c r="J215" i="7"/>
  <c r="C214" i="7"/>
  <c r="I212" i="7"/>
  <c r="B211" i="7"/>
  <c r="H209" i="7"/>
  <c r="N207" i="7"/>
  <c r="G206" i="7"/>
  <c r="M204" i="7"/>
  <c r="F203" i="7"/>
  <c r="L201" i="7"/>
  <c r="E200" i="7"/>
  <c r="K198" i="7"/>
  <c r="J195" i="7"/>
  <c r="C194" i="7"/>
  <c r="I192" i="7"/>
  <c r="B191" i="7"/>
  <c r="H189" i="7"/>
  <c r="N187" i="7"/>
  <c r="G186" i="7"/>
  <c r="M184" i="7"/>
  <c r="F183" i="7"/>
  <c r="L181" i="7"/>
  <c r="E180" i="7"/>
  <c r="K178" i="7"/>
  <c r="J175" i="7"/>
  <c r="C174" i="7"/>
  <c r="I172" i="7"/>
  <c r="B171" i="7"/>
  <c r="H169" i="7"/>
  <c r="N167" i="7"/>
  <c r="G166" i="7"/>
  <c r="M164" i="7"/>
  <c r="F163" i="7"/>
  <c r="L161" i="7"/>
  <c r="E160" i="7"/>
  <c r="K158" i="7"/>
  <c r="J155" i="7"/>
  <c r="C154" i="7"/>
  <c r="I152" i="7"/>
  <c r="B151" i="7"/>
  <c r="H149" i="7"/>
  <c r="N147" i="7"/>
  <c r="G146" i="7"/>
  <c r="M144" i="7"/>
  <c r="F143" i="7"/>
  <c r="L141" i="7"/>
  <c r="E140" i="7"/>
  <c r="K138" i="7"/>
  <c r="J135" i="7"/>
  <c r="I186" i="8"/>
  <c r="N1222" i="7"/>
  <c r="C1137" i="7"/>
  <c r="E1082" i="7"/>
  <c r="F1036" i="7"/>
  <c r="B998" i="7"/>
  <c r="L972" i="7"/>
  <c r="B945" i="7"/>
  <c r="M924" i="7"/>
  <c r="E902" i="7"/>
  <c r="E886" i="7"/>
  <c r="H871" i="7"/>
  <c r="G858" i="7"/>
  <c r="J844" i="7"/>
  <c r="K833" i="7"/>
  <c r="C821" i="7"/>
  <c r="B809" i="7"/>
  <c r="L799" i="7"/>
  <c r="B789" i="7"/>
  <c r="C781" i="7"/>
  <c r="H771" i="7"/>
  <c r="L762" i="7"/>
  <c r="N754" i="7"/>
  <c r="N747" i="7"/>
  <c r="E740" i="7"/>
  <c r="I733" i="7"/>
  <c r="K725" i="7"/>
  <c r="N712" i="7"/>
  <c r="K705" i="7"/>
  <c r="M699" i="7"/>
  <c r="G693" i="7"/>
  <c r="N686" i="7"/>
  <c r="J680" i="7"/>
  <c r="J674" i="7"/>
  <c r="G668" i="7"/>
  <c r="G662" i="7"/>
  <c r="C656" i="7"/>
  <c r="L649" i="7"/>
  <c r="L643" i="7"/>
  <c r="L637" i="7"/>
  <c r="N632" i="7"/>
  <c r="M626" i="7"/>
  <c r="L620" i="7"/>
  <c r="K614" i="7"/>
  <c r="E609" i="7"/>
  <c r="F604" i="7"/>
  <c r="K599" i="7"/>
  <c r="G594" i="7"/>
  <c r="C589" i="7"/>
  <c r="I584" i="7"/>
  <c r="M579" i="7"/>
  <c r="N575" i="7"/>
  <c r="G571" i="7"/>
  <c r="M566" i="7"/>
  <c r="F562" i="7"/>
  <c r="F558" i="7"/>
  <c r="N549" i="7"/>
  <c r="G545" i="7"/>
  <c r="M540" i="7"/>
  <c r="M536" i="7"/>
  <c r="K532" i="7"/>
  <c r="H528" i="7"/>
  <c r="N523" i="7"/>
  <c r="G519" i="7"/>
  <c r="E515" i="7"/>
  <c r="H511" i="7"/>
  <c r="H507" i="7"/>
  <c r="K503" i="7"/>
  <c r="G499" i="7"/>
  <c r="F495" i="7"/>
  <c r="I491" i="7"/>
  <c r="I487" i="7"/>
  <c r="L483" i="7"/>
  <c r="J479" i="7"/>
  <c r="H475" i="7"/>
  <c r="H471" i="7"/>
  <c r="C468" i="7"/>
  <c r="K460" i="7"/>
  <c r="M456" i="7"/>
  <c r="J453" i="7"/>
  <c r="M450" i="7"/>
  <c r="B448" i="7"/>
  <c r="G445" i="7"/>
  <c r="H442" i="7"/>
  <c r="I439" i="7"/>
  <c r="J436" i="7"/>
  <c r="B434" i="7"/>
  <c r="I428" i="7"/>
  <c r="J425" i="7"/>
  <c r="M422" i="7"/>
  <c r="G420" i="7"/>
  <c r="N417" i="7"/>
  <c r="K412" i="7"/>
  <c r="E410" i="7"/>
  <c r="H407" i="7"/>
  <c r="B405" i="7"/>
  <c r="I402" i="7"/>
  <c r="L399" i="7"/>
  <c r="F397" i="7"/>
  <c r="M394" i="7"/>
  <c r="C392" i="7"/>
  <c r="J389" i="7"/>
  <c r="G384" i="7"/>
  <c r="N381" i="7"/>
  <c r="H379" i="7"/>
  <c r="K376" i="7"/>
  <c r="E374" i="7"/>
  <c r="L371" i="7"/>
  <c r="B369" i="7"/>
  <c r="I366" i="7"/>
  <c r="C364" i="7"/>
  <c r="F361" i="7"/>
  <c r="M358" i="7"/>
  <c r="G356" i="7"/>
  <c r="J353" i="7"/>
  <c r="K348" i="7"/>
  <c r="N345" i="7"/>
  <c r="H343" i="7"/>
  <c r="B341" i="7"/>
  <c r="E338" i="7"/>
  <c r="L335" i="7"/>
  <c r="F333" i="7"/>
  <c r="I330" i="7"/>
  <c r="C328" i="7"/>
  <c r="J325" i="7"/>
  <c r="E323" i="7"/>
  <c r="N320" i="7"/>
  <c r="I318" i="7"/>
  <c r="E316" i="7"/>
  <c r="J313" i="7"/>
  <c r="I311" i="7"/>
  <c r="N308" i="7"/>
  <c r="J306" i="7"/>
  <c r="E304" i="7"/>
  <c r="N301" i="7"/>
  <c r="B300" i="7"/>
  <c r="B298" i="7"/>
  <c r="F292" i="7"/>
  <c r="F290" i="7"/>
  <c r="H288" i="7"/>
  <c r="I286" i="7"/>
  <c r="M284" i="7"/>
  <c r="H281" i="7"/>
  <c r="K279" i="7"/>
  <c r="B278" i="7"/>
  <c r="F276" i="7"/>
  <c r="J274" i="7"/>
  <c r="M272" i="7"/>
  <c r="H269" i="7"/>
  <c r="L267" i="7"/>
  <c r="C266" i="7"/>
  <c r="F264" i="7"/>
  <c r="J262" i="7"/>
  <c r="N260" i="7"/>
  <c r="E259" i="7"/>
  <c r="I257" i="7"/>
  <c r="N255" i="7"/>
  <c r="F254" i="7"/>
  <c r="K252" i="7"/>
  <c r="C251" i="7"/>
  <c r="H249" i="7"/>
  <c r="M247" i="7"/>
  <c r="F246" i="7"/>
  <c r="L244" i="7"/>
  <c r="E243" i="7"/>
  <c r="K241" i="7"/>
  <c r="J238" i="7"/>
  <c r="C237" i="7"/>
  <c r="I235" i="7"/>
  <c r="B234" i="7"/>
  <c r="H232" i="7"/>
  <c r="N230" i="7"/>
  <c r="G229" i="7"/>
  <c r="M227" i="7"/>
  <c r="F226" i="7"/>
  <c r="L224" i="7"/>
  <c r="E223" i="7"/>
  <c r="K221" i="7"/>
  <c r="J218" i="7"/>
  <c r="C217" i="7"/>
  <c r="I215" i="7"/>
  <c r="B214" i="7"/>
  <c r="H212" i="7"/>
  <c r="N210" i="7"/>
  <c r="G209" i="7"/>
  <c r="M207" i="7"/>
  <c r="F206" i="7"/>
  <c r="L204" i="7"/>
  <c r="E203" i="7"/>
  <c r="K201" i="7"/>
  <c r="J198" i="7"/>
  <c r="C197" i="7"/>
  <c r="I195" i="7"/>
  <c r="B194" i="7"/>
  <c r="H192" i="7"/>
  <c r="N190" i="7"/>
  <c r="G189" i="7"/>
  <c r="M187" i="7"/>
  <c r="F186" i="7"/>
  <c r="L184" i="7"/>
  <c r="E183" i="7"/>
  <c r="K181" i="7"/>
  <c r="J178" i="7"/>
  <c r="C177" i="7"/>
  <c r="I175" i="7"/>
  <c r="B174" i="7"/>
  <c r="H172" i="7"/>
  <c r="N170" i="7"/>
  <c r="G169" i="7"/>
  <c r="M167" i="7"/>
  <c r="F166" i="7"/>
  <c r="L164" i="7"/>
  <c r="E163" i="7"/>
  <c r="K161" i="7"/>
  <c r="J158" i="7"/>
  <c r="C157" i="7"/>
  <c r="I155" i="7"/>
  <c r="B154" i="7"/>
  <c r="H152" i="7"/>
  <c r="N150" i="7"/>
  <c r="G149" i="7"/>
  <c r="M147" i="7"/>
  <c r="F146" i="7"/>
  <c r="L144" i="7"/>
  <c r="E143" i="7"/>
  <c r="K141" i="7"/>
  <c r="J138" i="7"/>
  <c r="C137" i="7"/>
  <c r="I135" i="7"/>
  <c r="B134" i="7"/>
  <c r="H132" i="7"/>
  <c r="N130" i="7"/>
  <c r="G129" i="7"/>
  <c r="M127" i="7"/>
  <c r="F126" i="7"/>
  <c r="L124" i="7"/>
  <c r="E123" i="7"/>
  <c r="K121" i="7"/>
  <c r="J118" i="7"/>
  <c r="C117" i="7"/>
  <c r="I115" i="7"/>
  <c r="B114" i="7"/>
  <c r="H112" i="7"/>
  <c r="N110" i="7"/>
  <c r="G109" i="7"/>
  <c r="M107" i="7"/>
  <c r="F106" i="7"/>
  <c r="L104" i="7"/>
  <c r="E103" i="7"/>
  <c r="L159" i="8"/>
  <c r="I1201" i="7"/>
  <c r="N1130" i="7"/>
  <c r="H1071" i="7"/>
  <c r="L1033" i="7"/>
  <c r="C996" i="7"/>
  <c r="K966" i="7"/>
  <c r="I940" i="7"/>
  <c r="F919" i="7"/>
  <c r="F899" i="7"/>
  <c r="J885" i="7"/>
  <c r="G870" i="7"/>
  <c r="G855" i="7"/>
  <c r="I843" i="7"/>
  <c r="B831" i="7"/>
  <c r="H820" i="7"/>
  <c r="J808" i="7"/>
  <c r="B797" i="7"/>
  <c r="F787" i="7"/>
  <c r="I778" i="7"/>
  <c r="M769" i="7"/>
  <c r="H762" i="7"/>
  <c r="G754" i="7"/>
  <c r="G746" i="7"/>
  <c r="K739" i="7"/>
  <c r="L731" i="7"/>
  <c r="H725" i="7"/>
  <c r="E718" i="7"/>
  <c r="F711" i="7"/>
  <c r="K704" i="7"/>
  <c r="K698" i="7"/>
  <c r="H692" i="7"/>
  <c r="K686" i="7"/>
  <c r="L673" i="7"/>
  <c r="M667" i="7"/>
  <c r="J661" i="7"/>
  <c r="J655" i="7"/>
  <c r="F649" i="7"/>
  <c r="I642" i="7"/>
  <c r="M636" i="7"/>
  <c r="G631" i="7"/>
  <c r="G625" i="7"/>
  <c r="N619" i="7"/>
  <c r="H614" i="7"/>
  <c r="J608" i="7"/>
  <c r="K603" i="7"/>
  <c r="G598" i="7"/>
  <c r="B594" i="7"/>
  <c r="L588" i="7"/>
  <c r="L583" i="7"/>
  <c r="B579" i="7"/>
  <c r="L574" i="7"/>
  <c r="I570" i="7"/>
  <c r="J566" i="7"/>
  <c r="C562" i="7"/>
  <c r="I557" i="7"/>
  <c r="H553" i="7"/>
  <c r="C549" i="7"/>
  <c r="J540" i="7"/>
  <c r="C536" i="7"/>
  <c r="I531" i="7"/>
  <c r="I527" i="7"/>
  <c r="G523" i="7"/>
  <c r="L514" i="7"/>
  <c r="K510" i="7"/>
  <c r="N506" i="7"/>
  <c r="N502" i="7"/>
  <c r="B495" i="7"/>
  <c r="M490" i="7"/>
  <c r="K486" i="7"/>
  <c r="N482" i="7"/>
  <c r="N478" i="7"/>
  <c r="E471" i="7"/>
  <c r="E467" i="7"/>
  <c r="L463" i="7"/>
  <c r="N459" i="7"/>
  <c r="J456" i="7"/>
  <c r="G453" i="7"/>
  <c r="F450" i="7"/>
  <c r="G447" i="7"/>
  <c r="L444" i="7"/>
  <c r="N441" i="7"/>
  <c r="F439" i="7"/>
  <c r="G436" i="7"/>
  <c r="H433" i="7"/>
  <c r="M430" i="7"/>
  <c r="B428" i="7"/>
  <c r="G425" i="7"/>
  <c r="J422" i="7"/>
  <c r="C420" i="7"/>
  <c r="K417" i="7"/>
  <c r="N414" i="7"/>
  <c r="G412" i="7"/>
  <c r="B410" i="7"/>
  <c r="E407" i="7"/>
  <c r="K404" i="7"/>
  <c r="F402" i="7"/>
  <c r="I399" i="7"/>
  <c r="B397" i="7"/>
  <c r="J394" i="7"/>
  <c r="M391" i="7"/>
  <c r="F389" i="7"/>
  <c r="N386" i="7"/>
  <c r="J381" i="7"/>
  <c r="E379" i="7"/>
  <c r="H376" i="7"/>
  <c r="N373" i="7"/>
  <c r="I371" i="7"/>
  <c r="L368" i="7"/>
  <c r="E366" i="7"/>
  <c r="M363" i="7"/>
  <c r="C361" i="7"/>
  <c r="I358" i="7"/>
  <c r="G353" i="7"/>
  <c r="M350" i="7"/>
  <c r="H348" i="7"/>
  <c r="K345" i="7"/>
  <c r="L340" i="7"/>
  <c r="B338" i="7"/>
  <c r="H335" i="7"/>
  <c r="C333" i="7"/>
  <c r="F330" i="7"/>
  <c r="L327" i="7"/>
  <c r="G325" i="7"/>
  <c r="L322" i="7"/>
  <c r="H320" i="7"/>
  <c r="C318" i="7"/>
  <c r="L315" i="7"/>
  <c r="G313" i="7"/>
  <c r="C311" i="7"/>
  <c r="K308" i="7"/>
  <c r="F306" i="7"/>
  <c r="B304" i="7"/>
  <c r="K301" i="7"/>
  <c r="J299" i="7"/>
  <c r="L297" i="7"/>
  <c r="L295" i="7"/>
  <c r="N293" i="7"/>
  <c r="N291" i="7"/>
  <c r="C290" i="7"/>
  <c r="C288" i="7"/>
  <c r="F286" i="7"/>
  <c r="J284" i="7"/>
  <c r="M282" i="7"/>
  <c r="H279" i="7"/>
  <c r="L277" i="7"/>
  <c r="B276" i="7"/>
  <c r="F274" i="7"/>
  <c r="J272" i="7"/>
  <c r="N270" i="7"/>
  <c r="E269" i="7"/>
  <c r="H267" i="7"/>
  <c r="L265" i="7"/>
  <c r="C264" i="7"/>
  <c r="G262" i="7"/>
  <c r="J260" i="7"/>
  <c r="N258" i="7"/>
  <c r="F257" i="7"/>
  <c r="K255" i="7"/>
  <c r="C254" i="7"/>
  <c r="H252" i="7"/>
  <c r="M250" i="7"/>
  <c r="E249" i="7"/>
  <c r="J247" i="7"/>
  <c r="C246" i="7"/>
  <c r="I244" i="7"/>
  <c r="B243" i="7"/>
  <c r="H241" i="7"/>
  <c r="N239" i="7"/>
  <c r="G238" i="7"/>
  <c r="M236" i="7"/>
  <c r="F235" i="7"/>
  <c r="L233" i="7"/>
  <c r="E232" i="7"/>
  <c r="K230" i="7"/>
  <c r="J227" i="7"/>
  <c r="C226" i="7"/>
  <c r="I224" i="7"/>
  <c r="B223" i="7"/>
  <c r="H221" i="7"/>
  <c r="N219" i="7"/>
  <c r="G218" i="7"/>
  <c r="M216" i="7"/>
  <c r="F215" i="7"/>
  <c r="L213" i="7"/>
  <c r="E212" i="7"/>
  <c r="K210" i="7"/>
  <c r="J207" i="7"/>
  <c r="C206" i="7"/>
  <c r="I204" i="7"/>
  <c r="B203" i="7"/>
  <c r="H201" i="7"/>
  <c r="N199" i="7"/>
  <c r="G198" i="7"/>
  <c r="M196" i="7"/>
  <c r="F195" i="7"/>
  <c r="L193" i="7"/>
  <c r="E192" i="7"/>
  <c r="K190" i="7"/>
  <c r="J187" i="7"/>
  <c r="C186" i="7"/>
  <c r="I184" i="7"/>
  <c r="B183" i="7"/>
  <c r="H181" i="7"/>
  <c r="N179" i="7"/>
  <c r="G178" i="7"/>
  <c r="M176" i="7"/>
  <c r="F175" i="7"/>
  <c r="L173" i="7"/>
  <c r="E172" i="7"/>
  <c r="K170" i="7"/>
  <c r="J167" i="7"/>
  <c r="C166" i="7"/>
  <c r="I164" i="7"/>
  <c r="B163" i="7"/>
  <c r="H161" i="7"/>
  <c r="N159" i="7"/>
  <c r="G158" i="7"/>
  <c r="M156" i="7"/>
  <c r="F155" i="7"/>
  <c r="L153" i="7"/>
  <c r="E152" i="7"/>
  <c r="K150" i="7"/>
  <c r="J147" i="7"/>
  <c r="C146" i="7"/>
  <c r="I144" i="7"/>
  <c r="B143" i="7"/>
  <c r="H141" i="7"/>
  <c r="N139" i="7"/>
  <c r="G138" i="7"/>
  <c r="M136" i="7"/>
  <c r="F135" i="7"/>
  <c r="L133" i="7"/>
  <c r="E132" i="7"/>
  <c r="K130" i="7"/>
  <c r="B84" i="8"/>
  <c r="B1197" i="7"/>
  <c r="F1117" i="7"/>
  <c r="M1060" i="7"/>
  <c r="L1023" i="7"/>
  <c r="C990" i="7"/>
  <c r="H965" i="7"/>
  <c r="K937" i="7"/>
  <c r="C915" i="7"/>
  <c r="K897" i="7"/>
  <c r="F882" i="7"/>
  <c r="I869" i="7"/>
  <c r="H854" i="7"/>
  <c r="J840" i="7"/>
  <c r="J828" i="7"/>
  <c r="M817" i="7"/>
  <c r="F806" i="7"/>
  <c r="J796" i="7"/>
  <c r="H786" i="7"/>
  <c r="J776" i="7"/>
  <c r="C769" i="7"/>
  <c r="K760" i="7"/>
  <c r="N753" i="7"/>
  <c r="N745" i="7"/>
  <c r="N737" i="7"/>
  <c r="F730" i="7"/>
  <c r="L723" i="7"/>
  <c r="C717" i="7"/>
  <c r="M710" i="7"/>
  <c r="N703" i="7"/>
  <c r="J691" i="7"/>
  <c r="F685" i="7"/>
  <c r="G679" i="7"/>
  <c r="B673" i="7"/>
  <c r="F666" i="7"/>
  <c r="N659" i="7"/>
  <c r="B654" i="7"/>
  <c r="L647" i="7"/>
  <c r="E642" i="7"/>
  <c r="E636" i="7"/>
  <c r="M624" i="7"/>
  <c r="C619" i="7"/>
  <c r="J613" i="7"/>
  <c r="N607" i="7"/>
  <c r="J602" i="7"/>
  <c r="K597" i="7"/>
  <c r="J592" i="7"/>
  <c r="J587" i="7"/>
  <c r="L578" i="7"/>
  <c r="E574" i="7"/>
  <c r="B570" i="7"/>
  <c r="I565" i="7"/>
  <c r="M561" i="7"/>
  <c r="F557" i="7"/>
  <c r="L552" i="7"/>
  <c r="E548" i="7"/>
  <c r="B544" i="7"/>
  <c r="L539" i="7"/>
  <c r="M535" i="7"/>
  <c r="F531" i="7"/>
  <c r="L526" i="7"/>
  <c r="K522" i="7"/>
  <c r="F518" i="7"/>
  <c r="I514" i="7"/>
  <c r="G510" i="7"/>
  <c r="E506" i="7"/>
  <c r="C502" i="7"/>
  <c r="F498" i="7"/>
  <c r="F494" i="7"/>
  <c r="I490" i="7"/>
  <c r="H486" i="7"/>
  <c r="G478" i="7"/>
  <c r="G474" i="7"/>
  <c r="M470" i="7"/>
  <c r="N466" i="7"/>
  <c r="B463" i="7"/>
  <c r="N455" i="7"/>
  <c r="L452" i="7"/>
  <c r="C450" i="7"/>
  <c r="E444" i="7"/>
  <c r="J441" i="7"/>
  <c r="L438" i="7"/>
  <c r="E433" i="7"/>
  <c r="F430" i="7"/>
  <c r="G427" i="7"/>
  <c r="L424" i="7"/>
  <c r="G422" i="7"/>
  <c r="J419" i="7"/>
  <c r="C417" i="7"/>
  <c r="K414" i="7"/>
  <c r="N411" i="7"/>
  <c r="G409" i="7"/>
  <c r="B407" i="7"/>
  <c r="E404" i="7"/>
  <c r="K401" i="7"/>
  <c r="F399" i="7"/>
  <c r="I396" i="7"/>
  <c r="B394" i="7"/>
  <c r="J391" i="7"/>
  <c r="M388" i="7"/>
  <c r="F386" i="7"/>
  <c r="N383" i="7"/>
  <c r="J378" i="7"/>
  <c r="E376" i="7"/>
  <c r="H373" i="7"/>
  <c r="N370" i="7"/>
  <c r="I368" i="7"/>
  <c r="L365" i="7"/>
  <c r="E363" i="7"/>
  <c r="M360" i="7"/>
  <c r="C358" i="7"/>
  <c r="I355" i="7"/>
  <c r="G350" i="7"/>
  <c r="M347" i="7"/>
  <c r="H345" i="7"/>
  <c r="K342" i="7"/>
  <c r="L337" i="7"/>
  <c r="B335" i="7"/>
  <c r="H332" i="7"/>
  <c r="C330" i="7"/>
  <c r="F327" i="7"/>
  <c r="N324" i="7"/>
  <c r="I322" i="7"/>
  <c r="M317" i="7"/>
  <c r="H315" i="7"/>
  <c r="I310" i="7"/>
  <c r="H308" i="7"/>
  <c r="M305" i="7"/>
  <c r="I303" i="7"/>
  <c r="E301" i="7"/>
  <c r="G299" i="7"/>
  <c r="G297" i="7"/>
  <c r="I295" i="7"/>
  <c r="I293" i="7"/>
  <c r="K291" i="7"/>
  <c r="K289" i="7"/>
  <c r="M287" i="7"/>
  <c r="C286" i="7"/>
  <c r="F284" i="7"/>
  <c r="J282" i="7"/>
  <c r="N280" i="7"/>
  <c r="E279" i="7"/>
  <c r="H277" i="7"/>
  <c r="L275" i="7"/>
  <c r="C274" i="7"/>
  <c r="G272" i="7"/>
  <c r="K270" i="7"/>
  <c r="N268" i="7"/>
  <c r="E267" i="7"/>
  <c r="I265" i="7"/>
  <c r="M263" i="7"/>
  <c r="C262" i="7"/>
  <c r="G260" i="7"/>
  <c r="K258" i="7"/>
  <c r="C257" i="7"/>
  <c r="H255" i="7"/>
  <c r="M253" i="7"/>
  <c r="E252" i="7"/>
  <c r="I250" i="7"/>
  <c r="N248" i="7"/>
  <c r="G247" i="7"/>
  <c r="M245" i="7"/>
  <c r="F244" i="7"/>
  <c r="L242" i="7"/>
  <c r="E241" i="7"/>
  <c r="K239" i="7"/>
  <c r="J236" i="7"/>
  <c r="C235" i="7"/>
  <c r="I233" i="7"/>
  <c r="B232" i="7"/>
  <c r="H230" i="7"/>
  <c r="N228" i="7"/>
  <c r="G227" i="7"/>
  <c r="M225" i="7"/>
  <c r="F224" i="7"/>
  <c r="L222" i="7"/>
  <c r="E221" i="7"/>
  <c r="K219" i="7"/>
  <c r="J216" i="7"/>
  <c r="C215" i="7"/>
  <c r="I213" i="7"/>
  <c r="B212" i="7"/>
  <c r="H210" i="7"/>
  <c r="N208" i="7"/>
  <c r="G207" i="7"/>
  <c r="M205" i="7"/>
  <c r="F204" i="7"/>
  <c r="L202" i="7"/>
  <c r="E201" i="7"/>
  <c r="K199" i="7"/>
  <c r="J196" i="7"/>
  <c r="C195" i="7"/>
  <c r="I193" i="7"/>
  <c r="B192" i="7"/>
  <c r="H190" i="7"/>
  <c r="N188" i="7"/>
  <c r="G187" i="7"/>
  <c r="M185" i="7"/>
  <c r="F184" i="7"/>
  <c r="L182" i="7"/>
  <c r="E181" i="7"/>
  <c r="K179" i="7"/>
  <c r="J176" i="7"/>
  <c r="C175" i="7"/>
  <c r="I173" i="7"/>
  <c r="B172" i="7"/>
  <c r="H170" i="7"/>
  <c r="N168" i="7"/>
  <c r="G167" i="7"/>
  <c r="M165" i="7"/>
  <c r="F164" i="7"/>
  <c r="L162" i="7"/>
  <c r="E161" i="7"/>
  <c r="K159" i="7"/>
  <c r="J156" i="7"/>
  <c r="C155" i="7"/>
  <c r="I153" i="7"/>
  <c r="B152" i="7"/>
  <c r="H150" i="7"/>
  <c r="N148" i="7"/>
  <c r="G147" i="7"/>
  <c r="M145" i="7"/>
  <c r="F144" i="7"/>
  <c r="L142" i="7"/>
  <c r="E141" i="7"/>
  <c r="K139" i="7"/>
  <c r="J136" i="7"/>
  <c r="C135" i="7"/>
  <c r="I133" i="7"/>
  <c r="B132" i="7"/>
  <c r="H130" i="7"/>
  <c r="N128" i="7"/>
  <c r="G127" i="7"/>
  <c r="M125" i="7"/>
  <c r="F124" i="7"/>
  <c r="L122" i="7"/>
  <c r="E121" i="7"/>
  <c r="K119" i="7"/>
  <c r="J116" i="7"/>
  <c r="C115" i="7"/>
  <c r="I113" i="7"/>
  <c r="B112" i="7"/>
  <c r="H110" i="7"/>
  <c r="N108" i="7"/>
  <c r="G107" i="7"/>
  <c r="N83" i="8"/>
  <c r="M1196" i="7"/>
  <c r="E1117" i="7"/>
  <c r="L1059" i="7"/>
  <c r="J1023" i="7"/>
  <c r="L989" i="7"/>
  <c r="F965" i="7"/>
  <c r="I937" i="7"/>
  <c r="J913" i="7"/>
  <c r="G895" i="7"/>
  <c r="C882" i="7"/>
  <c r="B867" i="7"/>
  <c r="G854" i="7"/>
  <c r="I840" i="7"/>
  <c r="C828" i="7"/>
  <c r="L817" i="7"/>
  <c r="L805" i="7"/>
  <c r="I796" i="7"/>
  <c r="G786" i="7"/>
  <c r="G776" i="7"/>
  <c r="M767" i="7"/>
  <c r="I760" i="7"/>
  <c r="I752" i="7"/>
  <c r="M745" i="7"/>
  <c r="M737" i="7"/>
  <c r="C730" i="7"/>
  <c r="K723" i="7"/>
  <c r="B717" i="7"/>
  <c r="K710" i="7"/>
  <c r="L703" i="7"/>
  <c r="C697" i="7"/>
  <c r="K690" i="7"/>
  <c r="L684" i="7"/>
  <c r="I678" i="7"/>
  <c r="I672" i="7"/>
  <c r="E666" i="7"/>
  <c r="M659" i="7"/>
  <c r="N653" i="7"/>
  <c r="J647" i="7"/>
  <c r="L641" i="7"/>
  <c r="C636" i="7"/>
  <c r="C630" i="7"/>
  <c r="B624" i="7"/>
  <c r="K618" i="7"/>
  <c r="N612" i="7"/>
  <c r="M607" i="7"/>
  <c r="I602" i="7"/>
  <c r="I592" i="7"/>
  <c r="I587" i="7"/>
  <c r="C583" i="7"/>
  <c r="G578" i="7"/>
  <c r="J569" i="7"/>
  <c r="G565" i="7"/>
  <c r="N560" i="7"/>
  <c r="E557" i="7"/>
  <c r="K552" i="7"/>
  <c r="N543" i="7"/>
  <c r="J539" i="7"/>
  <c r="L535" i="7"/>
  <c r="E531" i="7"/>
  <c r="K526" i="7"/>
  <c r="C518" i="7"/>
  <c r="C506" i="7"/>
  <c r="B502" i="7"/>
  <c r="E498" i="7"/>
  <c r="E494" i="7"/>
  <c r="G490" i="7"/>
  <c r="E486" i="7"/>
  <c r="C482" i="7"/>
  <c r="L477" i="7"/>
  <c r="E474" i="7"/>
  <c r="F470" i="7"/>
  <c r="M466" i="7"/>
  <c r="N462" i="7"/>
  <c r="C459" i="7"/>
  <c r="M455" i="7"/>
  <c r="K452" i="7"/>
  <c r="B450" i="7"/>
  <c r="C447" i="7"/>
  <c r="E441" i="7"/>
  <c r="J438" i="7"/>
  <c r="L435" i="7"/>
  <c r="E430" i="7"/>
  <c r="F427" i="7"/>
  <c r="K424" i="7"/>
  <c r="F422" i="7"/>
  <c r="I419" i="7"/>
  <c r="B417" i="7"/>
  <c r="J414" i="7"/>
  <c r="M411" i="7"/>
  <c r="F409" i="7"/>
  <c r="N406" i="7"/>
  <c r="J401" i="7"/>
  <c r="E399" i="7"/>
  <c r="H396" i="7"/>
  <c r="N393" i="7"/>
  <c r="I391" i="7"/>
  <c r="L388" i="7"/>
  <c r="E386" i="7"/>
  <c r="M383" i="7"/>
  <c r="C381" i="7"/>
  <c r="I378" i="7"/>
  <c r="G373" i="7"/>
  <c r="M370" i="7"/>
  <c r="H368" i="7"/>
  <c r="K365" i="7"/>
  <c r="L360" i="7"/>
  <c r="B358" i="7"/>
  <c r="H355" i="7"/>
  <c r="C353" i="7"/>
  <c r="F350" i="7"/>
  <c r="L347" i="7"/>
  <c r="G345" i="7"/>
  <c r="J342" i="7"/>
  <c r="C340" i="7"/>
  <c r="K337" i="7"/>
  <c r="N334" i="7"/>
  <c r="G332" i="7"/>
  <c r="B330" i="7"/>
  <c r="E327" i="7"/>
  <c r="L324" i="7"/>
  <c r="H322" i="7"/>
  <c r="C320" i="7"/>
  <c r="L317" i="7"/>
  <c r="C313" i="7"/>
  <c r="H310" i="7"/>
  <c r="L305" i="7"/>
  <c r="H303" i="7"/>
  <c r="F299" i="7"/>
  <c r="F297" i="7"/>
  <c r="H295" i="7"/>
  <c r="H293" i="7"/>
  <c r="J291" i="7"/>
  <c r="J289" i="7"/>
  <c r="L287" i="7"/>
  <c r="N285" i="7"/>
  <c r="E284" i="7"/>
  <c r="I282" i="7"/>
  <c r="M280" i="7"/>
  <c r="C279" i="7"/>
  <c r="G277" i="7"/>
  <c r="K275" i="7"/>
  <c r="B274" i="7"/>
  <c r="F272" i="7"/>
  <c r="I270" i="7"/>
  <c r="M268" i="7"/>
  <c r="H265" i="7"/>
  <c r="K263" i="7"/>
  <c r="B262" i="7"/>
  <c r="F260" i="7"/>
  <c r="J258" i="7"/>
  <c r="B257" i="7"/>
  <c r="G255" i="7"/>
  <c r="L253" i="7"/>
  <c r="C252" i="7"/>
  <c r="H250" i="7"/>
  <c r="M248" i="7"/>
  <c r="F247" i="7"/>
  <c r="L245" i="7"/>
  <c r="E244" i="7"/>
  <c r="K242" i="7"/>
  <c r="J239" i="7"/>
  <c r="C238" i="7"/>
  <c r="I236" i="7"/>
  <c r="B235" i="7"/>
  <c r="H233" i="7"/>
  <c r="N231" i="7"/>
  <c r="G230" i="7"/>
  <c r="M228" i="7"/>
  <c r="F227" i="7"/>
  <c r="L225" i="7"/>
  <c r="E224" i="7"/>
  <c r="K222" i="7"/>
  <c r="J219" i="7"/>
  <c r="C218" i="7"/>
  <c r="I216" i="7"/>
  <c r="B215" i="7"/>
  <c r="H213" i="7"/>
  <c r="N211" i="7"/>
  <c r="G210" i="7"/>
  <c r="M208" i="7"/>
  <c r="F207" i="7"/>
  <c r="L205" i="7"/>
  <c r="E204" i="7"/>
  <c r="K202" i="7"/>
  <c r="J199" i="7"/>
  <c r="C198" i="7"/>
  <c r="I196" i="7"/>
  <c r="B195" i="7"/>
  <c r="H193" i="7"/>
  <c r="N191" i="7"/>
  <c r="G190" i="7"/>
  <c r="M188" i="7"/>
  <c r="F187" i="7"/>
  <c r="L185" i="7"/>
  <c r="E184" i="7"/>
  <c r="K182" i="7"/>
  <c r="J179" i="7"/>
  <c r="C178" i="7"/>
  <c r="I176" i="7"/>
  <c r="B175" i="7"/>
  <c r="H173" i="7"/>
  <c r="N171" i="7"/>
  <c r="G170" i="7"/>
  <c r="M168" i="7"/>
  <c r="F167" i="7"/>
  <c r="L165" i="7"/>
  <c r="E164" i="7"/>
  <c r="I123" i="10"/>
  <c r="J81" i="8"/>
  <c r="K1193" i="7"/>
  <c r="C1117" i="7"/>
  <c r="K1057" i="7"/>
  <c r="B1018" i="7"/>
  <c r="B989" i="7"/>
  <c r="L960" i="7"/>
  <c r="H937" i="7"/>
  <c r="H913" i="7"/>
  <c r="J894" i="7"/>
  <c r="B882" i="7"/>
  <c r="G866" i="7"/>
  <c r="F854" i="7"/>
  <c r="G840" i="7"/>
  <c r="M827" i="7"/>
  <c r="N815" i="7"/>
  <c r="H805" i="7"/>
  <c r="L794" i="7"/>
  <c r="F786" i="7"/>
  <c r="F776" i="7"/>
  <c r="I767" i="7"/>
  <c r="E760" i="7"/>
  <c r="E752" i="7"/>
  <c r="K745" i="7"/>
  <c r="L737" i="7"/>
  <c r="M729" i="7"/>
  <c r="B723" i="7"/>
  <c r="F716" i="7"/>
  <c r="F709" i="7"/>
  <c r="F703" i="7"/>
  <c r="B697" i="7"/>
  <c r="J690" i="7"/>
  <c r="K684" i="7"/>
  <c r="G678" i="7"/>
  <c r="H672" i="7"/>
  <c r="C666" i="7"/>
  <c r="L659" i="7"/>
  <c r="G653" i="7"/>
  <c r="H647" i="7"/>
  <c r="F641" i="7"/>
  <c r="J635" i="7"/>
  <c r="N629" i="7"/>
  <c r="N623" i="7"/>
  <c r="J618" i="7"/>
  <c r="M612" i="7"/>
  <c r="K607" i="7"/>
  <c r="H602" i="7"/>
  <c r="C597" i="7"/>
  <c r="L591" i="7"/>
  <c r="G587" i="7"/>
  <c r="G582" i="7"/>
  <c r="F578" i="7"/>
  <c r="L573" i="7"/>
  <c r="I569" i="7"/>
  <c r="F565" i="7"/>
  <c r="M560" i="7"/>
  <c r="M556" i="7"/>
  <c r="J552" i="7"/>
  <c r="C548" i="7"/>
  <c r="I543" i="7"/>
  <c r="F539" i="7"/>
  <c r="B535" i="7"/>
  <c r="J526" i="7"/>
  <c r="C522" i="7"/>
  <c r="M517" i="7"/>
  <c r="N513" i="7"/>
  <c r="C510" i="7"/>
  <c r="B506" i="7"/>
  <c r="N501" i="7"/>
  <c r="J497" i="7"/>
  <c r="N493" i="7"/>
  <c r="M489" i="7"/>
  <c r="C486" i="7"/>
  <c r="B482" i="7"/>
  <c r="K477" i="7"/>
  <c r="L466" i="7"/>
  <c r="M462" i="7"/>
  <c r="B459" i="7"/>
  <c r="F455" i="7"/>
  <c r="I452" i="7"/>
  <c r="J449" i="7"/>
  <c r="B447" i="7"/>
  <c r="C444" i="7"/>
  <c r="I438" i="7"/>
  <c r="K435" i="7"/>
  <c r="C433" i="7"/>
  <c r="E427" i="7"/>
  <c r="G424" i="7"/>
  <c r="N421" i="7"/>
  <c r="H419" i="7"/>
  <c r="K416" i="7"/>
  <c r="E414" i="7"/>
  <c r="L411" i="7"/>
  <c r="B409" i="7"/>
  <c r="I406" i="7"/>
  <c r="C404" i="7"/>
  <c r="F401" i="7"/>
  <c r="M398" i="7"/>
  <c r="G396" i="7"/>
  <c r="J393" i="7"/>
  <c r="K388" i="7"/>
  <c r="N385" i="7"/>
  <c r="H383" i="7"/>
  <c r="B381" i="7"/>
  <c r="E378" i="7"/>
  <c r="L375" i="7"/>
  <c r="F373" i="7"/>
  <c r="I370" i="7"/>
  <c r="C368" i="7"/>
  <c r="J365" i="7"/>
  <c r="M362" i="7"/>
  <c r="G360" i="7"/>
  <c r="N357" i="7"/>
  <c r="K352" i="7"/>
  <c r="E350" i="7"/>
  <c r="H347" i="7"/>
  <c r="B345" i="7"/>
  <c r="I342" i="7"/>
  <c r="L339" i="7"/>
  <c r="F337" i="7"/>
  <c r="M334" i="7"/>
  <c r="C332" i="7"/>
  <c r="J329" i="7"/>
  <c r="K324" i="7"/>
  <c r="G322" i="7"/>
  <c r="L319" i="7"/>
  <c r="K317" i="7"/>
  <c r="C315" i="7"/>
  <c r="L312" i="7"/>
  <c r="G310" i="7"/>
  <c r="C308" i="7"/>
  <c r="K305" i="7"/>
  <c r="G303" i="7"/>
  <c r="C301" i="7"/>
  <c r="E299" i="7"/>
  <c r="E297" i="7"/>
  <c r="G295" i="7"/>
  <c r="G293" i="7"/>
  <c r="I291" i="7"/>
  <c r="I289" i="7"/>
  <c r="K287" i="7"/>
  <c r="M285" i="7"/>
  <c r="H282" i="7"/>
  <c r="L280" i="7"/>
  <c r="B279" i="7"/>
  <c r="F277" i="7"/>
  <c r="J275" i="7"/>
  <c r="N273" i="7"/>
  <c r="E272" i="7"/>
  <c r="H270" i="7"/>
  <c r="L268" i="7"/>
  <c r="C267" i="7"/>
  <c r="G265" i="7"/>
  <c r="J263" i="7"/>
  <c r="N261" i="7"/>
  <c r="E260" i="7"/>
  <c r="I258" i="7"/>
  <c r="N256" i="7"/>
  <c r="F255" i="7"/>
  <c r="J253" i="7"/>
  <c r="B252" i="7"/>
  <c r="G250" i="7"/>
  <c r="L248" i="7"/>
  <c r="E247" i="7"/>
  <c r="K245" i="7"/>
  <c r="J242" i="7"/>
  <c r="C241" i="7"/>
  <c r="I239" i="7"/>
  <c r="B238" i="7"/>
  <c r="H236" i="7"/>
  <c r="N234" i="7"/>
  <c r="G233" i="7"/>
  <c r="M231" i="7"/>
  <c r="F230" i="7"/>
  <c r="L228" i="7"/>
  <c r="E227" i="7"/>
  <c r="K225" i="7"/>
  <c r="J222" i="7"/>
  <c r="C221" i="7"/>
  <c r="I219" i="7"/>
  <c r="B218" i="7"/>
  <c r="H216" i="7"/>
  <c r="N214" i="7"/>
  <c r="G213" i="7"/>
  <c r="M211" i="7"/>
  <c r="F210" i="7"/>
  <c r="L208" i="7"/>
  <c r="E207" i="7"/>
  <c r="K205" i="7"/>
  <c r="J202" i="7"/>
  <c r="C201" i="7"/>
  <c r="I199" i="7"/>
  <c r="B198" i="7"/>
  <c r="H196" i="7"/>
  <c r="N194" i="7"/>
  <c r="G193" i="7"/>
  <c r="M191" i="7"/>
  <c r="F190" i="7"/>
  <c r="L188" i="7"/>
  <c r="E187" i="7"/>
  <c r="K185" i="7"/>
  <c r="J182" i="7"/>
  <c r="C181" i="7"/>
  <c r="I179" i="7"/>
  <c r="B178" i="7"/>
  <c r="H176" i="7"/>
  <c r="N174" i="7"/>
  <c r="G173" i="7"/>
  <c r="M171" i="7"/>
  <c r="F170" i="7"/>
  <c r="L168" i="7"/>
  <c r="E167" i="7"/>
  <c r="K165" i="7"/>
  <c r="J162" i="7"/>
  <c r="C161" i="7"/>
  <c r="I159" i="7"/>
  <c r="B158" i="7"/>
  <c r="H156" i="7"/>
  <c r="N154" i="7"/>
  <c r="G153" i="7"/>
  <c r="M151" i="7"/>
  <c r="F150" i="7"/>
  <c r="L148" i="7"/>
  <c r="E147" i="7"/>
  <c r="K145" i="7"/>
  <c r="J142" i="7"/>
  <c r="C141" i="7"/>
  <c r="I139" i="7"/>
  <c r="B138" i="7"/>
  <c r="H136" i="7"/>
  <c r="N134" i="7"/>
  <c r="G133" i="7"/>
  <c r="M131" i="7"/>
  <c r="F130" i="7"/>
  <c r="L128" i="7"/>
  <c r="E127" i="7"/>
  <c r="K125" i="7"/>
  <c r="J122" i="7"/>
  <c r="C121" i="7"/>
  <c r="I119" i="7"/>
  <c r="B118" i="7"/>
  <c r="H116" i="7"/>
  <c r="N114" i="7"/>
  <c r="G113" i="7"/>
  <c r="M111" i="7"/>
  <c r="F110" i="7"/>
  <c r="L108" i="7"/>
  <c r="E107" i="7"/>
  <c r="K105" i="7"/>
  <c r="J102" i="7"/>
  <c r="C101" i="7"/>
  <c r="I99" i="7"/>
  <c r="B98" i="7"/>
  <c r="H96" i="7"/>
  <c r="N94" i="7"/>
  <c r="G93" i="7"/>
  <c r="M91" i="7"/>
  <c r="F90" i="7"/>
  <c r="L88" i="7"/>
  <c r="E87" i="7"/>
  <c r="K85" i="7"/>
  <c r="J82" i="7"/>
  <c r="C81" i="7"/>
  <c r="I79" i="7"/>
  <c r="B78" i="7"/>
  <c r="H76" i="7"/>
  <c r="N74" i="7"/>
  <c r="G73" i="7"/>
  <c r="M71" i="7"/>
  <c r="F70" i="7"/>
  <c r="L68" i="7"/>
  <c r="E67" i="7"/>
  <c r="K65" i="7"/>
  <c r="J62" i="7"/>
  <c r="C61" i="7"/>
  <c r="I59" i="7"/>
  <c r="J67" i="10"/>
  <c r="K69" i="8"/>
  <c r="J1177" i="7"/>
  <c r="N1113" i="7"/>
  <c r="J1057" i="7"/>
  <c r="I1015" i="7"/>
  <c r="N987" i="7"/>
  <c r="E959" i="7"/>
  <c r="G937" i="7"/>
  <c r="E913" i="7"/>
  <c r="G894" i="7"/>
  <c r="K879" i="7"/>
  <c r="B866" i="7"/>
  <c r="M851" i="7"/>
  <c r="F840" i="7"/>
  <c r="L827" i="7"/>
  <c r="E815" i="7"/>
  <c r="G805" i="7"/>
  <c r="I794" i="7"/>
  <c r="E786" i="7"/>
  <c r="E776" i="7"/>
  <c r="C752" i="7"/>
  <c r="G744" i="7"/>
  <c r="K737" i="7"/>
  <c r="L729" i="7"/>
  <c r="H722" i="7"/>
  <c r="E716" i="7"/>
  <c r="E703" i="7"/>
  <c r="M696" i="7"/>
  <c r="I690" i="7"/>
  <c r="E678" i="7"/>
  <c r="B672" i="7"/>
  <c r="B666" i="7"/>
  <c r="K659" i="7"/>
  <c r="F653" i="7"/>
  <c r="G647" i="7"/>
  <c r="E641" i="7"/>
  <c r="I635" i="7"/>
  <c r="H629" i="7"/>
  <c r="L623" i="7"/>
  <c r="L617" i="7"/>
  <c r="H612" i="7"/>
  <c r="C607" i="7"/>
  <c r="F602" i="7"/>
  <c r="B597" i="7"/>
  <c r="K591" i="7"/>
  <c r="E587" i="7"/>
  <c r="F582" i="7"/>
  <c r="E578" i="7"/>
  <c r="K573" i="7"/>
  <c r="N564" i="7"/>
  <c r="K560" i="7"/>
  <c r="E556" i="7"/>
  <c r="E552" i="7"/>
  <c r="B548" i="7"/>
  <c r="H543" i="7"/>
  <c r="E539" i="7"/>
  <c r="L534" i="7"/>
  <c r="C531" i="7"/>
  <c r="I526" i="7"/>
  <c r="B522" i="7"/>
  <c r="H517" i="7"/>
  <c r="K513" i="7"/>
  <c r="K509" i="7"/>
  <c r="N505" i="7"/>
  <c r="M501" i="7"/>
  <c r="I497" i="7"/>
  <c r="L493" i="7"/>
  <c r="L489" i="7"/>
  <c r="B486" i="7"/>
  <c r="N481" i="7"/>
  <c r="J477" i="7"/>
  <c r="H473" i="7"/>
  <c r="B470" i="7"/>
  <c r="E466" i="7"/>
  <c r="K462" i="7"/>
  <c r="N458" i="7"/>
  <c r="E455" i="7"/>
  <c r="H452" i="7"/>
  <c r="I449" i="7"/>
  <c r="N446" i="7"/>
  <c r="B444" i="7"/>
  <c r="C441" i="7"/>
  <c r="I435" i="7"/>
  <c r="K432" i="7"/>
  <c r="C430" i="7"/>
  <c r="F424" i="7"/>
  <c r="M421" i="7"/>
  <c r="G419" i="7"/>
  <c r="J416" i="7"/>
  <c r="K411" i="7"/>
  <c r="N408" i="7"/>
  <c r="H406" i="7"/>
  <c r="B404" i="7"/>
  <c r="E401" i="7"/>
  <c r="L398" i="7"/>
  <c r="F396" i="7"/>
  <c r="I393" i="7"/>
  <c r="C391" i="7"/>
  <c r="J388" i="7"/>
  <c r="M385" i="7"/>
  <c r="G383" i="7"/>
  <c r="N380" i="7"/>
  <c r="K375" i="7"/>
  <c r="E373" i="7"/>
  <c r="H370" i="7"/>
  <c r="B368" i="7"/>
  <c r="I365" i="7"/>
  <c r="L362" i="7"/>
  <c r="F360" i="7"/>
  <c r="M357" i="7"/>
  <c r="C355" i="7"/>
  <c r="J352" i="7"/>
  <c r="G347" i="7"/>
  <c r="N344" i="7"/>
  <c r="H342" i="7"/>
  <c r="K339" i="7"/>
  <c r="E337" i="7"/>
  <c r="L334" i="7"/>
  <c r="B332" i="7"/>
  <c r="I329" i="7"/>
  <c r="C327" i="7"/>
  <c r="G324" i="7"/>
  <c r="F322" i="7"/>
  <c r="K319" i="7"/>
  <c r="G317" i="7"/>
  <c r="B315" i="7"/>
  <c r="K312" i="7"/>
  <c r="F310" i="7"/>
  <c r="B308" i="7"/>
  <c r="J305" i="7"/>
  <c r="E303" i="7"/>
  <c r="B301" i="7"/>
  <c r="B299" i="7"/>
  <c r="F293" i="7"/>
  <c r="F291" i="7"/>
  <c r="H289" i="7"/>
  <c r="J287" i="7"/>
  <c r="L285" i="7"/>
  <c r="C284" i="7"/>
  <c r="G282" i="7"/>
  <c r="J280" i="7"/>
  <c r="N278" i="7"/>
  <c r="E277" i="7"/>
  <c r="I275" i="7"/>
  <c r="M273" i="7"/>
  <c r="C272" i="7"/>
  <c r="G270" i="7"/>
  <c r="K268" i="7"/>
  <c r="B267" i="7"/>
  <c r="E265" i="7"/>
  <c r="I263" i="7"/>
  <c r="M261" i="7"/>
  <c r="H258" i="7"/>
  <c r="M256" i="7"/>
  <c r="I253" i="7"/>
  <c r="N251" i="7"/>
  <c r="F250" i="7"/>
  <c r="K248" i="7"/>
  <c r="J245" i="7"/>
  <c r="C244" i="7"/>
  <c r="I242" i="7"/>
  <c r="B241" i="7"/>
  <c r="H239" i="7"/>
  <c r="N237" i="7"/>
  <c r="G236" i="7"/>
  <c r="M234" i="7"/>
  <c r="F233" i="7"/>
  <c r="L231" i="7"/>
  <c r="E230" i="7"/>
  <c r="K156" i="8"/>
  <c r="E1153" i="7"/>
  <c r="L1047" i="7"/>
  <c r="G981" i="7"/>
  <c r="H933" i="7"/>
  <c r="B898" i="7"/>
  <c r="N870" i="7"/>
  <c r="J847" i="7"/>
  <c r="N824" i="7"/>
  <c r="H803" i="7"/>
  <c r="I786" i="7"/>
  <c r="F771" i="7"/>
  <c r="K756" i="7"/>
  <c r="G742" i="7"/>
  <c r="F729" i="7"/>
  <c r="E715" i="7"/>
  <c r="I704" i="7"/>
  <c r="L682" i="7"/>
  <c r="E670" i="7"/>
  <c r="H659" i="7"/>
  <c r="J648" i="7"/>
  <c r="I637" i="7"/>
  <c r="M616" i="7"/>
  <c r="L606" i="7"/>
  <c r="M596" i="7"/>
  <c r="K588" i="7"/>
  <c r="J579" i="7"/>
  <c r="J572" i="7"/>
  <c r="E564" i="7"/>
  <c r="B556" i="7"/>
  <c r="J548" i="7"/>
  <c r="K540" i="7"/>
  <c r="H533" i="7"/>
  <c r="E525" i="7"/>
  <c r="E517" i="7"/>
  <c r="J509" i="7"/>
  <c r="K502" i="7"/>
  <c r="E495" i="7"/>
  <c r="H488" i="7"/>
  <c r="M480" i="7"/>
  <c r="E473" i="7"/>
  <c r="B467" i="7"/>
  <c r="C460" i="7"/>
  <c r="F454" i="7"/>
  <c r="L448" i="7"/>
  <c r="H443" i="7"/>
  <c r="C438" i="7"/>
  <c r="G433" i="7"/>
  <c r="H428" i="7"/>
  <c r="M423" i="7"/>
  <c r="L418" i="7"/>
  <c r="N413" i="7"/>
  <c r="I409" i="7"/>
  <c r="L404" i="7"/>
  <c r="G400" i="7"/>
  <c r="I395" i="7"/>
  <c r="I390" i="7"/>
  <c r="L385" i="7"/>
  <c r="F381" i="7"/>
  <c r="J376" i="7"/>
  <c r="G372" i="7"/>
  <c r="G367" i="7"/>
  <c r="J362" i="7"/>
  <c r="H353" i="7"/>
  <c r="B349" i="7"/>
  <c r="E344" i="7"/>
  <c r="H339" i="7"/>
  <c r="K334" i="7"/>
  <c r="E330" i="7"/>
  <c r="I325" i="7"/>
  <c r="F321" i="7"/>
  <c r="B317" i="7"/>
  <c r="H312" i="7"/>
  <c r="I308" i="7"/>
  <c r="C304" i="7"/>
  <c r="F300" i="7"/>
  <c r="J296" i="7"/>
  <c r="C293" i="7"/>
  <c r="G289" i="7"/>
  <c r="E286" i="7"/>
  <c r="C283" i="7"/>
  <c r="N276" i="7"/>
  <c r="J273" i="7"/>
  <c r="L270" i="7"/>
  <c r="J267" i="7"/>
  <c r="K264" i="7"/>
  <c r="H261" i="7"/>
  <c r="C255" i="7"/>
  <c r="G252" i="7"/>
  <c r="G249" i="7"/>
  <c r="K246" i="7"/>
  <c r="L243" i="7"/>
  <c r="M240" i="7"/>
  <c r="E238" i="7"/>
  <c r="G235" i="7"/>
  <c r="L232" i="7"/>
  <c r="M229" i="7"/>
  <c r="C227" i="7"/>
  <c r="J224" i="7"/>
  <c r="G219" i="7"/>
  <c r="N216" i="7"/>
  <c r="H214" i="7"/>
  <c r="K211" i="7"/>
  <c r="E209" i="7"/>
  <c r="L206" i="7"/>
  <c r="B204" i="7"/>
  <c r="I201" i="7"/>
  <c r="C199" i="7"/>
  <c r="F196" i="7"/>
  <c r="M193" i="7"/>
  <c r="G191" i="7"/>
  <c r="J188" i="7"/>
  <c r="K183" i="7"/>
  <c r="N180" i="7"/>
  <c r="H178" i="7"/>
  <c r="B176" i="7"/>
  <c r="E173" i="7"/>
  <c r="L170" i="7"/>
  <c r="F168" i="7"/>
  <c r="N165" i="7"/>
  <c r="J163" i="7"/>
  <c r="F161" i="7"/>
  <c r="N156" i="7"/>
  <c r="K154" i="7"/>
  <c r="J152" i="7"/>
  <c r="E150" i="7"/>
  <c r="E148" i="7"/>
  <c r="N145" i="7"/>
  <c r="L143" i="7"/>
  <c r="I141" i="7"/>
  <c r="F139" i="7"/>
  <c r="E137" i="7"/>
  <c r="M134" i="7"/>
  <c r="N132" i="7"/>
  <c r="M130" i="7"/>
  <c r="M128" i="7"/>
  <c r="N126" i="7"/>
  <c r="C125" i="7"/>
  <c r="C123" i="7"/>
  <c r="E119" i="7"/>
  <c r="G117" i="7"/>
  <c r="G115" i="7"/>
  <c r="H113" i="7"/>
  <c r="I111" i="7"/>
  <c r="K109" i="7"/>
  <c r="K107" i="7"/>
  <c r="M105" i="7"/>
  <c r="B104" i="7"/>
  <c r="E102" i="7"/>
  <c r="I100" i="7"/>
  <c r="L98" i="7"/>
  <c r="C97" i="7"/>
  <c r="G95" i="7"/>
  <c r="K93" i="7"/>
  <c r="B92" i="7"/>
  <c r="E90" i="7"/>
  <c r="I88" i="7"/>
  <c r="M86" i="7"/>
  <c r="G83" i="7"/>
  <c r="K81" i="7"/>
  <c r="B80" i="7"/>
  <c r="F78" i="7"/>
  <c r="J76" i="7"/>
  <c r="M74" i="7"/>
  <c r="H71" i="7"/>
  <c r="L69" i="7"/>
  <c r="B68" i="7"/>
  <c r="F66" i="7"/>
  <c r="J64" i="7"/>
  <c r="N62" i="7"/>
  <c r="E61" i="7"/>
  <c r="H59" i="7"/>
  <c r="M57" i="7"/>
  <c r="E56" i="7"/>
  <c r="J54" i="7"/>
  <c r="B53" i="7"/>
  <c r="G51" i="7"/>
  <c r="M49" i="7"/>
  <c r="F48" i="7"/>
  <c r="L46" i="7"/>
  <c r="E45" i="7"/>
  <c r="K43" i="7"/>
  <c r="J40" i="7"/>
  <c r="C39" i="7"/>
  <c r="I37" i="7"/>
  <c r="B36" i="7"/>
  <c r="H34" i="7"/>
  <c r="N32" i="7"/>
  <c r="G31" i="7"/>
  <c r="M29" i="7"/>
  <c r="F28" i="7"/>
  <c r="L26" i="7"/>
  <c r="E25" i="7"/>
  <c r="K23" i="7"/>
  <c r="H191" i="5"/>
  <c r="J189" i="5"/>
  <c r="L187" i="5"/>
  <c r="B186" i="5"/>
  <c r="E184" i="5"/>
  <c r="G182" i="5"/>
  <c r="I180" i="5"/>
  <c r="K178" i="5"/>
  <c r="M176" i="5"/>
  <c r="D175" i="5"/>
  <c r="F173" i="5"/>
  <c r="H171" i="5"/>
  <c r="J169" i="5"/>
  <c r="L167" i="5"/>
  <c r="B166" i="5"/>
  <c r="E164" i="5"/>
  <c r="G162" i="5"/>
  <c r="I160" i="5"/>
  <c r="K158" i="5"/>
  <c r="M156" i="5"/>
  <c r="D155" i="5"/>
  <c r="F153" i="5"/>
  <c r="H151" i="5"/>
  <c r="J149" i="5"/>
  <c r="L147" i="5"/>
  <c r="B146" i="5"/>
  <c r="E144" i="5"/>
  <c r="G142" i="5"/>
  <c r="I140" i="5"/>
  <c r="K138" i="5"/>
  <c r="M136" i="5"/>
  <c r="D135" i="5"/>
  <c r="F133" i="5"/>
  <c r="H131" i="5"/>
  <c r="K129" i="5"/>
  <c r="G126" i="5"/>
  <c r="K124" i="5"/>
  <c r="G121" i="5"/>
  <c r="K119" i="5"/>
  <c r="G116" i="5"/>
  <c r="K114" i="5"/>
  <c r="G111" i="5"/>
  <c r="K109" i="5"/>
  <c r="G106" i="5"/>
  <c r="K104" i="5"/>
  <c r="G101" i="5"/>
  <c r="K99" i="5"/>
  <c r="G96" i="5"/>
  <c r="K94" i="5"/>
  <c r="G91" i="5"/>
  <c r="K89" i="5"/>
  <c r="G86" i="5"/>
  <c r="K84" i="5"/>
  <c r="G81" i="5"/>
  <c r="K79" i="5"/>
  <c r="G76" i="5"/>
  <c r="K74" i="5"/>
  <c r="G71" i="5"/>
  <c r="K69" i="5"/>
  <c r="G66" i="5"/>
  <c r="K64" i="5"/>
  <c r="G61" i="5"/>
  <c r="K59" i="5"/>
  <c r="G56" i="5"/>
  <c r="K54" i="5"/>
  <c r="G51" i="5"/>
  <c r="K49" i="5"/>
  <c r="G46" i="5"/>
  <c r="K44" i="5"/>
  <c r="G41" i="5"/>
  <c r="K39" i="5"/>
  <c r="G36" i="5"/>
  <c r="K34" i="5"/>
  <c r="G31" i="5"/>
  <c r="K29" i="5"/>
  <c r="G26" i="5"/>
  <c r="K24" i="5"/>
  <c r="K631" i="4"/>
  <c r="G628" i="4"/>
  <c r="K626" i="4"/>
  <c r="G623" i="4"/>
  <c r="K621" i="4"/>
  <c r="G618" i="4"/>
  <c r="K616" i="4"/>
  <c r="G613" i="4"/>
  <c r="K611" i="4"/>
  <c r="G608" i="4"/>
  <c r="K606" i="4"/>
  <c r="G603" i="4"/>
  <c r="K601" i="4"/>
  <c r="G598" i="4"/>
  <c r="K596" i="4"/>
  <c r="G593" i="4"/>
  <c r="K591" i="4"/>
  <c r="G588" i="4"/>
  <c r="K586" i="4"/>
  <c r="G583" i="4"/>
  <c r="K581" i="4"/>
  <c r="G578" i="4"/>
  <c r="K576" i="4"/>
  <c r="G573" i="4"/>
  <c r="K571" i="4"/>
  <c r="G568" i="4"/>
  <c r="M154" i="8"/>
  <c r="E1135" i="7"/>
  <c r="H1045" i="7"/>
  <c r="E981" i="7"/>
  <c r="H932" i="7"/>
  <c r="L897" i="7"/>
  <c r="H870" i="7"/>
  <c r="F847" i="7"/>
  <c r="I824" i="7"/>
  <c r="M802" i="7"/>
  <c r="I784" i="7"/>
  <c r="G769" i="7"/>
  <c r="K754" i="7"/>
  <c r="N727" i="7"/>
  <c r="B704" i="7"/>
  <c r="C693" i="7"/>
  <c r="F682" i="7"/>
  <c r="B659" i="7"/>
  <c r="E646" i="7"/>
  <c r="G636" i="7"/>
  <c r="L626" i="7"/>
  <c r="L616" i="7"/>
  <c r="J605" i="7"/>
  <c r="J596" i="7"/>
  <c r="F588" i="7"/>
  <c r="G579" i="7"/>
  <c r="K571" i="7"/>
  <c r="B564" i="7"/>
  <c r="N555" i="7"/>
  <c r="J547" i="7"/>
  <c r="I540" i="7"/>
  <c r="E532" i="7"/>
  <c r="B517" i="7"/>
  <c r="F509" i="7"/>
  <c r="H502" i="7"/>
  <c r="G488" i="7"/>
  <c r="K480" i="7"/>
  <c r="C466" i="7"/>
  <c r="L459" i="7"/>
  <c r="I453" i="7"/>
  <c r="K448" i="7"/>
  <c r="G443" i="7"/>
  <c r="B438" i="7"/>
  <c r="F433" i="7"/>
  <c r="C428" i="7"/>
  <c r="H423" i="7"/>
  <c r="J418" i="7"/>
  <c r="J413" i="7"/>
  <c r="M408" i="7"/>
  <c r="G404" i="7"/>
  <c r="K399" i="7"/>
  <c r="H395" i="7"/>
  <c r="H390" i="7"/>
  <c r="K385" i="7"/>
  <c r="E381" i="7"/>
  <c r="I376" i="7"/>
  <c r="C372" i="7"/>
  <c r="F367" i="7"/>
  <c r="I362" i="7"/>
  <c r="L357" i="7"/>
  <c r="F353" i="7"/>
  <c r="J348" i="7"/>
  <c r="G339" i="7"/>
  <c r="J334" i="7"/>
  <c r="H325" i="7"/>
  <c r="E321" i="7"/>
  <c r="K316" i="7"/>
  <c r="G312" i="7"/>
  <c r="M307" i="7"/>
  <c r="N303" i="7"/>
  <c r="L299" i="7"/>
  <c r="I296" i="7"/>
  <c r="M292" i="7"/>
  <c r="F289" i="7"/>
  <c r="B283" i="7"/>
  <c r="C280" i="7"/>
  <c r="M276" i="7"/>
  <c r="I273" i="7"/>
  <c r="F270" i="7"/>
  <c r="G267" i="7"/>
  <c r="E264" i="7"/>
  <c r="F261" i="7"/>
  <c r="C258" i="7"/>
  <c r="B255" i="7"/>
  <c r="F252" i="7"/>
  <c r="F249" i="7"/>
  <c r="J246" i="7"/>
  <c r="K243" i="7"/>
  <c r="L240" i="7"/>
  <c r="M237" i="7"/>
  <c r="E235" i="7"/>
  <c r="G232" i="7"/>
  <c r="L229" i="7"/>
  <c r="B227" i="7"/>
  <c r="H224" i="7"/>
  <c r="C222" i="7"/>
  <c r="F219" i="7"/>
  <c r="L216" i="7"/>
  <c r="G214" i="7"/>
  <c r="J211" i="7"/>
  <c r="C209" i="7"/>
  <c r="K206" i="7"/>
  <c r="N203" i="7"/>
  <c r="G201" i="7"/>
  <c r="B199" i="7"/>
  <c r="E196" i="7"/>
  <c r="K193" i="7"/>
  <c r="F191" i="7"/>
  <c r="I188" i="7"/>
  <c r="B186" i="7"/>
  <c r="J183" i="7"/>
  <c r="M180" i="7"/>
  <c r="F178" i="7"/>
  <c r="N175" i="7"/>
  <c r="J170" i="7"/>
  <c r="E168" i="7"/>
  <c r="J165" i="7"/>
  <c r="I163" i="7"/>
  <c r="C159" i="7"/>
  <c r="L156" i="7"/>
  <c r="J154" i="7"/>
  <c r="G152" i="7"/>
  <c r="L145" i="7"/>
  <c r="K143" i="7"/>
  <c r="G141" i="7"/>
  <c r="E139" i="7"/>
  <c r="B137" i="7"/>
  <c r="L134" i="7"/>
  <c r="M132" i="7"/>
  <c r="L130" i="7"/>
  <c r="K128" i="7"/>
  <c r="M126" i="7"/>
  <c r="N124" i="7"/>
  <c r="B123" i="7"/>
  <c r="B121" i="7"/>
  <c r="E117" i="7"/>
  <c r="F115" i="7"/>
  <c r="F113" i="7"/>
  <c r="H111" i="7"/>
  <c r="I109" i="7"/>
  <c r="J107" i="7"/>
  <c r="L105" i="7"/>
  <c r="N103" i="7"/>
  <c r="H100" i="7"/>
  <c r="K98" i="7"/>
  <c r="B97" i="7"/>
  <c r="F95" i="7"/>
  <c r="J93" i="7"/>
  <c r="N91" i="7"/>
  <c r="H88" i="7"/>
  <c r="L86" i="7"/>
  <c r="C85" i="7"/>
  <c r="F83" i="7"/>
  <c r="J81" i="7"/>
  <c r="N79" i="7"/>
  <c r="E78" i="7"/>
  <c r="I76" i="7"/>
  <c r="L74" i="7"/>
  <c r="C73" i="7"/>
  <c r="G71" i="7"/>
  <c r="K69" i="7"/>
  <c r="N67" i="7"/>
  <c r="E66" i="7"/>
  <c r="I64" i="7"/>
  <c r="M62" i="7"/>
  <c r="G59" i="7"/>
  <c r="L57" i="7"/>
  <c r="I54" i="7"/>
  <c r="N52" i="7"/>
  <c r="F51" i="7"/>
  <c r="L49" i="7"/>
  <c r="E48" i="7"/>
  <c r="K46" i="7"/>
  <c r="J43" i="7"/>
  <c r="C42" i="7"/>
  <c r="I40" i="7"/>
  <c r="B39" i="7"/>
  <c r="H37" i="7"/>
  <c r="N35" i="7"/>
  <c r="G34" i="7"/>
  <c r="M32" i="7"/>
  <c r="F31" i="7"/>
  <c r="L29" i="7"/>
  <c r="E28" i="7"/>
  <c r="K26" i="7"/>
  <c r="J23" i="7"/>
  <c r="C22" i="7"/>
  <c r="G191" i="5"/>
  <c r="I189" i="5"/>
  <c r="K187" i="5"/>
  <c r="M185" i="5"/>
  <c r="D184" i="5"/>
  <c r="F182" i="5"/>
  <c r="H180" i="5"/>
  <c r="J178" i="5"/>
  <c r="L176" i="5"/>
  <c r="B175" i="5"/>
  <c r="E173" i="5"/>
  <c r="G171" i="5"/>
  <c r="I169" i="5"/>
  <c r="K167" i="5"/>
  <c r="M165" i="5"/>
  <c r="D164" i="5"/>
  <c r="F162" i="5"/>
  <c r="H160" i="5"/>
  <c r="J158" i="5"/>
  <c r="L156" i="5"/>
  <c r="B155" i="5"/>
  <c r="E153" i="5"/>
  <c r="G151" i="5"/>
  <c r="I149" i="5"/>
  <c r="K147" i="5"/>
  <c r="M145" i="5"/>
  <c r="D144" i="5"/>
  <c r="F142" i="5"/>
  <c r="H140" i="5"/>
  <c r="J138" i="5"/>
  <c r="L136" i="5"/>
  <c r="B135" i="5"/>
  <c r="E133" i="5"/>
  <c r="G131" i="5"/>
  <c r="J129" i="5"/>
  <c r="B128" i="5"/>
  <c r="F126" i="5"/>
  <c r="J124" i="5"/>
  <c r="B123" i="5"/>
  <c r="F121" i="5"/>
  <c r="J119" i="5"/>
  <c r="B118" i="5"/>
  <c r="F116" i="5"/>
  <c r="J114" i="5"/>
  <c r="B113" i="5"/>
  <c r="F111" i="5"/>
  <c r="J109" i="5"/>
  <c r="B108" i="5"/>
  <c r="F106" i="5"/>
  <c r="J104" i="5"/>
  <c r="B103" i="5"/>
  <c r="F101" i="5"/>
  <c r="J99" i="5"/>
  <c r="B98" i="5"/>
  <c r="F96" i="5"/>
  <c r="J94" i="5"/>
  <c r="B93" i="5"/>
  <c r="F91" i="5"/>
  <c r="J89" i="5"/>
  <c r="B88" i="5"/>
  <c r="F86" i="5"/>
  <c r="J84" i="5"/>
  <c r="B83" i="5"/>
  <c r="F81" i="5"/>
  <c r="J79" i="5"/>
  <c r="B78" i="5"/>
  <c r="F76" i="5"/>
  <c r="J74" i="5"/>
  <c r="B73" i="5"/>
  <c r="F71" i="5"/>
  <c r="J69" i="5"/>
  <c r="B68" i="5"/>
  <c r="F66" i="5"/>
  <c r="J64" i="5"/>
  <c r="B63" i="5"/>
  <c r="F61" i="5"/>
  <c r="J59" i="5"/>
  <c r="B58" i="5"/>
  <c r="F56" i="5"/>
  <c r="J54" i="5"/>
  <c r="B53" i="5"/>
  <c r="F51" i="5"/>
  <c r="J49" i="5"/>
  <c r="B48" i="5"/>
  <c r="F46" i="5"/>
  <c r="J44" i="5"/>
  <c r="B43" i="5"/>
  <c r="F41" i="5"/>
  <c r="J39" i="5"/>
  <c r="B38" i="5"/>
  <c r="F36" i="5"/>
  <c r="J34" i="5"/>
  <c r="B33" i="5"/>
  <c r="F31" i="5"/>
  <c r="J29" i="5"/>
  <c r="B28" i="5"/>
  <c r="F26" i="5"/>
  <c r="J24" i="5"/>
  <c r="B23" i="5"/>
  <c r="J631" i="4"/>
  <c r="B630" i="4"/>
  <c r="F628" i="4"/>
  <c r="J626" i="4"/>
  <c r="B625" i="4"/>
  <c r="F623" i="4"/>
  <c r="J621" i="4"/>
  <c r="B620" i="4"/>
  <c r="F618" i="4"/>
  <c r="J616" i="4"/>
  <c r="B615" i="4"/>
  <c r="F613" i="4"/>
  <c r="J611" i="4"/>
  <c r="B610" i="4"/>
  <c r="F608" i="4"/>
  <c r="J606" i="4"/>
  <c r="B605" i="4"/>
  <c r="F603" i="4"/>
  <c r="J601" i="4"/>
  <c r="B600" i="4"/>
  <c r="F598" i="4"/>
  <c r="J596" i="4"/>
  <c r="B595" i="4"/>
  <c r="F593" i="4"/>
  <c r="J591" i="4"/>
  <c r="B590" i="4"/>
  <c r="F588" i="4"/>
  <c r="J586" i="4"/>
  <c r="B585" i="4"/>
  <c r="F583" i="4"/>
  <c r="J581" i="4"/>
  <c r="B580" i="4"/>
  <c r="F578" i="4"/>
  <c r="J576" i="4"/>
  <c r="B575" i="4"/>
  <c r="F573" i="4"/>
  <c r="J571" i="4"/>
  <c r="B570" i="4"/>
  <c r="F568" i="4"/>
  <c r="J566" i="4"/>
  <c r="B565" i="4"/>
  <c r="G41" i="8"/>
  <c r="M1132" i="7"/>
  <c r="M1044" i="7"/>
  <c r="M980" i="7"/>
  <c r="K931" i="7"/>
  <c r="F894" i="7"/>
  <c r="E870" i="7"/>
  <c r="N843" i="7"/>
  <c r="N823" i="7"/>
  <c r="L802" i="7"/>
  <c r="N783" i="7"/>
  <c r="H754" i="7"/>
  <c r="C742" i="7"/>
  <c r="L727" i="7"/>
  <c r="C715" i="7"/>
  <c r="L702" i="7"/>
  <c r="G692" i="7"/>
  <c r="I680" i="7"/>
  <c r="C670" i="7"/>
  <c r="B658" i="7"/>
  <c r="N645" i="7"/>
  <c r="F636" i="7"/>
  <c r="C626" i="7"/>
  <c r="B616" i="7"/>
  <c r="I605" i="7"/>
  <c r="H596" i="7"/>
  <c r="H586" i="7"/>
  <c r="N578" i="7"/>
  <c r="F571" i="7"/>
  <c r="N563" i="7"/>
  <c r="E555" i="7"/>
  <c r="I547" i="7"/>
  <c r="H540" i="7"/>
  <c r="H524" i="7"/>
  <c r="M516" i="7"/>
  <c r="J501" i="7"/>
  <c r="L494" i="7"/>
  <c r="F487" i="7"/>
  <c r="J480" i="7"/>
  <c r="C473" i="7"/>
  <c r="N465" i="7"/>
  <c r="J459" i="7"/>
  <c r="H453" i="7"/>
  <c r="J448" i="7"/>
  <c r="E443" i="7"/>
  <c r="N437" i="7"/>
  <c r="J432" i="7"/>
  <c r="M427" i="7"/>
  <c r="L422" i="7"/>
  <c r="I418" i="7"/>
  <c r="I413" i="7"/>
  <c r="L408" i="7"/>
  <c r="F404" i="7"/>
  <c r="J399" i="7"/>
  <c r="G390" i="7"/>
  <c r="J385" i="7"/>
  <c r="M380" i="7"/>
  <c r="G376" i="7"/>
  <c r="K371" i="7"/>
  <c r="E367" i="7"/>
  <c r="H362" i="7"/>
  <c r="K357" i="7"/>
  <c r="E353" i="7"/>
  <c r="I348" i="7"/>
  <c r="C344" i="7"/>
  <c r="F339" i="7"/>
  <c r="E334" i="7"/>
  <c r="G329" i="7"/>
  <c r="C325" i="7"/>
  <c r="M320" i="7"/>
  <c r="J316" i="7"/>
  <c r="C312" i="7"/>
  <c r="L307" i="7"/>
  <c r="M303" i="7"/>
  <c r="K299" i="7"/>
  <c r="H296" i="7"/>
  <c r="L292" i="7"/>
  <c r="E289" i="7"/>
  <c r="K285" i="7"/>
  <c r="L282" i="7"/>
  <c r="J279" i="7"/>
  <c r="K276" i="7"/>
  <c r="H273" i="7"/>
  <c r="E270" i="7"/>
  <c r="F267" i="7"/>
  <c r="E261" i="7"/>
  <c r="B258" i="7"/>
  <c r="N254" i="7"/>
  <c r="M251" i="7"/>
  <c r="E246" i="7"/>
  <c r="J243" i="7"/>
  <c r="K240" i="7"/>
  <c r="L237" i="7"/>
  <c r="F232" i="7"/>
  <c r="K229" i="7"/>
  <c r="N226" i="7"/>
  <c r="G224" i="7"/>
  <c r="B222" i="7"/>
  <c r="E219" i="7"/>
  <c r="K216" i="7"/>
  <c r="F214" i="7"/>
  <c r="I211" i="7"/>
  <c r="B209" i="7"/>
  <c r="J206" i="7"/>
  <c r="M203" i="7"/>
  <c r="F201" i="7"/>
  <c r="N198" i="7"/>
  <c r="J193" i="7"/>
  <c r="E191" i="7"/>
  <c r="H188" i="7"/>
  <c r="N185" i="7"/>
  <c r="I183" i="7"/>
  <c r="L180" i="7"/>
  <c r="E178" i="7"/>
  <c r="M175" i="7"/>
  <c r="C173" i="7"/>
  <c r="I170" i="7"/>
  <c r="I165" i="7"/>
  <c r="G163" i="7"/>
  <c r="B161" i="7"/>
  <c r="B159" i="7"/>
  <c r="K156" i="7"/>
  <c r="I154" i="7"/>
  <c r="F152" i="7"/>
  <c r="C150" i="7"/>
  <c r="B148" i="7"/>
  <c r="J145" i="7"/>
  <c r="J143" i="7"/>
  <c r="F141" i="7"/>
  <c r="N136" i="7"/>
  <c r="K134" i="7"/>
  <c r="L132" i="7"/>
  <c r="J130" i="7"/>
  <c r="J128" i="7"/>
  <c r="L126" i="7"/>
  <c r="M124" i="7"/>
  <c r="N122" i="7"/>
  <c r="N120" i="7"/>
  <c r="C119" i="7"/>
  <c r="E115" i="7"/>
  <c r="E113" i="7"/>
  <c r="G111" i="7"/>
  <c r="H109" i="7"/>
  <c r="I107" i="7"/>
  <c r="J105" i="7"/>
  <c r="M103" i="7"/>
  <c r="C102" i="7"/>
  <c r="F100" i="7"/>
  <c r="J98" i="7"/>
  <c r="N96" i="7"/>
  <c r="E95" i="7"/>
  <c r="I93" i="7"/>
  <c r="L91" i="7"/>
  <c r="C90" i="7"/>
  <c r="G88" i="7"/>
  <c r="K86" i="7"/>
  <c r="N84" i="7"/>
  <c r="E83" i="7"/>
  <c r="I81" i="7"/>
  <c r="M79" i="7"/>
  <c r="G76" i="7"/>
  <c r="K74" i="7"/>
  <c r="B73" i="7"/>
  <c r="F71" i="7"/>
  <c r="I69" i="7"/>
  <c r="M67" i="7"/>
  <c r="H64" i="7"/>
  <c r="L62" i="7"/>
  <c r="B61" i="7"/>
  <c r="F59" i="7"/>
  <c r="K57" i="7"/>
  <c r="C56" i="7"/>
  <c r="H54" i="7"/>
  <c r="M52" i="7"/>
  <c r="E51" i="7"/>
  <c r="K49" i="7"/>
  <c r="J46" i="7"/>
  <c r="C45" i="7"/>
  <c r="I43" i="7"/>
  <c r="B42" i="7"/>
  <c r="H40" i="7"/>
  <c r="N38" i="7"/>
  <c r="G37" i="7"/>
  <c r="M35" i="7"/>
  <c r="F34" i="7"/>
  <c r="L32" i="7"/>
  <c r="E31" i="7"/>
  <c r="K29" i="7"/>
  <c r="J26" i="7"/>
  <c r="C25" i="7"/>
  <c r="I23" i="7"/>
  <c r="B22" i="7"/>
  <c r="F191" i="5"/>
  <c r="H189" i="5"/>
  <c r="J187" i="5"/>
  <c r="L185" i="5"/>
  <c r="B184" i="5"/>
  <c r="E182" i="5"/>
  <c r="G180" i="5"/>
  <c r="I178" i="5"/>
  <c r="K176" i="5"/>
  <c r="M174" i="5"/>
  <c r="D173" i="5"/>
  <c r="F171" i="5"/>
  <c r="H169" i="5"/>
  <c r="J167" i="5"/>
  <c r="L165" i="5"/>
  <c r="B164" i="5"/>
  <c r="E162" i="5"/>
  <c r="G160" i="5"/>
  <c r="I158" i="5"/>
  <c r="K156" i="5"/>
  <c r="M154" i="5"/>
  <c r="D153" i="5"/>
  <c r="F151" i="5"/>
  <c r="H149" i="5"/>
  <c r="J147" i="5"/>
  <c r="L145" i="5"/>
  <c r="B144" i="5"/>
  <c r="E142" i="5"/>
  <c r="G140" i="5"/>
  <c r="I138" i="5"/>
  <c r="K136" i="5"/>
  <c r="M134" i="5"/>
  <c r="D133" i="5"/>
  <c r="F131" i="5"/>
  <c r="I129" i="5"/>
  <c r="M127" i="5"/>
  <c r="E126" i="5"/>
  <c r="I124" i="5"/>
  <c r="M122" i="5"/>
  <c r="E121" i="5"/>
  <c r="I119" i="5"/>
  <c r="M117" i="5"/>
  <c r="E116" i="5"/>
  <c r="I114" i="5"/>
  <c r="M112" i="5"/>
  <c r="E111" i="5"/>
  <c r="I109" i="5"/>
  <c r="M107" i="5"/>
  <c r="E106" i="5"/>
  <c r="I104" i="5"/>
  <c r="M102" i="5"/>
  <c r="E101" i="5"/>
  <c r="I99" i="5"/>
  <c r="M97" i="5"/>
  <c r="E96" i="5"/>
  <c r="I94" i="5"/>
  <c r="M92" i="5"/>
  <c r="E91" i="5"/>
  <c r="I89" i="5"/>
  <c r="M87" i="5"/>
  <c r="E86" i="5"/>
  <c r="I84" i="5"/>
  <c r="M82" i="5"/>
  <c r="E81" i="5"/>
  <c r="I79" i="5"/>
  <c r="M77" i="5"/>
  <c r="E76" i="5"/>
  <c r="I74" i="5"/>
  <c r="M72" i="5"/>
  <c r="E71" i="5"/>
  <c r="I69" i="5"/>
  <c r="M67" i="5"/>
  <c r="E66" i="5"/>
  <c r="I64" i="5"/>
  <c r="M62" i="5"/>
  <c r="E61" i="5"/>
  <c r="I59" i="5"/>
  <c r="M57" i="5"/>
  <c r="E56" i="5"/>
  <c r="I54" i="5"/>
  <c r="M52" i="5"/>
  <c r="E51" i="5"/>
  <c r="I49" i="5"/>
  <c r="M47" i="5"/>
  <c r="E46" i="5"/>
  <c r="I44" i="5"/>
  <c r="M42" i="5"/>
  <c r="E41" i="5"/>
  <c r="I39" i="5"/>
  <c r="M37" i="5"/>
  <c r="E36" i="5"/>
  <c r="I34" i="5"/>
  <c r="M32" i="5"/>
  <c r="E31" i="5"/>
  <c r="I29" i="5"/>
  <c r="M27" i="5"/>
  <c r="E26" i="5"/>
  <c r="I24" i="5"/>
  <c r="M22" i="5"/>
  <c r="I631" i="4"/>
  <c r="M629" i="4"/>
  <c r="E628" i="4"/>
  <c r="I626" i="4"/>
  <c r="M624" i="4"/>
  <c r="E623" i="4"/>
  <c r="I621" i="4"/>
  <c r="M619" i="4"/>
  <c r="E618" i="4"/>
  <c r="I616" i="4"/>
  <c r="M614" i="4"/>
  <c r="E613" i="4"/>
  <c r="I611" i="4"/>
  <c r="M609" i="4"/>
  <c r="E608" i="4"/>
  <c r="I606" i="4"/>
  <c r="M604" i="4"/>
  <c r="E603" i="4"/>
  <c r="I601" i="4"/>
  <c r="M599" i="4"/>
  <c r="E598" i="4"/>
  <c r="I596" i="4"/>
  <c r="M594" i="4"/>
  <c r="H39" i="8"/>
  <c r="E1122" i="7"/>
  <c r="N1034" i="7"/>
  <c r="J980" i="7"/>
  <c r="I931" i="7"/>
  <c r="N893" i="7"/>
  <c r="B870" i="7"/>
  <c r="J843" i="7"/>
  <c r="M823" i="7"/>
  <c r="J802" i="7"/>
  <c r="K783" i="7"/>
  <c r="C767" i="7"/>
  <c r="C754" i="7"/>
  <c r="N739" i="7"/>
  <c r="I727" i="7"/>
  <c r="N714" i="7"/>
  <c r="J702" i="7"/>
  <c r="K691" i="7"/>
  <c r="E680" i="7"/>
  <c r="B670" i="7"/>
  <c r="N657" i="7"/>
  <c r="M645" i="7"/>
  <c r="C635" i="7"/>
  <c r="F625" i="7"/>
  <c r="J614" i="7"/>
  <c r="H605" i="7"/>
  <c r="C596" i="7"/>
  <c r="G586" i="7"/>
  <c r="M578" i="7"/>
  <c r="E571" i="7"/>
  <c r="I563" i="7"/>
  <c r="H547" i="7"/>
  <c r="M538" i="7"/>
  <c r="H531" i="7"/>
  <c r="M523" i="7"/>
  <c r="L516" i="7"/>
  <c r="I508" i="7"/>
  <c r="H501" i="7"/>
  <c r="K494" i="7"/>
  <c r="C487" i="7"/>
  <c r="C480" i="7"/>
  <c r="B473" i="7"/>
  <c r="L465" i="7"/>
  <c r="M458" i="7"/>
  <c r="E453" i="7"/>
  <c r="M447" i="7"/>
  <c r="M437" i="7"/>
  <c r="H432" i="7"/>
  <c r="L427" i="7"/>
  <c r="K422" i="7"/>
  <c r="E418" i="7"/>
  <c r="H413" i="7"/>
  <c r="K408" i="7"/>
  <c r="N403" i="7"/>
  <c r="H399" i="7"/>
  <c r="L394" i="7"/>
  <c r="F390" i="7"/>
  <c r="I385" i="7"/>
  <c r="L380" i="7"/>
  <c r="F376" i="7"/>
  <c r="J371" i="7"/>
  <c r="G362" i="7"/>
  <c r="F357" i="7"/>
  <c r="H352" i="7"/>
  <c r="C348" i="7"/>
  <c r="G343" i="7"/>
  <c r="E339" i="7"/>
  <c r="F329" i="7"/>
  <c r="B325" i="7"/>
  <c r="L320" i="7"/>
  <c r="I316" i="7"/>
  <c r="B312" i="7"/>
  <c r="H307" i="7"/>
  <c r="I299" i="7"/>
  <c r="N295" i="7"/>
  <c r="K292" i="7"/>
  <c r="B289" i="7"/>
  <c r="J285" i="7"/>
  <c r="K282" i="7"/>
  <c r="I279" i="7"/>
  <c r="J276" i="7"/>
  <c r="G273" i="7"/>
  <c r="N266" i="7"/>
  <c r="B264" i="7"/>
  <c r="M260" i="7"/>
  <c r="N257" i="7"/>
  <c r="M254" i="7"/>
  <c r="L251" i="7"/>
  <c r="B249" i="7"/>
  <c r="I243" i="7"/>
  <c r="J240" i="7"/>
  <c r="K237" i="7"/>
  <c r="L234" i="7"/>
  <c r="F229" i="7"/>
  <c r="M226" i="7"/>
  <c r="C224" i="7"/>
  <c r="J221" i="7"/>
  <c r="G216" i="7"/>
  <c r="N213" i="7"/>
  <c r="H211" i="7"/>
  <c r="K208" i="7"/>
  <c r="E206" i="7"/>
  <c r="L203" i="7"/>
  <c r="B201" i="7"/>
  <c r="I198" i="7"/>
  <c r="C196" i="7"/>
  <c r="F193" i="7"/>
  <c r="M190" i="7"/>
  <c r="G188" i="7"/>
  <c r="J185" i="7"/>
  <c r="K180" i="7"/>
  <c r="N177" i="7"/>
  <c r="H175" i="7"/>
  <c r="B173" i="7"/>
  <c r="E170" i="7"/>
  <c r="B168" i="7"/>
  <c r="H165" i="7"/>
  <c r="N160" i="7"/>
  <c r="N158" i="7"/>
  <c r="I156" i="7"/>
  <c r="H154" i="7"/>
  <c r="B150" i="7"/>
  <c r="L147" i="7"/>
  <c r="I145" i="7"/>
  <c r="I143" i="7"/>
  <c r="C139" i="7"/>
  <c r="L136" i="7"/>
  <c r="J134" i="7"/>
  <c r="J132" i="7"/>
  <c r="I130" i="7"/>
  <c r="I128" i="7"/>
  <c r="K126" i="7"/>
  <c r="K124" i="7"/>
  <c r="M122" i="7"/>
  <c r="M120" i="7"/>
  <c r="B119" i="7"/>
  <c r="B117" i="7"/>
  <c r="F111" i="7"/>
  <c r="F109" i="7"/>
  <c r="H107" i="7"/>
  <c r="I105" i="7"/>
  <c r="L103" i="7"/>
  <c r="B102" i="7"/>
  <c r="E100" i="7"/>
  <c r="I98" i="7"/>
  <c r="M96" i="7"/>
  <c r="H93" i="7"/>
  <c r="K91" i="7"/>
  <c r="B90" i="7"/>
  <c r="F88" i="7"/>
  <c r="J86" i="7"/>
  <c r="M84" i="7"/>
  <c r="H81" i="7"/>
  <c r="L79" i="7"/>
  <c r="C78" i="7"/>
  <c r="F76" i="7"/>
  <c r="J74" i="7"/>
  <c r="N72" i="7"/>
  <c r="E71" i="7"/>
  <c r="H69" i="7"/>
  <c r="L67" i="7"/>
  <c r="C66" i="7"/>
  <c r="G64" i="7"/>
  <c r="K62" i="7"/>
  <c r="N60" i="7"/>
  <c r="E59" i="7"/>
  <c r="J57" i="7"/>
  <c r="B56" i="7"/>
  <c r="G54" i="7"/>
  <c r="L52" i="7"/>
  <c r="J49" i="7"/>
  <c r="C48" i="7"/>
  <c r="I46" i="7"/>
  <c r="B45" i="7"/>
  <c r="H43" i="7"/>
  <c r="N41" i="7"/>
  <c r="G40" i="7"/>
  <c r="M38" i="7"/>
  <c r="F37" i="7"/>
  <c r="L35" i="7"/>
  <c r="E34" i="7"/>
  <c r="K32" i="7"/>
  <c r="J29" i="7"/>
  <c r="C28" i="7"/>
  <c r="I26" i="7"/>
  <c r="B25" i="7"/>
  <c r="H23" i="7"/>
  <c r="N21" i="7"/>
  <c r="E191" i="5"/>
  <c r="G189" i="5"/>
  <c r="I187" i="5"/>
  <c r="K185" i="5"/>
  <c r="M183" i="5"/>
  <c r="D182" i="5"/>
  <c r="F180" i="5"/>
  <c r="H178" i="5"/>
  <c r="J176" i="5"/>
  <c r="L174" i="5"/>
  <c r="B173" i="5"/>
  <c r="E171" i="5"/>
  <c r="G169" i="5"/>
  <c r="I167" i="5"/>
  <c r="K165" i="5"/>
  <c r="M163" i="5"/>
  <c r="D162" i="5"/>
  <c r="F160" i="5"/>
  <c r="H158" i="5"/>
  <c r="J156" i="5"/>
  <c r="L154" i="5"/>
  <c r="B153" i="5"/>
  <c r="E151" i="5"/>
  <c r="G149" i="5"/>
  <c r="I147" i="5"/>
  <c r="K145" i="5"/>
  <c r="M143" i="5"/>
  <c r="D142" i="5"/>
  <c r="F140" i="5"/>
  <c r="H138" i="5"/>
  <c r="J136" i="5"/>
  <c r="L134" i="5"/>
  <c r="B133" i="5"/>
  <c r="E131" i="5"/>
  <c r="H129" i="5"/>
  <c r="L127" i="5"/>
  <c r="D126" i="5"/>
  <c r="H124" i="5"/>
  <c r="L122" i="5"/>
  <c r="D121" i="5"/>
  <c r="H119" i="5"/>
  <c r="L117" i="5"/>
  <c r="D116" i="5"/>
  <c r="H114" i="5"/>
  <c r="L112" i="5"/>
  <c r="D111" i="5"/>
  <c r="H109" i="5"/>
  <c r="L107" i="5"/>
  <c r="D106" i="5"/>
  <c r="H104" i="5"/>
  <c r="L102" i="5"/>
  <c r="D101" i="5"/>
  <c r="H99" i="5"/>
  <c r="L97" i="5"/>
  <c r="D96" i="5"/>
  <c r="H94" i="5"/>
  <c r="L92" i="5"/>
  <c r="D91" i="5"/>
  <c r="H89" i="5"/>
  <c r="L87" i="5"/>
  <c r="D86" i="5"/>
  <c r="H84" i="5"/>
  <c r="L82" i="5"/>
  <c r="D81" i="5"/>
  <c r="H79" i="5"/>
  <c r="L77" i="5"/>
  <c r="D76" i="5"/>
  <c r="H74" i="5"/>
  <c r="L72" i="5"/>
  <c r="D71" i="5"/>
  <c r="H69" i="5"/>
  <c r="L67" i="5"/>
  <c r="D66" i="5"/>
  <c r="H64" i="5"/>
  <c r="L62" i="5"/>
  <c r="D61" i="5"/>
  <c r="H59" i="5"/>
  <c r="L57" i="5"/>
  <c r="D56" i="5"/>
  <c r="H54" i="5"/>
  <c r="L52" i="5"/>
  <c r="D51" i="5"/>
  <c r="H49" i="5"/>
  <c r="L47" i="5"/>
  <c r="D46" i="5"/>
  <c r="H44" i="5"/>
  <c r="L42" i="5"/>
  <c r="D41" i="5"/>
  <c r="H39" i="5"/>
  <c r="L37" i="5"/>
  <c r="D36" i="5"/>
  <c r="H34" i="5"/>
  <c r="L32" i="5"/>
  <c r="D31" i="5"/>
  <c r="H29" i="5"/>
  <c r="L27" i="5"/>
  <c r="D26" i="5"/>
  <c r="H24" i="5"/>
  <c r="L22" i="5"/>
  <c r="H631" i="4"/>
  <c r="L629" i="4"/>
  <c r="D628" i="4"/>
  <c r="H626" i="4"/>
  <c r="L624" i="4"/>
  <c r="H33" i="8"/>
  <c r="F1102" i="7"/>
  <c r="G1024" i="7"/>
  <c r="F968" i="7"/>
  <c r="H926" i="7"/>
  <c r="N890" i="7"/>
  <c r="C863" i="7"/>
  <c r="C840" i="7"/>
  <c r="F818" i="7"/>
  <c r="C798" i="7"/>
  <c r="K781" i="7"/>
  <c r="M766" i="7"/>
  <c r="M750" i="7"/>
  <c r="E738" i="7"/>
  <c r="I725" i="7"/>
  <c r="C714" i="7"/>
  <c r="B701" i="7"/>
  <c r="E690" i="7"/>
  <c r="M666" i="7"/>
  <c r="B656" i="7"/>
  <c r="I645" i="7"/>
  <c r="G634" i="7"/>
  <c r="E623" i="7"/>
  <c r="K613" i="7"/>
  <c r="L603" i="7"/>
  <c r="F595" i="7"/>
  <c r="N585" i="7"/>
  <c r="G577" i="7"/>
  <c r="C569" i="7"/>
  <c r="B562" i="7"/>
  <c r="L553" i="7"/>
  <c r="J546" i="7"/>
  <c r="F538" i="7"/>
  <c r="C530" i="7"/>
  <c r="M522" i="7"/>
  <c r="B515" i="7"/>
  <c r="F508" i="7"/>
  <c r="K500" i="7"/>
  <c r="B493" i="7"/>
  <c r="G485" i="7"/>
  <c r="M478" i="7"/>
  <c r="G471" i="7"/>
  <c r="C458" i="7"/>
  <c r="B452" i="7"/>
  <c r="E447" i="7"/>
  <c r="F442" i="7"/>
  <c r="F437" i="7"/>
  <c r="N431" i="7"/>
  <c r="N426" i="7"/>
  <c r="K421" i="7"/>
  <c r="F417" i="7"/>
  <c r="J412" i="7"/>
  <c r="H408" i="7"/>
  <c r="G403" i="7"/>
  <c r="I398" i="7"/>
  <c r="G389" i="7"/>
  <c r="B385" i="7"/>
  <c r="G370" i="7"/>
  <c r="N365" i="7"/>
  <c r="E361" i="7"/>
  <c r="B357" i="7"/>
  <c r="B352" i="7"/>
  <c r="E347" i="7"/>
  <c r="L342" i="7"/>
  <c r="C338" i="7"/>
  <c r="J333" i="7"/>
  <c r="M328" i="7"/>
  <c r="J319" i="7"/>
  <c r="K315" i="7"/>
  <c r="E311" i="7"/>
  <c r="E307" i="7"/>
  <c r="K302" i="7"/>
  <c r="M298" i="7"/>
  <c r="J295" i="7"/>
  <c r="B292" i="7"/>
  <c r="L288" i="7"/>
  <c r="G285" i="7"/>
  <c r="C282" i="7"/>
  <c r="M278" i="7"/>
  <c r="N275" i="7"/>
  <c r="L272" i="7"/>
  <c r="M269" i="7"/>
  <c r="J266" i="7"/>
  <c r="G263" i="7"/>
  <c r="H260" i="7"/>
  <c r="G257" i="7"/>
  <c r="J254" i="7"/>
  <c r="I251" i="7"/>
  <c r="H248" i="7"/>
  <c r="I245" i="7"/>
  <c r="N242" i="7"/>
  <c r="C240" i="7"/>
  <c r="H237" i="7"/>
  <c r="I234" i="7"/>
  <c r="J231" i="7"/>
  <c r="B229" i="7"/>
  <c r="J226" i="7"/>
  <c r="M223" i="7"/>
  <c r="F221" i="7"/>
  <c r="N218" i="7"/>
  <c r="J213" i="7"/>
  <c r="E211" i="7"/>
  <c r="H208" i="7"/>
  <c r="N205" i="7"/>
  <c r="I203" i="7"/>
  <c r="L200" i="7"/>
  <c r="E198" i="7"/>
  <c r="M195" i="7"/>
  <c r="C193" i="7"/>
  <c r="I190" i="7"/>
  <c r="G185" i="7"/>
  <c r="M182" i="7"/>
  <c r="H180" i="7"/>
  <c r="K177" i="7"/>
  <c r="L172" i="7"/>
  <c r="B170" i="7"/>
  <c r="I167" i="7"/>
  <c r="E165" i="7"/>
  <c r="M162" i="7"/>
  <c r="K160" i="7"/>
  <c r="H158" i="7"/>
  <c r="E156" i="7"/>
  <c r="L151" i="7"/>
  <c r="L149" i="7"/>
  <c r="H147" i="7"/>
  <c r="F145" i="7"/>
  <c r="C143" i="7"/>
  <c r="M140" i="7"/>
  <c r="L138" i="7"/>
  <c r="G136" i="7"/>
  <c r="G134" i="7"/>
  <c r="F132" i="7"/>
  <c r="F128" i="7"/>
  <c r="G126" i="7"/>
  <c r="H124" i="7"/>
  <c r="H122" i="7"/>
  <c r="J120" i="7"/>
  <c r="K118" i="7"/>
  <c r="L116" i="7"/>
  <c r="L114" i="7"/>
  <c r="N112" i="7"/>
  <c r="B111" i="7"/>
  <c r="C109" i="7"/>
  <c r="C107" i="7"/>
  <c r="F105" i="7"/>
  <c r="I103" i="7"/>
  <c r="K101" i="7"/>
  <c r="B100" i="7"/>
  <c r="F98" i="7"/>
  <c r="J96" i="7"/>
  <c r="M94" i="7"/>
  <c r="H91" i="7"/>
  <c r="L89" i="7"/>
  <c r="B88" i="7"/>
  <c r="F86" i="7"/>
  <c r="J84" i="7"/>
  <c r="N82" i="7"/>
  <c r="E81" i="7"/>
  <c r="H79" i="7"/>
  <c r="L77" i="7"/>
  <c r="C76" i="7"/>
  <c r="G74" i="7"/>
  <c r="J72" i="7"/>
  <c r="N70" i="7"/>
  <c r="E69" i="7"/>
  <c r="I67" i="7"/>
  <c r="M65" i="7"/>
  <c r="C64" i="7"/>
  <c r="G62" i="7"/>
  <c r="K60" i="7"/>
  <c r="B59" i="7"/>
  <c r="G57" i="7"/>
  <c r="K55" i="7"/>
  <c r="C54" i="7"/>
  <c r="H52" i="7"/>
  <c r="N50" i="7"/>
  <c r="G49" i="7"/>
  <c r="M47" i="7"/>
  <c r="F46" i="7"/>
  <c r="L44" i="7"/>
  <c r="E43" i="7"/>
  <c r="K41" i="7"/>
  <c r="J38" i="7"/>
  <c r="C37" i="7"/>
  <c r="I35" i="7"/>
  <c r="B34" i="7"/>
  <c r="H32" i="7"/>
  <c r="N30" i="7"/>
  <c r="G29" i="7"/>
  <c r="M27" i="7"/>
  <c r="F26" i="7"/>
  <c r="L24" i="7"/>
  <c r="E23" i="7"/>
  <c r="K21" i="7"/>
  <c r="K192" i="5"/>
  <c r="M190" i="5"/>
  <c r="D189" i="5"/>
  <c r="F187" i="5"/>
  <c r="H185" i="5"/>
  <c r="J183" i="5"/>
  <c r="L181" i="5"/>
  <c r="B180" i="5"/>
  <c r="E178" i="5"/>
  <c r="G176" i="5"/>
  <c r="I174" i="5"/>
  <c r="K172" i="5"/>
  <c r="M170" i="5"/>
  <c r="D169" i="5"/>
  <c r="F167" i="5"/>
  <c r="H165" i="5"/>
  <c r="J163" i="5"/>
  <c r="L161" i="5"/>
  <c r="B160" i="5"/>
  <c r="E158" i="5"/>
  <c r="G156" i="5"/>
  <c r="I154" i="5"/>
  <c r="K152" i="5"/>
  <c r="M150" i="5"/>
  <c r="D149" i="5"/>
  <c r="F147" i="5"/>
  <c r="H145" i="5"/>
  <c r="J143" i="5"/>
  <c r="L141" i="5"/>
  <c r="B140" i="5"/>
  <c r="E138" i="5"/>
  <c r="G136" i="5"/>
  <c r="I134" i="5"/>
  <c r="K132" i="5"/>
  <c r="M130" i="5"/>
  <c r="E129" i="5"/>
  <c r="I127" i="5"/>
  <c r="M125" i="5"/>
  <c r="E124" i="5"/>
  <c r="I122" i="5"/>
  <c r="M120" i="5"/>
  <c r="E119" i="5"/>
  <c r="I117" i="5"/>
  <c r="M115" i="5"/>
  <c r="E114" i="5"/>
  <c r="I112" i="5"/>
  <c r="M110" i="5"/>
  <c r="E109" i="5"/>
  <c r="I107" i="5"/>
  <c r="M105" i="5"/>
  <c r="E104" i="5"/>
  <c r="I102" i="5"/>
  <c r="M100" i="5"/>
  <c r="E99" i="5"/>
  <c r="I97" i="5"/>
  <c r="M95" i="5"/>
  <c r="E94" i="5"/>
  <c r="I92" i="5"/>
  <c r="M90" i="5"/>
  <c r="E89" i="5"/>
  <c r="I87" i="5"/>
  <c r="M85" i="5"/>
  <c r="E84" i="5"/>
  <c r="I82" i="5"/>
  <c r="M80" i="5"/>
  <c r="E79" i="5"/>
  <c r="I77" i="5"/>
  <c r="M75" i="5"/>
  <c r="E74" i="5"/>
  <c r="I72" i="5"/>
  <c r="M70" i="5"/>
  <c r="E69" i="5"/>
  <c r="I67" i="5"/>
  <c r="M65" i="5"/>
  <c r="E64" i="5"/>
  <c r="I62" i="5"/>
  <c r="M60" i="5"/>
  <c r="E59" i="5"/>
  <c r="I57" i="5"/>
  <c r="M55" i="5"/>
  <c r="E54" i="5"/>
  <c r="I52" i="5"/>
  <c r="M50" i="5"/>
  <c r="E49" i="5"/>
  <c r="I47" i="5"/>
  <c r="M45" i="5"/>
  <c r="E44" i="5"/>
  <c r="I42" i="5"/>
  <c r="M40" i="5"/>
  <c r="E39" i="5"/>
  <c r="I37" i="5"/>
  <c r="E1097" i="7"/>
  <c r="F1012" i="7"/>
  <c r="J958" i="7"/>
  <c r="E919" i="7"/>
  <c r="C886" i="7"/>
  <c r="B862" i="7"/>
  <c r="F837" i="7"/>
  <c r="I814" i="7"/>
  <c r="K796" i="7"/>
  <c r="L778" i="7"/>
  <c r="L764" i="7"/>
  <c r="B736" i="7"/>
  <c r="G722" i="7"/>
  <c r="B711" i="7"/>
  <c r="K688" i="7"/>
  <c r="J676" i="7"/>
  <c r="M664" i="7"/>
  <c r="I654" i="7"/>
  <c r="B643" i="7"/>
  <c r="E633" i="7"/>
  <c r="I622" i="7"/>
  <c r="C611" i="7"/>
  <c r="C602" i="7"/>
  <c r="B593" i="7"/>
  <c r="N583" i="7"/>
  <c r="F576" i="7"/>
  <c r="J568" i="7"/>
  <c r="N559" i="7"/>
  <c r="M552" i="7"/>
  <c r="E545" i="7"/>
  <c r="M537" i="7"/>
  <c r="H521" i="7"/>
  <c r="J513" i="7"/>
  <c r="I506" i="7"/>
  <c r="F499" i="7"/>
  <c r="L492" i="7"/>
  <c r="C485" i="7"/>
  <c r="H477" i="7"/>
  <c r="C471" i="7"/>
  <c r="M463" i="7"/>
  <c r="K457" i="7"/>
  <c r="K451" i="7"/>
  <c r="F446" i="7"/>
  <c r="B441" i="7"/>
  <c r="F436" i="7"/>
  <c r="C431" i="7"/>
  <c r="F426" i="7"/>
  <c r="E421" i="7"/>
  <c r="H416" i="7"/>
  <c r="B412" i="7"/>
  <c r="F407" i="7"/>
  <c r="M402" i="7"/>
  <c r="C398" i="7"/>
  <c r="F393" i="7"/>
  <c r="I388" i="7"/>
  <c r="C384" i="7"/>
  <c r="G379" i="7"/>
  <c r="N374" i="7"/>
  <c r="G365" i="7"/>
  <c r="N360" i="7"/>
  <c r="E356" i="7"/>
  <c r="L351" i="7"/>
  <c r="B347" i="7"/>
  <c r="N341" i="7"/>
  <c r="C337" i="7"/>
  <c r="K332" i="7"/>
  <c r="B328" i="7"/>
  <c r="N323" i="7"/>
  <c r="G319" i="7"/>
  <c r="M314" i="7"/>
  <c r="M310" i="7"/>
  <c r="H306" i="7"/>
  <c r="H302" i="7"/>
  <c r="J298" i="7"/>
  <c r="N294" i="7"/>
  <c r="E291" i="7"/>
  <c r="B288" i="7"/>
  <c r="L284" i="7"/>
  <c r="M281" i="7"/>
  <c r="J278" i="7"/>
  <c r="G275" i="7"/>
  <c r="H272" i="7"/>
  <c r="F269" i="7"/>
  <c r="G266" i="7"/>
  <c r="N259" i="7"/>
  <c r="K256" i="7"/>
  <c r="B254" i="7"/>
  <c r="B251" i="7"/>
  <c r="E248" i="7"/>
  <c r="F245" i="7"/>
  <c r="G242" i="7"/>
  <c r="L239" i="7"/>
  <c r="N236" i="7"/>
  <c r="F234" i="7"/>
  <c r="G231" i="7"/>
  <c r="I228" i="7"/>
  <c r="B226" i="7"/>
  <c r="J223" i="7"/>
  <c r="M220" i="7"/>
  <c r="F218" i="7"/>
  <c r="N215" i="7"/>
  <c r="J210" i="7"/>
  <c r="E208" i="7"/>
  <c r="H205" i="7"/>
  <c r="N202" i="7"/>
  <c r="I200" i="7"/>
  <c r="L197" i="7"/>
  <c r="E195" i="7"/>
  <c r="M192" i="7"/>
  <c r="C190" i="7"/>
  <c r="I187" i="7"/>
  <c r="G182" i="7"/>
  <c r="M179" i="7"/>
  <c r="H177" i="7"/>
  <c r="K174" i="7"/>
  <c r="L169" i="7"/>
  <c r="C167" i="7"/>
  <c r="N164" i="7"/>
  <c r="H162" i="7"/>
  <c r="H160" i="7"/>
  <c r="C158" i="7"/>
  <c r="B156" i="7"/>
  <c r="K153" i="7"/>
  <c r="I151" i="7"/>
  <c r="F149" i="7"/>
  <c r="C147" i="7"/>
  <c r="C145" i="7"/>
  <c r="K142" i="7"/>
  <c r="J140" i="7"/>
  <c r="F138" i="7"/>
  <c r="C134" i="7"/>
  <c r="N131" i="7"/>
  <c r="N129" i="7"/>
  <c r="B128" i="7"/>
  <c r="C126" i="7"/>
  <c r="C124" i="7"/>
  <c r="E122" i="7"/>
  <c r="F120" i="7"/>
  <c r="G118" i="7"/>
  <c r="G116" i="7"/>
  <c r="I114" i="7"/>
  <c r="J112" i="7"/>
  <c r="K110" i="7"/>
  <c r="K108" i="7"/>
  <c r="M106" i="7"/>
  <c r="C105" i="7"/>
  <c r="H101" i="7"/>
  <c r="L99" i="7"/>
  <c r="C98" i="7"/>
  <c r="F96" i="7"/>
  <c r="J94" i="7"/>
  <c r="N92" i="7"/>
  <c r="E91" i="7"/>
  <c r="H89" i="7"/>
  <c r="L87" i="7"/>
  <c r="C86" i="7"/>
  <c r="G84" i="7"/>
  <c r="K82" i="7"/>
  <c r="N80" i="7"/>
  <c r="E79" i="7"/>
  <c r="I77" i="7"/>
  <c r="M75" i="7"/>
  <c r="C74" i="7"/>
  <c r="G72" i="7"/>
  <c r="K70" i="7"/>
  <c r="B69" i="7"/>
  <c r="F67" i="7"/>
  <c r="I65" i="7"/>
  <c r="M63" i="7"/>
  <c r="H60" i="7"/>
  <c r="K58" i="7"/>
  <c r="C57" i="7"/>
  <c r="H55" i="7"/>
  <c r="M53" i="7"/>
  <c r="E52" i="7"/>
  <c r="K50" i="7"/>
  <c r="J47" i="7"/>
  <c r="C46" i="7"/>
  <c r="I44" i="7"/>
  <c r="B43" i="7"/>
  <c r="H41" i="7"/>
  <c r="N39" i="7"/>
  <c r="G38" i="7"/>
  <c r="M36" i="7"/>
  <c r="F35" i="7"/>
  <c r="L33" i="7"/>
  <c r="E32" i="7"/>
  <c r="K30" i="7"/>
  <c r="J27" i="7"/>
  <c r="C26" i="7"/>
  <c r="I24" i="7"/>
  <c r="B23" i="7"/>
  <c r="H21" i="7"/>
  <c r="H192" i="5"/>
  <c r="J190" i="5"/>
  <c r="L188" i="5"/>
  <c r="B187" i="5"/>
  <c r="E185" i="5"/>
  <c r="G183" i="5"/>
  <c r="I181" i="5"/>
  <c r="K179" i="5"/>
  <c r="M177" i="5"/>
  <c r="D176" i="5"/>
  <c r="F174" i="5"/>
  <c r="H172" i="5"/>
  <c r="J170" i="5"/>
  <c r="L168" i="5"/>
  <c r="B167" i="5"/>
  <c r="E165" i="5"/>
  <c r="G163" i="5"/>
  <c r="I161" i="5"/>
  <c r="K159" i="5"/>
  <c r="M157" i="5"/>
  <c r="D156" i="5"/>
  <c r="F154" i="5"/>
  <c r="H152" i="5"/>
  <c r="J150" i="5"/>
  <c r="L148" i="5"/>
  <c r="B147" i="5"/>
  <c r="E145" i="5"/>
  <c r="G143" i="5"/>
  <c r="I141" i="5"/>
  <c r="K139" i="5"/>
  <c r="M137" i="5"/>
  <c r="D136" i="5"/>
  <c r="F134" i="5"/>
  <c r="H132" i="5"/>
  <c r="J130" i="5"/>
  <c r="B129" i="5"/>
  <c r="F127" i="5"/>
  <c r="J125" i="5"/>
  <c r="B124" i="5"/>
  <c r="F122" i="5"/>
  <c r="J120" i="5"/>
  <c r="B119" i="5"/>
  <c r="F117" i="5"/>
  <c r="J115" i="5"/>
  <c r="B114" i="5"/>
  <c r="F112" i="5"/>
  <c r="J110" i="5"/>
  <c r="B109" i="5"/>
  <c r="F107" i="5"/>
  <c r="J105" i="5"/>
  <c r="B104" i="5"/>
  <c r="F102" i="5"/>
  <c r="J100" i="5"/>
  <c r="B99" i="5"/>
  <c r="F97" i="5"/>
  <c r="J95" i="5"/>
  <c r="B94" i="5"/>
  <c r="F92" i="5"/>
  <c r="J90" i="5"/>
  <c r="B89" i="5"/>
  <c r="F87" i="5"/>
  <c r="J85" i="5"/>
  <c r="B84" i="5"/>
  <c r="F82" i="5"/>
  <c r="J80" i="5"/>
  <c r="B79" i="5"/>
  <c r="F77" i="5"/>
  <c r="J75" i="5"/>
  <c r="B74" i="5"/>
  <c r="F72" i="5"/>
  <c r="J70" i="5"/>
  <c r="B69" i="5"/>
  <c r="F67" i="5"/>
  <c r="J65" i="5"/>
  <c r="B64" i="5"/>
  <c r="F62" i="5"/>
  <c r="J60" i="5"/>
  <c r="B59" i="5"/>
  <c r="F57" i="5"/>
  <c r="J55" i="5"/>
  <c r="B54" i="5"/>
  <c r="F52" i="5"/>
  <c r="J50" i="5"/>
  <c r="M1222" i="7"/>
  <c r="M1089" i="7"/>
  <c r="E1012" i="7"/>
  <c r="I958" i="7"/>
  <c r="G915" i="7"/>
  <c r="N885" i="7"/>
  <c r="M861" i="7"/>
  <c r="E837" i="7"/>
  <c r="H814" i="7"/>
  <c r="N793" i="7"/>
  <c r="G778" i="7"/>
  <c r="J762" i="7"/>
  <c r="C750" i="7"/>
  <c r="J735" i="7"/>
  <c r="E722" i="7"/>
  <c r="N710" i="7"/>
  <c r="C699" i="7"/>
  <c r="I688" i="7"/>
  <c r="H676" i="7"/>
  <c r="K664" i="7"/>
  <c r="M652" i="7"/>
  <c r="H642" i="7"/>
  <c r="J631" i="7"/>
  <c r="B611" i="7"/>
  <c r="I601" i="7"/>
  <c r="N592" i="7"/>
  <c r="M583" i="7"/>
  <c r="E576" i="7"/>
  <c r="E568" i="7"/>
  <c r="M559" i="7"/>
  <c r="H544" i="7"/>
  <c r="E536" i="7"/>
  <c r="C529" i="7"/>
  <c r="G521" i="7"/>
  <c r="B513" i="7"/>
  <c r="H506" i="7"/>
  <c r="E499" i="7"/>
  <c r="K492" i="7"/>
  <c r="H484" i="7"/>
  <c r="G477" i="7"/>
  <c r="N469" i="7"/>
  <c r="G463" i="7"/>
  <c r="L456" i="7"/>
  <c r="J451" i="7"/>
  <c r="E446" i="7"/>
  <c r="N440" i="7"/>
  <c r="E436" i="7"/>
  <c r="N430" i="7"/>
  <c r="E426" i="7"/>
  <c r="G416" i="7"/>
  <c r="J411" i="7"/>
  <c r="H402" i="7"/>
  <c r="B398" i="7"/>
  <c r="E393" i="7"/>
  <c r="H388" i="7"/>
  <c r="B384" i="7"/>
  <c r="F379" i="7"/>
  <c r="M374" i="7"/>
  <c r="C370" i="7"/>
  <c r="B365" i="7"/>
  <c r="L355" i="7"/>
  <c r="C351" i="7"/>
  <c r="N346" i="7"/>
  <c r="M341" i="7"/>
  <c r="B337" i="7"/>
  <c r="J332" i="7"/>
  <c r="M327" i="7"/>
  <c r="M323" i="7"/>
  <c r="F319" i="7"/>
  <c r="L314" i="7"/>
  <c r="E310" i="7"/>
  <c r="E306" i="7"/>
  <c r="M301" i="7"/>
  <c r="I298" i="7"/>
  <c r="M294" i="7"/>
  <c r="N287" i="7"/>
  <c r="K284" i="7"/>
  <c r="L281" i="7"/>
  <c r="I278" i="7"/>
  <c r="F275" i="7"/>
  <c r="B272" i="7"/>
  <c r="N265" i="7"/>
  <c r="C263" i="7"/>
  <c r="L259" i="7"/>
  <c r="J256" i="7"/>
  <c r="N253" i="7"/>
  <c r="N250" i="7"/>
  <c r="E245" i="7"/>
  <c r="F242" i="7"/>
  <c r="G239" i="7"/>
  <c r="L236" i="7"/>
  <c r="N233" i="7"/>
  <c r="F231" i="7"/>
  <c r="H228" i="7"/>
  <c r="N225" i="7"/>
  <c r="I223" i="7"/>
  <c r="L220" i="7"/>
  <c r="E218" i="7"/>
  <c r="M215" i="7"/>
  <c r="C213" i="7"/>
  <c r="I210" i="7"/>
  <c r="G205" i="7"/>
  <c r="M202" i="7"/>
  <c r="H200" i="7"/>
  <c r="K197" i="7"/>
  <c r="L192" i="7"/>
  <c r="B190" i="7"/>
  <c r="H187" i="7"/>
  <c r="C185" i="7"/>
  <c r="F182" i="7"/>
  <c r="L179" i="7"/>
  <c r="G177" i="7"/>
  <c r="J174" i="7"/>
  <c r="C172" i="7"/>
  <c r="K169" i="7"/>
  <c r="B167" i="7"/>
  <c r="K164" i="7"/>
  <c r="G162" i="7"/>
  <c r="F160" i="7"/>
  <c r="N157" i="7"/>
  <c r="N155" i="7"/>
  <c r="J153" i="7"/>
  <c r="H151" i="7"/>
  <c r="E149" i="7"/>
  <c r="B147" i="7"/>
  <c r="N144" i="7"/>
  <c r="I142" i="7"/>
  <c r="I140" i="7"/>
  <c r="E138" i="7"/>
  <c r="C136" i="7"/>
  <c r="N133" i="7"/>
  <c r="L131" i="7"/>
  <c r="M129" i="7"/>
  <c r="N127" i="7"/>
  <c r="B126" i="7"/>
  <c r="B124" i="7"/>
  <c r="E120" i="7"/>
  <c r="F118" i="7"/>
  <c r="F116" i="7"/>
  <c r="H114" i="7"/>
  <c r="I112" i="7"/>
  <c r="J110" i="7"/>
  <c r="J108" i="7"/>
  <c r="L106" i="7"/>
  <c r="N104" i="7"/>
  <c r="C103" i="7"/>
  <c r="G101" i="7"/>
  <c r="K99" i="7"/>
  <c r="N97" i="7"/>
  <c r="E96" i="7"/>
  <c r="I94" i="7"/>
  <c r="M92" i="7"/>
  <c r="C91" i="7"/>
  <c r="G89" i="7"/>
  <c r="K87" i="7"/>
  <c r="B86" i="7"/>
  <c r="F84" i="7"/>
  <c r="I82" i="7"/>
  <c r="M80" i="7"/>
  <c r="H77" i="7"/>
  <c r="K75" i="7"/>
  <c r="B74" i="7"/>
  <c r="F72" i="7"/>
  <c r="J70" i="7"/>
  <c r="N68" i="7"/>
  <c r="H65" i="7"/>
  <c r="L63" i="7"/>
  <c r="C62" i="7"/>
  <c r="F60" i="7"/>
  <c r="J58" i="7"/>
  <c r="B57" i="7"/>
  <c r="G55" i="7"/>
  <c r="L53" i="7"/>
  <c r="J50" i="7"/>
  <c r="C49" i="7"/>
  <c r="I47" i="7"/>
  <c r="B46" i="7"/>
  <c r="H44" i="7"/>
  <c r="N42" i="7"/>
  <c r="G41" i="7"/>
  <c r="M39" i="7"/>
  <c r="F38" i="7"/>
  <c r="L36" i="7"/>
  <c r="E35" i="7"/>
  <c r="K33" i="7"/>
  <c r="J30" i="7"/>
  <c r="C29" i="7"/>
  <c r="I27" i="7"/>
  <c r="B26" i="7"/>
  <c r="H24" i="7"/>
  <c r="N22" i="7"/>
  <c r="G21" i="7"/>
  <c r="G192" i="5"/>
  <c r="I190" i="5"/>
  <c r="K188" i="5"/>
  <c r="M186" i="5"/>
  <c r="D185" i="5"/>
  <c r="F183" i="5"/>
  <c r="H181" i="5"/>
  <c r="J179" i="5"/>
  <c r="L177" i="5"/>
  <c r="B176" i="5"/>
  <c r="E174" i="5"/>
  <c r="G172" i="5"/>
  <c r="I170" i="5"/>
  <c r="K168" i="5"/>
  <c r="M166" i="5"/>
  <c r="D165" i="5"/>
  <c r="F163" i="5"/>
  <c r="H161" i="5"/>
  <c r="J159" i="5"/>
  <c r="L157" i="5"/>
  <c r="B156" i="5"/>
  <c r="E154" i="5"/>
  <c r="G152" i="5"/>
  <c r="I150" i="5"/>
  <c r="K148" i="5"/>
  <c r="M146" i="5"/>
  <c r="D145" i="5"/>
  <c r="F143" i="5"/>
  <c r="H141" i="5"/>
  <c r="J139" i="5"/>
  <c r="L137" i="5"/>
  <c r="B136" i="5"/>
  <c r="E134" i="5"/>
  <c r="G132" i="5"/>
  <c r="I130" i="5"/>
  <c r="M128" i="5"/>
  <c r="E127" i="5"/>
  <c r="I125" i="5"/>
  <c r="M123" i="5"/>
  <c r="E122" i="5"/>
  <c r="I120" i="5"/>
  <c r="M118" i="5"/>
  <c r="E117" i="5"/>
  <c r="I115" i="5"/>
  <c r="M113" i="5"/>
  <c r="E112" i="5"/>
  <c r="I110" i="5"/>
  <c r="M108" i="5"/>
  <c r="E107" i="5"/>
  <c r="I105" i="5"/>
  <c r="M103" i="5"/>
  <c r="E102" i="5"/>
  <c r="I100" i="5"/>
  <c r="M98" i="5"/>
  <c r="E97" i="5"/>
  <c r="I95" i="5"/>
  <c r="M93" i="5"/>
  <c r="E92" i="5"/>
  <c r="I90" i="5"/>
  <c r="M88" i="5"/>
  <c r="E87" i="5"/>
  <c r="I85" i="5"/>
  <c r="M83" i="5"/>
  <c r="E82" i="5"/>
  <c r="I80" i="5"/>
  <c r="M78" i="5"/>
  <c r="E77" i="5"/>
  <c r="I75" i="5"/>
  <c r="M73" i="5"/>
  <c r="E72" i="5"/>
  <c r="I70" i="5"/>
  <c r="M68" i="5"/>
  <c r="E67" i="5"/>
  <c r="I65" i="5"/>
  <c r="M63" i="5"/>
  <c r="E62" i="5"/>
  <c r="I60" i="5"/>
  <c r="M58" i="5"/>
  <c r="E57" i="5"/>
  <c r="I55" i="5"/>
  <c r="M53" i="5"/>
  <c r="J63" i="10"/>
  <c r="B1207" i="7"/>
  <c r="I1086" i="7"/>
  <c r="C1012" i="7"/>
  <c r="G954" i="7"/>
  <c r="C913" i="7"/>
  <c r="H885" i="7"/>
  <c r="E858" i="7"/>
  <c r="G835" i="7"/>
  <c r="G814" i="7"/>
  <c r="L793" i="7"/>
  <c r="B777" i="7"/>
  <c r="I762" i="7"/>
  <c r="B750" i="7"/>
  <c r="I735" i="7"/>
  <c r="L721" i="7"/>
  <c r="B709" i="7"/>
  <c r="J698" i="7"/>
  <c r="M686" i="7"/>
  <c r="G676" i="7"/>
  <c r="F664" i="7"/>
  <c r="I652" i="7"/>
  <c r="G642" i="7"/>
  <c r="I631" i="7"/>
  <c r="L621" i="7"/>
  <c r="N610" i="7"/>
  <c r="H601" i="7"/>
  <c r="J591" i="7"/>
  <c r="K583" i="7"/>
  <c r="E575" i="7"/>
  <c r="L559" i="7"/>
  <c r="I551" i="7"/>
  <c r="G544" i="7"/>
  <c r="B529" i="7"/>
  <c r="L520" i="7"/>
  <c r="N512" i="7"/>
  <c r="L505" i="7"/>
  <c r="L498" i="7"/>
  <c r="G484" i="7"/>
  <c r="F477" i="7"/>
  <c r="I469" i="7"/>
  <c r="K456" i="7"/>
  <c r="I451" i="7"/>
  <c r="M445" i="7"/>
  <c r="M440" i="7"/>
  <c r="H435" i="7"/>
  <c r="H430" i="7"/>
  <c r="I425" i="7"/>
  <c r="C421" i="7"/>
  <c r="F416" i="7"/>
  <c r="I411" i="7"/>
  <c r="C407" i="7"/>
  <c r="G402" i="7"/>
  <c r="N397" i="7"/>
  <c r="C388" i="7"/>
  <c r="E383" i="7"/>
  <c r="M378" i="7"/>
  <c r="B370" i="7"/>
  <c r="N364" i="7"/>
  <c r="C360" i="7"/>
  <c r="K355" i="7"/>
  <c r="N350" i="7"/>
  <c r="I346" i="7"/>
  <c r="K341" i="7"/>
  <c r="K336" i="7"/>
  <c r="N331" i="7"/>
  <c r="H327" i="7"/>
  <c r="E319" i="7"/>
  <c r="K314" i="7"/>
  <c r="N305" i="7"/>
  <c r="L301" i="7"/>
  <c r="H298" i="7"/>
  <c r="L294" i="7"/>
  <c r="C291" i="7"/>
  <c r="H287" i="7"/>
  <c r="I284" i="7"/>
  <c r="F281" i="7"/>
  <c r="H278" i="7"/>
  <c r="N271" i="7"/>
  <c r="B269" i="7"/>
  <c r="M265" i="7"/>
  <c r="B263" i="7"/>
  <c r="K259" i="7"/>
  <c r="I256" i="7"/>
  <c r="H253" i="7"/>
  <c r="L250" i="7"/>
  <c r="L247" i="7"/>
  <c r="E242" i="7"/>
  <c r="F239" i="7"/>
  <c r="K236" i="7"/>
  <c r="M233" i="7"/>
  <c r="E231" i="7"/>
  <c r="G228" i="7"/>
  <c r="J225" i="7"/>
  <c r="K220" i="7"/>
  <c r="N217" i="7"/>
  <c r="H215" i="7"/>
  <c r="B213" i="7"/>
  <c r="E210" i="7"/>
  <c r="L207" i="7"/>
  <c r="F205" i="7"/>
  <c r="I202" i="7"/>
  <c r="C200" i="7"/>
  <c r="J197" i="7"/>
  <c r="M194" i="7"/>
  <c r="G192" i="7"/>
  <c r="N189" i="7"/>
  <c r="K184" i="7"/>
  <c r="E182" i="7"/>
  <c r="H179" i="7"/>
  <c r="B177" i="7"/>
  <c r="I174" i="7"/>
  <c r="L171" i="7"/>
  <c r="F169" i="7"/>
  <c r="N166" i="7"/>
  <c r="J164" i="7"/>
  <c r="F162" i="7"/>
  <c r="C160" i="7"/>
  <c r="M157" i="7"/>
  <c r="M155" i="7"/>
  <c r="H153" i="7"/>
  <c r="G151" i="7"/>
  <c r="C149" i="7"/>
  <c r="N146" i="7"/>
  <c r="K144" i="7"/>
  <c r="H142" i="7"/>
  <c r="H140" i="7"/>
  <c r="C138" i="7"/>
  <c r="B136" i="7"/>
  <c r="M133" i="7"/>
  <c r="K131" i="7"/>
  <c r="L129" i="7"/>
  <c r="L127" i="7"/>
  <c r="N125" i="7"/>
  <c r="N123" i="7"/>
  <c r="C122" i="7"/>
  <c r="C120" i="7"/>
  <c r="E118" i="7"/>
  <c r="E116" i="7"/>
  <c r="G114" i="7"/>
  <c r="G112" i="7"/>
  <c r="I110" i="7"/>
  <c r="I108" i="7"/>
  <c r="K106" i="7"/>
  <c r="M104" i="7"/>
  <c r="B103" i="7"/>
  <c r="F101" i="7"/>
  <c r="J99" i="7"/>
  <c r="M97" i="7"/>
  <c r="H94" i="7"/>
  <c r="L92" i="7"/>
  <c r="B91" i="7"/>
  <c r="F89" i="7"/>
  <c r="J87" i="7"/>
  <c r="N85" i="7"/>
  <c r="E84" i="7"/>
  <c r="H82" i="7"/>
  <c r="L80" i="7"/>
  <c r="C79" i="7"/>
  <c r="G77" i="7"/>
  <c r="J75" i="7"/>
  <c r="N73" i="7"/>
  <c r="E72" i="7"/>
  <c r="I70" i="7"/>
  <c r="M68" i="7"/>
  <c r="C67" i="7"/>
  <c r="G65" i="7"/>
  <c r="K63" i="7"/>
  <c r="B62" i="7"/>
  <c r="E60" i="7"/>
  <c r="I58" i="7"/>
  <c r="N56" i="7"/>
  <c r="F55" i="7"/>
  <c r="K53" i="7"/>
  <c r="C52" i="7"/>
  <c r="I50" i="7"/>
  <c r="B49" i="7"/>
  <c r="H47" i="7"/>
  <c r="N45" i="7"/>
  <c r="G44" i="7"/>
  <c r="M42" i="7"/>
  <c r="F41" i="7"/>
  <c r="L39" i="7"/>
  <c r="E38" i="7"/>
  <c r="K36" i="7"/>
  <c r="J33" i="7"/>
  <c r="C32" i="7"/>
  <c r="I30" i="7"/>
  <c r="B29" i="7"/>
  <c r="H27" i="7"/>
  <c r="N25" i="7"/>
  <c r="G24" i="7"/>
  <c r="M22" i="7"/>
  <c r="F21" i="7"/>
  <c r="F192" i="5"/>
  <c r="H190" i="5"/>
  <c r="J188" i="5"/>
  <c r="L186" i="5"/>
  <c r="B185" i="5"/>
  <c r="E183" i="5"/>
  <c r="G181" i="5"/>
  <c r="I179" i="5"/>
  <c r="K177" i="5"/>
  <c r="M175" i="5"/>
  <c r="D174" i="5"/>
  <c r="F172" i="5"/>
  <c r="H170" i="5"/>
  <c r="J168" i="5"/>
  <c r="L166" i="5"/>
  <c r="B165" i="5"/>
  <c r="E163" i="5"/>
  <c r="G161" i="5"/>
  <c r="I159" i="5"/>
  <c r="K157" i="5"/>
  <c r="M155" i="5"/>
  <c r="D154" i="5"/>
  <c r="F152" i="5"/>
  <c r="H150" i="5"/>
  <c r="J148" i="5"/>
  <c r="L146" i="5"/>
  <c r="B145" i="5"/>
  <c r="E143" i="5"/>
  <c r="G141" i="5"/>
  <c r="I139" i="5"/>
  <c r="K137" i="5"/>
  <c r="M135" i="5"/>
  <c r="D134" i="5"/>
  <c r="F132" i="5"/>
  <c r="H130" i="5"/>
  <c r="L128" i="5"/>
  <c r="D127" i="5"/>
  <c r="H125" i="5"/>
  <c r="L123" i="5"/>
  <c r="D122" i="5"/>
  <c r="H120" i="5"/>
  <c r="L118" i="5"/>
  <c r="D117" i="5"/>
  <c r="H115" i="5"/>
  <c r="L113" i="5"/>
  <c r="D112" i="5"/>
  <c r="H110" i="5"/>
  <c r="L108" i="5"/>
  <c r="D107" i="5"/>
  <c r="H105" i="5"/>
  <c r="L103" i="5"/>
  <c r="D102" i="5"/>
  <c r="H100" i="5"/>
  <c r="L98" i="5"/>
  <c r="D97" i="5"/>
  <c r="H95" i="5"/>
  <c r="L93" i="5"/>
  <c r="D92" i="5"/>
  <c r="H90" i="5"/>
  <c r="L88" i="5"/>
  <c r="D87" i="5"/>
  <c r="H85" i="5"/>
  <c r="L83" i="5"/>
  <c r="D82" i="5"/>
  <c r="H80" i="5"/>
  <c r="L78" i="5"/>
  <c r="D77" i="5"/>
  <c r="H75" i="5"/>
  <c r="L73" i="5"/>
  <c r="D72" i="5"/>
  <c r="H70" i="5"/>
  <c r="L68" i="5"/>
  <c r="D67" i="5"/>
  <c r="H65" i="5"/>
  <c r="L63" i="5"/>
  <c r="D62" i="5"/>
  <c r="H60" i="5"/>
  <c r="L58" i="5"/>
  <c r="D57" i="5"/>
  <c r="H55" i="5"/>
  <c r="L53" i="5"/>
  <c r="D52" i="5"/>
  <c r="H50" i="5"/>
  <c r="L48" i="5"/>
  <c r="D47" i="5"/>
  <c r="H45" i="5"/>
  <c r="L43" i="5"/>
  <c r="D42" i="5"/>
  <c r="H40" i="5"/>
  <c r="L38" i="5"/>
  <c r="D37" i="5"/>
  <c r="H35" i="5"/>
  <c r="L33" i="5"/>
  <c r="D32" i="5"/>
  <c r="H30" i="5"/>
  <c r="L28" i="5"/>
  <c r="D27" i="5"/>
  <c r="H25" i="5"/>
  <c r="L23" i="5"/>
  <c r="D22" i="5"/>
  <c r="L630" i="4"/>
  <c r="D629" i="4"/>
  <c r="H627" i="4"/>
  <c r="L625" i="4"/>
  <c r="D624" i="4"/>
  <c r="H622" i="4"/>
  <c r="L620" i="4"/>
  <c r="D619" i="4"/>
  <c r="H617" i="4"/>
  <c r="L615" i="4"/>
  <c r="D614" i="4"/>
  <c r="H612" i="4"/>
  <c r="L610" i="4"/>
  <c r="D609" i="4"/>
  <c r="H607" i="4"/>
  <c r="L605" i="4"/>
  <c r="D604" i="4"/>
  <c r="H602" i="4"/>
  <c r="L600" i="4"/>
  <c r="D599" i="4"/>
  <c r="H597" i="4"/>
  <c r="L595" i="4"/>
  <c r="D594" i="4"/>
  <c r="H592" i="4"/>
  <c r="L590" i="4"/>
  <c r="D589" i="4"/>
  <c r="H587" i="4"/>
  <c r="L585" i="4"/>
  <c r="D584" i="4"/>
  <c r="H582" i="4"/>
  <c r="L580" i="4"/>
  <c r="D579" i="4"/>
  <c r="H577" i="4"/>
  <c r="L575" i="4"/>
  <c r="D574" i="4"/>
  <c r="H572" i="4"/>
  <c r="L570" i="4"/>
  <c r="D569" i="4"/>
  <c r="H567" i="4"/>
  <c r="L565" i="4"/>
  <c r="D564" i="4"/>
  <c r="H562" i="4"/>
  <c r="L560" i="4"/>
  <c r="D559" i="4"/>
  <c r="H557" i="4"/>
  <c r="L555" i="4"/>
  <c r="D554" i="4"/>
  <c r="H552" i="4"/>
  <c r="L550" i="4"/>
  <c r="D549" i="4"/>
  <c r="H547" i="4"/>
  <c r="L545" i="4"/>
  <c r="D544" i="4"/>
  <c r="H542" i="4"/>
  <c r="L540" i="4"/>
  <c r="D539" i="4"/>
  <c r="H537" i="4"/>
  <c r="L535" i="4"/>
  <c r="D534" i="4"/>
  <c r="H532" i="4"/>
  <c r="L530" i="4"/>
  <c r="D529" i="4"/>
  <c r="H527" i="4"/>
  <c r="L525" i="4"/>
  <c r="D524" i="4"/>
  <c r="H522" i="4"/>
  <c r="L520" i="4"/>
  <c r="D519" i="4"/>
  <c r="H517" i="4"/>
  <c r="L515" i="4"/>
  <c r="D514" i="4"/>
  <c r="H512" i="4"/>
  <c r="L510" i="4"/>
  <c r="D509" i="4"/>
  <c r="H507" i="4"/>
  <c r="L505" i="4"/>
  <c r="D504" i="4"/>
  <c r="H502" i="4"/>
  <c r="L500" i="4"/>
  <c r="D499" i="4"/>
  <c r="H497" i="4"/>
  <c r="L495" i="4"/>
  <c r="D494" i="4"/>
  <c r="H492" i="4"/>
  <c r="L490" i="4"/>
  <c r="D489" i="4"/>
  <c r="H487" i="4"/>
  <c r="L485" i="4"/>
  <c r="D484" i="4"/>
  <c r="H482" i="4"/>
  <c r="L480" i="4"/>
  <c r="D479" i="4"/>
  <c r="H477" i="4"/>
  <c r="L475" i="4"/>
  <c r="G1197" i="7"/>
  <c r="B1082" i="7"/>
  <c r="F1006" i="7"/>
  <c r="H953" i="7"/>
  <c r="J912" i="7"/>
  <c r="L882" i="7"/>
  <c r="E856" i="7"/>
  <c r="L834" i="7"/>
  <c r="F814" i="7"/>
  <c r="G792" i="7"/>
  <c r="C776" i="7"/>
  <c r="G762" i="7"/>
  <c r="M747" i="7"/>
  <c r="I734" i="7"/>
  <c r="J721" i="7"/>
  <c r="N708" i="7"/>
  <c r="J697" i="7"/>
  <c r="L686" i="7"/>
  <c r="F676" i="7"/>
  <c r="G652" i="7"/>
  <c r="B641" i="7"/>
  <c r="F631" i="7"/>
  <c r="K620" i="7"/>
  <c r="M610" i="7"/>
  <c r="F601" i="7"/>
  <c r="H591" i="7"/>
  <c r="J583" i="7"/>
  <c r="B568" i="7"/>
  <c r="J559" i="7"/>
  <c r="H551" i="7"/>
  <c r="G543" i="7"/>
  <c r="B536" i="7"/>
  <c r="C528" i="7"/>
  <c r="K520" i="7"/>
  <c r="M512" i="7"/>
  <c r="E505" i="7"/>
  <c r="I498" i="7"/>
  <c r="C491" i="7"/>
  <c r="E484" i="7"/>
  <c r="K476" i="7"/>
  <c r="F469" i="7"/>
  <c r="J462" i="7"/>
  <c r="H450" i="7"/>
  <c r="L445" i="7"/>
  <c r="L440" i="7"/>
  <c r="C435" i="7"/>
  <c r="G430" i="7"/>
  <c r="H425" i="7"/>
  <c r="B421" i="7"/>
  <c r="E416" i="7"/>
  <c r="F406" i="7"/>
  <c r="N401" i="7"/>
  <c r="E397" i="7"/>
  <c r="C393" i="7"/>
  <c r="B388" i="7"/>
  <c r="L378" i="7"/>
  <c r="B374" i="7"/>
  <c r="J369" i="7"/>
  <c r="L364" i="7"/>
  <c r="L359" i="7"/>
  <c r="B355" i="7"/>
  <c r="I350" i="7"/>
  <c r="M345" i="7"/>
  <c r="J341" i="7"/>
  <c r="J336" i="7"/>
  <c r="M331" i="7"/>
  <c r="G327" i="7"/>
  <c r="M322" i="7"/>
  <c r="N318" i="7"/>
  <c r="J314" i="7"/>
  <c r="C310" i="7"/>
  <c r="I305" i="7"/>
  <c r="J301" i="7"/>
  <c r="N297" i="7"/>
  <c r="K294" i="7"/>
  <c r="B291" i="7"/>
  <c r="G287" i="7"/>
  <c r="G284" i="7"/>
  <c r="E281" i="7"/>
  <c r="G278" i="7"/>
  <c r="C275" i="7"/>
  <c r="M271" i="7"/>
  <c r="J268" i="7"/>
  <c r="K265" i="7"/>
  <c r="I262" i="7"/>
  <c r="J259" i="7"/>
  <c r="H256" i="7"/>
  <c r="G253" i="7"/>
  <c r="K250" i="7"/>
  <c r="K247" i="7"/>
  <c r="C245" i="7"/>
  <c r="E239" i="7"/>
  <c r="F236" i="7"/>
  <c r="K233" i="7"/>
  <c r="M230" i="7"/>
  <c r="F228" i="7"/>
  <c r="I225" i="7"/>
  <c r="C223" i="7"/>
  <c r="J220" i="7"/>
  <c r="M217" i="7"/>
  <c r="G215" i="7"/>
  <c r="N212" i="7"/>
  <c r="K207" i="7"/>
  <c r="E205" i="7"/>
  <c r="H202" i="7"/>
  <c r="B200" i="7"/>
  <c r="I197" i="7"/>
  <c r="L194" i="7"/>
  <c r="F192" i="7"/>
  <c r="M189" i="7"/>
  <c r="C187" i="7"/>
  <c r="J184" i="7"/>
  <c r="G179" i="7"/>
  <c r="N176" i="7"/>
  <c r="H174" i="7"/>
  <c r="K171" i="7"/>
  <c r="E169" i="7"/>
  <c r="M166" i="7"/>
  <c r="H164" i="7"/>
  <c r="E162" i="7"/>
  <c r="B160" i="7"/>
  <c r="L157" i="7"/>
  <c r="K155" i="7"/>
  <c r="F153" i="7"/>
  <c r="F151" i="7"/>
  <c r="B149" i="7"/>
  <c r="M146" i="7"/>
  <c r="J144" i="7"/>
  <c r="G142" i="7"/>
  <c r="F140" i="7"/>
  <c r="N137" i="7"/>
  <c r="N135" i="7"/>
  <c r="K133" i="7"/>
  <c r="J131" i="7"/>
  <c r="K129" i="7"/>
  <c r="K127" i="7"/>
  <c r="L125" i="7"/>
  <c r="M123" i="7"/>
  <c r="B122" i="7"/>
  <c r="B120" i="7"/>
  <c r="C118" i="7"/>
  <c r="F114" i="7"/>
  <c r="F112" i="7"/>
  <c r="G110" i="7"/>
  <c r="H108" i="7"/>
  <c r="J106" i="7"/>
  <c r="K104" i="7"/>
  <c r="N102" i="7"/>
  <c r="E101" i="7"/>
  <c r="H99" i="7"/>
  <c r="L97" i="7"/>
  <c r="C96" i="7"/>
  <c r="G94" i="7"/>
  <c r="J92" i="7"/>
  <c r="N90" i="7"/>
  <c r="E89" i="7"/>
  <c r="I87" i="7"/>
  <c r="M85" i="7"/>
  <c r="C84" i="7"/>
  <c r="G82" i="7"/>
  <c r="K80" i="7"/>
  <c r="B79" i="7"/>
  <c r="E77" i="7"/>
  <c r="I75" i="7"/>
  <c r="M73" i="7"/>
  <c r="H70" i="7"/>
  <c r="K68" i="7"/>
  <c r="B67" i="7"/>
  <c r="F65" i="7"/>
  <c r="J63" i="7"/>
  <c r="M61" i="7"/>
  <c r="H58" i="7"/>
  <c r="M56" i="7"/>
  <c r="E55" i="7"/>
  <c r="J53" i="7"/>
  <c r="B52" i="7"/>
  <c r="H50" i="7"/>
  <c r="N48" i="7"/>
  <c r="G47" i="7"/>
  <c r="M45" i="7"/>
  <c r="F44" i="7"/>
  <c r="L42" i="7"/>
  <c r="E41" i="7"/>
  <c r="K39" i="7"/>
  <c r="J36" i="7"/>
  <c r="C35" i="7"/>
  <c r="I33" i="7"/>
  <c r="B32" i="7"/>
  <c r="H30" i="7"/>
  <c r="N28" i="7"/>
  <c r="G27" i="7"/>
  <c r="M25" i="7"/>
  <c r="F24" i="7"/>
  <c r="L22" i="7"/>
  <c r="E21" i="7"/>
  <c r="E192" i="5"/>
  <c r="G190" i="5"/>
  <c r="I188" i="5"/>
  <c r="K186" i="5"/>
  <c r="M184" i="5"/>
  <c r="D183" i="5"/>
  <c r="F181" i="5"/>
  <c r="H179" i="5"/>
  <c r="J177" i="5"/>
  <c r="L175" i="5"/>
  <c r="B174" i="5"/>
  <c r="E172" i="5"/>
  <c r="G170" i="5"/>
  <c r="I168" i="5"/>
  <c r="K166" i="5"/>
  <c r="M164" i="5"/>
  <c r="D163" i="5"/>
  <c r="F161" i="5"/>
  <c r="H159" i="5"/>
  <c r="J157" i="5"/>
  <c r="L155" i="5"/>
  <c r="B154" i="5"/>
  <c r="E152" i="5"/>
  <c r="G150" i="5"/>
  <c r="I148" i="5"/>
  <c r="K146" i="5"/>
  <c r="M144" i="5"/>
  <c r="D143" i="5"/>
  <c r="F141" i="5"/>
  <c r="H139" i="5"/>
  <c r="J137" i="5"/>
  <c r="L135" i="5"/>
  <c r="B134" i="5"/>
  <c r="E132" i="5"/>
  <c r="G130" i="5"/>
  <c r="K128" i="5"/>
  <c r="G125" i="5"/>
  <c r="K123" i="5"/>
  <c r="K29" i="8"/>
  <c r="E1048" i="7"/>
  <c r="F944" i="7"/>
  <c r="N877" i="7"/>
  <c r="J833" i="7"/>
  <c r="H797" i="7"/>
  <c r="B767" i="7"/>
  <c r="M743" i="7"/>
  <c r="C719" i="7"/>
  <c r="K696" i="7"/>
  <c r="K676" i="7"/>
  <c r="K657" i="7"/>
  <c r="J637" i="7"/>
  <c r="B600" i="7"/>
  <c r="B569" i="7"/>
  <c r="B555" i="7"/>
  <c r="C542" i="7"/>
  <c r="H526" i="7"/>
  <c r="K512" i="7"/>
  <c r="H500" i="7"/>
  <c r="I486" i="7"/>
  <c r="G473" i="7"/>
  <c r="G440" i="7"/>
  <c r="M431" i="7"/>
  <c r="I422" i="7"/>
  <c r="L414" i="7"/>
  <c r="L405" i="7"/>
  <c r="K396" i="7"/>
  <c r="N388" i="7"/>
  <c r="F380" i="7"/>
  <c r="H372" i="7"/>
  <c r="H363" i="7"/>
  <c r="L354" i="7"/>
  <c r="L345" i="7"/>
  <c r="N337" i="7"/>
  <c r="B329" i="7"/>
  <c r="K321" i="7"/>
  <c r="H313" i="7"/>
  <c r="G305" i="7"/>
  <c r="K298" i="7"/>
  <c r="C292" i="7"/>
  <c r="G286" i="7"/>
  <c r="G280" i="7"/>
  <c r="H274" i="7"/>
  <c r="I268" i="7"/>
  <c r="F263" i="7"/>
  <c r="M257" i="7"/>
  <c r="J252" i="7"/>
  <c r="B247" i="7"/>
  <c r="B242" i="7"/>
  <c r="B237" i="7"/>
  <c r="K231" i="7"/>
  <c r="G222" i="7"/>
  <c r="J217" i="7"/>
  <c r="M212" i="7"/>
  <c r="G208" i="7"/>
  <c r="K203" i="7"/>
  <c r="E199" i="7"/>
  <c r="H194" i="7"/>
  <c r="K189" i="7"/>
  <c r="E185" i="7"/>
  <c r="I180" i="7"/>
  <c r="C176" i="7"/>
  <c r="F171" i="7"/>
  <c r="J166" i="7"/>
  <c r="F158" i="7"/>
  <c r="G154" i="7"/>
  <c r="I150" i="7"/>
  <c r="H146" i="7"/>
  <c r="E142" i="7"/>
  <c r="H138" i="7"/>
  <c r="H134" i="7"/>
  <c r="B131" i="7"/>
  <c r="J123" i="7"/>
  <c r="N119" i="7"/>
  <c r="K116" i="7"/>
  <c r="C113" i="7"/>
  <c r="M109" i="7"/>
  <c r="L102" i="7"/>
  <c r="M99" i="7"/>
  <c r="K96" i="7"/>
  <c r="L93" i="7"/>
  <c r="I90" i="7"/>
  <c r="F87" i="7"/>
  <c r="B84" i="7"/>
  <c r="N77" i="7"/>
  <c r="C75" i="7"/>
  <c r="L71" i="7"/>
  <c r="I68" i="7"/>
  <c r="J65" i="7"/>
  <c r="H62" i="7"/>
  <c r="J59" i="7"/>
  <c r="H56" i="7"/>
  <c r="G53" i="7"/>
  <c r="G50" i="7"/>
  <c r="L47" i="7"/>
  <c r="N44" i="7"/>
  <c r="F42" i="7"/>
  <c r="G39" i="7"/>
  <c r="H36" i="7"/>
  <c r="M33" i="7"/>
  <c r="B31" i="7"/>
  <c r="G28" i="7"/>
  <c r="H25" i="7"/>
  <c r="I22" i="7"/>
  <c r="J192" i="5"/>
  <c r="F189" i="5"/>
  <c r="E186" i="5"/>
  <c r="K182" i="5"/>
  <c r="F179" i="5"/>
  <c r="E176" i="5"/>
  <c r="L172" i="5"/>
  <c r="K169" i="5"/>
  <c r="F166" i="5"/>
  <c r="L162" i="5"/>
  <c r="G159" i="5"/>
  <c r="F156" i="5"/>
  <c r="M152" i="5"/>
  <c r="L149" i="5"/>
  <c r="G146" i="5"/>
  <c r="M142" i="5"/>
  <c r="L139" i="5"/>
  <c r="H136" i="5"/>
  <c r="G133" i="5"/>
  <c r="B130" i="5"/>
  <c r="L126" i="5"/>
  <c r="J123" i="5"/>
  <c r="B121" i="5"/>
  <c r="F118" i="5"/>
  <c r="F115" i="5"/>
  <c r="J112" i="5"/>
  <c r="B110" i="5"/>
  <c r="B107" i="5"/>
  <c r="F104" i="5"/>
  <c r="J101" i="5"/>
  <c r="J98" i="5"/>
  <c r="B96" i="5"/>
  <c r="F93" i="5"/>
  <c r="F90" i="5"/>
  <c r="J87" i="5"/>
  <c r="B85" i="5"/>
  <c r="B82" i="5"/>
  <c r="F79" i="5"/>
  <c r="J76" i="5"/>
  <c r="J73" i="5"/>
  <c r="B71" i="5"/>
  <c r="F68" i="5"/>
  <c r="F65" i="5"/>
  <c r="J62" i="5"/>
  <c r="B60" i="5"/>
  <c r="B57" i="5"/>
  <c r="F54" i="5"/>
  <c r="K51" i="5"/>
  <c r="L46" i="5"/>
  <c r="F44" i="5"/>
  <c r="B42" i="5"/>
  <c r="L39" i="5"/>
  <c r="E37" i="5"/>
  <c r="J32" i="5"/>
  <c r="I30" i="5"/>
  <c r="G28" i="5"/>
  <c r="B26" i="5"/>
  <c r="M23" i="5"/>
  <c r="J629" i="4"/>
  <c r="I627" i="4"/>
  <c r="G625" i="4"/>
  <c r="B619" i="4"/>
  <c r="B617" i="4"/>
  <c r="K614" i="4"/>
  <c r="K612" i="4"/>
  <c r="J610" i="4"/>
  <c r="J608" i="4"/>
  <c r="G606" i="4"/>
  <c r="G604" i="4"/>
  <c r="F602" i="4"/>
  <c r="F600" i="4"/>
  <c r="B594" i="4"/>
  <c r="D590" i="4"/>
  <c r="D586" i="4"/>
  <c r="E584" i="4"/>
  <c r="E582" i="4"/>
  <c r="F580" i="4"/>
  <c r="E578" i="4"/>
  <c r="F576" i="4"/>
  <c r="G574" i="4"/>
  <c r="G572" i="4"/>
  <c r="H570" i="4"/>
  <c r="I568" i="4"/>
  <c r="I566" i="4"/>
  <c r="K564" i="4"/>
  <c r="B563" i="4"/>
  <c r="E561" i="4"/>
  <c r="H559" i="4"/>
  <c r="K557" i="4"/>
  <c r="B556" i="4"/>
  <c r="E554" i="4"/>
  <c r="G552" i="4"/>
  <c r="J550" i="4"/>
  <c r="M548" i="4"/>
  <c r="D547" i="4"/>
  <c r="G545" i="4"/>
  <c r="J543" i="4"/>
  <c r="M541" i="4"/>
  <c r="D540" i="4"/>
  <c r="G538" i="4"/>
  <c r="J536" i="4"/>
  <c r="M534" i="4"/>
  <c r="D533" i="4"/>
  <c r="G531" i="4"/>
  <c r="J529" i="4"/>
  <c r="M527" i="4"/>
  <c r="D526" i="4"/>
  <c r="G524" i="4"/>
  <c r="J522" i="4"/>
  <c r="M520" i="4"/>
  <c r="F517" i="4"/>
  <c r="I515" i="4"/>
  <c r="L513" i="4"/>
  <c r="F510" i="4"/>
  <c r="I508" i="4"/>
  <c r="L506" i="4"/>
  <c r="F503" i="4"/>
  <c r="I501" i="4"/>
  <c r="L499" i="4"/>
  <c r="F496" i="4"/>
  <c r="I494" i="4"/>
  <c r="L492" i="4"/>
  <c r="F489" i="4"/>
  <c r="I487" i="4"/>
  <c r="K485" i="4"/>
  <c r="B484" i="4"/>
  <c r="E482" i="4"/>
  <c r="H480" i="4"/>
  <c r="K478" i="4"/>
  <c r="B477" i="4"/>
  <c r="E475" i="4"/>
  <c r="I473" i="4"/>
  <c r="M471" i="4"/>
  <c r="E470" i="4"/>
  <c r="I468" i="4"/>
  <c r="M466" i="4"/>
  <c r="E465" i="4"/>
  <c r="I463" i="4"/>
  <c r="M461" i="4"/>
  <c r="E460" i="4"/>
  <c r="I458" i="4"/>
  <c r="M456" i="4"/>
  <c r="E455" i="4"/>
  <c r="I453" i="4"/>
  <c r="M451" i="4"/>
  <c r="E450" i="4"/>
  <c r="I448" i="4"/>
  <c r="M446" i="4"/>
  <c r="E445" i="4"/>
  <c r="I443" i="4"/>
  <c r="M441" i="4"/>
  <c r="E440" i="4"/>
  <c r="I438" i="4"/>
  <c r="M436" i="4"/>
  <c r="E435" i="4"/>
  <c r="I433" i="4"/>
  <c r="M431" i="4"/>
  <c r="E430" i="4"/>
  <c r="I428" i="4"/>
  <c r="M426" i="4"/>
  <c r="E425" i="4"/>
  <c r="I423" i="4"/>
  <c r="M421" i="4"/>
  <c r="E420" i="4"/>
  <c r="I418" i="4"/>
  <c r="M416" i="4"/>
  <c r="B29" i="8"/>
  <c r="M1034" i="7"/>
  <c r="G939" i="7"/>
  <c r="M877" i="7"/>
  <c r="J831" i="7"/>
  <c r="L796" i="7"/>
  <c r="N766" i="7"/>
  <c r="J742" i="7"/>
  <c r="F718" i="7"/>
  <c r="J695" i="7"/>
  <c r="I674" i="7"/>
  <c r="N655" i="7"/>
  <c r="N634" i="7"/>
  <c r="C617" i="7"/>
  <c r="I599" i="7"/>
  <c r="C582" i="7"/>
  <c r="M568" i="7"/>
  <c r="L554" i="7"/>
  <c r="L540" i="7"/>
  <c r="C526" i="7"/>
  <c r="J512" i="7"/>
  <c r="H497" i="7"/>
  <c r="F485" i="7"/>
  <c r="N472" i="7"/>
  <c r="C461" i="7"/>
  <c r="G449" i="7"/>
  <c r="F440" i="7"/>
  <c r="L431" i="7"/>
  <c r="H422" i="7"/>
  <c r="B414" i="7"/>
  <c r="K405" i="7"/>
  <c r="J396" i="7"/>
  <c r="M387" i="7"/>
  <c r="C380" i="7"/>
  <c r="G363" i="7"/>
  <c r="K354" i="7"/>
  <c r="J345" i="7"/>
  <c r="M337" i="7"/>
  <c r="N328" i="7"/>
  <c r="J321" i="7"/>
  <c r="F313" i="7"/>
  <c r="C305" i="7"/>
  <c r="M297" i="7"/>
  <c r="M291" i="7"/>
  <c r="I285" i="7"/>
  <c r="F280" i="7"/>
  <c r="G274" i="7"/>
  <c r="H268" i="7"/>
  <c r="E263" i="7"/>
  <c r="H257" i="7"/>
  <c r="I252" i="7"/>
  <c r="N246" i="7"/>
  <c r="J241" i="7"/>
  <c r="E236" i="7"/>
  <c r="I231" i="7"/>
  <c r="L226" i="7"/>
  <c r="F222" i="7"/>
  <c r="I217" i="7"/>
  <c r="L212" i="7"/>
  <c r="F208" i="7"/>
  <c r="J203" i="7"/>
  <c r="G194" i="7"/>
  <c r="F189" i="7"/>
  <c r="H184" i="7"/>
  <c r="C180" i="7"/>
  <c r="G175" i="7"/>
  <c r="E171" i="7"/>
  <c r="H166" i="7"/>
  <c r="C162" i="7"/>
  <c r="E158" i="7"/>
  <c r="F154" i="7"/>
  <c r="G150" i="7"/>
  <c r="E146" i="7"/>
  <c r="M137" i="7"/>
  <c r="F134" i="7"/>
  <c r="G130" i="7"/>
  <c r="C127" i="7"/>
  <c r="I123" i="7"/>
  <c r="M119" i="7"/>
  <c r="I116" i="7"/>
  <c r="B113" i="7"/>
  <c r="L109" i="7"/>
  <c r="C106" i="7"/>
  <c r="K102" i="7"/>
  <c r="G99" i="7"/>
  <c r="I96" i="7"/>
  <c r="F93" i="7"/>
  <c r="H90" i="7"/>
  <c r="N83" i="7"/>
  <c r="B81" i="7"/>
  <c r="M77" i="7"/>
  <c r="B75" i="7"/>
  <c r="K71" i="7"/>
  <c r="H68" i="7"/>
  <c r="E65" i="7"/>
  <c r="F62" i="7"/>
  <c r="G56" i="7"/>
  <c r="F53" i="7"/>
  <c r="F50" i="7"/>
  <c r="K47" i="7"/>
  <c r="M44" i="7"/>
  <c r="E42" i="7"/>
  <c r="F39" i="7"/>
  <c r="G36" i="7"/>
  <c r="H33" i="7"/>
  <c r="M30" i="7"/>
  <c r="B28" i="7"/>
  <c r="G25" i="7"/>
  <c r="H22" i="7"/>
  <c r="I192" i="5"/>
  <c r="E189" i="5"/>
  <c r="D186" i="5"/>
  <c r="J182" i="5"/>
  <c r="E179" i="5"/>
  <c r="K175" i="5"/>
  <c r="J172" i="5"/>
  <c r="F169" i="5"/>
  <c r="E166" i="5"/>
  <c r="K162" i="5"/>
  <c r="F159" i="5"/>
  <c r="E156" i="5"/>
  <c r="L152" i="5"/>
  <c r="K149" i="5"/>
  <c r="F146" i="5"/>
  <c r="L142" i="5"/>
  <c r="G139" i="5"/>
  <c r="F136" i="5"/>
  <c r="M132" i="5"/>
  <c r="M129" i="5"/>
  <c r="K126" i="5"/>
  <c r="I123" i="5"/>
  <c r="L120" i="5"/>
  <c r="E118" i="5"/>
  <c r="E115" i="5"/>
  <c r="H112" i="5"/>
  <c r="M109" i="5"/>
  <c r="M106" i="5"/>
  <c r="D104" i="5"/>
  <c r="I101" i="5"/>
  <c r="I98" i="5"/>
  <c r="L95" i="5"/>
  <c r="E93" i="5"/>
  <c r="E90" i="5"/>
  <c r="H87" i="5"/>
  <c r="M84" i="5"/>
  <c r="M81" i="5"/>
  <c r="D79" i="5"/>
  <c r="I76" i="5"/>
  <c r="I73" i="5"/>
  <c r="L70" i="5"/>
  <c r="E68" i="5"/>
  <c r="E65" i="5"/>
  <c r="H62" i="5"/>
  <c r="M59" i="5"/>
  <c r="M56" i="5"/>
  <c r="D54" i="5"/>
  <c r="J51" i="5"/>
  <c r="B49" i="5"/>
  <c r="K46" i="5"/>
  <c r="D44" i="5"/>
  <c r="M41" i="5"/>
  <c r="G39" i="5"/>
  <c r="B35" i="5"/>
  <c r="I32" i="5"/>
  <c r="G30" i="5"/>
  <c r="F28" i="5"/>
  <c r="M25" i="5"/>
  <c r="K23" i="5"/>
  <c r="I629" i="4"/>
  <c r="G627" i="4"/>
  <c r="F625" i="4"/>
  <c r="B623" i="4"/>
  <c r="B621" i="4"/>
  <c r="M618" i="4"/>
  <c r="M616" i="4"/>
  <c r="J614" i="4"/>
  <c r="J612" i="4"/>
  <c r="I610" i="4"/>
  <c r="I608" i="4"/>
  <c r="F606" i="4"/>
  <c r="F604" i="4"/>
  <c r="E602" i="4"/>
  <c r="E600" i="4"/>
  <c r="B598" i="4"/>
  <c r="B596" i="4"/>
  <c r="M593" i="4"/>
  <c r="B592" i="4"/>
  <c r="M589" i="4"/>
  <c r="B588" i="4"/>
  <c r="D582" i="4"/>
  <c r="E580" i="4"/>
  <c r="D578" i="4"/>
  <c r="E576" i="4"/>
  <c r="F574" i="4"/>
  <c r="F572" i="4"/>
  <c r="G570" i="4"/>
  <c r="H568" i="4"/>
  <c r="H566" i="4"/>
  <c r="J564" i="4"/>
  <c r="M562" i="4"/>
  <c r="D561" i="4"/>
  <c r="G559" i="4"/>
  <c r="J557" i="4"/>
  <c r="M555" i="4"/>
  <c r="F552" i="4"/>
  <c r="I550" i="4"/>
  <c r="L548" i="4"/>
  <c r="F545" i="4"/>
  <c r="I543" i="4"/>
  <c r="K1026" i="7"/>
  <c r="H938" i="7"/>
  <c r="L877" i="7"/>
  <c r="I830" i="7"/>
  <c r="B792" i="7"/>
  <c r="G765" i="7"/>
  <c r="L739" i="7"/>
  <c r="B718" i="7"/>
  <c r="H695" i="7"/>
  <c r="N673" i="7"/>
  <c r="K654" i="7"/>
  <c r="H634" i="7"/>
  <c r="B617" i="7"/>
  <c r="J598" i="7"/>
  <c r="G581" i="7"/>
  <c r="L566" i="7"/>
  <c r="J553" i="7"/>
  <c r="L538" i="7"/>
  <c r="H525" i="7"/>
  <c r="G511" i="7"/>
  <c r="G497" i="7"/>
  <c r="G472" i="7"/>
  <c r="J460" i="7"/>
  <c r="F449" i="7"/>
  <c r="B430" i="7"/>
  <c r="J421" i="7"/>
  <c r="G413" i="7"/>
  <c r="J405" i="7"/>
  <c r="E396" i="7"/>
  <c r="L387" i="7"/>
  <c r="L379" i="7"/>
  <c r="C371" i="7"/>
  <c r="K362" i="7"/>
  <c r="J354" i="7"/>
  <c r="I345" i="7"/>
  <c r="I336" i="7"/>
  <c r="L328" i="7"/>
  <c r="G320" i="7"/>
  <c r="E313" i="7"/>
  <c r="B305" i="7"/>
  <c r="K297" i="7"/>
  <c r="L291" i="7"/>
  <c r="H285" i="7"/>
  <c r="E280" i="7"/>
  <c r="E274" i="7"/>
  <c r="F268" i="7"/>
  <c r="H262" i="7"/>
  <c r="E257" i="7"/>
  <c r="K251" i="7"/>
  <c r="M246" i="7"/>
  <c r="I241" i="7"/>
  <c r="H231" i="7"/>
  <c r="K226" i="7"/>
  <c r="E222" i="7"/>
  <c r="H217" i="7"/>
  <c r="G212" i="7"/>
  <c r="I207" i="7"/>
  <c r="H198" i="7"/>
  <c r="F194" i="7"/>
  <c r="E189" i="7"/>
  <c r="G184" i="7"/>
  <c r="B180" i="7"/>
  <c r="E175" i="7"/>
  <c r="M170" i="7"/>
  <c r="E166" i="7"/>
  <c r="B162" i="7"/>
  <c r="K157" i="7"/>
  <c r="N153" i="7"/>
  <c r="N149" i="7"/>
  <c r="C142" i="7"/>
  <c r="L137" i="7"/>
  <c r="E130" i="7"/>
  <c r="B127" i="7"/>
  <c r="G123" i="7"/>
  <c r="L119" i="7"/>
  <c r="C116" i="7"/>
  <c r="M112" i="7"/>
  <c r="E109" i="7"/>
  <c r="B106" i="7"/>
  <c r="I102" i="7"/>
  <c r="F99" i="7"/>
  <c r="G96" i="7"/>
  <c r="E93" i="7"/>
  <c r="G90" i="7"/>
  <c r="C87" i="7"/>
  <c r="M83" i="7"/>
  <c r="J80" i="7"/>
  <c r="K77" i="7"/>
  <c r="I74" i="7"/>
  <c r="J71" i="7"/>
  <c r="G68" i="7"/>
  <c r="E62" i="7"/>
  <c r="C59" i="7"/>
  <c r="F56" i="7"/>
  <c r="E53" i="7"/>
  <c r="E50" i="7"/>
  <c r="F47" i="7"/>
  <c r="K44" i="7"/>
  <c r="M41" i="7"/>
  <c r="E39" i="7"/>
  <c r="F36" i="7"/>
  <c r="G33" i="7"/>
  <c r="L30" i="7"/>
  <c r="N27" i="7"/>
  <c r="F25" i="7"/>
  <c r="G22" i="7"/>
  <c r="D192" i="5"/>
  <c r="B189" i="5"/>
  <c r="J185" i="5"/>
  <c r="I182" i="5"/>
  <c r="D179" i="5"/>
  <c r="J175" i="5"/>
  <c r="I172" i="5"/>
  <c r="E169" i="5"/>
  <c r="D166" i="5"/>
  <c r="J162" i="5"/>
  <c r="E159" i="5"/>
  <c r="K155" i="5"/>
  <c r="J152" i="5"/>
  <c r="F149" i="5"/>
  <c r="E146" i="5"/>
  <c r="K142" i="5"/>
  <c r="F139" i="5"/>
  <c r="E136" i="5"/>
  <c r="L132" i="5"/>
  <c r="L129" i="5"/>
  <c r="J126" i="5"/>
  <c r="H123" i="5"/>
  <c r="K120" i="5"/>
  <c r="D118" i="5"/>
  <c r="D115" i="5"/>
  <c r="G112" i="5"/>
  <c r="L109" i="5"/>
  <c r="L106" i="5"/>
  <c r="H101" i="5"/>
  <c r="H98" i="5"/>
  <c r="K95" i="5"/>
  <c r="D93" i="5"/>
  <c r="D90" i="5"/>
  <c r="G87" i="5"/>
  <c r="L84" i="5"/>
  <c r="L81" i="5"/>
  <c r="H76" i="5"/>
  <c r="H73" i="5"/>
  <c r="K70" i="5"/>
  <c r="D68" i="5"/>
  <c r="D65" i="5"/>
  <c r="G62" i="5"/>
  <c r="L59" i="5"/>
  <c r="L56" i="5"/>
  <c r="I51" i="5"/>
  <c r="M48" i="5"/>
  <c r="J46" i="5"/>
  <c r="L41" i="5"/>
  <c r="F39" i="5"/>
  <c r="B37" i="5"/>
  <c r="M34" i="5"/>
  <c r="H32" i="5"/>
  <c r="F30" i="5"/>
  <c r="E28" i="5"/>
  <c r="L25" i="5"/>
  <c r="J23" i="5"/>
  <c r="M631" i="4"/>
  <c r="H629" i="4"/>
  <c r="F627" i="4"/>
  <c r="E625" i="4"/>
  <c r="M622" i="4"/>
  <c r="M620" i="4"/>
  <c r="L618" i="4"/>
  <c r="L616" i="4"/>
  <c r="I614" i="4"/>
  <c r="I612" i="4"/>
  <c r="H610" i="4"/>
  <c r="H608" i="4"/>
  <c r="E606" i="4"/>
  <c r="E604" i="4"/>
  <c r="D602" i="4"/>
  <c r="D600" i="4"/>
  <c r="M597" i="4"/>
  <c r="M595" i="4"/>
  <c r="L593" i="4"/>
  <c r="M591" i="4"/>
  <c r="L589" i="4"/>
  <c r="M587" i="4"/>
  <c r="B586" i="4"/>
  <c r="B584" i="4"/>
  <c r="D580" i="4"/>
  <c r="D576" i="4"/>
  <c r="E574" i="4"/>
  <c r="E572" i="4"/>
  <c r="F570" i="4"/>
  <c r="E568" i="4"/>
  <c r="G566" i="4"/>
  <c r="I564" i="4"/>
  <c r="L562" i="4"/>
  <c r="F559" i="4"/>
  <c r="I557" i="4"/>
  <c r="K555" i="4"/>
  <c r="B554" i="4"/>
  <c r="E552" i="4"/>
  <c r="H550" i="4"/>
  <c r="K548" i="4"/>
  <c r="B547" i="4"/>
  <c r="E545" i="4"/>
  <c r="H543" i="4"/>
  <c r="K541" i="4"/>
  <c r="B540" i="4"/>
  <c r="E538" i="4"/>
  <c r="H536" i="4"/>
  <c r="K534" i="4"/>
  <c r="B533" i="4"/>
  <c r="E531" i="4"/>
  <c r="H529" i="4"/>
  <c r="K527" i="4"/>
  <c r="B526" i="4"/>
  <c r="E524" i="4"/>
  <c r="G522" i="4"/>
  <c r="J520" i="4"/>
  <c r="M518" i="4"/>
  <c r="D517" i="4"/>
  <c r="G515" i="4"/>
  <c r="J513" i="4"/>
  <c r="M511" i="4"/>
  <c r="D510" i="4"/>
  <c r="G508" i="4"/>
  <c r="J506" i="4"/>
  <c r="M504" i="4"/>
  <c r="D503" i="4"/>
  <c r="G501" i="4"/>
  <c r="J499" i="4"/>
  <c r="M497" i="4"/>
  <c r="D496" i="4"/>
  <c r="G494" i="4"/>
  <c r="J492" i="4"/>
  <c r="M490" i="4"/>
  <c r="F487" i="4"/>
  <c r="I485" i="4"/>
  <c r="L483" i="4"/>
  <c r="F480" i="4"/>
  <c r="I478" i="4"/>
  <c r="L476" i="4"/>
  <c r="G473" i="4"/>
  <c r="C1197" i="7"/>
  <c r="E1015" i="7"/>
  <c r="F928" i="7"/>
  <c r="K877" i="7"/>
  <c r="H830" i="7"/>
  <c r="J791" i="7"/>
  <c r="I738" i="7"/>
  <c r="L717" i="7"/>
  <c r="C695" i="7"/>
  <c r="E673" i="7"/>
  <c r="C652" i="7"/>
  <c r="G633" i="7"/>
  <c r="I614" i="7"/>
  <c r="E598" i="7"/>
  <c r="E581" i="7"/>
  <c r="K566" i="7"/>
  <c r="N552" i="7"/>
  <c r="G538" i="7"/>
  <c r="G525" i="7"/>
  <c r="M510" i="7"/>
  <c r="F497" i="7"/>
  <c r="G483" i="7"/>
  <c r="F471" i="7"/>
  <c r="L458" i="7"/>
  <c r="N448" i="7"/>
  <c r="H439" i="7"/>
  <c r="J429" i="7"/>
  <c r="F421" i="7"/>
  <c r="F413" i="7"/>
  <c r="N404" i="7"/>
  <c r="H387" i="7"/>
  <c r="C378" i="7"/>
  <c r="F370" i="7"/>
  <c r="F362" i="7"/>
  <c r="E354" i="7"/>
  <c r="L344" i="7"/>
  <c r="H336" i="7"/>
  <c r="K328" i="7"/>
  <c r="F320" i="7"/>
  <c r="J312" i="7"/>
  <c r="N304" i="7"/>
  <c r="H297" i="7"/>
  <c r="N290" i="7"/>
  <c r="E285" i="7"/>
  <c r="G279" i="7"/>
  <c r="E268" i="7"/>
  <c r="F262" i="7"/>
  <c r="J251" i="7"/>
  <c r="L246" i="7"/>
  <c r="G241" i="7"/>
  <c r="C236" i="7"/>
  <c r="L230" i="7"/>
  <c r="E226" i="7"/>
  <c r="I221" i="7"/>
  <c r="G217" i="7"/>
  <c r="F212" i="7"/>
  <c r="H207" i="7"/>
  <c r="C203" i="7"/>
  <c r="F198" i="7"/>
  <c r="N193" i="7"/>
  <c r="C189" i="7"/>
  <c r="C184" i="7"/>
  <c r="F179" i="7"/>
  <c r="M174" i="7"/>
  <c r="M161" i="7"/>
  <c r="J157" i="7"/>
  <c r="M153" i="7"/>
  <c r="M149" i="7"/>
  <c r="B146" i="7"/>
  <c r="B142" i="7"/>
  <c r="K137" i="7"/>
  <c r="J133" i="7"/>
  <c r="C130" i="7"/>
  <c r="J126" i="7"/>
  <c r="F123" i="7"/>
  <c r="J119" i="7"/>
  <c r="B116" i="7"/>
  <c r="L112" i="7"/>
  <c r="N105" i="7"/>
  <c r="H102" i="7"/>
  <c r="E99" i="7"/>
  <c r="B96" i="7"/>
  <c r="C93" i="7"/>
  <c r="N89" i="7"/>
  <c r="B87" i="7"/>
  <c r="L83" i="7"/>
  <c r="I80" i="7"/>
  <c r="J77" i="7"/>
  <c r="H74" i="7"/>
  <c r="I71" i="7"/>
  <c r="F68" i="7"/>
  <c r="C65" i="7"/>
  <c r="L61" i="7"/>
  <c r="N58" i="7"/>
  <c r="N55" i="7"/>
  <c r="E47" i="7"/>
  <c r="J44" i="7"/>
  <c r="L41" i="7"/>
  <c r="E36" i="7"/>
  <c r="F33" i="7"/>
  <c r="G30" i="7"/>
  <c r="L27" i="7"/>
  <c r="N24" i="7"/>
  <c r="F22" i="7"/>
  <c r="B192" i="5"/>
  <c r="M188" i="5"/>
  <c r="I185" i="5"/>
  <c r="H182" i="5"/>
  <c r="B179" i="5"/>
  <c r="I175" i="5"/>
  <c r="D172" i="5"/>
  <c r="B169" i="5"/>
  <c r="J165" i="5"/>
  <c r="I162" i="5"/>
  <c r="D159" i="5"/>
  <c r="J155" i="5"/>
  <c r="I152" i="5"/>
  <c r="E149" i="5"/>
  <c r="D146" i="5"/>
  <c r="J142" i="5"/>
  <c r="E139" i="5"/>
  <c r="K135" i="5"/>
  <c r="J132" i="5"/>
  <c r="G129" i="5"/>
  <c r="I126" i="5"/>
  <c r="G123" i="5"/>
  <c r="G120" i="5"/>
  <c r="K117" i="5"/>
  <c r="G109" i="5"/>
  <c r="K106" i="5"/>
  <c r="K103" i="5"/>
  <c r="G98" i="5"/>
  <c r="G95" i="5"/>
  <c r="K92" i="5"/>
  <c r="G84" i="5"/>
  <c r="K81" i="5"/>
  <c r="K78" i="5"/>
  <c r="G73" i="5"/>
  <c r="G70" i="5"/>
  <c r="K67" i="5"/>
  <c r="G59" i="5"/>
  <c r="K56" i="5"/>
  <c r="K53" i="5"/>
  <c r="H51" i="5"/>
  <c r="K48" i="5"/>
  <c r="I46" i="5"/>
  <c r="B44" i="5"/>
  <c r="K41" i="5"/>
  <c r="D39" i="5"/>
  <c r="M36" i="5"/>
  <c r="L34" i="5"/>
  <c r="G32" i="5"/>
  <c r="E30" i="5"/>
  <c r="D28" i="5"/>
  <c r="K25" i="5"/>
  <c r="I23" i="5"/>
  <c r="L631" i="4"/>
  <c r="G629" i="4"/>
  <c r="E627" i="4"/>
  <c r="D625" i="4"/>
  <c r="L622" i="4"/>
  <c r="K620" i="4"/>
  <c r="K618" i="4"/>
  <c r="H616" i="4"/>
  <c r="H614" i="4"/>
  <c r="G612" i="4"/>
  <c r="G610" i="4"/>
  <c r="D608" i="4"/>
  <c r="D606" i="4"/>
  <c r="L599" i="4"/>
  <c r="L597" i="4"/>
  <c r="K595" i="4"/>
  <c r="K593" i="4"/>
  <c r="L591" i="4"/>
  <c r="K589" i="4"/>
  <c r="L587" i="4"/>
  <c r="M585" i="4"/>
  <c r="M583" i="4"/>
  <c r="B582" i="4"/>
  <c r="M579" i="4"/>
  <c r="B578" i="4"/>
  <c r="D572" i="4"/>
  <c r="E570" i="4"/>
  <c r="D568" i="4"/>
  <c r="F566" i="4"/>
  <c r="H564" i="4"/>
  <c r="K562" i="4"/>
  <c r="B561" i="4"/>
  <c r="E559" i="4"/>
  <c r="G557" i="4"/>
  <c r="J555" i="4"/>
  <c r="M553" i="4"/>
  <c r="D552" i="4"/>
  <c r="G550" i="4"/>
  <c r="J548" i="4"/>
  <c r="M546" i="4"/>
  <c r="D545" i="4"/>
  <c r="G543" i="4"/>
  <c r="J541" i="4"/>
  <c r="M539" i="4"/>
  <c r="D538" i="4"/>
  <c r="G536" i="4"/>
  <c r="J534" i="4"/>
  <c r="M532" i="4"/>
  <c r="D531" i="4"/>
  <c r="G529" i="4"/>
  <c r="J527" i="4"/>
  <c r="M525" i="4"/>
  <c r="F522" i="4"/>
  <c r="I520" i="4"/>
  <c r="J1175" i="7"/>
  <c r="C1013" i="7"/>
  <c r="L926" i="7"/>
  <c r="B875" i="7"/>
  <c r="K827" i="7"/>
  <c r="I791" i="7"/>
  <c r="N760" i="7"/>
  <c r="J737" i="7"/>
  <c r="M714" i="7"/>
  <c r="N694" i="7"/>
  <c r="B652" i="7"/>
  <c r="F633" i="7"/>
  <c r="L613" i="7"/>
  <c r="N580" i="7"/>
  <c r="I566" i="7"/>
  <c r="F551" i="7"/>
  <c r="E538" i="7"/>
  <c r="L523" i="7"/>
  <c r="J510" i="7"/>
  <c r="E497" i="7"/>
  <c r="I458" i="7"/>
  <c r="M448" i="7"/>
  <c r="G439" i="7"/>
  <c r="I429" i="7"/>
  <c r="F420" i="7"/>
  <c r="H412" i="7"/>
  <c r="M403" i="7"/>
  <c r="L395" i="7"/>
  <c r="C387" i="7"/>
  <c r="B378" i="7"/>
  <c r="E370" i="7"/>
  <c r="N361" i="7"/>
  <c r="I353" i="7"/>
  <c r="K344" i="7"/>
  <c r="G336" i="7"/>
  <c r="B327" i="7"/>
  <c r="I319" i="7"/>
  <c r="N311" i="7"/>
  <c r="L304" i="7"/>
  <c r="C297" i="7"/>
  <c r="M290" i="7"/>
  <c r="F279" i="7"/>
  <c r="L273" i="7"/>
  <c r="G256" i="7"/>
  <c r="H251" i="7"/>
  <c r="B246" i="7"/>
  <c r="F241" i="7"/>
  <c r="B236" i="7"/>
  <c r="J230" i="7"/>
  <c r="G221" i="7"/>
  <c r="B217" i="7"/>
  <c r="G202" i="7"/>
  <c r="N197" i="7"/>
  <c r="E193" i="7"/>
  <c r="B189" i="7"/>
  <c r="B184" i="7"/>
  <c r="E179" i="7"/>
  <c r="L174" i="7"/>
  <c r="C170" i="7"/>
  <c r="B166" i="7"/>
  <c r="J161" i="7"/>
  <c r="I157" i="7"/>
  <c r="E153" i="7"/>
  <c r="K149" i="7"/>
  <c r="H145" i="7"/>
  <c r="M141" i="7"/>
  <c r="J137" i="7"/>
  <c r="H133" i="7"/>
  <c r="B130" i="7"/>
  <c r="H126" i="7"/>
  <c r="H119" i="7"/>
  <c r="N115" i="7"/>
  <c r="E112" i="7"/>
  <c r="B109" i="7"/>
  <c r="H105" i="7"/>
  <c r="G102" i="7"/>
  <c r="N95" i="7"/>
  <c r="B93" i="7"/>
  <c r="M89" i="7"/>
  <c r="N86" i="7"/>
  <c r="K83" i="7"/>
  <c r="H80" i="7"/>
  <c r="F74" i="7"/>
  <c r="C71" i="7"/>
  <c r="E68" i="7"/>
  <c r="N64" i="7"/>
  <c r="K61" i="7"/>
  <c r="L58" i="7"/>
  <c r="M55" i="7"/>
  <c r="C53" i="7"/>
  <c r="C50" i="7"/>
  <c r="E44" i="7"/>
  <c r="J41" i="7"/>
  <c r="L38" i="7"/>
  <c r="E33" i="7"/>
  <c r="F30" i="7"/>
  <c r="K27" i="7"/>
  <c r="M24" i="7"/>
  <c r="E22" i="7"/>
  <c r="M191" i="5"/>
  <c r="H188" i="5"/>
  <c r="G185" i="5"/>
  <c r="B182" i="5"/>
  <c r="M178" i="5"/>
  <c r="H175" i="5"/>
  <c r="B172" i="5"/>
  <c r="M168" i="5"/>
  <c r="I165" i="5"/>
  <c r="H162" i="5"/>
  <c r="B159" i="5"/>
  <c r="I155" i="5"/>
  <c r="D152" i="5"/>
  <c r="B149" i="5"/>
  <c r="J145" i="5"/>
  <c r="I142" i="5"/>
  <c r="D139" i="5"/>
  <c r="J135" i="5"/>
  <c r="I132" i="5"/>
  <c r="F129" i="5"/>
  <c r="H126" i="5"/>
  <c r="F123" i="5"/>
  <c r="F120" i="5"/>
  <c r="J117" i="5"/>
  <c r="B115" i="5"/>
  <c r="B112" i="5"/>
  <c r="F109" i="5"/>
  <c r="J106" i="5"/>
  <c r="J103" i="5"/>
  <c r="B101" i="5"/>
  <c r="F98" i="5"/>
  <c r="F95" i="5"/>
  <c r="J92" i="5"/>
  <c r="B90" i="5"/>
  <c r="B87" i="5"/>
  <c r="F84" i="5"/>
  <c r="J81" i="5"/>
  <c r="J78" i="5"/>
  <c r="B76" i="5"/>
  <c r="F73" i="5"/>
  <c r="F70" i="5"/>
  <c r="J67" i="5"/>
  <c r="B65" i="5"/>
  <c r="B62" i="5"/>
  <c r="F59" i="5"/>
  <c r="J56" i="5"/>
  <c r="J53" i="5"/>
  <c r="J48" i="5"/>
  <c r="H46" i="5"/>
  <c r="M43" i="5"/>
  <c r="J41" i="5"/>
  <c r="L36" i="5"/>
  <c r="G34" i="5"/>
  <c r="F32" i="5"/>
  <c r="D30" i="5"/>
  <c r="K27" i="5"/>
  <c r="J25" i="5"/>
  <c r="H23" i="5"/>
  <c r="G631" i="4"/>
  <c r="F629" i="4"/>
  <c r="D627" i="4"/>
  <c r="K624" i="4"/>
  <c r="K622" i="4"/>
  <c r="J620" i="4"/>
  <c r="J618" i="4"/>
  <c r="G616" i="4"/>
  <c r="G614" i="4"/>
  <c r="F612" i="4"/>
  <c r="F610" i="4"/>
  <c r="B604" i="4"/>
  <c r="B602" i="4"/>
  <c r="K599" i="4"/>
  <c r="K597" i="4"/>
  <c r="J595" i="4"/>
  <c r="J593" i="4"/>
  <c r="I591" i="4"/>
  <c r="J589" i="4"/>
  <c r="K587" i="4"/>
  <c r="M1159" i="7"/>
  <c r="F996" i="7"/>
  <c r="I908" i="7"/>
  <c r="F862" i="7"/>
  <c r="N820" i="7"/>
  <c r="K788" i="7"/>
  <c r="F758" i="7"/>
  <c r="G733" i="7"/>
  <c r="G711" i="7"/>
  <c r="F690" i="7"/>
  <c r="B671" i="7"/>
  <c r="H649" i="7"/>
  <c r="F629" i="7"/>
  <c r="K610" i="7"/>
  <c r="J577" i="7"/>
  <c r="H564" i="7"/>
  <c r="G550" i="7"/>
  <c r="J534" i="7"/>
  <c r="M521" i="7"/>
  <c r="G508" i="7"/>
  <c r="E496" i="7"/>
  <c r="M481" i="7"/>
  <c r="B469" i="7"/>
  <c r="C456" i="7"/>
  <c r="I446" i="7"/>
  <c r="L437" i="7"/>
  <c r="N428" i="7"/>
  <c r="K419" i="7"/>
  <c r="N410" i="7"/>
  <c r="E394" i="7"/>
  <c r="H386" i="7"/>
  <c r="L377" i="7"/>
  <c r="K368" i="7"/>
  <c r="K359" i="7"/>
  <c r="N351" i="7"/>
  <c r="E343" i="7"/>
  <c r="H326" i="7"/>
  <c r="N310" i="7"/>
  <c r="L302" i="7"/>
  <c r="K296" i="7"/>
  <c r="M283" i="7"/>
  <c r="N277" i="7"/>
  <c r="K272" i="7"/>
  <c r="L266" i="7"/>
  <c r="J261" i="7"/>
  <c r="M255" i="7"/>
  <c r="G245" i="7"/>
  <c r="H240" i="7"/>
  <c r="H235" i="7"/>
  <c r="C230" i="7"/>
  <c r="F225" i="7"/>
  <c r="I220" i="7"/>
  <c r="C216" i="7"/>
  <c r="G211" i="7"/>
  <c r="N206" i="7"/>
  <c r="G197" i="7"/>
  <c r="N192" i="7"/>
  <c r="E188" i="7"/>
  <c r="L183" i="7"/>
  <c r="B179" i="7"/>
  <c r="N173" i="7"/>
  <c r="C169" i="7"/>
  <c r="M160" i="7"/>
  <c r="E157" i="7"/>
  <c r="B153" i="7"/>
  <c r="K148" i="7"/>
  <c r="N140" i="7"/>
  <c r="G137" i="7"/>
  <c r="F129" i="7"/>
  <c r="J125" i="7"/>
  <c r="G122" i="7"/>
  <c r="N118" i="7"/>
  <c r="J115" i="7"/>
  <c r="N111" i="7"/>
  <c r="F108" i="7"/>
  <c r="L101" i="7"/>
  <c r="N98" i="7"/>
  <c r="J95" i="7"/>
  <c r="G92" i="7"/>
  <c r="E86" i="7"/>
  <c r="C83" i="7"/>
  <c r="N76" i="7"/>
  <c r="K73" i="7"/>
  <c r="L70" i="7"/>
  <c r="J67" i="7"/>
  <c r="K64" i="7"/>
  <c r="H61" i="7"/>
  <c r="E58" i="7"/>
  <c r="G52" i="7"/>
  <c r="I49" i="7"/>
  <c r="N46" i="7"/>
  <c r="B44" i="7"/>
  <c r="C41" i="7"/>
  <c r="H38" i="7"/>
  <c r="J35" i="7"/>
  <c r="B33" i="7"/>
  <c r="C30" i="7"/>
  <c r="E24" i="7"/>
  <c r="J21" i="7"/>
  <c r="J191" i="5"/>
  <c r="E188" i="5"/>
  <c r="K184" i="5"/>
  <c r="J181" i="5"/>
  <c r="F178" i="5"/>
  <c r="E175" i="5"/>
  <c r="K171" i="5"/>
  <c r="F168" i="5"/>
  <c r="L164" i="5"/>
  <c r="K161" i="5"/>
  <c r="G158" i="5"/>
  <c r="F155" i="5"/>
  <c r="L151" i="5"/>
  <c r="G148" i="5"/>
  <c r="F145" i="5"/>
  <c r="M141" i="5"/>
  <c r="L138" i="5"/>
  <c r="G135" i="5"/>
  <c r="M131" i="5"/>
  <c r="J128" i="5"/>
  <c r="L125" i="5"/>
  <c r="K122" i="5"/>
  <c r="G114" i="5"/>
  <c r="K111" i="5"/>
  <c r="K108" i="5"/>
  <c r="G103" i="5"/>
  <c r="G100" i="5"/>
  <c r="K97" i="5"/>
  <c r="G89" i="5"/>
  <c r="K86" i="5"/>
  <c r="K83" i="5"/>
  <c r="G78" i="5"/>
  <c r="G75" i="5"/>
  <c r="K72" i="5"/>
  <c r="G64" i="5"/>
  <c r="K61" i="5"/>
  <c r="K58" i="5"/>
  <c r="G53" i="5"/>
  <c r="K50" i="5"/>
  <c r="G48" i="5"/>
  <c r="L45" i="5"/>
  <c r="I43" i="5"/>
  <c r="K38" i="5"/>
  <c r="I36" i="5"/>
  <c r="D34" i="5"/>
  <c r="B32" i="5"/>
  <c r="M29" i="5"/>
  <c r="H27" i="5"/>
  <c r="F25" i="5"/>
  <c r="E23" i="5"/>
  <c r="D631" i="4"/>
  <c r="B629" i="4"/>
  <c r="M626" i="4"/>
  <c r="H624" i="4"/>
  <c r="G622" i="4"/>
  <c r="G620" i="4"/>
  <c r="D618" i="4"/>
  <c r="D616" i="4"/>
  <c r="L609" i="4"/>
  <c r="L607" i="4"/>
  <c r="K605" i="4"/>
  <c r="K603" i="4"/>
  <c r="H601" i="4"/>
  <c r="H599" i="4"/>
  <c r="G597" i="4"/>
  <c r="G595" i="4"/>
  <c r="E593" i="4"/>
  <c r="F591" i="4"/>
  <c r="G589" i="4"/>
  <c r="G587" i="4"/>
  <c r="H585" i="4"/>
  <c r="I583" i="4"/>
  <c r="H581" i="4"/>
  <c r="I579" i="4"/>
  <c r="J577" i="4"/>
  <c r="J575" i="4"/>
  <c r="K573" i="4"/>
  <c r="L571" i="4"/>
  <c r="K569" i="4"/>
  <c r="L567" i="4"/>
  <c r="B566" i="4"/>
  <c r="F562" i="4"/>
  <c r="I560" i="4"/>
  <c r="L558" i="4"/>
  <c r="F555" i="4"/>
  <c r="I553" i="4"/>
  <c r="L551" i="4"/>
  <c r="F548" i="4"/>
  <c r="I546" i="4"/>
  <c r="L544" i="4"/>
  <c r="F541" i="4"/>
  <c r="I539" i="4"/>
  <c r="L537" i="4"/>
  <c r="F534" i="4"/>
  <c r="I532" i="4"/>
  <c r="K530" i="4"/>
  <c r="B529" i="4"/>
  <c r="E527" i="4"/>
  <c r="H525" i="4"/>
  <c r="K523" i="4"/>
  <c r="B522" i="4"/>
  <c r="E520" i="4"/>
  <c r="H518" i="4"/>
  <c r="K516" i="4"/>
  <c r="B515" i="4"/>
  <c r="E513" i="4"/>
  <c r="H511" i="4"/>
  <c r="K509" i="4"/>
  <c r="I1153" i="7"/>
  <c r="G995" i="7"/>
  <c r="H907" i="7"/>
  <c r="L854" i="7"/>
  <c r="B818" i="7"/>
  <c r="I783" i="7"/>
  <c r="J731" i="7"/>
  <c r="H707" i="7"/>
  <c r="L688" i="7"/>
  <c r="N667" i="7"/>
  <c r="K628" i="7"/>
  <c r="K608" i="7"/>
  <c r="C591" i="7"/>
  <c r="F577" i="7"/>
  <c r="E562" i="7"/>
  <c r="F519" i="7"/>
  <c r="B507" i="7"/>
  <c r="C493" i="7"/>
  <c r="N480" i="7"/>
  <c r="B468" i="7"/>
  <c r="C455" i="7"/>
  <c r="K445" i="7"/>
  <c r="I436" i="7"/>
  <c r="C427" i="7"/>
  <c r="E419" i="7"/>
  <c r="I410" i="7"/>
  <c r="G393" i="7"/>
  <c r="G385" i="7"/>
  <c r="F377" i="7"/>
  <c r="M367" i="7"/>
  <c r="I359" i="7"/>
  <c r="H350" i="7"/>
  <c r="G342" i="7"/>
  <c r="B334" i="7"/>
  <c r="E326" i="7"/>
  <c r="N317" i="7"/>
  <c r="K309" i="7"/>
  <c r="I302" i="7"/>
  <c r="K295" i="7"/>
  <c r="L289" i="7"/>
  <c r="J283" i="7"/>
  <c r="K277" i="7"/>
  <c r="L271" i="7"/>
  <c r="I266" i="7"/>
  <c r="L260" i="7"/>
  <c r="J255" i="7"/>
  <c r="B250" i="7"/>
  <c r="J244" i="7"/>
  <c r="M239" i="7"/>
  <c r="J234" i="7"/>
  <c r="N229" i="7"/>
  <c r="C220" i="7"/>
  <c r="E215" i="7"/>
  <c r="M210" i="7"/>
  <c r="B202" i="7"/>
  <c r="N196" i="7"/>
  <c r="C192" i="7"/>
  <c r="K187" i="7"/>
  <c r="N182" i="7"/>
  <c r="I178" i="7"/>
  <c r="K173" i="7"/>
  <c r="K168" i="7"/>
  <c r="G164" i="7"/>
  <c r="J160" i="7"/>
  <c r="G156" i="7"/>
  <c r="M152" i="7"/>
  <c r="I148" i="7"/>
  <c r="G144" i="7"/>
  <c r="K140" i="7"/>
  <c r="I136" i="7"/>
  <c r="B133" i="7"/>
  <c r="H125" i="7"/>
  <c r="M121" i="7"/>
  <c r="I118" i="7"/>
  <c r="B115" i="7"/>
  <c r="K111" i="7"/>
  <c r="I104" i="7"/>
  <c r="I101" i="7"/>
  <c r="G98" i="7"/>
  <c r="H95" i="7"/>
  <c r="E92" i="7"/>
  <c r="B89" i="7"/>
  <c r="L85" i="7"/>
  <c r="M82" i="7"/>
  <c r="K79" i="7"/>
  <c r="L76" i="7"/>
  <c r="I73" i="7"/>
  <c r="E70" i="7"/>
  <c r="G67" i="7"/>
  <c r="E64" i="7"/>
  <c r="F61" i="7"/>
  <c r="C58" i="7"/>
  <c r="B55" i="7"/>
  <c r="N51" i="7"/>
  <c r="F49" i="7"/>
  <c r="H46" i="7"/>
  <c r="M43" i="7"/>
  <c r="N40" i="7"/>
  <c r="B38" i="7"/>
  <c r="G35" i="7"/>
  <c r="I32" i="7"/>
  <c r="N29" i="7"/>
  <c r="B27" i="7"/>
  <c r="C24" i="7"/>
  <c r="D191" i="5"/>
  <c r="B188" i="5"/>
  <c r="I184" i="5"/>
  <c r="D181" i="5"/>
  <c r="B178" i="5"/>
  <c r="J174" i="5"/>
  <c r="I171" i="5"/>
  <c r="D168" i="5"/>
  <c r="J164" i="5"/>
  <c r="E161" i="5"/>
  <c r="D158" i="5"/>
  <c r="K154" i="5"/>
  <c r="J151" i="5"/>
  <c r="E148" i="5"/>
  <c r="K144" i="5"/>
  <c r="J141" i="5"/>
  <c r="F138" i="5"/>
  <c r="E135" i="5"/>
  <c r="K131" i="5"/>
  <c r="H128" i="5"/>
  <c r="F125" i="5"/>
  <c r="H122" i="5"/>
  <c r="M119" i="5"/>
  <c r="M116" i="5"/>
  <c r="D114" i="5"/>
  <c r="I111" i="5"/>
  <c r="I108" i="5"/>
  <c r="L105" i="5"/>
  <c r="E103" i="5"/>
  <c r="E100" i="5"/>
  <c r="H97" i="5"/>
  <c r="M94" i="5"/>
  <c r="M91" i="5"/>
  <c r="D89" i="5"/>
  <c r="I86" i="5"/>
  <c r="I83" i="5"/>
  <c r="L80" i="5"/>
  <c r="E78" i="5"/>
  <c r="E75" i="5"/>
  <c r="H72" i="5"/>
  <c r="M69" i="5"/>
  <c r="M66" i="5"/>
  <c r="D64" i="5"/>
  <c r="I61" i="5"/>
  <c r="I58" i="5"/>
  <c r="L55" i="5"/>
  <c r="E53" i="5"/>
  <c r="G50" i="5"/>
  <c r="E48" i="5"/>
  <c r="J45" i="5"/>
  <c r="G43" i="5"/>
  <c r="L40" i="5"/>
  <c r="I38" i="5"/>
  <c r="B34" i="5"/>
  <c r="L31" i="5"/>
  <c r="G29" i="5"/>
  <c r="F27" i="5"/>
  <c r="D25" i="5"/>
  <c r="K22" i="5"/>
  <c r="B631" i="4"/>
  <c r="L628" i="4"/>
  <c r="G626" i="4"/>
  <c r="F624" i="4"/>
  <c r="E622" i="4"/>
  <c r="E620" i="4"/>
  <c r="B618" i="4"/>
  <c r="B616" i="4"/>
  <c r="M613" i="4"/>
  <c r="M611" i="4"/>
  <c r="J609" i="4"/>
  <c r="J607" i="4"/>
  <c r="I605" i="4"/>
  <c r="I603" i="4"/>
  <c r="F601" i="4"/>
  <c r="F599" i="4"/>
  <c r="E597" i="4"/>
  <c r="E595" i="4"/>
  <c r="D591" i="4"/>
  <c r="E589" i="4"/>
  <c r="E587" i="4"/>
  <c r="F585" i="4"/>
  <c r="E583" i="4"/>
  <c r="F581" i="4"/>
  <c r="G579" i="4"/>
  <c r="G577" i="4"/>
  <c r="H575" i="4"/>
  <c r="I573" i="4"/>
  <c r="H571" i="4"/>
  <c r="I569" i="4"/>
  <c r="J567" i="4"/>
  <c r="K565" i="4"/>
  <c r="M563" i="4"/>
  <c r="D562" i="4"/>
  <c r="G560" i="4"/>
  <c r="J558" i="4"/>
  <c r="M556" i="4"/>
  <c r="J1117" i="7"/>
  <c r="L983" i="7"/>
  <c r="G907" i="7"/>
  <c r="I854" i="7"/>
  <c r="L814" i="7"/>
  <c r="C782" i="7"/>
  <c r="B758" i="7"/>
  <c r="I731" i="7"/>
  <c r="G707" i="7"/>
  <c r="G686" i="7"/>
  <c r="G666" i="7"/>
  <c r="K645" i="7"/>
  <c r="E628" i="7"/>
  <c r="I608" i="7"/>
  <c r="B591" i="7"/>
  <c r="I576" i="7"/>
  <c r="M548" i="7"/>
  <c r="L533" i="7"/>
  <c r="E519" i="7"/>
  <c r="N492" i="7"/>
  <c r="G479" i="7"/>
  <c r="F467" i="7"/>
  <c r="B455" i="7"/>
  <c r="B445" i="7"/>
  <c r="H436" i="7"/>
  <c r="B427" i="7"/>
  <c r="M418" i="7"/>
  <c r="C401" i="7"/>
  <c r="K392" i="7"/>
  <c r="F384" i="7"/>
  <c r="I375" i="7"/>
  <c r="L367" i="7"/>
  <c r="H359" i="7"/>
  <c r="C350" i="7"/>
  <c r="F342" i="7"/>
  <c r="N333" i="7"/>
  <c r="N325" i="7"/>
  <c r="F317" i="7"/>
  <c r="J309" i="7"/>
  <c r="F301" i="7"/>
  <c r="C295" i="7"/>
  <c r="N288" i="7"/>
  <c r="I283" i="7"/>
  <c r="I277" i="7"/>
  <c r="K271" i="7"/>
  <c r="H266" i="7"/>
  <c r="I260" i="7"/>
  <c r="I255" i="7"/>
  <c r="N249" i="7"/>
  <c r="H244" i="7"/>
  <c r="H234" i="7"/>
  <c r="E229" i="7"/>
  <c r="C225" i="7"/>
  <c r="B220" i="7"/>
  <c r="L210" i="7"/>
  <c r="B206" i="7"/>
  <c r="J201" i="7"/>
  <c r="L196" i="7"/>
  <c r="L191" i="7"/>
  <c r="B187" i="7"/>
  <c r="I182" i="7"/>
  <c r="M177" i="7"/>
  <c r="J173" i="7"/>
  <c r="J168" i="7"/>
  <c r="C164" i="7"/>
  <c r="I160" i="7"/>
  <c r="F156" i="7"/>
  <c r="L152" i="7"/>
  <c r="H148" i="7"/>
  <c r="E144" i="7"/>
  <c r="C140" i="7"/>
  <c r="F136" i="7"/>
  <c r="I132" i="7"/>
  <c r="C129" i="7"/>
  <c r="G125" i="7"/>
  <c r="L121" i="7"/>
  <c r="H118" i="7"/>
  <c r="M114" i="7"/>
  <c r="J111" i="7"/>
  <c r="B108" i="7"/>
  <c r="H104" i="7"/>
  <c r="E98" i="7"/>
  <c r="C95" i="7"/>
  <c r="N88" i="7"/>
  <c r="J85" i="7"/>
  <c r="L82" i="7"/>
  <c r="J79" i="7"/>
  <c r="K76" i="7"/>
  <c r="H73" i="7"/>
  <c r="N66" i="7"/>
  <c r="B64" i="7"/>
  <c r="M60" i="7"/>
  <c r="B58" i="7"/>
  <c r="N54" i="7"/>
  <c r="M51" i="7"/>
  <c r="E49" i="7"/>
  <c r="G46" i="7"/>
  <c r="L43" i="7"/>
  <c r="M40" i="7"/>
  <c r="N37" i="7"/>
  <c r="B35" i="7"/>
  <c r="G32" i="7"/>
  <c r="I29" i="7"/>
  <c r="N26" i="7"/>
  <c r="B24" i="7"/>
  <c r="C21" i="7"/>
  <c r="B191" i="5"/>
  <c r="M187" i="5"/>
  <c r="H184" i="5"/>
  <c r="B181" i="5"/>
  <c r="I177" i="5"/>
  <c r="H174" i="5"/>
  <c r="D171" i="5"/>
  <c r="B168" i="5"/>
  <c r="I164" i="5"/>
  <c r="D161" i="5"/>
  <c r="B158" i="5"/>
  <c r="J154" i="5"/>
  <c r="I151" i="5"/>
  <c r="D148" i="5"/>
  <c r="J144" i="5"/>
  <c r="E141" i="5"/>
  <c r="D138" i="5"/>
  <c r="K134" i="5"/>
  <c r="J131" i="5"/>
  <c r="G128" i="5"/>
  <c r="E125" i="5"/>
  <c r="G122" i="5"/>
  <c r="L119" i="5"/>
  <c r="L116" i="5"/>
  <c r="H111" i="5"/>
  <c r="H108" i="5"/>
  <c r="K105" i="5"/>
  <c r="D103" i="5"/>
  <c r="D100" i="5"/>
  <c r="G97" i="5"/>
  <c r="L94" i="5"/>
  <c r="L91" i="5"/>
  <c r="H86" i="5"/>
  <c r="H83" i="5"/>
  <c r="K80" i="5"/>
  <c r="D78" i="5"/>
  <c r="D75" i="5"/>
  <c r="G72" i="5"/>
  <c r="L69" i="5"/>
  <c r="L66" i="5"/>
  <c r="H61" i="5"/>
  <c r="H58" i="5"/>
  <c r="K55" i="5"/>
  <c r="D53" i="5"/>
  <c r="F50" i="5"/>
  <c r="D48" i="5"/>
  <c r="I45" i="5"/>
  <c r="F43" i="5"/>
  <c r="K40" i="5"/>
  <c r="H38" i="5"/>
  <c r="B36" i="5"/>
  <c r="M33" i="5"/>
  <c r="K31" i="5"/>
  <c r="F29" i="5"/>
  <c r="E27" i="5"/>
  <c r="H1099" i="7"/>
  <c r="I980" i="7"/>
  <c r="C902" i="7"/>
  <c r="J850" i="7"/>
  <c r="J811" i="7"/>
  <c r="H779" i="7"/>
  <c r="B752" i="7"/>
  <c r="G729" i="7"/>
  <c r="C684" i="7"/>
  <c r="L663" i="7"/>
  <c r="H645" i="7"/>
  <c r="B607" i="7"/>
  <c r="I590" i="7"/>
  <c r="F574" i="7"/>
  <c r="J560" i="7"/>
  <c r="L546" i="7"/>
  <c r="J533" i="7"/>
  <c r="G518" i="7"/>
  <c r="N504" i="7"/>
  <c r="K490" i="7"/>
  <c r="I478" i="7"/>
  <c r="F465" i="7"/>
  <c r="L454" i="7"/>
  <c r="K444" i="7"/>
  <c r="N434" i="7"/>
  <c r="H426" i="7"/>
  <c r="L417" i="7"/>
  <c r="J409" i="7"/>
  <c r="N400" i="7"/>
  <c r="N391" i="7"/>
  <c r="M382" i="7"/>
  <c r="C375" i="7"/>
  <c r="H366" i="7"/>
  <c r="J358" i="7"/>
  <c r="J349" i="7"/>
  <c r="N340" i="7"/>
  <c r="E324" i="7"/>
  <c r="C317" i="7"/>
  <c r="M308" i="7"/>
  <c r="M300" i="7"/>
  <c r="J294" i="7"/>
  <c r="E288" i="7"/>
  <c r="F282" i="7"/>
  <c r="C277" i="7"/>
  <c r="I271" i="7"/>
  <c r="B260" i="7"/>
  <c r="K254" i="7"/>
  <c r="L249" i="7"/>
  <c r="B244" i="7"/>
  <c r="B239" i="7"/>
  <c r="J233" i="7"/>
  <c r="K228" i="7"/>
  <c r="B224" i="7"/>
  <c r="L219" i="7"/>
  <c r="L214" i="7"/>
  <c r="B210" i="7"/>
  <c r="I205" i="7"/>
  <c r="M200" i="7"/>
  <c r="G196" i="7"/>
  <c r="J191" i="7"/>
  <c r="M186" i="7"/>
  <c r="C182" i="7"/>
  <c r="J177" i="7"/>
  <c r="N172" i="7"/>
  <c r="H168" i="7"/>
  <c r="N163" i="7"/>
  <c r="L159" i="7"/>
  <c r="C156" i="7"/>
  <c r="N151" i="7"/>
  <c r="F148" i="7"/>
  <c r="B144" i="7"/>
  <c r="M139" i="7"/>
  <c r="M135" i="7"/>
  <c r="H128" i="7"/>
  <c r="E125" i="7"/>
  <c r="I121" i="7"/>
  <c r="M117" i="7"/>
  <c r="J114" i="7"/>
  <c r="C111" i="7"/>
  <c r="L107" i="7"/>
  <c r="F104" i="7"/>
  <c r="N100" i="7"/>
  <c r="K97" i="7"/>
  <c r="L94" i="7"/>
  <c r="J91" i="7"/>
  <c r="K88" i="7"/>
  <c r="H85" i="7"/>
  <c r="E82" i="7"/>
  <c r="F79" i="7"/>
  <c r="E73" i="7"/>
  <c r="B70" i="7"/>
  <c r="L66" i="7"/>
  <c r="I63" i="7"/>
  <c r="J60" i="7"/>
  <c r="I57" i="7"/>
  <c r="L54" i="7"/>
  <c r="K51" i="7"/>
  <c r="L48" i="7"/>
  <c r="F43" i="7"/>
  <c r="K40" i="7"/>
  <c r="L37" i="7"/>
  <c r="M34" i="7"/>
  <c r="N31" i="7"/>
  <c r="F29" i="7"/>
  <c r="H26" i="7"/>
  <c r="M23" i="7"/>
  <c r="G952" i="7"/>
  <c r="M847" i="7"/>
  <c r="K775" i="7"/>
  <c r="C732" i="7"/>
  <c r="I694" i="7"/>
  <c r="I659" i="7"/>
  <c r="J620" i="7"/>
  <c r="B589" i="7"/>
  <c r="N561" i="7"/>
  <c r="N535" i="7"/>
  <c r="L512" i="7"/>
  <c r="J488" i="7"/>
  <c r="B464" i="7"/>
  <c r="F444" i="7"/>
  <c r="M428" i="7"/>
  <c r="C412" i="7"/>
  <c r="I382" i="7"/>
  <c r="M365" i="7"/>
  <c r="B350" i="7"/>
  <c r="I335" i="7"/>
  <c r="M321" i="7"/>
  <c r="M293" i="7"/>
  <c r="I272" i="7"/>
  <c r="L261" i="7"/>
  <c r="C253" i="7"/>
  <c r="C243" i="7"/>
  <c r="K224" i="7"/>
  <c r="E216" i="7"/>
  <c r="I208" i="7"/>
  <c r="H199" i="7"/>
  <c r="L190" i="7"/>
  <c r="B182" i="7"/>
  <c r="M173" i="7"/>
  <c r="G165" i="7"/>
  <c r="L158" i="7"/>
  <c r="C151" i="7"/>
  <c r="M143" i="7"/>
  <c r="E136" i="7"/>
  <c r="H129" i="7"/>
  <c r="K123" i="7"/>
  <c r="H117" i="7"/>
  <c r="E110" i="7"/>
  <c r="E104" i="7"/>
  <c r="H98" i="7"/>
  <c r="I92" i="7"/>
  <c r="H87" i="7"/>
  <c r="M81" i="7"/>
  <c r="N75" i="7"/>
  <c r="C70" i="7"/>
  <c r="L64" i="7"/>
  <c r="K59" i="7"/>
  <c r="N53" i="7"/>
  <c r="I48" i="7"/>
  <c r="C38" i="7"/>
  <c r="I28" i="7"/>
  <c r="K190" i="5"/>
  <c r="F185" i="5"/>
  <c r="D180" i="5"/>
  <c r="M173" i="5"/>
  <c r="H168" i="5"/>
  <c r="I163" i="5"/>
  <c r="H157" i="5"/>
  <c r="B152" i="5"/>
  <c r="D147" i="5"/>
  <c r="B141" i="5"/>
  <c r="I135" i="5"/>
  <c r="F130" i="5"/>
  <c r="E120" i="5"/>
  <c r="B116" i="5"/>
  <c r="B111" i="5"/>
  <c r="I106" i="5"/>
  <c r="B102" i="5"/>
  <c r="B97" i="5"/>
  <c r="H92" i="5"/>
  <c r="F88" i="5"/>
  <c r="F83" i="5"/>
  <c r="I78" i="5"/>
  <c r="F74" i="5"/>
  <c r="F69" i="5"/>
  <c r="M64" i="5"/>
  <c r="F60" i="5"/>
  <c r="F55" i="5"/>
  <c r="B51" i="5"/>
  <c r="E47" i="5"/>
  <c r="D43" i="5"/>
  <c r="B39" i="5"/>
  <c r="G35" i="5"/>
  <c r="I31" i="5"/>
  <c r="J27" i="5"/>
  <c r="F24" i="5"/>
  <c r="E631" i="4"/>
  <c r="B628" i="4"/>
  <c r="G624" i="4"/>
  <c r="G621" i="4"/>
  <c r="M617" i="4"/>
  <c r="E615" i="4"/>
  <c r="H611" i="4"/>
  <c r="L608" i="4"/>
  <c r="F605" i="4"/>
  <c r="G602" i="4"/>
  <c r="M598" i="4"/>
  <c r="I595" i="4"/>
  <c r="J592" i="4"/>
  <c r="H589" i="4"/>
  <c r="I586" i="4"/>
  <c r="K583" i="4"/>
  <c r="B581" i="4"/>
  <c r="H578" i="4"/>
  <c r="F575" i="4"/>
  <c r="K572" i="4"/>
  <c r="J569" i="4"/>
  <c r="F564" i="4"/>
  <c r="L561" i="4"/>
  <c r="I559" i="4"/>
  <c r="K556" i="4"/>
  <c r="I554" i="4"/>
  <c r="B552" i="4"/>
  <c r="K549" i="4"/>
  <c r="I547" i="4"/>
  <c r="B545" i="4"/>
  <c r="K542" i="4"/>
  <c r="I540" i="4"/>
  <c r="H538" i="4"/>
  <c r="D536" i="4"/>
  <c r="M533" i="4"/>
  <c r="L531" i="4"/>
  <c r="K529" i="4"/>
  <c r="F527" i="4"/>
  <c r="D525" i="4"/>
  <c r="B521" i="4"/>
  <c r="J518" i="4"/>
  <c r="I516" i="4"/>
  <c r="I514" i="4"/>
  <c r="I512" i="4"/>
  <c r="H510" i="4"/>
  <c r="F508" i="4"/>
  <c r="G506" i="4"/>
  <c r="H504" i="4"/>
  <c r="I502" i="4"/>
  <c r="I500" i="4"/>
  <c r="J498" i="4"/>
  <c r="K496" i="4"/>
  <c r="L494" i="4"/>
  <c r="M492" i="4"/>
  <c r="K490" i="4"/>
  <c r="L488" i="4"/>
  <c r="M486" i="4"/>
  <c r="B485" i="4"/>
  <c r="D481" i="4"/>
  <c r="E479" i="4"/>
  <c r="E477" i="4"/>
  <c r="F475" i="4"/>
  <c r="F473" i="4"/>
  <c r="I471" i="4"/>
  <c r="L469" i="4"/>
  <c r="F466" i="4"/>
  <c r="I464" i="4"/>
  <c r="L462" i="4"/>
  <c r="F459" i="4"/>
  <c r="I457" i="4"/>
  <c r="L455" i="4"/>
  <c r="F452" i="4"/>
  <c r="I450" i="4"/>
  <c r="L448" i="4"/>
  <c r="F445" i="4"/>
  <c r="H443" i="4"/>
  <c r="K441" i="4"/>
  <c r="B440" i="4"/>
  <c r="E438" i="4"/>
  <c r="H436" i="4"/>
  <c r="K434" i="4"/>
  <c r="B433" i="4"/>
  <c r="E431" i="4"/>
  <c r="H429" i="4"/>
  <c r="K427" i="4"/>
  <c r="B426" i="4"/>
  <c r="E424" i="4"/>
  <c r="H422" i="4"/>
  <c r="K420" i="4"/>
  <c r="B419" i="4"/>
  <c r="E417" i="4"/>
  <c r="H415" i="4"/>
  <c r="L413" i="4"/>
  <c r="D412" i="4"/>
  <c r="H410" i="4"/>
  <c r="L408" i="4"/>
  <c r="D407" i="4"/>
  <c r="H405" i="4"/>
  <c r="L403" i="4"/>
  <c r="D402" i="4"/>
  <c r="H400" i="4"/>
  <c r="L398" i="4"/>
  <c r="D397" i="4"/>
  <c r="H395" i="4"/>
  <c r="L393" i="4"/>
  <c r="D392" i="4"/>
  <c r="H390" i="4"/>
  <c r="L388" i="4"/>
  <c r="D387" i="4"/>
  <c r="H385" i="4"/>
  <c r="L383" i="4"/>
  <c r="D382" i="4"/>
  <c r="H380" i="4"/>
  <c r="L378" i="4"/>
  <c r="D377" i="4"/>
  <c r="H375" i="4"/>
  <c r="L373" i="4"/>
  <c r="D372" i="4"/>
  <c r="H370" i="4"/>
  <c r="L368" i="4"/>
  <c r="D367" i="4"/>
  <c r="H365" i="4"/>
  <c r="L363" i="4"/>
  <c r="D362" i="4"/>
  <c r="H360" i="4"/>
  <c r="L358" i="4"/>
  <c r="D357" i="4"/>
  <c r="H355" i="4"/>
  <c r="L353" i="4"/>
  <c r="D352" i="4"/>
  <c r="H350" i="4"/>
  <c r="L348" i="4"/>
  <c r="D347" i="4"/>
  <c r="H345" i="4"/>
  <c r="L343" i="4"/>
  <c r="D342" i="4"/>
  <c r="H340" i="4"/>
  <c r="L338" i="4"/>
  <c r="D337" i="4"/>
  <c r="H335" i="4"/>
  <c r="L333" i="4"/>
  <c r="D332" i="4"/>
  <c r="H330" i="4"/>
  <c r="L328" i="4"/>
  <c r="D327" i="4"/>
  <c r="H325" i="4"/>
  <c r="L323" i="4"/>
  <c r="D322" i="4"/>
  <c r="H320" i="4"/>
  <c r="L318" i="4"/>
  <c r="D317" i="4"/>
  <c r="H315" i="4"/>
  <c r="L313" i="4"/>
  <c r="D312" i="4"/>
  <c r="H310" i="4"/>
  <c r="L308" i="4"/>
  <c r="D307" i="4"/>
  <c r="H305" i="4"/>
  <c r="L303" i="4"/>
  <c r="D302" i="4"/>
  <c r="H300" i="4"/>
  <c r="L298" i="4"/>
  <c r="D297" i="4"/>
  <c r="H295" i="4"/>
  <c r="L293" i="4"/>
  <c r="D292" i="4"/>
  <c r="H290" i="4"/>
  <c r="L288" i="4"/>
  <c r="D287" i="4"/>
  <c r="H285" i="4"/>
  <c r="L283" i="4"/>
  <c r="D282" i="4"/>
  <c r="H280" i="4"/>
  <c r="L278" i="4"/>
  <c r="D277" i="4"/>
  <c r="H275" i="4"/>
  <c r="L273" i="4"/>
  <c r="D272" i="4"/>
  <c r="H270" i="4"/>
  <c r="L268" i="4"/>
  <c r="D267" i="4"/>
  <c r="H265" i="4"/>
  <c r="L263" i="4"/>
  <c r="D262" i="4"/>
  <c r="H260" i="4"/>
  <c r="L258" i="4"/>
  <c r="D257" i="4"/>
  <c r="H255" i="4"/>
  <c r="L253" i="4"/>
  <c r="D252" i="4"/>
  <c r="H250" i="4"/>
  <c r="L248" i="4"/>
  <c r="D247" i="4"/>
  <c r="H245" i="4"/>
  <c r="L243" i="4"/>
  <c r="D242" i="4"/>
  <c r="H240" i="4"/>
  <c r="L238" i="4"/>
  <c r="D237" i="4"/>
  <c r="H235" i="4"/>
  <c r="L233" i="4"/>
  <c r="D232" i="4"/>
  <c r="H230" i="4"/>
  <c r="L228" i="4"/>
  <c r="D227" i="4"/>
  <c r="H225" i="4"/>
  <c r="L223" i="4"/>
  <c r="D222" i="4"/>
  <c r="H220" i="4"/>
  <c r="L218" i="4"/>
  <c r="D217" i="4"/>
  <c r="H215" i="4"/>
  <c r="L213" i="4"/>
  <c r="D212" i="4"/>
  <c r="H210" i="4"/>
  <c r="K208" i="4"/>
  <c r="G205" i="4"/>
  <c r="K203" i="4"/>
  <c r="G200" i="4"/>
  <c r="K198" i="4"/>
  <c r="G195" i="4"/>
  <c r="K193" i="4"/>
  <c r="G190" i="4"/>
  <c r="K188" i="4"/>
  <c r="G185" i="4"/>
  <c r="K183" i="4"/>
  <c r="G180" i="4"/>
  <c r="K178" i="4"/>
  <c r="G175" i="4"/>
  <c r="K173" i="4"/>
  <c r="G170" i="4"/>
  <c r="K168" i="4"/>
  <c r="G165" i="4"/>
  <c r="K163" i="4"/>
  <c r="G160" i="4"/>
  <c r="K158" i="4"/>
  <c r="G155" i="4"/>
  <c r="K153" i="4"/>
  <c r="G150" i="4"/>
  <c r="K148" i="4"/>
  <c r="G145" i="4"/>
  <c r="K143" i="4"/>
  <c r="G140" i="4"/>
  <c r="K138" i="4"/>
  <c r="G135" i="4"/>
  <c r="K133" i="4"/>
  <c r="G130" i="4"/>
  <c r="K128" i="4"/>
  <c r="G125" i="4"/>
  <c r="K123" i="4"/>
  <c r="G120" i="4"/>
  <c r="K118" i="4"/>
  <c r="G115" i="4"/>
  <c r="K113" i="4"/>
  <c r="G110" i="4"/>
  <c r="K108" i="4"/>
  <c r="G105" i="4"/>
  <c r="K103" i="4"/>
  <c r="G100" i="4"/>
  <c r="K98" i="4"/>
  <c r="G95" i="4"/>
  <c r="K93" i="4"/>
  <c r="G90" i="4"/>
  <c r="K88" i="4"/>
  <c r="G85" i="4"/>
  <c r="K83" i="4"/>
  <c r="G80" i="4"/>
  <c r="K78" i="4"/>
  <c r="G75" i="4"/>
  <c r="K73" i="4"/>
  <c r="G70" i="4"/>
  <c r="K68" i="4"/>
  <c r="G65" i="4"/>
  <c r="K63" i="4"/>
  <c r="G60" i="4"/>
  <c r="K58" i="4"/>
  <c r="G55" i="4"/>
  <c r="K53" i="4"/>
  <c r="G50" i="4"/>
  <c r="K48" i="4"/>
  <c r="G45" i="4"/>
  <c r="K43" i="4"/>
  <c r="G40" i="4"/>
  <c r="K38" i="4"/>
  <c r="G35" i="4"/>
  <c r="K33" i="4"/>
  <c r="G30" i="4"/>
  <c r="K28" i="4"/>
  <c r="G25" i="4"/>
  <c r="K23" i="4"/>
  <c r="J48" i="3"/>
  <c r="B47" i="3"/>
  <c r="F45" i="3"/>
  <c r="J43" i="3"/>
  <c r="B42" i="3"/>
  <c r="F40" i="3"/>
  <c r="J38" i="3"/>
  <c r="B37" i="3"/>
  <c r="F35" i="3"/>
  <c r="J33" i="3"/>
  <c r="B32" i="3"/>
  <c r="F30" i="3"/>
  <c r="J28" i="3"/>
  <c r="B27" i="3"/>
  <c r="F25" i="3"/>
  <c r="J23" i="3"/>
  <c r="B22" i="3"/>
  <c r="J96" i="2"/>
  <c r="L94" i="2"/>
  <c r="G91" i="2"/>
  <c r="K89" i="2"/>
  <c r="G86" i="2"/>
  <c r="K84" i="2"/>
  <c r="G81" i="2"/>
  <c r="K79" i="2"/>
  <c r="G76" i="2"/>
  <c r="K74" i="2"/>
  <c r="G71" i="2"/>
  <c r="K69" i="2"/>
  <c r="G66" i="2"/>
  <c r="K64" i="2"/>
  <c r="B63" i="2"/>
  <c r="E61" i="2"/>
  <c r="G59" i="2"/>
  <c r="I57" i="2"/>
  <c r="K55" i="2"/>
  <c r="M53" i="2"/>
  <c r="D52" i="2"/>
  <c r="H50" i="2"/>
  <c r="L48" i="2"/>
  <c r="D47" i="2"/>
  <c r="H45" i="2"/>
  <c r="L43" i="2"/>
  <c r="J1171" i="7"/>
  <c r="I951" i="7"/>
  <c r="K841" i="7"/>
  <c r="C774" i="7"/>
  <c r="H729" i="7"/>
  <c r="H690" i="7"/>
  <c r="L657" i="7"/>
  <c r="M619" i="7"/>
  <c r="N588" i="7"/>
  <c r="G559" i="7"/>
  <c r="I534" i="7"/>
  <c r="I510" i="7"/>
  <c r="I488" i="7"/>
  <c r="N443" i="7"/>
  <c r="I426" i="7"/>
  <c r="C411" i="7"/>
  <c r="C397" i="7"/>
  <c r="M381" i="7"/>
  <c r="H365" i="7"/>
  <c r="I349" i="7"/>
  <c r="C335" i="7"/>
  <c r="H319" i="7"/>
  <c r="I306" i="7"/>
  <c r="J293" i="7"/>
  <c r="B282" i="7"/>
  <c r="J271" i="7"/>
  <c r="K261" i="7"/>
  <c r="B253" i="7"/>
  <c r="M242" i="7"/>
  <c r="C233" i="7"/>
  <c r="N223" i="7"/>
  <c r="B216" i="7"/>
  <c r="C207" i="7"/>
  <c r="G199" i="7"/>
  <c r="J190" i="7"/>
  <c r="J181" i="7"/>
  <c r="F173" i="7"/>
  <c r="F165" i="7"/>
  <c r="I158" i="7"/>
  <c r="M150" i="7"/>
  <c r="G143" i="7"/>
  <c r="K135" i="7"/>
  <c r="E129" i="7"/>
  <c r="K122" i="7"/>
  <c r="N116" i="7"/>
  <c r="C104" i="7"/>
  <c r="H92" i="7"/>
  <c r="G87" i="7"/>
  <c r="L81" i="7"/>
  <c r="H75" i="7"/>
  <c r="N69" i="7"/>
  <c r="F64" i="7"/>
  <c r="G58" i="7"/>
  <c r="I53" i="7"/>
  <c r="H48" i="7"/>
  <c r="C43" i="7"/>
  <c r="M37" i="7"/>
  <c r="C33" i="7"/>
  <c r="H28" i="7"/>
  <c r="C23" i="7"/>
  <c r="F190" i="5"/>
  <c r="L184" i="5"/>
  <c r="M179" i="5"/>
  <c r="L173" i="5"/>
  <c r="G168" i="5"/>
  <c r="H163" i="5"/>
  <c r="G157" i="5"/>
  <c r="M151" i="5"/>
  <c r="J146" i="5"/>
  <c r="M140" i="5"/>
  <c r="H135" i="5"/>
  <c r="E130" i="5"/>
  <c r="B125" i="5"/>
  <c r="D120" i="5"/>
  <c r="L115" i="5"/>
  <c r="L110" i="5"/>
  <c r="H106" i="5"/>
  <c r="M101" i="5"/>
  <c r="M96" i="5"/>
  <c r="G92" i="5"/>
  <c r="E88" i="5"/>
  <c r="E83" i="5"/>
  <c r="H78" i="5"/>
  <c r="D74" i="5"/>
  <c r="D69" i="5"/>
  <c r="L64" i="5"/>
  <c r="E60" i="5"/>
  <c r="E55" i="5"/>
  <c r="L50" i="5"/>
  <c r="K42" i="5"/>
  <c r="M38" i="5"/>
  <c r="F35" i="5"/>
  <c r="H31" i="5"/>
  <c r="I27" i="5"/>
  <c r="E24" i="5"/>
  <c r="M627" i="4"/>
  <c r="E624" i="4"/>
  <c r="F621" i="4"/>
  <c r="L617" i="4"/>
  <c r="D615" i="4"/>
  <c r="G611" i="4"/>
  <c r="K608" i="4"/>
  <c r="E605" i="4"/>
  <c r="M601" i="4"/>
  <c r="L598" i="4"/>
  <c r="H595" i="4"/>
  <c r="I592" i="4"/>
  <c r="F589" i="4"/>
  <c r="H586" i="4"/>
  <c r="J583" i="4"/>
  <c r="M580" i="4"/>
  <c r="M577" i="4"/>
  <c r="E575" i="4"/>
  <c r="J572" i="4"/>
  <c r="H569" i="4"/>
  <c r="B567" i="4"/>
  <c r="E564" i="4"/>
  <c r="K561" i="4"/>
  <c r="J556" i="4"/>
  <c r="H554" i="4"/>
  <c r="M551" i="4"/>
  <c r="J549" i="4"/>
  <c r="G547" i="4"/>
  <c r="M544" i="4"/>
  <c r="J542" i="4"/>
  <c r="H540" i="4"/>
  <c r="F538" i="4"/>
  <c r="B536" i="4"/>
  <c r="L533" i="4"/>
  <c r="K531" i="4"/>
  <c r="I529" i="4"/>
  <c r="D527" i="4"/>
  <c r="B523" i="4"/>
  <c r="K520" i="4"/>
  <c r="I518" i="4"/>
  <c r="H516" i="4"/>
  <c r="H514" i="4"/>
  <c r="G512" i="4"/>
  <c r="G510" i="4"/>
  <c r="E508" i="4"/>
  <c r="F506" i="4"/>
  <c r="G504" i="4"/>
  <c r="G502" i="4"/>
  <c r="H500" i="4"/>
  <c r="I498" i="4"/>
  <c r="J496" i="4"/>
  <c r="K494" i="4"/>
  <c r="K492" i="4"/>
  <c r="J490" i="4"/>
  <c r="K488" i="4"/>
  <c r="L486" i="4"/>
  <c r="M484" i="4"/>
  <c r="B483" i="4"/>
  <c r="D477" i="4"/>
  <c r="D475" i="4"/>
  <c r="E473" i="4"/>
  <c r="H471" i="4"/>
  <c r="K469" i="4"/>
  <c r="B468" i="4"/>
  <c r="E466" i="4"/>
  <c r="H464" i="4"/>
  <c r="K462" i="4"/>
  <c r="B461" i="4"/>
  <c r="E459" i="4"/>
  <c r="H457" i="4"/>
  <c r="K455" i="4"/>
  <c r="B454" i="4"/>
  <c r="E452" i="4"/>
  <c r="H450" i="4"/>
  <c r="K448" i="4"/>
  <c r="B447" i="4"/>
  <c r="D445" i="4"/>
  <c r="G443" i="4"/>
  <c r="J441" i="4"/>
  <c r="M439" i="4"/>
  <c r="D438" i="4"/>
  <c r="G436" i="4"/>
  <c r="J434" i="4"/>
  <c r="M432" i="4"/>
  <c r="D431" i="4"/>
  <c r="G429" i="4"/>
  <c r="J427" i="4"/>
  <c r="M425" i="4"/>
  <c r="D424" i="4"/>
  <c r="G422" i="4"/>
  <c r="J420" i="4"/>
  <c r="M418" i="4"/>
  <c r="D417" i="4"/>
  <c r="G415" i="4"/>
  <c r="K413" i="4"/>
  <c r="G410" i="4"/>
  <c r="K408" i="4"/>
  <c r="G405" i="4"/>
  <c r="K403" i="4"/>
  <c r="G400" i="4"/>
  <c r="K398" i="4"/>
  <c r="G395" i="4"/>
  <c r="K393" i="4"/>
  <c r="G390" i="4"/>
  <c r="K388" i="4"/>
  <c r="G385" i="4"/>
  <c r="K383" i="4"/>
  <c r="G380" i="4"/>
  <c r="K378" i="4"/>
  <c r="G375" i="4"/>
  <c r="K373" i="4"/>
  <c r="G370" i="4"/>
  <c r="K368" i="4"/>
  <c r="G365" i="4"/>
  <c r="K363" i="4"/>
  <c r="G360" i="4"/>
  <c r="K358" i="4"/>
  <c r="G355" i="4"/>
  <c r="K353" i="4"/>
  <c r="G350" i="4"/>
  <c r="K348" i="4"/>
  <c r="G345" i="4"/>
  <c r="K343" i="4"/>
  <c r="G340" i="4"/>
  <c r="K338" i="4"/>
  <c r="G335" i="4"/>
  <c r="K333" i="4"/>
  <c r="G330" i="4"/>
  <c r="K328" i="4"/>
  <c r="G325" i="4"/>
  <c r="K323" i="4"/>
  <c r="G320" i="4"/>
  <c r="K318" i="4"/>
  <c r="G315" i="4"/>
  <c r="K313" i="4"/>
  <c r="G310" i="4"/>
  <c r="K308" i="4"/>
  <c r="G305" i="4"/>
  <c r="K303" i="4"/>
  <c r="G300" i="4"/>
  <c r="K298" i="4"/>
  <c r="G295" i="4"/>
  <c r="K293" i="4"/>
  <c r="G290" i="4"/>
  <c r="K288" i="4"/>
  <c r="G285" i="4"/>
  <c r="K283" i="4"/>
  <c r="G280" i="4"/>
  <c r="K278" i="4"/>
  <c r="G275" i="4"/>
  <c r="K273" i="4"/>
  <c r="G270" i="4"/>
  <c r="K268" i="4"/>
  <c r="G265" i="4"/>
  <c r="K263" i="4"/>
  <c r="G260" i="4"/>
  <c r="K258" i="4"/>
  <c r="G255" i="4"/>
  <c r="K253" i="4"/>
  <c r="G250" i="4"/>
  <c r="K248" i="4"/>
  <c r="G245" i="4"/>
  <c r="K243" i="4"/>
  <c r="G240" i="4"/>
  <c r="K238" i="4"/>
  <c r="G235" i="4"/>
  <c r="K233" i="4"/>
  <c r="G230" i="4"/>
  <c r="K228" i="4"/>
  <c r="G225" i="4"/>
  <c r="K223" i="4"/>
  <c r="G220" i="4"/>
  <c r="K218" i="4"/>
  <c r="G215" i="4"/>
  <c r="K213" i="4"/>
  <c r="G210" i="4"/>
  <c r="J208" i="4"/>
  <c r="B207" i="4"/>
  <c r="F205" i="4"/>
  <c r="J203" i="4"/>
  <c r="B202" i="4"/>
  <c r="F200" i="4"/>
  <c r="J198" i="4"/>
  <c r="B197" i="4"/>
  <c r="F195" i="4"/>
  <c r="J193" i="4"/>
  <c r="B192" i="4"/>
  <c r="F190" i="4"/>
  <c r="J188" i="4"/>
  <c r="B187" i="4"/>
  <c r="F185" i="4"/>
  <c r="J183" i="4"/>
  <c r="B182" i="4"/>
  <c r="F180" i="4"/>
  <c r="J178" i="4"/>
  <c r="B177" i="4"/>
  <c r="F175" i="4"/>
  <c r="J173" i="4"/>
  <c r="B172" i="4"/>
  <c r="F170" i="4"/>
  <c r="J168" i="4"/>
  <c r="B167" i="4"/>
  <c r="F165" i="4"/>
  <c r="J163" i="4"/>
  <c r="B162" i="4"/>
  <c r="F160" i="4"/>
  <c r="J158" i="4"/>
  <c r="B157" i="4"/>
  <c r="F155" i="4"/>
  <c r="J153" i="4"/>
  <c r="B152" i="4"/>
  <c r="F150" i="4"/>
  <c r="J148" i="4"/>
  <c r="B147" i="4"/>
  <c r="F145" i="4"/>
  <c r="J143" i="4"/>
  <c r="B142" i="4"/>
  <c r="F140" i="4"/>
  <c r="J138" i="4"/>
  <c r="B137" i="4"/>
  <c r="F135" i="4"/>
  <c r="J133" i="4"/>
  <c r="B132" i="4"/>
  <c r="F130" i="4"/>
  <c r="J128" i="4"/>
  <c r="B127" i="4"/>
  <c r="F125" i="4"/>
  <c r="J123" i="4"/>
  <c r="B122" i="4"/>
  <c r="F120" i="4"/>
  <c r="J118" i="4"/>
  <c r="B117" i="4"/>
  <c r="F115" i="4"/>
  <c r="J113" i="4"/>
  <c r="B112" i="4"/>
  <c r="F110" i="4"/>
  <c r="J108" i="4"/>
  <c r="B107" i="4"/>
  <c r="F105" i="4"/>
  <c r="J103" i="4"/>
  <c r="B102" i="4"/>
  <c r="F100" i="4"/>
  <c r="J98" i="4"/>
  <c r="B97" i="4"/>
  <c r="F95" i="4"/>
  <c r="J93" i="4"/>
  <c r="B92" i="4"/>
  <c r="F90" i="4"/>
  <c r="J88" i="4"/>
  <c r="B87" i="4"/>
  <c r="F85" i="4"/>
  <c r="J83" i="4"/>
  <c r="B82" i="4"/>
  <c r="F80" i="4"/>
  <c r="J78" i="4"/>
  <c r="B77" i="4"/>
  <c r="F75" i="4"/>
  <c r="J73" i="4"/>
  <c r="B72" i="4"/>
  <c r="F70" i="4"/>
  <c r="J68" i="4"/>
  <c r="B67" i="4"/>
  <c r="F65" i="4"/>
  <c r="J63" i="4"/>
  <c r="B62" i="4"/>
  <c r="F60" i="4"/>
  <c r="J58" i="4"/>
  <c r="B57" i="4"/>
  <c r="F55" i="4"/>
  <c r="J53" i="4"/>
  <c r="B52" i="4"/>
  <c r="F50" i="4"/>
  <c r="J48" i="4"/>
  <c r="B47" i="4"/>
  <c r="F45" i="4"/>
  <c r="J43" i="4"/>
  <c r="B42" i="4"/>
  <c r="F40" i="4"/>
  <c r="J38" i="4"/>
  <c r="B37" i="4"/>
  <c r="F35" i="4"/>
  <c r="J33" i="4"/>
  <c r="B32" i="4"/>
  <c r="F30" i="4"/>
  <c r="J28" i="4"/>
  <c r="B27" i="4"/>
  <c r="F25" i="4"/>
  <c r="J23" i="4"/>
  <c r="B22" i="4"/>
  <c r="I48" i="3"/>
  <c r="M46" i="3"/>
  <c r="E45" i="3"/>
  <c r="I43" i="3"/>
  <c r="M41" i="3"/>
  <c r="E40" i="3"/>
  <c r="I38" i="3"/>
  <c r="M36" i="3"/>
  <c r="E35" i="3"/>
  <c r="I33" i="3"/>
  <c r="M31" i="3"/>
  <c r="E30" i="3"/>
  <c r="I28" i="3"/>
  <c r="M26" i="3"/>
  <c r="E25" i="3"/>
  <c r="I23" i="3"/>
  <c r="I1171" i="7"/>
  <c r="G944" i="7"/>
  <c r="H841" i="7"/>
  <c r="L773" i="7"/>
  <c r="H727" i="7"/>
  <c r="L689" i="7"/>
  <c r="I651" i="7"/>
  <c r="E586" i="7"/>
  <c r="F559" i="7"/>
  <c r="K533" i="7"/>
  <c r="H508" i="7"/>
  <c r="J486" i="7"/>
  <c r="C462" i="7"/>
  <c r="M443" i="7"/>
  <c r="B425" i="7"/>
  <c r="M410" i="7"/>
  <c r="K395" i="7"/>
  <c r="K381" i="7"/>
  <c r="K364" i="7"/>
  <c r="G349" i="7"/>
  <c r="E333" i="7"/>
  <c r="E318" i="7"/>
  <c r="H305" i="7"/>
  <c r="E293" i="7"/>
  <c r="N281" i="7"/>
  <c r="C271" i="7"/>
  <c r="I261" i="7"/>
  <c r="G251" i="7"/>
  <c r="H242" i="7"/>
  <c r="B233" i="7"/>
  <c r="L223" i="7"/>
  <c r="M214" i="7"/>
  <c r="B207" i="7"/>
  <c r="F199" i="7"/>
  <c r="E190" i="7"/>
  <c r="I181" i="7"/>
  <c r="M172" i="7"/>
  <c r="C165" i="7"/>
  <c r="H157" i="7"/>
  <c r="L150" i="7"/>
  <c r="H135" i="7"/>
  <c r="B129" i="7"/>
  <c r="I122" i="7"/>
  <c r="M116" i="7"/>
  <c r="C110" i="7"/>
  <c r="K103" i="7"/>
  <c r="J97" i="7"/>
  <c r="F92" i="7"/>
  <c r="H86" i="7"/>
  <c r="G81" i="7"/>
  <c r="G75" i="7"/>
  <c r="M69" i="7"/>
  <c r="N63" i="7"/>
  <c r="F58" i="7"/>
  <c r="H53" i="7"/>
  <c r="G48" i="7"/>
  <c r="K42" i="7"/>
  <c r="K37" i="7"/>
  <c r="J32" i="7"/>
  <c r="F27" i="7"/>
  <c r="K22" i="7"/>
  <c r="E190" i="5"/>
  <c r="J184" i="5"/>
  <c r="L179" i="5"/>
  <c r="K173" i="5"/>
  <c r="E168" i="5"/>
  <c r="B163" i="5"/>
  <c r="F157" i="5"/>
  <c r="K151" i="5"/>
  <c r="I146" i="5"/>
  <c r="L140" i="5"/>
  <c r="F135" i="5"/>
  <c r="D130" i="5"/>
  <c r="M124" i="5"/>
  <c r="B120" i="5"/>
  <c r="K115" i="5"/>
  <c r="K110" i="5"/>
  <c r="B106" i="5"/>
  <c r="L101" i="5"/>
  <c r="L96" i="5"/>
  <c r="B92" i="5"/>
  <c r="D88" i="5"/>
  <c r="D83" i="5"/>
  <c r="F78" i="5"/>
  <c r="F64" i="5"/>
  <c r="D60" i="5"/>
  <c r="D55" i="5"/>
  <c r="I50" i="5"/>
  <c r="B47" i="5"/>
  <c r="J42" i="5"/>
  <c r="J38" i="5"/>
  <c r="E35" i="5"/>
  <c r="G27" i="5"/>
  <c r="D24" i="5"/>
  <c r="M630" i="4"/>
  <c r="L627" i="4"/>
  <c r="E621" i="4"/>
  <c r="K617" i="4"/>
  <c r="L614" i="4"/>
  <c r="F611" i="4"/>
  <c r="B608" i="4"/>
  <c r="D605" i="4"/>
  <c r="L601" i="4"/>
  <c r="K598" i="4"/>
  <c r="F595" i="4"/>
  <c r="G592" i="4"/>
  <c r="G586" i="4"/>
  <c r="H583" i="4"/>
  <c r="K580" i="4"/>
  <c r="L577" i="4"/>
  <c r="D575" i="4"/>
  <c r="I572" i="4"/>
  <c r="G569" i="4"/>
  <c r="M566" i="4"/>
  <c r="B564" i="4"/>
  <c r="J561" i="4"/>
  <c r="B559" i="4"/>
  <c r="I556" i="4"/>
  <c r="G554" i="4"/>
  <c r="K551" i="4"/>
  <c r="I549" i="4"/>
  <c r="F547" i="4"/>
  <c r="K544" i="4"/>
  <c r="I542" i="4"/>
  <c r="G540" i="4"/>
  <c r="M535" i="4"/>
  <c r="K533" i="4"/>
  <c r="J531" i="4"/>
  <c r="F529" i="4"/>
  <c r="B525" i="4"/>
  <c r="M522" i="4"/>
  <c r="H520" i="4"/>
  <c r="G518" i="4"/>
  <c r="G516" i="4"/>
  <c r="G514" i="4"/>
  <c r="F512" i="4"/>
  <c r="E510" i="4"/>
  <c r="D508" i="4"/>
  <c r="E506" i="4"/>
  <c r="F504" i="4"/>
  <c r="F502" i="4"/>
  <c r="G500" i="4"/>
  <c r="H498" i="4"/>
  <c r="I496" i="4"/>
  <c r="J494" i="4"/>
  <c r="I492" i="4"/>
  <c r="I490" i="4"/>
  <c r="J488" i="4"/>
  <c r="K486" i="4"/>
  <c r="L484" i="4"/>
  <c r="M482" i="4"/>
  <c r="B481" i="4"/>
  <c r="B479" i="4"/>
  <c r="B475" i="4"/>
  <c r="D473" i="4"/>
  <c r="G471" i="4"/>
  <c r="J469" i="4"/>
  <c r="M467" i="4"/>
  <c r="D466" i="4"/>
  <c r="G464" i="4"/>
  <c r="J462" i="4"/>
  <c r="M460" i="4"/>
  <c r="D459" i="4"/>
  <c r="G457" i="4"/>
  <c r="J455" i="4"/>
  <c r="M453" i="4"/>
  <c r="D452" i="4"/>
  <c r="G450" i="4"/>
  <c r="J448" i="4"/>
  <c r="L446" i="4"/>
  <c r="F443" i="4"/>
  <c r="I441" i="4"/>
  <c r="L439" i="4"/>
  <c r="F436" i="4"/>
  <c r="I434" i="4"/>
  <c r="L432" i="4"/>
  <c r="F429" i="4"/>
  <c r="I427" i="4"/>
  <c r="L425" i="4"/>
  <c r="F422" i="4"/>
  <c r="I420" i="4"/>
  <c r="L418" i="4"/>
  <c r="F415" i="4"/>
  <c r="J413" i="4"/>
  <c r="B412" i="4"/>
  <c r="F410" i="4"/>
  <c r="J408" i="4"/>
  <c r="B407" i="4"/>
  <c r="F405" i="4"/>
  <c r="J403" i="4"/>
  <c r="B402" i="4"/>
  <c r="F400" i="4"/>
  <c r="J398" i="4"/>
  <c r="B397" i="4"/>
  <c r="F395" i="4"/>
  <c r="J393" i="4"/>
  <c r="B392" i="4"/>
  <c r="F390" i="4"/>
  <c r="J388" i="4"/>
  <c r="B387" i="4"/>
  <c r="F385" i="4"/>
  <c r="J383" i="4"/>
  <c r="B382" i="4"/>
  <c r="F380" i="4"/>
  <c r="J378" i="4"/>
  <c r="B377" i="4"/>
  <c r="F375" i="4"/>
  <c r="J373" i="4"/>
  <c r="B372" i="4"/>
  <c r="F370" i="4"/>
  <c r="J368" i="4"/>
  <c r="B367" i="4"/>
  <c r="F365" i="4"/>
  <c r="J363" i="4"/>
  <c r="B362" i="4"/>
  <c r="F360" i="4"/>
  <c r="J358" i="4"/>
  <c r="B357" i="4"/>
  <c r="F355" i="4"/>
  <c r="J353" i="4"/>
  <c r="B352" i="4"/>
  <c r="F350" i="4"/>
  <c r="J348" i="4"/>
  <c r="B347" i="4"/>
  <c r="F345" i="4"/>
  <c r="J343" i="4"/>
  <c r="B342" i="4"/>
  <c r="F340" i="4"/>
  <c r="J338" i="4"/>
  <c r="B337" i="4"/>
  <c r="F335" i="4"/>
  <c r="J333" i="4"/>
  <c r="B332" i="4"/>
  <c r="F330" i="4"/>
  <c r="J328" i="4"/>
  <c r="B327" i="4"/>
  <c r="F325" i="4"/>
  <c r="J323" i="4"/>
  <c r="B322" i="4"/>
  <c r="F320" i="4"/>
  <c r="J318" i="4"/>
  <c r="B317" i="4"/>
  <c r="F315" i="4"/>
  <c r="J313" i="4"/>
  <c r="B312" i="4"/>
  <c r="F310" i="4"/>
  <c r="J308" i="4"/>
  <c r="B307" i="4"/>
  <c r="F305" i="4"/>
  <c r="J303" i="4"/>
  <c r="B302" i="4"/>
  <c r="F300" i="4"/>
  <c r="J298" i="4"/>
  <c r="B297" i="4"/>
  <c r="F295" i="4"/>
  <c r="J293" i="4"/>
  <c r="B292" i="4"/>
  <c r="F290" i="4"/>
  <c r="J288" i="4"/>
  <c r="B287" i="4"/>
  <c r="F285" i="4"/>
  <c r="J283" i="4"/>
  <c r="B282" i="4"/>
  <c r="F280" i="4"/>
  <c r="J278" i="4"/>
  <c r="B277" i="4"/>
  <c r="F275" i="4"/>
  <c r="J273" i="4"/>
  <c r="B272" i="4"/>
  <c r="F270" i="4"/>
  <c r="J268" i="4"/>
  <c r="B267" i="4"/>
  <c r="F265" i="4"/>
  <c r="J263" i="4"/>
  <c r="B262" i="4"/>
  <c r="F260" i="4"/>
  <c r="J258" i="4"/>
  <c r="B257" i="4"/>
  <c r="F255" i="4"/>
  <c r="J253" i="4"/>
  <c r="B252" i="4"/>
  <c r="F250" i="4"/>
  <c r="J248" i="4"/>
  <c r="B247" i="4"/>
  <c r="F245" i="4"/>
  <c r="J243" i="4"/>
  <c r="B242" i="4"/>
  <c r="F240" i="4"/>
  <c r="J238" i="4"/>
  <c r="B237" i="4"/>
  <c r="F235" i="4"/>
  <c r="J233" i="4"/>
  <c r="B232" i="4"/>
  <c r="F230" i="4"/>
  <c r="J228" i="4"/>
  <c r="B227" i="4"/>
  <c r="F225" i="4"/>
  <c r="J223" i="4"/>
  <c r="B222" i="4"/>
  <c r="F220" i="4"/>
  <c r="J218" i="4"/>
  <c r="B217" i="4"/>
  <c r="F215" i="4"/>
  <c r="J213" i="4"/>
  <c r="B212" i="4"/>
  <c r="F210" i="4"/>
  <c r="I208" i="4"/>
  <c r="M206" i="4"/>
  <c r="E205" i="4"/>
  <c r="I203" i="4"/>
  <c r="M201" i="4"/>
  <c r="E200" i="4"/>
  <c r="I198" i="4"/>
  <c r="M196" i="4"/>
  <c r="E195" i="4"/>
  <c r="I193" i="4"/>
  <c r="M191" i="4"/>
  <c r="E190" i="4"/>
  <c r="I188" i="4"/>
  <c r="M186" i="4"/>
  <c r="E185" i="4"/>
  <c r="I183" i="4"/>
  <c r="M181" i="4"/>
  <c r="E180" i="4"/>
  <c r="I178" i="4"/>
  <c r="M176" i="4"/>
  <c r="E175" i="4"/>
  <c r="I173" i="4"/>
  <c r="M171" i="4"/>
  <c r="E170" i="4"/>
  <c r="I168" i="4"/>
  <c r="M166" i="4"/>
  <c r="E165" i="4"/>
  <c r="I163" i="4"/>
  <c r="M161" i="4"/>
  <c r="E160" i="4"/>
  <c r="I158" i="4"/>
  <c r="M156" i="4"/>
  <c r="E155" i="4"/>
  <c r="I153" i="4"/>
  <c r="M151" i="4"/>
  <c r="E150" i="4"/>
  <c r="I148" i="4"/>
  <c r="M146" i="4"/>
  <c r="E145" i="4"/>
  <c r="I143" i="4"/>
  <c r="M141" i="4"/>
  <c r="E140" i="4"/>
  <c r="I138" i="4"/>
  <c r="M136" i="4"/>
  <c r="E135" i="4"/>
  <c r="I133" i="4"/>
  <c r="M131" i="4"/>
  <c r="E130" i="4"/>
  <c r="I128" i="4"/>
  <c r="M126" i="4"/>
  <c r="E125" i="4"/>
  <c r="I123" i="4"/>
  <c r="M121" i="4"/>
  <c r="E120" i="4"/>
  <c r="I118" i="4"/>
  <c r="M116" i="4"/>
  <c r="E115" i="4"/>
  <c r="I113" i="4"/>
  <c r="M111" i="4"/>
  <c r="E110" i="4"/>
  <c r="I108" i="4"/>
  <c r="M106" i="4"/>
  <c r="E105" i="4"/>
  <c r="I103" i="4"/>
  <c r="M101" i="4"/>
  <c r="E100" i="4"/>
  <c r="I98" i="4"/>
  <c r="M96" i="4"/>
  <c r="E95" i="4"/>
  <c r="I93" i="4"/>
  <c r="M91" i="4"/>
  <c r="E90" i="4"/>
  <c r="I88" i="4"/>
  <c r="M86" i="4"/>
  <c r="E85" i="4"/>
  <c r="I83" i="4"/>
  <c r="M81" i="4"/>
  <c r="E80" i="4"/>
  <c r="I78" i="4"/>
  <c r="M76" i="4"/>
  <c r="E75" i="4"/>
  <c r="I73" i="4"/>
  <c r="M71" i="4"/>
  <c r="E70" i="4"/>
  <c r="I68" i="4"/>
  <c r="M66" i="4"/>
  <c r="E65" i="4"/>
  <c r="I63" i="4"/>
  <c r="M61" i="4"/>
  <c r="E60" i="4"/>
  <c r="I58" i="4"/>
  <c r="M56" i="4"/>
  <c r="E55" i="4"/>
  <c r="I53" i="4"/>
  <c r="M51" i="4"/>
  <c r="E50" i="4"/>
  <c r="I48" i="4"/>
  <c r="M46" i="4"/>
  <c r="E45" i="4"/>
  <c r="I43" i="4"/>
  <c r="M41" i="4"/>
  <c r="E40" i="4"/>
  <c r="I38" i="4"/>
  <c r="M36" i="4"/>
  <c r="E35" i="4"/>
  <c r="I33" i="4"/>
  <c r="M31" i="4"/>
  <c r="E30" i="4"/>
  <c r="I28" i="4"/>
  <c r="M26" i="4"/>
  <c r="E25" i="4"/>
  <c r="I23" i="4"/>
  <c r="H48" i="3"/>
  <c r="L46" i="3"/>
  <c r="D45" i="3"/>
  <c r="H43" i="3"/>
  <c r="L41" i="3"/>
  <c r="D40" i="3"/>
  <c r="H38" i="3"/>
  <c r="L36" i="3"/>
  <c r="D35" i="3"/>
  <c r="H33" i="3"/>
  <c r="L31" i="3"/>
  <c r="D30" i="3"/>
  <c r="H28" i="3"/>
  <c r="L26" i="3"/>
  <c r="D25" i="3"/>
  <c r="H23" i="3"/>
  <c r="H96" i="2"/>
  <c r="B1157" i="7"/>
  <c r="H921" i="7"/>
  <c r="N837" i="7"/>
  <c r="I773" i="7"/>
  <c r="J725" i="7"/>
  <c r="H685" i="7"/>
  <c r="H651" i="7"/>
  <c r="J617" i="7"/>
  <c r="B586" i="7"/>
  <c r="E558" i="7"/>
  <c r="G531" i="7"/>
  <c r="F507" i="7"/>
  <c r="M482" i="7"/>
  <c r="N461" i="7"/>
  <c r="L442" i="7"/>
  <c r="N424" i="7"/>
  <c r="C410" i="7"/>
  <c r="K394" i="7"/>
  <c r="G380" i="7"/>
  <c r="G364" i="7"/>
  <c r="F349" i="7"/>
  <c r="L331" i="7"/>
  <c r="B318" i="7"/>
  <c r="C281" i="7"/>
  <c r="B271" i="7"/>
  <c r="C260" i="7"/>
  <c r="E250" i="7"/>
  <c r="C242" i="7"/>
  <c r="N232" i="7"/>
  <c r="K223" i="7"/>
  <c r="K214" i="7"/>
  <c r="M206" i="7"/>
  <c r="M197" i="7"/>
  <c r="G181" i="7"/>
  <c r="G172" i="7"/>
  <c r="B164" i="7"/>
  <c r="G157" i="7"/>
  <c r="J150" i="7"/>
  <c r="N142" i="7"/>
  <c r="G135" i="7"/>
  <c r="G128" i="7"/>
  <c r="F122" i="7"/>
  <c r="M115" i="7"/>
  <c r="B110" i="7"/>
  <c r="J103" i="7"/>
  <c r="I97" i="7"/>
  <c r="C92" i="7"/>
  <c r="G86" i="7"/>
  <c r="F81" i="7"/>
  <c r="F75" i="7"/>
  <c r="G69" i="7"/>
  <c r="G63" i="7"/>
  <c r="J52" i="7"/>
  <c r="B48" i="7"/>
  <c r="J42" i="7"/>
  <c r="J37" i="7"/>
  <c r="F32" i="7"/>
  <c r="E27" i="7"/>
  <c r="J22" i="7"/>
  <c r="D190" i="5"/>
  <c r="G184" i="5"/>
  <c r="G179" i="5"/>
  <c r="J173" i="5"/>
  <c r="M167" i="5"/>
  <c r="M162" i="5"/>
  <c r="E157" i="5"/>
  <c r="D151" i="5"/>
  <c r="H146" i="5"/>
  <c r="K140" i="5"/>
  <c r="J134" i="5"/>
  <c r="L124" i="5"/>
  <c r="G119" i="5"/>
  <c r="G115" i="5"/>
  <c r="G110" i="5"/>
  <c r="G105" i="5"/>
  <c r="K101" i="5"/>
  <c r="K96" i="5"/>
  <c r="K91" i="5"/>
  <c r="K87" i="5"/>
  <c r="K82" i="5"/>
  <c r="K77" i="5"/>
  <c r="K73" i="5"/>
  <c r="K68" i="5"/>
  <c r="K63" i="5"/>
  <c r="E50" i="5"/>
  <c r="M46" i="5"/>
  <c r="H42" i="5"/>
  <c r="G38" i="5"/>
  <c r="D35" i="5"/>
  <c r="B31" i="5"/>
  <c r="K630" i="4"/>
  <c r="K627" i="4"/>
  <c r="B624" i="4"/>
  <c r="D621" i="4"/>
  <c r="J617" i="4"/>
  <c r="F614" i="4"/>
  <c r="E611" i="4"/>
  <c r="M607" i="4"/>
  <c r="L604" i="4"/>
  <c r="G601" i="4"/>
  <c r="J598" i="4"/>
  <c r="D595" i="4"/>
  <c r="F592" i="4"/>
  <c r="B589" i="4"/>
  <c r="F586" i="4"/>
  <c r="D583" i="4"/>
  <c r="J580" i="4"/>
  <c r="K577" i="4"/>
  <c r="M574" i="4"/>
  <c r="F569" i="4"/>
  <c r="L566" i="4"/>
  <c r="L563" i="4"/>
  <c r="I561" i="4"/>
  <c r="M558" i="4"/>
  <c r="H556" i="4"/>
  <c r="F554" i="4"/>
  <c r="J551" i="4"/>
  <c r="H549" i="4"/>
  <c r="E547" i="4"/>
  <c r="J544" i="4"/>
  <c r="G542" i="4"/>
  <c r="F540" i="4"/>
  <c r="B538" i="4"/>
  <c r="K535" i="4"/>
  <c r="J533" i="4"/>
  <c r="I531" i="4"/>
  <c r="E529" i="4"/>
  <c r="B527" i="4"/>
  <c r="M524" i="4"/>
  <c r="L522" i="4"/>
  <c r="G520" i="4"/>
  <c r="F518" i="4"/>
  <c r="F516" i="4"/>
  <c r="F514" i="4"/>
  <c r="E512" i="4"/>
  <c r="D506" i="4"/>
  <c r="E504" i="4"/>
  <c r="E502" i="4"/>
  <c r="F500" i="4"/>
  <c r="G498" i="4"/>
  <c r="H496" i="4"/>
  <c r="H494" i="4"/>
  <c r="G492" i="4"/>
  <c r="H490" i="4"/>
  <c r="I488" i="4"/>
  <c r="J486" i="4"/>
  <c r="K484" i="4"/>
  <c r="L482" i="4"/>
  <c r="M480" i="4"/>
  <c r="M478" i="4"/>
  <c r="M476" i="4"/>
  <c r="M474" i="4"/>
  <c r="F471" i="4"/>
  <c r="I469" i="4"/>
  <c r="L467" i="4"/>
  <c r="F464" i="4"/>
  <c r="I462" i="4"/>
  <c r="L460" i="4"/>
  <c r="F457" i="4"/>
  <c r="I455" i="4"/>
  <c r="L453" i="4"/>
  <c r="F450" i="4"/>
  <c r="H448" i="4"/>
  <c r="K446" i="4"/>
  <c r="B445" i="4"/>
  <c r="E443" i="4"/>
  <c r="H441" i="4"/>
  <c r="K439" i="4"/>
  <c r="B438" i="4"/>
  <c r="E436" i="4"/>
  <c r="H434" i="4"/>
  <c r="K432" i="4"/>
  <c r="B431" i="4"/>
  <c r="E429" i="4"/>
  <c r="H427" i="4"/>
  <c r="K425" i="4"/>
  <c r="B424" i="4"/>
  <c r="E422" i="4"/>
  <c r="H420" i="4"/>
  <c r="K418" i="4"/>
  <c r="B417" i="4"/>
  <c r="E415" i="4"/>
  <c r="I413" i="4"/>
  <c r="M411" i="4"/>
  <c r="E410" i="4"/>
  <c r="I408" i="4"/>
  <c r="M406" i="4"/>
  <c r="E405" i="4"/>
  <c r="I403" i="4"/>
  <c r="M401" i="4"/>
  <c r="E400" i="4"/>
  <c r="I398" i="4"/>
  <c r="M396" i="4"/>
  <c r="E395" i="4"/>
  <c r="I393" i="4"/>
  <c r="M391" i="4"/>
  <c r="E390" i="4"/>
  <c r="I388" i="4"/>
  <c r="M386" i="4"/>
  <c r="E385" i="4"/>
  <c r="I383" i="4"/>
  <c r="M381" i="4"/>
  <c r="E380" i="4"/>
  <c r="I378" i="4"/>
  <c r="M376" i="4"/>
  <c r="E375" i="4"/>
  <c r="I373" i="4"/>
  <c r="M371" i="4"/>
  <c r="E370" i="4"/>
  <c r="I368" i="4"/>
  <c r="M366" i="4"/>
  <c r="E365" i="4"/>
  <c r="I363" i="4"/>
  <c r="M361" i="4"/>
  <c r="E360" i="4"/>
  <c r="I358" i="4"/>
  <c r="M356" i="4"/>
  <c r="E355" i="4"/>
  <c r="I353" i="4"/>
  <c r="M351" i="4"/>
  <c r="E350" i="4"/>
  <c r="I348" i="4"/>
  <c r="M346" i="4"/>
  <c r="E345" i="4"/>
  <c r="I343" i="4"/>
  <c r="M341" i="4"/>
  <c r="E340" i="4"/>
  <c r="I338" i="4"/>
  <c r="M336" i="4"/>
  <c r="E335" i="4"/>
  <c r="I333" i="4"/>
  <c r="M331" i="4"/>
  <c r="E330" i="4"/>
  <c r="I328" i="4"/>
  <c r="M326" i="4"/>
  <c r="E325" i="4"/>
  <c r="I323" i="4"/>
  <c r="M321" i="4"/>
  <c r="E320" i="4"/>
  <c r="I318" i="4"/>
  <c r="M316" i="4"/>
  <c r="E315" i="4"/>
  <c r="I313" i="4"/>
  <c r="M311" i="4"/>
  <c r="E310" i="4"/>
  <c r="I308" i="4"/>
  <c r="M306" i="4"/>
  <c r="E305" i="4"/>
  <c r="I303" i="4"/>
  <c r="M301" i="4"/>
  <c r="E300" i="4"/>
  <c r="I298" i="4"/>
  <c r="M296" i="4"/>
  <c r="E295" i="4"/>
  <c r="I293" i="4"/>
  <c r="M291" i="4"/>
  <c r="E290" i="4"/>
  <c r="I288" i="4"/>
  <c r="M286" i="4"/>
  <c r="E285" i="4"/>
  <c r="I283" i="4"/>
  <c r="M281" i="4"/>
  <c r="E280" i="4"/>
  <c r="I278" i="4"/>
  <c r="M276" i="4"/>
  <c r="E275" i="4"/>
  <c r="I273" i="4"/>
  <c r="M271" i="4"/>
  <c r="E270" i="4"/>
  <c r="I268" i="4"/>
  <c r="M266" i="4"/>
  <c r="E265" i="4"/>
  <c r="I263" i="4"/>
  <c r="M261" i="4"/>
  <c r="E260" i="4"/>
  <c r="I258" i="4"/>
  <c r="M256" i="4"/>
  <c r="E255" i="4"/>
  <c r="I253" i="4"/>
  <c r="M251" i="4"/>
  <c r="E250" i="4"/>
  <c r="I248" i="4"/>
  <c r="M246" i="4"/>
  <c r="E245" i="4"/>
  <c r="I243" i="4"/>
  <c r="M241" i="4"/>
  <c r="E240" i="4"/>
  <c r="I238" i="4"/>
  <c r="M236" i="4"/>
  <c r="E235" i="4"/>
  <c r="I233" i="4"/>
  <c r="M231" i="4"/>
  <c r="E230" i="4"/>
  <c r="I228" i="4"/>
  <c r="M226" i="4"/>
  <c r="E225" i="4"/>
  <c r="I223" i="4"/>
  <c r="M221" i="4"/>
  <c r="E220" i="4"/>
  <c r="I218" i="4"/>
  <c r="M216" i="4"/>
  <c r="E215" i="4"/>
  <c r="I213" i="4"/>
  <c r="M211" i="4"/>
  <c r="E210" i="4"/>
  <c r="H208" i="4"/>
  <c r="L206" i="4"/>
  <c r="D205" i="4"/>
  <c r="H203" i="4"/>
  <c r="L201" i="4"/>
  <c r="D200" i="4"/>
  <c r="H198" i="4"/>
  <c r="L196" i="4"/>
  <c r="D195" i="4"/>
  <c r="H193" i="4"/>
  <c r="L191" i="4"/>
  <c r="D190" i="4"/>
  <c r="H188" i="4"/>
  <c r="L186" i="4"/>
  <c r="D185" i="4"/>
  <c r="H183" i="4"/>
  <c r="L181" i="4"/>
  <c r="D180" i="4"/>
  <c r="H178" i="4"/>
  <c r="L176" i="4"/>
  <c r="D175" i="4"/>
  <c r="H173" i="4"/>
  <c r="L171" i="4"/>
  <c r="D170" i="4"/>
  <c r="H168" i="4"/>
  <c r="L166" i="4"/>
  <c r="D165" i="4"/>
  <c r="H163" i="4"/>
  <c r="L161" i="4"/>
  <c r="D160" i="4"/>
  <c r="H158" i="4"/>
  <c r="L156" i="4"/>
  <c r="D155" i="4"/>
  <c r="H153" i="4"/>
  <c r="L151" i="4"/>
  <c r="D150" i="4"/>
  <c r="H148" i="4"/>
  <c r="L146" i="4"/>
  <c r="D145" i="4"/>
  <c r="H143" i="4"/>
  <c r="L141" i="4"/>
  <c r="D140" i="4"/>
  <c r="H138" i="4"/>
  <c r="L136" i="4"/>
  <c r="D135" i="4"/>
  <c r="H133" i="4"/>
  <c r="L131" i="4"/>
  <c r="D130" i="4"/>
  <c r="H128" i="4"/>
  <c r="L126" i="4"/>
  <c r="D125" i="4"/>
  <c r="H123" i="4"/>
  <c r="L121" i="4"/>
  <c r="D120" i="4"/>
  <c r="H118" i="4"/>
  <c r="L116" i="4"/>
  <c r="D115" i="4"/>
  <c r="H113" i="4"/>
  <c r="L111" i="4"/>
  <c r="D110" i="4"/>
  <c r="H108" i="4"/>
  <c r="L106" i="4"/>
  <c r="D105" i="4"/>
  <c r="H103" i="4"/>
  <c r="L101" i="4"/>
  <c r="D100" i="4"/>
  <c r="H98" i="4"/>
  <c r="L96" i="4"/>
  <c r="D95" i="4"/>
  <c r="H93" i="4"/>
  <c r="L91" i="4"/>
  <c r="D90" i="4"/>
  <c r="H88" i="4"/>
  <c r="L86" i="4"/>
  <c r="D85" i="4"/>
  <c r="H83" i="4"/>
  <c r="L81" i="4"/>
  <c r="D80" i="4"/>
  <c r="H78" i="4"/>
  <c r="L76" i="4"/>
  <c r="D75" i="4"/>
  <c r="H73" i="4"/>
  <c r="L71" i="4"/>
  <c r="D70" i="4"/>
  <c r="H68" i="4"/>
  <c r="L66" i="4"/>
  <c r="D65" i="4"/>
  <c r="H63" i="4"/>
  <c r="L61" i="4"/>
  <c r="D60" i="4"/>
  <c r="H58" i="4"/>
  <c r="L56" i="4"/>
  <c r="D55" i="4"/>
  <c r="H53" i="4"/>
  <c r="L51" i="4"/>
  <c r="D50" i="4"/>
  <c r="H48" i="4"/>
  <c r="L46" i="4"/>
  <c r="D45" i="4"/>
  <c r="H43" i="4"/>
  <c r="L41" i="4"/>
  <c r="D40" i="4"/>
  <c r="H38" i="4"/>
  <c r="L36" i="4"/>
  <c r="D35" i="4"/>
  <c r="H33" i="4"/>
  <c r="L31" i="4"/>
  <c r="D30" i="4"/>
  <c r="H28" i="4"/>
  <c r="L26" i="4"/>
  <c r="D25" i="4"/>
  <c r="H23" i="4"/>
  <c r="G48" i="3"/>
  <c r="K46" i="3"/>
  <c r="G43" i="3"/>
  <c r="K41" i="3"/>
  <c r="G38" i="3"/>
  <c r="K36" i="3"/>
  <c r="G33" i="3"/>
  <c r="K31" i="3"/>
  <c r="G28" i="3"/>
  <c r="K26" i="3"/>
  <c r="G23" i="3"/>
  <c r="G96" i="2"/>
  <c r="I94" i="2"/>
  <c r="B1074" i="7"/>
  <c r="L904" i="7"/>
  <c r="N826" i="7"/>
  <c r="G771" i="7"/>
  <c r="H721" i="7"/>
  <c r="M580" i="7"/>
  <c r="G557" i="7"/>
  <c r="M529" i="7"/>
  <c r="B504" i="7"/>
  <c r="F479" i="7"/>
  <c r="L457" i="7"/>
  <c r="K441" i="7"/>
  <c r="C424" i="7"/>
  <c r="C408" i="7"/>
  <c r="L391" i="7"/>
  <c r="K377" i="7"/>
  <c r="I331" i="7"/>
  <c r="M315" i="7"/>
  <c r="N300" i="7"/>
  <c r="E290" i="7"/>
  <c r="H280" i="7"/>
  <c r="B270" i="7"/>
  <c r="B259" i="7"/>
  <c r="J248" i="7"/>
  <c r="B240" i="7"/>
  <c r="I230" i="7"/>
  <c r="I222" i="7"/>
  <c r="M213" i="7"/>
  <c r="C205" i="7"/>
  <c r="K196" i="7"/>
  <c r="F188" i="7"/>
  <c r="J180" i="7"/>
  <c r="I171" i="7"/>
  <c r="K163" i="7"/>
  <c r="H155" i="7"/>
  <c r="J148" i="7"/>
  <c r="J141" i="7"/>
  <c r="B135" i="7"/>
  <c r="J127" i="7"/>
  <c r="G121" i="7"/>
  <c r="K114" i="7"/>
  <c r="G108" i="7"/>
  <c r="M102" i="7"/>
  <c r="E97" i="7"/>
  <c r="F91" i="7"/>
  <c r="G85" i="7"/>
  <c r="C80" i="7"/>
  <c r="C69" i="7"/>
  <c r="E57" i="7"/>
  <c r="L51" i="7"/>
  <c r="B47" i="7"/>
  <c r="G42" i="7"/>
  <c r="B37" i="7"/>
  <c r="K31" i="7"/>
  <c r="G26" i="7"/>
  <c r="I21" i="7"/>
  <c r="L189" i="5"/>
  <c r="K183" i="5"/>
  <c r="D178" i="5"/>
  <c r="G173" i="5"/>
  <c r="E167" i="5"/>
  <c r="J161" i="5"/>
  <c r="I156" i="5"/>
  <c r="K150" i="5"/>
  <c r="L144" i="5"/>
  <c r="D140" i="5"/>
  <c r="M133" i="5"/>
  <c r="I128" i="5"/>
  <c r="D124" i="5"/>
  <c r="F114" i="5"/>
  <c r="D110" i="5"/>
  <c r="D105" i="5"/>
  <c r="F100" i="5"/>
  <c r="H96" i="5"/>
  <c r="H91" i="5"/>
  <c r="J86" i="5"/>
  <c r="G82" i="5"/>
  <c r="G77" i="5"/>
  <c r="J72" i="5"/>
  <c r="H68" i="5"/>
  <c r="H63" i="5"/>
  <c r="J58" i="5"/>
  <c r="L54" i="5"/>
  <c r="B50" i="5"/>
  <c r="K45" i="5"/>
  <c r="E42" i="5"/>
  <c r="D38" i="5"/>
  <c r="K30" i="5"/>
  <c r="L26" i="5"/>
  <c r="F23" i="5"/>
  <c r="H630" i="4"/>
  <c r="B627" i="4"/>
  <c r="K623" i="4"/>
  <c r="F620" i="4"/>
  <c r="F617" i="4"/>
  <c r="L613" i="4"/>
  <c r="B611" i="4"/>
  <c r="G607" i="4"/>
  <c r="I604" i="4"/>
  <c r="D598" i="4"/>
  <c r="J594" i="4"/>
  <c r="H591" i="4"/>
  <c r="K588" i="4"/>
  <c r="J585" i="4"/>
  <c r="M582" i="4"/>
  <c r="G580" i="4"/>
  <c r="E577" i="4"/>
  <c r="J574" i="4"/>
  <c r="I571" i="4"/>
  <c r="B569" i="4"/>
  <c r="D566" i="4"/>
  <c r="I563" i="4"/>
  <c r="F561" i="4"/>
  <c r="H558" i="4"/>
  <c r="E556" i="4"/>
  <c r="J553" i="4"/>
  <c r="G551" i="4"/>
  <c r="E549" i="4"/>
  <c r="J546" i="4"/>
  <c r="G544" i="4"/>
  <c r="D542" i="4"/>
  <c r="L539" i="4"/>
  <c r="J537" i="4"/>
  <c r="H535" i="4"/>
  <c r="G533" i="4"/>
  <c r="L528" i="4"/>
  <c r="K526" i="4"/>
  <c r="J524" i="4"/>
  <c r="E522" i="4"/>
  <c r="B514" i="4"/>
  <c r="L511" i="4"/>
  <c r="L509" i="4"/>
  <c r="L507" i="4"/>
  <c r="M505" i="4"/>
  <c r="M503" i="4"/>
  <c r="B502" i="4"/>
  <c r="D498" i="4"/>
  <c r="D492" i="4"/>
  <c r="E490" i="4"/>
  <c r="F488" i="4"/>
  <c r="G486" i="4"/>
  <c r="H484" i="4"/>
  <c r="I482" i="4"/>
  <c r="I480" i="4"/>
  <c r="H478" i="4"/>
  <c r="I476" i="4"/>
  <c r="J474" i="4"/>
  <c r="L472" i="4"/>
  <c r="F469" i="4"/>
  <c r="I467" i="4"/>
  <c r="L465" i="4"/>
  <c r="F462" i="4"/>
  <c r="I460" i="4"/>
  <c r="L458" i="4"/>
  <c r="F455" i="4"/>
  <c r="H453" i="4"/>
  <c r="K451" i="4"/>
  <c r="B450" i="4"/>
  <c r="E448" i="4"/>
  <c r="H446" i="4"/>
  <c r="K444" i="4"/>
  <c r="B443" i="4"/>
  <c r="E441" i="4"/>
  <c r="H439" i="4"/>
  <c r="K437" i="4"/>
  <c r="B436" i="4"/>
  <c r="E434" i="4"/>
  <c r="H432" i="4"/>
  <c r="K430" i="4"/>
  <c r="B429" i="4"/>
  <c r="E427" i="4"/>
  <c r="H425" i="4"/>
  <c r="K423" i="4"/>
  <c r="B422" i="4"/>
  <c r="D420" i="4"/>
  <c r="G418" i="4"/>
  <c r="J416" i="4"/>
  <c r="B415" i="4"/>
  <c r="F413" i="4"/>
  <c r="J411" i="4"/>
  <c r="B410" i="4"/>
  <c r="F408" i="4"/>
  <c r="J406" i="4"/>
  <c r="B405" i="4"/>
  <c r="F403" i="4"/>
  <c r="J401" i="4"/>
  <c r="B400" i="4"/>
  <c r="F398" i="4"/>
  <c r="J396" i="4"/>
  <c r="B395" i="4"/>
  <c r="F393" i="4"/>
  <c r="J391" i="4"/>
  <c r="B390" i="4"/>
  <c r="F388" i="4"/>
  <c r="J386" i="4"/>
  <c r="B385" i="4"/>
  <c r="F383" i="4"/>
  <c r="J381" i="4"/>
  <c r="B380" i="4"/>
  <c r="F378" i="4"/>
  <c r="J376" i="4"/>
  <c r="B375" i="4"/>
  <c r="F373" i="4"/>
  <c r="J371" i="4"/>
  <c r="B370" i="4"/>
  <c r="F368" i="4"/>
  <c r="J366" i="4"/>
  <c r="B365" i="4"/>
  <c r="F363" i="4"/>
  <c r="J361" i="4"/>
  <c r="B360" i="4"/>
  <c r="F358" i="4"/>
  <c r="J356" i="4"/>
  <c r="B355" i="4"/>
  <c r="F353" i="4"/>
  <c r="J351" i="4"/>
  <c r="B350" i="4"/>
  <c r="F348" i="4"/>
  <c r="J346" i="4"/>
  <c r="B345" i="4"/>
  <c r="F343" i="4"/>
  <c r="J341" i="4"/>
  <c r="B340" i="4"/>
  <c r="F338" i="4"/>
  <c r="J336" i="4"/>
  <c r="B335" i="4"/>
  <c r="F333" i="4"/>
  <c r="J331" i="4"/>
  <c r="B330" i="4"/>
  <c r="F328" i="4"/>
  <c r="J326" i="4"/>
  <c r="B325" i="4"/>
  <c r="F323" i="4"/>
  <c r="J321" i="4"/>
  <c r="B320" i="4"/>
  <c r="F318" i="4"/>
  <c r="J316" i="4"/>
  <c r="B315" i="4"/>
  <c r="F313" i="4"/>
  <c r="J311" i="4"/>
  <c r="B310" i="4"/>
  <c r="F308" i="4"/>
  <c r="J306" i="4"/>
  <c r="B305" i="4"/>
  <c r="F303" i="4"/>
  <c r="J301" i="4"/>
  <c r="B300" i="4"/>
  <c r="F298" i="4"/>
  <c r="J296" i="4"/>
  <c r="B295" i="4"/>
  <c r="F293" i="4"/>
  <c r="J291" i="4"/>
  <c r="B290" i="4"/>
  <c r="F288" i="4"/>
  <c r="J286" i="4"/>
  <c r="B285" i="4"/>
  <c r="F283" i="4"/>
  <c r="J281" i="4"/>
  <c r="B280" i="4"/>
  <c r="F278" i="4"/>
  <c r="J276" i="4"/>
  <c r="B275" i="4"/>
  <c r="F273" i="4"/>
  <c r="J271" i="4"/>
  <c r="B270" i="4"/>
  <c r="F268" i="4"/>
  <c r="J266" i="4"/>
  <c r="B265" i="4"/>
  <c r="F263" i="4"/>
  <c r="J261" i="4"/>
  <c r="B260" i="4"/>
  <c r="F258" i="4"/>
  <c r="J256" i="4"/>
  <c r="B255" i="4"/>
  <c r="F253" i="4"/>
  <c r="J251" i="4"/>
  <c r="B250" i="4"/>
  <c r="F248" i="4"/>
  <c r="J246" i="4"/>
  <c r="B245" i="4"/>
  <c r="F243" i="4"/>
  <c r="J241" i="4"/>
  <c r="B240" i="4"/>
  <c r="F238" i="4"/>
  <c r="J236" i="4"/>
  <c r="B235" i="4"/>
  <c r="F233" i="4"/>
  <c r="J231" i="4"/>
  <c r="B230" i="4"/>
  <c r="F228" i="4"/>
  <c r="J226" i="4"/>
  <c r="B225" i="4"/>
  <c r="F223" i="4"/>
  <c r="J221" i="4"/>
  <c r="B220" i="4"/>
  <c r="F218" i="4"/>
  <c r="J216" i="4"/>
  <c r="B215" i="4"/>
  <c r="F213" i="4"/>
  <c r="J211" i="4"/>
  <c r="B210" i="4"/>
  <c r="E208" i="4"/>
  <c r="I206" i="4"/>
  <c r="M204" i="4"/>
  <c r="E203" i="4"/>
  <c r="I201" i="4"/>
  <c r="M199" i="4"/>
  <c r="E198" i="4"/>
  <c r="I196" i="4"/>
  <c r="M194" i="4"/>
  <c r="E193" i="4"/>
  <c r="I191" i="4"/>
  <c r="M189" i="4"/>
  <c r="E188" i="4"/>
  <c r="I186" i="4"/>
  <c r="M184" i="4"/>
  <c r="E183" i="4"/>
  <c r="I181" i="4"/>
  <c r="M179" i="4"/>
  <c r="E178" i="4"/>
  <c r="I176" i="4"/>
  <c r="M174" i="4"/>
  <c r="E173" i="4"/>
  <c r="I171" i="4"/>
  <c r="M169" i="4"/>
  <c r="E168" i="4"/>
  <c r="I166" i="4"/>
  <c r="M164" i="4"/>
  <c r="E163" i="4"/>
  <c r="I161" i="4"/>
  <c r="M159" i="4"/>
  <c r="E158" i="4"/>
  <c r="I156" i="4"/>
  <c r="M154" i="4"/>
  <c r="E153" i="4"/>
  <c r="I151" i="4"/>
  <c r="M149" i="4"/>
  <c r="E148" i="4"/>
  <c r="I146" i="4"/>
  <c r="M144" i="4"/>
  <c r="E143" i="4"/>
  <c r="I141" i="4"/>
  <c r="M139" i="4"/>
  <c r="E138" i="4"/>
  <c r="I136" i="4"/>
  <c r="M134" i="4"/>
  <c r="E133" i="4"/>
  <c r="I131" i="4"/>
  <c r="M129" i="4"/>
  <c r="E128" i="4"/>
  <c r="I126" i="4"/>
  <c r="M124" i="4"/>
  <c r="E123" i="4"/>
  <c r="I121" i="4"/>
  <c r="M119" i="4"/>
  <c r="E118" i="4"/>
  <c r="I116" i="4"/>
  <c r="M114" i="4"/>
  <c r="E113" i="4"/>
  <c r="I111" i="4"/>
  <c r="M109" i="4"/>
  <c r="E108" i="4"/>
  <c r="I106" i="4"/>
  <c r="M104" i="4"/>
  <c r="E103" i="4"/>
  <c r="I101" i="4"/>
  <c r="M99" i="4"/>
  <c r="E98" i="4"/>
  <c r="I96" i="4"/>
  <c r="M94" i="4"/>
  <c r="E93" i="4"/>
  <c r="I91" i="4"/>
  <c r="M89" i="4"/>
  <c r="E88" i="4"/>
  <c r="I86" i="4"/>
  <c r="M84" i="4"/>
  <c r="E83" i="4"/>
  <c r="I81" i="4"/>
  <c r="M79" i="4"/>
  <c r="E78" i="4"/>
  <c r="I76" i="4"/>
  <c r="M74" i="4"/>
  <c r="E73" i="4"/>
  <c r="I71" i="4"/>
  <c r="M69" i="4"/>
  <c r="E68" i="4"/>
  <c r="I66" i="4"/>
  <c r="M64" i="4"/>
  <c r="E63" i="4"/>
  <c r="I61" i="4"/>
  <c r="M59" i="4"/>
  <c r="E58" i="4"/>
  <c r="I56" i="4"/>
  <c r="M54" i="4"/>
  <c r="E53" i="4"/>
  <c r="I51" i="4"/>
  <c r="M49" i="4"/>
  <c r="E48" i="4"/>
  <c r="I46" i="4"/>
  <c r="M44" i="4"/>
  <c r="E43" i="4"/>
  <c r="I41" i="4"/>
  <c r="M39" i="4"/>
  <c r="E38" i="4"/>
  <c r="I36" i="4"/>
  <c r="M34" i="4"/>
  <c r="E33" i="4"/>
  <c r="I31" i="4"/>
  <c r="M29" i="4"/>
  <c r="E28" i="4"/>
  <c r="I26" i="4"/>
  <c r="M24" i="4"/>
  <c r="E23" i="4"/>
  <c r="L49" i="3"/>
  <c r="D48" i="3"/>
  <c r="H46" i="3"/>
  <c r="L44" i="3"/>
  <c r="D43" i="3"/>
  <c r="H41" i="3"/>
  <c r="L39" i="3"/>
  <c r="D38" i="3"/>
  <c r="H36" i="3"/>
  <c r="L34" i="3"/>
  <c r="D33" i="3"/>
  <c r="H31" i="3"/>
  <c r="L29" i="3"/>
  <c r="D28" i="3"/>
  <c r="H26" i="3"/>
  <c r="L24" i="3"/>
  <c r="D23" i="3"/>
  <c r="M97" i="2"/>
  <c r="D96" i="2"/>
  <c r="F94" i="2"/>
  <c r="I92" i="2"/>
  <c r="M90" i="2"/>
  <c r="E89" i="2"/>
  <c r="I87" i="2"/>
  <c r="M85" i="2"/>
  <c r="E84" i="2"/>
  <c r="I82" i="2"/>
  <c r="M80" i="2"/>
  <c r="E79" i="2"/>
  <c r="I77" i="2"/>
  <c r="M75" i="2"/>
  <c r="E74" i="2"/>
  <c r="I72" i="2"/>
  <c r="M70" i="2"/>
  <c r="E69" i="2"/>
  <c r="I67" i="2"/>
  <c r="M65" i="2"/>
  <c r="E64" i="2"/>
  <c r="H62" i="2"/>
  <c r="J60" i="2"/>
  <c r="L58" i="2"/>
  <c r="B57" i="2"/>
  <c r="E55" i="2"/>
  <c r="G53" i="2"/>
  <c r="J51" i="2"/>
  <c r="B50" i="2"/>
  <c r="G1056" i="7"/>
  <c r="E893" i="7"/>
  <c r="L808" i="7"/>
  <c r="E758" i="7"/>
  <c r="G714" i="7"/>
  <c r="N679" i="7"/>
  <c r="I639" i="7"/>
  <c r="G605" i="7"/>
  <c r="K574" i="7"/>
  <c r="I550" i="7"/>
  <c r="M526" i="7"/>
  <c r="G501" i="7"/>
  <c r="E476" i="7"/>
  <c r="G454" i="7"/>
  <c r="K437" i="7"/>
  <c r="N405" i="7"/>
  <c r="M390" i="7"/>
  <c r="J373" i="7"/>
  <c r="L358" i="7"/>
  <c r="F344" i="7"/>
  <c r="G330" i="7"/>
  <c r="F314" i="7"/>
  <c r="H300" i="7"/>
  <c r="M277" i="7"/>
  <c r="C268" i="7"/>
  <c r="G258" i="7"/>
  <c r="F248" i="7"/>
  <c r="I238" i="7"/>
  <c r="C229" i="7"/>
  <c r="N220" i="7"/>
  <c r="E213" i="7"/>
  <c r="H204" i="7"/>
  <c r="H195" i="7"/>
  <c r="L186" i="7"/>
  <c r="N178" i="7"/>
  <c r="N169" i="7"/>
  <c r="K162" i="7"/>
  <c r="I147" i="7"/>
  <c r="B140" i="7"/>
  <c r="E133" i="7"/>
  <c r="F127" i="7"/>
  <c r="K120" i="7"/>
  <c r="N113" i="7"/>
  <c r="F107" i="7"/>
  <c r="J101" i="7"/>
  <c r="M95" i="7"/>
  <c r="K90" i="7"/>
  <c r="L84" i="7"/>
  <c r="L78" i="7"/>
  <c r="F73" i="7"/>
  <c r="K67" i="7"/>
  <c r="I62" i="7"/>
  <c r="K56" i="7"/>
  <c r="H51" i="7"/>
  <c r="L45" i="7"/>
  <c r="B41" i="7"/>
  <c r="C36" i="7"/>
  <c r="H31" i="7"/>
  <c r="L25" i="7"/>
  <c r="F188" i="5"/>
  <c r="B183" i="5"/>
  <c r="F177" i="5"/>
  <c r="L171" i="5"/>
  <c r="I166" i="5"/>
  <c r="L160" i="5"/>
  <c r="G155" i="5"/>
  <c r="D150" i="5"/>
  <c r="G144" i="5"/>
  <c r="M138" i="5"/>
  <c r="J133" i="5"/>
  <c r="D128" i="5"/>
  <c r="D123" i="5"/>
  <c r="I118" i="5"/>
  <c r="I113" i="5"/>
  <c r="M104" i="5"/>
  <c r="M99" i="5"/>
  <c r="D95" i="5"/>
  <c r="L90" i="5"/>
  <c r="L85" i="5"/>
  <c r="H81" i="5"/>
  <c r="M76" i="5"/>
  <c r="M71" i="5"/>
  <c r="G67" i="5"/>
  <c r="E63" i="5"/>
  <c r="E58" i="5"/>
  <c r="H53" i="5"/>
  <c r="G49" i="5"/>
  <c r="E45" i="5"/>
  <c r="H41" i="5"/>
  <c r="H37" i="5"/>
  <c r="I33" i="5"/>
  <c r="B30" i="5"/>
  <c r="I26" i="5"/>
  <c r="I22" i="5"/>
  <c r="E630" i="4"/>
  <c r="E626" i="4"/>
  <c r="H623" i="4"/>
  <c r="K619" i="4"/>
  <c r="I613" i="4"/>
  <c r="E610" i="4"/>
  <c r="D607" i="4"/>
  <c r="L603" i="4"/>
  <c r="K600" i="4"/>
  <c r="F597" i="4"/>
  <c r="G594" i="4"/>
  <c r="H588" i="4"/>
  <c r="E585" i="4"/>
  <c r="J582" i="4"/>
  <c r="J579" i="4"/>
  <c r="B577" i="4"/>
  <c r="B574" i="4"/>
  <c r="E571" i="4"/>
  <c r="K568" i="4"/>
  <c r="J565" i="4"/>
  <c r="F563" i="4"/>
  <c r="J560" i="4"/>
  <c r="E558" i="4"/>
  <c r="I555" i="4"/>
  <c r="F553" i="4"/>
  <c r="D551" i="4"/>
  <c r="I548" i="4"/>
  <c r="F546" i="4"/>
  <c r="L541" i="4"/>
  <c r="H539" i="4"/>
  <c r="F537" i="4"/>
  <c r="E535" i="4"/>
  <c r="J530" i="4"/>
  <c r="I528" i="4"/>
  <c r="H526" i="4"/>
  <c r="F524" i="4"/>
  <c r="M521" i="4"/>
  <c r="L519" i="4"/>
  <c r="L517" i="4"/>
  <c r="K515" i="4"/>
  <c r="I513" i="4"/>
  <c r="I511" i="4"/>
  <c r="H509" i="4"/>
  <c r="I507" i="4"/>
  <c r="I505" i="4"/>
  <c r="J503" i="4"/>
  <c r="K501" i="4"/>
  <c r="K499" i="4"/>
  <c r="K497" i="4"/>
  <c r="K495" i="4"/>
  <c r="L493" i="4"/>
  <c r="M491" i="4"/>
  <c r="B490" i="4"/>
  <c r="D486" i="4"/>
  <c r="E484" i="4"/>
  <c r="D482" i="4"/>
  <c r="D480" i="4"/>
  <c r="E478" i="4"/>
  <c r="F476" i="4"/>
  <c r="G474" i="4"/>
  <c r="I472" i="4"/>
  <c r="L470" i="4"/>
  <c r="F467" i="4"/>
  <c r="I465" i="4"/>
  <c r="L463" i="4"/>
  <c r="F460" i="4"/>
  <c r="H458" i="4"/>
  <c r="K456" i="4"/>
  <c r="B455" i="4"/>
  <c r="E453" i="4"/>
  <c r="H451" i="4"/>
  <c r="K449" i="4"/>
  <c r="B448" i="4"/>
  <c r="E446" i="4"/>
  <c r="H444" i="4"/>
  <c r="K442" i="4"/>
  <c r="B441" i="4"/>
  <c r="E439" i="4"/>
  <c r="H437" i="4"/>
  <c r="K435" i="4"/>
  <c r="B434" i="4"/>
  <c r="E432" i="4"/>
  <c r="H430" i="4"/>
  <c r="K428" i="4"/>
  <c r="B427" i="4"/>
  <c r="D425" i="4"/>
  <c r="G423" i="4"/>
  <c r="J421" i="4"/>
  <c r="M419" i="4"/>
  <c r="D418" i="4"/>
  <c r="G416" i="4"/>
  <c r="K414" i="4"/>
  <c r="G411" i="4"/>
  <c r="K409" i="4"/>
  <c r="G406" i="4"/>
  <c r="K404" i="4"/>
  <c r="G401" i="4"/>
  <c r="K399" i="4"/>
  <c r="G396" i="4"/>
  <c r="K394" i="4"/>
  <c r="G391" i="4"/>
  <c r="K389" i="4"/>
  <c r="G386" i="4"/>
  <c r="K384" i="4"/>
  <c r="G381" i="4"/>
  <c r="K379" i="4"/>
  <c r="G376" i="4"/>
  <c r="K374" i="4"/>
  <c r="G371" i="4"/>
  <c r="K369" i="4"/>
  <c r="G366" i="4"/>
  <c r="K364" i="4"/>
  <c r="G361" i="4"/>
  <c r="K359" i="4"/>
  <c r="G356" i="4"/>
  <c r="K354" i="4"/>
  <c r="G351" i="4"/>
  <c r="K349" i="4"/>
  <c r="G346" i="4"/>
  <c r="K344" i="4"/>
  <c r="G341" i="4"/>
  <c r="K339" i="4"/>
  <c r="G336" i="4"/>
  <c r="K334" i="4"/>
  <c r="G331" i="4"/>
  <c r="K329" i="4"/>
  <c r="G326" i="4"/>
  <c r="K324" i="4"/>
  <c r="G321" i="4"/>
  <c r="K319" i="4"/>
  <c r="G316" i="4"/>
  <c r="K314" i="4"/>
  <c r="G311" i="4"/>
  <c r="K309" i="4"/>
  <c r="G306" i="4"/>
  <c r="K304" i="4"/>
  <c r="G301" i="4"/>
  <c r="K299" i="4"/>
  <c r="G296" i="4"/>
  <c r="K294" i="4"/>
  <c r="G291" i="4"/>
  <c r="K289" i="4"/>
  <c r="G286" i="4"/>
  <c r="K284" i="4"/>
  <c r="G281" i="4"/>
  <c r="K279" i="4"/>
  <c r="G276" i="4"/>
  <c r="K274" i="4"/>
  <c r="G271" i="4"/>
  <c r="K269" i="4"/>
  <c r="G266" i="4"/>
  <c r="K264" i="4"/>
  <c r="G261" i="4"/>
  <c r="K259" i="4"/>
  <c r="G256" i="4"/>
  <c r="K254" i="4"/>
  <c r="G251" i="4"/>
  <c r="K249" i="4"/>
  <c r="G246" i="4"/>
  <c r="K244" i="4"/>
  <c r="G241" i="4"/>
  <c r="K239" i="4"/>
  <c r="G236" i="4"/>
  <c r="K234" i="4"/>
  <c r="G231" i="4"/>
  <c r="K229" i="4"/>
  <c r="G226" i="4"/>
  <c r="K224" i="4"/>
  <c r="G221" i="4"/>
  <c r="K219" i="4"/>
  <c r="G216" i="4"/>
  <c r="K214" i="4"/>
  <c r="G211" i="4"/>
  <c r="J209" i="4"/>
  <c r="B208" i="4"/>
  <c r="F206" i="4"/>
  <c r="J204" i="4"/>
  <c r="B203" i="4"/>
  <c r="F201" i="4"/>
  <c r="J199" i="4"/>
  <c r="B198" i="4"/>
  <c r="F196" i="4"/>
  <c r="J194" i="4"/>
  <c r="B193" i="4"/>
  <c r="F191" i="4"/>
  <c r="J189" i="4"/>
  <c r="B188" i="4"/>
  <c r="F186" i="4"/>
  <c r="J184" i="4"/>
  <c r="B183" i="4"/>
  <c r="F181" i="4"/>
  <c r="J179" i="4"/>
  <c r="B178" i="4"/>
  <c r="F176" i="4"/>
  <c r="J174" i="4"/>
  <c r="B173" i="4"/>
  <c r="F171" i="4"/>
  <c r="J169" i="4"/>
  <c r="B168" i="4"/>
  <c r="F166" i="4"/>
  <c r="J164" i="4"/>
  <c r="B163" i="4"/>
  <c r="F161" i="4"/>
  <c r="J159" i="4"/>
  <c r="B158" i="4"/>
  <c r="F156" i="4"/>
  <c r="J154" i="4"/>
  <c r="B153" i="4"/>
  <c r="F151" i="4"/>
  <c r="J149" i="4"/>
  <c r="B148" i="4"/>
  <c r="F146" i="4"/>
  <c r="J144" i="4"/>
  <c r="B143" i="4"/>
  <c r="F141" i="4"/>
  <c r="J139" i="4"/>
  <c r="B138" i="4"/>
  <c r="F136" i="4"/>
  <c r="J134" i="4"/>
  <c r="B133" i="4"/>
  <c r="F131" i="4"/>
  <c r="J129" i="4"/>
  <c r="B128" i="4"/>
  <c r="F126" i="4"/>
  <c r="J124" i="4"/>
  <c r="B123" i="4"/>
  <c r="F121" i="4"/>
  <c r="J119" i="4"/>
  <c r="B118" i="4"/>
  <c r="F116" i="4"/>
  <c r="J114" i="4"/>
  <c r="B113" i="4"/>
  <c r="F111" i="4"/>
  <c r="J109" i="4"/>
  <c r="B108" i="4"/>
  <c r="F106" i="4"/>
  <c r="J104" i="4"/>
  <c r="B103" i="4"/>
  <c r="F101" i="4"/>
  <c r="J99" i="4"/>
  <c r="B98" i="4"/>
  <c r="F96" i="4"/>
  <c r="J94" i="4"/>
  <c r="B93" i="4"/>
  <c r="F91" i="4"/>
  <c r="J89" i="4"/>
  <c r="B88" i="4"/>
  <c r="F86" i="4"/>
  <c r="J84" i="4"/>
  <c r="B83" i="4"/>
  <c r="F81" i="4"/>
  <c r="J79" i="4"/>
  <c r="B78" i="4"/>
  <c r="F76" i="4"/>
  <c r="J74" i="4"/>
  <c r="B73" i="4"/>
  <c r="F71" i="4"/>
  <c r="J69" i="4"/>
  <c r="B68" i="4"/>
  <c r="F66" i="4"/>
  <c r="J64" i="4"/>
  <c r="B63" i="4"/>
  <c r="F61" i="4"/>
  <c r="J59" i="4"/>
  <c r="B58" i="4"/>
  <c r="F56" i="4"/>
  <c r="J54" i="4"/>
  <c r="B53" i="4"/>
  <c r="F51" i="4"/>
  <c r="J49" i="4"/>
  <c r="B48" i="4"/>
  <c r="F46" i="4"/>
  <c r="J44" i="4"/>
  <c r="B43" i="4"/>
  <c r="F41" i="4"/>
  <c r="J39" i="4"/>
  <c r="B38" i="4"/>
  <c r="F36" i="4"/>
  <c r="J34" i="4"/>
  <c r="B33" i="4"/>
  <c r="F31" i="4"/>
  <c r="J29" i="4"/>
  <c r="B28" i="4"/>
  <c r="F26" i="4"/>
  <c r="J24" i="4"/>
  <c r="B23" i="4"/>
  <c r="I49" i="3"/>
  <c r="M47" i="3"/>
  <c r="E46" i="3"/>
  <c r="I44" i="3"/>
  <c r="M42" i="3"/>
  <c r="E41" i="3"/>
  <c r="I39" i="3"/>
  <c r="M37" i="3"/>
  <c r="E36" i="3"/>
  <c r="I34" i="3"/>
  <c r="M32" i="3"/>
  <c r="E31" i="3"/>
  <c r="I29" i="3"/>
  <c r="M27" i="3"/>
  <c r="E26" i="3"/>
  <c r="I24" i="3"/>
  <c r="M22" i="3"/>
  <c r="J97" i="2"/>
  <c r="L95" i="2"/>
  <c r="B94" i="2"/>
  <c r="F92" i="2"/>
  <c r="J90" i="2"/>
  <c r="B1056" i="7"/>
  <c r="E890" i="7"/>
  <c r="K808" i="7"/>
  <c r="B754" i="7"/>
  <c r="H711" i="7"/>
  <c r="B677" i="7"/>
  <c r="H639" i="7"/>
  <c r="C604" i="7"/>
  <c r="J573" i="7"/>
  <c r="M549" i="7"/>
  <c r="B523" i="7"/>
  <c r="L500" i="7"/>
  <c r="F475" i="7"/>
  <c r="B435" i="7"/>
  <c r="L419" i="7"/>
  <c r="M405" i="7"/>
  <c r="E390" i="7"/>
  <c r="I373" i="7"/>
  <c r="E358" i="7"/>
  <c r="M342" i="7"/>
  <c r="N326" i="7"/>
  <c r="E314" i="7"/>
  <c r="G300" i="7"/>
  <c r="F287" i="7"/>
  <c r="K267" i="7"/>
  <c r="E258" i="7"/>
  <c r="I247" i="7"/>
  <c r="H238" i="7"/>
  <c r="J228" i="7"/>
  <c r="H220" i="7"/>
  <c r="C212" i="7"/>
  <c r="G204" i="7"/>
  <c r="G195" i="7"/>
  <c r="K186" i="7"/>
  <c r="L177" i="7"/>
  <c r="M169" i="7"/>
  <c r="I162" i="7"/>
  <c r="B155" i="7"/>
  <c r="F147" i="7"/>
  <c r="L139" i="7"/>
  <c r="C133" i="7"/>
  <c r="E126" i="7"/>
  <c r="I120" i="7"/>
  <c r="M113" i="7"/>
  <c r="B101" i="7"/>
  <c r="K95" i="7"/>
  <c r="J90" i="7"/>
  <c r="K84" i="7"/>
  <c r="K78" i="7"/>
  <c r="M72" i="7"/>
  <c r="H67" i="7"/>
  <c r="J61" i="7"/>
  <c r="J56" i="7"/>
  <c r="C51" i="7"/>
  <c r="K45" i="7"/>
  <c r="L40" i="7"/>
  <c r="K35" i="7"/>
  <c r="C31" i="7"/>
  <c r="K25" i="7"/>
  <c r="D188" i="5"/>
  <c r="M182" i="5"/>
  <c r="E177" i="5"/>
  <c r="J171" i="5"/>
  <c r="H166" i="5"/>
  <c r="K160" i="5"/>
  <c r="E155" i="5"/>
  <c r="B150" i="5"/>
  <c r="F144" i="5"/>
  <c r="G138" i="5"/>
  <c r="I133" i="5"/>
  <c r="K127" i="5"/>
  <c r="J122" i="5"/>
  <c r="H118" i="5"/>
  <c r="H113" i="5"/>
  <c r="J108" i="5"/>
  <c r="L104" i="5"/>
  <c r="L99" i="5"/>
  <c r="B95" i="5"/>
  <c r="K90" i="5"/>
  <c r="K85" i="5"/>
  <c r="B81" i="5"/>
  <c r="L76" i="5"/>
  <c r="L71" i="5"/>
  <c r="B67" i="5"/>
  <c r="D63" i="5"/>
  <c r="D58" i="5"/>
  <c r="F53" i="5"/>
  <c r="F49" i="5"/>
  <c r="D45" i="5"/>
  <c r="B41" i="5"/>
  <c r="G37" i="5"/>
  <c r="H33" i="5"/>
  <c r="L29" i="5"/>
  <c r="H26" i="5"/>
  <c r="H22" i="5"/>
  <c r="D630" i="4"/>
  <c r="D626" i="4"/>
  <c r="D623" i="4"/>
  <c r="J619" i="4"/>
  <c r="F616" i="4"/>
  <c r="H613" i="4"/>
  <c r="D610" i="4"/>
  <c r="J603" i="4"/>
  <c r="J600" i="4"/>
  <c r="D597" i="4"/>
  <c r="F594" i="4"/>
  <c r="B591" i="4"/>
  <c r="E588" i="4"/>
  <c r="D585" i="4"/>
  <c r="I582" i="4"/>
  <c r="H579" i="4"/>
  <c r="M576" i="4"/>
  <c r="M573" i="4"/>
  <c r="D571" i="4"/>
  <c r="J568" i="4"/>
  <c r="I565" i="4"/>
  <c r="E563" i="4"/>
  <c r="H560" i="4"/>
  <c r="D558" i="4"/>
  <c r="H555" i="4"/>
  <c r="E553" i="4"/>
  <c r="H548" i="4"/>
  <c r="E546" i="4"/>
  <c r="B544" i="4"/>
  <c r="I541" i="4"/>
  <c r="G539" i="4"/>
  <c r="E537" i="4"/>
  <c r="D535" i="4"/>
  <c r="L532" i="4"/>
  <c r="I530" i="4"/>
  <c r="H528" i="4"/>
  <c r="G526" i="4"/>
  <c r="B524" i="4"/>
  <c r="L521" i="4"/>
  <c r="K519" i="4"/>
  <c r="K517" i="4"/>
  <c r="J515" i="4"/>
  <c r="H513" i="4"/>
  <c r="G511" i="4"/>
  <c r="G509" i="4"/>
  <c r="G507" i="4"/>
  <c r="H505" i="4"/>
  <c r="I503" i="4"/>
  <c r="J501" i="4"/>
  <c r="I499" i="4"/>
  <c r="J497" i="4"/>
  <c r="J495" i="4"/>
  <c r="K493" i="4"/>
  <c r="L491" i="4"/>
  <c r="M489" i="4"/>
  <c r="B488" i="4"/>
  <c r="B482" i="4"/>
  <c r="D478" i="4"/>
  <c r="E476" i="4"/>
  <c r="F474" i="4"/>
  <c r="H472" i="4"/>
  <c r="K470" i="4"/>
  <c r="B469" i="4"/>
  <c r="E467" i="4"/>
  <c r="H465" i="4"/>
  <c r="K463" i="4"/>
  <c r="B462" i="4"/>
  <c r="D460" i="4"/>
  <c r="G458" i="4"/>
  <c r="J456" i="4"/>
  <c r="M454" i="4"/>
  <c r="D453" i="4"/>
  <c r="G451" i="4"/>
  <c r="J449" i="4"/>
  <c r="M447" i="4"/>
  <c r="D446" i="4"/>
  <c r="G444" i="4"/>
  <c r="J442" i="4"/>
  <c r="M440" i="4"/>
  <c r="D439" i="4"/>
  <c r="G437" i="4"/>
  <c r="J435" i="4"/>
  <c r="M433" i="4"/>
  <c r="D432" i="4"/>
  <c r="G430" i="4"/>
  <c r="J428" i="4"/>
  <c r="L426" i="4"/>
  <c r="F423" i="4"/>
  <c r="I421" i="4"/>
  <c r="L419" i="4"/>
  <c r="F416" i="4"/>
  <c r="J414" i="4"/>
  <c r="B413" i="4"/>
  <c r="F411" i="4"/>
  <c r="J409" i="4"/>
  <c r="B408" i="4"/>
  <c r="F406" i="4"/>
  <c r="J404" i="4"/>
  <c r="B403" i="4"/>
  <c r="F401" i="4"/>
  <c r="J399" i="4"/>
  <c r="B398" i="4"/>
  <c r="F396" i="4"/>
  <c r="J394" i="4"/>
  <c r="B393" i="4"/>
  <c r="F391" i="4"/>
  <c r="J389" i="4"/>
  <c r="B388" i="4"/>
  <c r="F386" i="4"/>
  <c r="J384" i="4"/>
  <c r="B383" i="4"/>
  <c r="F381" i="4"/>
  <c r="J379" i="4"/>
  <c r="B378" i="4"/>
  <c r="F376" i="4"/>
  <c r="J374" i="4"/>
  <c r="B373" i="4"/>
  <c r="F371" i="4"/>
  <c r="J369" i="4"/>
  <c r="B368" i="4"/>
  <c r="F366" i="4"/>
  <c r="J364" i="4"/>
  <c r="B363" i="4"/>
  <c r="F361" i="4"/>
  <c r="J359" i="4"/>
  <c r="B358" i="4"/>
  <c r="F356" i="4"/>
  <c r="J354" i="4"/>
  <c r="B353" i="4"/>
  <c r="F351" i="4"/>
  <c r="J349" i="4"/>
  <c r="B348" i="4"/>
  <c r="F346" i="4"/>
  <c r="J344" i="4"/>
  <c r="B343" i="4"/>
  <c r="F341" i="4"/>
  <c r="J339" i="4"/>
  <c r="B338" i="4"/>
  <c r="F336" i="4"/>
  <c r="J334" i="4"/>
  <c r="B333" i="4"/>
  <c r="F331" i="4"/>
  <c r="J329" i="4"/>
  <c r="B328" i="4"/>
  <c r="F326" i="4"/>
  <c r="J324" i="4"/>
  <c r="B323" i="4"/>
  <c r="F321" i="4"/>
  <c r="J319" i="4"/>
  <c r="B318" i="4"/>
  <c r="F316" i="4"/>
  <c r="J314" i="4"/>
  <c r="B313" i="4"/>
  <c r="F311" i="4"/>
  <c r="J309" i="4"/>
  <c r="B308" i="4"/>
  <c r="F306" i="4"/>
  <c r="J304" i="4"/>
  <c r="B303" i="4"/>
  <c r="F301" i="4"/>
  <c r="J299" i="4"/>
  <c r="B298" i="4"/>
  <c r="F296" i="4"/>
  <c r="J294" i="4"/>
  <c r="B293" i="4"/>
  <c r="F291" i="4"/>
  <c r="J289" i="4"/>
  <c r="B288" i="4"/>
  <c r="F286" i="4"/>
  <c r="J284" i="4"/>
  <c r="B283" i="4"/>
  <c r="F281" i="4"/>
  <c r="J279" i="4"/>
  <c r="B278" i="4"/>
  <c r="F276" i="4"/>
  <c r="J274" i="4"/>
  <c r="B273" i="4"/>
  <c r="F271" i="4"/>
  <c r="J269" i="4"/>
  <c r="B268" i="4"/>
  <c r="F266" i="4"/>
  <c r="J264" i="4"/>
  <c r="B263" i="4"/>
  <c r="F261" i="4"/>
  <c r="J259" i="4"/>
  <c r="B258" i="4"/>
  <c r="F256" i="4"/>
  <c r="J254" i="4"/>
  <c r="B253" i="4"/>
  <c r="F251" i="4"/>
  <c r="J249" i="4"/>
  <c r="B248" i="4"/>
  <c r="F246" i="4"/>
  <c r="J244" i="4"/>
  <c r="B243" i="4"/>
  <c r="F241" i="4"/>
  <c r="J239" i="4"/>
  <c r="B238" i="4"/>
  <c r="F236" i="4"/>
  <c r="J234" i="4"/>
  <c r="B233" i="4"/>
  <c r="F231" i="4"/>
  <c r="J229" i="4"/>
  <c r="B228" i="4"/>
  <c r="F226" i="4"/>
  <c r="J224" i="4"/>
  <c r="B223" i="4"/>
  <c r="F221" i="4"/>
  <c r="J219" i="4"/>
  <c r="B218" i="4"/>
  <c r="F216" i="4"/>
  <c r="J214" i="4"/>
  <c r="B213" i="4"/>
  <c r="F211" i="4"/>
  <c r="I209" i="4"/>
  <c r="M207" i="4"/>
  <c r="E206" i="4"/>
  <c r="I204" i="4"/>
  <c r="M202" i="4"/>
  <c r="E201" i="4"/>
  <c r="I199" i="4"/>
  <c r="M197" i="4"/>
  <c r="E196" i="4"/>
  <c r="I194" i="4"/>
  <c r="M192" i="4"/>
  <c r="E191" i="4"/>
  <c r="I189" i="4"/>
  <c r="M187" i="4"/>
  <c r="E186" i="4"/>
  <c r="I184" i="4"/>
  <c r="M182" i="4"/>
  <c r="E181" i="4"/>
  <c r="I179" i="4"/>
  <c r="M177" i="4"/>
  <c r="E176" i="4"/>
  <c r="I174" i="4"/>
  <c r="M172" i="4"/>
  <c r="E171" i="4"/>
  <c r="I169" i="4"/>
  <c r="M167" i="4"/>
  <c r="E166" i="4"/>
  <c r="I164" i="4"/>
  <c r="M162" i="4"/>
  <c r="E161" i="4"/>
  <c r="I159" i="4"/>
  <c r="M157" i="4"/>
  <c r="E156" i="4"/>
  <c r="I154" i="4"/>
  <c r="M152" i="4"/>
  <c r="E151" i="4"/>
  <c r="I149" i="4"/>
  <c r="M147" i="4"/>
  <c r="E146" i="4"/>
  <c r="I144" i="4"/>
  <c r="M142" i="4"/>
  <c r="E141" i="4"/>
  <c r="I139" i="4"/>
  <c r="M137" i="4"/>
  <c r="E136" i="4"/>
  <c r="I134" i="4"/>
  <c r="M132" i="4"/>
  <c r="E131" i="4"/>
  <c r="I129" i="4"/>
  <c r="M127" i="4"/>
  <c r="E126" i="4"/>
  <c r="I124" i="4"/>
  <c r="M122" i="4"/>
  <c r="E121" i="4"/>
  <c r="I119" i="4"/>
  <c r="M117" i="4"/>
  <c r="E116" i="4"/>
  <c r="I114" i="4"/>
  <c r="M112" i="4"/>
  <c r="E111" i="4"/>
  <c r="I109" i="4"/>
  <c r="M107" i="4"/>
  <c r="E106" i="4"/>
  <c r="I104" i="4"/>
  <c r="M102" i="4"/>
  <c r="E101" i="4"/>
  <c r="I99" i="4"/>
  <c r="M97" i="4"/>
  <c r="E96" i="4"/>
  <c r="I94" i="4"/>
  <c r="M92" i="4"/>
  <c r="E91" i="4"/>
  <c r="I89" i="4"/>
  <c r="M87" i="4"/>
  <c r="E86" i="4"/>
  <c r="I84" i="4"/>
  <c r="M82" i="4"/>
  <c r="E81" i="4"/>
  <c r="I79" i="4"/>
  <c r="M77" i="4"/>
  <c r="E76" i="4"/>
  <c r="I74" i="4"/>
  <c r="M72" i="4"/>
  <c r="E71" i="4"/>
  <c r="I69" i="4"/>
  <c r="M67" i="4"/>
  <c r="E66" i="4"/>
  <c r="I64" i="4"/>
  <c r="M62" i="4"/>
  <c r="E61" i="4"/>
  <c r="I59" i="4"/>
  <c r="M57" i="4"/>
  <c r="E56" i="4"/>
  <c r="I54" i="4"/>
  <c r="M52" i="4"/>
  <c r="E51" i="4"/>
  <c r="I49" i="4"/>
  <c r="M47" i="4"/>
  <c r="E46" i="4"/>
  <c r="I44" i="4"/>
  <c r="M42" i="4"/>
  <c r="E41" i="4"/>
  <c r="I39" i="4"/>
  <c r="M37" i="4"/>
  <c r="E36" i="4"/>
  <c r="I34" i="4"/>
  <c r="M32" i="4"/>
  <c r="E31" i="4"/>
  <c r="I29" i="4"/>
  <c r="M27" i="4"/>
  <c r="E26" i="4"/>
  <c r="I24" i="4"/>
  <c r="M22" i="4"/>
  <c r="H49" i="3"/>
  <c r="L47" i="3"/>
  <c r="D46" i="3"/>
  <c r="H44" i="3"/>
  <c r="L42" i="3"/>
  <c r="D41" i="3"/>
  <c r="H39" i="3"/>
  <c r="L37" i="3"/>
  <c r="D36" i="3"/>
  <c r="H34" i="3"/>
  <c r="L32" i="3"/>
  <c r="D31" i="3"/>
  <c r="H29" i="3"/>
  <c r="L27" i="3"/>
  <c r="D26" i="3"/>
  <c r="H24" i="3"/>
  <c r="L22" i="3"/>
  <c r="I97" i="2"/>
  <c r="K95" i="2"/>
  <c r="M93" i="2"/>
  <c r="E92" i="2"/>
  <c r="I90" i="2"/>
  <c r="M88" i="2"/>
  <c r="E87" i="2"/>
  <c r="I85" i="2"/>
  <c r="M83" i="2"/>
  <c r="E82" i="2"/>
  <c r="I80" i="2"/>
  <c r="M78" i="2"/>
  <c r="E77" i="2"/>
  <c r="I75" i="2"/>
  <c r="M73" i="2"/>
  <c r="E72" i="2"/>
  <c r="I70" i="2"/>
  <c r="M68" i="2"/>
  <c r="E67" i="2"/>
  <c r="I65" i="2"/>
  <c r="M63" i="2"/>
  <c r="D62" i="2"/>
  <c r="F60" i="2"/>
  <c r="H58" i="2"/>
  <c r="J56" i="2"/>
  <c r="L54" i="2"/>
  <c r="B53" i="2"/>
  <c r="F51" i="2"/>
  <c r="J49" i="2"/>
  <c r="E1055" i="7"/>
  <c r="K889" i="7"/>
  <c r="I808" i="7"/>
  <c r="I750" i="7"/>
  <c r="L707" i="7"/>
  <c r="M671" i="7"/>
  <c r="G639" i="7"/>
  <c r="H573" i="7"/>
  <c r="M546" i="7"/>
  <c r="N521" i="7"/>
  <c r="I500" i="7"/>
  <c r="E475" i="7"/>
  <c r="C452" i="7"/>
  <c r="M434" i="7"/>
  <c r="F419" i="7"/>
  <c r="H403" i="7"/>
  <c r="I389" i="7"/>
  <c r="E357" i="7"/>
  <c r="F341" i="7"/>
  <c r="I326" i="7"/>
  <c r="I313" i="7"/>
  <c r="H299" i="7"/>
  <c r="E287" i="7"/>
  <c r="B277" i="7"/>
  <c r="K266" i="7"/>
  <c r="F256" i="7"/>
  <c r="H247" i="7"/>
  <c r="F238" i="7"/>
  <c r="E228" i="7"/>
  <c r="M219" i="7"/>
  <c r="L211" i="7"/>
  <c r="C204" i="7"/>
  <c r="K194" i="7"/>
  <c r="J186" i="7"/>
  <c r="I177" i="7"/>
  <c r="B169" i="7"/>
  <c r="I161" i="7"/>
  <c r="M154" i="7"/>
  <c r="J139" i="7"/>
  <c r="G132" i="7"/>
  <c r="H120" i="7"/>
  <c r="L113" i="7"/>
  <c r="B107" i="7"/>
  <c r="M100" i="7"/>
  <c r="I95" i="7"/>
  <c r="K89" i="7"/>
  <c r="I84" i="7"/>
  <c r="J78" i="7"/>
  <c r="L72" i="7"/>
  <c r="M66" i="7"/>
  <c r="I61" i="7"/>
  <c r="I56" i="7"/>
  <c r="B51" i="7"/>
  <c r="J45" i="7"/>
  <c r="F40" i="7"/>
  <c r="H35" i="7"/>
  <c r="E30" i="7"/>
  <c r="J25" i="7"/>
  <c r="H187" i="5"/>
  <c r="L182" i="5"/>
  <c r="D177" i="5"/>
  <c r="B171" i="5"/>
  <c r="G166" i="5"/>
  <c r="J160" i="5"/>
  <c r="H154" i="5"/>
  <c r="M149" i="5"/>
  <c r="L143" i="5"/>
  <c r="B138" i="5"/>
  <c r="H133" i="5"/>
  <c r="J127" i="5"/>
  <c r="G118" i="5"/>
  <c r="G113" i="5"/>
  <c r="G108" i="5"/>
  <c r="G104" i="5"/>
  <c r="G99" i="5"/>
  <c r="G94" i="5"/>
  <c r="G90" i="5"/>
  <c r="G85" i="5"/>
  <c r="G80" i="5"/>
  <c r="K76" i="5"/>
  <c r="K71" i="5"/>
  <c r="K66" i="5"/>
  <c r="K62" i="5"/>
  <c r="K57" i="5"/>
  <c r="K52" i="5"/>
  <c r="D49" i="5"/>
  <c r="J40" i="5"/>
  <c r="F37" i="5"/>
  <c r="G33" i="5"/>
  <c r="E29" i="5"/>
  <c r="G22" i="5"/>
  <c r="K629" i="4"/>
  <c r="J622" i="4"/>
  <c r="I619" i="4"/>
  <c r="E616" i="4"/>
  <c r="D613" i="4"/>
  <c r="K609" i="4"/>
  <c r="B607" i="4"/>
  <c r="H603" i="4"/>
  <c r="I600" i="4"/>
  <c r="E594" i="4"/>
  <c r="M590" i="4"/>
  <c r="D588" i="4"/>
  <c r="M584" i="4"/>
  <c r="G582" i="4"/>
  <c r="F579" i="4"/>
  <c r="L576" i="4"/>
  <c r="L573" i="4"/>
  <c r="H565" i="4"/>
  <c r="D563" i="4"/>
  <c r="F560" i="4"/>
  <c r="G555" i="4"/>
  <c r="D553" i="4"/>
  <c r="B551" i="4"/>
  <c r="G548" i="4"/>
  <c r="D546" i="4"/>
  <c r="M543" i="4"/>
  <c r="H541" i="4"/>
  <c r="F539" i="4"/>
  <c r="D537" i="4"/>
  <c r="K532" i="4"/>
  <c r="H530" i="4"/>
  <c r="G528" i="4"/>
  <c r="F526" i="4"/>
  <c r="M523" i="4"/>
  <c r="K521" i="4"/>
  <c r="J519" i="4"/>
  <c r="J517" i="4"/>
  <c r="H515" i="4"/>
  <c r="G513" i="4"/>
  <c r="F511" i="4"/>
  <c r="F509" i="4"/>
  <c r="F507" i="4"/>
  <c r="G505" i="4"/>
  <c r="H503" i="4"/>
  <c r="H501" i="4"/>
  <c r="H499" i="4"/>
  <c r="I497" i="4"/>
  <c r="I495" i="4"/>
  <c r="J493" i="4"/>
  <c r="K491" i="4"/>
  <c r="L489" i="4"/>
  <c r="M487" i="4"/>
  <c r="B486" i="4"/>
  <c r="M483" i="4"/>
  <c r="M481" i="4"/>
  <c r="B480" i="4"/>
  <c r="D476" i="4"/>
  <c r="E474" i="4"/>
  <c r="G472" i="4"/>
  <c r="J470" i="4"/>
  <c r="M468" i="4"/>
  <c r="D467" i="4"/>
  <c r="G465" i="4"/>
  <c r="J463" i="4"/>
  <c r="L461" i="4"/>
  <c r="F458" i="4"/>
  <c r="I456" i="4"/>
  <c r="L454" i="4"/>
  <c r="F451" i="4"/>
  <c r="I449" i="4"/>
  <c r="L447" i="4"/>
  <c r="F444" i="4"/>
  <c r="I442" i="4"/>
  <c r="L440" i="4"/>
  <c r="F437" i="4"/>
  <c r="I435" i="4"/>
  <c r="L433" i="4"/>
  <c r="F430" i="4"/>
  <c r="H428" i="4"/>
  <c r="K426" i="4"/>
  <c r="B425" i="4"/>
  <c r="E423" i="4"/>
  <c r="H421" i="4"/>
  <c r="K419" i="4"/>
  <c r="B418" i="4"/>
  <c r="E416" i="4"/>
  <c r="I414" i="4"/>
  <c r="M412" i="4"/>
  <c r="E411" i="4"/>
  <c r="I409" i="4"/>
  <c r="M407" i="4"/>
  <c r="E406" i="4"/>
  <c r="I404" i="4"/>
  <c r="M402" i="4"/>
  <c r="E401" i="4"/>
  <c r="I399" i="4"/>
  <c r="M397" i="4"/>
  <c r="E396" i="4"/>
  <c r="I394" i="4"/>
  <c r="M392" i="4"/>
  <c r="E391" i="4"/>
  <c r="I389" i="4"/>
  <c r="M387" i="4"/>
  <c r="E386" i="4"/>
  <c r="I384" i="4"/>
  <c r="M382" i="4"/>
  <c r="E381" i="4"/>
  <c r="I379" i="4"/>
  <c r="M377" i="4"/>
  <c r="E376" i="4"/>
  <c r="I374" i="4"/>
  <c r="M372" i="4"/>
  <c r="E371" i="4"/>
  <c r="I369" i="4"/>
  <c r="M367" i="4"/>
  <c r="E366" i="4"/>
  <c r="I364" i="4"/>
  <c r="M362" i="4"/>
  <c r="E361" i="4"/>
  <c r="I359" i="4"/>
  <c r="M357" i="4"/>
  <c r="E356" i="4"/>
  <c r="I354" i="4"/>
  <c r="M352" i="4"/>
  <c r="E351" i="4"/>
  <c r="I349" i="4"/>
  <c r="M347" i="4"/>
  <c r="E346" i="4"/>
  <c r="I344" i="4"/>
  <c r="M342" i="4"/>
  <c r="E341" i="4"/>
  <c r="I339" i="4"/>
  <c r="M337" i="4"/>
  <c r="E336" i="4"/>
  <c r="I334" i="4"/>
  <c r="M332" i="4"/>
  <c r="E331" i="4"/>
  <c r="I329" i="4"/>
  <c r="M327" i="4"/>
  <c r="E326" i="4"/>
  <c r="I324" i="4"/>
  <c r="M322" i="4"/>
  <c r="E321" i="4"/>
  <c r="I319" i="4"/>
  <c r="M317" i="4"/>
  <c r="E316" i="4"/>
  <c r="I314" i="4"/>
  <c r="M312" i="4"/>
  <c r="E311" i="4"/>
  <c r="I309" i="4"/>
  <c r="M307" i="4"/>
  <c r="E306" i="4"/>
  <c r="I304" i="4"/>
  <c r="M302" i="4"/>
  <c r="E301" i="4"/>
  <c r="I299" i="4"/>
  <c r="M297" i="4"/>
  <c r="E296" i="4"/>
  <c r="I294" i="4"/>
  <c r="M292" i="4"/>
  <c r="E291" i="4"/>
  <c r="I289" i="4"/>
  <c r="M287" i="4"/>
  <c r="E286" i="4"/>
  <c r="I284" i="4"/>
  <c r="M282" i="4"/>
  <c r="E281" i="4"/>
  <c r="I279" i="4"/>
  <c r="M277" i="4"/>
  <c r="E276" i="4"/>
  <c r="I274" i="4"/>
  <c r="M272" i="4"/>
  <c r="E271" i="4"/>
  <c r="I269" i="4"/>
  <c r="M267" i="4"/>
  <c r="E266" i="4"/>
  <c r="I264" i="4"/>
  <c r="M262" i="4"/>
  <c r="E261" i="4"/>
  <c r="I259" i="4"/>
  <c r="M257" i="4"/>
  <c r="E256" i="4"/>
  <c r="I254" i="4"/>
  <c r="M252" i="4"/>
  <c r="E251" i="4"/>
  <c r="I249" i="4"/>
  <c r="M247" i="4"/>
  <c r="E246" i="4"/>
  <c r="I244" i="4"/>
  <c r="M242" i="4"/>
  <c r="E241" i="4"/>
  <c r="I239" i="4"/>
  <c r="M237" i="4"/>
  <c r="E236" i="4"/>
  <c r="I234" i="4"/>
  <c r="M232" i="4"/>
  <c r="E231" i="4"/>
  <c r="I229" i="4"/>
  <c r="M227" i="4"/>
  <c r="E226" i="4"/>
  <c r="I224" i="4"/>
  <c r="M222" i="4"/>
  <c r="E221" i="4"/>
  <c r="I219" i="4"/>
  <c r="M217" i="4"/>
  <c r="E216" i="4"/>
  <c r="I214" i="4"/>
  <c r="M212" i="4"/>
  <c r="E211" i="4"/>
  <c r="H209" i="4"/>
  <c r="L207" i="4"/>
  <c r="D206" i="4"/>
  <c r="H204" i="4"/>
  <c r="L202" i="4"/>
  <c r="D201" i="4"/>
  <c r="H199" i="4"/>
  <c r="L197" i="4"/>
  <c r="D196" i="4"/>
  <c r="H194" i="4"/>
  <c r="L192" i="4"/>
  <c r="D191" i="4"/>
  <c r="H189" i="4"/>
  <c r="L187" i="4"/>
  <c r="D186" i="4"/>
  <c r="H184" i="4"/>
  <c r="L182" i="4"/>
  <c r="D181" i="4"/>
  <c r="H179" i="4"/>
  <c r="L177" i="4"/>
  <c r="D176" i="4"/>
  <c r="H174" i="4"/>
  <c r="L172" i="4"/>
  <c r="D171" i="4"/>
  <c r="H169" i="4"/>
  <c r="L167" i="4"/>
  <c r="D166" i="4"/>
  <c r="H164" i="4"/>
  <c r="L162" i="4"/>
  <c r="D161" i="4"/>
  <c r="H159" i="4"/>
  <c r="L157" i="4"/>
  <c r="D156" i="4"/>
  <c r="H154" i="4"/>
  <c r="L152" i="4"/>
  <c r="D151" i="4"/>
  <c r="H149" i="4"/>
  <c r="L147" i="4"/>
  <c r="D146" i="4"/>
  <c r="H144" i="4"/>
  <c r="L142" i="4"/>
  <c r="D141" i="4"/>
  <c r="H139" i="4"/>
  <c r="L137" i="4"/>
  <c r="D136" i="4"/>
  <c r="H134" i="4"/>
  <c r="L132" i="4"/>
  <c r="D131" i="4"/>
  <c r="H129" i="4"/>
  <c r="L127" i="4"/>
  <c r="D126" i="4"/>
  <c r="H124" i="4"/>
  <c r="L122" i="4"/>
  <c r="D121" i="4"/>
  <c r="H119" i="4"/>
  <c r="L117" i="4"/>
  <c r="D116" i="4"/>
  <c r="H114" i="4"/>
  <c r="L112" i="4"/>
  <c r="D111" i="4"/>
  <c r="H109" i="4"/>
  <c r="L107" i="4"/>
  <c r="D106" i="4"/>
  <c r="H104" i="4"/>
  <c r="L102" i="4"/>
  <c r="D101" i="4"/>
  <c r="H99" i="4"/>
  <c r="L97" i="4"/>
  <c r="D96" i="4"/>
  <c r="H94" i="4"/>
  <c r="L92" i="4"/>
  <c r="D91" i="4"/>
  <c r="H89" i="4"/>
  <c r="L87" i="4"/>
  <c r="D86" i="4"/>
  <c r="H84" i="4"/>
  <c r="L82" i="4"/>
  <c r="D81" i="4"/>
  <c r="H79" i="4"/>
  <c r="L77" i="4"/>
  <c r="D76" i="4"/>
  <c r="H74" i="4"/>
  <c r="L72" i="4"/>
  <c r="D71" i="4"/>
  <c r="H69" i="4"/>
  <c r="L67" i="4"/>
  <c r="D66" i="4"/>
  <c r="H64" i="4"/>
  <c r="L62" i="4"/>
  <c r="D61" i="4"/>
  <c r="H59" i="4"/>
  <c r="L57" i="4"/>
  <c r="D56" i="4"/>
  <c r="H54" i="4"/>
  <c r="L52" i="4"/>
  <c r="D51" i="4"/>
  <c r="H49" i="4"/>
  <c r="L47" i="4"/>
  <c r="D46" i="4"/>
  <c r="H44" i="4"/>
  <c r="L42" i="4"/>
  <c r="D41" i="4"/>
  <c r="H39" i="4"/>
  <c r="L37" i="4"/>
  <c r="D36" i="4"/>
  <c r="H34" i="4"/>
  <c r="L32" i="4"/>
  <c r="D31" i="4"/>
  <c r="H29" i="4"/>
  <c r="L27" i="4"/>
  <c r="D26" i="4"/>
  <c r="H24" i="4"/>
  <c r="L22" i="4"/>
  <c r="G49" i="3"/>
  <c r="K47" i="3"/>
  <c r="G44" i="3"/>
  <c r="K42" i="3"/>
  <c r="G39" i="3"/>
  <c r="K37" i="3"/>
  <c r="G34" i="3"/>
  <c r="K32" i="3"/>
  <c r="G29" i="3"/>
  <c r="K27" i="3"/>
  <c r="G24" i="3"/>
  <c r="K22" i="3"/>
  <c r="H97" i="2"/>
  <c r="J95" i="2"/>
  <c r="L93" i="2"/>
  <c r="D92" i="2"/>
  <c r="H90" i="2"/>
  <c r="L88" i="2"/>
  <c r="D87" i="2"/>
  <c r="H85" i="2"/>
  <c r="L83" i="2"/>
  <c r="D82" i="2"/>
  <c r="H80" i="2"/>
  <c r="L78" i="2"/>
  <c r="D77" i="2"/>
  <c r="H75" i="2"/>
  <c r="L73" i="2"/>
  <c r="D72" i="2"/>
  <c r="H70" i="2"/>
  <c r="L68" i="2"/>
  <c r="D67" i="2"/>
  <c r="H65" i="2"/>
  <c r="L63" i="2"/>
  <c r="B62" i="2"/>
  <c r="E60" i="2"/>
  <c r="G58" i="2"/>
  <c r="I56" i="2"/>
  <c r="K54" i="2"/>
  <c r="M52" i="2"/>
  <c r="E51" i="2"/>
  <c r="I49" i="2"/>
  <c r="M47" i="2"/>
  <c r="E46" i="2"/>
  <c r="I44" i="2"/>
  <c r="M42" i="2"/>
  <c r="E41" i="2"/>
  <c r="I39" i="2"/>
  <c r="M37" i="2"/>
  <c r="E36" i="2"/>
  <c r="I34" i="2"/>
  <c r="M32" i="2"/>
  <c r="E31" i="2"/>
  <c r="I29" i="2"/>
  <c r="M27" i="2"/>
  <c r="E26" i="2"/>
  <c r="I24" i="2"/>
  <c r="M22" i="2"/>
  <c r="I863" i="7"/>
  <c r="G758" i="7"/>
  <c r="L696" i="7"/>
  <c r="L628" i="7"/>
  <c r="I577" i="7"/>
  <c r="C538" i="7"/>
  <c r="M492" i="7"/>
  <c r="N454" i="7"/>
  <c r="F429" i="7"/>
  <c r="M400" i="7"/>
  <c r="B375" i="7"/>
  <c r="M351" i="7"/>
  <c r="B324" i="7"/>
  <c r="I300" i="7"/>
  <c r="H283" i="7"/>
  <c r="N264" i="7"/>
  <c r="G248" i="7"/>
  <c r="E233" i="7"/>
  <c r="I218" i="7"/>
  <c r="J204" i="7"/>
  <c r="H191" i="7"/>
  <c r="F176" i="7"/>
  <c r="N162" i="7"/>
  <c r="E151" i="7"/>
  <c r="N138" i="7"/>
  <c r="H127" i="7"/>
  <c r="I117" i="7"/>
  <c r="E106" i="7"/>
  <c r="L96" i="7"/>
  <c r="M87" i="7"/>
  <c r="C77" i="7"/>
  <c r="L59" i="7"/>
  <c r="N49" i="7"/>
  <c r="N33" i="7"/>
  <c r="B190" i="5"/>
  <c r="L180" i="5"/>
  <c r="L170" i="5"/>
  <c r="B162" i="5"/>
  <c r="J153" i="5"/>
  <c r="K143" i="5"/>
  <c r="H134" i="5"/>
  <c r="H117" i="5"/>
  <c r="F110" i="5"/>
  <c r="J102" i="5"/>
  <c r="F94" i="5"/>
  <c r="M86" i="5"/>
  <c r="B80" i="5"/>
  <c r="J71" i="5"/>
  <c r="J63" i="5"/>
  <c r="I56" i="5"/>
  <c r="I48" i="5"/>
  <c r="G42" i="5"/>
  <c r="L35" i="5"/>
  <c r="D29" i="5"/>
  <c r="B24" i="5"/>
  <c r="J628" i="4"/>
  <c r="I622" i="4"/>
  <c r="I617" i="4"/>
  <c r="E612" i="4"/>
  <c r="M606" i="4"/>
  <c r="E601" i="4"/>
  <c r="G596" i="4"/>
  <c r="K590" i="4"/>
  <c r="E586" i="4"/>
  <c r="G581" i="4"/>
  <c r="I576" i="4"/>
  <c r="B572" i="4"/>
  <c r="G567" i="4"/>
  <c r="K558" i="4"/>
  <c r="M554" i="4"/>
  <c r="M550" i="4"/>
  <c r="L546" i="4"/>
  <c r="D543" i="4"/>
  <c r="E539" i="4"/>
  <c r="J535" i="4"/>
  <c r="D532" i="4"/>
  <c r="F528" i="4"/>
  <c r="L524" i="4"/>
  <c r="F521" i="4"/>
  <c r="I517" i="4"/>
  <c r="E514" i="4"/>
  <c r="M510" i="4"/>
  <c r="E507" i="4"/>
  <c r="B501" i="4"/>
  <c r="G497" i="4"/>
  <c r="F494" i="4"/>
  <c r="F491" i="4"/>
  <c r="L487" i="4"/>
  <c r="J484" i="4"/>
  <c r="H481" i="4"/>
  <c r="B478" i="4"/>
  <c r="L474" i="4"/>
  <c r="B472" i="4"/>
  <c r="L468" i="4"/>
  <c r="B466" i="4"/>
  <c r="D463" i="4"/>
  <c r="B460" i="4"/>
  <c r="E457" i="4"/>
  <c r="G454" i="4"/>
  <c r="E451" i="4"/>
  <c r="G448" i="4"/>
  <c r="J445" i="4"/>
  <c r="H442" i="4"/>
  <c r="J439" i="4"/>
  <c r="L436" i="4"/>
  <c r="K433" i="4"/>
  <c r="M430" i="4"/>
  <c r="M424" i="4"/>
  <c r="D422" i="4"/>
  <c r="F419" i="4"/>
  <c r="D416" i="4"/>
  <c r="H413" i="4"/>
  <c r="L410" i="4"/>
  <c r="L407" i="4"/>
  <c r="D405" i="4"/>
  <c r="H402" i="4"/>
  <c r="H399" i="4"/>
  <c r="L396" i="4"/>
  <c r="D394" i="4"/>
  <c r="D391" i="4"/>
  <c r="H388" i="4"/>
  <c r="L385" i="4"/>
  <c r="L382" i="4"/>
  <c r="D380" i="4"/>
  <c r="H377" i="4"/>
  <c r="H374" i="4"/>
  <c r="L371" i="4"/>
  <c r="D369" i="4"/>
  <c r="D366" i="4"/>
  <c r="H363" i="4"/>
  <c r="L360" i="4"/>
  <c r="L357" i="4"/>
  <c r="D355" i="4"/>
  <c r="H352" i="4"/>
  <c r="H349" i="4"/>
  <c r="L346" i="4"/>
  <c r="D344" i="4"/>
  <c r="D341" i="4"/>
  <c r="H338" i="4"/>
  <c r="L335" i="4"/>
  <c r="L332" i="4"/>
  <c r="D330" i="4"/>
  <c r="H327" i="4"/>
  <c r="H324" i="4"/>
  <c r="L321" i="4"/>
  <c r="D319" i="4"/>
  <c r="D316" i="4"/>
  <c r="H313" i="4"/>
  <c r="L310" i="4"/>
  <c r="L307" i="4"/>
  <c r="D305" i="4"/>
  <c r="H302" i="4"/>
  <c r="H299" i="4"/>
  <c r="L296" i="4"/>
  <c r="D294" i="4"/>
  <c r="D291" i="4"/>
  <c r="H288" i="4"/>
  <c r="L285" i="4"/>
  <c r="L282" i="4"/>
  <c r="D280" i="4"/>
  <c r="H277" i="4"/>
  <c r="H274" i="4"/>
  <c r="L271" i="4"/>
  <c r="D269" i="4"/>
  <c r="D266" i="4"/>
  <c r="H263" i="4"/>
  <c r="L260" i="4"/>
  <c r="L257" i="4"/>
  <c r="D255" i="4"/>
  <c r="H252" i="4"/>
  <c r="H249" i="4"/>
  <c r="L246" i="4"/>
  <c r="D244" i="4"/>
  <c r="D241" i="4"/>
  <c r="H238" i="4"/>
  <c r="L235" i="4"/>
  <c r="L232" i="4"/>
  <c r="D230" i="4"/>
  <c r="H227" i="4"/>
  <c r="H224" i="4"/>
  <c r="L221" i="4"/>
  <c r="D219" i="4"/>
  <c r="D216" i="4"/>
  <c r="H213" i="4"/>
  <c r="L210" i="4"/>
  <c r="K207" i="4"/>
  <c r="G202" i="4"/>
  <c r="G199" i="4"/>
  <c r="K196" i="4"/>
  <c r="G188" i="4"/>
  <c r="K185" i="4"/>
  <c r="K182" i="4"/>
  <c r="G177" i="4"/>
  <c r="G174" i="4"/>
  <c r="K171" i="4"/>
  <c r="G163" i="4"/>
  <c r="K160" i="4"/>
  <c r="K157" i="4"/>
  <c r="G152" i="4"/>
  <c r="G149" i="4"/>
  <c r="K146" i="4"/>
  <c r="G138" i="4"/>
  <c r="K135" i="4"/>
  <c r="K132" i="4"/>
  <c r="G127" i="4"/>
  <c r="G124" i="4"/>
  <c r="K121" i="4"/>
  <c r="G113" i="4"/>
  <c r="K110" i="4"/>
  <c r="K107" i="4"/>
  <c r="G102" i="4"/>
  <c r="G99" i="4"/>
  <c r="K96" i="4"/>
  <c r="G88" i="4"/>
  <c r="K85" i="4"/>
  <c r="K82" i="4"/>
  <c r="G77" i="4"/>
  <c r="G74" i="4"/>
  <c r="K71" i="4"/>
  <c r="G63" i="4"/>
  <c r="K60" i="4"/>
  <c r="K57" i="4"/>
  <c r="G52" i="4"/>
  <c r="G49" i="4"/>
  <c r="K46" i="4"/>
  <c r="G38" i="4"/>
  <c r="K35" i="4"/>
  <c r="K32" i="4"/>
  <c r="G27" i="4"/>
  <c r="G24" i="4"/>
  <c r="G47" i="3"/>
  <c r="J44" i="3"/>
  <c r="F36" i="3"/>
  <c r="K33" i="3"/>
  <c r="K30" i="3"/>
  <c r="B28" i="3"/>
  <c r="G25" i="3"/>
  <c r="G22" i="3"/>
  <c r="I96" i="2"/>
  <c r="J93" i="2"/>
  <c r="I91" i="2"/>
  <c r="G89" i="2"/>
  <c r="F87" i="2"/>
  <c r="I1113" i="7"/>
  <c r="E862" i="7"/>
  <c r="E750" i="7"/>
  <c r="J683" i="7"/>
  <c r="N627" i="7"/>
  <c r="N572" i="7"/>
  <c r="J490" i="7"/>
  <c r="N451" i="7"/>
  <c r="E424" i="7"/>
  <c r="L400" i="7"/>
  <c r="C373" i="7"/>
  <c r="B348" i="7"/>
  <c r="K322" i="7"/>
  <c r="N298" i="7"/>
  <c r="B281" i="7"/>
  <c r="M264" i="7"/>
  <c r="C247" i="7"/>
  <c r="M232" i="7"/>
  <c r="H218" i="7"/>
  <c r="F202" i="7"/>
  <c r="L189" i="7"/>
  <c r="E176" i="7"/>
  <c r="G161" i="7"/>
  <c r="I149" i="7"/>
  <c r="I138" i="7"/>
  <c r="I125" i="7"/>
  <c r="K115" i="7"/>
  <c r="G105" i="7"/>
  <c r="B95" i="7"/>
  <c r="B77" i="7"/>
  <c r="K66" i="7"/>
  <c r="N57" i="7"/>
  <c r="H49" i="7"/>
  <c r="E40" i="7"/>
  <c r="M31" i="7"/>
  <c r="N23" i="7"/>
  <c r="M189" i="5"/>
  <c r="K180" i="5"/>
  <c r="K170" i="5"/>
  <c r="M161" i="5"/>
  <c r="I153" i="5"/>
  <c r="I143" i="5"/>
  <c r="G134" i="5"/>
  <c r="B126" i="5"/>
  <c r="G117" i="5"/>
  <c r="E110" i="5"/>
  <c r="H102" i="5"/>
  <c r="D94" i="5"/>
  <c r="L86" i="5"/>
  <c r="M79" i="5"/>
  <c r="I71" i="5"/>
  <c r="I63" i="5"/>
  <c r="H56" i="5"/>
  <c r="H48" i="5"/>
  <c r="F42" i="5"/>
  <c r="K35" i="5"/>
  <c r="G23" i="5"/>
  <c r="I628" i="4"/>
  <c r="F622" i="4"/>
  <c r="G617" i="4"/>
  <c r="D612" i="4"/>
  <c r="L606" i="4"/>
  <c r="D601" i="4"/>
  <c r="F596" i="4"/>
  <c r="J590" i="4"/>
  <c r="K585" i="4"/>
  <c r="E581" i="4"/>
  <c r="H576" i="4"/>
  <c r="M571" i="4"/>
  <c r="F567" i="4"/>
  <c r="J562" i="4"/>
  <c r="I558" i="4"/>
  <c r="L554" i="4"/>
  <c r="K550" i="4"/>
  <c r="K546" i="4"/>
  <c r="B543" i="4"/>
  <c r="I535" i="4"/>
  <c r="E528" i="4"/>
  <c r="K524" i="4"/>
  <c r="E521" i="4"/>
  <c r="G517" i="4"/>
  <c r="K510" i="4"/>
  <c r="D507" i="4"/>
  <c r="B504" i="4"/>
  <c r="M500" i="4"/>
  <c r="F497" i="4"/>
  <c r="E494" i="4"/>
  <c r="E491" i="4"/>
  <c r="K487" i="4"/>
  <c r="I484" i="4"/>
  <c r="G481" i="4"/>
  <c r="M477" i="4"/>
  <c r="K474" i="4"/>
  <c r="L471" i="4"/>
  <c r="K468" i="4"/>
  <c r="M465" i="4"/>
  <c r="M459" i="4"/>
  <c r="D457" i="4"/>
  <c r="F454" i="4"/>
  <c r="D451" i="4"/>
  <c r="F448" i="4"/>
  <c r="I445" i="4"/>
  <c r="G442" i="4"/>
  <c r="I439" i="4"/>
  <c r="K436" i="4"/>
  <c r="J433" i="4"/>
  <c r="L430" i="4"/>
  <c r="B428" i="4"/>
  <c r="L424" i="4"/>
  <c r="E419" i="4"/>
  <c r="G413" i="4"/>
  <c r="K410" i="4"/>
  <c r="K407" i="4"/>
  <c r="G402" i="4"/>
  <c r="G399" i="4"/>
  <c r="K396" i="4"/>
  <c r="G388" i="4"/>
  <c r="K385" i="4"/>
  <c r="K382" i="4"/>
  <c r="G377" i="4"/>
  <c r="G374" i="4"/>
  <c r="K371" i="4"/>
  <c r="G363" i="4"/>
  <c r="K360" i="4"/>
  <c r="K357" i="4"/>
  <c r="G352" i="4"/>
  <c r="G349" i="4"/>
  <c r="K346" i="4"/>
  <c r="G338" i="4"/>
  <c r="K335" i="4"/>
  <c r="K332" i="4"/>
  <c r="G327" i="4"/>
  <c r="G324" i="4"/>
  <c r="K321" i="4"/>
  <c r="G313" i="4"/>
  <c r="K310" i="4"/>
  <c r="K307" i="4"/>
  <c r="G302" i="4"/>
  <c r="G299" i="4"/>
  <c r="K296" i="4"/>
  <c r="G288" i="4"/>
  <c r="K285" i="4"/>
  <c r="K282" i="4"/>
  <c r="G277" i="4"/>
  <c r="G274" i="4"/>
  <c r="K271" i="4"/>
  <c r="G263" i="4"/>
  <c r="K260" i="4"/>
  <c r="K257" i="4"/>
  <c r="G252" i="4"/>
  <c r="G249" i="4"/>
  <c r="K246" i="4"/>
  <c r="G238" i="4"/>
  <c r="K235" i="4"/>
  <c r="K232" i="4"/>
  <c r="G227" i="4"/>
  <c r="G224" i="4"/>
  <c r="K221" i="4"/>
  <c r="G213" i="4"/>
  <c r="K210" i="4"/>
  <c r="J207" i="4"/>
  <c r="B205" i="4"/>
  <c r="F202" i="4"/>
  <c r="F199" i="4"/>
  <c r="J196" i="4"/>
  <c r="B194" i="4"/>
  <c r="B191" i="4"/>
  <c r="F188" i="4"/>
  <c r="J185" i="4"/>
  <c r="J182" i="4"/>
  <c r="B180" i="4"/>
  <c r="F177" i="4"/>
  <c r="F174" i="4"/>
  <c r="J171" i="4"/>
  <c r="B169" i="4"/>
  <c r="B166" i="4"/>
  <c r="F163" i="4"/>
  <c r="J160" i="4"/>
  <c r="J157" i="4"/>
  <c r="B155" i="4"/>
  <c r="F152" i="4"/>
  <c r="F149" i="4"/>
  <c r="J146" i="4"/>
  <c r="B144" i="4"/>
  <c r="B141" i="4"/>
  <c r="F138" i="4"/>
  <c r="J135" i="4"/>
  <c r="J132" i="4"/>
  <c r="B130" i="4"/>
  <c r="F127" i="4"/>
  <c r="F124" i="4"/>
  <c r="J121" i="4"/>
  <c r="B119" i="4"/>
  <c r="B116" i="4"/>
  <c r="F113" i="4"/>
  <c r="J110" i="4"/>
  <c r="J107" i="4"/>
  <c r="B105" i="4"/>
  <c r="F102" i="4"/>
  <c r="F99" i="4"/>
  <c r="J96" i="4"/>
  <c r="B94" i="4"/>
  <c r="B91" i="4"/>
  <c r="F88" i="4"/>
  <c r="J85" i="4"/>
  <c r="J82" i="4"/>
  <c r="B80" i="4"/>
  <c r="F77" i="4"/>
  <c r="F74" i="4"/>
  <c r="J71" i="4"/>
  <c r="B69" i="4"/>
  <c r="B66" i="4"/>
  <c r="F63" i="4"/>
  <c r="J60" i="4"/>
  <c r="J57" i="4"/>
  <c r="B55" i="4"/>
  <c r="F52" i="4"/>
  <c r="F49" i="4"/>
  <c r="J46" i="4"/>
  <c r="B44" i="4"/>
  <c r="B41" i="4"/>
  <c r="F38" i="4"/>
  <c r="J35" i="4"/>
  <c r="J32" i="4"/>
  <c r="B30" i="4"/>
  <c r="F27" i="4"/>
  <c r="F24" i="4"/>
  <c r="F47" i="3"/>
  <c r="F44" i="3"/>
  <c r="J41" i="3"/>
  <c r="B39" i="3"/>
  <c r="B36" i="3"/>
  <c r="F33" i="3"/>
  <c r="J30" i="3"/>
  <c r="J27" i="3"/>
  <c r="B25" i="3"/>
  <c r="F22" i="3"/>
  <c r="C1099" i="7"/>
  <c r="C851" i="7"/>
  <c r="M746" i="7"/>
  <c r="F683" i="7"/>
  <c r="F623" i="7"/>
  <c r="M572" i="7"/>
  <c r="N529" i="7"/>
  <c r="J489" i="7"/>
  <c r="M451" i="7"/>
  <c r="G399" i="7"/>
  <c r="K372" i="7"/>
  <c r="F347" i="7"/>
  <c r="J322" i="7"/>
  <c r="L298" i="7"/>
  <c r="I280" i="7"/>
  <c r="L264" i="7"/>
  <c r="N245" i="7"/>
  <c r="C232" i="7"/>
  <c r="L217" i="7"/>
  <c r="E202" i="7"/>
  <c r="K188" i="7"/>
  <c r="L160" i="7"/>
  <c r="M148" i="7"/>
  <c r="I137" i="7"/>
  <c r="F125" i="7"/>
  <c r="H115" i="7"/>
  <c r="E105" i="7"/>
  <c r="K94" i="7"/>
  <c r="I85" i="7"/>
  <c r="M76" i="7"/>
  <c r="J66" i="7"/>
  <c r="H57" i="7"/>
  <c r="M48" i="7"/>
  <c r="C40" i="7"/>
  <c r="L31" i="7"/>
  <c r="L23" i="7"/>
  <c r="K189" i="5"/>
  <c r="J180" i="5"/>
  <c r="F170" i="5"/>
  <c r="B161" i="5"/>
  <c r="H153" i="5"/>
  <c r="H143" i="5"/>
  <c r="L133" i="5"/>
  <c r="K125" i="5"/>
  <c r="B117" i="5"/>
  <c r="G102" i="5"/>
  <c r="L79" i="5"/>
  <c r="H71" i="5"/>
  <c r="G63" i="5"/>
  <c r="B56" i="5"/>
  <c r="F48" i="5"/>
  <c r="J35" i="5"/>
  <c r="B29" i="5"/>
  <c r="D23" i="5"/>
  <c r="H628" i="4"/>
  <c r="D622" i="4"/>
  <c r="E617" i="4"/>
  <c r="B612" i="4"/>
  <c r="H606" i="4"/>
  <c r="B601" i="4"/>
  <c r="E596" i="4"/>
  <c r="I590" i="4"/>
  <c r="I585" i="4"/>
  <c r="D581" i="4"/>
  <c r="G576" i="4"/>
  <c r="G571" i="4"/>
  <c r="E567" i="4"/>
  <c r="I562" i="4"/>
  <c r="G558" i="4"/>
  <c r="K554" i="4"/>
  <c r="F550" i="4"/>
  <c r="H546" i="4"/>
  <c r="M542" i="4"/>
  <c r="B539" i="4"/>
  <c r="G535" i="4"/>
  <c r="B532" i="4"/>
  <c r="D528" i="4"/>
  <c r="I524" i="4"/>
  <c r="D521" i="4"/>
  <c r="E517" i="4"/>
  <c r="M513" i="4"/>
  <c r="J510" i="4"/>
  <c r="L503" i="4"/>
  <c r="K500" i="4"/>
  <c r="E497" i="4"/>
  <c r="B494" i="4"/>
  <c r="D491" i="4"/>
  <c r="J487" i="4"/>
  <c r="G484" i="4"/>
  <c r="F481" i="4"/>
  <c r="L477" i="4"/>
  <c r="I474" i="4"/>
  <c r="K471" i="4"/>
  <c r="J468" i="4"/>
  <c r="K465" i="4"/>
  <c r="B463" i="4"/>
  <c r="L459" i="4"/>
  <c r="B457" i="4"/>
  <c r="E454" i="4"/>
  <c r="D448" i="4"/>
  <c r="H445" i="4"/>
  <c r="F442" i="4"/>
  <c r="G439" i="4"/>
  <c r="J436" i="4"/>
  <c r="H433" i="4"/>
  <c r="J430" i="4"/>
  <c r="M427" i="4"/>
  <c r="K424" i="4"/>
  <c r="L421" i="4"/>
  <c r="D419" i="4"/>
  <c r="B416" i="4"/>
  <c r="E413" i="4"/>
  <c r="J410" i="4"/>
  <c r="J407" i="4"/>
  <c r="M404" i="4"/>
  <c r="F402" i="4"/>
  <c r="F399" i="4"/>
  <c r="I396" i="4"/>
  <c r="B394" i="4"/>
  <c r="B391" i="4"/>
  <c r="E388" i="4"/>
  <c r="J385" i="4"/>
  <c r="J382" i="4"/>
  <c r="M379" i="4"/>
  <c r="F377" i="4"/>
  <c r="F374" i="4"/>
  <c r="I371" i="4"/>
  <c r="B369" i="4"/>
  <c r="B366" i="4"/>
  <c r="E363" i="4"/>
  <c r="J360" i="4"/>
  <c r="J357" i="4"/>
  <c r="M354" i="4"/>
  <c r="F352" i="4"/>
  <c r="F349" i="4"/>
  <c r="I346" i="4"/>
  <c r="B344" i="4"/>
  <c r="B341" i="4"/>
  <c r="E338" i="4"/>
  <c r="J335" i="4"/>
  <c r="J332" i="4"/>
  <c r="M329" i="4"/>
  <c r="F327" i="4"/>
  <c r="F324" i="4"/>
  <c r="I321" i="4"/>
  <c r="B319" i="4"/>
  <c r="B316" i="4"/>
  <c r="E313" i="4"/>
  <c r="J310" i="4"/>
  <c r="J307" i="4"/>
  <c r="M304" i="4"/>
  <c r="F302" i="4"/>
  <c r="F299" i="4"/>
  <c r="I296" i="4"/>
  <c r="B294" i="4"/>
  <c r="B291" i="4"/>
  <c r="E288" i="4"/>
  <c r="J285" i="4"/>
  <c r="J282" i="4"/>
  <c r="M279" i="4"/>
  <c r="F277" i="4"/>
  <c r="F274" i="4"/>
  <c r="I271" i="4"/>
  <c r="B269" i="4"/>
  <c r="B266" i="4"/>
  <c r="E263" i="4"/>
  <c r="J260" i="4"/>
  <c r="J257" i="4"/>
  <c r="M254" i="4"/>
  <c r="F252" i="4"/>
  <c r="F249" i="4"/>
  <c r="I246" i="4"/>
  <c r="B244" i="4"/>
  <c r="B241" i="4"/>
  <c r="E238" i="4"/>
  <c r="J235" i="4"/>
  <c r="J232" i="4"/>
  <c r="M229" i="4"/>
  <c r="F227" i="4"/>
  <c r="F224" i="4"/>
  <c r="I221" i="4"/>
  <c r="B219" i="4"/>
  <c r="B216" i="4"/>
  <c r="E213" i="4"/>
  <c r="J210" i="4"/>
  <c r="I207" i="4"/>
  <c r="L204" i="4"/>
  <c r="E202" i="4"/>
  <c r="E199" i="4"/>
  <c r="H196" i="4"/>
  <c r="M193" i="4"/>
  <c r="M190" i="4"/>
  <c r="D188" i="4"/>
  <c r="I185" i="4"/>
  <c r="I182" i="4"/>
  <c r="L179" i="4"/>
  <c r="E177" i="4"/>
  <c r="E174" i="4"/>
  <c r="H171" i="4"/>
  <c r="M168" i="4"/>
  <c r="M165" i="4"/>
  <c r="D163" i="4"/>
  <c r="I160" i="4"/>
  <c r="I157" i="4"/>
  <c r="L154" i="4"/>
  <c r="E152" i="4"/>
  <c r="E149" i="4"/>
  <c r="H146" i="4"/>
  <c r="M143" i="4"/>
  <c r="M140" i="4"/>
  <c r="D138" i="4"/>
  <c r="I135" i="4"/>
  <c r="I132" i="4"/>
  <c r="L129" i="4"/>
  <c r="E127" i="4"/>
  <c r="E124" i="4"/>
  <c r="H121" i="4"/>
  <c r="M118" i="4"/>
  <c r="M115" i="4"/>
  <c r="D113" i="4"/>
  <c r="I110" i="4"/>
  <c r="I107" i="4"/>
  <c r="L104" i="4"/>
  <c r="E102" i="4"/>
  <c r="E99" i="4"/>
  <c r="H96" i="4"/>
  <c r="M93" i="4"/>
  <c r="M90" i="4"/>
  <c r="D88" i="4"/>
  <c r="I85" i="4"/>
  <c r="I82" i="4"/>
  <c r="L79" i="4"/>
  <c r="E77" i="4"/>
  <c r="E74" i="4"/>
  <c r="H71" i="4"/>
  <c r="M68" i="4"/>
  <c r="M65" i="4"/>
  <c r="D63" i="4"/>
  <c r="I60" i="4"/>
  <c r="I57" i="4"/>
  <c r="L54" i="4"/>
  <c r="E52" i="4"/>
  <c r="E49" i="4"/>
  <c r="H46" i="4"/>
  <c r="M43" i="4"/>
  <c r="M40" i="4"/>
  <c r="D38" i="4"/>
  <c r="I35" i="4"/>
  <c r="I32" i="4"/>
  <c r="L29" i="4"/>
  <c r="E27" i="4"/>
  <c r="E24" i="4"/>
  <c r="M49" i="3"/>
  <c r="E47" i="3"/>
  <c r="E44" i="3"/>
  <c r="I41" i="3"/>
  <c r="M38" i="3"/>
  <c r="M35" i="3"/>
  <c r="E33" i="3"/>
  <c r="I30" i="3"/>
  <c r="I27" i="3"/>
  <c r="M24" i="3"/>
  <c r="E22" i="3"/>
  <c r="L1068" i="7"/>
  <c r="I850" i="7"/>
  <c r="C746" i="7"/>
  <c r="M682" i="7"/>
  <c r="K572" i="7"/>
  <c r="B528" i="7"/>
  <c r="I489" i="7"/>
  <c r="G450" i="7"/>
  <c r="B424" i="7"/>
  <c r="J398" i="7"/>
  <c r="J372" i="7"/>
  <c r="C347" i="7"/>
  <c r="B322" i="7"/>
  <c r="B297" i="7"/>
  <c r="L278" i="7"/>
  <c r="N263" i="7"/>
  <c r="H245" i="7"/>
  <c r="K217" i="7"/>
  <c r="C202" i="7"/>
  <c r="L187" i="7"/>
  <c r="G174" i="7"/>
  <c r="M159" i="7"/>
  <c r="G148" i="7"/>
  <c r="H137" i="7"/>
  <c r="J104" i="7"/>
  <c r="F94" i="7"/>
  <c r="F85" i="7"/>
  <c r="E76" i="7"/>
  <c r="H66" i="7"/>
  <c r="K48" i="7"/>
  <c r="B40" i="7"/>
  <c r="J31" i="7"/>
  <c r="G23" i="7"/>
  <c r="G188" i="5"/>
  <c r="E180" i="5"/>
  <c r="E170" i="5"/>
  <c r="M160" i="5"/>
  <c r="G153" i="5"/>
  <c r="B143" i="5"/>
  <c r="K133" i="5"/>
  <c r="D125" i="5"/>
  <c r="K116" i="5"/>
  <c r="D109" i="5"/>
  <c r="K93" i="5"/>
  <c r="B86" i="5"/>
  <c r="G79" i="5"/>
  <c r="F63" i="5"/>
  <c r="G55" i="5"/>
  <c r="K47" i="5"/>
  <c r="I41" i="5"/>
  <c r="I35" i="5"/>
  <c r="M28" i="5"/>
  <c r="J22" i="5"/>
  <c r="D617" i="4"/>
  <c r="L611" i="4"/>
  <c r="B606" i="4"/>
  <c r="M600" i="4"/>
  <c r="D596" i="4"/>
  <c r="H590" i="4"/>
  <c r="G585" i="4"/>
  <c r="B576" i="4"/>
  <c r="F571" i="4"/>
  <c r="D567" i="4"/>
  <c r="G562" i="4"/>
  <c r="F558" i="4"/>
  <c r="J554" i="4"/>
  <c r="E550" i="4"/>
  <c r="G546" i="4"/>
  <c r="L542" i="4"/>
  <c r="M538" i="4"/>
  <c r="F535" i="4"/>
  <c r="M531" i="4"/>
  <c r="H524" i="4"/>
  <c r="K513" i="4"/>
  <c r="I510" i="4"/>
  <c r="B507" i="4"/>
  <c r="K503" i="4"/>
  <c r="J500" i="4"/>
  <c r="D497" i="4"/>
  <c r="M493" i="4"/>
  <c r="B491" i="4"/>
  <c r="G487" i="4"/>
  <c r="F484" i="4"/>
  <c r="E481" i="4"/>
  <c r="K477" i="4"/>
  <c r="H474" i="4"/>
  <c r="J471" i="4"/>
  <c r="H468" i="4"/>
  <c r="J465" i="4"/>
  <c r="M462" i="4"/>
  <c r="K459" i="4"/>
  <c r="L456" i="4"/>
  <c r="D454" i="4"/>
  <c r="B451" i="4"/>
  <c r="G445" i="4"/>
  <c r="E442" i="4"/>
  <c r="F439" i="4"/>
  <c r="I436" i="4"/>
  <c r="G433" i="4"/>
  <c r="I430" i="4"/>
  <c r="L427" i="4"/>
  <c r="J424" i="4"/>
  <c r="K421" i="4"/>
  <c r="M415" i="4"/>
  <c r="D413" i="4"/>
  <c r="I410" i="4"/>
  <c r="I407" i="4"/>
  <c r="L404" i="4"/>
  <c r="E402" i="4"/>
  <c r="E399" i="4"/>
  <c r="H396" i="4"/>
  <c r="M393" i="4"/>
  <c r="M390" i="4"/>
  <c r="D388" i="4"/>
  <c r="I385" i="4"/>
  <c r="I382" i="4"/>
  <c r="L379" i="4"/>
  <c r="E377" i="4"/>
  <c r="E374" i="4"/>
  <c r="H371" i="4"/>
  <c r="M368" i="4"/>
  <c r="M365" i="4"/>
  <c r="D363" i="4"/>
  <c r="I360" i="4"/>
  <c r="I357" i="4"/>
  <c r="L354" i="4"/>
  <c r="E352" i="4"/>
  <c r="E349" i="4"/>
  <c r="H346" i="4"/>
  <c r="M343" i="4"/>
  <c r="M340" i="4"/>
  <c r="D338" i="4"/>
  <c r="I335" i="4"/>
  <c r="I332" i="4"/>
  <c r="L329" i="4"/>
  <c r="E327" i="4"/>
  <c r="E324" i="4"/>
  <c r="H321" i="4"/>
  <c r="M318" i="4"/>
  <c r="M315" i="4"/>
  <c r="D313" i="4"/>
  <c r="I310" i="4"/>
  <c r="I307" i="4"/>
  <c r="L304" i="4"/>
  <c r="E302" i="4"/>
  <c r="E299" i="4"/>
  <c r="H296" i="4"/>
  <c r="M293" i="4"/>
  <c r="M290" i="4"/>
  <c r="D288" i="4"/>
  <c r="I285" i="4"/>
  <c r="I282" i="4"/>
  <c r="L279" i="4"/>
  <c r="E277" i="4"/>
  <c r="E274" i="4"/>
  <c r="H271" i="4"/>
  <c r="M268" i="4"/>
  <c r="M265" i="4"/>
  <c r="D263" i="4"/>
  <c r="I260" i="4"/>
  <c r="I257" i="4"/>
  <c r="L254" i="4"/>
  <c r="E252" i="4"/>
  <c r="E249" i="4"/>
  <c r="H246" i="4"/>
  <c r="M243" i="4"/>
  <c r="M240" i="4"/>
  <c r="D238" i="4"/>
  <c r="I235" i="4"/>
  <c r="I232" i="4"/>
  <c r="L229" i="4"/>
  <c r="E227" i="4"/>
  <c r="E224" i="4"/>
  <c r="H221" i="4"/>
  <c r="M218" i="4"/>
  <c r="M215" i="4"/>
  <c r="D213" i="4"/>
  <c r="I210" i="4"/>
  <c r="H207" i="4"/>
  <c r="K204" i="4"/>
  <c r="D202" i="4"/>
  <c r="D199" i="4"/>
  <c r="G196" i="4"/>
  <c r="L193" i="4"/>
  <c r="L190" i="4"/>
  <c r="H185" i="4"/>
  <c r="H182" i="4"/>
  <c r="K179" i="4"/>
  <c r="D177" i="4"/>
  <c r="D174" i="4"/>
  <c r="G171" i="4"/>
  <c r="L168" i="4"/>
  <c r="L165" i="4"/>
  <c r="H160" i="4"/>
  <c r="H157" i="4"/>
  <c r="K154" i="4"/>
  <c r="D152" i="4"/>
  <c r="D149" i="4"/>
  <c r="G146" i="4"/>
  <c r="L143" i="4"/>
  <c r="L140" i="4"/>
  <c r="H135" i="4"/>
  <c r="H132" i="4"/>
  <c r="K129" i="4"/>
  <c r="D127" i="4"/>
  <c r="D124" i="4"/>
  <c r="G121" i="4"/>
  <c r="L118" i="4"/>
  <c r="L115" i="4"/>
  <c r="H110" i="4"/>
  <c r="H107" i="4"/>
  <c r="K104" i="4"/>
  <c r="D102" i="4"/>
  <c r="D99" i="4"/>
  <c r="G96" i="4"/>
  <c r="L93" i="4"/>
  <c r="L90" i="4"/>
  <c r="H85" i="4"/>
  <c r="H82" i="4"/>
  <c r="K79" i="4"/>
  <c r="D77" i="4"/>
  <c r="D74" i="4"/>
  <c r="G71" i="4"/>
  <c r="L68" i="4"/>
  <c r="L65" i="4"/>
  <c r="H60" i="4"/>
  <c r="H57" i="4"/>
  <c r="K54" i="4"/>
  <c r="D52" i="4"/>
  <c r="D49" i="4"/>
  <c r="G46" i="4"/>
  <c r="L43" i="4"/>
  <c r="L40" i="4"/>
  <c r="H35" i="4"/>
  <c r="H32" i="4"/>
  <c r="K29" i="4"/>
  <c r="D27" i="4"/>
  <c r="D24" i="4"/>
  <c r="K49" i="3"/>
  <c r="D47" i="3"/>
  <c r="D44" i="3"/>
  <c r="G41" i="3"/>
  <c r="L38" i="3"/>
  <c r="L35" i="3"/>
  <c r="H30" i="3"/>
  <c r="H27" i="3"/>
  <c r="K24" i="3"/>
  <c r="D22" i="3"/>
  <c r="E1068" i="7"/>
  <c r="I848" i="7"/>
  <c r="B746" i="7"/>
  <c r="C680" i="7"/>
  <c r="B623" i="7"/>
  <c r="G570" i="7"/>
  <c r="H527" i="7"/>
  <c r="M488" i="7"/>
  <c r="E450" i="7"/>
  <c r="N423" i="7"/>
  <c r="E398" i="7"/>
  <c r="N368" i="7"/>
  <c r="G344" i="7"/>
  <c r="N321" i="7"/>
  <c r="N296" i="7"/>
  <c r="K278" i="7"/>
  <c r="H263" i="7"/>
  <c r="K244" i="7"/>
  <c r="B230" i="7"/>
  <c r="F216" i="7"/>
  <c r="N200" i="7"/>
  <c r="N186" i="7"/>
  <c r="F174" i="7"/>
  <c r="J159" i="7"/>
  <c r="K147" i="7"/>
  <c r="K136" i="7"/>
  <c r="J124" i="7"/>
  <c r="C114" i="7"/>
  <c r="G104" i="7"/>
  <c r="E85" i="7"/>
  <c r="B76" i="7"/>
  <c r="G66" i="7"/>
  <c r="L56" i="7"/>
  <c r="J48" i="7"/>
  <c r="J39" i="7"/>
  <c r="I31" i="7"/>
  <c r="F23" i="7"/>
  <c r="G187" i="5"/>
  <c r="L178" i="5"/>
  <c r="D170" i="5"/>
  <c r="E160" i="5"/>
  <c r="B151" i="5"/>
  <c r="H142" i="5"/>
  <c r="D132" i="5"/>
  <c r="G124" i="5"/>
  <c r="J116" i="5"/>
  <c r="F108" i="5"/>
  <c r="L100" i="5"/>
  <c r="J93" i="5"/>
  <c r="F85" i="5"/>
  <c r="J77" i="5"/>
  <c r="E70" i="5"/>
  <c r="M61" i="5"/>
  <c r="B55" i="5"/>
  <c r="J47" i="5"/>
  <c r="I40" i="5"/>
  <c r="F34" i="5"/>
  <c r="K28" i="5"/>
  <c r="F22" i="5"/>
  <c r="J627" i="4"/>
  <c r="B622" i="4"/>
  <c r="D611" i="4"/>
  <c r="M605" i="4"/>
  <c r="H600" i="4"/>
  <c r="L594" i="4"/>
  <c r="G590" i="4"/>
  <c r="L584" i="4"/>
  <c r="I580" i="4"/>
  <c r="M575" i="4"/>
  <c r="B571" i="4"/>
  <c r="K566" i="4"/>
  <c r="E562" i="4"/>
  <c r="B558" i="4"/>
  <c r="L553" i="4"/>
  <c r="D550" i="4"/>
  <c r="F542" i="4"/>
  <c r="L538" i="4"/>
  <c r="B535" i="4"/>
  <c r="H531" i="4"/>
  <c r="B528" i="4"/>
  <c r="L523" i="4"/>
  <c r="F520" i="4"/>
  <c r="B517" i="4"/>
  <c r="F513" i="4"/>
  <c r="B510" i="4"/>
  <c r="M506" i="4"/>
  <c r="G503" i="4"/>
  <c r="E500" i="4"/>
  <c r="I493" i="4"/>
  <c r="G490" i="4"/>
  <c r="E487" i="4"/>
  <c r="K483" i="4"/>
  <c r="K480" i="4"/>
  <c r="J477" i="4"/>
  <c r="D474" i="4"/>
  <c r="E471" i="4"/>
  <c r="G468" i="4"/>
  <c r="F465" i="4"/>
  <c r="H462" i="4"/>
  <c r="J459" i="4"/>
  <c r="H456" i="4"/>
  <c r="K453" i="4"/>
  <c r="M450" i="4"/>
  <c r="K447" i="4"/>
  <c r="M444" i="4"/>
  <c r="D442" i="4"/>
  <c r="B439" i="4"/>
  <c r="D436" i="4"/>
  <c r="F433" i="4"/>
  <c r="D430" i="4"/>
  <c r="G427" i="4"/>
  <c r="I424" i="4"/>
  <c r="G421" i="4"/>
  <c r="J418" i="4"/>
  <c r="L415" i="4"/>
  <c r="L412" i="4"/>
  <c r="D410" i="4"/>
  <c r="H407" i="4"/>
  <c r="H404" i="4"/>
  <c r="L401" i="4"/>
  <c r="D399" i="4"/>
  <c r="D396" i="4"/>
  <c r="H393" i="4"/>
  <c r="L390" i="4"/>
  <c r="L387" i="4"/>
  <c r="D385" i="4"/>
  <c r="H382" i="4"/>
  <c r="H379" i="4"/>
  <c r="L376" i="4"/>
  <c r="D374" i="4"/>
  <c r="D371" i="4"/>
  <c r="H368" i="4"/>
  <c r="L365" i="4"/>
  <c r="L362" i="4"/>
  <c r="D360" i="4"/>
  <c r="H357" i="4"/>
  <c r="H354" i="4"/>
  <c r="L351" i="4"/>
  <c r="D349" i="4"/>
  <c r="D346" i="4"/>
  <c r="H343" i="4"/>
  <c r="L340" i="4"/>
  <c r="L337" i="4"/>
  <c r="D335" i="4"/>
  <c r="H332" i="4"/>
  <c r="H329" i="4"/>
  <c r="L326" i="4"/>
  <c r="D324" i="4"/>
  <c r="D321" i="4"/>
  <c r="H318" i="4"/>
  <c r="L315" i="4"/>
  <c r="L312" i="4"/>
  <c r="D310" i="4"/>
  <c r="H307" i="4"/>
  <c r="H304" i="4"/>
  <c r="L301" i="4"/>
  <c r="D299" i="4"/>
  <c r="D296" i="4"/>
  <c r="H293" i="4"/>
  <c r="L290" i="4"/>
  <c r="L287" i="4"/>
  <c r="D285" i="4"/>
  <c r="H282" i="4"/>
  <c r="H279" i="4"/>
  <c r="L276" i="4"/>
  <c r="D274" i="4"/>
  <c r="D271" i="4"/>
  <c r="H268" i="4"/>
  <c r="L265" i="4"/>
  <c r="L262" i="4"/>
  <c r="D260" i="4"/>
  <c r="H257" i="4"/>
  <c r="H254" i="4"/>
  <c r="L251" i="4"/>
  <c r="D249" i="4"/>
  <c r="D246" i="4"/>
  <c r="H243" i="4"/>
  <c r="L240" i="4"/>
  <c r="L237" i="4"/>
  <c r="D235" i="4"/>
  <c r="H232" i="4"/>
  <c r="H229" i="4"/>
  <c r="L226" i="4"/>
  <c r="D224" i="4"/>
  <c r="D221" i="4"/>
  <c r="H218" i="4"/>
  <c r="L215" i="4"/>
  <c r="L212" i="4"/>
  <c r="D210" i="4"/>
  <c r="G207" i="4"/>
  <c r="G204" i="4"/>
  <c r="K201" i="4"/>
  <c r="G193" i="4"/>
  <c r="K190" i="4"/>
  <c r="K187" i="4"/>
  <c r="G182" i="4"/>
  <c r="G179" i="4"/>
  <c r="K176" i="4"/>
  <c r="G168" i="4"/>
  <c r="K165" i="4"/>
  <c r="K162" i="4"/>
  <c r="G157" i="4"/>
  <c r="G154" i="4"/>
  <c r="K151" i="4"/>
  <c r="G143" i="4"/>
  <c r="K140" i="4"/>
  <c r="K137" i="4"/>
  <c r="G132" i="4"/>
  <c r="G129" i="4"/>
  <c r="K126" i="4"/>
  <c r="G118" i="4"/>
  <c r="K115" i="4"/>
  <c r="K112" i="4"/>
  <c r="G107" i="4"/>
  <c r="G104" i="4"/>
  <c r="K101" i="4"/>
  <c r="G93" i="4"/>
  <c r="K90" i="4"/>
  <c r="K87" i="4"/>
  <c r="G82" i="4"/>
  <c r="G79" i="4"/>
  <c r="K76" i="4"/>
  <c r="G68" i="4"/>
  <c r="K65" i="4"/>
  <c r="H995" i="7"/>
  <c r="J820" i="7"/>
  <c r="E736" i="7"/>
  <c r="N665" i="7"/>
  <c r="B608" i="7"/>
  <c r="I564" i="7"/>
  <c r="G517" i="7"/>
  <c r="I477" i="7"/>
  <c r="H446" i="7"/>
  <c r="I416" i="7"/>
  <c r="K391" i="7"/>
  <c r="H367" i="7"/>
  <c r="F340" i="7"/>
  <c r="I315" i="7"/>
  <c r="C294" i="7"/>
  <c r="M275" i="7"/>
  <c r="M258" i="7"/>
  <c r="M243" i="7"/>
  <c r="K227" i="7"/>
  <c r="K213" i="7"/>
  <c r="M199" i="7"/>
  <c r="H185" i="7"/>
  <c r="H171" i="7"/>
  <c r="F159" i="7"/>
  <c r="J146" i="7"/>
  <c r="I134" i="7"/>
  <c r="E124" i="7"/>
  <c r="F102" i="7"/>
  <c r="N93" i="7"/>
  <c r="I83" i="7"/>
  <c r="L73" i="7"/>
  <c r="L65" i="7"/>
  <c r="C55" i="7"/>
  <c r="M46" i="7"/>
  <c r="K38" i="7"/>
  <c r="H29" i="7"/>
  <c r="B21" i="7"/>
  <c r="J186" i="5"/>
  <c r="G177" i="5"/>
  <c r="L169" i="5"/>
  <c r="L159" i="5"/>
  <c r="E150" i="5"/>
  <c r="D141" i="5"/>
  <c r="I131" i="5"/>
  <c r="E123" i="5"/>
  <c r="K107" i="5"/>
  <c r="B100" i="5"/>
  <c r="G93" i="5"/>
  <c r="B77" i="5"/>
  <c r="G69" i="5"/>
  <c r="I53" i="5"/>
  <c r="F47" i="5"/>
  <c r="E40" i="5"/>
  <c r="J33" i="5"/>
  <c r="H28" i="5"/>
  <c r="B22" i="5"/>
  <c r="F626" i="4"/>
  <c r="H621" i="4"/>
  <c r="J615" i="4"/>
  <c r="K610" i="4"/>
  <c r="G605" i="4"/>
  <c r="I599" i="4"/>
  <c r="H594" i="4"/>
  <c r="I589" i="4"/>
  <c r="I584" i="4"/>
  <c r="K579" i="4"/>
  <c r="G575" i="4"/>
  <c r="J570" i="4"/>
  <c r="M565" i="4"/>
  <c r="M561" i="4"/>
  <c r="F557" i="4"/>
  <c r="G553" i="4"/>
  <c r="L549" i="4"/>
  <c r="K545" i="4"/>
  <c r="B542" i="4"/>
  <c r="I538" i="4"/>
  <c r="H534" i="4"/>
  <c r="M530" i="4"/>
  <c r="G527" i="4"/>
  <c r="H523" i="4"/>
  <c r="M519" i="4"/>
  <c r="J516" i="4"/>
  <c r="B513" i="4"/>
  <c r="I509" i="4"/>
  <c r="H506" i="4"/>
  <c r="B503" i="4"/>
  <c r="M499" i="4"/>
  <c r="L496" i="4"/>
  <c r="F493" i="4"/>
  <c r="B487" i="4"/>
  <c r="H483" i="4"/>
  <c r="E480" i="4"/>
  <c r="F477" i="4"/>
  <c r="M473" i="4"/>
  <c r="M470" i="4"/>
  <c r="D468" i="4"/>
  <c r="B465" i="4"/>
  <c r="D462" i="4"/>
  <c r="G459" i="4"/>
  <c r="E456" i="4"/>
  <c r="F453" i="4"/>
  <c r="J450" i="4"/>
  <c r="H447" i="4"/>
  <c r="I444" i="4"/>
  <c r="L441" i="4"/>
  <c r="K438" i="4"/>
  <c r="L435" i="4"/>
  <c r="M429" i="4"/>
  <c r="F424" i="4"/>
  <c r="D421" i="4"/>
  <c r="E418" i="4"/>
  <c r="I415" i="4"/>
  <c r="I412" i="4"/>
  <c r="L409" i="4"/>
  <c r="E407" i="4"/>
  <c r="E404" i="4"/>
  <c r="H401" i="4"/>
  <c r="M398" i="4"/>
  <c r="M395" i="4"/>
  <c r="D393" i="4"/>
  <c r="I390" i="4"/>
  <c r="I387" i="4"/>
  <c r="L384" i="4"/>
  <c r="E382" i="4"/>
  <c r="E379" i="4"/>
  <c r="H376" i="4"/>
  <c r="M373" i="4"/>
  <c r="M370" i="4"/>
  <c r="D368" i="4"/>
  <c r="I365" i="4"/>
  <c r="I362" i="4"/>
  <c r="L359" i="4"/>
  <c r="E357" i="4"/>
  <c r="E354" i="4"/>
  <c r="H351" i="4"/>
  <c r="M348" i="4"/>
  <c r="M345" i="4"/>
  <c r="D343" i="4"/>
  <c r="I340" i="4"/>
  <c r="I337" i="4"/>
  <c r="L334" i="4"/>
  <c r="E332" i="4"/>
  <c r="E329" i="4"/>
  <c r="H326" i="4"/>
  <c r="M323" i="4"/>
  <c r="M320" i="4"/>
  <c r="D318" i="4"/>
  <c r="I315" i="4"/>
  <c r="I312" i="4"/>
  <c r="L309" i="4"/>
  <c r="E307" i="4"/>
  <c r="E304" i="4"/>
  <c r="H301" i="4"/>
  <c r="M298" i="4"/>
  <c r="M295" i="4"/>
  <c r="D293" i="4"/>
  <c r="I290" i="4"/>
  <c r="I287" i="4"/>
  <c r="L284" i="4"/>
  <c r="E282" i="4"/>
  <c r="E279" i="4"/>
  <c r="H276" i="4"/>
  <c r="M273" i="4"/>
  <c r="M270" i="4"/>
  <c r="D268" i="4"/>
  <c r="I265" i="4"/>
  <c r="I262" i="4"/>
  <c r="L259" i="4"/>
  <c r="E257" i="4"/>
  <c r="E254" i="4"/>
  <c r="H251" i="4"/>
  <c r="M248" i="4"/>
  <c r="M245" i="4"/>
  <c r="D243" i="4"/>
  <c r="I240" i="4"/>
  <c r="I237" i="4"/>
  <c r="L234" i="4"/>
  <c r="E232" i="4"/>
  <c r="E229" i="4"/>
  <c r="H226" i="4"/>
  <c r="M223" i="4"/>
  <c r="M220" i="4"/>
  <c r="D218" i="4"/>
  <c r="I215" i="4"/>
  <c r="I212" i="4"/>
  <c r="L209" i="4"/>
  <c r="D207" i="4"/>
  <c r="D204" i="4"/>
  <c r="G201" i="4"/>
  <c r="L198" i="4"/>
  <c r="L195" i="4"/>
  <c r="H190" i="4"/>
  <c r="H187" i="4"/>
  <c r="K184" i="4"/>
  <c r="D182" i="4"/>
  <c r="D179" i="4"/>
  <c r="G176" i="4"/>
  <c r="L173" i="4"/>
  <c r="L170" i="4"/>
  <c r="H165" i="4"/>
  <c r="H162" i="4"/>
  <c r="K159" i="4"/>
  <c r="D157" i="4"/>
  <c r="D154" i="4"/>
  <c r="G151" i="4"/>
  <c r="L148" i="4"/>
  <c r="L145" i="4"/>
  <c r="H140" i="4"/>
  <c r="H137" i="4"/>
  <c r="K134" i="4"/>
  <c r="D132" i="4"/>
  <c r="D129" i="4"/>
  <c r="G126" i="4"/>
  <c r="L123" i="4"/>
  <c r="L120" i="4"/>
  <c r="H115" i="4"/>
  <c r="H112" i="4"/>
  <c r="K109" i="4"/>
  <c r="D107" i="4"/>
  <c r="D104" i="4"/>
  <c r="G101" i="4"/>
  <c r="L98" i="4"/>
  <c r="L95" i="4"/>
  <c r="H90" i="4"/>
  <c r="H87" i="4"/>
  <c r="K84" i="4"/>
  <c r="D82" i="4"/>
  <c r="D79" i="4"/>
  <c r="G76" i="4"/>
  <c r="L73" i="4"/>
  <c r="L70" i="4"/>
  <c r="L968" i="7"/>
  <c r="C808" i="7"/>
  <c r="G724" i="7"/>
  <c r="F662" i="7"/>
  <c r="C603" i="7"/>
  <c r="J557" i="7"/>
  <c r="B475" i="7"/>
  <c r="G442" i="7"/>
  <c r="L415" i="7"/>
  <c r="B389" i="7"/>
  <c r="B364" i="7"/>
  <c r="I339" i="7"/>
  <c r="M311" i="7"/>
  <c r="J292" i="7"/>
  <c r="B275" i="7"/>
  <c r="E256" i="7"/>
  <c r="N240" i="7"/>
  <c r="H227" i="7"/>
  <c r="F211" i="7"/>
  <c r="H197" i="7"/>
  <c r="N183" i="7"/>
  <c r="I168" i="7"/>
  <c r="B157" i="7"/>
  <c r="E145" i="7"/>
  <c r="C132" i="7"/>
  <c r="J121" i="7"/>
  <c r="L111" i="7"/>
  <c r="L100" i="7"/>
  <c r="I91" i="7"/>
  <c r="F82" i="7"/>
  <c r="I72" i="7"/>
  <c r="F63" i="7"/>
  <c r="K54" i="7"/>
  <c r="I45" i="7"/>
  <c r="E37" i="7"/>
  <c r="M28" i="7"/>
  <c r="H186" i="5"/>
  <c r="I176" i="5"/>
  <c r="G167" i="5"/>
  <c r="L158" i="5"/>
  <c r="H148" i="5"/>
  <c r="E140" i="5"/>
  <c r="B131" i="5"/>
  <c r="M121" i="5"/>
  <c r="L114" i="5"/>
  <c r="H107" i="5"/>
  <c r="D99" i="5"/>
  <c r="I91" i="5"/>
  <c r="K75" i="5"/>
  <c r="I68" i="5"/>
  <c r="L60" i="5"/>
  <c r="H52" i="5"/>
  <c r="B46" i="5"/>
  <c r="E33" i="5"/>
  <c r="M26" i="5"/>
  <c r="M625" i="4"/>
  <c r="H620" i="4"/>
  <c r="H615" i="4"/>
  <c r="H609" i="4"/>
  <c r="J604" i="4"/>
  <c r="E599" i="4"/>
  <c r="I593" i="4"/>
  <c r="L588" i="4"/>
  <c r="G584" i="4"/>
  <c r="K574" i="4"/>
  <c r="D570" i="4"/>
  <c r="F565" i="4"/>
  <c r="G561" i="4"/>
  <c r="D557" i="4"/>
  <c r="B553" i="4"/>
  <c r="F549" i="4"/>
  <c r="I545" i="4"/>
  <c r="E541" i="4"/>
  <c r="K537" i="4"/>
  <c r="E534" i="4"/>
  <c r="F530" i="4"/>
  <c r="L526" i="4"/>
  <c r="F523" i="4"/>
  <c r="H519" i="4"/>
  <c r="D516" i="4"/>
  <c r="L512" i="4"/>
  <c r="B506" i="4"/>
  <c r="L502" i="4"/>
  <c r="F499" i="4"/>
  <c r="E496" i="4"/>
  <c r="D493" i="4"/>
  <c r="J489" i="4"/>
  <c r="H486" i="4"/>
  <c r="F483" i="4"/>
  <c r="L479" i="4"/>
  <c r="J476" i="4"/>
  <c r="K473" i="4"/>
  <c r="H470" i="4"/>
  <c r="J467" i="4"/>
  <c r="L464" i="4"/>
  <c r="J461" i="4"/>
  <c r="M458" i="4"/>
  <c r="M452" i="4"/>
  <c r="F447" i="4"/>
  <c r="D444" i="4"/>
  <c r="F441" i="4"/>
  <c r="H438" i="4"/>
  <c r="G435" i="4"/>
  <c r="I432" i="4"/>
  <c r="K429" i="4"/>
  <c r="I426" i="4"/>
  <c r="L423" i="4"/>
  <c r="B421" i="4"/>
  <c r="L417" i="4"/>
  <c r="G412" i="4"/>
  <c r="G409" i="4"/>
  <c r="K406" i="4"/>
  <c r="G398" i="4"/>
  <c r="K395" i="4"/>
  <c r="K392" i="4"/>
  <c r="G387" i="4"/>
  <c r="G384" i="4"/>
  <c r="K381" i="4"/>
  <c r="G373" i="4"/>
  <c r="K370" i="4"/>
  <c r="K367" i="4"/>
  <c r="G362" i="4"/>
  <c r="G359" i="4"/>
  <c r="K356" i="4"/>
  <c r="G348" i="4"/>
  <c r="K345" i="4"/>
  <c r="K342" i="4"/>
  <c r="G337" i="4"/>
  <c r="G334" i="4"/>
  <c r="K331" i="4"/>
  <c r="G323" i="4"/>
  <c r="K320" i="4"/>
  <c r="K317" i="4"/>
  <c r="G312" i="4"/>
  <c r="G309" i="4"/>
  <c r="K306" i="4"/>
  <c r="G298" i="4"/>
  <c r="K295" i="4"/>
  <c r="K292" i="4"/>
  <c r="G287" i="4"/>
  <c r="G284" i="4"/>
  <c r="K281" i="4"/>
  <c r="G273" i="4"/>
  <c r="K270" i="4"/>
  <c r="K267" i="4"/>
  <c r="G262" i="4"/>
  <c r="G259" i="4"/>
  <c r="K256" i="4"/>
  <c r="G248" i="4"/>
  <c r="K245" i="4"/>
  <c r="K242" i="4"/>
  <c r="G237" i="4"/>
  <c r="G234" i="4"/>
  <c r="K231" i="4"/>
  <c r="G223" i="4"/>
  <c r="K220" i="4"/>
  <c r="K217" i="4"/>
  <c r="G212" i="4"/>
  <c r="F209" i="4"/>
  <c r="J206" i="4"/>
  <c r="B204" i="4"/>
  <c r="B201" i="4"/>
  <c r="F198" i="4"/>
  <c r="J195" i="4"/>
  <c r="J192" i="4"/>
  <c r="B190" i="4"/>
  <c r="F187" i="4"/>
  <c r="F184" i="4"/>
  <c r="J181" i="4"/>
  <c r="B179" i="4"/>
  <c r="B176" i="4"/>
  <c r="F173" i="4"/>
  <c r="J170" i="4"/>
  <c r="J167" i="4"/>
  <c r="B165" i="4"/>
  <c r="F162" i="4"/>
  <c r="F159" i="4"/>
  <c r="J156" i="4"/>
  <c r="B154" i="4"/>
  <c r="B151" i="4"/>
  <c r="F148" i="4"/>
  <c r="J145" i="4"/>
  <c r="J142" i="4"/>
  <c r="B140" i="4"/>
  <c r="F137" i="4"/>
  <c r="F134" i="4"/>
  <c r="J131" i="4"/>
  <c r="B129" i="4"/>
  <c r="B126" i="4"/>
  <c r="F123" i="4"/>
  <c r="J120" i="4"/>
  <c r="J117" i="4"/>
  <c r="B115" i="4"/>
  <c r="F112" i="4"/>
  <c r="F109" i="4"/>
  <c r="J106" i="4"/>
  <c r="B104" i="4"/>
  <c r="B101" i="4"/>
  <c r="F98" i="4"/>
  <c r="J95" i="4"/>
  <c r="J92" i="4"/>
  <c r="B90" i="4"/>
  <c r="F87" i="4"/>
  <c r="F84" i="4"/>
  <c r="J81" i="4"/>
  <c r="B79" i="4"/>
  <c r="B76" i="4"/>
  <c r="F73" i="4"/>
  <c r="J70" i="4"/>
  <c r="J67" i="4"/>
  <c r="B65" i="4"/>
  <c r="F62" i="4"/>
  <c r="F59" i="4"/>
  <c r="J56" i="4"/>
  <c r="B54" i="4"/>
  <c r="B51" i="4"/>
  <c r="F48" i="4"/>
  <c r="I966" i="7"/>
  <c r="K803" i="7"/>
  <c r="K661" i="7"/>
  <c r="M600" i="7"/>
  <c r="H557" i="7"/>
  <c r="H474" i="7"/>
  <c r="M441" i="7"/>
  <c r="C415" i="7"/>
  <c r="B387" i="7"/>
  <c r="N363" i="7"/>
  <c r="M338" i="7"/>
  <c r="L290" i="7"/>
  <c r="N274" i="7"/>
  <c r="L255" i="7"/>
  <c r="I240" i="7"/>
  <c r="H225" i="7"/>
  <c r="C210" i="7"/>
  <c r="B197" i="7"/>
  <c r="M183" i="7"/>
  <c r="G168" i="7"/>
  <c r="H144" i="7"/>
  <c r="I131" i="7"/>
  <c r="H121" i="7"/>
  <c r="E111" i="7"/>
  <c r="K100" i="7"/>
  <c r="G91" i="7"/>
  <c r="H72" i="7"/>
  <c r="E63" i="7"/>
  <c r="F54" i="7"/>
  <c r="H45" i="7"/>
  <c r="L28" i="7"/>
  <c r="G186" i="5"/>
  <c r="H176" i="5"/>
  <c r="D167" i="5"/>
  <c r="F158" i="5"/>
  <c r="F148" i="5"/>
  <c r="M139" i="5"/>
  <c r="L130" i="5"/>
  <c r="L121" i="5"/>
  <c r="K113" i="5"/>
  <c r="G107" i="5"/>
  <c r="J83" i="5"/>
  <c r="F75" i="5"/>
  <c r="G68" i="5"/>
  <c r="K60" i="5"/>
  <c r="G52" i="5"/>
  <c r="G45" i="5"/>
  <c r="B40" i="5"/>
  <c r="D33" i="5"/>
  <c r="K26" i="5"/>
  <c r="K625" i="4"/>
  <c r="D620" i="4"/>
  <c r="G615" i="4"/>
  <c r="G609" i="4"/>
  <c r="H604" i="4"/>
  <c r="H593" i="4"/>
  <c r="J588" i="4"/>
  <c r="F584" i="4"/>
  <c r="B579" i="4"/>
  <c r="I574" i="4"/>
  <c r="M569" i="4"/>
  <c r="E565" i="4"/>
  <c r="M560" i="4"/>
  <c r="B557" i="4"/>
  <c r="M552" i="4"/>
  <c r="H545" i="4"/>
  <c r="D541" i="4"/>
  <c r="I537" i="4"/>
  <c r="E530" i="4"/>
  <c r="J526" i="4"/>
  <c r="E523" i="4"/>
  <c r="G519" i="4"/>
  <c r="B516" i="4"/>
  <c r="K512" i="4"/>
  <c r="B509" i="4"/>
  <c r="K505" i="4"/>
  <c r="K502" i="4"/>
  <c r="E499" i="4"/>
  <c r="B496" i="4"/>
  <c r="I489" i="4"/>
  <c r="F486" i="4"/>
  <c r="E483" i="4"/>
  <c r="K479" i="4"/>
  <c r="H476" i="4"/>
  <c r="J473" i="4"/>
  <c r="G470" i="4"/>
  <c r="H467" i="4"/>
  <c r="K464" i="4"/>
  <c r="I461" i="4"/>
  <c r="K458" i="4"/>
  <c r="B456" i="4"/>
  <c r="L452" i="4"/>
  <c r="M449" i="4"/>
  <c r="E447" i="4"/>
  <c r="D441" i="4"/>
  <c r="G438" i="4"/>
  <c r="F435" i="4"/>
  <c r="G432" i="4"/>
  <c r="J429" i="4"/>
  <c r="H426" i="4"/>
  <c r="J423" i="4"/>
  <c r="M420" i="4"/>
  <c r="K417" i="4"/>
  <c r="M414" i="4"/>
  <c r="F412" i="4"/>
  <c r="F409" i="4"/>
  <c r="I406" i="4"/>
  <c r="B404" i="4"/>
  <c r="B401" i="4"/>
  <c r="E398" i="4"/>
  <c r="J395" i="4"/>
  <c r="J392" i="4"/>
  <c r="M389" i="4"/>
  <c r="F387" i="4"/>
  <c r="F384" i="4"/>
  <c r="I381" i="4"/>
  <c r="B379" i="4"/>
  <c r="B376" i="4"/>
  <c r="E373" i="4"/>
  <c r="J370" i="4"/>
  <c r="J367" i="4"/>
  <c r="M364" i="4"/>
  <c r="F362" i="4"/>
  <c r="F359" i="4"/>
  <c r="I356" i="4"/>
  <c r="B354" i="4"/>
  <c r="B351" i="4"/>
  <c r="E348" i="4"/>
  <c r="J345" i="4"/>
  <c r="J342" i="4"/>
  <c r="M339" i="4"/>
  <c r="F337" i="4"/>
  <c r="F334" i="4"/>
  <c r="I331" i="4"/>
  <c r="B329" i="4"/>
  <c r="B326" i="4"/>
  <c r="E323" i="4"/>
  <c r="J320" i="4"/>
  <c r="J317" i="4"/>
  <c r="M314" i="4"/>
  <c r="F312" i="4"/>
  <c r="F309" i="4"/>
  <c r="I306" i="4"/>
  <c r="B304" i="4"/>
  <c r="B301" i="4"/>
  <c r="E298" i="4"/>
  <c r="J295" i="4"/>
  <c r="J292" i="4"/>
  <c r="M289" i="4"/>
  <c r="F287" i="4"/>
  <c r="F284" i="4"/>
  <c r="I281" i="4"/>
  <c r="B279" i="4"/>
  <c r="B276" i="4"/>
  <c r="E273" i="4"/>
  <c r="J270" i="4"/>
  <c r="J267" i="4"/>
  <c r="M264" i="4"/>
  <c r="F262" i="4"/>
  <c r="F259" i="4"/>
  <c r="I256" i="4"/>
  <c r="B254" i="4"/>
  <c r="B251" i="4"/>
  <c r="E248" i="4"/>
  <c r="J245" i="4"/>
  <c r="J242" i="4"/>
  <c r="M239" i="4"/>
  <c r="F237" i="4"/>
  <c r="F234" i="4"/>
  <c r="I231" i="4"/>
  <c r="B229" i="4"/>
  <c r="B226" i="4"/>
  <c r="E223" i="4"/>
  <c r="J220" i="4"/>
  <c r="J217" i="4"/>
  <c r="M214" i="4"/>
  <c r="F212" i="4"/>
  <c r="E209" i="4"/>
  <c r="H206" i="4"/>
  <c r="M203" i="4"/>
  <c r="M200" i="4"/>
  <c r="D198" i="4"/>
  <c r="I195" i="4"/>
  <c r="I192" i="4"/>
  <c r="L189" i="4"/>
  <c r="E187" i="4"/>
  <c r="E184" i="4"/>
  <c r="H181" i="4"/>
  <c r="M178" i="4"/>
  <c r="M175" i="4"/>
  <c r="D173" i="4"/>
  <c r="I170" i="4"/>
  <c r="I167" i="4"/>
  <c r="L164" i="4"/>
  <c r="E162" i="4"/>
  <c r="E159" i="4"/>
  <c r="H156" i="4"/>
  <c r="M153" i="4"/>
  <c r="M150" i="4"/>
  <c r="D148" i="4"/>
  <c r="I145" i="4"/>
  <c r="I142" i="4"/>
  <c r="L139" i="4"/>
  <c r="E137" i="4"/>
  <c r="E134" i="4"/>
  <c r="H131" i="4"/>
  <c r="M128" i="4"/>
  <c r="M125" i="4"/>
  <c r="D123" i="4"/>
  <c r="I120" i="4"/>
  <c r="I117" i="4"/>
  <c r="L114" i="4"/>
  <c r="E112" i="4"/>
  <c r="E109" i="4"/>
  <c r="H106" i="4"/>
  <c r="M103" i="4"/>
  <c r="M100" i="4"/>
  <c r="D98" i="4"/>
  <c r="I95" i="4"/>
  <c r="I92" i="4"/>
  <c r="L89" i="4"/>
  <c r="E87" i="4"/>
  <c r="E84" i="4"/>
  <c r="H81" i="4"/>
  <c r="M78" i="4"/>
  <c r="M75" i="4"/>
  <c r="D73" i="4"/>
  <c r="I70" i="4"/>
  <c r="I67" i="4"/>
  <c r="L64" i="4"/>
  <c r="E62" i="4"/>
  <c r="E59" i="4"/>
  <c r="H56" i="4"/>
  <c r="M53" i="4"/>
  <c r="M50" i="4"/>
  <c r="D48" i="4"/>
  <c r="I45" i="4"/>
  <c r="I42" i="4"/>
  <c r="M786" i="7"/>
  <c r="N660" i="7"/>
  <c r="L580" i="7"/>
  <c r="J503" i="7"/>
  <c r="E439" i="7"/>
  <c r="B401" i="7"/>
  <c r="F356" i="7"/>
  <c r="B310" i="7"/>
  <c r="K283" i="7"/>
  <c r="E253" i="7"/>
  <c r="G225" i="7"/>
  <c r="K204" i="7"/>
  <c r="G155" i="7"/>
  <c r="B139" i="7"/>
  <c r="L118" i="7"/>
  <c r="J100" i="7"/>
  <c r="N87" i="7"/>
  <c r="M70" i="7"/>
  <c r="I41" i="7"/>
  <c r="E26" i="7"/>
  <c r="D187" i="5"/>
  <c r="H173" i="5"/>
  <c r="B157" i="5"/>
  <c r="K141" i="5"/>
  <c r="G127" i="5"/>
  <c r="E113" i="5"/>
  <c r="I88" i="5"/>
  <c r="M74" i="5"/>
  <c r="J61" i="5"/>
  <c r="E38" i="5"/>
  <c r="I28" i="5"/>
  <c r="E629" i="4"/>
  <c r="H619" i="4"/>
  <c r="L602" i="4"/>
  <c r="B593" i="4"/>
  <c r="K584" i="4"/>
  <c r="I577" i="4"/>
  <c r="E569" i="4"/>
  <c r="E555" i="4"/>
  <c r="E548" i="4"/>
  <c r="E542" i="4"/>
  <c r="K536" i="4"/>
  <c r="J523" i="4"/>
  <c r="E518" i="4"/>
  <c r="D512" i="4"/>
  <c r="K506" i="4"/>
  <c r="F501" i="4"/>
  <c r="H495" i="4"/>
  <c r="F490" i="4"/>
  <c r="F485" i="4"/>
  <c r="I479" i="4"/>
  <c r="H469" i="4"/>
  <c r="E464" i="4"/>
  <c r="I459" i="4"/>
  <c r="K454" i="4"/>
  <c r="H449" i="4"/>
  <c r="L444" i="4"/>
  <c r="G440" i="4"/>
  <c r="J425" i="4"/>
  <c r="G420" i="4"/>
  <c r="K415" i="4"/>
  <c r="D411" i="4"/>
  <c r="D406" i="4"/>
  <c r="K401" i="4"/>
  <c r="H397" i="4"/>
  <c r="H392" i="4"/>
  <c r="K387" i="4"/>
  <c r="H383" i="4"/>
  <c r="H378" i="4"/>
  <c r="H369" i="4"/>
  <c r="H364" i="4"/>
  <c r="L355" i="4"/>
  <c r="L350" i="4"/>
  <c r="L341" i="4"/>
  <c r="L336" i="4"/>
  <c r="G332" i="4"/>
  <c r="L327" i="4"/>
  <c r="L322" i="4"/>
  <c r="G318" i="4"/>
  <c r="D314" i="4"/>
  <c r="D309" i="4"/>
  <c r="G304" i="4"/>
  <c r="D300" i="4"/>
  <c r="D295" i="4"/>
  <c r="K290" i="4"/>
  <c r="D286" i="4"/>
  <c r="D281" i="4"/>
  <c r="K276" i="4"/>
  <c r="H272" i="4"/>
  <c r="H267" i="4"/>
  <c r="K262" i="4"/>
  <c r="H258" i="4"/>
  <c r="H253" i="4"/>
  <c r="H244" i="4"/>
  <c r="H239" i="4"/>
  <c r="L230" i="4"/>
  <c r="L225" i="4"/>
  <c r="L216" i="4"/>
  <c r="L211" i="4"/>
  <c r="F207" i="4"/>
  <c r="K202" i="4"/>
  <c r="K197" i="4"/>
  <c r="F193" i="4"/>
  <c r="F179" i="4"/>
  <c r="J165" i="4"/>
  <c r="J151" i="4"/>
  <c r="G147" i="4"/>
  <c r="G142" i="4"/>
  <c r="J137" i="4"/>
  <c r="G133" i="4"/>
  <c r="G128" i="4"/>
  <c r="B124" i="4"/>
  <c r="G119" i="4"/>
  <c r="G114" i="4"/>
  <c r="B110" i="4"/>
  <c r="K105" i="4"/>
  <c r="K100" i="4"/>
  <c r="B96" i="4"/>
  <c r="K91" i="4"/>
  <c r="K86" i="4"/>
  <c r="F82" i="4"/>
  <c r="K77" i="4"/>
  <c r="K72" i="4"/>
  <c r="F68" i="4"/>
  <c r="D64" i="4"/>
  <c r="B60" i="4"/>
  <c r="B56" i="4"/>
  <c r="H52" i="4"/>
  <c r="G44" i="4"/>
  <c r="J40" i="4"/>
  <c r="F37" i="4"/>
  <c r="B34" i="4"/>
  <c r="J30" i="4"/>
  <c r="J26" i="4"/>
  <c r="F23" i="4"/>
  <c r="K48" i="3"/>
  <c r="G45" i="3"/>
  <c r="F41" i="3"/>
  <c r="B38" i="3"/>
  <c r="J34" i="3"/>
  <c r="F31" i="3"/>
  <c r="G27" i="3"/>
  <c r="G97" i="2"/>
  <c r="K94" i="2"/>
  <c r="M89" i="2"/>
  <c r="K87" i="2"/>
  <c r="G85" i="2"/>
  <c r="G83" i="2"/>
  <c r="F81" i="2"/>
  <c r="F79" i="2"/>
  <c r="B73" i="2"/>
  <c r="B71" i="2"/>
  <c r="K68" i="2"/>
  <c r="K66" i="2"/>
  <c r="J64" i="2"/>
  <c r="I62" i="2"/>
  <c r="D60" i="2"/>
  <c r="M57" i="2"/>
  <c r="J55" i="2"/>
  <c r="H53" i="2"/>
  <c r="D51" i="2"/>
  <c r="D49" i="2"/>
  <c r="F47" i="2"/>
  <c r="G45" i="2"/>
  <c r="I43" i="2"/>
  <c r="L41" i="2"/>
  <c r="F38" i="2"/>
  <c r="I36" i="2"/>
  <c r="L34" i="2"/>
  <c r="F31" i="2"/>
  <c r="H29" i="2"/>
  <c r="K27" i="2"/>
  <c r="B26" i="2"/>
  <c r="E24" i="2"/>
  <c r="H22" i="2"/>
  <c r="G70" i="2"/>
  <c r="E551" i="7"/>
  <c r="M567" i="4"/>
  <c r="M284" i="4"/>
  <c r="E243" i="4"/>
  <c r="F197" i="4"/>
  <c r="J155" i="4"/>
  <c r="D118" i="4"/>
  <c r="B86" i="4"/>
  <c r="L39" i="4"/>
  <c r="J47" i="3"/>
  <c r="B30" i="3"/>
  <c r="F89" i="2"/>
  <c r="J78" i="2"/>
  <c r="J76" i="2"/>
  <c r="H72" i="2"/>
  <c r="D64" i="2"/>
  <c r="G57" i="2"/>
  <c r="K52" i="2"/>
  <c r="L46" i="2"/>
  <c r="L37" i="2"/>
  <c r="I32" i="2"/>
  <c r="I25" i="2"/>
  <c r="G599" i="4"/>
  <c r="G483" i="4"/>
  <c r="H409" i="4"/>
  <c r="L367" i="4"/>
  <c r="B331" i="4"/>
  <c r="F294" i="4"/>
  <c r="L270" i="4"/>
  <c r="J247" i="4"/>
  <c r="F1005" i="7"/>
  <c r="H781" i="7"/>
  <c r="M660" i="7"/>
  <c r="C570" i="7"/>
  <c r="B503" i="7"/>
  <c r="M438" i="7"/>
  <c r="H393" i="7"/>
  <c r="N354" i="7"/>
  <c r="I309" i="7"/>
  <c r="E276" i="7"/>
  <c r="E225" i="7"/>
  <c r="K200" i="7"/>
  <c r="C179" i="7"/>
  <c r="E155" i="7"/>
  <c r="E135" i="7"/>
  <c r="N117" i="7"/>
  <c r="H84" i="7"/>
  <c r="G70" i="7"/>
  <c r="B54" i="7"/>
  <c r="I39" i="7"/>
  <c r="I186" i="5"/>
  <c r="M172" i="5"/>
  <c r="H156" i="5"/>
  <c r="J140" i="5"/>
  <c r="B127" i="5"/>
  <c r="D113" i="5"/>
  <c r="F99" i="5"/>
  <c r="H88" i="5"/>
  <c r="L74" i="5"/>
  <c r="B61" i="5"/>
  <c r="M49" i="5"/>
  <c r="K37" i="5"/>
  <c r="B27" i="5"/>
  <c r="G619" i="4"/>
  <c r="M610" i="4"/>
  <c r="K602" i="4"/>
  <c r="M592" i="4"/>
  <c r="J584" i="4"/>
  <c r="F577" i="4"/>
  <c r="B562" i="4"/>
  <c r="D555" i="4"/>
  <c r="D548" i="4"/>
  <c r="I536" i="4"/>
  <c r="B530" i="4"/>
  <c r="I523" i="4"/>
  <c r="D518" i="4"/>
  <c r="B512" i="4"/>
  <c r="I506" i="4"/>
  <c r="E501" i="4"/>
  <c r="G495" i="4"/>
  <c r="D490" i="4"/>
  <c r="E485" i="4"/>
  <c r="H479" i="4"/>
  <c r="B474" i="4"/>
  <c r="G469" i="4"/>
  <c r="D464" i="4"/>
  <c r="H459" i="4"/>
  <c r="J454" i="4"/>
  <c r="G449" i="4"/>
  <c r="J444" i="4"/>
  <c r="F440" i="4"/>
  <c r="B435" i="4"/>
  <c r="B430" i="4"/>
  <c r="I425" i="4"/>
  <c r="F420" i="4"/>
  <c r="J415" i="4"/>
  <c r="I401" i="4"/>
  <c r="G397" i="4"/>
  <c r="G392" i="4"/>
  <c r="J387" i="4"/>
  <c r="G383" i="4"/>
  <c r="G378" i="4"/>
  <c r="B374" i="4"/>
  <c r="G369" i="4"/>
  <c r="G364" i="4"/>
  <c r="M359" i="4"/>
  <c r="K355" i="4"/>
  <c r="K350" i="4"/>
  <c r="B346" i="4"/>
  <c r="K341" i="4"/>
  <c r="K336" i="4"/>
  <c r="F332" i="4"/>
  <c r="K327" i="4"/>
  <c r="K322" i="4"/>
  <c r="E318" i="4"/>
  <c r="F304" i="4"/>
  <c r="J290" i="4"/>
  <c r="I276" i="4"/>
  <c r="G272" i="4"/>
  <c r="G267" i="4"/>
  <c r="J262" i="4"/>
  <c r="G258" i="4"/>
  <c r="G253" i="4"/>
  <c r="B249" i="4"/>
  <c r="G244" i="4"/>
  <c r="G239" i="4"/>
  <c r="M234" i="4"/>
  <c r="K230" i="4"/>
  <c r="K225" i="4"/>
  <c r="B221" i="4"/>
  <c r="K216" i="4"/>
  <c r="K211" i="4"/>
  <c r="E207" i="4"/>
  <c r="J202" i="4"/>
  <c r="J197" i="4"/>
  <c r="D193" i="4"/>
  <c r="B189" i="4"/>
  <c r="B184" i="4"/>
  <c r="E179" i="4"/>
  <c r="B175" i="4"/>
  <c r="B170" i="4"/>
  <c r="I165" i="4"/>
  <c r="B161" i="4"/>
  <c r="B156" i="4"/>
  <c r="H151" i="4"/>
  <c r="F147" i="4"/>
  <c r="F142" i="4"/>
  <c r="I137" i="4"/>
  <c r="F133" i="4"/>
  <c r="F128" i="4"/>
  <c r="M123" i="4"/>
  <c r="F119" i="4"/>
  <c r="F114" i="4"/>
  <c r="L109" i="4"/>
  <c r="J105" i="4"/>
  <c r="J100" i="4"/>
  <c r="M95" i="4"/>
  <c r="J91" i="4"/>
  <c r="J86" i="4"/>
  <c r="E82" i="4"/>
  <c r="J77" i="4"/>
  <c r="J72" i="4"/>
  <c r="D68" i="4"/>
  <c r="L59" i="4"/>
  <c r="M55" i="4"/>
  <c r="K51" i="4"/>
  <c r="K47" i="4"/>
  <c r="F44" i="4"/>
  <c r="I40" i="4"/>
  <c r="E37" i="4"/>
  <c r="M33" i="4"/>
  <c r="I30" i="4"/>
  <c r="H26" i="4"/>
  <c r="D23" i="4"/>
  <c r="F48" i="3"/>
  <c r="B45" i="3"/>
  <c r="B41" i="3"/>
  <c r="J37" i="3"/>
  <c r="F34" i="3"/>
  <c r="B31" i="3"/>
  <c r="F27" i="3"/>
  <c r="B24" i="3"/>
  <c r="F97" i="2"/>
  <c r="J94" i="2"/>
  <c r="B92" i="2"/>
  <c r="L89" i="2"/>
  <c r="J87" i="2"/>
  <c r="F85" i="2"/>
  <c r="F83" i="2"/>
  <c r="E81" i="2"/>
  <c r="D79" i="2"/>
  <c r="B77" i="2"/>
  <c r="B75" i="2"/>
  <c r="M72" i="2"/>
  <c r="L70" i="2"/>
  <c r="J68" i="2"/>
  <c r="J66" i="2"/>
  <c r="I64" i="2"/>
  <c r="G62" i="2"/>
  <c r="B60" i="2"/>
  <c r="L57" i="2"/>
  <c r="I55" i="2"/>
  <c r="F53" i="2"/>
  <c r="E47" i="2"/>
  <c r="F45" i="2"/>
  <c r="H43" i="2"/>
  <c r="K41" i="2"/>
  <c r="B40" i="2"/>
  <c r="E38" i="2"/>
  <c r="H36" i="2"/>
  <c r="K34" i="2"/>
  <c r="B33" i="2"/>
  <c r="D31" i="2"/>
  <c r="G29" i="2"/>
  <c r="J27" i="2"/>
  <c r="M25" i="2"/>
  <c r="D24" i="2"/>
  <c r="G22" i="2"/>
  <c r="I66" i="2"/>
  <c r="B49" i="2"/>
  <c r="K59" i="2"/>
  <c r="G34" i="2"/>
  <c r="D29" i="2"/>
  <c r="K639" i="7"/>
  <c r="E273" i="7"/>
  <c r="N195" i="7"/>
  <c r="G131" i="7"/>
  <c r="B66" i="7"/>
  <c r="I36" i="7"/>
  <c r="H167" i="5"/>
  <c r="G137" i="5"/>
  <c r="J111" i="5"/>
  <c r="D84" i="5"/>
  <c r="G58" i="5"/>
  <c r="E25" i="5"/>
  <c r="D592" i="4"/>
  <c r="D560" i="4"/>
  <c r="M540" i="4"/>
  <c r="I522" i="4"/>
  <c r="L516" i="4"/>
  <c r="I483" i="4"/>
  <c r="G463" i="4"/>
  <c r="L443" i="4"/>
  <c r="G424" i="4"/>
  <c r="K405" i="4"/>
  <c r="K386" i="4"/>
  <c r="I326" i="4"/>
  <c r="G308" i="4"/>
  <c r="G289" i="4"/>
  <c r="K266" i="4"/>
  <c r="K247" i="4"/>
  <c r="B206" i="4"/>
  <c r="F183" i="4"/>
  <c r="F164" i="4"/>
  <c r="J136" i="4"/>
  <c r="E104" i="4"/>
  <c r="F72" i="4"/>
  <c r="F43" i="4"/>
  <c r="I22" i="4"/>
  <c r="F23" i="3"/>
  <c r="M96" i="2"/>
  <c r="L80" i="2"/>
  <c r="F68" i="2"/>
  <c r="J59" i="2"/>
  <c r="K50" i="2"/>
  <c r="D43" i="2"/>
  <c r="L30" i="2"/>
  <c r="F639" i="7"/>
  <c r="F45" i="5"/>
  <c r="K528" i="4"/>
  <c r="F463" i="4"/>
  <c r="H419" i="4"/>
  <c r="I386" i="4"/>
  <c r="D354" i="4"/>
  <c r="D326" i="4"/>
  <c r="H298" i="4"/>
  <c r="J280" i="4"/>
  <c r="L256" i="4"/>
  <c r="L997" i="7"/>
  <c r="G773" i="7"/>
  <c r="G649" i="7"/>
  <c r="L565" i="7"/>
  <c r="B497" i="7"/>
  <c r="L434" i="7"/>
  <c r="B392" i="7"/>
  <c r="M354" i="7"/>
  <c r="L308" i="7"/>
  <c r="C250" i="7"/>
  <c r="N222" i="7"/>
  <c r="J200" i="7"/>
  <c r="L176" i="7"/>
  <c r="L154" i="7"/>
  <c r="L117" i="7"/>
  <c r="C100" i="7"/>
  <c r="J83" i="7"/>
  <c r="F69" i="7"/>
  <c r="I52" i="7"/>
  <c r="H39" i="7"/>
  <c r="I25" i="7"/>
  <c r="F186" i="5"/>
  <c r="M171" i="5"/>
  <c r="H155" i="5"/>
  <c r="B139" i="5"/>
  <c r="M126" i="5"/>
  <c r="K112" i="5"/>
  <c r="K98" i="5"/>
  <c r="G88" i="5"/>
  <c r="G74" i="5"/>
  <c r="G60" i="5"/>
  <c r="L49" i="5"/>
  <c r="J37" i="5"/>
  <c r="J26" i="5"/>
  <c r="M628" i="4"/>
  <c r="F619" i="4"/>
  <c r="I609" i="4"/>
  <c r="J602" i="4"/>
  <c r="L592" i="4"/>
  <c r="H584" i="4"/>
  <c r="D577" i="4"/>
  <c r="M568" i="4"/>
  <c r="H561" i="4"/>
  <c r="G541" i="4"/>
  <c r="F536" i="4"/>
  <c r="M529" i="4"/>
  <c r="G523" i="4"/>
  <c r="B518" i="4"/>
  <c r="K511" i="4"/>
  <c r="D501" i="4"/>
  <c r="F495" i="4"/>
  <c r="K489" i="4"/>
  <c r="D485" i="4"/>
  <c r="G479" i="4"/>
  <c r="L473" i="4"/>
  <c r="E469" i="4"/>
  <c r="B464" i="4"/>
  <c r="B459" i="4"/>
  <c r="I454" i="4"/>
  <c r="F449" i="4"/>
  <c r="E444" i="4"/>
  <c r="D440" i="4"/>
  <c r="M434" i="4"/>
  <c r="L429" i="4"/>
  <c r="G425" i="4"/>
  <c r="D415" i="4"/>
  <c r="B411" i="4"/>
  <c r="B406" i="4"/>
  <c r="D401" i="4"/>
  <c r="F397" i="4"/>
  <c r="F392" i="4"/>
  <c r="H387" i="4"/>
  <c r="E383" i="4"/>
  <c r="E378" i="4"/>
  <c r="H373" i="4"/>
  <c r="F369" i="4"/>
  <c r="F364" i="4"/>
  <c r="H359" i="4"/>
  <c r="J355" i="4"/>
  <c r="J350" i="4"/>
  <c r="L345" i="4"/>
  <c r="I341" i="4"/>
  <c r="I336" i="4"/>
  <c r="L331" i="4"/>
  <c r="J327" i="4"/>
  <c r="J322" i="4"/>
  <c r="L317" i="4"/>
  <c r="B314" i="4"/>
  <c r="B309" i="4"/>
  <c r="D304" i="4"/>
  <c r="M299" i="4"/>
  <c r="M294" i="4"/>
  <c r="D290" i="4"/>
  <c r="B286" i="4"/>
  <c r="B281" i="4"/>
  <c r="D276" i="4"/>
  <c r="F272" i="4"/>
  <c r="F267" i="4"/>
  <c r="H262" i="4"/>
  <c r="E258" i="4"/>
  <c r="E253" i="4"/>
  <c r="H248" i="4"/>
  <c r="F244" i="4"/>
  <c r="F239" i="4"/>
  <c r="H234" i="4"/>
  <c r="J230" i="4"/>
  <c r="J225" i="4"/>
  <c r="L220" i="4"/>
  <c r="I216" i="4"/>
  <c r="I211" i="4"/>
  <c r="K206" i="4"/>
  <c r="I202" i="4"/>
  <c r="I197" i="4"/>
  <c r="K192" i="4"/>
  <c r="M188" i="4"/>
  <c r="M183" i="4"/>
  <c r="L174" i="4"/>
  <c r="L169" i="4"/>
  <c r="M160" i="4"/>
  <c r="M155" i="4"/>
  <c r="E147" i="4"/>
  <c r="E142" i="4"/>
  <c r="G137" i="4"/>
  <c r="D133" i="4"/>
  <c r="D128" i="4"/>
  <c r="G123" i="4"/>
  <c r="E119" i="4"/>
  <c r="E114" i="4"/>
  <c r="G109" i="4"/>
  <c r="I105" i="4"/>
  <c r="I100" i="4"/>
  <c r="K95" i="4"/>
  <c r="H91" i="4"/>
  <c r="H86" i="4"/>
  <c r="K81" i="4"/>
  <c r="I77" i="4"/>
  <c r="I72" i="4"/>
  <c r="K67" i="4"/>
  <c r="B64" i="4"/>
  <c r="K59" i="4"/>
  <c r="L55" i="4"/>
  <c r="J51" i="4"/>
  <c r="J47" i="4"/>
  <c r="E44" i="4"/>
  <c r="H40" i="4"/>
  <c r="D37" i="4"/>
  <c r="L33" i="4"/>
  <c r="H30" i="4"/>
  <c r="G26" i="4"/>
  <c r="E48" i="3"/>
  <c r="M44" i="3"/>
  <c r="M40" i="3"/>
  <c r="I37" i="3"/>
  <c r="E34" i="3"/>
  <c r="M30" i="3"/>
  <c r="E27" i="3"/>
  <c r="M23" i="3"/>
  <c r="E97" i="2"/>
  <c r="H94" i="2"/>
  <c r="M91" i="2"/>
  <c r="J89" i="2"/>
  <c r="H87" i="2"/>
  <c r="E85" i="2"/>
  <c r="E83" i="2"/>
  <c r="D81" i="2"/>
  <c r="M76" i="2"/>
  <c r="M74" i="2"/>
  <c r="L72" i="2"/>
  <c r="K70" i="2"/>
  <c r="I68" i="2"/>
  <c r="H64" i="2"/>
  <c r="F62" i="2"/>
  <c r="M59" i="2"/>
  <c r="K57" i="2"/>
  <c r="H55" i="2"/>
  <c r="E53" i="2"/>
  <c r="B51" i="2"/>
  <c r="E45" i="2"/>
  <c r="G43" i="2"/>
  <c r="J41" i="2"/>
  <c r="M39" i="2"/>
  <c r="D38" i="2"/>
  <c r="G36" i="2"/>
  <c r="J34" i="2"/>
  <c r="L32" i="2"/>
  <c r="F29" i="2"/>
  <c r="I27" i="2"/>
  <c r="L25" i="2"/>
  <c r="F22" i="2"/>
  <c r="G68" i="2"/>
  <c r="B38" i="2"/>
  <c r="M23" i="2"/>
  <c r="C744" i="7"/>
  <c r="E482" i="7"/>
  <c r="I433" i="7"/>
  <c r="H385" i="7"/>
  <c r="M340" i="7"/>
  <c r="F307" i="7"/>
  <c r="G244" i="7"/>
  <c r="B221" i="7"/>
  <c r="F172" i="7"/>
  <c r="N152" i="7"/>
  <c r="K113" i="7"/>
  <c r="B82" i="7"/>
  <c r="I51" i="7"/>
  <c r="M21" i="7"/>
  <c r="I183" i="5"/>
  <c r="L153" i="5"/>
  <c r="B122" i="5"/>
  <c r="H36" i="5"/>
  <c r="J599" i="4"/>
  <c r="B583" i="4"/>
  <c r="H553" i="4"/>
  <c r="M528" i="4"/>
  <c r="D511" i="4"/>
  <c r="E489" i="4"/>
  <c r="M472" i="4"/>
  <c r="G453" i="4"/>
  <c r="F434" i="4"/>
  <c r="M409" i="4"/>
  <c r="K391" i="4"/>
  <c r="K377" i="4"/>
  <c r="E368" i="4"/>
  <c r="J312" i="4"/>
  <c r="G294" i="4"/>
  <c r="B271" i="4"/>
  <c r="K252" i="4"/>
  <c r="H201" i="4"/>
  <c r="F178" i="4"/>
  <c r="L159" i="4"/>
  <c r="J141" i="4"/>
  <c r="J122" i="4"/>
  <c r="B100" i="4"/>
  <c r="B81" i="4"/>
  <c r="K62" i="4"/>
  <c r="G47" i="4"/>
  <c r="E29" i="4"/>
  <c r="F37" i="3"/>
  <c r="J91" i="2"/>
  <c r="M82" i="2"/>
  <c r="E66" i="2"/>
  <c r="J48" i="2"/>
  <c r="J39" i="2"/>
  <c r="F27" i="2"/>
  <c r="N743" i="7"/>
  <c r="J481" i="7"/>
  <c r="E384" i="7"/>
  <c r="G340" i="7"/>
  <c r="M270" i="7"/>
  <c r="H219" i="7"/>
  <c r="J171" i="7"/>
  <c r="F131" i="7"/>
  <c r="H97" i="7"/>
  <c r="N65" i="7"/>
  <c r="L21" i="7"/>
  <c r="J166" i="5"/>
  <c r="F58" i="5"/>
  <c r="B626" i="4"/>
  <c r="G591" i="4"/>
  <c r="K567" i="4"/>
  <c r="K540" i="4"/>
  <c r="B489" i="4"/>
  <c r="K467" i="4"/>
  <c r="B449" i="4"/>
  <c r="D434" i="4"/>
  <c r="M423" i="4"/>
  <c r="J405" i="4"/>
  <c r="I391" i="4"/>
  <c r="J372" i="4"/>
  <c r="M349" i="4"/>
  <c r="B336" i="4"/>
  <c r="F317" i="4"/>
  <c r="E303" i="4"/>
  <c r="H284" i="4"/>
  <c r="I261" i="4"/>
  <c r="N982" i="7"/>
  <c r="E772" i="7"/>
  <c r="J645" i="7"/>
  <c r="G564" i="7"/>
  <c r="F496" i="7"/>
  <c r="K434" i="7"/>
  <c r="N390" i="7"/>
  <c r="G352" i="7"/>
  <c r="J308" i="7"/>
  <c r="H275" i="7"/>
  <c r="M249" i="7"/>
  <c r="M222" i="7"/>
  <c r="L199" i="7"/>
  <c r="K176" i="7"/>
  <c r="F133" i="7"/>
  <c r="K117" i="7"/>
  <c r="N99" i="7"/>
  <c r="B83" i="7"/>
  <c r="F52" i="7"/>
  <c r="I38" i="7"/>
  <c r="K24" i="7"/>
  <c r="F184" i="5"/>
  <c r="B170" i="5"/>
  <c r="G154" i="5"/>
  <c r="I137" i="5"/>
  <c r="F124" i="5"/>
  <c r="M111" i="5"/>
  <c r="E98" i="5"/>
  <c r="E85" i="5"/>
  <c r="E73" i="5"/>
  <c r="D59" i="5"/>
  <c r="H47" i="5"/>
  <c r="K36" i="5"/>
  <c r="I25" i="5"/>
  <c r="K628" i="4"/>
  <c r="E619" i="4"/>
  <c r="F609" i="4"/>
  <c r="I602" i="4"/>
  <c r="K592" i="4"/>
  <c r="L583" i="4"/>
  <c r="L568" i="4"/>
  <c r="K560" i="4"/>
  <c r="B555" i="4"/>
  <c r="B548" i="4"/>
  <c r="E536" i="4"/>
  <c r="L529" i="4"/>
  <c r="D523" i="4"/>
  <c r="M517" i="4"/>
  <c r="J511" i="4"/>
  <c r="J505" i="4"/>
  <c r="E495" i="4"/>
  <c r="H489" i="4"/>
  <c r="F479" i="4"/>
  <c r="H473" i="4"/>
  <c r="D469" i="4"/>
  <c r="M463" i="4"/>
  <c r="J458" i="4"/>
  <c r="H454" i="4"/>
  <c r="E449" i="4"/>
  <c r="B444" i="4"/>
  <c r="L434" i="4"/>
  <c r="I429" i="4"/>
  <c r="F425" i="4"/>
  <c r="B420" i="4"/>
  <c r="L414" i="4"/>
  <c r="M410" i="4"/>
  <c r="M405" i="4"/>
  <c r="M400" i="4"/>
  <c r="E397" i="4"/>
  <c r="E392" i="4"/>
  <c r="E387" i="4"/>
  <c r="D383" i="4"/>
  <c r="D378" i="4"/>
  <c r="D373" i="4"/>
  <c r="E369" i="4"/>
  <c r="E364" i="4"/>
  <c r="E359" i="4"/>
  <c r="I355" i="4"/>
  <c r="I350" i="4"/>
  <c r="I345" i="4"/>
  <c r="H341" i="4"/>
  <c r="H336" i="4"/>
  <c r="H331" i="4"/>
  <c r="I327" i="4"/>
  <c r="I322" i="4"/>
  <c r="I317" i="4"/>
  <c r="M313" i="4"/>
  <c r="M308" i="4"/>
  <c r="M303" i="4"/>
  <c r="L299" i="4"/>
  <c r="L294" i="4"/>
  <c r="L289" i="4"/>
  <c r="M285" i="4"/>
  <c r="M280" i="4"/>
  <c r="M275" i="4"/>
  <c r="E272" i="4"/>
  <c r="E267" i="4"/>
  <c r="E262" i="4"/>
  <c r="D258" i="4"/>
  <c r="D253" i="4"/>
  <c r="D248" i="4"/>
  <c r="E244" i="4"/>
  <c r="E239" i="4"/>
  <c r="E234" i="4"/>
  <c r="I230" i="4"/>
  <c r="I225" i="4"/>
  <c r="I220" i="4"/>
  <c r="H216" i="4"/>
  <c r="H211" i="4"/>
  <c r="G206" i="4"/>
  <c r="H202" i="4"/>
  <c r="H197" i="4"/>
  <c r="H192" i="4"/>
  <c r="L188" i="4"/>
  <c r="L183" i="4"/>
  <c r="L178" i="4"/>
  <c r="K174" i="4"/>
  <c r="K169" i="4"/>
  <c r="K164" i="4"/>
  <c r="L160" i="4"/>
  <c r="L155" i="4"/>
  <c r="L150" i="4"/>
  <c r="D147" i="4"/>
  <c r="D142" i="4"/>
  <c r="D137" i="4"/>
  <c r="D119" i="4"/>
  <c r="D114" i="4"/>
  <c r="D109" i="4"/>
  <c r="H105" i="4"/>
  <c r="H100" i="4"/>
  <c r="H95" i="4"/>
  <c r="G91" i="4"/>
  <c r="G86" i="4"/>
  <c r="G81" i="4"/>
  <c r="H77" i="4"/>
  <c r="H72" i="4"/>
  <c r="H67" i="4"/>
  <c r="M63" i="4"/>
  <c r="G59" i="4"/>
  <c r="K55" i="4"/>
  <c r="H51" i="4"/>
  <c r="I47" i="4"/>
  <c r="D44" i="4"/>
  <c r="K36" i="4"/>
  <c r="G33" i="4"/>
  <c r="G29" i="4"/>
  <c r="K22" i="4"/>
  <c r="K44" i="3"/>
  <c r="L40" i="3"/>
  <c r="H37" i="3"/>
  <c r="D34" i="3"/>
  <c r="L30" i="3"/>
  <c r="D27" i="3"/>
  <c r="L23" i="3"/>
  <c r="D97" i="2"/>
  <c r="G94" i="2"/>
  <c r="L91" i="2"/>
  <c r="I89" i="2"/>
  <c r="G87" i="2"/>
  <c r="D85" i="2"/>
  <c r="D83" i="2"/>
  <c r="B79" i="2"/>
  <c r="L76" i="2"/>
  <c r="L74" i="2"/>
  <c r="K72" i="2"/>
  <c r="J70" i="2"/>
  <c r="H68" i="2"/>
  <c r="H66" i="2"/>
  <c r="G64" i="2"/>
  <c r="E62" i="2"/>
  <c r="L59" i="2"/>
  <c r="J57" i="2"/>
  <c r="G55" i="2"/>
  <c r="D53" i="2"/>
  <c r="M50" i="2"/>
  <c r="M48" i="2"/>
  <c r="B47" i="2"/>
  <c r="D45" i="2"/>
  <c r="F43" i="2"/>
  <c r="I41" i="2"/>
  <c r="L39" i="2"/>
  <c r="F36" i="2"/>
  <c r="H34" i="2"/>
  <c r="K32" i="2"/>
  <c r="B31" i="2"/>
  <c r="E29" i="2"/>
  <c r="H27" i="2"/>
  <c r="K25" i="2"/>
  <c r="B24" i="2"/>
  <c r="E22" i="2"/>
  <c r="E94" i="2"/>
  <c r="H89" i="2"/>
  <c r="B83" i="2"/>
  <c r="K78" i="2"/>
  <c r="J74" i="2"/>
  <c r="M61" i="2"/>
  <c r="L50" i="2"/>
  <c r="E43" i="2"/>
  <c r="K39" i="2"/>
  <c r="J32" i="2"/>
  <c r="G27" i="2"/>
  <c r="D22" i="2"/>
  <c r="B99" i="7"/>
  <c r="J97" i="5"/>
  <c r="I618" i="4"/>
  <c r="I575" i="4"/>
  <c r="I534" i="4"/>
  <c r="E505" i="4"/>
  <c r="J478" i="4"/>
  <c r="D458" i="4"/>
  <c r="L438" i="4"/>
  <c r="G414" i="4"/>
  <c r="K400" i="4"/>
  <c r="F382" i="4"/>
  <c r="J340" i="4"/>
  <c r="G322" i="4"/>
  <c r="G303" i="4"/>
  <c r="K280" i="4"/>
  <c r="K261" i="4"/>
  <c r="I187" i="4"/>
  <c r="F169" i="4"/>
  <c r="M145" i="4"/>
  <c r="J127" i="4"/>
  <c r="B109" i="4"/>
  <c r="I90" i="4"/>
  <c r="F67" i="4"/>
  <c r="D33" i="4"/>
  <c r="M25" i="4"/>
  <c r="B44" i="3"/>
  <c r="B34" i="3"/>
  <c r="J26" i="3"/>
  <c r="D94" i="2"/>
  <c r="B87" i="2"/>
  <c r="I74" i="2"/>
  <c r="L61" i="2"/>
  <c r="B45" i="2"/>
  <c r="L23" i="2"/>
  <c r="N919" i="7"/>
  <c r="G432" i="7"/>
  <c r="M302" i="7"/>
  <c r="N243" i="7"/>
  <c r="J194" i="7"/>
  <c r="C152" i="7"/>
  <c r="J113" i="7"/>
  <c r="F80" i="7"/>
  <c r="N34" i="7"/>
  <c r="H183" i="5"/>
  <c r="K153" i="5"/>
  <c r="K121" i="5"/>
  <c r="B72" i="5"/>
  <c r="M35" i="5"/>
  <c r="H618" i="4"/>
  <c r="B609" i="4"/>
  <c r="L574" i="4"/>
  <c r="K547" i="4"/>
  <c r="G534" i="4"/>
  <c r="E516" i="4"/>
  <c r="D505" i="4"/>
  <c r="B495" i="4"/>
  <c r="G478" i="4"/>
  <c r="K443" i="4"/>
  <c r="M428" i="4"/>
  <c r="J400" i="4"/>
  <c r="L381" i="4"/>
  <c r="B359" i="4"/>
  <c r="D340" i="4"/>
  <c r="F322" i="4"/>
  <c r="H312" i="4"/>
  <c r="F289" i="4"/>
  <c r="J275" i="4"/>
  <c r="J252" i="4"/>
  <c r="I965" i="7"/>
  <c r="K758" i="7"/>
  <c r="J640" i="7"/>
  <c r="N433" i="7"/>
  <c r="I386" i="7"/>
  <c r="C352" i="7"/>
  <c r="G307" i="7"/>
  <c r="F273" i="7"/>
  <c r="I248" i="7"/>
  <c r="H222" i="7"/>
  <c r="B196" i="7"/>
  <c r="G176" i="7"/>
  <c r="C153" i="7"/>
  <c r="H131" i="7"/>
  <c r="J117" i="7"/>
  <c r="C99" i="7"/>
  <c r="C82" i="7"/>
  <c r="J68" i="7"/>
  <c r="J51" i="7"/>
  <c r="N36" i="7"/>
  <c r="J24" i="7"/>
  <c r="L183" i="5"/>
  <c r="M169" i="5"/>
  <c r="M153" i="5"/>
  <c r="H137" i="5"/>
  <c r="L111" i="5"/>
  <c r="D98" i="5"/>
  <c r="D85" i="5"/>
  <c r="D73" i="5"/>
  <c r="G47" i="5"/>
  <c r="J36" i="5"/>
  <c r="G25" i="5"/>
  <c r="E609" i="4"/>
  <c r="G600" i="4"/>
  <c r="E592" i="4"/>
  <c r="K575" i="4"/>
  <c r="B568" i="4"/>
  <c r="E560" i="4"/>
  <c r="K553" i="4"/>
  <c r="M547" i="4"/>
  <c r="B541" i="4"/>
  <c r="L534" i="4"/>
  <c r="K522" i="4"/>
  <c r="M516" i="4"/>
  <c r="E511" i="4"/>
  <c r="F505" i="4"/>
  <c r="D500" i="4"/>
  <c r="D495" i="4"/>
  <c r="G489" i="4"/>
  <c r="J483" i="4"/>
  <c r="L478" i="4"/>
  <c r="B473" i="4"/>
  <c r="F468" i="4"/>
  <c r="H463" i="4"/>
  <c r="E458" i="4"/>
  <c r="J453" i="4"/>
  <c r="D449" i="4"/>
  <c r="M443" i="4"/>
  <c r="M438" i="4"/>
  <c r="G434" i="4"/>
  <c r="D429" i="4"/>
  <c r="H424" i="4"/>
  <c r="J419" i="4"/>
  <c r="H414" i="4"/>
  <c r="L405" i="4"/>
  <c r="L400" i="4"/>
  <c r="L391" i="4"/>
  <c r="L386" i="4"/>
  <c r="G382" i="4"/>
  <c r="L377" i="4"/>
  <c r="L372" i="4"/>
  <c r="G368" i="4"/>
  <c r="D364" i="4"/>
  <c r="D359" i="4"/>
  <c r="G354" i="4"/>
  <c r="D350" i="4"/>
  <c r="D345" i="4"/>
  <c r="K340" i="4"/>
  <c r="D336" i="4"/>
  <c r="D331" i="4"/>
  <c r="K326" i="4"/>
  <c r="H322" i="4"/>
  <c r="H317" i="4"/>
  <c r="K312" i="4"/>
  <c r="H308" i="4"/>
  <c r="H303" i="4"/>
  <c r="H294" i="4"/>
  <c r="H289" i="4"/>
  <c r="L280" i="4"/>
  <c r="L275" i="4"/>
  <c r="L266" i="4"/>
  <c r="L261" i="4"/>
  <c r="G257" i="4"/>
  <c r="L252" i="4"/>
  <c r="L247" i="4"/>
  <c r="G243" i="4"/>
  <c r="D239" i="4"/>
  <c r="D234" i="4"/>
  <c r="G229" i="4"/>
  <c r="D225" i="4"/>
  <c r="D220" i="4"/>
  <c r="K215" i="4"/>
  <c r="D211" i="4"/>
  <c r="J201" i="4"/>
  <c r="G197" i="4"/>
  <c r="G192" i="4"/>
  <c r="J187" i="4"/>
  <c r="G183" i="4"/>
  <c r="G178" i="4"/>
  <c r="B174" i="4"/>
  <c r="G169" i="4"/>
  <c r="G164" i="4"/>
  <c r="B160" i="4"/>
  <c r="K155" i="4"/>
  <c r="K150" i="4"/>
  <c r="B146" i="4"/>
  <c r="K141" i="4"/>
  <c r="K136" i="4"/>
  <c r="F132" i="4"/>
  <c r="K127" i="4"/>
  <c r="K122" i="4"/>
  <c r="F118" i="4"/>
  <c r="F104" i="4"/>
  <c r="J90" i="4"/>
  <c r="J76" i="4"/>
  <c r="G72" i="4"/>
  <c r="G67" i="4"/>
  <c r="L63" i="4"/>
  <c r="D59" i="4"/>
  <c r="J55" i="4"/>
  <c r="G51" i="4"/>
  <c r="H47" i="4"/>
  <c r="G43" i="4"/>
  <c r="B40" i="4"/>
  <c r="J36" i="4"/>
  <c r="F33" i="4"/>
  <c r="F29" i="4"/>
  <c r="B26" i="4"/>
  <c r="J22" i="4"/>
  <c r="B48" i="3"/>
  <c r="K40" i="3"/>
  <c r="G37" i="3"/>
  <c r="G30" i="3"/>
  <c r="K23" i="3"/>
  <c r="B97" i="2"/>
  <c r="K91" i="2"/>
  <c r="B81" i="2"/>
  <c r="K76" i="2"/>
  <c r="J72" i="2"/>
  <c r="F66" i="2"/>
  <c r="F64" i="2"/>
  <c r="H57" i="2"/>
  <c r="F55" i="2"/>
  <c r="L52" i="2"/>
  <c r="K48" i="2"/>
  <c r="M46" i="2"/>
  <c r="H41" i="2"/>
  <c r="D36" i="2"/>
  <c r="M30" i="2"/>
  <c r="J25" i="2"/>
  <c r="H952" i="7"/>
  <c r="L626" i="4"/>
  <c r="L547" i="4"/>
  <c r="B500" i="4"/>
  <c r="E468" i="4"/>
  <c r="I419" i="4"/>
  <c r="B396" i="4"/>
  <c r="K372" i="4"/>
  <c r="F354" i="4"/>
  <c r="G317" i="4"/>
  <c r="B299" i="4"/>
  <c r="K275" i="4"/>
  <c r="F257" i="4"/>
  <c r="F229" i="4"/>
  <c r="J215" i="4"/>
  <c r="F192" i="4"/>
  <c r="M173" i="4"/>
  <c r="J150" i="4"/>
  <c r="E132" i="4"/>
  <c r="B114" i="4"/>
  <c r="B95" i="4"/>
  <c r="H76" i="4"/>
  <c r="I55" i="4"/>
  <c r="H36" i="4"/>
  <c r="J40" i="3"/>
  <c r="B85" i="2"/>
  <c r="F70" i="2"/>
  <c r="D55" i="2"/>
  <c r="G41" i="2"/>
  <c r="F34" i="2"/>
  <c r="I546" i="7"/>
  <c r="M50" i="7"/>
  <c r="F137" i="5"/>
  <c r="G83" i="5"/>
  <c r="L582" i="4"/>
  <c r="D522" i="4"/>
  <c r="G499" i="4"/>
  <c r="K472" i="4"/>
  <c r="B453" i="4"/>
  <c r="J438" i="4"/>
  <c r="F414" i="4"/>
  <c r="L395" i="4"/>
  <c r="J377" i="4"/>
  <c r="B364" i="4"/>
  <c r="M344" i="4"/>
  <c r="E308" i="4"/>
  <c r="I266" i="4"/>
  <c r="F908" i="7"/>
  <c r="C734" i="7"/>
  <c r="E630" i="7"/>
  <c r="F545" i="7"/>
  <c r="I476" i="7"/>
  <c r="B432" i="7"/>
  <c r="L382" i="7"/>
  <c r="J339" i="7"/>
  <c r="J302" i="7"/>
  <c r="C270" i="7"/>
  <c r="C219" i="7"/>
  <c r="I194" i="7"/>
  <c r="G171" i="7"/>
  <c r="K151" i="7"/>
  <c r="E131" i="7"/>
  <c r="C112" i="7"/>
  <c r="G97" i="7"/>
  <c r="E80" i="7"/>
  <c r="M64" i="7"/>
  <c r="L50" i="7"/>
  <c r="L34" i="7"/>
  <c r="M181" i="5"/>
  <c r="G165" i="5"/>
  <c r="L150" i="5"/>
  <c r="E137" i="5"/>
  <c r="J121" i="5"/>
  <c r="E108" i="5"/>
  <c r="J96" i="5"/>
  <c r="J82" i="5"/>
  <c r="D70" i="5"/>
  <c r="J57" i="5"/>
  <c r="B45" i="5"/>
  <c r="E34" i="5"/>
  <c r="B25" i="5"/>
  <c r="J625" i="4"/>
  <c r="M608" i="4"/>
  <c r="B599" i="4"/>
  <c r="E591" i="4"/>
  <c r="K582" i="4"/>
  <c r="H574" i="4"/>
  <c r="I567" i="4"/>
  <c r="B560" i="4"/>
  <c r="L552" i="4"/>
  <c r="J547" i="4"/>
  <c r="J540" i="4"/>
  <c r="B534" i="4"/>
  <c r="J528" i="4"/>
  <c r="M515" i="4"/>
  <c r="B511" i="4"/>
  <c r="B505" i="4"/>
  <c r="M494" i="4"/>
  <c r="M488" i="4"/>
  <c r="D483" i="4"/>
  <c r="F478" i="4"/>
  <c r="J472" i="4"/>
  <c r="G467" i="4"/>
  <c r="E463" i="4"/>
  <c r="B458" i="4"/>
  <c r="K452" i="4"/>
  <c r="M448" i="4"/>
  <c r="J443" i="4"/>
  <c r="F438" i="4"/>
  <c r="L428" i="4"/>
  <c r="H423" i="4"/>
  <c r="G419" i="4"/>
  <c r="E414" i="4"/>
  <c r="E409" i="4"/>
  <c r="I405" i="4"/>
  <c r="I400" i="4"/>
  <c r="I395" i="4"/>
  <c r="H391" i="4"/>
  <c r="H386" i="4"/>
  <c r="H381" i="4"/>
  <c r="I377" i="4"/>
  <c r="I372" i="4"/>
  <c r="I367" i="4"/>
  <c r="M363" i="4"/>
  <c r="M358" i="4"/>
  <c r="M353" i="4"/>
  <c r="L349" i="4"/>
  <c r="L344" i="4"/>
  <c r="L339" i="4"/>
  <c r="M335" i="4"/>
  <c r="M330" i="4"/>
  <c r="M325" i="4"/>
  <c r="E322" i="4"/>
  <c r="E317" i="4"/>
  <c r="E312" i="4"/>
  <c r="D308" i="4"/>
  <c r="D303" i="4"/>
  <c r="D298" i="4"/>
  <c r="E294" i="4"/>
  <c r="E289" i="4"/>
  <c r="E284" i="4"/>
  <c r="I280" i="4"/>
  <c r="I275" i="4"/>
  <c r="I270" i="4"/>
  <c r="H266" i="4"/>
  <c r="H261" i="4"/>
  <c r="H256" i="4"/>
  <c r="I252" i="4"/>
  <c r="I247" i="4"/>
  <c r="I242" i="4"/>
  <c r="M238" i="4"/>
  <c r="M233" i="4"/>
  <c r="M228" i="4"/>
  <c r="L224" i="4"/>
  <c r="L219" i="4"/>
  <c r="L214" i="4"/>
  <c r="M210" i="4"/>
  <c r="L205" i="4"/>
  <c r="L200" i="4"/>
  <c r="D197" i="4"/>
  <c r="D192" i="4"/>
  <c r="D187" i="4"/>
  <c r="D169" i="4"/>
  <c r="D164" i="4"/>
  <c r="D159" i="4"/>
  <c r="H155" i="4"/>
  <c r="H150" i="4"/>
  <c r="H145" i="4"/>
  <c r="G141" i="4"/>
  <c r="G136" i="4"/>
  <c r="G131" i="4"/>
  <c r="H127" i="4"/>
  <c r="H122" i="4"/>
  <c r="H117" i="4"/>
  <c r="L113" i="4"/>
  <c r="L108" i="4"/>
  <c r="L103" i="4"/>
  <c r="K99" i="4"/>
  <c r="K94" i="4"/>
  <c r="K89" i="4"/>
  <c r="L85" i="4"/>
  <c r="L80" i="4"/>
  <c r="L75" i="4"/>
  <c r="D72" i="4"/>
  <c r="D67" i="4"/>
  <c r="I62" i="4"/>
  <c r="M58" i="4"/>
  <c r="G54" i="4"/>
  <c r="K50" i="4"/>
  <c r="E47" i="4"/>
  <c r="G39" i="4"/>
  <c r="G32" i="4"/>
  <c r="K25" i="4"/>
  <c r="G22" i="4"/>
  <c r="H47" i="3"/>
  <c r="L43" i="3"/>
  <c r="H40" i="3"/>
  <c r="D37" i="3"/>
  <c r="L33" i="3"/>
  <c r="K29" i="3"/>
  <c r="G26" i="3"/>
  <c r="K96" i="2"/>
  <c r="I93" i="2"/>
  <c r="F91" i="2"/>
  <c r="L86" i="2"/>
  <c r="L84" i="2"/>
  <c r="K82" i="2"/>
  <c r="J80" i="2"/>
  <c r="H78" i="2"/>
  <c r="H76" i="2"/>
  <c r="G74" i="2"/>
  <c r="F72" i="2"/>
  <c r="D70" i="2"/>
  <c r="D68" i="2"/>
  <c r="B64" i="2"/>
  <c r="J61" i="2"/>
  <c r="H59" i="2"/>
  <c r="E57" i="2"/>
  <c r="M54" i="2"/>
  <c r="I52" i="2"/>
  <c r="I50" i="2"/>
  <c r="H48" i="2"/>
  <c r="J46" i="2"/>
  <c r="L44" i="2"/>
  <c r="B43" i="2"/>
  <c r="D41" i="2"/>
  <c r="G39" i="2"/>
  <c r="J37" i="2"/>
  <c r="M35" i="2"/>
  <c r="D34" i="2"/>
  <c r="G32" i="2"/>
  <c r="J30" i="2"/>
  <c r="M28" i="2"/>
  <c r="D27" i="2"/>
  <c r="G25" i="2"/>
  <c r="J23" i="2"/>
  <c r="N901" i="7"/>
  <c r="B721" i="7"/>
  <c r="G629" i="7"/>
  <c r="B543" i="7"/>
  <c r="G429" i="7"/>
  <c r="K382" i="7"/>
  <c r="L300" i="7"/>
  <c r="L269" i="7"/>
  <c r="C239" i="7"/>
  <c r="B219" i="7"/>
  <c r="L167" i="7"/>
  <c r="J151" i="7"/>
  <c r="C131" i="7"/>
  <c r="M110" i="7"/>
  <c r="G79" i="7"/>
  <c r="C63" i="7"/>
  <c r="B50" i="7"/>
  <c r="K34" i="7"/>
  <c r="K181" i="5"/>
  <c r="F165" i="5"/>
  <c r="F150" i="5"/>
  <c r="D137" i="5"/>
  <c r="I121" i="5"/>
  <c r="D108" i="5"/>
  <c r="I96" i="5"/>
  <c r="H82" i="5"/>
  <c r="B70" i="5"/>
  <c r="H57" i="5"/>
  <c r="M44" i="5"/>
  <c r="K33" i="5"/>
  <c r="M24" i="5"/>
  <c r="I625" i="4"/>
  <c r="M615" i="4"/>
  <c r="K607" i="4"/>
  <c r="I598" i="4"/>
  <c r="F590" i="4"/>
  <c r="F582" i="4"/>
  <c r="J573" i="4"/>
  <c r="E566" i="4"/>
  <c r="M559" i="4"/>
  <c r="K552" i="4"/>
  <c r="B546" i="4"/>
  <c r="E540" i="4"/>
  <c r="I533" i="4"/>
  <c r="L527" i="4"/>
  <c r="J521" i="4"/>
  <c r="F515" i="4"/>
  <c r="M509" i="4"/>
  <c r="L504" i="4"/>
  <c r="B499" i="4"/>
  <c r="H493" i="4"/>
  <c r="H488" i="4"/>
  <c r="K482" i="4"/>
  <c r="I477" i="4"/>
  <c r="F472" i="4"/>
  <c r="G462" i="4"/>
  <c r="M457" i="4"/>
  <c r="J452" i="4"/>
  <c r="J447" i="4"/>
  <c r="D443" i="4"/>
  <c r="M437" i="4"/>
  <c r="E433" i="4"/>
  <c r="G428" i="4"/>
  <c r="D423" i="4"/>
  <c r="H418" i="4"/>
  <c r="D414" i="4"/>
  <c r="D409" i="4"/>
  <c r="G404" i="4"/>
  <c r="D400" i="4"/>
  <c r="D395" i="4"/>
  <c r="K390" i="4"/>
  <c r="D386" i="4"/>
  <c r="D381" i="4"/>
  <c r="K376" i="4"/>
  <c r="H372" i="4"/>
  <c r="H367" i="4"/>
  <c r="K362" i="4"/>
  <c r="H358" i="4"/>
  <c r="H353" i="4"/>
  <c r="H344" i="4"/>
  <c r="H339" i="4"/>
  <c r="L330" i="4"/>
  <c r="L325" i="4"/>
  <c r="L316" i="4"/>
  <c r="L311" i="4"/>
  <c r="G307" i="4"/>
  <c r="L302" i="4"/>
  <c r="L297" i="4"/>
  <c r="G293" i="4"/>
  <c r="D289" i="4"/>
  <c r="D284" i="4"/>
  <c r="G279" i="4"/>
  <c r="D275" i="4"/>
  <c r="D270" i="4"/>
  <c r="K265" i="4"/>
  <c r="D261" i="4"/>
  <c r="D256" i="4"/>
  <c r="K251" i="4"/>
  <c r="H247" i="4"/>
  <c r="H242" i="4"/>
  <c r="K237" i="4"/>
  <c r="H233" i="4"/>
  <c r="H228" i="4"/>
  <c r="H219" i="4"/>
  <c r="H214" i="4"/>
  <c r="K205" i="4"/>
  <c r="K200" i="4"/>
  <c r="B196" i="4"/>
  <c r="K191" i="4"/>
  <c r="K186" i="4"/>
  <c r="F182" i="4"/>
  <c r="K177" i="4"/>
  <c r="K172" i="4"/>
  <c r="F168" i="4"/>
  <c r="F154" i="4"/>
  <c r="J140" i="4"/>
  <c r="J126" i="4"/>
  <c r="G122" i="4"/>
  <c r="G117" i="4"/>
  <c r="J112" i="4"/>
  <c r="G108" i="4"/>
  <c r="G103" i="4"/>
  <c r="B99" i="4"/>
  <c r="G94" i="4"/>
  <c r="G89" i="4"/>
  <c r="B85" i="4"/>
  <c r="K80" i="4"/>
  <c r="K75" i="4"/>
  <c r="B71" i="4"/>
  <c r="K66" i="4"/>
  <c r="H62" i="4"/>
  <c r="L58" i="4"/>
  <c r="F54" i="4"/>
  <c r="J50" i="4"/>
  <c r="D47" i="4"/>
  <c r="K42" i="4"/>
  <c r="F39" i="4"/>
  <c r="B36" i="4"/>
  <c r="F32" i="4"/>
  <c r="B29" i="4"/>
  <c r="J25" i="4"/>
  <c r="F22" i="4"/>
  <c r="K43" i="3"/>
  <c r="G40" i="3"/>
  <c r="B33" i="3"/>
  <c r="J29" i="3"/>
  <c r="F26" i="3"/>
  <c r="B23" i="3"/>
  <c r="F96" i="2"/>
  <c r="H93" i="2"/>
  <c r="E91" i="2"/>
  <c r="B89" i="2"/>
  <c r="K86" i="2"/>
  <c r="J84" i="2"/>
  <c r="J82" i="2"/>
  <c r="G80" i="2"/>
  <c r="G78" i="2"/>
  <c r="F76" i="2"/>
  <c r="F74" i="2"/>
  <c r="B68" i="2"/>
  <c r="B66" i="2"/>
  <c r="K63" i="2"/>
  <c r="I61" i="2"/>
  <c r="F59" i="2"/>
  <c r="D57" i="2"/>
  <c r="J54" i="2"/>
  <c r="H52" i="2"/>
  <c r="G50" i="2"/>
  <c r="G48" i="2"/>
  <c r="I46" i="2"/>
  <c r="K44" i="2"/>
  <c r="L42" i="2"/>
  <c r="F39" i="2"/>
  <c r="I37" i="2"/>
  <c r="L35" i="2"/>
  <c r="F32" i="2"/>
  <c r="I30" i="2"/>
  <c r="L28" i="2"/>
  <c r="F25" i="2"/>
  <c r="I23" i="2"/>
  <c r="F705" i="7"/>
  <c r="M893" i="7"/>
  <c r="I720" i="7"/>
  <c r="G612" i="7"/>
  <c r="N542" i="7"/>
  <c r="C469" i="7"/>
  <c r="M417" i="7"/>
  <c r="J382" i="7"/>
  <c r="K335" i="7"/>
  <c r="M295" i="7"/>
  <c r="G269" i="7"/>
  <c r="N238" i="7"/>
  <c r="J214" i="7"/>
  <c r="B193" i="7"/>
  <c r="K167" i="7"/>
  <c r="L146" i="7"/>
  <c r="I129" i="7"/>
  <c r="L110" i="7"/>
  <c r="C94" i="7"/>
  <c r="N78" i="7"/>
  <c r="B63" i="7"/>
  <c r="N47" i="7"/>
  <c r="J34" i="7"/>
  <c r="E181" i="5"/>
  <c r="K164" i="5"/>
  <c r="M148" i="5"/>
  <c r="B137" i="5"/>
  <c r="H121" i="5"/>
  <c r="J107" i="5"/>
  <c r="J68" i="5"/>
  <c r="G57" i="5"/>
  <c r="L44" i="5"/>
  <c r="F33" i="5"/>
  <c r="L24" i="5"/>
  <c r="H625" i="4"/>
  <c r="K615" i="4"/>
  <c r="I607" i="4"/>
  <c r="H598" i="4"/>
  <c r="E590" i="4"/>
  <c r="M581" i="4"/>
  <c r="H573" i="4"/>
  <c r="L559" i="4"/>
  <c r="J552" i="4"/>
  <c r="M545" i="4"/>
  <c r="H533" i="4"/>
  <c r="I527" i="4"/>
  <c r="I521" i="4"/>
  <c r="E515" i="4"/>
  <c r="J509" i="4"/>
  <c r="K504" i="4"/>
  <c r="M498" i="4"/>
  <c r="G493" i="4"/>
  <c r="G488" i="4"/>
  <c r="J482" i="4"/>
  <c r="G477" i="4"/>
  <c r="E472" i="4"/>
  <c r="B467" i="4"/>
  <c r="E462" i="4"/>
  <c r="L457" i="4"/>
  <c r="I452" i="4"/>
  <c r="I447" i="4"/>
  <c r="L437" i="4"/>
  <c r="D433" i="4"/>
  <c r="F428" i="4"/>
  <c r="F418" i="4"/>
  <c r="F404" i="4"/>
  <c r="J390" i="4"/>
  <c r="I376" i="4"/>
  <c r="G372" i="4"/>
  <c r="G367" i="4"/>
  <c r="J362" i="4"/>
  <c r="G358" i="4"/>
  <c r="G353" i="4"/>
  <c r="B349" i="4"/>
  <c r="G344" i="4"/>
  <c r="G339" i="4"/>
  <c r="M334" i="4"/>
  <c r="K330" i="4"/>
  <c r="K325" i="4"/>
  <c r="B321" i="4"/>
  <c r="K316" i="4"/>
  <c r="K311" i="4"/>
  <c r="F307" i="4"/>
  <c r="K302" i="4"/>
  <c r="K297" i="4"/>
  <c r="E293" i="4"/>
  <c r="F279" i="4"/>
  <c r="J265" i="4"/>
  <c r="I251" i="4"/>
  <c r="G247" i="4"/>
  <c r="G242" i="4"/>
  <c r="J237" i="4"/>
  <c r="G233" i="4"/>
  <c r="G228" i="4"/>
  <c r="B224" i="4"/>
  <c r="G219" i="4"/>
  <c r="G214" i="4"/>
  <c r="M209" i="4"/>
  <c r="J205" i="4"/>
  <c r="J200" i="4"/>
  <c r="M195" i="4"/>
  <c r="J191" i="4"/>
  <c r="J186" i="4"/>
  <c r="E182" i="4"/>
  <c r="J177" i="4"/>
  <c r="J172" i="4"/>
  <c r="D168" i="4"/>
  <c r="B164" i="4"/>
  <c r="B159" i="4"/>
  <c r="E154" i="4"/>
  <c r="B150" i="4"/>
  <c r="B145" i="4"/>
  <c r="I140" i="4"/>
  <c r="B136" i="4"/>
  <c r="B131" i="4"/>
  <c r="H126" i="4"/>
  <c r="F122" i="4"/>
  <c r="F117" i="4"/>
  <c r="I112" i="4"/>
  <c r="F108" i="4"/>
  <c r="F103" i="4"/>
  <c r="M98" i="4"/>
  <c r="F94" i="4"/>
  <c r="F89" i="4"/>
  <c r="L84" i="4"/>
  <c r="J80" i="4"/>
  <c r="J75" i="4"/>
  <c r="M70" i="4"/>
  <c r="J66" i="4"/>
  <c r="G62" i="4"/>
  <c r="G58" i="4"/>
  <c r="E54" i="4"/>
  <c r="I50" i="4"/>
  <c r="J42" i="4"/>
  <c r="E39" i="4"/>
  <c r="M35" i="4"/>
  <c r="E32" i="4"/>
  <c r="M28" i="4"/>
  <c r="I25" i="4"/>
  <c r="E22" i="4"/>
  <c r="J46" i="3"/>
  <c r="F43" i="3"/>
  <c r="B40" i="3"/>
  <c r="J36" i="3"/>
  <c r="J32" i="3"/>
  <c r="F29" i="3"/>
  <c r="B26" i="3"/>
  <c r="J22" i="3"/>
  <c r="E96" i="2"/>
  <c r="G93" i="2"/>
  <c r="D91" i="2"/>
  <c r="K88" i="2"/>
  <c r="J86" i="2"/>
  <c r="I84" i="2"/>
  <c r="H82" i="2"/>
  <c r="F80" i="2"/>
  <c r="F78" i="2"/>
  <c r="E76" i="2"/>
  <c r="D74" i="2"/>
  <c r="B72" i="2"/>
  <c r="B70" i="2"/>
  <c r="M67" i="2"/>
  <c r="L65" i="2"/>
  <c r="J63" i="2"/>
  <c r="H61" i="2"/>
  <c r="E59" i="2"/>
  <c r="M56" i="2"/>
  <c r="I54" i="2"/>
  <c r="G52" i="2"/>
  <c r="F50" i="2"/>
  <c r="F48" i="2"/>
  <c r="H46" i="2"/>
  <c r="J44" i="2"/>
  <c r="K42" i="2"/>
  <c r="B41" i="2"/>
  <c r="E39" i="2"/>
  <c r="H37" i="2"/>
  <c r="K35" i="2"/>
  <c r="B34" i="2"/>
  <c r="E32" i="2"/>
  <c r="H30" i="2"/>
  <c r="K28" i="2"/>
  <c r="B27" i="2"/>
  <c r="E25" i="2"/>
  <c r="H23" i="2"/>
  <c r="E878" i="7"/>
  <c r="F482" i="4"/>
  <c r="E367" i="4"/>
  <c r="M288" i="4"/>
  <c r="D228" i="4"/>
  <c r="H177" i="4"/>
  <c r="L135" i="4"/>
  <c r="K61" i="4"/>
  <c r="L25" i="3"/>
  <c r="M95" i="2"/>
  <c r="B91" i="2"/>
  <c r="H86" i="2"/>
  <c r="F82" i="2"/>
  <c r="J65" i="2"/>
  <c r="K56" i="2"/>
  <c r="D50" i="2"/>
  <c r="L40" i="2"/>
  <c r="F37" i="2"/>
  <c r="L33" i="2"/>
  <c r="I28" i="2"/>
  <c r="N865" i="7"/>
  <c r="J605" i="4"/>
  <c r="L508" i="4"/>
  <c r="D471" i="4"/>
  <c r="H408" i="4"/>
  <c r="L380" i="4"/>
  <c r="L352" i="4"/>
  <c r="D334" i="4"/>
  <c r="D311" i="4"/>
  <c r="K287" i="4"/>
  <c r="H264" i="4"/>
  <c r="L227" i="4"/>
  <c r="D214" i="4"/>
  <c r="J162" i="4"/>
  <c r="B149" i="4"/>
  <c r="K130" i="4"/>
  <c r="M878" i="7"/>
  <c r="E707" i="7"/>
  <c r="H611" i="7"/>
  <c r="M542" i="7"/>
  <c r="M468" i="7"/>
  <c r="E417" i="7"/>
  <c r="N377" i="7"/>
  <c r="K331" i="7"/>
  <c r="B295" i="7"/>
  <c r="J265" i="7"/>
  <c r="J237" i="7"/>
  <c r="I214" i="7"/>
  <c r="H167" i="7"/>
  <c r="K146" i="7"/>
  <c r="E128" i="7"/>
  <c r="N109" i="7"/>
  <c r="B94" i="7"/>
  <c r="I78" i="7"/>
  <c r="G61" i="7"/>
  <c r="C47" i="7"/>
  <c r="I34" i="7"/>
  <c r="M180" i="5"/>
  <c r="H164" i="5"/>
  <c r="B148" i="5"/>
  <c r="I136" i="5"/>
  <c r="E95" i="5"/>
  <c r="I81" i="5"/>
  <c r="H67" i="5"/>
  <c r="G44" i="5"/>
  <c r="K32" i="5"/>
  <c r="G24" i="5"/>
  <c r="J624" i="4"/>
  <c r="I615" i="4"/>
  <c r="F607" i="4"/>
  <c r="J597" i="4"/>
  <c r="M588" i="4"/>
  <c r="L581" i="4"/>
  <c r="E573" i="4"/>
  <c r="G565" i="4"/>
  <c r="K559" i="4"/>
  <c r="I552" i="4"/>
  <c r="J545" i="4"/>
  <c r="K539" i="4"/>
  <c r="F533" i="4"/>
  <c r="M526" i="4"/>
  <c r="H521" i="4"/>
  <c r="D515" i="4"/>
  <c r="E509" i="4"/>
  <c r="J504" i="4"/>
  <c r="L498" i="4"/>
  <c r="E493" i="4"/>
  <c r="E488" i="4"/>
  <c r="G482" i="4"/>
  <c r="K476" i="4"/>
  <c r="D472" i="4"/>
  <c r="L466" i="4"/>
  <c r="K461" i="4"/>
  <c r="K457" i="4"/>
  <c r="H452" i="4"/>
  <c r="G447" i="4"/>
  <c r="M442" i="4"/>
  <c r="J437" i="4"/>
  <c r="J432" i="4"/>
  <c r="E428" i="4"/>
  <c r="B423" i="4"/>
  <c r="M417" i="4"/>
  <c r="B414" i="4"/>
  <c r="B409" i="4"/>
  <c r="D404" i="4"/>
  <c r="M399" i="4"/>
  <c r="M394" i="4"/>
  <c r="D390" i="4"/>
  <c r="B386" i="4"/>
  <c r="B381" i="4"/>
  <c r="D376" i="4"/>
  <c r="F372" i="4"/>
  <c r="F367" i="4"/>
  <c r="H362" i="4"/>
  <c r="E358" i="4"/>
  <c r="E353" i="4"/>
  <c r="H348" i="4"/>
  <c r="F344" i="4"/>
  <c r="F339" i="4"/>
  <c r="H334" i="4"/>
  <c r="J330" i="4"/>
  <c r="J325" i="4"/>
  <c r="L320" i="4"/>
  <c r="I316" i="4"/>
  <c r="I311" i="4"/>
  <c r="L306" i="4"/>
  <c r="J302" i="4"/>
  <c r="J297" i="4"/>
  <c r="L292" i="4"/>
  <c r="B289" i="4"/>
  <c r="B284" i="4"/>
  <c r="D279" i="4"/>
  <c r="M274" i="4"/>
  <c r="M269" i="4"/>
  <c r="D265" i="4"/>
  <c r="B261" i="4"/>
  <c r="B256" i="4"/>
  <c r="D251" i="4"/>
  <c r="F247" i="4"/>
  <c r="F242" i="4"/>
  <c r="H237" i="4"/>
  <c r="E233" i="4"/>
  <c r="E228" i="4"/>
  <c r="H223" i="4"/>
  <c r="F219" i="4"/>
  <c r="F214" i="4"/>
  <c r="G209" i="4"/>
  <c r="I205" i="4"/>
  <c r="I200" i="4"/>
  <c r="K195" i="4"/>
  <c r="H191" i="4"/>
  <c r="H186" i="4"/>
  <c r="K181" i="4"/>
  <c r="I177" i="4"/>
  <c r="I172" i="4"/>
  <c r="K167" i="4"/>
  <c r="M163" i="4"/>
  <c r="M158" i="4"/>
  <c r="L149" i="4"/>
  <c r="L144" i="4"/>
  <c r="M135" i="4"/>
  <c r="M130" i="4"/>
  <c r="E122" i="4"/>
  <c r="E117" i="4"/>
  <c r="G112" i="4"/>
  <c r="D108" i="4"/>
  <c r="D103" i="4"/>
  <c r="G98" i="4"/>
  <c r="E94" i="4"/>
  <c r="E89" i="4"/>
  <c r="G84" i="4"/>
  <c r="I80" i="4"/>
  <c r="I75" i="4"/>
  <c r="K70" i="4"/>
  <c r="H66" i="4"/>
  <c r="D62" i="4"/>
  <c r="F58" i="4"/>
  <c r="D54" i="4"/>
  <c r="H50" i="4"/>
  <c r="B46" i="4"/>
  <c r="H42" i="4"/>
  <c r="D39" i="4"/>
  <c r="L35" i="4"/>
  <c r="D32" i="4"/>
  <c r="L28" i="4"/>
  <c r="H25" i="4"/>
  <c r="D22" i="4"/>
  <c r="I46" i="3"/>
  <c r="E43" i="3"/>
  <c r="M39" i="3"/>
  <c r="I36" i="3"/>
  <c r="I32" i="3"/>
  <c r="E29" i="3"/>
  <c r="M25" i="3"/>
  <c r="I22" i="3"/>
  <c r="B96" i="2"/>
  <c r="F93" i="2"/>
  <c r="J88" i="2"/>
  <c r="I86" i="2"/>
  <c r="H84" i="2"/>
  <c r="G82" i="2"/>
  <c r="E80" i="2"/>
  <c r="E78" i="2"/>
  <c r="D76" i="2"/>
  <c r="M71" i="2"/>
  <c r="M69" i="2"/>
  <c r="L67" i="2"/>
  <c r="K65" i="2"/>
  <c r="I63" i="2"/>
  <c r="G61" i="2"/>
  <c r="D59" i="2"/>
  <c r="L56" i="2"/>
  <c r="H54" i="2"/>
  <c r="F52" i="2"/>
  <c r="E50" i="2"/>
  <c r="E48" i="2"/>
  <c r="G46" i="2"/>
  <c r="H44" i="2"/>
  <c r="J42" i="2"/>
  <c r="M40" i="2"/>
  <c r="D39" i="2"/>
  <c r="G37" i="2"/>
  <c r="J35" i="2"/>
  <c r="M33" i="2"/>
  <c r="D32" i="2"/>
  <c r="G30" i="2"/>
  <c r="J28" i="2"/>
  <c r="M26" i="2"/>
  <c r="D25" i="2"/>
  <c r="G23" i="2"/>
  <c r="G705" i="7"/>
  <c r="M606" i="7"/>
  <c r="K542" i="7"/>
  <c r="C467" i="7"/>
  <c r="M377" i="7"/>
  <c r="J331" i="7"/>
  <c r="B294" i="7"/>
  <c r="C265" i="7"/>
  <c r="I237" i="7"/>
  <c r="F213" i="7"/>
  <c r="K191" i="7"/>
  <c r="G145" i="7"/>
  <c r="M108" i="7"/>
  <c r="M93" i="7"/>
  <c r="H78" i="7"/>
  <c r="L60" i="7"/>
  <c r="E46" i="7"/>
  <c r="G178" i="5"/>
  <c r="G164" i="5"/>
  <c r="M147" i="5"/>
  <c r="B132" i="5"/>
  <c r="F119" i="5"/>
  <c r="F105" i="5"/>
  <c r="I93" i="5"/>
  <c r="F80" i="5"/>
  <c r="J66" i="5"/>
  <c r="M54" i="5"/>
  <c r="K43" i="5"/>
  <c r="E32" i="5"/>
  <c r="E22" i="5"/>
  <c r="I624" i="4"/>
  <c r="F615" i="4"/>
  <c r="E607" i="4"/>
  <c r="I597" i="4"/>
  <c r="I588" i="4"/>
  <c r="I581" i="4"/>
  <c r="D573" i="4"/>
  <c r="D565" i="4"/>
  <c r="J559" i="4"/>
  <c r="J539" i="4"/>
  <c r="E533" i="4"/>
  <c r="I526" i="4"/>
  <c r="G521" i="4"/>
  <c r="M508" i="4"/>
  <c r="I504" i="4"/>
  <c r="K498" i="4"/>
  <c r="B493" i="4"/>
  <c r="D488" i="4"/>
  <c r="G476" i="4"/>
  <c r="K466" i="4"/>
  <c r="H461" i="4"/>
  <c r="J457" i="4"/>
  <c r="G452" i="4"/>
  <c r="D447" i="4"/>
  <c r="L442" i="4"/>
  <c r="I437" i="4"/>
  <c r="F432" i="4"/>
  <c r="D428" i="4"/>
  <c r="M422" i="4"/>
  <c r="J417" i="4"/>
  <c r="M413" i="4"/>
  <c r="M408" i="4"/>
  <c r="M403" i="4"/>
  <c r="L399" i="4"/>
  <c r="L394" i="4"/>
  <c r="L389" i="4"/>
  <c r="M385" i="4"/>
  <c r="M380" i="4"/>
  <c r="M375" i="4"/>
  <c r="E372" i="4"/>
  <c r="E362" i="4"/>
  <c r="D358" i="4"/>
  <c r="D353" i="4"/>
  <c r="D348" i="4"/>
  <c r="E344" i="4"/>
  <c r="E339" i="4"/>
  <c r="E334" i="4"/>
  <c r="I330" i="4"/>
  <c r="I325" i="4"/>
  <c r="I320" i="4"/>
  <c r="H316" i="4"/>
  <c r="H311" i="4"/>
  <c r="H306" i="4"/>
  <c r="I302" i="4"/>
  <c r="I297" i="4"/>
  <c r="I292" i="4"/>
  <c r="M283" i="4"/>
  <c r="M278" i="4"/>
  <c r="L274" i="4"/>
  <c r="L269" i="4"/>
  <c r="L264" i="4"/>
  <c r="M260" i="4"/>
  <c r="M255" i="4"/>
  <c r="M250" i="4"/>
  <c r="E247" i="4"/>
  <c r="E242" i="4"/>
  <c r="E237" i="4"/>
  <c r="D233" i="4"/>
  <c r="D223" i="4"/>
  <c r="E219" i="4"/>
  <c r="E214" i="4"/>
  <c r="D209" i="4"/>
  <c r="H205" i="4"/>
  <c r="H200" i="4"/>
  <c r="H195" i="4"/>
  <c r="G191" i="4"/>
  <c r="G186" i="4"/>
  <c r="G181" i="4"/>
  <c r="H172" i="4"/>
  <c r="H167" i="4"/>
  <c r="L163" i="4"/>
  <c r="L158" i="4"/>
  <c r="L153" i="4"/>
  <c r="K149" i="4"/>
  <c r="K144" i="4"/>
  <c r="K139" i="4"/>
  <c r="L130" i="4"/>
  <c r="L125" i="4"/>
  <c r="D122" i="4"/>
  <c r="D117" i="4"/>
  <c r="D112" i="4"/>
  <c r="D94" i="4"/>
  <c r="D89" i="4"/>
  <c r="D84" i="4"/>
  <c r="H80" i="4"/>
  <c r="H75" i="4"/>
  <c r="H70" i="4"/>
  <c r="G66" i="4"/>
  <c r="D58" i="4"/>
  <c r="M45" i="4"/>
  <c r="G42" i="4"/>
  <c r="K31" i="4"/>
  <c r="G28" i="4"/>
  <c r="G46" i="3"/>
  <c r="K39" i="3"/>
  <c r="G36" i="3"/>
  <c r="H32" i="3"/>
  <c r="D29" i="3"/>
  <c r="H22" i="3"/>
  <c r="E93" i="2"/>
  <c r="I88" i="2"/>
  <c r="G84" i="2"/>
  <c r="D80" i="2"/>
  <c r="D78" i="2"/>
  <c r="B74" i="2"/>
  <c r="L71" i="2"/>
  <c r="L69" i="2"/>
  <c r="K67" i="2"/>
  <c r="H63" i="2"/>
  <c r="F61" i="2"/>
  <c r="B59" i="2"/>
  <c r="G54" i="2"/>
  <c r="E52" i="2"/>
  <c r="D48" i="2"/>
  <c r="F46" i="2"/>
  <c r="G44" i="2"/>
  <c r="I42" i="2"/>
  <c r="I35" i="2"/>
  <c r="F30" i="2"/>
  <c r="L26" i="2"/>
  <c r="F23" i="2"/>
  <c r="C600" i="7"/>
  <c r="E465" i="7"/>
  <c r="B415" i="7"/>
  <c r="H375" i="7"/>
  <c r="B290" i="7"/>
  <c r="B265" i="7"/>
  <c r="G237" i="7"/>
  <c r="N209" i="7"/>
  <c r="I191" i="7"/>
  <c r="L166" i="7"/>
  <c r="C144" i="7"/>
  <c r="I127" i="7"/>
  <c r="E108" i="7"/>
  <c r="M90" i="7"/>
  <c r="G78" i="7"/>
  <c r="I60" i="7"/>
  <c r="G45" i="7"/>
  <c r="C34" i="7"/>
  <c r="H177" i="5"/>
  <c r="F164" i="5"/>
  <c r="H147" i="5"/>
  <c r="L131" i="5"/>
  <c r="D119" i="5"/>
  <c r="E105" i="5"/>
  <c r="H93" i="5"/>
  <c r="E80" i="5"/>
  <c r="I66" i="5"/>
  <c r="G54" i="5"/>
  <c r="J43" i="5"/>
  <c r="M623" i="4"/>
  <c r="E614" i="4"/>
  <c r="B597" i="4"/>
  <c r="J587" i="4"/>
  <c r="H580" i="4"/>
  <c r="M557" i="4"/>
  <c r="I551" i="4"/>
  <c r="I544" i="4"/>
  <c r="K538" i="4"/>
  <c r="J532" i="4"/>
  <c r="E526" i="4"/>
  <c r="D520" i="4"/>
  <c r="M514" i="4"/>
  <c r="E503" i="4"/>
  <c r="F498" i="4"/>
  <c r="F492" i="4"/>
  <c r="D487" i="4"/>
  <c r="L481" i="4"/>
  <c r="J466" i="4"/>
  <c r="G461" i="4"/>
  <c r="G456" i="4"/>
  <c r="B452" i="4"/>
  <c r="J446" i="4"/>
  <c r="E437" i="4"/>
  <c r="B432" i="4"/>
  <c r="F427" i="4"/>
  <c r="L422" i="4"/>
  <c r="I417" i="4"/>
  <c r="K412" i="4"/>
  <c r="H403" i="4"/>
  <c r="H394" i="4"/>
  <c r="H389" i="4"/>
  <c r="L375" i="4"/>
  <c r="L366" i="4"/>
  <c r="L361" i="4"/>
  <c r="G357" i="4"/>
  <c r="L347" i="4"/>
  <c r="G343" i="4"/>
  <c r="D339" i="4"/>
  <c r="G329" i="4"/>
  <c r="D325" i="4"/>
  <c r="D320" i="4"/>
  <c r="K315" i="4"/>
  <c r="D306" i="4"/>
  <c r="K301" i="4"/>
  <c r="H297" i="4"/>
  <c r="H292" i="4"/>
  <c r="H283" i="4"/>
  <c r="H278" i="4"/>
  <c r="H269" i="4"/>
  <c r="L255" i="4"/>
  <c r="L250" i="4"/>
  <c r="L241" i="4"/>
  <c r="L236" i="4"/>
  <c r="G232" i="4"/>
  <c r="L222" i="4"/>
  <c r="G218" i="4"/>
  <c r="F204" i="4"/>
  <c r="J190" i="4"/>
  <c r="J176" i="4"/>
  <c r="G167" i="4"/>
  <c r="G158" i="4"/>
  <c r="G153" i="4"/>
  <c r="G144" i="4"/>
  <c r="G139" i="4"/>
  <c r="B135" i="4"/>
  <c r="K125" i="4"/>
  <c r="B121" i="4"/>
  <c r="K111" i="4"/>
  <c r="M585" i="7"/>
  <c r="E406" i="7"/>
  <c r="B287" i="7"/>
  <c r="K209" i="7"/>
  <c r="M142" i="7"/>
  <c r="L90" i="7"/>
  <c r="M54" i="7"/>
  <c r="I157" i="5"/>
  <c r="M114" i="5"/>
  <c r="G40" i="5"/>
  <c r="J623" i="4"/>
  <c r="M596" i="4"/>
  <c r="I578" i="4"/>
  <c r="D556" i="4"/>
  <c r="B537" i="4"/>
  <c r="E519" i="4"/>
  <c r="J502" i="4"/>
  <c r="I486" i="4"/>
  <c r="B471" i="4"/>
  <c r="G460" i="4"/>
  <c r="L445" i="4"/>
  <c r="H431" i="4"/>
  <c r="L416" i="4"/>
  <c r="D403" i="4"/>
  <c r="F389" i="4"/>
  <c r="K375" i="4"/>
  <c r="L364" i="4"/>
  <c r="D351" i="4"/>
  <c r="J337" i="4"/>
  <c r="M310" i="4"/>
  <c r="F297" i="4"/>
  <c r="G283" i="4"/>
  <c r="I272" i="4"/>
  <c r="B259" i="4"/>
  <c r="F232" i="4"/>
  <c r="G222" i="4"/>
  <c r="B209" i="4"/>
  <c r="M198" i="4"/>
  <c r="B186" i="4"/>
  <c r="J175" i="4"/>
  <c r="E164" i="4"/>
  <c r="K152" i="4"/>
  <c r="H141" i="4"/>
  <c r="F129" i="4"/>
  <c r="K117" i="4"/>
  <c r="K106" i="4"/>
  <c r="G97" i="4"/>
  <c r="G87" i="4"/>
  <c r="I65" i="4"/>
  <c r="E57" i="4"/>
  <c r="M48" i="4"/>
  <c r="K40" i="4"/>
  <c r="J31" i="4"/>
  <c r="K24" i="4"/>
  <c r="L45" i="3"/>
  <c r="F38" i="3"/>
  <c r="G31" i="3"/>
  <c r="K92" i="2"/>
  <c r="M87" i="2"/>
  <c r="L82" i="2"/>
  <c r="M77" i="2"/>
  <c r="H73" i="2"/>
  <c r="D69" i="2"/>
  <c r="L64" i="2"/>
  <c r="M58" i="2"/>
  <c r="D54" i="2"/>
  <c r="H49" i="2"/>
  <c r="J45" i="2"/>
  <c r="F41" i="2"/>
  <c r="D37" i="2"/>
  <c r="H33" i="2"/>
  <c r="L29" i="2"/>
  <c r="I45" i="2"/>
  <c r="G33" i="2"/>
  <c r="K29" i="2"/>
  <c r="B69" i="2"/>
  <c r="B37" i="2"/>
  <c r="H116" i="4"/>
  <c r="I58" i="2"/>
  <c r="E33" i="2"/>
  <c r="H802" i="7"/>
  <c r="K191" i="5"/>
  <c r="H66" i="5"/>
  <c r="E551" i="4"/>
  <c r="H485" i="4"/>
  <c r="J426" i="4"/>
  <c r="B389" i="4"/>
  <c r="I347" i="4"/>
  <c r="L295" i="4"/>
  <c r="G172" i="4"/>
  <c r="G116" i="4"/>
  <c r="M28" i="3"/>
  <c r="H91" i="2"/>
  <c r="L81" i="2"/>
  <c r="E63" i="2"/>
  <c r="F58" i="2"/>
  <c r="E44" i="2"/>
  <c r="L36" i="2"/>
  <c r="L24" i="2"/>
  <c r="K570" i="4"/>
  <c r="G455" i="4"/>
  <c r="M374" i="4"/>
  <c r="L281" i="4"/>
  <c r="D208" i="4"/>
  <c r="M148" i="4"/>
  <c r="M83" i="4"/>
  <c r="K37" i="4"/>
  <c r="L28" i="3"/>
  <c r="D86" i="2"/>
  <c r="H67" i="2"/>
  <c r="E58" i="2"/>
  <c r="D44" i="2"/>
  <c r="H32" i="2"/>
  <c r="K24" i="2"/>
  <c r="K62" i="2"/>
  <c r="E70" i="2"/>
  <c r="E342" i="4"/>
  <c r="D144" i="4"/>
  <c r="E32" i="3"/>
  <c r="L22" i="2"/>
  <c r="N314" i="7"/>
  <c r="L406" i="4"/>
  <c r="B200" i="4"/>
  <c r="G78" i="4"/>
  <c r="L55" i="2"/>
  <c r="J408" i="7"/>
  <c r="K460" i="4"/>
  <c r="J300" i="4"/>
  <c r="F153" i="4"/>
  <c r="I408" i="7"/>
  <c r="B446" i="4"/>
  <c r="K272" i="4"/>
  <c r="I130" i="4"/>
  <c r="B25" i="4"/>
  <c r="J73" i="2"/>
  <c r="G407" i="7"/>
  <c r="I351" i="4"/>
  <c r="H130" i="4"/>
  <c r="I31" i="3"/>
  <c r="K837" i="7"/>
  <c r="K585" i="7"/>
  <c r="E403" i="7"/>
  <c r="H286" i="7"/>
  <c r="F209" i="7"/>
  <c r="F142" i="7"/>
  <c r="I89" i="7"/>
  <c r="F45" i="7"/>
  <c r="M192" i="5"/>
  <c r="D157" i="5"/>
  <c r="J113" i="5"/>
  <c r="L75" i="5"/>
  <c r="F40" i="5"/>
  <c r="I623" i="4"/>
  <c r="L596" i="4"/>
  <c r="B573" i="4"/>
  <c r="M536" i="4"/>
  <c r="B519" i="4"/>
  <c r="D502" i="4"/>
  <c r="E486" i="4"/>
  <c r="I470" i="4"/>
  <c r="F456" i="4"/>
  <c r="K445" i="4"/>
  <c r="G431" i="4"/>
  <c r="K416" i="4"/>
  <c r="L402" i="4"/>
  <c r="E389" i="4"/>
  <c r="J375" i="4"/>
  <c r="K361" i="4"/>
  <c r="M350" i="4"/>
  <c r="H337" i="4"/>
  <c r="B324" i="4"/>
  <c r="E297" i="4"/>
  <c r="E283" i="4"/>
  <c r="G269" i="4"/>
  <c r="M258" i="4"/>
  <c r="M244" i="4"/>
  <c r="L231" i="4"/>
  <c r="F222" i="4"/>
  <c r="M208" i="4"/>
  <c r="G198" i="4"/>
  <c r="M185" i="4"/>
  <c r="I175" i="4"/>
  <c r="I162" i="4"/>
  <c r="J152" i="4"/>
  <c r="F139" i="4"/>
  <c r="E129" i="4"/>
  <c r="K116" i="4"/>
  <c r="G106" i="4"/>
  <c r="F97" i="4"/>
  <c r="D87" i="4"/>
  <c r="H65" i="4"/>
  <c r="D57" i="4"/>
  <c r="L48" i="4"/>
  <c r="K39" i="4"/>
  <c r="H31" i="4"/>
  <c r="K45" i="3"/>
  <c r="E38" i="3"/>
  <c r="M29" i="3"/>
  <c r="J92" i="2"/>
  <c r="L87" i="2"/>
  <c r="L77" i="2"/>
  <c r="G73" i="2"/>
  <c r="K58" i="2"/>
  <c r="B54" i="2"/>
  <c r="G49" i="2"/>
  <c r="K40" i="2"/>
  <c r="H25" i="2"/>
  <c r="L53" i="2"/>
  <c r="J40" i="2"/>
  <c r="J29" i="2"/>
  <c r="B25" i="2"/>
  <c r="H152" i="4"/>
  <c r="I40" i="2"/>
  <c r="J368" i="7"/>
  <c r="I620" i="4"/>
  <c r="L514" i="4"/>
  <c r="H455" i="4"/>
  <c r="I402" i="4"/>
  <c r="G268" i="4"/>
  <c r="F208" i="4"/>
  <c r="I150" i="4"/>
  <c r="L94" i="4"/>
  <c r="L45" i="4"/>
  <c r="H45" i="3"/>
  <c r="H77" i="2"/>
  <c r="I48" i="2"/>
  <c r="H28" i="2"/>
  <c r="F802" i="7"/>
  <c r="C259" i="7"/>
  <c r="E186" i="7"/>
  <c r="G139" i="7"/>
  <c r="E88" i="7"/>
  <c r="G43" i="7"/>
  <c r="I191" i="5"/>
  <c r="G145" i="5"/>
  <c r="I103" i="5"/>
  <c r="M31" i="5"/>
  <c r="B550" i="4"/>
  <c r="E532" i="4"/>
  <c r="K514" i="4"/>
  <c r="E498" i="4"/>
  <c r="B470" i="4"/>
  <c r="G426" i="4"/>
  <c r="H412" i="4"/>
  <c r="M388" i="4"/>
  <c r="H347" i="4"/>
  <c r="M319" i="4"/>
  <c r="I295" i="4"/>
  <c r="G254" i="4"/>
  <c r="I241" i="4"/>
  <c r="L217" i="4"/>
  <c r="G184" i="4"/>
  <c r="J161" i="4"/>
  <c r="J125" i="4"/>
  <c r="L105" i="4"/>
  <c r="B74" i="4"/>
  <c r="K45" i="4"/>
  <c r="M30" i="4"/>
  <c r="J35" i="3"/>
  <c r="G77" i="2"/>
  <c r="I53" i="2"/>
  <c r="K36" i="2"/>
  <c r="M43" i="2"/>
  <c r="L31" i="2"/>
  <c r="G51" i="2"/>
  <c r="B60" i="7"/>
  <c r="L300" i="4"/>
  <c r="L99" i="4"/>
  <c r="I26" i="2"/>
  <c r="H159" i="7"/>
  <c r="G379" i="4"/>
  <c r="K222" i="4"/>
  <c r="K26" i="4"/>
  <c r="H26" i="2"/>
  <c r="G103" i="7"/>
  <c r="H417" i="4"/>
  <c r="E259" i="4"/>
  <c r="D143" i="4"/>
  <c r="D34" i="4"/>
  <c r="J22" i="2"/>
  <c r="E159" i="7"/>
  <c r="J460" i="4"/>
  <c r="E212" i="4"/>
  <c r="J87" i="4"/>
  <c r="D24" i="3"/>
  <c r="K37" i="2"/>
  <c r="M101" i="7"/>
  <c r="K337" i="4"/>
  <c r="H142" i="4"/>
  <c r="K38" i="3"/>
  <c r="D26" i="2"/>
  <c r="J827" i="7"/>
  <c r="I520" i="7"/>
  <c r="M401" i="7"/>
  <c r="B284" i="7"/>
  <c r="J208" i="7"/>
  <c r="B141" i="7"/>
  <c r="C89" i="7"/>
  <c r="L192" i="5"/>
  <c r="G147" i="5"/>
  <c r="F113" i="5"/>
  <c r="D40" i="5"/>
  <c r="M621" i="4"/>
  <c r="H596" i="4"/>
  <c r="M572" i="4"/>
  <c r="H551" i="4"/>
  <c r="L536" i="4"/>
  <c r="L518" i="4"/>
  <c r="M485" i="4"/>
  <c r="F470" i="4"/>
  <c r="D456" i="4"/>
  <c r="B442" i="4"/>
  <c r="F431" i="4"/>
  <c r="I416" i="4"/>
  <c r="K402" i="4"/>
  <c r="D389" i="4"/>
  <c r="I375" i="4"/>
  <c r="I361" i="4"/>
  <c r="K347" i="4"/>
  <c r="E337" i="4"/>
  <c r="H323" i="4"/>
  <c r="M309" i="4"/>
  <c r="D283" i="4"/>
  <c r="F269" i="4"/>
  <c r="K255" i="4"/>
  <c r="L244" i="4"/>
  <c r="H231" i="4"/>
  <c r="E222" i="4"/>
  <c r="L208" i="4"/>
  <c r="L185" i="4"/>
  <c r="H175" i="4"/>
  <c r="G162" i="4"/>
  <c r="I152" i="4"/>
  <c r="E139" i="4"/>
  <c r="J116" i="4"/>
  <c r="E97" i="4"/>
  <c r="M85" i="4"/>
  <c r="B75" i="4"/>
  <c r="K56" i="4"/>
  <c r="G48" i="4"/>
  <c r="B39" i="4"/>
  <c r="G31" i="4"/>
  <c r="B24" i="4"/>
  <c r="J45" i="3"/>
  <c r="H92" i="2"/>
  <c r="M86" i="2"/>
  <c r="B82" i="2"/>
  <c r="K77" i="2"/>
  <c r="F73" i="2"/>
  <c r="G63" i="2"/>
  <c r="J58" i="2"/>
  <c r="F49" i="2"/>
  <c r="M44" i="2"/>
  <c r="F33" i="2"/>
  <c r="L128" i="4"/>
  <c r="F86" i="2"/>
  <c r="E68" i="2"/>
  <c r="F44" i="2"/>
  <c r="M24" i="2"/>
  <c r="F517" i="7"/>
  <c r="H139" i="7"/>
  <c r="N43" i="7"/>
  <c r="B105" i="5"/>
  <c r="I594" i="4"/>
  <c r="L501" i="4"/>
  <c r="D361" i="4"/>
  <c r="E309" i="4"/>
  <c r="I255" i="4"/>
  <c r="B195" i="4"/>
  <c r="B84" i="4"/>
  <c r="B31" i="4"/>
  <c r="L97" i="2"/>
  <c r="E86" i="2"/>
  <c r="J67" i="2"/>
  <c r="J53" i="2"/>
  <c r="D33" i="2"/>
  <c r="K514" i="7"/>
  <c r="K440" i="4"/>
  <c r="L194" i="4"/>
  <c r="J115" i="4"/>
  <c r="F64" i="4"/>
  <c r="G23" i="4"/>
  <c r="K97" i="2"/>
  <c r="K81" i="2"/>
  <c r="D63" i="2"/>
  <c r="G40" i="2"/>
  <c r="B52" i="2"/>
  <c r="D28" i="2"/>
  <c r="H106" i="7"/>
  <c r="G393" i="4"/>
  <c r="M224" i="4"/>
  <c r="M110" i="4"/>
  <c r="L48" i="3"/>
  <c r="I38" i="2"/>
  <c r="M414" i="7"/>
  <c r="L431" i="4"/>
  <c r="K97" i="4"/>
  <c r="D32" i="3"/>
  <c r="K22" i="2"/>
  <c r="G159" i="7"/>
  <c r="J507" i="4"/>
  <c r="K365" i="4"/>
  <c r="L272" i="4"/>
  <c r="J166" i="4"/>
  <c r="F78" i="4"/>
  <c r="K73" i="2"/>
  <c r="M209" i="7"/>
  <c r="I392" i="4"/>
  <c r="D189" i="4"/>
  <c r="B46" i="3"/>
  <c r="N143" i="7"/>
  <c r="D365" i="4"/>
  <c r="K175" i="4"/>
  <c r="M45" i="3"/>
  <c r="M64" i="2"/>
  <c r="E812" i="7"/>
  <c r="C519" i="7"/>
  <c r="M368" i="7"/>
  <c r="N283" i="7"/>
  <c r="J205" i="7"/>
  <c r="L140" i="7"/>
  <c r="M88" i="7"/>
  <c r="C44" i="7"/>
  <c r="L191" i="5"/>
  <c r="E147" i="5"/>
  <c r="B75" i="5"/>
  <c r="M39" i="5"/>
  <c r="L621" i="4"/>
  <c r="K594" i="4"/>
  <c r="L572" i="4"/>
  <c r="F551" i="4"/>
  <c r="G532" i="4"/>
  <c r="K518" i="4"/>
  <c r="M501" i="4"/>
  <c r="J485" i="4"/>
  <c r="D470" i="4"/>
  <c r="M455" i="4"/>
  <c r="G441" i="4"/>
  <c r="D427" i="4"/>
  <c r="H416" i="4"/>
  <c r="J402" i="4"/>
  <c r="D375" i="4"/>
  <c r="H361" i="4"/>
  <c r="J347" i="4"/>
  <c r="D323" i="4"/>
  <c r="H309" i="4"/>
  <c r="B296" i="4"/>
  <c r="G282" i="4"/>
  <c r="E269" i="4"/>
  <c r="J255" i="4"/>
  <c r="L242" i="4"/>
  <c r="D231" i="4"/>
  <c r="M219" i="4"/>
  <c r="G208" i="4"/>
  <c r="E197" i="4"/>
  <c r="B185" i="4"/>
  <c r="G173" i="4"/>
  <c r="D162" i="4"/>
  <c r="D139" i="4"/>
  <c r="B106" i="4"/>
  <c r="D97" i="4"/>
  <c r="L74" i="4"/>
  <c r="K64" i="4"/>
  <c r="G56" i="4"/>
  <c r="F47" i="4"/>
  <c r="M38" i="4"/>
  <c r="M23" i="4"/>
  <c r="I45" i="3"/>
  <c r="E37" i="3"/>
  <c r="B29" i="3"/>
  <c r="G92" i="2"/>
  <c r="M81" i="2"/>
  <c r="J77" i="2"/>
  <c r="E73" i="2"/>
  <c r="F63" i="2"/>
  <c r="K53" i="2"/>
  <c r="E49" i="2"/>
  <c r="M36" i="2"/>
  <c r="B29" i="2"/>
  <c r="I259" i="7"/>
  <c r="J88" i="7"/>
  <c r="I145" i="5"/>
  <c r="F38" i="5"/>
  <c r="M570" i="4"/>
  <c r="F532" i="4"/>
  <c r="J412" i="4"/>
  <c r="B334" i="4"/>
  <c r="F282" i="4"/>
  <c r="K241" i="4"/>
  <c r="E218" i="4"/>
  <c r="L184" i="4"/>
  <c r="K161" i="4"/>
  <c r="I127" i="4"/>
  <c r="M105" i="4"/>
  <c r="K74" i="4"/>
  <c r="G64" i="4"/>
  <c r="L38" i="4"/>
  <c r="L23" i="4"/>
  <c r="K35" i="3"/>
  <c r="D73" i="2"/>
  <c r="H40" i="2"/>
  <c r="F366" i="7"/>
  <c r="L619" i="4"/>
  <c r="G485" i="4"/>
  <c r="B399" i="4"/>
  <c r="M333" i="4"/>
  <c r="E268" i="4"/>
  <c r="B231" i="4"/>
  <c r="F172" i="4"/>
  <c r="B139" i="4"/>
  <c r="F93" i="4"/>
  <c r="H55" i="4"/>
  <c r="M43" i="3"/>
  <c r="L90" i="2"/>
  <c r="G72" i="2"/>
  <c r="G28" i="2"/>
  <c r="K47" i="2"/>
  <c r="H35" i="2"/>
  <c r="G24" i="2"/>
  <c r="L60" i="2"/>
  <c r="I366" i="4"/>
  <c r="G189" i="4"/>
  <c r="M34" i="2"/>
  <c r="L227" i="7"/>
  <c r="J352" i="4"/>
  <c r="H176" i="4"/>
  <c r="L49" i="4"/>
  <c r="D30" i="2"/>
  <c r="C594" i="7"/>
  <c r="L392" i="4"/>
  <c r="E189" i="4"/>
  <c r="L25" i="4"/>
  <c r="M45" i="2"/>
  <c r="F103" i="7"/>
  <c r="K351" i="4"/>
  <c r="D259" i="4"/>
  <c r="H166" i="4"/>
  <c r="I97" i="4"/>
  <c r="F54" i="2"/>
  <c r="I55" i="7"/>
  <c r="G297" i="4"/>
  <c r="H97" i="4"/>
  <c r="B78" i="2"/>
  <c r="H791" i="7"/>
  <c r="J514" i="7"/>
  <c r="B361" i="7"/>
  <c r="L258" i="7"/>
  <c r="I185" i="7"/>
  <c r="I124" i="7"/>
  <c r="I42" i="7"/>
  <c r="L190" i="5"/>
  <c r="I144" i="5"/>
  <c r="H103" i="5"/>
  <c r="B66" i="5"/>
  <c r="J31" i="5"/>
  <c r="B614" i="4"/>
  <c r="D593" i="4"/>
  <c r="I570" i="4"/>
  <c r="M549" i="4"/>
  <c r="F531" i="4"/>
  <c r="J514" i="4"/>
  <c r="B498" i="4"/>
  <c r="K481" i="4"/>
  <c r="M469" i="4"/>
  <c r="D455" i="4"/>
  <c r="J440" i="4"/>
  <c r="F426" i="4"/>
  <c r="E412" i="4"/>
  <c r="H398" i="4"/>
  <c r="M384" i="4"/>
  <c r="L374" i="4"/>
  <c r="B361" i="4"/>
  <c r="G347" i="4"/>
  <c r="H333" i="4"/>
  <c r="L319" i="4"/>
  <c r="B306" i="4"/>
  <c r="G292" i="4"/>
  <c r="H281" i="4"/>
  <c r="L267" i="4"/>
  <c r="F254" i="4"/>
  <c r="H241" i="4"/>
  <c r="M230" i="4"/>
  <c r="I217" i="4"/>
  <c r="K194" i="4"/>
  <c r="D184" i="4"/>
  <c r="E172" i="4"/>
  <c r="H161" i="4"/>
  <c r="G148" i="4"/>
  <c r="M138" i="4"/>
  <c r="I125" i="4"/>
  <c r="I115" i="4"/>
  <c r="D93" i="4"/>
  <c r="L83" i="4"/>
  <c r="M73" i="4"/>
  <c r="E64" i="4"/>
  <c r="L53" i="4"/>
  <c r="J45" i="4"/>
  <c r="J37" i="4"/>
  <c r="L30" i="4"/>
  <c r="H22" i="4"/>
  <c r="B43" i="3"/>
  <c r="I35" i="3"/>
  <c r="K28" i="3"/>
  <c r="L96" i="2"/>
  <c r="K90" i="2"/>
  <c r="J81" i="2"/>
  <c r="F77" i="2"/>
  <c r="K71" i="2"/>
  <c r="G67" i="2"/>
  <c r="M62" i="2"/>
  <c r="D58" i="2"/>
  <c r="J52" i="2"/>
  <c r="B48" i="2"/>
  <c r="F40" i="2"/>
  <c r="J36" i="2"/>
  <c r="B32" i="2"/>
  <c r="F28" i="2"/>
  <c r="J24" i="2"/>
  <c r="L788" i="7"/>
  <c r="B505" i="7"/>
  <c r="J359" i="7"/>
  <c r="L254" i="7"/>
  <c r="F185" i="7"/>
  <c r="G124" i="7"/>
  <c r="E75" i="7"/>
  <c r="H42" i="7"/>
  <c r="E187" i="5"/>
  <c r="H144" i="5"/>
  <c r="F103" i="5"/>
  <c r="L65" i="5"/>
  <c r="M30" i="5"/>
  <c r="K613" i="4"/>
  <c r="I587" i="4"/>
  <c r="L569" i="4"/>
  <c r="G549" i="4"/>
  <c r="B531" i="4"/>
  <c r="D513" i="4"/>
  <c r="L497" i="4"/>
  <c r="J481" i="4"/>
  <c r="I466" i="4"/>
  <c r="I440" i="4"/>
  <c r="E426" i="4"/>
  <c r="L411" i="4"/>
  <c r="D398" i="4"/>
  <c r="H384" i="4"/>
  <c r="B371" i="4"/>
  <c r="M360" i="4"/>
  <c r="F347" i="4"/>
  <c r="G333" i="4"/>
  <c r="H319" i="4"/>
  <c r="M305" i="4"/>
  <c r="F292" i="4"/>
  <c r="G278" i="4"/>
  <c r="I267" i="4"/>
  <c r="D254" i="4"/>
  <c r="K240" i="4"/>
  <c r="D229" i="4"/>
  <c r="H217" i="4"/>
  <c r="M205" i="4"/>
  <c r="G194" i="4"/>
  <c r="D183" i="4"/>
  <c r="D172" i="4"/>
  <c r="G161" i="4"/>
  <c r="L138" i="4"/>
  <c r="H125" i="4"/>
  <c r="K102" i="4"/>
  <c r="K92" i="4"/>
  <c r="G83" i="4"/>
  <c r="G73" i="4"/>
  <c r="J62" i="4"/>
  <c r="G53" i="4"/>
  <c r="H45" i="4"/>
  <c r="I37" i="4"/>
  <c r="K30" i="4"/>
  <c r="J42" i="3"/>
  <c r="H35" i="3"/>
  <c r="F28" i="3"/>
  <c r="I95" i="2"/>
  <c r="G90" i="2"/>
  <c r="B86" i="2"/>
  <c r="I81" i="2"/>
  <c r="I76" i="2"/>
  <c r="J71" i="2"/>
  <c r="F67" i="2"/>
  <c r="L62" i="2"/>
  <c r="B58" i="2"/>
  <c r="L47" i="2"/>
  <c r="B44" i="2"/>
  <c r="E40" i="2"/>
  <c r="B36" i="2"/>
  <c r="M31" i="2"/>
  <c r="E28" i="2"/>
  <c r="H24" i="2"/>
  <c r="C702" i="7"/>
  <c r="E504" i="7"/>
  <c r="C357" i="7"/>
  <c r="E254" i="7"/>
  <c r="C183" i="7"/>
  <c r="L123" i="7"/>
  <c r="B177" i="5"/>
  <c r="B142" i="5"/>
  <c r="K102" i="5"/>
  <c r="K65" i="5"/>
  <c r="L30" i="5"/>
  <c r="J613" i="4"/>
  <c r="F587" i="4"/>
  <c r="M564" i="4"/>
  <c r="B549" i="4"/>
  <c r="G530" i="4"/>
  <c r="B497" i="4"/>
  <c r="I481" i="4"/>
  <c r="H466" i="4"/>
  <c r="L451" i="4"/>
  <c r="H440" i="4"/>
  <c r="D426" i="4"/>
  <c r="K411" i="4"/>
  <c r="L397" i="4"/>
  <c r="E384" i="4"/>
  <c r="L370" i="4"/>
  <c r="F357" i="4"/>
  <c r="E347" i="4"/>
  <c r="E333" i="4"/>
  <c r="G319" i="4"/>
  <c r="L305" i="4"/>
  <c r="E292" i="4"/>
  <c r="E278" i="4"/>
  <c r="G264" i="4"/>
  <c r="M253" i="4"/>
  <c r="J240" i="4"/>
  <c r="K227" i="4"/>
  <c r="G217" i="4"/>
  <c r="E204" i="4"/>
  <c r="F194" i="4"/>
  <c r="B181" i="4"/>
  <c r="B171" i="4"/>
  <c r="G159" i="4"/>
  <c r="K147" i="4"/>
  <c r="H136" i="4"/>
  <c r="K114" i="4"/>
  <c r="J102" i="4"/>
  <c r="H92" i="4"/>
  <c r="F83" i="4"/>
  <c r="J61" i="4"/>
  <c r="F53" i="4"/>
  <c r="H37" i="4"/>
  <c r="D29" i="4"/>
  <c r="J49" i="3"/>
  <c r="I42" i="3"/>
  <c r="G35" i="3"/>
  <c r="E28" i="3"/>
  <c r="H95" i="2"/>
  <c r="F90" i="2"/>
  <c r="L85" i="2"/>
  <c r="H81" i="2"/>
  <c r="B76" i="2"/>
  <c r="I71" i="2"/>
  <c r="F57" i="2"/>
  <c r="D40" i="2"/>
  <c r="F42" i="2"/>
  <c r="C163" i="7"/>
  <c r="M259" i="4"/>
  <c r="D42" i="4"/>
  <c r="J50" i="2"/>
  <c r="G106" i="7"/>
  <c r="D461" i="4"/>
  <c r="K300" i="4"/>
  <c r="K166" i="4"/>
  <c r="B59" i="4"/>
  <c r="H38" i="2"/>
  <c r="M59" i="7"/>
  <c r="H406" i="4"/>
  <c r="H212" i="4"/>
  <c r="L88" i="4"/>
  <c r="G38" i="2"/>
  <c r="H475" i="4"/>
  <c r="I300" i="4"/>
  <c r="K142" i="4"/>
  <c r="H41" i="4"/>
  <c r="I83" i="2"/>
  <c r="C287" i="7"/>
  <c r="M378" i="4"/>
  <c r="G187" i="4"/>
  <c r="F57" i="4"/>
  <c r="B88" i="2"/>
  <c r="L701" i="7"/>
  <c r="C465" i="7"/>
  <c r="K356" i="7"/>
  <c r="H182" i="7"/>
  <c r="F121" i="7"/>
  <c r="J73" i="7"/>
  <c r="B30" i="7"/>
  <c r="F176" i="5"/>
  <c r="D131" i="5"/>
  <c r="K100" i="5"/>
  <c r="G65" i="5"/>
  <c r="J30" i="5"/>
  <c r="D587" i="4"/>
  <c r="L564" i="4"/>
  <c r="H544" i="4"/>
  <c r="D530" i="4"/>
  <c r="M512" i="4"/>
  <c r="M496" i="4"/>
  <c r="J480" i="4"/>
  <c r="G466" i="4"/>
  <c r="J451" i="4"/>
  <c r="D437" i="4"/>
  <c r="I411" i="4"/>
  <c r="K397" i="4"/>
  <c r="D384" i="4"/>
  <c r="I370" i="4"/>
  <c r="L356" i="4"/>
  <c r="E343" i="4"/>
  <c r="D333" i="4"/>
  <c r="F319" i="4"/>
  <c r="K305" i="4"/>
  <c r="L291" i="4"/>
  <c r="D278" i="4"/>
  <c r="F264" i="4"/>
  <c r="K250" i="4"/>
  <c r="D240" i="4"/>
  <c r="J227" i="4"/>
  <c r="F217" i="4"/>
  <c r="E194" i="4"/>
  <c r="M180" i="4"/>
  <c r="M170" i="4"/>
  <c r="F158" i="4"/>
  <c r="J147" i="4"/>
  <c r="L134" i="4"/>
  <c r="B125" i="4"/>
  <c r="M113" i="4"/>
  <c r="I102" i="4"/>
  <c r="G92" i="4"/>
  <c r="D83" i="4"/>
  <c r="E72" i="4"/>
  <c r="H61" i="4"/>
  <c r="D53" i="4"/>
  <c r="B45" i="4"/>
  <c r="G37" i="4"/>
  <c r="F28" i="4"/>
  <c r="F49" i="3"/>
  <c r="H42" i="3"/>
  <c r="B35" i="3"/>
  <c r="G95" i="2"/>
  <c r="E90" i="2"/>
  <c r="K85" i="2"/>
  <c r="K80" i="2"/>
  <c r="L75" i="2"/>
  <c r="H71" i="2"/>
  <c r="B67" i="2"/>
  <c r="J62" i="2"/>
  <c r="H56" i="2"/>
  <c r="M51" i="2"/>
  <c r="J47" i="2"/>
  <c r="K43" i="2"/>
  <c r="H39" i="2"/>
  <c r="G35" i="2"/>
  <c r="K31" i="2"/>
  <c r="F24" i="2"/>
  <c r="J43" i="2"/>
  <c r="D315" i="4"/>
  <c r="E169" i="4"/>
  <c r="F79" i="4"/>
  <c r="D95" i="2"/>
  <c r="I51" i="2"/>
  <c r="D23" i="2"/>
  <c r="L447" i="7"/>
  <c r="D450" i="4"/>
  <c r="H328" i="4"/>
  <c r="I236" i="4"/>
  <c r="F167" i="4"/>
  <c r="M60" i="4"/>
  <c r="J27" i="4"/>
  <c r="I25" i="3"/>
  <c r="F75" i="2"/>
  <c r="F447" i="7"/>
  <c r="F631" i="4"/>
  <c r="B492" i="4"/>
  <c r="E421" i="4"/>
  <c r="K366" i="4"/>
  <c r="H314" i="4"/>
  <c r="M263" i="4"/>
  <c r="M225" i="4"/>
  <c r="K189" i="4"/>
  <c r="E167" i="4"/>
  <c r="M133" i="4"/>
  <c r="L100" i="4"/>
  <c r="G69" i="4"/>
  <c r="E42" i="4"/>
  <c r="M48" i="3"/>
  <c r="H25" i="3"/>
  <c r="E75" i="2"/>
  <c r="D46" i="2"/>
  <c r="B23" i="2"/>
  <c r="N444" i="7"/>
  <c r="I446" i="4"/>
  <c r="E287" i="4"/>
  <c r="D167" i="4"/>
  <c r="F69" i="4"/>
  <c r="J24" i="3"/>
  <c r="N59" i="7"/>
  <c r="E393" i="4"/>
  <c r="H259" i="4"/>
  <c r="F143" i="4"/>
  <c r="K41" i="4"/>
  <c r="B46" i="2"/>
  <c r="M288" i="7"/>
  <c r="K431" i="4"/>
  <c r="L245" i="4"/>
  <c r="M108" i="4"/>
  <c r="F46" i="3"/>
  <c r="N590" i="7"/>
  <c r="G417" i="4"/>
  <c r="M235" i="4"/>
  <c r="F107" i="4"/>
  <c r="J31" i="3"/>
  <c r="B30" i="2"/>
  <c r="L209" i="7"/>
  <c r="M445" i="4"/>
  <c r="H286" i="4"/>
  <c r="G41" i="4"/>
  <c r="E37" i="2"/>
  <c r="N700" i="7"/>
  <c r="M461" i="7"/>
  <c r="H330" i="7"/>
  <c r="F253" i="7"/>
  <c r="F181" i="7"/>
  <c r="L120" i="7"/>
  <c r="C72" i="7"/>
  <c r="E29" i="7"/>
  <c r="G175" i="5"/>
  <c r="K130" i="5"/>
  <c r="J91" i="5"/>
  <c r="L61" i="5"/>
  <c r="B613" i="4"/>
  <c r="G564" i="4"/>
  <c r="F544" i="4"/>
  <c r="J512" i="4"/>
  <c r="G496" i="4"/>
  <c r="G480" i="4"/>
  <c r="D465" i="4"/>
  <c r="I451" i="4"/>
  <c r="K422" i="4"/>
  <c r="H411" i="4"/>
  <c r="J397" i="4"/>
  <c r="D370" i="4"/>
  <c r="H356" i="4"/>
  <c r="L342" i="4"/>
  <c r="F329" i="4"/>
  <c r="E319" i="4"/>
  <c r="J305" i="4"/>
  <c r="K291" i="4"/>
  <c r="L277" i="4"/>
  <c r="E264" i="4"/>
  <c r="J250" i="4"/>
  <c r="L239" i="4"/>
  <c r="I227" i="4"/>
  <c r="E217" i="4"/>
  <c r="L203" i="4"/>
  <c r="D194" i="4"/>
  <c r="L180" i="4"/>
  <c r="K170" i="4"/>
  <c r="D158" i="4"/>
  <c r="I147" i="4"/>
  <c r="G134" i="4"/>
  <c r="L124" i="4"/>
  <c r="J111" i="4"/>
  <c r="H102" i="4"/>
  <c r="F92" i="4"/>
  <c r="G61" i="4"/>
  <c r="L44" i="4"/>
  <c r="G36" i="4"/>
  <c r="D28" i="4"/>
  <c r="E49" i="3"/>
  <c r="G42" i="3"/>
  <c r="M34" i="3"/>
  <c r="I26" i="3"/>
  <c r="F95" i="2"/>
  <c r="D90" i="2"/>
  <c r="J85" i="2"/>
  <c r="K75" i="2"/>
  <c r="F71" i="2"/>
  <c r="M66" i="2"/>
  <c r="K61" i="2"/>
  <c r="G56" i="2"/>
  <c r="L51" i="2"/>
  <c r="I47" i="2"/>
  <c r="B39" i="2"/>
  <c r="F35" i="2"/>
  <c r="J31" i="2"/>
  <c r="B28" i="2"/>
  <c r="K23" i="2"/>
  <c r="F671" i="7"/>
  <c r="H342" i="4"/>
  <c r="F203" i="4"/>
  <c r="H101" i="4"/>
  <c r="L34" i="4"/>
  <c r="J25" i="3"/>
  <c r="F84" i="2"/>
  <c r="H42" i="2"/>
  <c r="F668" i="7"/>
  <c r="F421" i="4"/>
  <c r="J287" i="4"/>
  <c r="D203" i="4"/>
  <c r="B134" i="4"/>
  <c r="E79" i="4"/>
  <c r="F42" i="4"/>
  <c r="D42" i="3"/>
  <c r="M60" i="2"/>
  <c r="K663" i="7"/>
  <c r="K604" i="4"/>
  <c r="F461" i="4"/>
  <c r="E394" i="4"/>
  <c r="F342" i="4"/>
  <c r="H287" i="4"/>
  <c r="H236" i="4"/>
  <c r="K156" i="4"/>
  <c r="B111" i="4"/>
  <c r="L50" i="4"/>
  <c r="I27" i="4"/>
  <c r="F32" i="3"/>
  <c r="F65" i="2"/>
  <c r="B35" i="2"/>
  <c r="B596" i="7"/>
  <c r="D435" i="4"/>
  <c r="L249" i="4"/>
  <c r="L133" i="4"/>
  <c r="F34" i="4"/>
  <c r="G595" i="7"/>
  <c r="L420" i="4"/>
  <c r="J212" i="4"/>
  <c r="M88" i="4"/>
  <c r="F24" i="3"/>
  <c r="I227" i="7"/>
  <c r="H491" i="4"/>
  <c r="B339" i="4"/>
  <c r="J222" i="4"/>
  <c r="B120" i="4"/>
  <c r="K49" i="4"/>
  <c r="M49" i="2"/>
  <c r="J55" i="7"/>
  <c r="J365" i="4"/>
  <c r="L175" i="4"/>
  <c r="G57" i="4"/>
  <c r="H590" i="7"/>
  <c r="I431" i="4"/>
  <c r="D245" i="4"/>
  <c r="E107" i="4"/>
  <c r="L24" i="4"/>
  <c r="I73" i="2"/>
  <c r="M700" i="7"/>
  <c r="B458" i="7"/>
  <c r="F326" i="7"/>
  <c r="N235" i="7"/>
  <c r="B181" i="7"/>
  <c r="G119" i="7"/>
  <c r="B72" i="7"/>
  <c r="K28" i="7"/>
  <c r="F175" i="5"/>
  <c r="D129" i="5"/>
  <c r="B91" i="5"/>
  <c r="J52" i="5"/>
  <c r="J28" i="5"/>
  <c r="M612" i="4"/>
  <c r="B587" i="4"/>
  <c r="K563" i="4"/>
  <c r="E544" i="4"/>
  <c r="K525" i="4"/>
  <c r="K508" i="4"/>
  <c r="M495" i="4"/>
  <c r="M479" i="4"/>
  <c r="L450" i="4"/>
  <c r="B437" i="4"/>
  <c r="J422" i="4"/>
  <c r="G408" i="4"/>
  <c r="I397" i="4"/>
  <c r="B384" i="4"/>
  <c r="D356" i="4"/>
  <c r="I342" i="4"/>
  <c r="D329" i="4"/>
  <c r="J315" i="4"/>
  <c r="I305" i="4"/>
  <c r="I291" i="4"/>
  <c r="K277" i="4"/>
  <c r="D264" i="4"/>
  <c r="I250" i="4"/>
  <c r="B239" i="4"/>
  <c r="K226" i="4"/>
  <c r="D215" i="4"/>
  <c r="G203" i="4"/>
  <c r="E192" i="4"/>
  <c r="K180" i="4"/>
  <c r="H170" i="4"/>
  <c r="H147" i="4"/>
  <c r="D134" i="4"/>
  <c r="K124" i="4"/>
  <c r="H111" i="4"/>
  <c r="J101" i="4"/>
  <c r="E92" i="4"/>
  <c r="M80" i="4"/>
  <c r="B70" i="4"/>
  <c r="K52" i="4"/>
  <c r="K44" i="4"/>
  <c r="B35" i="4"/>
  <c r="D49" i="3"/>
  <c r="F42" i="3"/>
  <c r="K34" i="3"/>
  <c r="K25" i="3"/>
  <c r="E95" i="2"/>
  <c r="M84" i="2"/>
  <c r="B80" i="2"/>
  <c r="J75" i="2"/>
  <c r="E71" i="2"/>
  <c r="L66" i="2"/>
  <c r="D61" i="2"/>
  <c r="F56" i="2"/>
  <c r="K51" i="2"/>
  <c r="H47" i="2"/>
  <c r="M38" i="2"/>
  <c r="E35" i="2"/>
  <c r="I31" i="2"/>
  <c r="L27" i="2"/>
  <c r="E23" i="2"/>
  <c r="F324" i="7"/>
  <c r="M235" i="7"/>
  <c r="K166" i="7"/>
  <c r="F119" i="7"/>
  <c r="N71" i="7"/>
  <c r="J28" i="7"/>
  <c r="K174" i="5"/>
  <c r="M89" i="5"/>
  <c r="E52" i="5"/>
  <c r="L612" i="4"/>
  <c r="M586" i="4"/>
  <c r="J563" i="4"/>
  <c r="L543" i="4"/>
  <c r="J525" i="4"/>
  <c r="J508" i="4"/>
  <c r="E492" i="4"/>
  <c r="J479" i="4"/>
  <c r="M464" i="4"/>
  <c r="K450" i="4"/>
  <c r="I422" i="4"/>
  <c r="E408" i="4"/>
  <c r="G394" i="4"/>
  <c r="M383" i="4"/>
  <c r="M369" i="4"/>
  <c r="M328" i="4"/>
  <c r="I301" i="4"/>
  <c r="H291" i="4"/>
  <c r="J277" i="4"/>
  <c r="D250" i="4"/>
  <c r="K236" i="4"/>
  <c r="I226" i="4"/>
  <c r="I190" i="4"/>
  <c r="J180" i="4"/>
  <c r="F157" i="4"/>
  <c r="K145" i="4"/>
  <c r="I122" i="4"/>
  <c r="G111" i="4"/>
  <c r="D92" i="4"/>
  <c r="L69" i="4"/>
  <c r="B61" i="4"/>
  <c r="J52" i="4"/>
  <c r="D43" i="4"/>
  <c r="K27" i="4"/>
  <c r="E42" i="3"/>
  <c r="M33" i="3"/>
  <c r="B90" i="2"/>
  <c r="M79" i="2"/>
  <c r="G75" i="2"/>
  <c r="D71" i="2"/>
  <c r="D66" i="2"/>
  <c r="B61" i="2"/>
  <c r="E56" i="2"/>
  <c r="G47" i="2"/>
  <c r="L38" i="2"/>
  <c r="D35" i="2"/>
  <c r="H31" i="2"/>
  <c r="E27" i="2"/>
  <c r="C324" i="7"/>
  <c r="K234" i="7"/>
  <c r="M163" i="7"/>
  <c r="N107" i="7"/>
  <c r="B71" i="7"/>
  <c r="C27" i="7"/>
  <c r="G174" i="5"/>
  <c r="F128" i="5"/>
  <c r="L89" i="5"/>
  <c r="H605" i="4"/>
  <c r="L586" i="4"/>
  <c r="H563" i="4"/>
  <c r="K543" i="4"/>
  <c r="I525" i="4"/>
  <c r="H508" i="4"/>
  <c r="B476" i="4"/>
  <c r="J464" i="4"/>
  <c r="M435" i="4"/>
  <c r="D408" i="4"/>
  <c r="F394" i="4"/>
  <c r="K380" i="4"/>
  <c r="L369" i="4"/>
  <c r="B356" i="4"/>
  <c r="G342" i="4"/>
  <c r="L314" i="4"/>
  <c r="D301" i="4"/>
  <c r="I277" i="4"/>
  <c r="B264" i="4"/>
  <c r="D226" i="4"/>
  <c r="B214" i="4"/>
  <c r="I180" i="4"/>
  <c r="E157" i="4"/>
  <c r="F144" i="4"/>
  <c r="M120" i="4"/>
  <c r="K69" i="4"/>
  <c r="I52" i="4"/>
  <c r="K34" i="4"/>
  <c r="B49" i="3"/>
  <c r="G32" i="3"/>
  <c r="B95" i="2"/>
  <c r="D89" i="2"/>
  <c r="D84" i="2"/>
  <c r="L79" i="2"/>
  <c r="G65" i="2"/>
  <c r="D56" i="2"/>
  <c r="H51" i="2"/>
  <c r="K46" i="2"/>
  <c r="G42" i="2"/>
  <c r="K38" i="2"/>
  <c r="G31" i="2"/>
  <c r="K26" i="2"/>
  <c r="K374" i="8"/>
  <c r="E317" i="7"/>
  <c r="G234" i="7"/>
  <c r="L163" i="7"/>
  <c r="N106" i="7"/>
  <c r="C60" i="7"/>
  <c r="M26" i="7"/>
  <c r="I173" i="5"/>
  <c r="E128" i="5"/>
  <c r="F89" i="5"/>
  <c r="B52" i="5"/>
  <c r="L579" i="4"/>
  <c r="G563" i="4"/>
  <c r="F543" i="4"/>
  <c r="G525" i="4"/>
  <c r="B508" i="4"/>
  <c r="M475" i="4"/>
  <c r="L449" i="4"/>
  <c r="H435" i="4"/>
  <c r="G407" i="4"/>
  <c r="J380" i="4"/>
  <c r="M355" i="4"/>
  <c r="G328" i="4"/>
  <c r="M300" i="4"/>
  <c r="B274" i="4"/>
  <c r="M249" i="4"/>
  <c r="M213" i="4"/>
  <c r="H180" i="4"/>
  <c r="E144" i="4"/>
  <c r="K120" i="4"/>
  <c r="L60" i="4"/>
  <c r="G34" i="4"/>
  <c r="I40" i="3"/>
  <c r="M94" i="2"/>
  <c r="H88" i="2"/>
  <c r="J79" i="2"/>
  <c r="B56" i="2"/>
  <c r="J38" i="2"/>
  <c r="K30" i="2"/>
  <c r="J26" i="2"/>
  <c r="E366" i="8"/>
  <c r="L163" i="5"/>
  <c r="H127" i="5"/>
  <c r="K88" i="5"/>
  <c r="M51" i="5"/>
  <c r="J630" i="4"/>
  <c r="M603" i="4"/>
  <c r="E579" i="4"/>
  <c r="L557" i="4"/>
  <c r="E543" i="4"/>
  <c r="F525" i="4"/>
  <c r="M507" i="4"/>
  <c r="J491" i="4"/>
  <c r="K475" i="4"/>
  <c r="E461" i="4"/>
  <c r="F407" i="4"/>
  <c r="I380" i="4"/>
  <c r="K352" i="4"/>
  <c r="E328" i="4"/>
  <c r="G314" i="4"/>
  <c r="H273" i="4"/>
  <c r="D236" i="4"/>
  <c r="K212" i="4"/>
  <c r="D178" i="4"/>
  <c r="G156" i="4"/>
  <c r="H120" i="4"/>
  <c r="B89" i="4"/>
  <c r="L78" i="4"/>
  <c r="B50" i="4"/>
  <c r="H27" i="4"/>
  <c r="J39" i="3"/>
  <c r="K93" i="2"/>
  <c r="G88" i="2"/>
  <c r="B84" i="2"/>
  <c r="I79" i="2"/>
  <c r="D75" i="2"/>
  <c r="J69" i="2"/>
  <c r="E65" i="2"/>
  <c r="K60" i="2"/>
  <c r="M55" i="2"/>
  <c r="E42" i="2"/>
  <c r="E30" i="2"/>
  <c r="K163" i="5"/>
  <c r="K118" i="5"/>
  <c r="J88" i="5"/>
  <c r="L51" i="5"/>
  <c r="I630" i="4"/>
  <c r="D603" i="4"/>
  <c r="M578" i="4"/>
  <c r="E557" i="4"/>
  <c r="J538" i="4"/>
  <c r="E525" i="4"/>
  <c r="K507" i="4"/>
  <c r="I491" i="4"/>
  <c r="J475" i="4"/>
  <c r="G446" i="4"/>
  <c r="H366" i="4"/>
  <c r="D328" i="4"/>
  <c r="F314" i="4"/>
  <c r="L286" i="4"/>
  <c r="D273" i="4"/>
  <c r="B246" i="4"/>
  <c r="F189" i="4"/>
  <c r="I155" i="4"/>
  <c r="K131" i="4"/>
  <c r="L110" i="4"/>
  <c r="E69" i="4"/>
  <c r="E34" i="4"/>
  <c r="I47" i="3"/>
  <c r="F39" i="3"/>
  <c r="D93" i="2"/>
  <c r="F88" i="2"/>
  <c r="K83" i="2"/>
  <c r="H79" i="2"/>
  <c r="H74" i="2"/>
  <c r="I69" i="2"/>
  <c r="D65" i="2"/>
  <c r="I60" i="2"/>
  <c r="D42" i="2"/>
  <c r="E34" i="2"/>
  <c r="I172" i="8"/>
  <c r="D160" i="5"/>
  <c r="J118" i="5"/>
  <c r="D80" i="5"/>
  <c r="D50" i="5"/>
  <c r="G630" i="4"/>
  <c r="L578" i="4"/>
  <c r="L556" i="4"/>
  <c r="M537" i="4"/>
  <c r="B520" i="4"/>
  <c r="I475" i="4"/>
  <c r="F446" i="4"/>
  <c r="F379" i="4"/>
  <c r="I352" i="4"/>
  <c r="E314" i="4"/>
  <c r="K286" i="4"/>
  <c r="B236" i="4"/>
  <c r="L199" i="4"/>
  <c r="J130" i="4"/>
  <c r="J97" i="4"/>
  <c r="D69" i="4"/>
  <c r="J41" i="4"/>
  <c r="E39" i="3"/>
  <c r="E24" i="3"/>
  <c r="B93" i="2"/>
  <c r="E88" i="2"/>
  <c r="J83" i="2"/>
  <c r="G79" i="2"/>
  <c r="H69" i="2"/>
  <c r="H60" i="2"/>
  <c r="B55" i="2"/>
  <c r="K33" i="2"/>
  <c r="G26" i="2"/>
  <c r="K36" i="8"/>
  <c r="M159" i="5"/>
  <c r="I116" i="5"/>
  <c r="H43" i="5"/>
  <c r="F630" i="4"/>
  <c r="B603" i="4"/>
  <c r="K578" i="4"/>
  <c r="G556" i="4"/>
  <c r="G537" i="4"/>
  <c r="I519" i="4"/>
  <c r="G491" i="4"/>
  <c r="J431" i="4"/>
  <c r="G403" i="4"/>
  <c r="D379" i="4"/>
  <c r="M338" i="4"/>
  <c r="M324" i="4"/>
  <c r="I286" i="4"/>
  <c r="I245" i="4"/>
  <c r="I222" i="4"/>
  <c r="K199" i="4"/>
  <c r="D153" i="4"/>
  <c r="L119" i="4"/>
  <c r="D78" i="4"/>
  <c r="E67" i="4"/>
  <c r="D39" i="3"/>
  <c r="M92" i="2"/>
  <c r="D88" i="2"/>
  <c r="I78" i="2"/>
  <c r="G69" i="2"/>
  <c r="B65" i="2"/>
  <c r="G60" i="2"/>
  <c r="L49" i="2"/>
  <c r="L45" i="2"/>
  <c r="B42" i="2"/>
  <c r="J33" i="2"/>
  <c r="F26" i="2"/>
  <c r="I22" i="2"/>
  <c r="M158" i="5"/>
  <c r="H116" i="5"/>
  <c r="H77" i="5"/>
  <c r="E43" i="5"/>
  <c r="L623" i="4"/>
  <c r="M602" i="4"/>
  <c r="J578" i="4"/>
  <c r="F556" i="4"/>
  <c r="F519" i="4"/>
  <c r="M502" i="4"/>
  <c r="G475" i="4"/>
  <c r="H460" i="4"/>
  <c r="F417" i="4"/>
  <c r="E403" i="4"/>
  <c r="G389" i="4"/>
  <c r="L324" i="4"/>
  <c r="B311" i="4"/>
  <c r="J272" i="4"/>
  <c r="B234" i="4"/>
  <c r="H222" i="4"/>
  <c r="B211" i="4"/>
  <c r="B199" i="4"/>
  <c r="G166" i="4"/>
  <c r="K119" i="4"/>
  <c r="I87" i="4"/>
  <c r="J65" i="4"/>
  <c r="B49" i="4"/>
  <c r="E23" i="3"/>
  <c r="L92" i="2"/>
  <c r="H83" i="2"/>
  <c r="F69" i="2"/>
  <c r="I59" i="2"/>
  <c r="E54" i="2"/>
  <c r="K49" i="2"/>
  <c r="K45" i="2"/>
  <c r="M41" i="2"/>
  <c r="I33" i="2"/>
  <c r="M29" i="2"/>
  <c r="B22" i="2"/>
  <c r="C23" i="3" l="1"/>
  <c r="C403" i="4"/>
  <c r="C43" i="5"/>
  <c r="C67" i="4"/>
  <c r="C88" i="2"/>
  <c r="C24" i="3"/>
  <c r="C39" i="3"/>
  <c r="C314" i="4"/>
  <c r="C34" i="2"/>
  <c r="C34" i="4"/>
  <c r="C69" i="4"/>
  <c r="C525" i="4"/>
  <c r="C557" i="4"/>
  <c r="C30" i="2"/>
  <c r="C42" i="2"/>
  <c r="C65" i="2"/>
  <c r="C328" i="4"/>
  <c r="C461" i="4"/>
  <c r="C543" i="4"/>
  <c r="C579" i="4"/>
  <c r="C144" i="4"/>
  <c r="C128" i="5"/>
  <c r="C157" i="4"/>
  <c r="C27" i="2"/>
  <c r="C42" i="3"/>
  <c r="C408" i="4"/>
  <c r="C492" i="4"/>
  <c r="C52" i="5"/>
  <c r="D119" i="7"/>
  <c r="D324" i="7"/>
  <c r="C23" i="2"/>
  <c r="C35" i="2"/>
  <c r="C71" i="2"/>
  <c r="C92" i="4"/>
  <c r="C192" i="4"/>
  <c r="C544" i="4"/>
  <c r="D326" i="7"/>
  <c r="C107" i="4"/>
  <c r="C394" i="4"/>
  <c r="C79" i="4"/>
  <c r="D668" i="7"/>
  <c r="D671" i="7"/>
  <c r="C49" i="3"/>
  <c r="C217" i="4"/>
  <c r="C264" i="4"/>
  <c r="C319" i="4"/>
  <c r="D181" i="7"/>
  <c r="D253" i="7"/>
  <c r="C37" i="2"/>
  <c r="C393" i="4"/>
  <c r="C287" i="4"/>
  <c r="C75" i="2"/>
  <c r="C42" i="4"/>
  <c r="C167" i="4"/>
  <c r="C421" i="4"/>
  <c r="D447" i="7"/>
  <c r="C169" i="4"/>
  <c r="C90" i="2"/>
  <c r="C72" i="4"/>
  <c r="C194" i="4"/>
  <c r="C343" i="4"/>
  <c r="D121" i="7"/>
  <c r="C28" i="3"/>
  <c r="C204" i="4"/>
  <c r="C278" i="4"/>
  <c r="C292" i="4"/>
  <c r="C333" i="4"/>
  <c r="C347" i="4"/>
  <c r="C384" i="4"/>
  <c r="C28" i="2"/>
  <c r="C40" i="2"/>
  <c r="C426" i="4"/>
  <c r="D185" i="7"/>
  <c r="C64" i="4"/>
  <c r="C172" i="4"/>
  <c r="C412" i="4"/>
  <c r="D103" i="7"/>
  <c r="C189" i="4"/>
  <c r="C268" i="4"/>
  <c r="D366" i="7"/>
  <c r="C218" i="4"/>
  <c r="C49" i="2"/>
  <c r="C73" i="2"/>
  <c r="C37" i="3"/>
  <c r="C197" i="4"/>
  <c r="C269" i="4"/>
  <c r="C86" i="2"/>
  <c r="C309" i="4"/>
  <c r="D517" i="7"/>
  <c r="C68" i="2"/>
  <c r="C97" i="4"/>
  <c r="C139" i="4"/>
  <c r="C222" i="4"/>
  <c r="C337" i="4"/>
  <c r="C212" i="4"/>
  <c r="J124" i="2"/>
  <c r="C259" i="4"/>
  <c r="C498" i="4"/>
  <c r="C532" i="4"/>
  <c r="C38" i="3"/>
  <c r="C129" i="4"/>
  <c r="C283" i="4"/>
  <c r="C297" i="4"/>
  <c r="C389" i="4"/>
  <c r="C486" i="4"/>
  <c r="D45" i="7"/>
  <c r="D142" i="7"/>
  <c r="D209" i="7"/>
  <c r="C32" i="3"/>
  <c r="C342" i="4"/>
  <c r="C70" i="2"/>
  <c r="C44" i="2"/>
  <c r="C551" i="4"/>
  <c r="C33" i="2"/>
  <c r="C57" i="4"/>
  <c r="C164" i="4"/>
  <c r="C519" i="4"/>
  <c r="C437" i="4"/>
  <c r="C503" i="4"/>
  <c r="C526" i="4"/>
  <c r="C614" i="4"/>
  <c r="C80" i="5"/>
  <c r="C105" i="5"/>
  <c r="C52" i="2"/>
  <c r="C93" i="2"/>
  <c r="C214" i="4"/>
  <c r="C219" i="4"/>
  <c r="C237" i="4"/>
  <c r="C242" i="4"/>
  <c r="C247" i="4"/>
  <c r="C334" i="4"/>
  <c r="C339" i="4"/>
  <c r="C344" i="4"/>
  <c r="C362" i="4"/>
  <c r="C372" i="4"/>
  <c r="C533" i="4"/>
  <c r="C607" i="4"/>
  <c r="C22" i="5"/>
  <c r="C32" i="5"/>
  <c r="D213" i="7"/>
  <c r="C48" i="2"/>
  <c r="C50" i="2"/>
  <c r="C78" i="2"/>
  <c r="C80" i="2"/>
  <c r="C29" i="3"/>
  <c r="C43" i="3"/>
  <c r="C89" i="4"/>
  <c r="C94" i="4"/>
  <c r="C117" i="4"/>
  <c r="C122" i="4"/>
  <c r="C228" i="4"/>
  <c r="C233" i="4"/>
  <c r="C353" i="4"/>
  <c r="C358" i="4"/>
  <c r="C428" i="4"/>
  <c r="C488" i="4"/>
  <c r="C493" i="4"/>
  <c r="C509" i="4"/>
  <c r="C573" i="4"/>
  <c r="C95" i="5"/>
  <c r="C367" i="4"/>
  <c r="C25" i="2"/>
  <c r="C32" i="2"/>
  <c r="C39" i="2"/>
  <c r="C76" i="2"/>
  <c r="J125" i="3"/>
  <c r="C22" i="4"/>
  <c r="C32" i="4"/>
  <c r="C39" i="4"/>
  <c r="C54" i="4"/>
  <c r="C154" i="4"/>
  <c r="C182" i="4"/>
  <c r="C293" i="4"/>
  <c r="C462" i="4"/>
  <c r="C472" i="4"/>
  <c r="C515" i="4"/>
  <c r="C590" i="4"/>
  <c r="D705" i="7"/>
  <c r="C91" i="2"/>
  <c r="F724" i="4"/>
  <c r="C433" i="4"/>
  <c r="C540" i="4"/>
  <c r="C566" i="4"/>
  <c r="C47" i="4"/>
  <c r="C284" i="4"/>
  <c r="C289" i="4"/>
  <c r="C294" i="4"/>
  <c r="C312" i="4"/>
  <c r="C317" i="4"/>
  <c r="C322" i="4"/>
  <c r="C409" i="4"/>
  <c r="C414" i="4"/>
  <c r="C463" i="4"/>
  <c r="C591" i="4"/>
  <c r="C34" i="5"/>
  <c r="C108" i="5"/>
  <c r="D545" i="7"/>
  <c r="C308" i="4"/>
  <c r="C132" i="4"/>
  <c r="C468" i="4"/>
  <c r="J724" i="4"/>
  <c r="C458" i="4"/>
  <c r="C511" i="4"/>
  <c r="C560" i="4"/>
  <c r="C592" i="4"/>
  <c r="C609" i="4"/>
  <c r="D273" i="7"/>
  <c r="C516" i="4"/>
  <c r="D80" i="7"/>
  <c r="C505" i="4"/>
  <c r="C43" i="2"/>
  <c r="C22" i="2"/>
  <c r="C29" i="2"/>
  <c r="C234" i="4"/>
  <c r="C239" i="4"/>
  <c r="C244" i="4"/>
  <c r="C262" i="4"/>
  <c r="C267" i="4"/>
  <c r="C272" i="4"/>
  <c r="C359" i="4"/>
  <c r="C364" i="4"/>
  <c r="C369" i="4"/>
  <c r="C387" i="4"/>
  <c r="C392" i="4"/>
  <c r="C397" i="4"/>
  <c r="C449" i="4"/>
  <c r="C495" i="4"/>
  <c r="C536" i="4"/>
  <c r="C619" i="4"/>
  <c r="C73" i="5"/>
  <c r="C85" i="5"/>
  <c r="C98" i="5"/>
  <c r="D52" i="7"/>
  <c r="D133" i="7"/>
  <c r="D496" i="7"/>
  <c r="C303" i="4"/>
  <c r="D131" i="7"/>
  <c r="C66" i="2"/>
  <c r="C29" i="4"/>
  <c r="C368" i="4"/>
  <c r="C489" i="4"/>
  <c r="D172" i="7"/>
  <c r="D307" i="7"/>
  <c r="F124" i="2"/>
  <c r="C45" i="2"/>
  <c r="C83" i="2"/>
  <c r="C85" i="2"/>
  <c r="C27" i="3"/>
  <c r="C34" i="3"/>
  <c r="C48" i="3"/>
  <c r="C44" i="4"/>
  <c r="C114" i="4"/>
  <c r="C119" i="4"/>
  <c r="C142" i="4"/>
  <c r="C147" i="4"/>
  <c r="C253" i="4"/>
  <c r="C258" i="4"/>
  <c r="C378" i="4"/>
  <c r="C383" i="4"/>
  <c r="C444" i="4"/>
  <c r="C469" i="4"/>
  <c r="D69" i="7"/>
  <c r="D639" i="7"/>
  <c r="C104" i="4"/>
  <c r="C25" i="5"/>
  <c r="C38" i="2"/>
  <c r="C47" i="2"/>
  <c r="C81" i="2"/>
  <c r="C37" i="4"/>
  <c r="C82" i="4"/>
  <c r="C179" i="4"/>
  <c r="C207" i="4"/>
  <c r="C318" i="4"/>
  <c r="C485" i="4"/>
  <c r="C501" i="4"/>
  <c r="C243" i="4"/>
  <c r="C24" i="2"/>
  <c r="C464" i="4"/>
  <c r="C518" i="4"/>
  <c r="C542" i="4"/>
  <c r="C548" i="4"/>
  <c r="C555" i="4"/>
  <c r="C569" i="4"/>
  <c r="C629" i="4"/>
  <c r="C38" i="5"/>
  <c r="C113" i="5"/>
  <c r="D356" i="7"/>
  <c r="C59" i="4"/>
  <c r="C62" i="4"/>
  <c r="C84" i="4"/>
  <c r="C87" i="4"/>
  <c r="C109" i="4"/>
  <c r="C112" i="4"/>
  <c r="C134" i="4"/>
  <c r="C137" i="4"/>
  <c r="C159" i="4"/>
  <c r="C162" i="4"/>
  <c r="C184" i="4"/>
  <c r="C187" i="4"/>
  <c r="C209" i="4"/>
  <c r="C223" i="4"/>
  <c r="C248" i="4"/>
  <c r="C273" i="4"/>
  <c r="C298" i="4"/>
  <c r="C323" i="4"/>
  <c r="C348" i="4"/>
  <c r="C373" i="4"/>
  <c r="C398" i="4"/>
  <c r="C447" i="4"/>
  <c r="C483" i="4"/>
  <c r="C499" i="4"/>
  <c r="C523" i="4"/>
  <c r="C530" i="4"/>
  <c r="C565" i="4"/>
  <c r="D54" i="7"/>
  <c r="C496" i="4"/>
  <c r="C534" i="4"/>
  <c r="C541" i="4"/>
  <c r="C599" i="4"/>
  <c r="C33" i="5"/>
  <c r="D63" i="7"/>
  <c r="D82" i="7"/>
  <c r="D211" i="7"/>
  <c r="D662" i="7"/>
  <c r="C229" i="4"/>
  <c r="C232" i="4"/>
  <c r="C254" i="4"/>
  <c r="C257" i="4"/>
  <c r="C279" i="4"/>
  <c r="C282" i="4"/>
  <c r="C304" i="4"/>
  <c r="C307" i="4"/>
  <c r="C329" i="4"/>
  <c r="C332" i="4"/>
  <c r="C354" i="4"/>
  <c r="C357" i="4"/>
  <c r="C379" i="4"/>
  <c r="C382" i="4"/>
  <c r="C404" i="4"/>
  <c r="C407" i="4"/>
  <c r="C418" i="4"/>
  <c r="C456" i="4"/>
  <c r="C480" i="4"/>
  <c r="C40" i="5"/>
  <c r="C123" i="5"/>
  <c r="D102" i="7"/>
  <c r="D159" i="7"/>
  <c r="D340" i="7"/>
  <c r="C471" i="4"/>
  <c r="C487" i="4"/>
  <c r="C500" i="4"/>
  <c r="C562" i="4"/>
  <c r="F227" i="5"/>
  <c r="C70" i="5"/>
  <c r="D23" i="7"/>
  <c r="D174" i="7"/>
  <c r="D216" i="7"/>
  <c r="C224" i="4"/>
  <c r="C227" i="4"/>
  <c r="C249" i="4"/>
  <c r="C252" i="4"/>
  <c r="C274" i="4"/>
  <c r="C277" i="4"/>
  <c r="C299" i="4"/>
  <c r="C302" i="4"/>
  <c r="C324" i="4"/>
  <c r="C327" i="4"/>
  <c r="C349" i="4"/>
  <c r="C352" i="4"/>
  <c r="C374" i="4"/>
  <c r="C377" i="4"/>
  <c r="C399" i="4"/>
  <c r="C402" i="4"/>
  <c r="C442" i="4"/>
  <c r="C481" i="4"/>
  <c r="C550" i="4"/>
  <c r="J227" i="5"/>
  <c r="D85" i="7"/>
  <c r="D94" i="7"/>
  <c r="C22" i="3"/>
  <c r="C33" i="3"/>
  <c r="C44" i="3"/>
  <c r="C47" i="3"/>
  <c r="C24" i="4"/>
  <c r="C27" i="4"/>
  <c r="C49" i="4"/>
  <c r="C52" i="4"/>
  <c r="C74" i="4"/>
  <c r="C77" i="4"/>
  <c r="C99" i="4"/>
  <c r="C102" i="4"/>
  <c r="C124" i="4"/>
  <c r="C127" i="4"/>
  <c r="C149" i="4"/>
  <c r="C152" i="4"/>
  <c r="C174" i="4"/>
  <c r="C177" i="4"/>
  <c r="C199" i="4"/>
  <c r="C202" i="4"/>
  <c r="C213" i="4"/>
  <c r="C238" i="4"/>
  <c r="C263" i="4"/>
  <c r="C288" i="4"/>
  <c r="C313" i="4"/>
  <c r="C338" i="4"/>
  <c r="C363" i="4"/>
  <c r="C388" i="4"/>
  <c r="C413" i="4"/>
  <c r="C454" i="4"/>
  <c r="C497" i="4"/>
  <c r="C517" i="4"/>
  <c r="C567" i="4"/>
  <c r="C596" i="4"/>
  <c r="C617" i="4"/>
  <c r="D125" i="7"/>
  <c r="D347" i="7"/>
  <c r="D623" i="7"/>
  <c r="D683" i="7"/>
  <c r="F125" i="3"/>
  <c r="C419" i="4"/>
  <c r="C491" i="4"/>
  <c r="C494" i="4"/>
  <c r="C521" i="4"/>
  <c r="C528" i="4"/>
  <c r="C581" i="4"/>
  <c r="C110" i="5"/>
  <c r="D202" i="7"/>
  <c r="C451" i="4"/>
  <c r="C457" i="4"/>
  <c r="C507" i="4"/>
  <c r="C514" i="4"/>
  <c r="C539" i="4"/>
  <c r="C586" i="4"/>
  <c r="C601" i="4"/>
  <c r="C612" i="4"/>
  <c r="D176" i="7"/>
  <c r="D429" i="7"/>
  <c r="C26" i="2"/>
  <c r="C31" i="2"/>
  <c r="C36" i="2"/>
  <c r="C41" i="2"/>
  <c r="C46" i="2"/>
  <c r="C51" i="2"/>
  <c r="C211" i="4"/>
  <c r="C216" i="4"/>
  <c r="C221" i="4"/>
  <c r="C226" i="4"/>
  <c r="C231" i="4"/>
  <c r="C236" i="4"/>
  <c r="C241" i="4"/>
  <c r="C246" i="4"/>
  <c r="C251" i="4"/>
  <c r="C256" i="4"/>
  <c r="C261" i="4"/>
  <c r="C266" i="4"/>
  <c r="C271" i="4"/>
  <c r="C276" i="4"/>
  <c r="C281" i="4"/>
  <c r="C286" i="4"/>
  <c r="C291" i="4"/>
  <c r="C296" i="4"/>
  <c r="C301" i="4"/>
  <c r="C306" i="4"/>
  <c r="C311" i="4"/>
  <c r="C316" i="4"/>
  <c r="C321" i="4"/>
  <c r="C326" i="4"/>
  <c r="C331" i="4"/>
  <c r="C336" i="4"/>
  <c r="C341" i="4"/>
  <c r="C346" i="4"/>
  <c r="C351" i="4"/>
  <c r="C356" i="4"/>
  <c r="C361" i="4"/>
  <c r="C366" i="4"/>
  <c r="C371" i="4"/>
  <c r="C376" i="4"/>
  <c r="C381" i="4"/>
  <c r="C386" i="4"/>
  <c r="C391" i="4"/>
  <c r="C396" i="4"/>
  <c r="C401" i="4"/>
  <c r="C406" i="4"/>
  <c r="C411" i="4"/>
  <c r="C416" i="4"/>
  <c r="C423" i="4"/>
  <c r="C474" i="4"/>
  <c r="C594" i="4"/>
  <c r="C616" i="4"/>
  <c r="C29" i="5"/>
  <c r="D40" i="7"/>
  <c r="D238" i="7"/>
  <c r="D256" i="7"/>
  <c r="D341" i="7"/>
  <c r="D419" i="7"/>
  <c r="C67" i="2"/>
  <c r="C72" i="2"/>
  <c r="C77" i="2"/>
  <c r="C82" i="2"/>
  <c r="C87" i="2"/>
  <c r="C92" i="2"/>
  <c r="C26" i="4"/>
  <c r="C31" i="4"/>
  <c r="C36" i="4"/>
  <c r="C41" i="4"/>
  <c r="C46" i="4"/>
  <c r="C51" i="4"/>
  <c r="C56" i="4"/>
  <c r="C61" i="4"/>
  <c r="C66" i="4"/>
  <c r="C71" i="4"/>
  <c r="C76" i="4"/>
  <c r="C81" i="4"/>
  <c r="C86" i="4"/>
  <c r="C91" i="4"/>
  <c r="C96" i="4"/>
  <c r="C101" i="4"/>
  <c r="C106" i="4"/>
  <c r="C111" i="4"/>
  <c r="C116" i="4"/>
  <c r="C121" i="4"/>
  <c r="C126" i="4"/>
  <c r="C131" i="4"/>
  <c r="C136" i="4"/>
  <c r="C141" i="4"/>
  <c r="C146" i="4"/>
  <c r="C151" i="4"/>
  <c r="C156" i="4"/>
  <c r="C161" i="4"/>
  <c r="C166" i="4"/>
  <c r="C171" i="4"/>
  <c r="C176" i="4"/>
  <c r="C181" i="4"/>
  <c r="C186" i="4"/>
  <c r="C191" i="4"/>
  <c r="C196" i="4"/>
  <c r="C201" i="4"/>
  <c r="C206" i="4"/>
  <c r="C467" i="4"/>
  <c r="C476" i="4"/>
  <c r="C537" i="4"/>
  <c r="C546" i="4"/>
  <c r="C553" i="4"/>
  <c r="C563" i="4"/>
  <c r="C588" i="4"/>
  <c r="D147" i="7"/>
  <c r="D287" i="7"/>
  <c r="D475" i="7"/>
  <c r="C26" i="3"/>
  <c r="C31" i="3"/>
  <c r="C36" i="3"/>
  <c r="C41" i="3"/>
  <c r="C46" i="3"/>
  <c r="C432" i="4"/>
  <c r="C439" i="4"/>
  <c r="C446" i="4"/>
  <c r="C453" i="4"/>
  <c r="C478" i="4"/>
  <c r="C484" i="4"/>
  <c r="C535" i="4"/>
  <c r="C558" i="4"/>
  <c r="C571" i="4"/>
  <c r="C585" i="4"/>
  <c r="C610" i="4"/>
  <c r="C626" i="4"/>
  <c r="C630" i="4"/>
  <c r="C45" i="5"/>
  <c r="C58" i="5"/>
  <c r="C63" i="5"/>
  <c r="D73" i="7"/>
  <c r="D107" i="7"/>
  <c r="D127" i="7"/>
  <c r="D248" i="7"/>
  <c r="D314" i="7"/>
  <c r="D344" i="7"/>
  <c r="C64" i="2"/>
  <c r="C69" i="2"/>
  <c r="C74" i="2"/>
  <c r="C79" i="2"/>
  <c r="C84" i="2"/>
  <c r="C89" i="2"/>
  <c r="C23" i="4"/>
  <c r="C28" i="4"/>
  <c r="C33" i="4"/>
  <c r="C38" i="4"/>
  <c r="C43" i="4"/>
  <c r="C48" i="4"/>
  <c r="C53" i="4"/>
  <c r="C58" i="4"/>
  <c r="C63" i="4"/>
  <c r="C68" i="4"/>
  <c r="C73" i="4"/>
  <c r="C78" i="4"/>
  <c r="C83" i="4"/>
  <c r="C88" i="4"/>
  <c r="C93" i="4"/>
  <c r="C98" i="4"/>
  <c r="C103" i="4"/>
  <c r="C108" i="4"/>
  <c r="C113" i="4"/>
  <c r="C118" i="4"/>
  <c r="C123" i="4"/>
  <c r="C128" i="4"/>
  <c r="C133" i="4"/>
  <c r="C138" i="4"/>
  <c r="C143" i="4"/>
  <c r="C148" i="4"/>
  <c r="C153" i="4"/>
  <c r="C158" i="4"/>
  <c r="C163" i="4"/>
  <c r="C168" i="4"/>
  <c r="C173" i="4"/>
  <c r="C178" i="4"/>
  <c r="C183" i="4"/>
  <c r="C188" i="4"/>
  <c r="C193" i="4"/>
  <c r="C198" i="4"/>
  <c r="C203" i="4"/>
  <c r="C208" i="4"/>
  <c r="C427" i="4"/>
  <c r="C434" i="4"/>
  <c r="C441" i="4"/>
  <c r="C448" i="4"/>
  <c r="C490" i="4"/>
  <c r="C522" i="4"/>
  <c r="C549" i="4"/>
  <c r="C556" i="4"/>
  <c r="C577" i="4"/>
  <c r="C42" i="5"/>
  <c r="D91" i="7"/>
  <c r="D188" i="7"/>
  <c r="D479" i="7"/>
  <c r="C210" i="4"/>
  <c r="C215" i="4"/>
  <c r="C220" i="4"/>
  <c r="C225" i="4"/>
  <c r="C230" i="4"/>
  <c r="C235" i="4"/>
  <c r="C240" i="4"/>
  <c r="C245" i="4"/>
  <c r="C250" i="4"/>
  <c r="C255" i="4"/>
  <c r="C260" i="4"/>
  <c r="C265" i="4"/>
  <c r="C270" i="4"/>
  <c r="C275" i="4"/>
  <c r="C280" i="4"/>
  <c r="C285" i="4"/>
  <c r="C290" i="4"/>
  <c r="C295" i="4"/>
  <c r="C300" i="4"/>
  <c r="C305" i="4"/>
  <c r="C310" i="4"/>
  <c r="C315" i="4"/>
  <c r="C320" i="4"/>
  <c r="C325" i="4"/>
  <c r="C330" i="4"/>
  <c r="C335" i="4"/>
  <c r="C340" i="4"/>
  <c r="C345" i="4"/>
  <c r="C350" i="4"/>
  <c r="C355" i="4"/>
  <c r="C360" i="4"/>
  <c r="C365" i="4"/>
  <c r="C370" i="4"/>
  <c r="C375" i="4"/>
  <c r="C380" i="4"/>
  <c r="C385" i="4"/>
  <c r="C390" i="4"/>
  <c r="C395" i="4"/>
  <c r="C400" i="4"/>
  <c r="C405" i="4"/>
  <c r="C410" i="4"/>
  <c r="C415" i="4"/>
  <c r="C422" i="4"/>
  <c r="C429" i="4"/>
  <c r="C436" i="4"/>
  <c r="C443" i="4"/>
  <c r="C502" i="4"/>
  <c r="C504" i="4"/>
  <c r="C512" i="4"/>
  <c r="C529" i="4"/>
  <c r="C547" i="4"/>
  <c r="C611" i="4"/>
  <c r="C50" i="5"/>
  <c r="D32" i="7"/>
  <c r="D75" i="7"/>
  <c r="D81" i="7"/>
  <c r="D122" i="7"/>
  <c r="D349" i="7"/>
  <c r="D507" i="7"/>
  <c r="C25" i="4"/>
  <c r="C30" i="4"/>
  <c r="C35" i="4"/>
  <c r="C40" i="4"/>
  <c r="C45" i="4"/>
  <c r="C50" i="4"/>
  <c r="C55" i="4"/>
  <c r="C60" i="4"/>
  <c r="C65" i="4"/>
  <c r="C70" i="4"/>
  <c r="C75" i="4"/>
  <c r="C80" i="4"/>
  <c r="C85" i="4"/>
  <c r="C90" i="4"/>
  <c r="C95" i="4"/>
  <c r="C100" i="4"/>
  <c r="C105" i="4"/>
  <c r="C110" i="4"/>
  <c r="C115" i="4"/>
  <c r="C120" i="4"/>
  <c r="C125" i="4"/>
  <c r="C130" i="4"/>
  <c r="C135" i="4"/>
  <c r="C140" i="4"/>
  <c r="C145" i="4"/>
  <c r="C150" i="4"/>
  <c r="C155" i="4"/>
  <c r="C160" i="4"/>
  <c r="C165" i="4"/>
  <c r="C170" i="4"/>
  <c r="C175" i="4"/>
  <c r="C180" i="4"/>
  <c r="C185" i="4"/>
  <c r="C190" i="4"/>
  <c r="C195" i="4"/>
  <c r="C200" i="4"/>
  <c r="C205" i="4"/>
  <c r="C506" i="4"/>
  <c r="C510" i="4"/>
  <c r="C621" i="4"/>
  <c r="C35" i="5"/>
  <c r="D27" i="7"/>
  <c r="D58" i="7"/>
  <c r="D92" i="7"/>
  <c r="D199" i="7"/>
  <c r="D559" i="7"/>
  <c r="C25" i="3"/>
  <c r="C30" i="3"/>
  <c r="C35" i="3"/>
  <c r="C40" i="3"/>
  <c r="C45" i="3"/>
  <c r="C452" i="4"/>
  <c r="C459" i="4"/>
  <c r="C466" i="4"/>
  <c r="C473" i="4"/>
  <c r="C508" i="4"/>
  <c r="C564" i="4"/>
  <c r="C575" i="4"/>
  <c r="C605" i="4"/>
  <c r="C624" i="4"/>
  <c r="C24" i="5"/>
  <c r="C55" i="5"/>
  <c r="C60" i="5"/>
  <c r="C83" i="5"/>
  <c r="C88" i="5"/>
  <c r="C130" i="5"/>
  <c r="D64" i="7"/>
  <c r="D165" i="7"/>
  <c r="D173" i="7"/>
  <c r="C417" i="4"/>
  <c r="C424" i="4"/>
  <c r="C431" i="4"/>
  <c r="C438" i="4"/>
  <c r="C477" i="4"/>
  <c r="C479" i="4"/>
  <c r="C615" i="4"/>
  <c r="C631" i="4"/>
  <c r="C47" i="5"/>
  <c r="C120" i="5"/>
  <c r="D444" i="7"/>
  <c r="D29" i="7"/>
  <c r="D43" i="7"/>
  <c r="D79" i="7"/>
  <c r="D104" i="7"/>
  <c r="D148" i="7"/>
  <c r="D282" i="7"/>
  <c r="D465" i="7"/>
  <c r="D574" i="7"/>
  <c r="C27" i="5"/>
  <c r="C125" i="5"/>
  <c r="D136" i="7"/>
  <c r="D156" i="7"/>
  <c r="D301" i="7"/>
  <c r="D317" i="7"/>
  <c r="D342" i="7"/>
  <c r="D384" i="7"/>
  <c r="D467" i="7"/>
  <c r="C583" i="4"/>
  <c r="C587" i="4"/>
  <c r="C589" i="4"/>
  <c r="C595" i="4"/>
  <c r="C597" i="4"/>
  <c r="C620" i="4"/>
  <c r="C622" i="4"/>
  <c r="C48" i="5"/>
  <c r="C53" i="5"/>
  <c r="C75" i="5"/>
  <c r="C78" i="5"/>
  <c r="C100" i="5"/>
  <c r="C103" i="5"/>
  <c r="D49" i="7"/>
  <c r="D61" i="7"/>
  <c r="D377" i="7"/>
  <c r="D519" i="7"/>
  <c r="D577" i="7"/>
  <c r="C513" i="4"/>
  <c r="C520" i="4"/>
  <c r="C527" i="4"/>
  <c r="C593" i="4"/>
  <c r="C23" i="5"/>
  <c r="D108" i="7"/>
  <c r="D129" i="7"/>
  <c r="D225" i="7"/>
  <c r="D629" i="7"/>
  <c r="D690" i="7"/>
  <c r="D758" i="7"/>
  <c r="D30" i="7"/>
  <c r="D74" i="7"/>
  <c r="D241" i="7"/>
  <c r="D279" i="7"/>
  <c r="D420" i="7"/>
  <c r="D551" i="7"/>
  <c r="D633" i="7"/>
  <c r="C559" i="4"/>
  <c r="C570" i="4"/>
  <c r="C627" i="4"/>
  <c r="C30" i="5"/>
  <c r="D22" i="7"/>
  <c r="D33" i="7"/>
  <c r="D68" i="7"/>
  <c r="D123" i="7"/>
  <c r="D179" i="7"/>
  <c r="D198" i="7"/>
  <c r="D212" i="7"/>
  <c r="D262" i="7"/>
  <c r="D320" i="7"/>
  <c r="D362" i="7"/>
  <c r="D370" i="7"/>
  <c r="D413" i="7"/>
  <c r="D421" i="7"/>
  <c r="D471" i="7"/>
  <c r="D497" i="7"/>
  <c r="C524" i="4"/>
  <c r="C531" i="4"/>
  <c r="C538" i="4"/>
  <c r="C545" i="4"/>
  <c r="C552" i="4"/>
  <c r="C568" i="4"/>
  <c r="C572" i="4"/>
  <c r="C574" i="4"/>
  <c r="C604" i="4"/>
  <c r="C606" i="4"/>
  <c r="C625" i="4"/>
  <c r="C28" i="5"/>
  <c r="D25" i="7"/>
  <c r="D36" i="7"/>
  <c r="D47" i="7"/>
  <c r="D56" i="7"/>
  <c r="D99" i="7"/>
  <c r="D194" i="7"/>
  <c r="D268" i="7"/>
  <c r="D449" i="7"/>
  <c r="C576" i="4"/>
  <c r="C580" i="4"/>
  <c r="C600" i="4"/>
  <c r="C602" i="4"/>
  <c r="C65" i="5"/>
  <c r="C68" i="5"/>
  <c r="C90" i="5"/>
  <c r="C93" i="5"/>
  <c r="C115" i="5"/>
  <c r="C118" i="5"/>
  <c r="D39" i="7"/>
  <c r="D50" i="7"/>
  <c r="D53" i="7"/>
  <c r="D62" i="7"/>
  <c r="D93" i="7"/>
  <c r="D134" i="7"/>
  <c r="D154" i="7"/>
  <c r="D189" i="7"/>
  <c r="D208" i="7"/>
  <c r="D222" i="7"/>
  <c r="D280" i="7"/>
  <c r="D313" i="7"/>
  <c r="D440" i="7"/>
  <c r="D485" i="7"/>
  <c r="D718" i="7"/>
  <c r="C420" i="4"/>
  <c r="C425" i="4"/>
  <c r="C430" i="4"/>
  <c r="C435" i="4"/>
  <c r="C440" i="4"/>
  <c r="C445" i="4"/>
  <c r="C450" i="4"/>
  <c r="C455" i="4"/>
  <c r="C460" i="4"/>
  <c r="C465" i="4"/>
  <c r="C470" i="4"/>
  <c r="C475" i="4"/>
  <c r="C482" i="4"/>
  <c r="C554" i="4"/>
  <c r="C561" i="4"/>
  <c r="C578" i="4"/>
  <c r="C582" i="4"/>
  <c r="C584" i="4"/>
  <c r="C37" i="5"/>
  <c r="D42" i="7"/>
  <c r="D87" i="7"/>
  <c r="D158" i="7"/>
  <c r="D171" i="7"/>
  <c r="D263" i="7"/>
  <c r="D380" i="7"/>
  <c r="D24" i="7"/>
  <c r="D44" i="7"/>
  <c r="D65" i="7"/>
  <c r="D112" i="7"/>
  <c r="D114" i="7"/>
  <c r="D140" i="7"/>
  <c r="D151" i="7"/>
  <c r="D153" i="7"/>
  <c r="D192" i="7"/>
  <c r="D228" i="7"/>
  <c r="D236" i="7"/>
  <c r="D406" i="7"/>
  <c r="D469" i="7"/>
  <c r="D601" i="7"/>
  <c r="D631" i="7"/>
  <c r="D676" i="7"/>
  <c r="D21" i="7"/>
  <c r="D41" i="7"/>
  <c r="D55" i="7"/>
  <c r="D89" i="7"/>
  <c r="D101" i="7"/>
  <c r="D162" i="7"/>
  <c r="D169" i="7"/>
  <c r="D205" i="7"/>
  <c r="D239" i="7"/>
  <c r="D281" i="7"/>
  <c r="D416" i="7"/>
  <c r="D477" i="7"/>
  <c r="D664" i="7"/>
  <c r="C57" i="5"/>
  <c r="C62" i="5"/>
  <c r="C67" i="5"/>
  <c r="C72" i="5"/>
  <c r="C77" i="5"/>
  <c r="C82" i="5"/>
  <c r="C87" i="5"/>
  <c r="C92" i="5"/>
  <c r="C97" i="5"/>
  <c r="C102" i="5"/>
  <c r="C107" i="5"/>
  <c r="C112" i="5"/>
  <c r="C117" i="5"/>
  <c r="C122" i="5"/>
  <c r="C127" i="5"/>
  <c r="G1279" i="7"/>
  <c r="D38" i="7"/>
  <c r="D60" i="7"/>
  <c r="D72" i="7"/>
  <c r="D84" i="7"/>
  <c r="D116" i="7"/>
  <c r="D118" i="7"/>
  <c r="D160" i="7"/>
  <c r="D182" i="7"/>
  <c r="D231" i="7"/>
  <c r="D242" i="7"/>
  <c r="D275" i="7"/>
  <c r="D319" i="7"/>
  <c r="D379" i="7"/>
  <c r="D35" i="7"/>
  <c r="D67" i="7"/>
  <c r="D96" i="7"/>
  <c r="D120" i="7"/>
  <c r="D138" i="7"/>
  <c r="D149" i="7"/>
  <c r="D218" i="7"/>
  <c r="D234" i="7"/>
  <c r="D245" i="7"/>
  <c r="D269" i="7"/>
  <c r="D393" i="7"/>
  <c r="D407" i="7"/>
  <c r="D426" i="7"/>
  <c r="D436" i="7"/>
  <c r="D446" i="7"/>
  <c r="D499" i="7"/>
  <c r="D576" i="7"/>
  <c r="C39" i="5"/>
  <c r="C44" i="5"/>
  <c r="C49" i="5"/>
  <c r="C54" i="5"/>
  <c r="C59" i="5"/>
  <c r="C64" i="5"/>
  <c r="C69" i="5"/>
  <c r="C74" i="5"/>
  <c r="C79" i="5"/>
  <c r="C84" i="5"/>
  <c r="C89" i="5"/>
  <c r="C94" i="5"/>
  <c r="C99" i="5"/>
  <c r="C104" i="5"/>
  <c r="C109" i="5"/>
  <c r="C114" i="5"/>
  <c r="C119" i="5"/>
  <c r="C124" i="5"/>
  <c r="C129" i="5"/>
  <c r="K1279" i="7"/>
  <c r="D26" i="7"/>
  <c r="D46" i="7"/>
  <c r="D86" i="7"/>
  <c r="D98" i="7"/>
  <c r="D105" i="7"/>
  <c r="D128" i="7"/>
  <c r="D132" i="7"/>
  <c r="D145" i="7"/>
  <c r="D221" i="7"/>
  <c r="D417" i="7"/>
  <c r="D437" i="7"/>
  <c r="D442" i="7"/>
  <c r="D508" i="7"/>
  <c r="D538" i="7"/>
  <c r="D595" i="7"/>
  <c r="D37" i="7"/>
  <c r="D76" i="7"/>
  <c r="D88" i="7"/>
  <c r="D109" i="7"/>
  <c r="D111" i="7"/>
  <c r="D193" i="7"/>
  <c r="D229" i="7"/>
  <c r="D329" i="7"/>
  <c r="D357" i="7"/>
  <c r="D376" i="7"/>
  <c r="D390" i="7"/>
  <c r="D625" i="7"/>
  <c r="C598" i="4"/>
  <c r="C603" i="4"/>
  <c r="C608" i="4"/>
  <c r="C613" i="4"/>
  <c r="C618" i="4"/>
  <c r="C623" i="4"/>
  <c r="C628" i="4"/>
  <c r="C26" i="5"/>
  <c r="C31" i="5"/>
  <c r="C36" i="5"/>
  <c r="C41" i="5"/>
  <c r="C46" i="5"/>
  <c r="C51" i="5"/>
  <c r="C56" i="5"/>
  <c r="C61" i="5"/>
  <c r="C66" i="5"/>
  <c r="C71" i="5"/>
  <c r="C76" i="5"/>
  <c r="C81" i="5"/>
  <c r="C86" i="5"/>
  <c r="C91" i="5"/>
  <c r="C96" i="5"/>
  <c r="C101" i="5"/>
  <c r="C106" i="5"/>
  <c r="C111" i="5"/>
  <c r="C116" i="5"/>
  <c r="C121" i="5"/>
  <c r="C126" i="5"/>
  <c r="D34" i="7"/>
  <c r="D59" i="7"/>
  <c r="D71" i="7"/>
  <c r="D100" i="7"/>
  <c r="D141" i="7"/>
  <c r="D152" i="7"/>
  <c r="D201" i="7"/>
  <c r="D214" i="7"/>
  <c r="D232" i="7"/>
  <c r="D267" i="7"/>
  <c r="D339" i="7"/>
  <c r="D404" i="7"/>
  <c r="D487" i="7"/>
  <c r="D571" i="7"/>
  <c r="D636" i="7"/>
  <c r="D31" i="7"/>
  <c r="D51" i="7"/>
  <c r="D83" i="7"/>
  <c r="D95" i="7"/>
  <c r="D113" i="7"/>
  <c r="D115" i="7"/>
  <c r="D178" i="7"/>
  <c r="D191" i="7"/>
  <c r="D219" i="7"/>
  <c r="D249" i="7"/>
  <c r="D252" i="7"/>
  <c r="D261" i="7"/>
  <c r="D270" i="7"/>
  <c r="D289" i="7"/>
  <c r="D353" i="7"/>
  <c r="D367" i="7"/>
  <c r="D433" i="7"/>
  <c r="D509" i="7"/>
  <c r="D588" i="7"/>
  <c r="D682" i="7"/>
  <c r="D28" i="7"/>
  <c r="D48" i="7"/>
  <c r="D66" i="7"/>
  <c r="D78" i="7"/>
  <c r="D139" i="7"/>
  <c r="D161" i="7"/>
  <c r="D168" i="7"/>
  <c r="D196" i="7"/>
  <c r="D300" i="7"/>
  <c r="D321" i="7"/>
  <c r="D381" i="7"/>
  <c r="D454" i="7"/>
  <c r="D729" i="7"/>
  <c r="D771" i="7"/>
  <c r="D233" i="7"/>
  <c r="D250" i="7"/>
  <c r="D291" i="7"/>
  <c r="D293" i="7"/>
  <c r="D310" i="7"/>
  <c r="D322" i="7"/>
  <c r="D360" i="7"/>
  <c r="D396" i="7"/>
  <c r="D424" i="7"/>
  <c r="D582" i="7"/>
  <c r="D602" i="7"/>
  <c r="D653" i="7"/>
  <c r="D70" i="7"/>
  <c r="D90" i="7"/>
  <c r="D110" i="7"/>
  <c r="D130" i="7"/>
  <c r="D150" i="7"/>
  <c r="D170" i="7"/>
  <c r="D190" i="7"/>
  <c r="D210" i="7"/>
  <c r="D230" i="7"/>
  <c r="D255" i="7"/>
  <c r="D277" i="7"/>
  <c r="D337" i="7"/>
  <c r="D373" i="7"/>
  <c r="D401" i="7"/>
  <c r="D455" i="7"/>
  <c r="D539" i="7"/>
  <c r="D565" i="7"/>
  <c r="D578" i="7"/>
  <c r="D641" i="7"/>
  <c r="D703" i="7"/>
  <c r="D709" i="7"/>
  <c r="D716" i="7"/>
  <c r="D167" i="7"/>
  <c r="D187" i="7"/>
  <c r="D207" i="7"/>
  <c r="D227" i="7"/>
  <c r="D247" i="7"/>
  <c r="D260" i="7"/>
  <c r="D272" i="7"/>
  <c r="D297" i="7"/>
  <c r="D299" i="7"/>
  <c r="D350" i="7"/>
  <c r="D409" i="7"/>
  <c r="D422" i="7"/>
  <c r="D427" i="7"/>
  <c r="D470" i="7"/>
  <c r="D124" i="7"/>
  <c r="D144" i="7"/>
  <c r="D164" i="7"/>
  <c r="D184" i="7"/>
  <c r="D204" i="7"/>
  <c r="D224" i="7"/>
  <c r="D244" i="7"/>
  <c r="D284" i="7"/>
  <c r="D327" i="7"/>
  <c r="D386" i="7"/>
  <c r="D399" i="7"/>
  <c r="D430" i="7"/>
  <c r="D494" i="7"/>
  <c r="D498" i="7"/>
  <c r="D518" i="7"/>
  <c r="D531" i="7"/>
  <c r="D557" i="7"/>
  <c r="D666" i="7"/>
  <c r="D685" i="7"/>
  <c r="D730" i="7"/>
  <c r="D135" i="7"/>
  <c r="D155" i="7"/>
  <c r="D175" i="7"/>
  <c r="D195" i="7"/>
  <c r="D215" i="7"/>
  <c r="D235" i="7"/>
  <c r="D257" i="7"/>
  <c r="D274" i="7"/>
  <c r="D286" i="7"/>
  <c r="D306" i="7"/>
  <c r="D330" i="7"/>
  <c r="D389" i="7"/>
  <c r="D402" i="7"/>
  <c r="D439" i="7"/>
  <c r="D450" i="7"/>
  <c r="D649" i="7"/>
  <c r="D711" i="7"/>
  <c r="D106" i="7"/>
  <c r="D126" i="7"/>
  <c r="D146" i="7"/>
  <c r="D166" i="7"/>
  <c r="D186" i="7"/>
  <c r="D206" i="7"/>
  <c r="D226" i="7"/>
  <c r="D246" i="7"/>
  <c r="D254" i="7"/>
  <c r="D264" i="7"/>
  <c r="D276" i="7"/>
  <c r="D290" i="7"/>
  <c r="D292" i="7"/>
  <c r="D333" i="7"/>
  <c r="D361" i="7"/>
  <c r="D397" i="7"/>
  <c r="D495" i="7"/>
  <c r="D558" i="7"/>
  <c r="D562" i="7"/>
  <c r="D604" i="7"/>
  <c r="D143" i="7"/>
  <c r="D163" i="7"/>
  <c r="D183" i="7"/>
  <c r="D203" i="7"/>
  <c r="D223" i="7"/>
  <c r="D243" i="7"/>
  <c r="D259" i="7"/>
  <c r="D304" i="7"/>
  <c r="D316" i="7"/>
  <c r="D369" i="7"/>
  <c r="D382" i="7"/>
  <c r="D410" i="7"/>
  <c r="D681" i="7"/>
  <c r="D748" i="7"/>
  <c r="D180" i="7"/>
  <c r="D200" i="7"/>
  <c r="D220" i="7"/>
  <c r="D240" i="7"/>
  <c r="D271" i="7"/>
  <c r="D283" i="7"/>
  <c r="D294" i="7"/>
  <c r="D296" i="7"/>
  <c r="D302" i="7"/>
  <c r="D309" i="7"/>
  <c r="D346" i="7"/>
  <c r="D359" i="7"/>
  <c r="D387" i="7"/>
  <c r="D468" i="7"/>
  <c r="D57" i="7"/>
  <c r="D77" i="7"/>
  <c r="D97" i="7"/>
  <c r="D117" i="7"/>
  <c r="D137" i="7"/>
  <c r="D157" i="7"/>
  <c r="D177" i="7"/>
  <c r="D197" i="7"/>
  <c r="D217" i="7"/>
  <c r="D237" i="7"/>
  <c r="D251" i="7"/>
  <c r="D266" i="7"/>
  <c r="D336" i="7"/>
  <c r="D364" i="7"/>
  <c r="D400" i="7"/>
  <c r="D457" i="7"/>
  <c r="D488" i="7"/>
  <c r="D585" i="7"/>
  <c r="D605" i="7"/>
  <c r="D441" i="7"/>
  <c r="D461" i="7"/>
  <c r="D480" i="7"/>
  <c r="D482" i="7"/>
  <c r="D515" i="7"/>
  <c r="D536" i="7"/>
  <c r="D548" i="7"/>
  <c r="D555" i="7"/>
  <c r="D560" i="7"/>
  <c r="D670" i="7"/>
  <c r="D684" i="7"/>
  <c r="D715" i="7"/>
  <c r="D719" i="7"/>
  <c r="D759" i="7"/>
  <c r="D258" i="7"/>
  <c r="D278" i="7"/>
  <c r="D298" i="7"/>
  <c r="D318" i="7"/>
  <c r="D338" i="7"/>
  <c r="D358" i="7"/>
  <c r="D378" i="7"/>
  <c r="D398" i="7"/>
  <c r="D418" i="7"/>
  <c r="D438" i="7"/>
  <c r="D459" i="7"/>
  <c r="D491" i="7"/>
  <c r="D522" i="7"/>
  <c r="D534" i="7"/>
  <c r="D541" i="7"/>
  <c r="D567" i="7"/>
  <c r="D589" i="7"/>
  <c r="D592" i="7"/>
  <c r="D603" i="7"/>
  <c r="D643" i="7"/>
  <c r="D751" i="7"/>
  <c r="D768" i="7"/>
  <c r="D295" i="7"/>
  <c r="D315" i="7"/>
  <c r="D335" i="7"/>
  <c r="D355" i="7"/>
  <c r="D375" i="7"/>
  <c r="D395" i="7"/>
  <c r="D415" i="7"/>
  <c r="D435" i="7"/>
  <c r="D452" i="7"/>
  <c r="D500" i="7"/>
  <c r="D502" i="7"/>
  <c r="D520" i="7"/>
  <c r="D688" i="7"/>
  <c r="D701" i="7"/>
  <c r="D723" i="7"/>
  <c r="D735" i="7"/>
  <c r="D312" i="7"/>
  <c r="D332" i="7"/>
  <c r="D352" i="7"/>
  <c r="D372" i="7"/>
  <c r="D392" i="7"/>
  <c r="D412" i="7"/>
  <c r="D432" i="7"/>
  <c r="D478" i="7"/>
  <c r="D489" i="7"/>
  <c r="D511" i="7"/>
  <c r="D527" i="7"/>
  <c r="D579" i="7"/>
  <c r="D584" i="7"/>
  <c r="D621" i="7"/>
  <c r="D650" i="7"/>
  <c r="D773" i="7"/>
  <c r="D303" i="7"/>
  <c r="D323" i="7"/>
  <c r="D343" i="7"/>
  <c r="D363" i="7"/>
  <c r="D383" i="7"/>
  <c r="D403" i="7"/>
  <c r="D423" i="7"/>
  <c r="D443" i="7"/>
  <c r="D474" i="7"/>
  <c r="D476" i="7"/>
  <c r="D525" i="7"/>
  <c r="D537" i="7"/>
  <c r="D598" i="7"/>
  <c r="D628" i="7"/>
  <c r="D678" i="7"/>
  <c r="D756" i="7"/>
  <c r="D769" i="7"/>
  <c r="D334" i="7"/>
  <c r="D354" i="7"/>
  <c r="D374" i="7"/>
  <c r="D394" i="7"/>
  <c r="D414" i="7"/>
  <c r="D434" i="7"/>
  <c r="D460" i="7"/>
  <c r="D505" i="7"/>
  <c r="D556" i="7"/>
  <c r="D568" i="7"/>
  <c r="D575" i="7"/>
  <c r="D580" i="7"/>
  <c r="D713" i="7"/>
  <c r="D311" i="7"/>
  <c r="D331" i="7"/>
  <c r="D351" i="7"/>
  <c r="D371" i="7"/>
  <c r="D391" i="7"/>
  <c r="D411" i="7"/>
  <c r="D431" i="7"/>
  <c r="D451" i="7"/>
  <c r="D456" i="7"/>
  <c r="D462" i="7"/>
  <c r="D481" i="7"/>
  <c r="D514" i="7"/>
  <c r="D516" i="7"/>
  <c r="D542" i="7"/>
  <c r="D554" i="7"/>
  <c r="D561" i="7"/>
  <c r="D610" i="7"/>
  <c r="D619" i="7"/>
  <c r="D638" i="7"/>
  <c r="D655" i="7"/>
  <c r="D699" i="7"/>
  <c r="D288" i="7"/>
  <c r="D308" i="7"/>
  <c r="D328" i="7"/>
  <c r="D348" i="7"/>
  <c r="D368" i="7"/>
  <c r="D388" i="7"/>
  <c r="D408" i="7"/>
  <c r="D428" i="7"/>
  <c r="D448" i="7"/>
  <c r="D458" i="7"/>
  <c r="D528" i="7"/>
  <c r="D535" i="7"/>
  <c r="D540" i="7"/>
  <c r="D596" i="7"/>
  <c r="D635" i="7"/>
  <c r="D645" i="7"/>
  <c r="D689" i="7"/>
  <c r="D721" i="7"/>
  <c r="D725" i="7"/>
  <c r="D770" i="7"/>
  <c r="D265" i="7"/>
  <c r="D285" i="7"/>
  <c r="D305" i="7"/>
  <c r="D325" i="7"/>
  <c r="D345" i="7"/>
  <c r="D365" i="7"/>
  <c r="D385" i="7"/>
  <c r="D405" i="7"/>
  <c r="D425" i="7"/>
  <c r="D445" i="7"/>
  <c r="D501" i="7"/>
  <c r="D521" i="7"/>
  <c r="D547" i="7"/>
  <c r="D679" i="7"/>
  <c r="D686" i="7"/>
  <c r="D733" i="7"/>
  <c r="D762" i="7"/>
  <c r="D750" i="7"/>
  <c r="D742" i="7"/>
  <c r="D744" i="7"/>
  <c r="D746" i="7"/>
  <c r="D765" i="7"/>
  <c r="D453" i="7"/>
  <c r="D473" i="7"/>
  <c r="D493" i="7"/>
  <c r="D513" i="7"/>
  <c r="D533" i="7"/>
  <c r="D553" i="7"/>
  <c r="D573" i="7"/>
  <c r="D591" i="7"/>
  <c r="D609" i="7"/>
  <c r="D611" i="7"/>
  <c r="D656" i="7"/>
  <c r="D658" i="7"/>
  <c r="D691" i="7"/>
  <c r="D736" i="7"/>
  <c r="D738" i="7"/>
  <c r="D490" i="7"/>
  <c r="D510" i="7"/>
  <c r="D530" i="7"/>
  <c r="D550" i="7"/>
  <c r="D570" i="7"/>
  <c r="D600" i="7"/>
  <c r="D613" i="7"/>
  <c r="D615" i="7"/>
  <c r="D648" i="7"/>
  <c r="D693" i="7"/>
  <c r="D695" i="7"/>
  <c r="D728" i="7"/>
  <c r="D763" i="7"/>
  <c r="D464" i="7"/>
  <c r="D484" i="7"/>
  <c r="D504" i="7"/>
  <c r="D524" i="7"/>
  <c r="D544" i="7"/>
  <c r="D564" i="7"/>
  <c r="D581" i="7"/>
  <c r="D586" i="7"/>
  <c r="D593" i="7"/>
  <c r="D642" i="7"/>
  <c r="D644" i="7"/>
  <c r="D646" i="7"/>
  <c r="D722" i="7"/>
  <c r="D724" i="7"/>
  <c r="D726" i="7"/>
  <c r="D673" i="7"/>
  <c r="D675" i="7"/>
  <c r="D708" i="7"/>
  <c r="D753" i="7"/>
  <c r="D755" i="7"/>
  <c r="D274" i="8"/>
  <c r="D472" i="7"/>
  <c r="D492" i="7"/>
  <c r="D512" i="7"/>
  <c r="D532" i="7"/>
  <c r="D552" i="7"/>
  <c r="D572" i="7"/>
  <c r="D606" i="7"/>
  <c r="D630" i="7"/>
  <c r="D665" i="7"/>
  <c r="D669" i="7"/>
  <c r="D710" i="7"/>
  <c r="D745" i="7"/>
  <c r="D749" i="7"/>
  <c r="D529" i="7"/>
  <c r="D549" i="7"/>
  <c r="D569" i="7"/>
  <c r="D583" i="7"/>
  <c r="D608" i="7"/>
  <c r="D622" i="7"/>
  <c r="D624" i="7"/>
  <c r="D626" i="7"/>
  <c r="D702" i="7"/>
  <c r="D704" i="7"/>
  <c r="D706" i="7"/>
  <c r="D766" i="7"/>
  <c r="D466" i="7"/>
  <c r="D486" i="7"/>
  <c r="D506" i="7"/>
  <c r="D526" i="7"/>
  <c r="D546" i="7"/>
  <c r="D566" i="7"/>
  <c r="D599" i="7"/>
  <c r="D659" i="7"/>
  <c r="D661" i="7"/>
  <c r="D663" i="7"/>
  <c r="D739" i="7"/>
  <c r="D741" i="7"/>
  <c r="D743" i="7"/>
  <c r="D463" i="7"/>
  <c r="D483" i="7"/>
  <c r="D503" i="7"/>
  <c r="D523" i="7"/>
  <c r="D543" i="7"/>
  <c r="D563" i="7"/>
  <c r="D590" i="7"/>
  <c r="D616" i="7"/>
  <c r="D618" i="7"/>
  <c r="D651" i="7"/>
  <c r="D696" i="7"/>
  <c r="D698" i="7"/>
  <c r="D731" i="7"/>
  <c r="D764" i="7"/>
  <c r="D152" i="8"/>
  <c r="D246" i="8"/>
  <c r="D587" i="7"/>
  <c r="D607" i="7"/>
  <c r="D627" i="7"/>
  <c r="D647" i="7"/>
  <c r="D667" i="7"/>
  <c r="D687" i="7"/>
  <c r="D707" i="7"/>
  <c r="D727" i="7"/>
  <c r="D747" i="7"/>
  <c r="D767" i="7"/>
  <c r="D50" i="8"/>
  <c r="C89" i="11"/>
  <c r="D761" i="7"/>
  <c r="D612" i="7"/>
  <c r="D632" i="7"/>
  <c r="D652" i="7"/>
  <c r="D672" i="7"/>
  <c r="D692" i="7"/>
  <c r="D712" i="7"/>
  <c r="D732" i="7"/>
  <c r="D752" i="7"/>
  <c r="D772" i="7"/>
  <c r="D55" i="10"/>
  <c r="D620" i="7"/>
  <c r="D640" i="7"/>
  <c r="D660" i="7"/>
  <c r="D680" i="7"/>
  <c r="D700" i="7"/>
  <c r="D720" i="7"/>
  <c r="D740" i="7"/>
  <c r="D760" i="7"/>
  <c r="D58" i="8"/>
  <c r="D597" i="7"/>
  <c r="D617" i="7"/>
  <c r="D637" i="7"/>
  <c r="D657" i="7"/>
  <c r="D677" i="7"/>
  <c r="D697" i="7"/>
  <c r="D717" i="7"/>
  <c r="D737" i="7"/>
  <c r="D757" i="7"/>
  <c r="D219" i="8"/>
  <c r="D594" i="7"/>
  <c r="D614" i="7"/>
  <c r="D634" i="7"/>
  <c r="D654" i="7"/>
  <c r="D674" i="7"/>
  <c r="D694" i="7"/>
  <c r="D714" i="7"/>
  <c r="D734" i="7"/>
  <c r="D754" i="7"/>
  <c r="D97" i="10"/>
  <c r="D245" i="8"/>
  <c r="D30" i="8"/>
  <c r="D99" i="8"/>
  <c r="K1008" i="10"/>
  <c r="D33" i="8"/>
  <c r="D176" i="10"/>
  <c r="D52" i="8"/>
  <c r="D44" i="8"/>
  <c r="D37" i="8"/>
  <c r="D153" i="8"/>
  <c r="D183" i="8"/>
  <c r="D23" i="8"/>
  <c r="D47" i="8"/>
  <c r="D154" i="8"/>
  <c r="D84" i="8"/>
  <c r="D118" i="8"/>
  <c r="D499" i="8"/>
  <c r="D159" i="8"/>
  <c r="D79" i="8"/>
  <c r="D66" i="8"/>
  <c r="D43" i="8"/>
  <c r="D121" i="8"/>
  <c r="D135" i="8"/>
  <c r="D315" i="8"/>
  <c r="D49" i="8"/>
  <c r="D38" i="8"/>
  <c r="D55" i="8"/>
  <c r="D218" i="8"/>
  <c r="D27" i="8"/>
  <c r="D67" i="8"/>
  <c r="D71" i="8"/>
  <c r="D210" i="8"/>
  <c r="D370" i="8"/>
  <c r="D70" i="10"/>
  <c r="D81" i="8"/>
  <c r="D156" i="8"/>
  <c r="D167" i="8"/>
  <c r="D422" i="8"/>
  <c r="D31" i="8"/>
  <c r="D77" i="8"/>
  <c r="D238" i="8"/>
  <c r="D64" i="8"/>
  <c r="D68" i="8"/>
  <c r="D87" i="8"/>
  <c r="D168" i="8"/>
  <c r="D132" i="8"/>
  <c r="D141" i="8"/>
  <c r="D435" i="8"/>
  <c r="D495" i="8"/>
  <c r="D22" i="8"/>
  <c r="D88" i="8"/>
  <c r="D160" i="8"/>
  <c r="D181" i="8"/>
  <c r="D228" i="8"/>
  <c r="D436" i="8"/>
  <c r="K1025" i="8"/>
  <c r="D35" i="8"/>
  <c r="D142" i="8"/>
  <c r="D497" i="8"/>
  <c r="D28" i="8"/>
  <c r="D75" i="8"/>
  <c r="D126" i="8"/>
  <c r="D155" i="8"/>
  <c r="D391" i="8"/>
  <c r="D464" i="8"/>
  <c r="D26" i="8"/>
  <c r="D40" i="8"/>
  <c r="D45" i="8"/>
  <c r="D96" i="8"/>
  <c r="D197" i="8"/>
  <c r="D247" i="8"/>
  <c r="D427" i="8"/>
  <c r="D544" i="8"/>
  <c r="D74" i="10"/>
  <c r="D24" i="8"/>
  <c r="D82" i="8"/>
  <c r="D163" i="8"/>
  <c r="D198" i="8"/>
  <c r="D293" i="8"/>
  <c r="D431" i="8"/>
  <c r="D93" i="8"/>
  <c r="D122" i="8"/>
  <c r="D240" i="8"/>
  <c r="D366" i="8"/>
  <c r="D413" i="8"/>
  <c r="D36" i="10"/>
  <c r="G1025" i="8"/>
  <c r="D164" i="8"/>
  <c r="D207" i="8"/>
  <c r="D232" i="8"/>
  <c r="D271" i="8"/>
  <c r="D350" i="8"/>
  <c r="D452" i="8"/>
  <c r="D46" i="8"/>
  <c r="D62" i="8"/>
  <c r="D117" i="8"/>
  <c r="D139" i="8"/>
  <c r="D215" i="8"/>
  <c r="D296" i="8"/>
  <c r="D85" i="10"/>
  <c r="D54" i="8"/>
  <c r="D65" i="8"/>
  <c r="D90" i="8"/>
  <c r="D123" i="8"/>
  <c r="D151" i="8"/>
  <c r="D353" i="8"/>
  <c r="D39" i="8"/>
  <c r="D41" i="8"/>
  <c r="D60" i="8"/>
  <c r="D91" i="8"/>
  <c r="D136" i="8"/>
  <c r="D211" i="8"/>
  <c r="D287" i="8"/>
  <c r="D359" i="8"/>
  <c r="D411" i="8"/>
  <c r="D107" i="10"/>
  <c r="D80" i="8"/>
  <c r="D133" i="8"/>
  <c r="D140" i="8"/>
  <c r="D187" i="8"/>
  <c r="D341" i="8"/>
  <c r="D498" i="8"/>
  <c r="D34" i="8"/>
  <c r="D53" i="8"/>
  <c r="D72" i="8"/>
  <c r="D76" i="8"/>
  <c r="D89" i="8"/>
  <c r="D170" i="8"/>
  <c r="D259" i="8"/>
  <c r="D474" i="8"/>
  <c r="D77" i="10"/>
  <c r="D25" i="8"/>
  <c r="D51" i="8"/>
  <c r="D102" i="8"/>
  <c r="D105" i="8"/>
  <c r="D112" i="8"/>
  <c r="D119" i="8"/>
  <c r="D137" i="8"/>
  <c r="D193" i="8"/>
  <c r="D203" i="8"/>
  <c r="D260" i="8"/>
  <c r="D266" i="8"/>
  <c r="D85" i="8"/>
  <c r="D106" i="8"/>
  <c r="D59" i="8"/>
  <c r="D83" i="8"/>
  <c r="D171" i="8"/>
  <c r="D175" i="8"/>
  <c r="D180" i="8"/>
  <c r="D199" i="8"/>
  <c r="D254" i="8"/>
  <c r="D291" i="8"/>
  <c r="D42" i="8"/>
  <c r="D63" i="8"/>
  <c r="D100" i="8"/>
  <c r="D113" i="8"/>
  <c r="D124" i="8"/>
  <c r="D131" i="8"/>
  <c r="D230" i="8"/>
  <c r="D384" i="8"/>
  <c r="D454" i="8"/>
  <c r="C49" i="11"/>
  <c r="D92" i="8"/>
  <c r="D116" i="8"/>
  <c r="D177" i="8"/>
  <c r="D225" i="8"/>
  <c r="D237" i="8"/>
  <c r="D250" i="8"/>
  <c r="D445" i="8"/>
  <c r="D506" i="8"/>
  <c r="D524" i="8"/>
  <c r="D533" i="8"/>
  <c r="D118" i="10"/>
  <c r="D36" i="8"/>
  <c r="D57" i="8"/>
  <c r="D70" i="8"/>
  <c r="D109" i="8"/>
  <c r="D184" i="8"/>
  <c r="D242" i="8"/>
  <c r="D251" i="8"/>
  <c r="D270" i="8"/>
  <c r="D286" i="8"/>
  <c r="D456" i="8"/>
  <c r="D508" i="8"/>
  <c r="D517" i="8"/>
  <c r="D535" i="8"/>
  <c r="D60" i="10"/>
  <c r="D95" i="8"/>
  <c r="D103" i="8"/>
  <c r="D115" i="8"/>
  <c r="D148" i="8"/>
  <c r="D231" i="8"/>
  <c r="D235" i="8"/>
  <c r="D248" i="8"/>
  <c r="D416" i="8"/>
  <c r="D476" i="8"/>
  <c r="D43" i="10"/>
  <c r="D125" i="8"/>
  <c r="D182" i="8"/>
  <c r="D401" i="8"/>
  <c r="D548" i="8"/>
  <c r="D32" i="8"/>
  <c r="D69" i="8"/>
  <c r="D74" i="8"/>
  <c r="D97" i="8"/>
  <c r="D143" i="8"/>
  <c r="D253" i="8"/>
  <c r="D262" i="8"/>
  <c r="D283" i="8"/>
  <c r="D393" i="8"/>
  <c r="D451" i="8"/>
  <c r="D539" i="8"/>
  <c r="D126" i="10"/>
  <c r="C59" i="11"/>
  <c r="D29" i="8"/>
  <c r="D48" i="8"/>
  <c r="D61" i="8"/>
  <c r="D108" i="8"/>
  <c r="D128" i="8"/>
  <c r="D138" i="8"/>
  <c r="D176" i="8"/>
  <c r="D179" i="8"/>
  <c r="D202" i="8"/>
  <c r="D294" i="8"/>
  <c r="D300" i="8"/>
  <c r="D379" i="8"/>
  <c r="D434" i="8"/>
  <c r="D442" i="8"/>
  <c r="D540" i="8"/>
  <c r="D158" i="8"/>
  <c r="D191" i="8"/>
  <c r="D201" i="8"/>
  <c r="D217" i="8"/>
  <c r="D261" i="8"/>
  <c r="D272" i="8"/>
  <c r="D288" i="8"/>
  <c r="D319" i="8"/>
  <c r="D334" i="8"/>
  <c r="D354" i="8"/>
  <c r="D492" i="8"/>
  <c r="D505" i="8"/>
  <c r="D546" i="8"/>
  <c r="D138" i="10"/>
  <c r="C45" i="11"/>
  <c r="D147" i="8"/>
  <c r="D165" i="8"/>
  <c r="D172" i="8"/>
  <c r="D325" i="8"/>
  <c r="D340" i="8"/>
  <c r="D345" i="8"/>
  <c r="D487" i="8"/>
  <c r="D120" i="10"/>
  <c r="D182" i="10"/>
  <c r="D157" i="8"/>
  <c r="D200" i="8"/>
  <c r="D213" i="8"/>
  <c r="D221" i="8"/>
  <c r="D239" i="8"/>
  <c r="D337" i="8"/>
  <c r="D367" i="8"/>
  <c r="D450" i="8"/>
  <c r="D515" i="8"/>
  <c r="D529" i="8"/>
  <c r="D61" i="10"/>
  <c r="D114" i="10"/>
  <c r="D94" i="8"/>
  <c r="D249" i="8"/>
  <c r="D425" i="8"/>
  <c r="D38" i="10"/>
  <c r="D54" i="10"/>
  <c r="D125" i="10"/>
  <c r="D56" i="8"/>
  <c r="D73" i="8"/>
  <c r="D86" i="8"/>
  <c r="D104" i="8"/>
  <c r="D208" i="8"/>
  <c r="D347" i="8"/>
  <c r="D470" i="8"/>
  <c r="D496" i="8"/>
  <c r="D503" i="8"/>
  <c r="D88" i="10"/>
  <c r="D204" i="8"/>
  <c r="D284" i="8"/>
  <c r="D331" i="8"/>
  <c r="D489" i="8"/>
  <c r="D494" i="8"/>
  <c r="D187" i="10"/>
  <c r="D241" i="8"/>
  <c r="D348" i="8"/>
  <c r="D360" i="8"/>
  <c r="D491" i="8"/>
  <c r="D101" i="8"/>
  <c r="D129" i="8"/>
  <c r="D190" i="8"/>
  <c r="D192" i="8"/>
  <c r="D205" i="8"/>
  <c r="D222" i="8"/>
  <c r="D234" i="8"/>
  <c r="D244" i="8"/>
  <c r="D282" i="8"/>
  <c r="D373" i="8"/>
  <c r="D444" i="8"/>
  <c r="D28" i="10"/>
  <c r="D72" i="10"/>
  <c r="C48" i="11"/>
  <c r="D78" i="8"/>
  <c r="D98" i="8"/>
  <c r="D111" i="8"/>
  <c r="D120" i="8"/>
  <c r="D188" i="8"/>
  <c r="D220" i="8"/>
  <c r="D227" i="8"/>
  <c r="D276" i="8"/>
  <c r="D292" i="8"/>
  <c r="D299" i="8"/>
  <c r="D349" i="8"/>
  <c r="D365" i="8"/>
  <c r="D465" i="8"/>
  <c r="D486" i="8"/>
  <c r="D512" i="8"/>
  <c r="D23" i="10"/>
  <c r="D139" i="10"/>
  <c r="D155" i="10"/>
  <c r="D172" i="10"/>
  <c r="D394" i="8"/>
  <c r="D415" i="8"/>
  <c r="D430" i="8"/>
  <c r="D481" i="8"/>
  <c r="D24" i="10"/>
  <c r="D33" i="10"/>
  <c r="D92" i="10"/>
  <c r="D174" i="10"/>
  <c r="C63" i="11"/>
  <c r="C72" i="11"/>
  <c r="D344" i="8"/>
  <c r="D469" i="8"/>
  <c r="D485" i="8"/>
  <c r="D42" i="10"/>
  <c r="F124" i="11"/>
  <c r="D329" i="8"/>
  <c r="D406" i="8"/>
  <c r="D439" i="8"/>
  <c r="D447" i="8"/>
  <c r="D510" i="8"/>
  <c r="D26" i="10"/>
  <c r="D58" i="10"/>
  <c r="D100" i="10"/>
  <c r="D164" i="10"/>
  <c r="D177" i="10"/>
  <c r="D301" i="8"/>
  <c r="D358" i="8"/>
  <c r="D385" i="8"/>
  <c r="D428" i="8"/>
  <c r="D455" i="8"/>
  <c r="D530" i="8"/>
  <c r="D134" i="10"/>
  <c r="D273" i="8"/>
  <c r="D281" i="8"/>
  <c r="D336" i="8"/>
  <c r="D342" i="8"/>
  <c r="D417" i="8"/>
  <c r="D459" i="8"/>
  <c r="D475" i="8"/>
  <c r="D479" i="8"/>
  <c r="D518" i="8"/>
  <c r="D522" i="8"/>
  <c r="D44" i="10"/>
  <c r="D128" i="10"/>
  <c r="C33" i="11"/>
  <c r="D264" i="8"/>
  <c r="D297" i="8"/>
  <c r="D332" i="8"/>
  <c r="D407" i="8"/>
  <c r="D471" i="8"/>
  <c r="D531" i="8"/>
  <c r="D39" i="10"/>
  <c r="D104" i="10"/>
  <c r="D145" i="10"/>
  <c r="D183" i="10"/>
  <c r="D114" i="8"/>
  <c r="D134" i="8"/>
  <c r="D145" i="8"/>
  <c r="D150" i="8"/>
  <c r="D162" i="8"/>
  <c r="D174" i="8"/>
  <c r="D195" i="8"/>
  <c r="D224" i="8"/>
  <c r="D277" i="8"/>
  <c r="D279" i="8"/>
  <c r="D322" i="8"/>
  <c r="D327" i="8"/>
  <c r="D355" i="8"/>
  <c r="D371" i="8"/>
  <c r="D446" i="8"/>
  <c r="D468" i="8"/>
  <c r="D509" i="8"/>
  <c r="D538" i="8"/>
  <c r="D25" i="10"/>
  <c r="D78" i="10"/>
  <c r="D127" i="10"/>
  <c r="D168" i="10"/>
  <c r="D173" i="10"/>
  <c r="C23" i="11"/>
  <c r="C42" i="11"/>
  <c r="C66" i="11"/>
  <c r="D151" i="10"/>
  <c r="D160" i="10"/>
  <c r="D110" i="8"/>
  <c r="D130" i="8"/>
  <c r="D144" i="8"/>
  <c r="D178" i="8"/>
  <c r="D194" i="8"/>
  <c r="D212" i="8"/>
  <c r="D223" i="8"/>
  <c r="D265" i="8"/>
  <c r="D267" i="8"/>
  <c r="D323" i="8"/>
  <c r="D328" i="8"/>
  <c r="D364" i="8"/>
  <c r="D383" i="8"/>
  <c r="D400" i="8"/>
  <c r="D441" i="8"/>
  <c r="D488" i="8"/>
  <c r="D504" i="8"/>
  <c r="D526" i="8"/>
  <c r="D536" i="8"/>
  <c r="D63" i="10"/>
  <c r="D67" i="10"/>
  <c r="D71" i="10"/>
  <c r="D170" i="10"/>
  <c r="D107" i="8"/>
  <c r="D127" i="8"/>
  <c r="D161" i="8"/>
  <c r="D173" i="8"/>
  <c r="D185" i="8"/>
  <c r="D214" i="8"/>
  <c r="D303" i="8"/>
  <c r="D308" i="8"/>
  <c r="D346" i="8"/>
  <c r="D351" i="8"/>
  <c r="D397" i="8"/>
  <c r="D403" i="8"/>
  <c r="D423" i="8"/>
  <c r="D429" i="8"/>
  <c r="D501" i="8"/>
  <c r="D507" i="8"/>
  <c r="D523" i="8"/>
  <c r="D543" i="8"/>
  <c r="D550" i="8"/>
  <c r="D48" i="10"/>
  <c r="D124" i="10"/>
  <c r="D133" i="10"/>
  <c r="D180" i="10"/>
  <c r="D190" i="10"/>
  <c r="C26" i="11"/>
  <c r="D196" i="8"/>
  <c r="D216" i="8"/>
  <c r="D236" i="8"/>
  <c r="D252" i="8"/>
  <c r="D257" i="8"/>
  <c r="D269" i="8"/>
  <c r="D311" i="8"/>
  <c r="D377" i="8"/>
  <c r="D388" i="8"/>
  <c r="D404" i="8"/>
  <c r="D467" i="8"/>
  <c r="D477" i="8"/>
  <c r="D482" i="8"/>
  <c r="D47" i="10"/>
  <c r="D50" i="10"/>
  <c r="D75" i="10"/>
  <c r="D82" i="10"/>
  <c r="D154" i="10"/>
  <c r="D193" i="10"/>
  <c r="C31" i="11"/>
  <c r="D233" i="8"/>
  <c r="D290" i="8"/>
  <c r="D307" i="8"/>
  <c r="D375" i="8"/>
  <c r="D386" i="8"/>
  <c r="D395" i="8"/>
  <c r="D457" i="8"/>
  <c r="D462" i="8"/>
  <c r="D96" i="10"/>
  <c r="D103" i="10"/>
  <c r="C55" i="11"/>
  <c r="D149" i="8"/>
  <c r="D169" i="8"/>
  <c r="D189" i="8"/>
  <c r="D209" i="8"/>
  <c r="D229" i="8"/>
  <c r="D243" i="8"/>
  <c r="D256" i="8"/>
  <c r="D268" i="8"/>
  <c r="D280" i="8"/>
  <c r="D289" i="8"/>
  <c r="D314" i="8"/>
  <c r="D320" i="8"/>
  <c r="D324" i="8"/>
  <c r="D396" i="8"/>
  <c r="D414" i="8"/>
  <c r="D458" i="8"/>
  <c r="D463" i="8"/>
  <c r="D483" i="8"/>
  <c r="D521" i="8"/>
  <c r="D534" i="8"/>
  <c r="D545" i="8"/>
  <c r="D108" i="10"/>
  <c r="D141" i="10"/>
  <c r="C38" i="11"/>
  <c r="D146" i="8"/>
  <c r="D166" i="8"/>
  <c r="D186" i="8"/>
  <c r="D206" i="8"/>
  <c r="D226" i="8"/>
  <c r="D263" i="8"/>
  <c r="D304" i="8"/>
  <c r="D306" i="8"/>
  <c r="D310" i="8"/>
  <c r="D312" i="8"/>
  <c r="D316" i="8"/>
  <c r="D376" i="8"/>
  <c r="D378" i="8"/>
  <c r="D387" i="8"/>
  <c r="D405" i="8"/>
  <c r="D426" i="8"/>
  <c r="D438" i="8"/>
  <c r="D443" i="8"/>
  <c r="D448" i="8"/>
  <c r="D511" i="8"/>
  <c r="D516" i="8"/>
  <c r="D37" i="10"/>
  <c r="D101" i="10"/>
  <c r="D119" i="10"/>
  <c r="C34" i="11"/>
  <c r="C67" i="11"/>
  <c r="D285" i="8"/>
  <c r="D305" i="8"/>
  <c r="D313" i="8"/>
  <c r="D326" i="8"/>
  <c r="D339" i="8"/>
  <c r="D352" i="8"/>
  <c r="D362" i="8"/>
  <c r="D374" i="8"/>
  <c r="D390" i="8"/>
  <c r="D408" i="8"/>
  <c r="D421" i="8"/>
  <c r="D542" i="8"/>
  <c r="D551" i="8"/>
  <c r="D59" i="10"/>
  <c r="D80" i="10"/>
  <c r="D105" i="10"/>
  <c r="D137" i="10"/>
  <c r="D140" i="10"/>
  <c r="D179" i="10"/>
  <c r="D302" i="8"/>
  <c r="D318" i="8"/>
  <c r="D357" i="8"/>
  <c r="D369" i="8"/>
  <c r="D381" i="8"/>
  <c r="D410" i="8"/>
  <c r="D525" i="8"/>
  <c r="D22" i="10"/>
  <c r="D52" i="10"/>
  <c r="D69" i="10"/>
  <c r="D83" i="10"/>
  <c r="D94" i="10"/>
  <c r="D143" i="10"/>
  <c r="C24" i="11"/>
  <c r="D258" i="8"/>
  <c r="D278" i="8"/>
  <c r="D298" i="8"/>
  <c r="D317" i="8"/>
  <c r="D343" i="8"/>
  <c r="D356" i="8"/>
  <c r="D361" i="8"/>
  <c r="D389" i="8"/>
  <c r="D398" i="8"/>
  <c r="D418" i="8"/>
  <c r="D41" i="10"/>
  <c r="D65" i="10"/>
  <c r="D95" i="10"/>
  <c r="D156" i="10"/>
  <c r="D159" i="10"/>
  <c r="C44" i="11"/>
  <c r="D255" i="8"/>
  <c r="D275" i="8"/>
  <c r="D295" i="8"/>
  <c r="D309" i="8"/>
  <c r="D330" i="8"/>
  <c r="D335" i="8"/>
  <c r="D368" i="8"/>
  <c r="D380" i="8"/>
  <c r="D409" i="8"/>
  <c r="D420" i="8"/>
  <c r="D46" i="10"/>
  <c r="D53" i="10"/>
  <c r="D84" i="10"/>
  <c r="D115" i="10"/>
  <c r="D162" i="10"/>
  <c r="C37" i="11"/>
  <c r="D382" i="8"/>
  <c r="D402" i="8"/>
  <c r="D419" i="8"/>
  <c r="D432" i="8"/>
  <c r="D437" i="8"/>
  <c r="D466" i="8"/>
  <c r="D478" i="8"/>
  <c r="D490" i="8"/>
  <c r="D519" i="8"/>
  <c r="D552" i="8"/>
  <c r="D554" i="8"/>
  <c r="D30" i="10"/>
  <c r="D32" i="10"/>
  <c r="D87" i="10"/>
  <c r="D106" i="10"/>
  <c r="D158" i="10"/>
  <c r="C27" i="11"/>
  <c r="C56" i="11"/>
  <c r="C69" i="11"/>
  <c r="D399" i="8"/>
  <c r="D424" i="8"/>
  <c r="D449" i="8"/>
  <c r="D461" i="8"/>
  <c r="D502" i="8"/>
  <c r="D514" i="8"/>
  <c r="D537" i="8"/>
  <c r="D34" i="10"/>
  <c r="D62" i="10"/>
  <c r="D99" i="10"/>
  <c r="D111" i="10"/>
  <c r="D121" i="10"/>
  <c r="D136" i="10"/>
  <c r="D321" i="8"/>
  <c r="D338" i="8"/>
  <c r="D372" i="8"/>
  <c r="D392" i="8"/>
  <c r="D412" i="8"/>
  <c r="D472" i="8"/>
  <c r="D484" i="8"/>
  <c r="D86" i="10"/>
  <c r="D93" i="10"/>
  <c r="D117" i="10"/>
  <c r="D122" i="10"/>
  <c r="D142" i="10"/>
  <c r="D147" i="10"/>
  <c r="C22" i="11"/>
  <c r="C35" i="11"/>
  <c r="C51" i="11"/>
  <c r="C82" i="11"/>
  <c r="D549" i="8"/>
  <c r="G1008" i="10"/>
  <c r="D35" i="10"/>
  <c r="D45" i="10"/>
  <c r="D57" i="10"/>
  <c r="D112" i="10"/>
  <c r="D131" i="10"/>
  <c r="D148" i="10"/>
  <c r="D167" i="10"/>
  <c r="C58" i="11"/>
  <c r="D440" i="8"/>
  <c r="D460" i="8"/>
  <c r="D480" i="8"/>
  <c r="D500" i="8"/>
  <c r="D520" i="8"/>
  <c r="D528" i="8"/>
  <c r="D541" i="8"/>
  <c r="D27" i="10"/>
  <c r="D40" i="10"/>
  <c r="D66" i="10"/>
  <c r="D146" i="10"/>
  <c r="D165" i="10"/>
  <c r="D181" i="10"/>
  <c r="C28" i="11"/>
  <c r="D433" i="8"/>
  <c r="D453" i="8"/>
  <c r="D473" i="8"/>
  <c r="D493" i="8"/>
  <c r="D513" i="8"/>
  <c r="D532" i="8"/>
  <c r="D553" i="8"/>
  <c r="D31" i="10"/>
  <c r="D51" i="10"/>
  <c r="D113" i="10"/>
  <c r="D130" i="10"/>
  <c r="D132" i="10"/>
  <c r="D166" i="10"/>
  <c r="D175" i="10"/>
  <c r="C21" i="11"/>
  <c r="C43" i="11"/>
  <c r="C74" i="11"/>
  <c r="C77" i="11"/>
  <c r="D186" i="10"/>
  <c r="C29" i="11"/>
  <c r="C71" i="11"/>
  <c r="C76" i="11"/>
  <c r="D56" i="10"/>
  <c r="D64" i="10"/>
  <c r="D79" i="10"/>
  <c r="D91" i="10"/>
  <c r="D135" i="10"/>
  <c r="D153" i="10"/>
  <c r="D171" i="10"/>
  <c r="D188" i="10"/>
  <c r="C62" i="11"/>
  <c r="C86" i="11"/>
  <c r="D81" i="10"/>
  <c r="D98" i="10"/>
  <c r="D192" i="10"/>
  <c r="D194" i="10"/>
  <c r="C36" i="11"/>
  <c r="C60" i="11"/>
  <c r="D527" i="8"/>
  <c r="D547" i="8"/>
  <c r="D29" i="10"/>
  <c r="D49" i="10"/>
  <c r="D73" i="10"/>
  <c r="D90" i="10"/>
  <c r="D102" i="10"/>
  <c r="D152" i="10"/>
  <c r="D161" i="10"/>
  <c r="D185" i="10"/>
  <c r="C30" i="11"/>
  <c r="C41" i="11"/>
  <c r="C52" i="11"/>
  <c r="J124" i="11"/>
  <c r="C25" i="11"/>
  <c r="C32" i="11"/>
  <c r="C39" i="11"/>
  <c r="C46" i="11"/>
  <c r="C53" i="11"/>
  <c r="C79" i="11"/>
  <c r="D195" i="10"/>
  <c r="C81" i="11"/>
  <c r="C87" i="11"/>
  <c r="D116" i="10"/>
  <c r="D150" i="10"/>
  <c r="D163" i="10"/>
  <c r="D184" i="10"/>
  <c r="C50" i="11"/>
  <c r="C57" i="11"/>
  <c r="C64" i="11"/>
  <c r="D68" i="10"/>
  <c r="D76" i="10"/>
  <c r="D110" i="10"/>
  <c r="D123" i="10"/>
  <c r="D144" i="10"/>
  <c r="D157" i="10"/>
  <c r="D178" i="10"/>
  <c r="D191" i="10"/>
  <c r="C40" i="11"/>
  <c r="C47" i="11"/>
  <c r="C54" i="11"/>
  <c r="C61" i="11"/>
  <c r="C84" i="11"/>
  <c r="C68" i="11"/>
  <c r="C73" i="11"/>
  <c r="C78" i="11"/>
  <c r="C83" i="11"/>
  <c r="C88" i="11"/>
  <c r="D89" i="10"/>
  <c r="D109" i="10"/>
  <c r="D129" i="10"/>
  <c r="D149" i="10"/>
  <c r="D169" i="10"/>
  <c r="D189" i="10"/>
  <c r="C65" i="11"/>
  <c r="C70" i="11"/>
  <c r="C75" i="11"/>
  <c r="C80" i="11"/>
  <c r="C85" i="11"/>
  <c r="C90" i="11"/>
</calcChain>
</file>

<file path=xl/sharedStrings.xml><?xml version="1.0" encoding="utf-8"?>
<sst xmlns="http://schemas.openxmlformats.org/spreadsheetml/2006/main" count="482" uniqueCount="197">
  <si>
    <t>4° Trimestre</t>
  </si>
  <si>
    <t>Año 2024</t>
  </si>
  <si>
    <t>Articulado Ley de Presupuestos  año 2024</t>
  </si>
  <si>
    <t>Subtítulo 24.03.034</t>
  </si>
  <si>
    <t>Programa de Apoyo al Mejoramiento de la Gestión y de Servicios Municipales</t>
  </si>
  <si>
    <t>Requerimiento:</t>
  </si>
  <si>
    <t>a) Publicar en su sitio electrónico institucional un informe trimestral que contenga, en su caso, la individualización de los proyectos beneficiados con cargo a los Subtítulos 24 y 33, nómina de beneficiarios, metodología de elección de éstos, las personas o entidades ejecutoras de los recursos, los montos asignados, la modalidad de asignación, las actividades financiadas, los objetivos y metas anuales, los montos y porcentajes de ejecución, desagregados por programa presupuestario, región y comuna según sea el caso, dentro de los treinta días siguientes al término del respectivo trimestre. En caso de contener coberturas y recursos asignados en glosa, la información deberá presentarse con dicho nivel de desagregación.</t>
  </si>
  <si>
    <t>Periodicidad:</t>
  </si>
  <si>
    <t xml:space="preserve">La Subsecretaría deberá informar y publicar trimestralmente </t>
  </si>
  <si>
    <t>Nombre Beneficiario</t>
  </si>
  <si>
    <t xml:space="preserve">Nombre proyecto </t>
  </si>
  <si>
    <t xml:space="preserve">Metodología de elección </t>
  </si>
  <si>
    <t>Persona o entidad Ejecutora de los recursos</t>
  </si>
  <si>
    <t>Monto asignado</t>
  </si>
  <si>
    <t>Modalidad de asignación</t>
  </si>
  <si>
    <t>Actividades Financiadas</t>
  </si>
  <si>
    <t>Objetivo Anual (1)</t>
  </si>
  <si>
    <t>Montos transferidos</t>
  </si>
  <si>
    <t>% de Ejecución</t>
  </si>
  <si>
    <t>N° Resolución de aprobación</t>
  </si>
  <si>
    <t>Programa Presupuestario</t>
  </si>
  <si>
    <t>NOTA: En el periodo consultado no se han efectuado transferencias. Sin movimiento.</t>
  </si>
  <si>
    <t>Articulado Ley de Presupuestos año 2024</t>
  </si>
  <si>
    <t>Subtítulo 24.03.602</t>
  </si>
  <si>
    <t>Programa de Modernización</t>
  </si>
  <si>
    <t>SECRETARÍA GENERAL DE GOBIERNO</t>
  </si>
  <si>
    <t>ASOCIACIÓN DE MUNICIPIOS PARA LA CONSERVACIÓN DE LA BIODIVERSIDAD DE LA REGIÓN DE LOS RÍOS</t>
  </si>
  <si>
    <t>ASOCIACIÓN DE MUNICIPALIDADES DE LA REGIÓN DE LOS RÍOS PARA EL MANEJO SUSTENTABLE DE RESIDUOS Y LA GESTIÓN AMBIENTAL</t>
  </si>
  <si>
    <t>ASOCIACIÓN DE MUNICIPIOS CIUDAD SUR</t>
  </si>
  <si>
    <t>ASOCIACIÓN DE MUNICIPALIDADES DE LA REGIÓN DEL BIOBÍO - AMRBB</t>
  </si>
  <si>
    <t>ASOCIACIÓN DE MUNICIPALIDADES DE LA REGIÓN DE LOS RÍOS</t>
  </si>
  <si>
    <t>ASOCIACION DE MUNICIPALIDADES PARA LA PRESERVACION DE LA BIODIVERSIDAD EN EL TERRITORIO NONGUEN Y OT</t>
  </si>
  <si>
    <t>ASOCIACIÓN DE MUNICIPALIDADES TURÍSTICAS LACUSTRE - AMTL</t>
  </si>
  <si>
    <t>ASOCIACIÓN DE MUNICIPALIDADES CORDILLERA DE LA COSTA CORRAL - LA UNIÓN - AMCCCLU</t>
  </si>
  <si>
    <t>ASOCIACIÓN DE MUNICIPALIDADES DE LA PROVINCIA DEL HUASCO</t>
  </si>
  <si>
    <t>ASOCIACIÓN DE MUNICIPALIDADES DE LA REGIÓN DE VALPARAÍSO - ASOMUNISV</t>
  </si>
  <si>
    <t>SERVICIO DE IMPUESTOS INTERNOS - SII</t>
  </si>
  <si>
    <t>TESORERIA GENERAL DE LA REPUBLICA</t>
  </si>
  <si>
    <t>CONSEJO PARA LA TRANSPARENCIA</t>
  </si>
  <si>
    <t>ASOCIACIÓN CHILENA DE MUNICIPALIDADES - ACHM</t>
  </si>
  <si>
    <t>TOTAL</t>
  </si>
  <si>
    <t>Nota (1):</t>
  </si>
  <si>
    <t>Subtítulo 33.03.602</t>
  </si>
  <si>
    <t>TOTALES</t>
  </si>
  <si>
    <t xml:space="preserve">Subtítulo 24.03.403 </t>
  </si>
  <si>
    <t>Compensación por Predios Exentos</t>
  </si>
  <si>
    <t>El objetivo anual del programa compensación predios exentos es compensar el déficit generado por el no pago del impuesto territorial en cada comuna, en relación al número total de predios exentos de dicho impuesto. Y por otro lado, bonificar a los trabajadores de empresas de aseo externalizado que prestan servicio a los municipios del país.</t>
  </si>
  <si>
    <t>Subtítulo 24.03.406</t>
  </si>
  <si>
    <t>Programa de Tenencia Responsable de Animales de Compañía</t>
  </si>
  <si>
    <t>FUNDACION QUILTRO</t>
  </si>
  <si>
    <t>FUNDACION AMOR DE CUATRO PATAS</t>
  </si>
  <si>
    <t>AGRUPACION PRO ANIMAL PATITAS DEL DESIERTO ANTOFAGASTA</t>
  </si>
  <si>
    <t>AGRUPACIÓN PATITAS SUAVES DE OSORNO</t>
  </si>
  <si>
    <t>CENTRO DE ACCION SOCIAL Y SOLIDARIO "REFUGIO ESPERANZA"</t>
  </si>
  <si>
    <t>AGRUPACION ANIMALISTA AL RESCATE VALLE DEL ACONCAGUA</t>
  </si>
  <si>
    <t>AGRUPACION SOCIAL, CULTURAL Y EDUCATIVA ALMA ANIMAL</t>
  </si>
  <si>
    <t>FUNDACIÓN ASILVESTRADOS</t>
  </si>
  <si>
    <t>AGRUPACION ADOPTA UN AMIGO OSORNO</t>
  </si>
  <si>
    <t>FUNDACION AMA REGION DE COQUIMBO</t>
  </si>
  <si>
    <t>AGRUPACION DE VOLUNTARIADO PURO CORAZON</t>
  </si>
  <si>
    <t>ORGANIZACION NO GUBERNAMENTAL DE DESARROLLO HUELLITAS DE BOCO</t>
  </si>
  <si>
    <t>AGRUPACION RESCATE ANIMAL CALDERA</t>
  </si>
  <si>
    <t>FUNDACION EFECTO QUILTRO</t>
  </si>
  <si>
    <t>FUNDACION PROTECCION ANIMAL PATICORTOS</t>
  </si>
  <si>
    <t>SOC PROTECTORA DE ANIMALES OSORNO</t>
  </si>
  <si>
    <t>ASOCIACION LA ESPERANZA DE LAS NARICITAS HUMEDAS</t>
  </si>
  <si>
    <t>FUNDACION ANIMAL CHILE</t>
  </si>
  <si>
    <t>AGRUPACION KILTRO'S</t>
  </si>
  <si>
    <t>FUNDACION AMA VIVIR</t>
  </si>
  <si>
    <t>ONG HUELLAS VILLARRICA</t>
  </si>
  <si>
    <t>FUNDACION ADOPTA</t>
  </si>
  <si>
    <t>SOC PROTECCION A LOS ANIMALES Y AL MEDIO AMBIENTE TRAWA KALEN</t>
  </si>
  <si>
    <t>AGRUPACION AMIGOS CUATRO PATAS</t>
  </si>
  <si>
    <t>FUNDACION MAITENCILLO ADOPTA</t>
  </si>
  <si>
    <t>SOCIEDAD PROTECTORA DE ANIMALES AMIGOS FIELES DE PUERTO NATALES</t>
  </si>
  <si>
    <t>AGRUPACION ANIMALISTA POR PURRANQUE, DE PURRANQUE</t>
  </si>
  <si>
    <t>AGRUPACION SOCIAL CULTURAL Y MEDIO AMBIENTAL DEFENSA ANIMAL PUYEHUE</t>
  </si>
  <si>
    <t>AGRUPACION PRO-AYUDA ANIMAL SALAMANCA - APAS</t>
  </si>
  <si>
    <t>FUNDACION CORAZONDEGATO</t>
  </si>
  <si>
    <t>AGRUPACIÓN COLITAS FELICES OSORNO</t>
  </si>
  <si>
    <t>FUNDACION UPLANI</t>
  </si>
  <si>
    <t>CORPORACION ALIANZA GLOBAL PARA ANIMALES Y PERSONAS</t>
  </si>
  <si>
    <t>FUNDACION FIGHT4PITS DEFENSA Y JUSTICIA ANIMAL</t>
  </si>
  <si>
    <t>FUNDACION SANTUARIO CLAFIRA</t>
  </si>
  <si>
    <t>ORGANIZACION KUROCHAN PRO ANIMAL TIERRA AMARILLA</t>
  </si>
  <si>
    <t>AGRUPACION PROTECTORA DE ANIMALES ANGELES SIN VOZ</t>
  </si>
  <si>
    <t>AGRUP. AMIGOS ANIMALISTAS DE RINCONADA</t>
  </si>
  <si>
    <t>ASOCIACION DE PROTECCION ANIMAL DARWIN</t>
  </si>
  <si>
    <t>FUNDACION COLECTIVO EMPATIA ANIMAL</t>
  </si>
  <si>
    <t>CORPORACION DE AYUDA A LOS ANIMALES Y AL MEDIO AMBIENTE</t>
  </si>
  <si>
    <t>CORPORACION DE AYUDA AL ANIMAL ABANDONADO ANIMALISTA COQUIMBO-LA SEREN</t>
  </si>
  <si>
    <t>AGRUPACION PARA LA DEFENSA DE LOS ANIMALES DE CHAITEN</t>
  </si>
  <si>
    <t>FUNDACIOM ESPERANZA ANIMAL</t>
  </si>
  <si>
    <t>LUCHA POR LOS SIN VOZ</t>
  </si>
  <si>
    <t>FUNDACION HUELLA ANIMAL</t>
  </si>
  <si>
    <t>AGRUPACION PATITAS DE AMOR</t>
  </si>
  <si>
    <t>FUNDACION DE AYUDA SASHA</t>
  </si>
  <si>
    <t>AMIGOS DE LOS PERROS CALLEJEROS DE MEJILLONES</t>
  </si>
  <si>
    <t>ORGANISMO PRO ANIMAL HUELLAS</t>
  </si>
  <si>
    <t>FUNDACION CALLEJERITOS DE LA VEGA</t>
  </si>
  <si>
    <t>FUNDACION UNIDOS POR LA PROTECCION ANIMAL</t>
  </si>
  <si>
    <t>FUNDACION SASKA</t>
  </si>
  <si>
    <t>Fundación para la Protección de los Animales Exóticos o Bunny Lovers Chile</t>
  </si>
  <si>
    <t>Fundación UPLANI</t>
  </si>
  <si>
    <t>Fundación La Ruta Animal</t>
  </si>
  <si>
    <t>Fundación Fight 4 Pits Defensa y Justicia Animal</t>
  </si>
  <si>
    <t>Fundación Maitencillo Adopta</t>
  </si>
  <si>
    <t>Fundación Adopta Tu Mascota Rapa Nui</t>
  </si>
  <si>
    <t>Corporación Adfinitas</t>
  </si>
  <si>
    <t>Fundación Univerzoo Animal</t>
  </si>
  <si>
    <t>Fundación Ser Feral</t>
  </si>
  <si>
    <t>El objetivo anual es aumentar la tenencia responsable de mascotas y animales de compañía en todas las comunas del país, mediante la entrega de financiamiento para la prestación de servicios veterinarios a municipalidades y otras entidades públicas; asimismo apoyando la labor de las organizaciones de protección animal sin fines de lucro.</t>
  </si>
  <si>
    <t>Subtítulo 33.03.407</t>
  </si>
  <si>
    <t>SATE</t>
  </si>
  <si>
    <t>codigo</t>
  </si>
  <si>
    <t>Subtítulo 33.03.005</t>
  </si>
  <si>
    <t>Programa de Mejoramiento Urbano y Equipamiento Comunal</t>
  </si>
  <si>
    <t>codigo pmu</t>
  </si>
  <si>
    <t>El objetivo anual es colaborar en la generación de empleo y mejoramiento de la calidad de vida de la población más pobre del país.</t>
  </si>
  <si>
    <t>Subtítulo 33.03.006</t>
  </si>
  <si>
    <t>Programa Mejoramiento de Barrios</t>
  </si>
  <si>
    <t>Código PMB</t>
  </si>
  <si>
    <t>El objetivo anual es mejorar la calidad de vida de la población de escasos recursos que habita en condiciones de marginalidad sanitaria y brindar atención preferencial para el progreso de barrios y asentamientos precarios con déficit de servicios básicos (agua potable, alcantarillado sanitario, electricidad y alumbrado público).</t>
  </si>
  <si>
    <t>Subtítulo 33.03.100</t>
  </si>
  <si>
    <t>Fondo Recuperación de Ciudades</t>
  </si>
  <si>
    <t>MEJORAMIENTO EDIFICIO CONSISTORIAL, OVALLE</t>
  </si>
  <si>
    <t>OVALLE</t>
  </si>
  <si>
    <t>Guía Operativa</t>
  </si>
  <si>
    <t>MUNICIPALIDAD DE OVALLE</t>
  </si>
  <si>
    <t>Resolución</t>
  </si>
  <si>
    <t>OBRA</t>
  </si>
  <si>
    <t>Cumplir con normativa y reglamentos internos del programa en base a los objetivos.</t>
  </si>
  <si>
    <t>120/2021</t>
  </si>
  <si>
    <t>FRC</t>
  </si>
  <si>
    <t>REPOSICION EDIFICIO CONSISTORIAL, CHAÑARAL</t>
  </si>
  <si>
    <t>CHAÑARAL</t>
  </si>
  <si>
    <t>MUNICIPALIDAD DE CHAÑARAL</t>
  </si>
  <si>
    <t>162/2018</t>
  </si>
  <si>
    <t>REPOSICIÓN Y REPARACIÓN MAYOR DEPENDENCIAS MUNICIPALES LOS ÁNGELES</t>
  </si>
  <si>
    <t>LOS ÁNGELES</t>
  </si>
  <si>
    <t>MUNICIPALIDAD DE LOS ÁNGELES</t>
  </si>
  <si>
    <t>208/2013</t>
  </si>
  <si>
    <t>REPOSICION PAVIMENTACIÓN CALLE ARTURO PRAT, COMUNA DE NINHUE (EJECUCIÓN)</t>
  </si>
  <si>
    <t>NINHUE</t>
  </si>
  <si>
    <t>MUNICIPALIDAD DE NINHUE</t>
  </si>
  <si>
    <t>34/2024</t>
  </si>
  <si>
    <t>CONSTRUCCION CENTRO CIVICO DALCAHUE</t>
  </si>
  <si>
    <t>DALCAHUE</t>
  </si>
  <si>
    <t>MUNICIPALIDAD DE DALCAHUE</t>
  </si>
  <si>
    <t>38/2024</t>
  </si>
  <si>
    <t>MEJORAMIENTO PLAZA JOSÉ FLORES GARRIDO, COMUNA DE PAC (EJECUCIÓN)</t>
  </si>
  <si>
    <t>PEDRO AGUIRRE CERDA</t>
  </si>
  <si>
    <t>MUNICIPALIDAD DE PEDRO AGUIRRE CERDA</t>
  </si>
  <si>
    <t>10880/2024</t>
  </si>
  <si>
    <t>CONSTRUCCIONCENTRO INTEGRALDEL ADULTO MAYOR,COMUNA DE SALAMANCA</t>
  </si>
  <si>
    <t>SALAMANCA</t>
  </si>
  <si>
    <t>MUNICIPALIDAD DE SALAMANCA</t>
  </si>
  <si>
    <t>40/2024</t>
  </si>
  <si>
    <t>REPOSICION LICEO A-17 COMUNA DE YUNGAY</t>
  </si>
  <si>
    <t>YUNGAY</t>
  </si>
  <si>
    <t>MUNICIPALIDAD DE YUNGAY</t>
  </si>
  <si>
    <t>147/2022</t>
  </si>
  <si>
    <t>El objetivo anual es apoyar y asesorar técnicamente a los Municipios, tanto en la formulación como en el financiamiento de proyectos que colaboren con la emergencia y la reconstrucción del país y su infraestructura pública dañada perteneciente a los Municipios del país.</t>
  </si>
  <si>
    <t>Subtítulo 33.03.110</t>
  </si>
  <si>
    <t>Fondo de Incentivo al Mejoramiento de la Gestión Municipal</t>
  </si>
  <si>
    <t>Subtítulo 33.03.111</t>
  </si>
  <si>
    <t>Programa Revitalización de Barrios e Infraestructura Patrimonial Emblemática</t>
  </si>
  <si>
    <t>El objetivo anual es añadir una carga valórica en inmuebles patrimoniales como también potenciar la actividad económica y el desarrollo de la cultura, fomentando la participación ciudadana de manera transparente como eje fundamental en su implementación.</t>
  </si>
  <si>
    <t>Subtítulo 33.03.112</t>
  </si>
  <si>
    <t>RECUPERACIÓN DE ESPACIOS DE ALTO VALOR SOCIAL</t>
  </si>
  <si>
    <t>MEJORAMIENTO PLAZA PERÚ DE CONCEPCIÓN</t>
  </si>
  <si>
    <t>CONCEPCIÓN</t>
  </si>
  <si>
    <t>Resolución de Transferencia</t>
  </si>
  <si>
    <t>Obra</t>
  </si>
  <si>
    <t>7404/2024</t>
  </si>
  <si>
    <t>PREAVS</t>
  </si>
  <si>
    <t>MEJORAMIENTO PLAZA CÍVICA CORONEL</t>
  </si>
  <si>
    <t>CORONEL</t>
  </si>
  <si>
    <t>7447/2024</t>
  </si>
  <si>
    <t>CONSERVACIÓN COMPLEJO ESCULTÓRICO MUSEO AL AIRE LIBRE, AVDA. FRANCISCO DE AGUIRRE, LA SERENA</t>
  </si>
  <si>
    <t>LA SERENA</t>
  </si>
  <si>
    <t>9077/2024</t>
  </si>
  <si>
    <t>“Mejoramiento Casco Histórico: Eje Paseo Ahumada, Paseo Puente y Plaza de Armas" (40057357-0) (E23176/2024)</t>
  </si>
  <si>
    <t>SANTIAGO</t>
  </si>
  <si>
    <t>12370/2024</t>
  </si>
  <si>
    <t>Conservación Pintura Fachadas, Avda. Francisco de Aguirre, La Serena</t>
  </si>
  <si>
    <t>12117/2024</t>
  </si>
  <si>
    <t>MEJORAMIENTO INTEGRAL PLAZA LORD COCHRANE, COMUNA DE VALPARAÍSO (40060028-0) (E16533/2024)</t>
  </si>
  <si>
    <t>VALPARAÍSO</t>
  </si>
  <si>
    <t>12201/2024</t>
  </si>
  <si>
    <t>MEJORAMIENTO PERGOLA DE LAS  FLORES SUBIDA CUMMING, VALPARAÍSO (40060021-0) (E10724/2024)</t>
  </si>
  <si>
    <t>12491/2024</t>
  </si>
  <si>
    <t>El objetivo anual es la planificación territorial para el desarrollo local, que comprende, entre otros, la actualización o formulación de instrumentos de planificación local y el fortalecimiento de las asociaciones municipales, y ii) fortalecimiento de la gestión municipal, en especial las acciones destinadas a las mejoras de procesos</t>
  </si>
  <si>
    <t xml:space="preserve">                                  vinculados al perfeccionamiento de la información reportada por los municipios y sus corporaciones, para la implementación del sistema de información municipal y la Ficha de Información Municipal Única principalmente en materia de gestión financiera y presupuestaria, para mejorar la provisión de servicios municipales, que considera el fortalecimiento</t>
  </si>
  <si>
    <t xml:space="preserve">                                  de los recursos humanos, optimización de procesos, sistemas de información y participación ciudadana.</t>
  </si>
  <si>
    <t xml:space="preserve"> y transparencia; así como también sus correspondientes servicios de administración, seguridad, monitoreo y respaldo, compra de hardware y software, creación y mejoramiento de redes eléctricas y de datos, capacitación y otros servicios destinados a implementar sistemas de gestión en los municipios.</t>
  </si>
  <si>
    <t>El objetivo anual es el desarrollo, implementación, mantención y aplicación de plataformas tecnológicas de servicios web orientadas al fortalecimiento de la gestión municipal y/o de los principios de probidad y transparencia;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</si>
</sst>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 #,##0_ ;_ * \-#,##0_ ;_ * &quot;-&quot;_ ;_ @_ "/>
    <numFmt numFmtId="164" formatCode="d/m/yyyy"/>
    <numFmt numFmtId="165" formatCode="###0"/>
    <numFmt numFmtId="166" formatCode="0.0%"/>
  </numFmts>
  <fonts count="8">
    <font>
      <sz val="10"/>
      <color rgb="FF000000"/>
      <name val="Arial"/>
      <scheme val="minor"/>
    </font>
    <font>
      <sz val="10"/>
      <color theme="1"/>
      <name val="Verdana"/>
    </font>
    <font>
      <b/>
      <sz val="10"/>
      <color theme="1"/>
      <name val="Verdana"/>
    </font>
    <font>
      <sz val="10"/>
      <name val="Arial"/>
    </font>
    <font>
      <sz val="10"/>
      <color theme="1"/>
      <name val="Arial"/>
      <scheme val="minor"/>
    </font>
    <font>
      <sz val="9"/>
      <color rgb="FF008000"/>
      <name val="&quot;Google Sans Mono&quot;"/>
    </font>
    <font>
      <b/>
      <sz val="10"/>
      <color theme="1"/>
      <name val="Arial"/>
      <scheme val="minor"/>
    </font>
    <font>
      <sz val="11"/>
      <color rgb="FF444444"/>
      <name val="&quot;Gobcl Regular&quot;"/>
    </font>
  </fonts>
  <fills count="7">
    <fill>
      <patternFill patternType="none"/>
    </fill>
    <fill>
      <patternFill patternType="gray125"/>
    </fill>
    <fill>
      <patternFill patternType="solid">
        <fgColor theme="0"/>
        <bgColor theme="0"/>
      </patternFill>
    </fill>
    <fill>
      <patternFill patternType="solid">
        <fgColor rgb="FFCCFFFF"/>
        <bgColor rgb="FFCCFFFF"/>
      </patternFill>
    </fill>
    <fill>
      <patternFill patternType="solid">
        <fgColor rgb="FFD9D9D9"/>
        <bgColor rgb="FFD9D9D9"/>
      </patternFill>
    </fill>
    <fill>
      <patternFill patternType="solid">
        <fgColor rgb="FFFFFFFF"/>
        <bgColor rgb="FFFFFFFF"/>
      </patternFill>
    </fill>
    <fill>
      <patternFill patternType="solid">
        <fgColor rgb="FFCCCCCC"/>
        <bgColor rgb="FFCCCCCC"/>
      </patternFill>
    </fill>
  </fills>
  <borders count="14">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diagonal/>
    </border>
    <border>
      <left/>
      <right/>
      <top/>
      <bottom style="thin">
        <color rgb="FF000000"/>
      </bottom>
      <diagonal/>
    </border>
  </borders>
  <cellStyleXfs count="1">
    <xf numFmtId="0" fontId="0" fillId="0" borderId="0"/>
  </cellStyleXfs>
  <cellXfs count="119">
    <xf numFmtId="0" fontId="0" fillId="0" borderId="0" xfId="0" applyFont="1" applyAlignment="1"/>
    <xf numFmtId="0" fontId="1"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vertical="center"/>
    </xf>
    <xf numFmtId="3" fontId="2" fillId="3" borderId="6" xfId="0" applyNumberFormat="1" applyFont="1" applyFill="1" applyBorder="1" applyAlignment="1">
      <alignment horizontal="left" vertical="center"/>
    </xf>
    <xf numFmtId="0" fontId="2" fillId="2" borderId="1" xfId="0" applyFont="1" applyFill="1" applyBorder="1" applyAlignment="1">
      <alignment horizontal="center" vertical="center"/>
    </xf>
    <xf numFmtId="0" fontId="2" fillId="2" borderId="1" xfId="0" applyFont="1" applyFill="1" applyBorder="1" applyAlignment="1">
      <alignment horizontal="left" vertical="center"/>
    </xf>
    <xf numFmtId="0" fontId="2" fillId="2" borderId="6"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 fillId="2" borderId="6" xfId="0" applyFont="1" applyFill="1" applyBorder="1"/>
    <xf numFmtId="0" fontId="1" fillId="2" borderId="6" xfId="0" applyFont="1" applyFill="1" applyBorder="1" applyAlignment="1">
      <alignment vertical="center" wrapText="1"/>
    </xf>
    <xf numFmtId="41" fontId="1" fillId="2" borderId="6" xfId="0" applyNumberFormat="1" applyFont="1" applyFill="1" applyBorder="1" applyAlignment="1">
      <alignment vertical="center" wrapText="1"/>
    </xf>
    <xf numFmtId="0" fontId="1" fillId="0" borderId="6" xfId="0" applyFont="1" applyBorder="1"/>
    <xf numFmtId="164" fontId="1" fillId="2" borderId="1" xfId="0" applyNumberFormat="1" applyFont="1" applyFill="1" applyBorder="1"/>
    <xf numFmtId="0" fontId="1" fillId="0" borderId="0" xfId="0" applyFont="1" applyAlignment="1">
      <alignment horizontal="left" vertical="center"/>
    </xf>
    <xf numFmtId="0" fontId="1" fillId="2" borderId="1" xfId="0" applyFont="1" applyFill="1" applyBorder="1" applyAlignment="1"/>
    <xf numFmtId="0" fontId="1" fillId="2" borderId="1" xfId="0" applyFont="1" applyFill="1" applyBorder="1" applyAlignment="1">
      <alignment vertical="center"/>
    </xf>
    <xf numFmtId="0" fontId="1" fillId="2" borderId="1" xfId="0" applyFont="1" applyFill="1" applyBorder="1" applyAlignment="1">
      <alignment horizontal="center" vertical="center"/>
    </xf>
    <xf numFmtId="9" fontId="1" fillId="2" borderId="1" xfId="0" applyNumberFormat="1" applyFont="1" applyFill="1" applyBorder="1" applyAlignment="1">
      <alignment vertical="center"/>
    </xf>
    <xf numFmtId="0" fontId="1" fillId="2" borderId="10" xfId="0" applyFont="1" applyFill="1" applyBorder="1" applyAlignment="1">
      <alignment vertical="center"/>
    </xf>
    <xf numFmtId="0" fontId="1" fillId="2" borderId="10" xfId="0" applyFont="1" applyFill="1" applyBorder="1" applyAlignment="1">
      <alignment horizontal="center" vertical="center"/>
    </xf>
    <xf numFmtId="9" fontId="1" fillId="2" borderId="10" xfId="0" applyNumberFormat="1" applyFont="1" applyFill="1" applyBorder="1" applyAlignment="1">
      <alignment vertical="center"/>
    </xf>
    <xf numFmtId="0" fontId="1" fillId="2" borderId="2" xfId="0" applyFont="1" applyFill="1" applyBorder="1" applyAlignment="1">
      <alignment vertical="center"/>
    </xf>
    <xf numFmtId="9" fontId="2" fillId="2" borderId="6" xfId="0" applyNumberFormat="1" applyFont="1" applyFill="1" applyBorder="1" applyAlignment="1">
      <alignment horizontal="center" vertical="center" wrapText="1"/>
    </xf>
    <xf numFmtId="0" fontId="1" fillId="2" borderId="11" xfId="0" applyFont="1" applyFill="1" applyBorder="1" applyAlignment="1">
      <alignment vertical="center"/>
    </xf>
    <xf numFmtId="0" fontId="1" fillId="2" borderId="2" xfId="0" applyFont="1" applyFill="1" applyBorder="1" applyAlignment="1">
      <alignment vertical="center" wrapText="1"/>
    </xf>
    <xf numFmtId="0" fontId="1" fillId="2" borderId="6" xfId="0" applyFont="1" applyFill="1" applyBorder="1" applyAlignment="1">
      <alignment horizontal="center" vertical="center" wrapText="1"/>
    </xf>
    <xf numFmtId="10" fontId="1" fillId="2" borderId="6" xfId="0" applyNumberFormat="1" applyFont="1" applyFill="1" applyBorder="1" applyAlignment="1">
      <alignment vertical="center" wrapText="1"/>
    </xf>
    <xf numFmtId="165" fontId="1" fillId="2" borderId="6" xfId="0" applyNumberFormat="1" applyFont="1" applyFill="1" applyBorder="1" applyAlignment="1">
      <alignment vertical="center" wrapText="1"/>
    </xf>
    <xf numFmtId="0" fontId="1" fillId="2" borderId="11" xfId="0" applyFont="1" applyFill="1" applyBorder="1" applyAlignment="1">
      <alignment vertical="center" wrapText="1"/>
    </xf>
    <xf numFmtId="0" fontId="1" fillId="2" borderId="1" xfId="0" applyFont="1" applyFill="1" applyBorder="1" applyAlignment="1">
      <alignment vertical="center" wrapText="1"/>
    </xf>
    <xf numFmtId="0" fontId="1" fillId="2" borderId="0" xfId="0" applyFont="1" applyFill="1" applyAlignment="1">
      <alignment vertical="center"/>
    </xf>
    <xf numFmtId="0" fontId="1" fillId="2" borderId="0" xfId="0" applyFont="1" applyFill="1" applyAlignment="1">
      <alignment vertical="center" wrapText="1"/>
    </xf>
    <xf numFmtId="0" fontId="1" fillId="2" borderId="0" xfId="0" applyFont="1" applyFill="1" applyAlignment="1">
      <alignment horizontal="center" vertical="center" wrapText="1"/>
    </xf>
    <xf numFmtId="41" fontId="1" fillId="2" borderId="0" xfId="0" applyNumberFormat="1" applyFont="1" applyFill="1" applyAlignment="1">
      <alignment vertical="center" wrapText="1"/>
    </xf>
    <xf numFmtId="10" fontId="1" fillId="2" borderId="0" xfId="0" applyNumberFormat="1" applyFont="1" applyFill="1" applyAlignment="1">
      <alignment vertical="center" wrapText="1"/>
    </xf>
    <xf numFmtId="165" fontId="1" fillId="2" borderId="0" xfId="0" applyNumberFormat="1" applyFont="1" applyFill="1" applyAlignment="1">
      <alignment vertical="center" wrapText="1"/>
    </xf>
    <xf numFmtId="0" fontId="2" fillId="2" borderId="0" xfId="0" applyFont="1" applyFill="1" applyAlignment="1">
      <alignment vertical="center"/>
    </xf>
    <xf numFmtId="0" fontId="2" fillId="4" borderId="0" xfId="0" applyFont="1" applyFill="1" applyAlignment="1">
      <alignment vertical="center" wrapText="1"/>
    </xf>
    <xf numFmtId="0" fontId="2" fillId="4" borderId="0" xfId="0" applyFont="1" applyFill="1" applyAlignment="1">
      <alignment horizontal="center" vertical="center" wrapText="1"/>
    </xf>
    <xf numFmtId="0" fontId="2" fillId="4" borderId="0" xfId="0" applyFont="1" applyFill="1" applyAlignment="1">
      <alignment vertical="center" wrapText="1"/>
    </xf>
    <xf numFmtId="41" fontId="2" fillId="4" borderId="0" xfId="0" applyNumberFormat="1" applyFont="1" applyFill="1" applyAlignment="1">
      <alignment vertical="center" wrapText="1"/>
    </xf>
    <xf numFmtId="10" fontId="2" fillId="4" borderId="0" xfId="0" applyNumberFormat="1" applyFont="1" applyFill="1" applyAlignment="1">
      <alignment vertical="center" wrapText="1"/>
    </xf>
    <xf numFmtId="165" fontId="2" fillId="4" borderId="0" xfId="0" applyNumberFormat="1" applyFont="1" applyFill="1" applyAlignment="1">
      <alignment vertical="center" wrapText="1"/>
    </xf>
    <xf numFmtId="0" fontId="1" fillId="2" borderId="0" xfId="0" applyFont="1" applyFill="1" applyAlignment="1">
      <alignment horizontal="right" vertical="center" wrapText="1"/>
    </xf>
    <xf numFmtId="0" fontId="1" fillId="2" borderId="0" xfId="0" applyFont="1" applyFill="1" applyAlignment="1">
      <alignment horizontal="left" vertical="center"/>
    </xf>
    <xf numFmtId="0" fontId="1" fillId="2" borderId="1" xfId="0" applyFont="1" applyFill="1" applyBorder="1" applyAlignment="1">
      <alignment wrapText="1"/>
    </xf>
    <xf numFmtId="0" fontId="2" fillId="2" borderId="1" xfId="0" applyFont="1" applyFill="1" applyBorder="1" applyAlignment="1">
      <alignment horizontal="left" vertical="center" wrapText="1"/>
    </xf>
    <xf numFmtId="3" fontId="2" fillId="3" borderId="6" xfId="0" applyNumberFormat="1" applyFont="1" applyFill="1" applyBorder="1" applyAlignment="1">
      <alignment horizontal="left" vertical="center" wrapText="1"/>
    </xf>
    <xf numFmtId="0" fontId="2" fillId="2" borderId="1" xfId="0" applyFont="1" applyFill="1" applyBorder="1" applyAlignment="1">
      <alignment horizontal="center" vertical="center" wrapText="1"/>
    </xf>
    <xf numFmtId="3" fontId="2" fillId="2" borderId="6" xfId="0" applyNumberFormat="1" applyFont="1" applyFill="1" applyBorder="1" applyAlignment="1">
      <alignment horizontal="left" vertical="center" wrapText="1"/>
    </xf>
    <xf numFmtId="0" fontId="2" fillId="4" borderId="1" xfId="0" applyFont="1" applyFill="1" applyBorder="1" applyAlignment="1">
      <alignment vertical="center" wrapText="1"/>
    </xf>
    <xf numFmtId="0" fontId="2" fillId="4" borderId="1" xfId="0" applyFont="1" applyFill="1" applyBorder="1" applyAlignment="1">
      <alignment vertical="center"/>
    </xf>
    <xf numFmtId="41" fontId="2" fillId="4" borderId="1" xfId="0" applyNumberFormat="1" applyFont="1" applyFill="1" applyBorder="1" applyAlignment="1">
      <alignment vertical="center"/>
    </xf>
    <xf numFmtId="0" fontId="2" fillId="2" borderId="12" xfId="0" applyFont="1" applyFill="1" applyBorder="1" applyAlignment="1">
      <alignment horizontal="center" vertical="center" wrapText="1"/>
    </xf>
    <xf numFmtId="0" fontId="4" fillId="0" borderId="0" xfId="0" applyFont="1" applyAlignment="1">
      <alignment horizontal="right"/>
    </xf>
    <xf numFmtId="0" fontId="4" fillId="0" borderId="0" xfId="0" applyFont="1" applyAlignment="1"/>
    <xf numFmtId="0" fontId="1" fillId="2" borderId="1" xfId="0" applyFont="1" applyFill="1" applyBorder="1" applyAlignment="1">
      <alignment horizontal="center"/>
    </xf>
    <xf numFmtId="0" fontId="5" fillId="5" borderId="0" xfId="0" applyFont="1" applyFill="1" applyAlignment="1"/>
    <xf numFmtId="0" fontId="4" fillId="0" borderId="0" xfId="0" applyFont="1"/>
    <xf numFmtId="0" fontId="6" fillId="0" borderId="0" xfId="0" applyFont="1"/>
    <xf numFmtId="0" fontId="6" fillId="4" borderId="0" xfId="0" applyFont="1" applyFill="1" applyAlignment="1">
      <alignment vertical="center"/>
    </xf>
    <xf numFmtId="0" fontId="6" fillId="4" borderId="0" xfId="0" applyFont="1" applyFill="1" applyAlignment="1">
      <alignment vertical="center"/>
    </xf>
    <xf numFmtId="3" fontId="6" fillId="4" borderId="0" xfId="0" applyNumberFormat="1" applyFont="1" applyFill="1" applyAlignment="1">
      <alignment vertical="center"/>
    </xf>
    <xf numFmtId="0" fontId="7" fillId="5" borderId="0" xfId="0" applyFont="1" applyFill="1" applyAlignment="1"/>
    <xf numFmtId="0" fontId="1" fillId="2" borderId="1" xfId="0" applyFont="1" applyFill="1" applyBorder="1" applyAlignment="1">
      <alignment horizontal="right"/>
    </xf>
    <xf numFmtId="41" fontId="1" fillId="2" borderId="1" xfId="0" applyNumberFormat="1" applyFont="1" applyFill="1" applyBorder="1"/>
    <xf numFmtId="41" fontId="2" fillId="2" borderId="6" xfId="0" applyNumberFormat="1" applyFont="1" applyFill="1" applyBorder="1" applyAlignment="1">
      <alignment horizontal="center" vertical="center" wrapText="1"/>
    </xf>
    <xf numFmtId="41" fontId="1" fillId="2" borderId="6" xfId="0" applyNumberFormat="1" applyFont="1" applyFill="1" applyBorder="1"/>
    <xf numFmtId="0" fontId="1" fillId="2" borderId="6" xfId="0" applyFont="1" applyFill="1" applyBorder="1" applyAlignment="1">
      <alignment horizontal="center" vertical="center"/>
    </xf>
    <xf numFmtId="41" fontId="1" fillId="2" borderId="6" xfId="0" applyNumberFormat="1" applyFont="1" applyFill="1" applyBorder="1" applyAlignment="1">
      <alignment horizontal="center" vertical="center"/>
    </xf>
    <xf numFmtId="3" fontId="1" fillId="2" borderId="6" xfId="0" applyNumberFormat="1" applyFont="1" applyFill="1" applyBorder="1" applyAlignment="1">
      <alignment vertical="center" wrapText="1"/>
    </xf>
    <xf numFmtId="166" fontId="1" fillId="2" borderId="6" xfId="0" applyNumberFormat="1" applyFont="1" applyFill="1" applyBorder="1" applyAlignment="1">
      <alignment vertical="center" wrapText="1"/>
    </xf>
    <xf numFmtId="0" fontId="1" fillId="2" borderId="0" xfId="0" applyFont="1" applyFill="1"/>
    <xf numFmtId="3" fontId="1" fillId="2" borderId="0" xfId="0" applyNumberFormat="1" applyFont="1" applyFill="1" applyAlignment="1">
      <alignment vertical="center" wrapText="1"/>
    </xf>
    <xf numFmtId="166" fontId="1" fillId="2" borderId="0" xfId="0" applyNumberFormat="1" applyFont="1" applyFill="1" applyAlignment="1">
      <alignment vertical="center" wrapText="1"/>
    </xf>
    <xf numFmtId="0" fontId="2" fillId="2" borderId="0" xfId="0" applyFont="1" applyFill="1"/>
    <xf numFmtId="3" fontId="2" fillId="4" borderId="0" xfId="0" applyNumberFormat="1" applyFont="1" applyFill="1" applyAlignment="1">
      <alignment vertical="center" wrapText="1"/>
    </xf>
    <xf numFmtId="166" fontId="2" fillId="4" borderId="0" xfId="0" applyNumberFormat="1" applyFont="1" applyFill="1" applyAlignment="1">
      <alignment vertical="center" wrapText="1"/>
    </xf>
    <xf numFmtId="0" fontId="1" fillId="2" borderId="2" xfId="0" applyFont="1" applyFill="1" applyBorder="1"/>
    <xf numFmtId="41" fontId="4" fillId="0" borderId="0" xfId="0" applyNumberFormat="1" applyFont="1"/>
    <xf numFmtId="0" fontId="2" fillId="6" borderId="0" xfId="0" applyFont="1" applyFill="1" applyAlignment="1">
      <alignment vertical="center" wrapText="1"/>
    </xf>
    <xf numFmtId="0" fontId="2" fillId="6" borderId="0" xfId="0" applyFont="1" applyFill="1" applyAlignment="1">
      <alignment vertical="center" wrapText="1"/>
    </xf>
    <xf numFmtId="0" fontId="2" fillId="6" borderId="0" xfId="0" applyFont="1" applyFill="1" applyAlignment="1">
      <alignment horizontal="center" vertical="center" wrapText="1"/>
    </xf>
    <xf numFmtId="3" fontId="2" fillId="6" borderId="0" xfId="0" applyNumberFormat="1" applyFont="1" applyFill="1" applyAlignment="1">
      <alignment vertical="center" wrapText="1"/>
    </xf>
    <xf numFmtId="10" fontId="2" fillId="6" borderId="0" xfId="0" applyNumberFormat="1" applyFont="1" applyFill="1" applyAlignment="1">
      <alignment vertical="center" wrapText="1"/>
    </xf>
    <xf numFmtId="0" fontId="1" fillId="2" borderId="6" xfId="0" applyFont="1" applyFill="1" applyBorder="1" applyAlignment="1">
      <alignment vertical="center" wrapText="1"/>
    </xf>
    <xf numFmtId="0" fontId="1" fillId="2" borderId="6" xfId="0" applyFont="1" applyFill="1" applyBorder="1" applyAlignment="1">
      <alignment horizontal="center" vertical="center" wrapText="1"/>
    </xf>
    <xf numFmtId="3" fontId="1" fillId="2" borderId="6" xfId="0" applyNumberFormat="1" applyFont="1" applyFill="1" applyBorder="1" applyAlignment="1">
      <alignment vertical="center" wrapText="1"/>
    </xf>
    <xf numFmtId="3" fontId="1" fillId="2" borderId="6" xfId="0" applyNumberFormat="1" applyFont="1" applyFill="1" applyBorder="1" applyAlignment="1">
      <alignment horizontal="center" vertical="center" wrapText="1"/>
    </xf>
    <xf numFmtId="9" fontId="1" fillId="2" borderId="6" xfId="0" applyNumberFormat="1" applyFont="1" applyFill="1" applyBorder="1" applyAlignment="1">
      <alignment vertical="center" wrapText="1"/>
    </xf>
    <xf numFmtId="0" fontId="1" fillId="2" borderId="6" xfId="0" applyFont="1" applyFill="1" applyBorder="1" applyAlignment="1"/>
    <xf numFmtId="3" fontId="1" fillId="2" borderId="6" xfId="0" applyNumberFormat="1" applyFont="1" applyFill="1" applyBorder="1" applyAlignment="1"/>
    <xf numFmtId="3" fontId="1" fillId="2" borderId="6" xfId="0" applyNumberFormat="1" applyFont="1" applyFill="1" applyBorder="1" applyAlignment="1">
      <alignment horizontal="center" vertical="center"/>
    </xf>
    <xf numFmtId="10" fontId="1" fillId="2" borderId="6" xfId="0" applyNumberFormat="1" applyFont="1" applyFill="1" applyBorder="1" applyAlignment="1"/>
    <xf numFmtId="0" fontId="2" fillId="2" borderId="1" xfId="0" applyFont="1" applyFill="1" applyBorder="1"/>
    <xf numFmtId="0" fontId="2" fillId="2" borderId="1" xfId="0" applyFont="1" applyFill="1" applyBorder="1" applyAlignment="1"/>
    <xf numFmtId="3" fontId="2" fillId="2" borderId="1" xfId="0" applyNumberFormat="1" applyFont="1" applyFill="1" applyBorder="1"/>
    <xf numFmtId="0" fontId="1" fillId="2" borderId="10" xfId="0" applyFont="1" applyFill="1" applyBorder="1"/>
    <xf numFmtId="0" fontId="4" fillId="0" borderId="0" xfId="0" applyFont="1"/>
    <xf numFmtId="0" fontId="2" fillId="2" borderId="13" xfId="0" applyFont="1" applyFill="1" applyBorder="1" applyAlignment="1">
      <alignment vertical="center" wrapText="1"/>
    </xf>
    <xf numFmtId="0" fontId="1" fillId="2" borderId="10" xfId="0" applyFont="1" applyFill="1" applyBorder="1" applyAlignment="1">
      <alignment wrapText="1"/>
    </xf>
    <xf numFmtId="41" fontId="1" fillId="2" borderId="10" xfId="0" applyNumberFormat="1" applyFont="1" applyFill="1" applyBorder="1"/>
    <xf numFmtId="0" fontId="2" fillId="2" borderId="1" xfId="0" applyFont="1" applyFill="1" applyBorder="1" applyAlignment="1">
      <alignment horizontal="left" vertical="center"/>
    </xf>
    <xf numFmtId="0" fontId="2" fillId="2" borderId="13" xfId="0" applyFont="1" applyFill="1" applyBorder="1" applyAlignment="1">
      <alignment vertical="center" wrapText="1"/>
    </xf>
    <xf numFmtId="0" fontId="1" fillId="2" borderId="6" xfId="0" applyFont="1" applyFill="1" applyBorder="1" applyAlignment="1">
      <alignment horizontal="center" vertical="center"/>
    </xf>
    <xf numFmtId="41" fontId="1" fillId="2" borderId="6" xfId="0" applyNumberFormat="1" applyFont="1" applyFill="1" applyBorder="1" applyAlignment="1">
      <alignment horizontal="center" vertical="center"/>
    </xf>
    <xf numFmtId="41" fontId="1" fillId="2" borderId="6" xfId="0" applyNumberFormat="1" applyFont="1" applyFill="1" applyBorder="1" applyAlignment="1">
      <alignment vertical="center" wrapText="1"/>
    </xf>
    <xf numFmtId="10" fontId="1" fillId="2" borderId="6" xfId="0" applyNumberFormat="1" applyFont="1" applyFill="1" applyBorder="1" applyAlignment="1">
      <alignment vertical="center" wrapText="1"/>
    </xf>
    <xf numFmtId="0" fontId="1" fillId="0" borderId="6" xfId="0" applyFont="1" applyBorder="1" applyAlignment="1"/>
    <xf numFmtId="0" fontId="2" fillId="2" borderId="2" xfId="0" applyFont="1" applyFill="1" applyBorder="1" applyAlignment="1">
      <alignment horizontal="left" vertical="center"/>
    </xf>
    <xf numFmtId="0" fontId="3" fillId="0" borderId="3" xfId="0" applyFont="1" applyBorder="1"/>
    <xf numFmtId="0" fontId="2" fillId="2" borderId="4" xfId="0" applyFont="1" applyFill="1" applyBorder="1" applyAlignment="1">
      <alignment horizontal="left" vertical="center"/>
    </xf>
    <xf numFmtId="0" fontId="3" fillId="0" borderId="5" xfId="0" applyFont="1" applyBorder="1"/>
    <xf numFmtId="3" fontId="1" fillId="3" borderId="7" xfId="0" applyNumberFormat="1" applyFont="1" applyFill="1" applyBorder="1" applyAlignment="1">
      <alignment horizontal="left" vertical="center" wrapText="1"/>
    </xf>
    <xf numFmtId="0" fontId="3" fillId="0" borderId="8" xfId="0" applyFont="1" applyBorder="1"/>
    <xf numFmtId="0" fontId="3" fillId="0" borderId="9" xfId="0" applyFont="1" applyBorder="1"/>
    <xf numFmtId="0" fontId="2" fillId="2" borderId="2" xfId="0" applyFont="1" applyFill="1" applyBorder="1" applyAlignment="1">
      <alignment horizontal="left" vertical="center" wrapText="1"/>
    </xf>
    <xf numFmtId="0" fontId="2" fillId="2" borderId="2"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287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382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382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0</xdr:rowOff>
    </xdr:from>
    <xdr:ext cx="1057275" cy="1038225"/>
    <xdr:pic>
      <xdr:nvPicPr>
        <xdr:cNvPr id="3"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382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0</xdr:rowOff>
    </xdr:from>
    <xdr:ext cx="1057275" cy="1038225"/>
    <xdr:pic>
      <xdr:nvPicPr>
        <xdr:cNvPr id="3"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382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382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382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0</xdr:rowOff>
    </xdr:from>
    <xdr:ext cx="1057275" cy="1038225"/>
    <xdr:pic>
      <xdr:nvPicPr>
        <xdr:cNvPr id="3"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0</xdr:rowOff>
    </xdr:from>
    <xdr:ext cx="1057275" cy="1038225"/>
    <xdr:pic>
      <xdr:nvPicPr>
        <xdr:cNvPr id="4"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0</xdr:rowOff>
    </xdr:from>
    <xdr:ext cx="1057275" cy="1038225"/>
    <xdr:pic>
      <xdr:nvPicPr>
        <xdr:cNvPr id="5"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382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0</xdr:rowOff>
    </xdr:from>
    <xdr:ext cx="1057275" cy="1038225"/>
    <xdr:pic>
      <xdr:nvPicPr>
        <xdr:cNvPr id="3"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0</xdr:rowOff>
    </xdr:from>
    <xdr:ext cx="1057275" cy="1038225"/>
    <xdr:pic>
      <xdr:nvPicPr>
        <xdr:cNvPr id="4"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9525</xdr:colOff>
      <xdr:row>0</xdr:row>
      <xdr:rowOff>0</xdr:rowOff>
    </xdr:from>
    <xdr:ext cx="1028700" cy="1066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0</xdr:rowOff>
    </xdr:from>
    <xdr:ext cx="1028700" cy="1066800"/>
    <xdr:pic>
      <xdr:nvPicPr>
        <xdr:cNvPr id="3"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9525</xdr:colOff>
      <xdr:row>0</xdr:row>
      <xdr:rowOff>0</xdr:rowOff>
    </xdr:from>
    <xdr:ext cx="1028700" cy="1066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0</xdr:rowOff>
    </xdr:from>
    <xdr:ext cx="1028700" cy="1066800"/>
    <xdr:pic>
      <xdr:nvPicPr>
        <xdr:cNvPr id="3"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0</xdr:rowOff>
    </xdr:from>
    <xdr:ext cx="1095375" cy="10382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382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N26" sqref="A1:N26"/>
    </sheetView>
  </sheetViews>
  <sheetFormatPr baseColWidth="10" defaultColWidth="12.5703125" defaultRowHeight="15" customHeight="1"/>
  <cols>
    <col min="1" max="1" width="2.140625" customWidth="1"/>
    <col min="2" max="2" width="22.42578125" customWidth="1"/>
    <col min="3" max="3" width="20" customWidth="1"/>
    <col min="4" max="4" width="27.28515625" customWidth="1"/>
    <col min="5" max="5" width="49" customWidth="1"/>
    <col min="6" max="6" width="17.85546875" customWidth="1"/>
    <col min="7" max="7" width="27.140625" customWidth="1"/>
    <col min="8" max="8" width="15.42578125" customWidth="1"/>
    <col min="9" max="9" width="11.42578125" customWidth="1"/>
    <col min="10" max="10" width="15.5703125" customWidth="1"/>
    <col min="11" max="11" width="13.5703125" customWidth="1"/>
    <col min="12" max="12" width="18.28515625" customWidth="1"/>
    <col min="13" max="13" width="17.5703125" customWidth="1"/>
    <col min="14" max="26" width="11.42578125" customWidth="1"/>
  </cols>
  <sheetData>
    <row r="1" spans="1:26" ht="12.75" customHeight="1">
      <c r="A1" s="1"/>
      <c r="B1" s="1"/>
      <c r="C1" s="1"/>
      <c r="D1" s="1"/>
      <c r="E1" s="1"/>
      <c r="F1" s="1"/>
      <c r="G1" s="1"/>
      <c r="H1" s="1"/>
      <c r="I1" s="1"/>
      <c r="J1" s="1"/>
      <c r="K1" s="1"/>
      <c r="L1" s="1"/>
      <c r="M1" s="1"/>
      <c r="N1" s="1"/>
      <c r="O1" s="1"/>
      <c r="P1" s="1"/>
      <c r="Q1" s="1"/>
      <c r="R1" s="1"/>
      <c r="S1" s="1"/>
      <c r="T1" s="1"/>
      <c r="U1" s="1"/>
      <c r="V1" s="1"/>
      <c r="W1" s="1"/>
      <c r="X1" s="1"/>
      <c r="Y1" s="1"/>
      <c r="Z1" s="1"/>
    </row>
    <row r="2" spans="1:26" ht="12.75" customHeight="1">
      <c r="A2" s="1"/>
      <c r="B2" s="1"/>
      <c r="C2" s="1"/>
      <c r="D2" s="1"/>
      <c r="E2" s="1"/>
      <c r="F2" s="1"/>
      <c r="G2" s="1"/>
      <c r="H2" s="1"/>
      <c r="I2" s="1"/>
      <c r="J2" s="1"/>
      <c r="K2" s="1"/>
      <c r="L2" s="1"/>
      <c r="M2" s="1"/>
      <c r="N2" s="1"/>
      <c r="O2" s="1"/>
      <c r="P2" s="1"/>
      <c r="Q2" s="1"/>
      <c r="R2" s="1"/>
      <c r="S2" s="1"/>
      <c r="T2" s="1"/>
      <c r="U2" s="1"/>
      <c r="V2" s="1"/>
      <c r="W2" s="1"/>
      <c r="X2" s="1"/>
      <c r="Y2" s="1"/>
      <c r="Z2" s="1"/>
    </row>
    <row r="3" spans="1:26" ht="12.75" customHeight="1">
      <c r="A3" s="1"/>
      <c r="B3" s="1"/>
      <c r="C3" s="1"/>
      <c r="D3" s="1"/>
      <c r="E3" s="1"/>
      <c r="F3" s="1"/>
      <c r="G3" s="1"/>
      <c r="H3" s="1"/>
      <c r="I3" s="1"/>
      <c r="J3" s="1"/>
      <c r="K3" s="1"/>
      <c r="L3" s="1"/>
      <c r="M3" s="1"/>
      <c r="N3" s="1"/>
      <c r="O3" s="1"/>
      <c r="P3" s="1"/>
      <c r="Q3" s="1"/>
      <c r="R3" s="1"/>
      <c r="S3" s="1"/>
      <c r="T3" s="1"/>
      <c r="U3" s="1"/>
      <c r="V3" s="1"/>
      <c r="W3" s="1"/>
      <c r="X3" s="1"/>
      <c r="Y3" s="1"/>
      <c r="Z3" s="1"/>
    </row>
    <row r="4" spans="1:26" ht="12.75" customHeight="1">
      <c r="A4" s="1"/>
      <c r="B4" s="1"/>
      <c r="C4" s="1"/>
      <c r="D4" s="1"/>
      <c r="E4" s="1"/>
      <c r="F4" s="1"/>
      <c r="G4" s="1"/>
      <c r="H4" s="1"/>
      <c r="I4" s="1"/>
      <c r="J4" s="1"/>
      <c r="K4" s="1"/>
      <c r="L4" s="1"/>
      <c r="M4" s="1"/>
      <c r="N4" s="1"/>
      <c r="O4" s="1"/>
      <c r="P4" s="1"/>
      <c r="Q4" s="1"/>
      <c r="R4" s="1"/>
      <c r="S4" s="1"/>
      <c r="T4" s="1"/>
      <c r="U4" s="1"/>
      <c r="V4" s="1"/>
      <c r="W4" s="1"/>
      <c r="X4" s="1"/>
      <c r="Y4" s="1"/>
      <c r="Z4" s="1"/>
    </row>
    <row r="5" spans="1:26" ht="12.75" customHeight="1">
      <c r="A5" s="1"/>
      <c r="B5" s="1"/>
      <c r="C5" s="1"/>
      <c r="D5" s="1"/>
      <c r="E5" s="1"/>
      <c r="F5" s="1"/>
      <c r="G5" s="1"/>
      <c r="H5" s="1"/>
      <c r="I5" s="1"/>
      <c r="J5" s="1"/>
      <c r="K5" s="1"/>
      <c r="L5" s="1"/>
      <c r="M5" s="1"/>
      <c r="N5" s="1"/>
      <c r="O5" s="1"/>
      <c r="P5" s="1"/>
      <c r="Q5" s="1"/>
      <c r="R5" s="1"/>
      <c r="S5" s="1"/>
      <c r="T5" s="1"/>
      <c r="U5" s="1"/>
      <c r="V5" s="1"/>
      <c r="W5" s="1"/>
      <c r="X5" s="1"/>
      <c r="Y5" s="1"/>
      <c r="Z5" s="1"/>
    </row>
    <row r="6" spans="1:26" ht="12.75" customHeight="1">
      <c r="A6" s="1"/>
      <c r="B6" s="1"/>
      <c r="C6" s="1"/>
      <c r="D6" s="1"/>
      <c r="E6" s="1"/>
      <c r="F6" s="1"/>
      <c r="G6" s="1"/>
      <c r="H6" s="1"/>
      <c r="I6" s="1"/>
      <c r="J6" s="1"/>
      <c r="K6" s="1"/>
      <c r="L6" s="1"/>
      <c r="M6" s="1"/>
      <c r="N6" s="1"/>
      <c r="O6" s="1"/>
      <c r="P6" s="1"/>
      <c r="Q6" s="1"/>
      <c r="R6" s="1"/>
      <c r="S6" s="1"/>
      <c r="T6" s="1"/>
      <c r="U6" s="1"/>
      <c r="V6" s="1"/>
      <c r="W6" s="1"/>
      <c r="X6" s="1"/>
      <c r="Y6" s="1"/>
      <c r="Z6" s="1"/>
    </row>
    <row r="7" spans="1:26" ht="12.75" customHeight="1">
      <c r="A7" s="1"/>
      <c r="B7" s="1"/>
      <c r="C7" s="1"/>
      <c r="D7" s="1"/>
      <c r="E7" s="1"/>
      <c r="F7" s="1"/>
      <c r="G7" s="1"/>
      <c r="H7" s="1"/>
      <c r="I7" s="1"/>
      <c r="J7" s="1"/>
      <c r="K7" s="1"/>
      <c r="L7" s="1"/>
      <c r="M7" s="1"/>
      <c r="N7" s="1"/>
      <c r="O7" s="1"/>
      <c r="P7" s="1"/>
      <c r="Q7" s="1"/>
      <c r="R7" s="1"/>
      <c r="S7" s="1"/>
      <c r="T7" s="1"/>
      <c r="U7" s="1"/>
      <c r="V7" s="1"/>
      <c r="W7" s="1"/>
      <c r="X7" s="1"/>
      <c r="Y7" s="1"/>
      <c r="Z7" s="1"/>
    </row>
    <row r="8" spans="1:26" ht="12.75" customHeight="1">
      <c r="A8" s="1"/>
      <c r="B8" s="2" t="s">
        <v>0</v>
      </c>
      <c r="C8" s="3"/>
      <c r="D8" s="1"/>
      <c r="E8" s="1"/>
      <c r="F8" s="1"/>
      <c r="G8" s="1"/>
      <c r="H8" s="1"/>
      <c r="I8" s="1"/>
      <c r="J8" s="1"/>
      <c r="K8" s="1"/>
      <c r="L8" s="1"/>
      <c r="M8" s="1"/>
      <c r="N8" s="1"/>
      <c r="O8" s="1"/>
      <c r="P8" s="1"/>
      <c r="Q8" s="1"/>
      <c r="R8" s="1"/>
      <c r="S8" s="1"/>
      <c r="T8" s="1"/>
      <c r="U8" s="1"/>
      <c r="V8" s="1"/>
      <c r="W8" s="1"/>
      <c r="X8" s="1"/>
      <c r="Y8" s="1"/>
      <c r="Z8" s="1"/>
    </row>
    <row r="9" spans="1:26" ht="12.75" customHeight="1">
      <c r="A9" s="1"/>
      <c r="B9" s="110" t="s">
        <v>1</v>
      </c>
      <c r="C9" s="111"/>
      <c r="D9" s="1"/>
      <c r="E9" s="1"/>
      <c r="F9" s="1"/>
      <c r="G9" s="1"/>
      <c r="H9" s="1"/>
      <c r="I9" s="1"/>
      <c r="J9" s="1"/>
      <c r="K9" s="1"/>
      <c r="L9" s="1"/>
      <c r="M9" s="1"/>
      <c r="N9" s="1"/>
      <c r="O9" s="1"/>
      <c r="P9" s="1"/>
      <c r="Q9" s="1"/>
      <c r="R9" s="1"/>
      <c r="S9" s="1"/>
      <c r="T9" s="1"/>
      <c r="U9" s="1"/>
      <c r="V9" s="1"/>
      <c r="W9" s="1"/>
      <c r="X9" s="1"/>
      <c r="Y9" s="1"/>
      <c r="Z9" s="1"/>
    </row>
    <row r="10" spans="1:26" ht="12.75" customHeight="1">
      <c r="A10" s="1"/>
      <c r="B10" s="110" t="s">
        <v>2</v>
      </c>
      <c r="C10" s="111"/>
      <c r="D10" s="111"/>
      <c r="E10" s="1"/>
      <c r="F10" s="1"/>
      <c r="G10" s="1"/>
      <c r="H10" s="1"/>
      <c r="I10" s="1"/>
      <c r="J10" s="1"/>
      <c r="K10" s="1"/>
      <c r="L10" s="1"/>
      <c r="M10" s="1"/>
      <c r="N10" s="1"/>
      <c r="O10" s="1"/>
      <c r="P10" s="1"/>
      <c r="Q10" s="1"/>
      <c r="R10" s="1"/>
      <c r="S10" s="1"/>
      <c r="T10" s="1"/>
      <c r="U10" s="1"/>
      <c r="V10" s="1"/>
      <c r="W10" s="1"/>
      <c r="X10" s="1"/>
      <c r="Y10" s="1"/>
      <c r="Z10" s="1"/>
    </row>
    <row r="11" spans="1:26" ht="12.75" customHeight="1">
      <c r="A11" s="1"/>
      <c r="B11" s="110" t="s">
        <v>3</v>
      </c>
      <c r="C11" s="111"/>
      <c r="D11" s="1"/>
      <c r="E11" s="1"/>
      <c r="F11" s="1"/>
      <c r="G11" s="1"/>
      <c r="H11" s="1"/>
      <c r="I11" s="1"/>
      <c r="J11" s="1"/>
      <c r="K11" s="1"/>
      <c r="L11" s="1"/>
      <c r="M11" s="1"/>
      <c r="N11" s="1"/>
      <c r="O11" s="1"/>
      <c r="P11" s="1"/>
      <c r="Q11" s="1"/>
      <c r="R11" s="1"/>
      <c r="S11" s="1"/>
      <c r="T11" s="1"/>
      <c r="U11" s="1"/>
      <c r="V11" s="1"/>
      <c r="W11" s="1"/>
      <c r="X11" s="1"/>
      <c r="Y11" s="1"/>
      <c r="Z11" s="1"/>
    </row>
    <row r="12" spans="1:26" ht="12.75" customHeight="1">
      <c r="A12" s="1"/>
      <c r="B12" s="112" t="s">
        <v>4</v>
      </c>
      <c r="C12" s="113"/>
      <c r="D12" s="113"/>
      <c r="E12" s="113"/>
      <c r="F12" s="113"/>
      <c r="G12" s="113"/>
      <c r="H12" s="1"/>
      <c r="I12" s="1"/>
      <c r="J12" s="1"/>
      <c r="K12" s="1"/>
      <c r="L12" s="1"/>
      <c r="M12" s="1"/>
      <c r="N12" s="1"/>
      <c r="O12" s="1"/>
      <c r="P12" s="1"/>
      <c r="Q12" s="1"/>
      <c r="R12" s="1"/>
      <c r="S12" s="1"/>
      <c r="T12" s="1"/>
      <c r="U12" s="1"/>
      <c r="V12" s="1"/>
      <c r="W12" s="1"/>
      <c r="X12" s="1"/>
      <c r="Y12" s="1"/>
      <c r="Z12" s="1"/>
    </row>
    <row r="13" spans="1:26" ht="119.25" customHeight="1">
      <c r="A13" s="1"/>
      <c r="B13" s="4" t="s">
        <v>5</v>
      </c>
      <c r="C13" s="114" t="s">
        <v>6</v>
      </c>
      <c r="D13" s="115"/>
      <c r="E13" s="115"/>
      <c r="F13" s="115"/>
      <c r="G13" s="116"/>
      <c r="H13" s="1"/>
      <c r="I13" s="1"/>
      <c r="J13" s="1"/>
      <c r="K13" s="1"/>
      <c r="L13" s="1"/>
      <c r="M13" s="1"/>
      <c r="N13" s="1"/>
      <c r="O13" s="1"/>
      <c r="P13" s="1"/>
      <c r="Q13" s="1"/>
      <c r="R13" s="1"/>
      <c r="S13" s="1"/>
      <c r="T13" s="1"/>
      <c r="U13" s="1"/>
      <c r="V13" s="1"/>
      <c r="W13" s="1"/>
      <c r="X13" s="1"/>
      <c r="Y13" s="1"/>
      <c r="Z13" s="1"/>
    </row>
    <row r="14" spans="1:26" ht="12.75" customHeight="1">
      <c r="A14" s="1"/>
      <c r="B14" s="5"/>
      <c r="C14" s="5"/>
      <c r="D14" s="1"/>
      <c r="E14" s="1"/>
      <c r="F14" s="1"/>
      <c r="G14" s="1"/>
      <c r="H14" s="1"/>
      <c r="I14" s="1"/>
      <c r="J14" s="1"/>
      <c r="K14" s="1"/>
      <c r="L14" s="1"/>
      <c r="M14" s="1"/>
      <c r="N14" s="1"/>
      <c r="O14" s="1"/>
      <c r="P14" s="1"/>
      <c r="Q14" s="1"/>
      <c r="R14" s="1"/>
      <c r="S14" s="1"/>
      <c r="T14" s="1"/>
      <c r="U14" s="1"/>
      <c r="V14" s="1"/>
      <c r="W14" s="1"/>
      <c r="X14" s="1"/>
      <c r="Y14" s="1"/>
      <c r="Z14" s="1"/>
    </row>
    <row r="15" spans="1:26" ht="12.75" customHeight="1">
      <c r="A15" s="1"/>
      <c r="B15" s="5"/>
      <c r="C15" s="5"/>
      <c r="D15" s="1"/>
      <c r="E15" s="1"/>
      <c r="F15" s="1"/>
      <c r="G15" s="1"/>
      <c r="H15" s="1"/>
      <c r="I15" s="1"/>
      <c r="J15" s="1"/>
      <c r="K15" s="1"/>
      <c r="L15" s="1"/>
      <c r="M15" s="1"/>
      <c r="N15" s="1"/>
      <c r="O15" s="1"/>
      <c r="P15" s="1"/>
      <c r="Q15" s="1"/>
      <c r="R15" s="1"/>
      <c r="S15" s="1"/>
      <c r="T15" s="1"/>
      <c r="U15" s="1"/>
      <c r="V15" s="1"/>
      <c r="W15" s="1"/>
      <c r="X15" s="1"/>
      <c r="Y15" s="1"/>
      <c r="Z15" s="1"/>
    </row>
    <row r="16" spans="1:26" ht="55.5" customHeight="1">
      <c r="A16" s="1"/>
      <c r="B16" s="4" t="s">
        <v>7</v>
      </c>
      <c r="C16" s="114" t="s">
        <v>8</v>
      </c>
      <c r="D16" s="115"/>
      <c r="E16" s="115"/>
      <c r="F16" s="115"/>
      <c r="G16" s="116"/>
      <c r="H16" s="1"/>
      <c r="I16" s="1"/>
      <c r="J16" s="1"/>
      <c r="K16" s="1"/>
      <c r="L16" s="1"/>
      <c r="M16" s="1"/>
      <c r="N16" s="1"/>
      <c r="O16" s="1"/>
      <c r="P16" s="1"/>
      <c r="Q16" s="1"/>
      <c r="R16" s="1"/>
      <c r="S16" s="1"/>
      <c r="T16" s="1"/>
      <c r="U16" s="1"/>
      <c r="V16" s="1"/>
      <c r="W16" s="1"/>
      <c r="X16" s="1"/>
      <c r="Y16" s="1"/>
      <c r="Z16" s="1"/>
    </row>
    <row r="17" spans="1:26" ht="12.75" customHeight="1">
      <c r="A17" s="1"/>
      <c r="B17" s="6"/>
      <c r="C17" s="6"/>
      <c r="D17" s="1"/>
      <c r="E17" s="1"/>
      <c r="F17" s="1"/>
      <c r="G17" s="1"/>
      <c r="H17" s="1"/>
      <c r="I17" s="1"/>
      <c r="J17" s="1"/>
      <c r="K17" s="1"/>
      <c r="L17" s="1"/>
      <c r="M17" s="1"/>
      <c r="N17" s="1"/>
      <c r="O17" s="1"/>
      <c r="P17" s="1"/>
      <c r="Q17" s="1"/>
      <c r="R17" s="1"/>
      <c r="S17" s="1"/>
      <c r="T17" s="1"/>
      <c r="U17" s="1"/>
      <c r="V17" s="1"/>
      <c r="W17" s="1"/>
      <c r="X17" s="1"/>
      <c r="Y17" s="1"/>
      <c r="Z17" s="1"/>
    </row>
    <row r="18" spans="1:26" ht="12.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42" customHeight="1">
      <c r="A20" s="1"/>
      <c r="B20" s="7" t="s">
        <v>9</v>
      </c>
      <c r="C20" s="7" t="s">
        <v>10</v>
      </c>
      <c r="D20" s="7" t="s">
        <v>11</v>
      </c>
      <c r="E20" s="7" t="s">
        <v>12</v>
      </c>
      <c r="F20" s="7" t="s">
        <v>13</v>
      </c>
      <c r="G20" s="7" t="s">
        <v>14</v>
      </c>
      <c r="H20" s="7" t="s">
        <v>15</v>
      </c>
      <c r="I20" s="8" t="s">
        <v>16</v>
      </c>
      <c r="J20" s="7" t="s">
        <v>17</v>
      </c>
      <c r="K20" s="7" t="s">
        <v>18</v>
      </c>
      <c r="L20" s="7" t="s">
        <v>19</v>
      </c>
      <c r="M20" s="7" t="s">
        <v>20</v>
      </c>
      <c r="N20" s="1"/>
      <c r="O20" s="1"/>
      <c r="P20" s="1"/>
      <c r="Q20" s="1"/>
      <c r="R20" s="1"/>
      <c r="S20" s="1"/>
      <c r="T20" s="1"/>
      <c r="U20" s="1"/>
      <c r="V20" s="1"/>
      <c r="W20" s="1"/>
      <c r="X20" s="1"/>
      <c r="Y20" s="1"/>
      <c r="Z20" s="1"/>
    </row>
    <row r="21" spans="1:26" ht="12.75" customHeight="1">
      <c r="A21" s="1"/>
      <c r="B21" s="9"/>
      <c r="C21" s="9"/>
      <c r="D21" s="9"/>
      <c r="E21" s="9"/>
      <c r="F21" s="9"/>
      <c r="G21" s="9"/>
      <c r="H21" s="10"/>
      <c r="I21" s="10"/>
      <c r="J21" s="11"/>
      <c r="K21" s="11"/>
      <c r="L21" s="12"/>
      <c r="M21" s="10"/>
      <c r="N21" s="1"/>
      <c r="O21" s="1"/>
      <c r="P21" s="1"/>
      <c r="Q21" s="1"/>
      <c r="R21" s="1"/>
      <c r="S21" s="1"/>
      <c r="T21" s="1"/>
      <c r="U21" s="1"/>
      <c r="V21" s="1"/>
      <c r="W21" s="1"/>
      <c r="X21" s="1"/>
      <c r="Y21" s="1"/>
      <c r="Z21" s="1"/>
    </row>
    <row r="22" spans="1:26" ht="12.75" customHeight="1">
      <c r="A22" s="1"/>
      <c r="B22" s="13"/>
      <c r="C22" s="13"/>
      <c r="D22" s="1"/>
      <c r="E22" s="1"/>
      <c r="F22" s="1"/>
      <c r="G22" s="1"/>
      <c r="H22" s="1"/>
      <c r="I22" s="1"/>
      <c r="J22" s="1"/>
      <c r="K22" s="1"/>
      <c r="L22" s="1"/>
      <c r="M22" s="1"/>
      <c r="N22" s="1"/>
      <c r="O22" s="1"/>
      <c r="P22" s="1"/>
      <c r="Q22" s="1"/>
      <c r="R22" s="1"/>
      <c r="S22" s="1"/>
      <c r="T22" s="1"/>
      <c r="U22" s="1"/>
      <c r="V22" s="1"/>
      <c r="W22" s="1"/>
      <c r="X22" s="1"/>
      <c r="Y22" s="1"/>
      <c r="Z22" s="1"/>
    </row>
    <row r="23" spans="1:26" ht="12.75" customHeight="1">
      <c r="A23" s="1"/>
      <c r="B23" s="14" t="s">
        <v>21</v>
      </c>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c r="A25" s="1"/>
      <c r="B25" s="15"/>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16:G16"/>
    <mergeCell ref="B9:C9"/>
    <mergeCell ref="B10:D10"/>
    <mergeCell ref="B11:C11"/>
    <mergeCell ref="B12:G12"/>
    <mergeCell ref="C13:G13"/>
  </mergeCells>
  <pageMargins left="0.25" right="0.25" top="0.75" bottom="0.75" header="0.3" footer="0.3"/>
  <pageSetup paperSize="5" scale="43"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2000"/>
  <sheetViews>
    <sheetView showGridLines="0" workbookViewId="0">
      <selection activeCell="Q1015" sqref="A1:Q1015"/>
    </sheetView>
  </sheetViews>
  <sheetFormatPr baseColWidth="10" defaultColWidth="12.5703125" defaultRowHeight="15" customHeight="1"/>
  <cols>
    <col min="1" max="1" width="2.140625" customWidth="1"/>
    <col min="2" max="2" width="53" customWidth="1"/>
    <col min="3" max="3" width="41.85546875" customWidth="1"/>
    <col min="4" max="4" width="27.28515625" customWidth="1"/>
    <col min="5" max="5" width="37.85546875" customWidth="1"/>
    <col min="6" max="6" width="17.85546875" customWidth="1"/>
    <col min="7" max="7" width="27.140625" customWidth="1"/>
    <col min="8" max="8" width="29.85546875" customWidth="1"/>
    <col min="9" max="9" width="19.85546875" customWidth="1"/>
    <col min="10" max="10" width="21.140625" customWidth="1"/>
    <col min="11" max="11" width="17.7109375" bestFit="1" customWidth="1"/>
    <col min="12" max="12" width="16" bestFit="1" customWidth="1"/>
    <col min="13" max="13" width="17.140625" bestFit="1" customWidth="1"/>
    <col min="14" max="27" width="11.42578125" customWidth="1"/>
  </cols>
  <sheetData>
    <row r="1" spans="1:27" ht="12.75" customHeight="1">
      <c r="A1" s="1"/>
      <c r="B1" s="1"/>
      <c r="C1" s="1"/>
      <c r="D1" s="1"/>
      <c r="E1" s="1"/>
      <c r="F1" s="1"/>
      <c r="G1" s="1"/>
      <c r="H1" s="1"/>
      <c r="I1" s="1"/>
      <c r="J1" s="1"/>
      <c r="K1" s="1"/>
      <c r="L1" s="1"/>
      <c r="M1" s="1"/>
      <c r="N1" s="1"/>
      <c r="O1" s="1"/>
      <c r="P1" s="1"/>
      <c r="Q1" s="1"/>
      <c r="R1" s="1"/>
      <c r="S1" s="1"/>
      <c r="T1" s="1"/>
      <c r="U1" s="1"/>
      <c r="V1" s="1"/>
      <c r="W1" s="1"/>
      <c r="X1" s="1"/>
      <c r="Y1" s="1"/>
      <c r="Z1" s="1"/>
      <c r="AA1" s="73"/>
    </row>
    <row r="2" spans="1:27" ht="12.75" customHeight="1">
      <c r="A2" s="1"/>
      <c r="B2" s="1"/>
      <c r="C2" s="1"/>
      <c r="D2" s="1"/>
      <c r="E2" s="1"/>
      <c r="F2" s="1"/>
      <c r="G2" s="1"/>
      <c r="H2" s="1"/>
      <c r="I2" s="1"/>
      <c r="J2" s="1"/>
      <c r="K2" s="1"/>
      <c r="L2" s="1"/>
      <c r="M2" s="1"/>
      <c r="N2" s="1"/>
      <c r="O2" s="1"/>
      <c r="P2" s="1"/>
      <c r="Q2" s="1"/>
      <c r="R2" s="1"/>
      <c r="S2" s="1"/>
      <c r="T2" s="1"/>
      <c r="U2" s="1"/>
      <c r="V2" s="1"/>
      <c r="W2" s="1"/>
      <c r="X2" s="1"/>
      <c r="Y2" s="1"/>
      <c r="Z2" s="1"/>
      <c r="AA2" s="73"/>
    </row>
    <row r="3" spans="1:27" ht="12.75" customHeight="1">
      <c r="A3" s="1"/>
      <c r="B3" s="1"/>
      <c r="C3" s="1"/>
      <c r="D3" s="1"/>
      <c r="E3" s="1"/>
      <c r="F3" s="1"/>
      <c r="G3" s="1"/>
      <c r="H3" s="1"/>
      <c r="I3" s="1"/>
      <c r="J3" s="1"/>
      <c r="K3" s="1"/>
      <c r="L3" s="1"/>
      <c r="M3" s="1"/>
      <c r="N3" s="1"/>
      <c r="O3" s="1"/>
      <c r="P3" s="1"/>
      <c r="Q3" s="1"/>
      <c r="R3" s="1"/>
      <c r="S3" s="1"/>
      <c r="T3" s="1"/>
      <c r="U3" s="1"/>
      <c r="V3" s="1"/>
      <c r="W3" s="1"/>
      <c r="X3" s="1"/>
      <c r="Y3" s="1"/>
      <c r="Z3" s="1"/>
      <c r="AA3" s="73"/>
    </row>
    <row r="4" spans="1:27" ht="12.75" customHeight="1">
      <c r="A4" s="1"/>
      <c r="B4" s="1"/>
      <c r="C4" s="1"/>
      <c r="D4" s="1"/>
      <c r="E4" s="1"/>
      <c r="F4" s="1"/>
      <c r="G4" s="1"/>
      <c r="H4" s="1"/>
      <c r="I4" s="1"/>
      <c r="J4" s="1"/>
      <c r="K4" s="1"/>
      <c r="L4" s="1"/>
      <c r="M4" s="1"/>
      <c r="N4" s="1"/>
      <c r="O4" s="1"/>
      <c r="P4" s="1"/>
      <c r="Q4" s="1"/>
      <c r="R4" s="1"/>
      <c r="S4" s="1"/>
      <c r="T4" s="1"/>
      <c r="U4" s="1"/>
      <c r="V4" s="1"/>
      <c r="W4" s="1"/>
      <c r="X4" s="1"/>
      <c r="Y4" s="1"/>
      <c r="Z4" s="1"/>
      <c r="AA4" s="73"/>
    </row>
    <row r="5" spans="1:27" ht="12.75" customHeight="1">
      <c r="A5" s="1"/>
      <c r="B5" s="1"/>
      <c r="C5" s="1"/>
      <c r="D5" s="1"/>
      <c r="E5" s="1"/>
      <c r="F5" s="1"/>
      <c r="G5" s="1"/>
      <c r="H5" s="1"/>
      <c r="I5" s="1"/>
      <c r="J5" s="1"/>
      <c r="K5" s="1"/>
      <c r="L5" s="1"/>
      <c r="M5" s="1"/>
      <c r="N5" s="1"/>
      <c r="O5" s="1"/>
      <c r="P5" s="1"/>
      <c r="Q5" s="1"/>
      <c r="R5" s="1"/>
      <c r="S5" s="1"/>
      <c r="T5" s="1"/>
      <c r="U5" s="1"/>
      <c r="V5" s="1"/>
      <c r="W5" s="1"/>
      <c r="X5" s="1"/>
      <c r="Y5" s="1"/>
      <c r="Z5" s="1"/>
      <c r="AA5" s="73"/>
    </row>
    <row r="6" spans="1:27" ht="12.75" customHeight="1">
      <c r="A6" s="1"/>
      <c r="B6" s="1"/>
      <c r="C6" s="1"/>
      <c r="D6" s="1"/>
      <c r="E6" s="1"/>
      <c r="F6" s="1"/>
      <c r="G6" s="1"/>
      <c r="H6" s="1"/>
      <c r="I6" s="1"/>
      <c r="J6" s="1"/>
      <c r="K6" s="1"/>
      <c r="L6" s="1"/>
      <c r="M6" s="1"/>
      <c r="N6" s="1"/>
      <c r="O6" s="1"/>
      <c r="P6" s="1"/>
      <c r="Q6" s="1"/>
      <c r="R6" s="1"/>
      <c r="S6" s="1"/>
      <c r="T6" s="1"/>
      <c r="U6" s="1"/>
      <c r="V6" s="1"/>
      <c r="W6" s="1"/>
      <c r="X6" s="1"/>
      <c r="Y6" s="1"/>
      <c r="Z6" s="1"/>
      <c r="AA6" s="73"/>
    </row>
    <row r="7" spans="1:27" ht="12.75" customHeight="1">
      <c r="A7" s="1"/>
      <c r="B7" s="1"/>
      <c r="C7" s="1"/>
      <c r="D7" s="1"/>
      <c r="E7" s="1"/>
      <c r="F7" s="1"/>
      <c r="G7" s="1"/>
      <c r="H7" s="1"/>
      <c r="I7" s="1"/>
      <c r="J7" s="1"/>
      <c r="K7" s="1"/>
      <c r="L7" s="1"/>
      <c r="M7" s="1"/>
      <c r="N7" s="1"/>
      <c r="O7" s="1"/>
      <c r="P7" s="1"/>
      <c r="Q7" s="1"/>
      <c r="R7" s="1"/>
      <c r="S7" s="1"/>
      <c r="T7" s="1"/>
      <c r="U7" s="1"/>
      <c r="V7" s="1"/>
      <c r="W7" s="1"/>
      <c r="X7" s="1"/>
      <c r="Y7" s="1"/>
      <c r="Z7" s="1"/>
      <c r="AA7" s="73"/>
    </row>
    <row r="8" spans="1:27" ht="12.75" customHeight="1">
      <c r="A8" s="1"/>
      <c r="B8" s="2" t="str">
        <f>'24.03.034'!B8</f>
        <v>4° Trimestre</v>
      </c>
      <c r="C8" s="3"/>
      <c r="D8" s="1"/>
      <c r="E8" s="1"/>
      <c r="F8" s="1"/>
      <c r="G8" s="1"/>
      <c r="H8" s="1"/>
      <c r="I8" s="1"/>
      <c r="J8" s="1"/>
      <c r="K8" s="1"/>
      <c r="L8" s="1"/>
      <c r="M8" s="1"/>
      <c r="N8" s="1"/>
      <c r="O8" s="1"/>
      <c r="P8" s="1"/>
      <c r="Q8" s="1"/>
      <c r="R8" s="1"/>
      <c r="S8" s="1"/>
      <c r="T8" s="1"/>
      <c r="U8" s="1"/>
      <c r="V8" s="1"/>
      <c r="W8" s="1"/>
      <c r="X8" s="1"/>
      <c r="Y8" s="1"/>
      <c r="Z8" s="1"/>
      <c r="AA8" s="73"/>
    </row>
    <row r="9" spans="1:27" ht="12.75" customHeight="1">
      <c r="A9" s="1"/>
      <c r="B9" s="110" t="s">
        <v>1</v>
      </c>
      <c r="C9" s="111"/>
      <c r="D9" s="1"/>
      <c r="E9" s="1"/>
      <c r="F9" s="1"/>
      <c r="G9" s="1"/>
      <c r="H9" s="1"/>
      <c r="I9" s="1"/>
      <c r="J9" s="1"/>
      <c r="K9" s="1"/>
      <c r="L9" s="1"/>
      <c r="M9" s="1"/>
      <c r="N9" s="1"/>
      <c r="O9" s="1"/>
      <c r="P9" s="1"/>
      <c r="Q9" s="1"/>
      <c r="R9" s="1"/>
      <c r="S9" s="1"/>
      <c r="T9" s="1"/>
      <c r="U9" s="1"/>
      <c r="V9" s="1"/>
      <c r="W9" s="1"/>
      <c r="X9" s="1"/>
      <c r="Y9" s="1"/>
      <c r="Z9" s="1"/>
      <c r="AA9" s="73"/>
    </row>
    <row r="10" spans="1:27" ht="12.75" customHeight="1">
      <c r="A10" s="1"/>
      <c r="B10" s="110" t="s">
        <v>2</v>
      </c>
      <c r="C10" s="111"/>
      <c r="D10" s="1"/>
      <c r="E10" s="1"/>
      <c r="F10" s="1"/>
      <c r="G10" s="1"/>
      <c r="H10" s="1"/>
      <c r="I10" s="1"/>
      <c r="J10" s="1"/>
      <c r="K10" s="1"/>
      <c r="L10" s="1"/>
      <c r="M10" s="1"/>
      <c r="N10" s="1"/>
      <c r="O10" s="1"/>
      <c r="P10" s="1"/>
      <c r="Q10" s="1"/>
      <c r="R10" s="1"/>
      <c r="S10" s="1"/>
      <c r="T10" s="1"/>
      <c r="U10" s="1"/>
      <c r="V10" s="1"/>
      <c r="W10" s="1"/>
      <c r="X10" s="1"/>
      <c r="Y10" s="1"/>
      <c r="Z10" s="1"/>
      <c r="AA10" s="73"/>
    </row>
    <row r="11" spans="1:27" ht="12.75" customHeight="1">
      <c r="A11" s="1"/>
      <c r="B11" s="110" t="s">
        <v>163</v>
      </c>
      <c r="C11" s="111"/>
      <c r="D11" s="1"/>
      <c r="E11" s="1"/>
      <c r="F11" s="1"/>
      <c r="G11" s="1"/>
      <c r="H11" s="1"/>
      <c r="I11" s="1"/>
      <c r="J11" s="1"/>
      <c r="K11" s="1"/>
      <c r="L11" s="1"/>
      <c r="M11" s="1"/>
      <c r="N11" s="1"/>
      <c r="O11" s="1"/>
      <c r="P11" s="1"/>
      <c r="Q11" s="1"/>
      <c r="R11" s="1"/>
      <c r="S11" s="1"/>
      <c r="T11" s="1"/>
      <c r="U11" s="1"/>
      <c r="V11" s="1"/>
      <c r="W11" s="1"/>
      <c r="X11" s="1"/>
      <c r="Y11" s="1"/>
      <c r="Z11" s="1"/>
      <c r="AA11" s="73"/>
    </row>
    <row r="12" spans="1:27" ht="12.75" customHeight="1">
      <c r="A12" s="1"/>
      <c r="B12" s="118" t="s">
        <v>164</v>
      </c>
      <c r="C12" s="111"/>
      <c r="D12" s="111"/>
      <c r="E12" s="1"/>
      <c r="F12" s="1"/>
      <c r="G12" s="1"/>
      <c r="H12" s="1"/>
      <c r="I12" s="1"/>
      <c r="J12" s="1"/>
      <c r="K12" s="1"/>
      <c r="L12" s="1"/>
      <c r="M12" s="1"/>
      <c r="N12" s="1"/>
      <c r="O12" s="1"/>
      <c r="P12" s="1"/>
      <c r="Q12" s="1"/>
      <c r="R12" s="1"/>
      <c r="S12" s="1"/>
      <c r="T12" s="1"/>
      <c r="U12" s="1"/>
      <c r="V12" s="1"/>
      <c r="W12" s="1"/>
      <c r="X12" s="1"/>
      <c r="Y12" s="1"/>
      <c r="Z12" s="1"/>
      <c r="AA12" s="73"/>
    </row>
    <row r="13" spans="1:27" ht="12.75" customHeight="1">
      <c r="A13" s="1"/>
      <c r="B13" s="5"/>
      <c r="C13" s="5"/>
      <c r="D13" s="1"/>
      <c r="E13" s="1"/>
      <c r="F13" s="1"/>
      <c r="G13" s="1"/>
      <c r="H13" s="1"/>
      <c r="I13" s="1"/>
      <c r="J13" s="1"/>
      <c r="K13" s="1"/>
      <c r="L13" s="1"/>
      <c r="M13" s="1"/>
      <c r="N13" s="1"/>
      <c r="O13" s="1"/>
      <c r="P13" s="1"/>
      <c r="Q13" s="1"/>
      <c r="R13" s="1"/>
      <c r="S13" s="1"/>
      <c r="T13" s="1"/>
      <c r="U13" s="1"/>
      <c r="V13" s="1"/>
      <c r="W13" s="1"/>
      <c r="X13" s="1"/>
      <c r="Y13" s="1"/>
      <c r="Z13" s="1"/>
      <c r="AA13" s="73"/>
    </row>
    <row r="14" spans="1:27" ht="102.75" customHeight="1">
      <c r="A14" s="1"/>
      <c r="B14" s="4" t="s">
        <v>5</v>
      </c>
      <c r="C14" s="114" t="s">
        <v>6</v>
      </c>
      <c r="D14" s="115"/>
      <c r="E14" s="115"/>
      <c r="F14" s="115"/>
      <c r="G14" s="116"/>
      <c r="H14" s="1"/>
      <c r="I14" s="1"/>
      <c r="J14" s="1"/>
      <c r="K14" s="1"/>
      <c r="L14" s="1"/>
      <c r="M14" s="1"/>
      <c r="N14" s="1"/>
      <c r="O14" s="1"/>
      <c r="P14" s="1"/>
      <c r="Q14" s="1"/>
      <c r="R14" s="1"/>
      <c r="S14" s="1"/>
      <c r="T14" s="1"/>
      <c r="U14" s="1"/>
      <c r="V14" s="1"/>
      <c r="W14" s="1"/>
      <c r="X14" s="1"/>
      <c r="Y14" s="1"/>
      <c r="Z14" s="1"/>
      <c r="AA14" s="73"/>
    </row>
    <row r="15" spans="1:27" ht="12.75" customHeight="1">
      <c r="A15" s="1"/>
      <c r="B15" s="5"/>
      <c r="C15" s="5"/>
      <c r="D15" s="1"/>
      <c r="E15" s="1"/>
      <c r="F15" s="1"/>
      <c r="G15" s="1"/>
      <c r="H15" s="1"/>
      <c r="I15" s="1"/>
      <c r="J15" s="1"/>
      <c r="K15" s="1"/>
      <c r="L15" s="1"/>
      <c r="M15" s="1"/>
      <c r="N15" s="1"/>
      <c r="O15" s="1"/>
      <c r="P15" s="1"/>
      <c r="Q15" s="1"/>
      <c r="R15" s="1"/>
      <c r="S15" s="1"/>
      <c r="T15" s="1"/>
      <c r="U15" s="1"/>
      <c r="V15" s="1"/>
      <c r="W15" s="1"/>
      <c r="X15" s="1"/>
      <c r="Y15" s="1"/>
      <c r="Z15" s="1"/>
      <c r="AA15" s="73"/>
    </row>
    <row r="16" spans="1:27" ht="12.75" customHeight="1">
      <c r="A16" s="1"/>
      <c r="B16" s="5"/>
      <c r="C16" s="5"/>
      <c r="D16" s="1"/>
      <c r="E16" s="1"/>
      <c r="F16" s="1"/>
      <c r="G16" s="1"/>
      <c r="H16" s="1"/>
      <c r="I16" s="1"/>
      <c r="J16" s="1"/>
      <c r="K16" s="1"/>
      <c r="L16" s="1"/>
      <c r="M16" s="1"/>
      <c r="N16" s="1"/>
      <c r="O16" s="1"/>
      <c r="P16" s="1"/>
      <c r="Q16" s="1"/>
      <c r="R16" s="1"/>
      <c r="S16" s="1"/>
      <c r="T16" s="1"/>
      <c r="U16" s="1"/>
      <c r="V16" s="1"/>
      <c r="W16" s="1"/>
      <c r="X16" s="1"/>
      <c r="Y16" s="1"/>
      <c r="Z16" s="1"/>
      <c r="AA16" s="73"/>
    </row>
    <row r="17" spans="1:27" ht="55.5" customHeight="1">
      <c r="A17" s="1"/>
      <c r="B17" s="4" t="s">
        <v>7</v>
      </c>
      <c r="C17" s="114" t="s">
        <v>8</v>
      </c>
      <c r="D17" s="115"/>
      <c r="E17" s="115"/>
      <c r="F17" s="115"/>
      <c r="G17" s="116"/>
      <c r="H17" s="1"/>
      <c r="I17" s="1"/>
      <c r="J17" s="1"/>
      <c r="K17" s="1"/>
      <c r="L17" s="1"/>
      <c r="M17" s="1"/>
      <c r="N17" s="1"/>
      <c r="O17" s="1"/>
      <c r="P17" s="1"/>
      <c r="Q17" s="1"/>
      <c r="R17" s="1"/>
      <c r="S17" s="1"/>
      <c r="T17" s="1"/>
      <c r="U17" s="1"/>
      <c r="V17" s="1"/>
      <c r="W17" s="1"/>
      <c r="X17" s="1"/>
      <c r="Y17" s="1"/>
      <c r="Z17" s="1"/>
      <c r="AA17" s="73"/>
    </row>
    <row r="18" spans="1:27" ht="12.75" customHeight="1">
      <c r="A18" s="1"/>
      <c r="B18" s="6"/>
      <c r="C18" s="6"/>
      <c r="D18" s="1"/>
      <c r="E18" s="1"/>
      <c r="F18" s="1"/>
      <c r="G18" s="1"/>
      <c r="H18" s="1"/>
      <c r="I18" s="1"/>
      <c r="J18" s="1"/>
      <c r="K18" s="1"/>
      <c r="L18" s="1"/>
      <c r="M18" s="1"/>
      <c r="N18" s="1"/>
      <c r="O18" s="1"/>
      <c r="P18" s="1"/>
      <c r="Q18" s="1"/>
      <c r="R18" s="1"/>
      <c r="S18" s="1"/>
      <c r="T18" s="1"/>
      <c r="U18" s="1"/>
      <c r="V18" s="1"/>
      <c r="W18" s="1"/>
      <c r="X18" s="1"/>
      <c r="Y18" s="1"/>
      <c r="Z18" s="1"/>
      <c r="AA18" s="73"/>
    </row>
    <row r="19" spans="1:27" ht="12.7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73"/>
    </row>
    <row r="20" spans="1:27" ht="12.75" customHeight="1">
      <c r="A20" s="1"/>
      <c r="B20" s="98"/>
      <c r="C20" s="98"/>
      <c r="D20" s="98"/>
      <c r="E20" s="98"/>
      <c r="F20" s="98"/>
      <c r="G20" s="98"/>
      <c r="H20" s="98"/>
      <c r="I20" s="1"/>
      <c r="J20" s="1"/>
      <c r="K20" s="1"/>
      <c r="L20" s="1"/>
      <c r="M20" s="1"/>
      <c r="N20" s="1"/>
      <c r="O20" s="1"/>
      <c r="P20" s="1"/>
      <c r="Q20" s="1"/>
      <c r="R20" s="1"/>
      <c r="S20" s="1"/>
      <c r="T20" s="1"/>
      <c r="U20" s="1"/>
      <c r="V20" s="1"/>
      <c r="W20" s="1"/>
      <c r="X20" s="1"/>
      <c r="Y20" s="1"/>
      <c r="Z20" s="1"/>
      <c r="AA20" s="73"/>
    </row>
    <row r="21" spans="1:27" ht="29.25" customHeight="1">
      <c r="A21" s="79"/>
      <c r="B21" s="7" t="s">
        <v>10</v>
      </c>
      <c r="C21" s="7" t="s">
        <v>9</v>
      </c>
      <c r="D21" s="7" t="s">
        <v>11</v>
      </c>
      <c r="E21" s="7" t="s">
        <v>12</v>
      </c>
      <c r="F21" s="7" t="s">
        <v>13</v>
      </c>
      <c r="G21" s="7" t="s">
        <v>14</v>
      </c>
      <c r="H21" s="7" t="s">
        <v>15</v>
      </c>
      <c r="I21" s="8" t="s">
        <v>16</v>
      </c>
      <c r="J21" s="7" t="s">
        <v>17</v>
      </c>
      <c r="K21" s="7" t="s">
        <v>18</v>
      </c>
      <c r="L21" s="7" t="s">
        <v>19</v>
      </c>
      <c r="M21" s="7" t="s">
        <v>20</v>
      </c>
      <c r="N21" s="1"/>
      <c r="O21" s="1"/>
      <c r="P21" s="1"/>
      <c r="Q21" s="1"/>
      <c r="R21" s="1"/>
      <c r="S21" s="1"/>
      <c r="T21" s="1"/>
      <c r="U21" s="1"/>
      <c r="V21" s="1"/>
      <c r="W21" s="1"/>
      <c r="X21" s="1"/>
      <c r="Y21" s="1"/>
      <c r="Z21" s="1"/>
      <c r="AA21" s="73"/>
    </row>
    <row r="22" spans="1:27" ht="12.75" customHeight="1">
      <c r="A22" s="1"/>
      <c r="B22" s="10" t="str">
        <f ca="1">IFERROR(__xludf.DUMMYFUNCTION("IMPORTRANGE(""https://docs.google.com/spreadsheets/d/1326rdUM6oOTA_5T6U_eA-Yqy4OMk6d_RGd_Z1bKVaC8/edit#gid=1459860096"",""'33.03.110 FIGEM'!i10:i1000"")"),"Fondo de Incentivo al Mejoramiento de la Gestión Municipal 2024")</f>
        <v>Fondo de Incentivo al Mejoramiento de la Gestión Municipal 2024</v>
      </c>
      <c r="C22" s="10" t="str">
        <f ca="1">IFERROR(__xludf.DUMMYFUNCTION("IMPORTRANGE(""https://docs.google.com/spreadsheets/d/1326rdUM6oOTA_5T6U_eA-Yqy4OMk6d_RGd_Z1bKVaC8/edit#gid=1459860096"",""'33.03.110 FIGEM'!h10:h1000"")"),"FIGEM-2024-38")</f>
        <v>FIGEM-2024-38</v>
      </c>
      <c r="D22" s="26" t="str">
        <f t="shared" ref="D22:D195" ca="1" si="0">MID(F22,17,30)</f>
        <v xml:space="preserve"> ALTO HOSPICIO</v>
      </c>
      <c r="E22" s="10" t="str">
        <f ca="1">IFERROR(__xludf.DUMMYFUNCTION("IMPORTRANGE(""https://docs.google.com/spreadsheets/d/1326rdUM6oOTA_5T6U_eA-Yqy4OMk6d_RGd_Z1bKVaC8/edit#gid=1459860096"",""'33.03.110 FIGEM'!k10:k1000"")"),"Resolución de Transferencia")</f>
        <v>Resolución de Transferencia</v>
      </c>
      <c r="F22" s="10" t="str">
        <f ca="1">IFERROR(__xludf.DUMMYFUNCTION("IMPORTRANGE(""https://docs.google.com/spreadsheets/d/1326rdUM6oOTA_5T6U_eA-Yqy4OMk6d_RGd_Z1bKVaC8/edit#gid=1459860096"",""'33.03.110 FIGEM'!f10:f1000"")"),"MUNICIPALIDAD DE ALTO HOSPICIO")</f>
        <v>MUNICIPALIDAD DE ALTO HOSPICIO</v>
      </c>
      <c r="G22" s="71">
        <f ca="1">IFERROR(__xludf.DUMMYFUNCTION("IMPORTRANGE(""https://docs.google.com/spreadsheets/d/1326rdUM6oOTA_5T6U_eA-Yqy4OMk6d_RGd_Z1bKVaC8/edit#gid=1459860096"",""'33.03.110 FIGEM'!p10:p1000"")"),130257366)</f>
        <v>130257366</v>
      </c>
      <c r="H22" s="10" t="str">
        <f ca="1">IFERROR(__xludf.DUMMYFUNCTION("IMPORTRANGE(""https://docs.google.com/spreadsheets/d/1326rdUM6oOTA_5T6U_eA-Yqy4OMk6d_RGd_Z1bKVaC8/edit#gid=1459860096"",""'33.03.110 FIGEM'!j10:j1000"")"),"Resolución")</f>
        <v>Resolución</v>
      </c>
      <c r="I22" s="10" t="str">
        <f ca="1">IFERROR(__xludf.DUMMYFUNCTION("IMPORTRANGE(""https://docs.google.com/spreadsheets/d/1326rdUM6oOTA_5T6U_eA-Yqy4OMk6d_RGd_Z1bKVaC8/edit#gid=1459860096"",""'33.03.110 FIGEM'!d10:d1000"")"),"FONDO DE INCENTIVO AL MEJORAMIENTO DE LA GESTIÓN MUNICIPAL")</f>
        <v>FONDO DE INCENTIVO AL MEJORAMIENTO DE LA GESTIÓN MUNICIPAL</v>
      </c>
      <c r="J22" s="10" t="str">
        <f ca="1">IFERROR(__xludf.DUMMYFUNCTION("IMPORTRANGE(""https://docs.google.com/spreadsheets/d/1326rdUM6oOTA_5T6U_eA-Yqy4OMk6d_RGd_Z1bKVaC8/edit#gid=1459860096"",""'33.03.110 FIGEM'!o10:o1000"")"),"Cumplir con normativa y reglamentos internos del programa en base a los objetivos.")</f>
        <v>Cumplir con normativa y reglamentos internos del programa en base a los objetivos.</v>
      </c>
      <c r="K22" s="71">
        <f ca="1">IFERROR(__xludf.DUMMYFUNCTION("IMPORTRANGE(""https://docs.google.com/spreadsheets/d/1326rdUM6oOTA_5T6U_eA-Yqy4OMk6d_RGd_Z1bKVaC8/edit#gid=1459860096"",""'33.03.110 FIGEM'!ad10:ad1000"")"),130257366)</f>
        <v>130257366</v>
      </c>
      <c r="L22" s="27">
        <f ca="1">IFERROR(__xludf.DUMMYFUNCTION("IMPORTRANGE(""https://docs.google.com/spreadsheets/d/1326rdUM6oOTA_5T6U_eA-Yqy4OMk6d_RGd_Z1bKVaC8/edit#gid=1459860096"",""'33.03.110 FIGEM'!ae10:ae1000"")"),1)</f>
        <v>1</v>
      </c>
      <c r="M22" s="10" t="str">
        <f ca="1">IFERROR(__xludf.DUMMYFUNCTION("IMPORTRANGE(""https://docs.google.com/spreadsheets/d/1326rdUM6oOTA_5T6U_eA-Yqy4OMk6d_RGd_Z1bKVaC8/edit#gid=1459860096"",""'33.03.110 FIGEM'!l10:l1000"")"),"19/2024")</f>
        <v>19/2024</v>
      </c>
      <c r="N22" s="10" t="str">
        <f ca="1">IFERROR(__xludf.DUMMYFUNCTION("IMPORTRANGE(""https://docs.google.com/spreadsheets/d/1326rdUM6oOTA_5T6U_eA-Yqy4OMk6d_RGd_Z1bKVaC8/edit#gid=1459860096"",""'33.03.110 FIGEM'!b10:b1000"")"),"FIGEM")</f>
        <v>FIGEM</v>
      </c>
      <c r="O22" s="59"/>
      <c r="P22" s="1"/>
      <c r="Q22" s="1"/>
      <c r="R22" s="1"/>
      <c r="S22" s="1"/>
      <c r="T22" s="1"/>
      <c r="U22" s="1"/>
      <c r="V22" s="1"/>
      <c r="W22" s="1"/>
      <c r="X22" s="1"/>
      <c r="Y22" s="1"/>
      <c r="Z22" s="1"/>
      <c r="AA22" s="1"/>
    </row>
    <row r="23" spans="1:27" ht="12.75" customHeight="1">
      <c r="A23" s="1"/>
      <c r="B23" s="10" t="str">
        <f ca="1">IFERROR(__xludf.DUMMYFUNCTION("""COMPUTED_VALUE"""),"Fondo de Incentivo al Mejoramiento de la Gestión Municipal 2024")</f>
        <v>Fondo de Incentivo al Mejoramiento de la Gestión Municipal 2024</v>
      </c>
      <c r="C23" s="10" t="str">
        <f ca="1">IFERROR(__xludf.DUMMYFUNCTION("""COMPUTED_VALUE"""),"FIGEM-2024-112")</f>
        <v>FIGEM-2024-112</v>
      </c>
      <c r="D23" s="26" t="str">
        <f t="shared" ca="1" si="0"/>
        <v xml:space="preserve"> POZO ALMONTE</v>
      </c>
      <c r="E23" s="10" t="str">
        <f ca="1">IFERROR(__xludf.DUMMYFUNCTION("""COMPUTED_VALUE"""),"Resolución de Transferencia")</f>
        <v>Resolución de Transferencia</v>
      </c>
      <c r="F23" s="10" t="str">
        <f ca="1">IFERROR(__xludf.DUMMYFUNCTION("""COMPUTED_VALUE"""),"MUNICIPALIDAD DE POZO ALMONTE")</f>
        <v>MUNICIPALIDAD DE POZO ALMONTE</v>
      </c>
      <c r="G23" s="71">
        <f ca="1">IFERROR(__xludf.DUMMYFUNCTION("""COMPUTED_VALUE"""),86127848)</f>
        <v>86127848</v>
      </c>
      <c r="H23" s="10" t="str">
        <f ca="1">IFERROR(__xludf.DUMMYFUNCTION("""COMPUTED_VALUE"""),"Resolución")</f>
        <v>Resolución</v>
      </c>
      <c r="I23" s="10" t="str">
        <f ca="1">IFERROR(__xludf.DUMMYFUNCTION("""COMPUTED_VALUE"""),"FONDO DE INCENTIVO AL MEJORAMIENTO DE LA GESTIÓN MUNICIPAL")</f>
        <v>FONDO DE INCENTIVO AL MEJORAMIENTO DE LA GESTIÓN MUNICIPAL</v>
      </c>
      <c r="J23" s="10" t="str">
        <f ca="1">IFERROR(__xludf.DUMMYFUNCTION("""COMPUTED_VALUE"""),"Cumplir con normativa y reglamentos internos del programa en base a los objetivos.")</f>
        <v>Cumplir con normativa y reglamentos internos del programa en base a los objetivos.</v>
      </c>
      <c r="K23" s="71">
        <f ca="1">IFERROR(__xludf.DUMMYFUNCTION("""COMPUTED_VALUE"""),86127848)</f>
        <v>86127848</v>
      </c>
      <c r="L23" s="27">
        <f ca="1">IFERROR(__xludf.DUMMYFUNCTION("""COMPUTED_VALUE"""),1)</f>
        <v>1</v>
      </c>
      <c r="M23" s="10" t="str">
        <f ca="1">IFERROR(__xludf.DUMMYFUNCTION("""COMPUTED_VALUE"""),"19/2024")</f>
        <v>19/2024</v>
      </c>
      <c r="N23" s="10" t="str">
        <f ca="1">IFERROR(__xludf.DUMMYFUNCTION("""COMPUTED_VALUE"""),"FIGEM")</f>
        <v>FIGEM</v>
      </c>
      <c r="O23" s="59"/>
      <c r="P23" s="1"/>
      <c r="Q23" s="1"/>
      <c r="R23" s="1"/>
      <c r="S23" s="1"/>
      <c r="T23" s="1"/>
      <c r="U23" s="1"/>
      <c r="V23" s="1"/>
      <c r="W23" s="1"/>
      <c r="X23" s="1"/>
      <c r="Y23" s="1"/>
      <c r="Z23" s="1"/>
      <c r="AA23" s="1"/>
    </row>
    <row r="24" spans="1:27" ht="12.75" customHeight="1">
      <c r="A24" s="1"/>
      <c r="B24" s="10" t="str">
        <f ca="1">IFERROR(__xludf.DUMMYFUNCTION("""COMPUTED_VALUE"""),"Fondo de Incentivo al Mejoramiento de la Gestión Municipal 2024")</f>
        <v>Fondo de Incentivo al Mejoramiento de la Gestión Municipal 2024</v>
      </c>
      <c r="C24" s="10" t="str">
        <f ca="1">IFERROR(__xludf.DUMMYFUNCTION("""COMPUTED_VALUE"""),"FIGEM-2024-146")</f>
        <v>FIGEM-2024-146</v>
      </c>
      <c r="D24" s="26" t="str">
        <f t="shared" ca="1" si="0"/>
        <v xml:space="preserve"> COLCHANE</v>
      </c>
      <c r="E24" s="10" t="str">
        <f ca="1">IFERROR(__xludf.DUMMYFUNCTION("""COMPUTED_VALUE"""),"Resolución de Transferencia")</f>
        <v>Resolución de Transferencia</v>
      </c>
      <c r="F24" s="10" t="str">
        <f ca="1">IFERROR(__xludf.DUMMYFUNCTION("""COMPUTED_VALUE"""),"MUNICIPALIDAD DE COLCHANE")</f>
        <v>MUNICIPALIDAD DE COLCHANE</v>
      </c>
      <c r="G24" s="71">
        <f ca="1">IFERROR(__xludf.DUMMYFUNCTION("""COMPUTED_VALUE"""),92584345)</f>
        <v>92584345</v>
      </c>
      <c r="H24" s="10" t="str">
        <f ca="1">IFERROR(__xludf.DUMMYFUNCTION("""COMPUTED_VALUE"""),"Resolución")</f>
        <v>Resolución</v>
      </c>
      <c r="I24" s="10" t="str">
        <f ca="1">IFERROR(__xludf.DUMMYFUNCTION("""COMPUTED_VALUE"""),"FONDO DE INCENTIVO AL MEJORAMIENTO DE LA GESTIÓN MUNICIPAL")</f>
        <v>FONDO DE INCENTIVO AL MEJORAMIENTO DE LA GESTIÓN MUNICIPAL</v>
      </c>
      <c r="J24" s="10" t="str">
        <f ca="1">IFERROR(__xludf.DUMMYFUNCTION("""COMPUTED_VALUE"""),"Cumplir con normativa y reglamentos internos del programa en base a los objetivos.")</f>
        <v>Cumplir con normativa y reglamentos internos del programa en base a los objetivos.</v>
      </c>
      <c r="K24" s="71">
        <f ca="1">IFERROR(__xludf.DUMMYFUNCTION("""COMPUTED_VALUE"""),92584345)</f>
        <v>92584345</v>
      </c>
      <c r="L24" s="27">
        <f ca="1">IFERROR(__xludf.DUMMYFUNCTION("""COMPUTED_VALUE"""),1)</f>
        <v>1</v>
      </c>
      <c r="M24" s="10" t="str">
        <f ca="1">IFERROR(__xludf.DUMMYFUNCTION("""COMPUTED_VALUE"""),"19/2024")</f>
        <v>19/2024</v>
      </c>
      <c r="N24" s="10" t="str">
        <f ca="1">IFERROR(__xludf.DUMMYFUNCTION("""COMPUTED_VALUE"""),"FIGEM")</f>
        <v>FIGEM</v>
      </c>
      <c r="O24" s="59"/>
      <c r="P24" s="1"/>
      <c r="Q24" s="1"/>
      <c r="R24" s="1"/>
      <c r="S24" s="1"/>
      <c r="T24" s="1"/>
      <c r="U24" s="1"/>
      <c r="V24" s="1"/>
      <c r="W24" s="1"/>
      <c r="X24" s="1"/>
      <c r="Y24" s="1"/>
      <c r="Z24" s="1"/>
      <c r="AA24" s="1"/>
    </row>
    <row r="25" spans="1:27" ht="12.75" customHeight="1">
      <c r="A25" s="1"/>
      <c r="B25" s="10" t="str">
        <f ca="1">IFERROR(__xludf.DUMMYFUNCTION("""COMPUTED_VALUE"""),"Fondo de Incentivo al Mejoramiento de la Gestión Municipal 2024")</f>
        <v>Fondo de Incentivo al Mejoramiento de la Gestión Municipal 2024</v>
      </c>
      <c r="C25" s="10" t="str">
        <f ca="1">IFERROR(__xludf.DUMMYFUNCTION("""COMPUTED_VALUE"""),"FIGEM-2024-76")</f>
        <v>FIGEM-2024-76</v>
      </c>
      <c r="D25" s="26" t="str">
        <f t="shared" ca="1" si="0"/>
        <v xml:space="preserve"> MEJILLONES</v>
      </c>
      <c r="E25" s="10" t="str">
        <f ca="1">IFERROR(__xludf.DUMMYFUNCTION("""COMPUTED_VALUE"""),"Resolución de Transferencia")</f>
        <v>Resolución de Transferencia</v>
      </c>
      <c r="F25" s="10" t="str">
        <f ca="1">IFERROR(__xludf.DUMMYFUNCTION("""COMPUTED_VALUE"""),"MUNICIPALIDAD DE MEJILLONES")</f>
        <v>MUNICIPALIDAD DE MEJILLONES</v>
      </c>
      <c r="G25" s="71">
        <f ca="1">IFERROR(__xludf.DUMMYFUNCTION("""COMPUTED_VALUE"""),92417833)</f>
        <v>92417833</v>
      </c>
      <c r="H25" s="10" t="str">
        <f ca="1">IFERROR(__xludf.DUMMYFUNCTION("""COMPUTED_VALUE"""),"Resolución")</f>
        <v>Resolución</v>
      </c>
      <c r="I25" s="10" t="str">
        <f ca="1">IFERROR(__xludf.DUMMYFUNCTION("""COMPUTED_VALUE"""),"FONDO DE INCENTIVO AL MEJORAMIENTO DE LA GESTIÓN MUNICIPAL")</f>
        <v>FONDO DE INCENTIVO AL MEJORAMIENTO DE LA GESTIÓN MUNICIPAL</v>
      </c>
      <c r="J25" s="10" t="str">
        <f ca="1">IFERROR(__xludf.DUMMYFUNCTION("""COMPUTED_VALUE"""),"Cumplir con normativa y reglamentos internos del programa en base a los objetivos.")</f>
        <v>Cumplir con normativa y reglamentos internos del programa en base a los objetivos.</v>
      </c>
      <c r="K25" s="71">
        <f ca="1">IFERROR(__xludf.DUMMYFUNCTION("""COMPUTED_VALUE"""),92417833)</f>
        <v>92417833</v>
      </c>
      <c r="L25" s="27">
        <f ca="1">IFERROR(__xludf.DUMMYFUNCTION("""COMPUTED_VALUE"""),1)</f>
        <v>1</v>
      </c>
      <c r="M25" s="10" t="str">
        <f ca="1">IFERROR(__xludf.DUMMYFUNCTION("""COMPUTED_VALUE"""),"19/2024")</f>
        <v>19/2024</v>
      </c>
      <c r="N25" s="10" t="str">
        <f ca="1">IFERROR(__xludf.DUMMYFUNCTION("""COMPUTED_VALUE"""),"FIGEM")</f>
        <v>FIGEM</v>
      </c>
      <c r="O25" s="59"/>
      <c r="P25" s="1"/>
      <c r="Q25" s="1"/>
      <c r="R25" s="1"/>
      <c r="S25" s="1"/>
      <c r="T25" s="1"/>
      <c r="U25" s="1"/>
      <c r="V25" s="1"/>
      <c r="W25" s="1"/>
      <c r="X25" s="1"/>
      <c r="Y25" s="1"/>
      <c r="Z25" s="1"/>
      <c r="AA25" s="1"/>
    </row>
    <row r="26" spans="1:27" ht="12.75" customHeight="1">
      <c r="A26" s="1"/>
      <c r="B26" s="10" t="str">
        <f ca="1">IFERROR(__xludf.DUMMYFUNCTION("""COMPUTED_VALUE"""),"Fondo de Incentivo al Mejoramiento de la Gestión Municipal 2024")</f>
        <v>Fondo de Incentivo al Mejoramiento de la Gestión Municipal 2024</v>
      </c>
      <c r="C26" s="10" t="str">
        <f ca="1">IFERROR(__xludf.DUMMYFUNCTION("""COMPUTED_VALUE"""),"FIGEM-2024-41")</f>
        <v>FIGEM-2024-41</v>
      </c>
      <c r="D26" s="26" t="str">
        <f t="shared" ca="1" si="0"/>
        <v xml:space="preserve"> CALAMA</v>
      </c>
      <c r="E26" s="10" t="str">
        <f ca="1">IFERROR(__xludf.DUMMYFUNCTION("""COMPUTED_VALUE"""),"Resolución de Transferencia")</f>
        <v>Resolución de Transferencia</v>
      </c>
      <c r="F26" s="10" t="str">
        <f ca="1">IFERROR(__xludf.DUMMYFUNCTION("""COMPUTED_VALUE"""),"MUNICIPALIDAD DE CALAMA")</f>
        <v>MUNICIPALIDAD DE CALAMA</v>
      </c>
      <c r="G26" s="71">
        <f ca="1">IFERROR(__xludf.DUMMYFUNCTION("""COMPUTED_VALUE"""),128743797)</f>
        <v>128743797</v>
      </c>
      <c r="H26" s="10" t="str">
        <f ca="1">IFERROR(__xludf.DUMMYFUNCTION("""COMPUTED_VALUE"""),"Resolución")</f>
        <v>Resolución</v>
      </c>
      <c r="I26" s="10" t="str">
        <f ca="1">IFERROR(__xludf.DUMMYFUNCTION("""COMPUTED_VALUE"""),"FONDO DE INCENTIVO AL MEJORAMIENTO DE LA GESTIÓN MUNICIPAL")</f>
        <v>FONDO DE INCENTIVO AL MEJORAMIENTO DE LA GESTIÓN MUNICIPAL</v>
      </c>
      <c r="J26" s="10" t="str">
        <f ca="1">IFERROR(__xludf.DUMMYFUNCTION("""COMPUTED_VALUE"""),"Cumplir con normativa y reglamentos internos del programa en base a los objetivos.")</f>
        <v>Cumplir con normativa y reglamentos internos del programa en base a los objetivos.</v>
      </c>
      <c r="K26" s="71">
        <f ca="1">IFERROR(__xludf.DUMMYFUNCTION("""COMPUTED_VALUE"""),128743797)</f>
        <v>128743797</v>
      </c>
      <c r="L26" s="27">
        <f ca="1">IFERROR(__xludf.DUMMYFUNCTION("""COMPUTED_VALUE"""),1)</f>
        <v>1</v>
      </c>
      <c r="M26" s="10" t="str">
        <f ca="1">IFERROR(__xludf.DUMMYFUNCTION("""COMPUTED_VALUE"""),"19/2024")</f>
        <v>19/2024</v>
      </c>
      <c r="N26" s="10" t="str">
        <f ca="1">IFERROR(__xludf.DUMMYFUNCTION("""COMPUTED_VALUE"""),"FIGEM")</f>
        <v>FIGEM</v>
      </c>
      <c r="O26" s="59"/>
      <c r="P26" s="1"/>
      <c r="Q26" s="1"/>
      <c r="R26" s="1"/>
      <c r="S26" s="1"/>
      <c r="T26" s="1"/>
      <c r="U26" s="1"/>
      <c r="V26" s="1"/>
      <c r="W26" s="1"/>
      <c r="X26" s="1"/>
      <c r="Y26" s="1"/>
      <c r="Z26" s="1"/>
      <c r="AA26" s="1"/>
    </row>
    <row r="27" spans="1:27" ht="12.75" customHeight="1">
      <c r="A27" s="1"/>
      <c r="B27" s="10" t="str">
        <f ca="1">IFERROR(__xludf.DUMMYFUNCTION("""COMPUTED_VALUE"""),"Fondo de Incentivo al Mejoramiento de la Gestión Municipal 2024")</f>
        <v>Fondo de Incentivo al Mejoramiento de la Gestión Municipal 2024</v>
      </c>
      <c r="C27" s="10" t="str">
        <f ca="1">IFERROR(__xludf.DUMMYFUNCTION("""COMPUTED_VALUE"""),"FIGEM-2024-148")</f>
        <v>FIGEM-2024-148</v>
      </c>
      <c r="D27" s="26" t="str">
        <f t="shared" ca="1" si="0"/>
        <v xml:space="preserve"> OLLAGÜE</v>
      </c>
      <c r="E27" s="10" t="str">
        <f ca="1">IFERROR(__xludf.DUMMYFUNCTION("""COMPUTED_VALUE"""),"Resolución de Transferencia")</f>
        <v>Resolución de Transferencia</v>
      </c>
      <c r="F27" s="10" t="str">
        <f ca="1">IFERROR(__xludf.DUMMYFUNCTION("""COMPUTED_VALUE"""),"MUNICIPALIDAD DE OLLAGÜE")</f>
        <v>MUNICIPALIDAD DE OLLAGÜE</v>
      </c>
      <c r="G27" s="71">
        <f ca="1">IFERROR(__xludf.DUMMYFUNCTION("""COMPUTED_VALUE"""),92257545)</f>
        <v>92257545</v>
      </c>
      <c r="H27" s="10" t="str">
        <f ca="1">IFERROR(__xludf.DUMMYFUNCTION("""COMPUTED_VALUE"""),"Resolución")</f>
        <v>Resolución</v>
      </c>
      <c r="I27" s="10" t="str">
        <f ca="1">IFERROR(__xludf.DUMMYFUNCTION("""COMPUTED_VALUE"""),"FONDO DE INCENTIVO AL MEJORAMIENTO DE LA GESTIÓN MUNICIPAL")</f>
        <v>FONDO DE INCENTIVO AL MEJORAMIENTO DE LA GESTIÓN MUNICIPAL</v>
      </c>
      <c r="J27" s="10" t="str">
        <f ca="1">IFERROR(__xludf.DUMMYFUNCTION("""COMPUTED_VALUE"""),"Cumplir con normativa y reglamentos internos del programa en base a los objetivos.")</f>
        <v>Cumplir con normativa y reglamentos internos del programa en base a los objetivos.</v>
      </c>
      <c r="K27" s="71">
        <f ca="1">IFERROR(__xludf.DUMMYFUNCTION("""COMPUTED_VALUE"""),92257545)</f>
        <v>92257545</v>
      </c>
      <c r="L27" s="27">
        <f ca="1">IFERROR(__xludf.DUMMYFUNCTION("""COMPUTED_VALUE"""),1)</f>
        <v>1</v>
      </c>
      <c r="M27" s="10" t="str">
        <f ca="1">IFERROR(__xludf.DUMMYFUNCTION("""COMPUTED_VALUE"""),"19/2024")</f>
        <v>19/2024</v>
      </c>
      <c r="N27" s="10" t="str">
        <f ca="1">IFERROR(__xludf.DUMMYFUNCTION("""COMPUTED_VALUE"""),"FIGEM")</f>
        <v>FIGEM</v>
      </c>
      <c r="O27" s="59"/>
      <c r="P27" s="1"/>
      <c r="Q27" s="1"/>
      <c r="R27" s="1"/>
      <c r="S27" s="1"/>
      <c r="T27" s="1"/>
      <c r="U27" s="1"/>
      <c r="V27" s="1"/>
      <c r="W27" s="1"/>
      <c r="X27" s="1"/>
      <c r="Y27" s="1"/>
      <c r="Z27" s="1"/>
      <c r="AA27" s="1"/>
    </row>
    <row r="28" spans="1:27" ht="12.75" customHeight="1">
      <c r="A28" s="1"/>
      <c r="B28" s="10" t="str">
        <f ca="1">IFERROR(__xludf.DUMMYFUNCTION("""COMPUTED_VALUE"""),"Fondo de Incentivo al Mejoramiento de la Gestión Municipal 2024")</f>
        <v>Fondo de Incentivo al Mejoramiento de la Gestión Municipal 2024</v>
      </c>
      <c r="C28" s="10" t="str">
        <f ca="1">IFERROR(__xludf.DUMMYFUNCTION("""COMPUTED_VALUE"""),"FIGEM-2024-96")</f>
        <v>FIGEM-2024-96</v>
      </c>
      <c r="D28" s="26" t="str">
        <f t="shared" ca="1" si="0"/>
        <v xml:space="preserve"> MARÍA ELENA</v>
      </c>
      <c r="E28" s="10" t="str">
        <f ca="1">IFERROR(__xludf.DUMMYFUNCTION("""COMPUTED_VALUE"""),"Resolución de Transferencia")</f>
        <v>Resolución de Transferencia</v>
      </c>
      <c r="F28" s="10" t="str">
        <f ca="1">IFERROR(__xludf.DUMMYFUNCTION("""COMPUTED_VALUE"""),"MUNICIPALIDAD DE MARÍA ELENA")</f>
        <v>MUNICIPALIDAD DE MARÍA ELENA</v>
      </c>
      <c r="G28" s="71">
        <f ca="1">IFERROR(__xludf.DUMMYFUNCTION("""COMPUTED_VALUE"""),88840265)</f>
        <v>88840265</v>
      </c>
      <c r="H28" s="10" t="str">
        <f ca="1">IFERROR(__xludf.DUMMYFUNCTION("""COMPUTED_VALUE"""),"Resolución")</f>
        <v>Resolución</v>
      </c>
      <c r="I28" s="10" t="str">
        <f ca="1">IFERROR(__xludf.DUMMYFUNCTION("""COMPUTED_VALUE"""),"FONDO DE INCENTIVO AL MEJORAMIENTO DE LA GESTIÓN MUNICIPAL")</f>
        <v>FONDO DE INCENTIVO AL MEJORAMIENTO DE LA GESTIÓN MUNICIPAL</v>
      </c>
      <c r="J28" s="10" t="str">
        <f ca="1">IFERROR(__xludf.DUMMYFUNCTION("""COMPUTED_VALUE"""),"Cumplir con normativa y reglamentos internos del programa en base a los objetivos.")</f>
        <v>Cumplir con normativa y reglamentos internos del programa en base a los objetivos.</v>
      </c>
      <c r="K28" s="71">
        <f ca="1">IFERROR(__xludf.DUMMYFUNCTION("""COMPUTED_VALUE"""),88840265)</f>
        <v>88840265</v>
      </c>
      <c r="L28" s="27">
        <f ca="1">IFERROR(__xludf.DUMMYFUNCTION("""COMPUTED_VALUE"""),1)</f>
        <v>1</v>
      </c>
      <c r="M28" s="10" t="str">
        <f ca="1">IFERROR(__xludf.DUMMYFUNCTION("""COMPUTED_VALUE"""),"19/2024")</f>
        <v>19/2024</v>
      </c>
      <c r="N28" s="10" t="str">
        <f ca="1">IFERROR(__xludf.DUMMYFUNCTION("""COMPUTED_VALUE"""),"FIGEM")</f>
        <v>FIGEM</v>
      </c>
      <c r="O28" s="59"/>
      <c r="P28" s="1"/>
      <c r="Q28" s="1"/>
      <c r="R28" s="1"/>
      <c r="S28" s="1"/>
      <c r="T28" s="1"/>
      <c r="U28" s="1"/>
      <c r="V28" s="1"/>
      <c r="W28" s="1"/>
      <c r="X28" s="1"/>
      <c r="Y28" s="1"/>
      <c r="Z28" s="1"/>
      <c r="AA28" s="1"/>
    </row>
    <row r="29" spans="1:27" ht="12.75" customHeight="1">
      <c r="A29" s="1"/>
      <c r="B29" s="10" t="str">
        <f ca="1">IFERROR(__xludf.DUMMYFUNCTION("""COMPUTED_VALUE"""),"Fondo de Incentivo al Mejoramiento de la Gestión Municipal 2024")</f>
        <v>Fondo de Incentivo al Mejoramiento de la Gestión Municipal 2024</v>
      </c>
      <c r="C29" s="10" t="str">
        <f ca="1">IFERROR(__xludf.DUMMYFUNCTION("""COMPUTED_VALUE"""),"FIGEM-2024-26")</f>
        <v>FIGEM-2024-26</v>
      </c>
      <c r="D29" s="26" t="str">
        <f t="shared" ca="1" si="0"/>
        <v xml:space="preserve"> COPIAPÓ</v>
      </c>
      <c r="E29" s="10" t="str">
        <f ca="1">IFERROR(__xludf.DUMMYFUNCTION("""COMPUTED_VALUE"""),"Resolución de Transferencia")</f>
        <v>Resolución de Transferencia</v>
      </c>
      <c r="F29" s="10" t="str">
        <f ca="1">IFERROR(__xludf.DUMMYFUNCTION("""COMPUTED_VALUE"""),"MUNICIPALIDAD DE COPIAPÓ")</f>
        <v>MUNICIPALIDAD DE COPIAPÓ</v>
      </c>
      <c r="G29" s="71">
        <f ca="1">IFERROR(__xludf.DUMMYFUNCTION("""COMPUTED_VALUE"""),146989896)</f>
        <v>146989896</v>
      </c>
      <c r="H29" s="10" t="str">
        <f ca="1">IFERROR(__xludf.DUMMYFUNCTION("""COMPUTED_VALUE"""),"Resolución")</f>
        <v>Resolución</v>
      </c>
      <c r="I29" s="10" t="str">
        <f ca="1">IFERROR(__xludf.DUMMYFUNCTION("""COMPUTED_VALUE"""),"FONDO DE INCENTIVO AL MEJORAMIENTO DE LA GESTIÓN MUNICIPAL")</f>
        <v>FONDO DE INCENTIVO AL MEJORAMIENTO DE LA GESTIÓN MUNICIPAL</v>
      </c>
      <c r="J29" s="10" t="str">
        <f ca="1">IFERROR(__xludf.DUMMYFUNCTION("""COMPUTED_VALUE"""),"Cumplir con normativa y reglamentos internos del programa en base a los objetivos.")</f>
        <v>Cumplir con normativa y reglamentos internos del programa en base a los objetivos.</v>
      </c>
      <c r="K29" s="71">
        <f ca="1">IFERROR(__xludf.DUMMYFUNCTION("""COMPUTED_VALUE"""),146989896)</f>
        <v>146989896</v>
      </c>
      <c r="L29" s="27">
        <f ca="1">IFERROR(__xludf.DUMMYFUNCTION("""COMPUTED_VALUE"""),1)</f>
        <v>1</v>
      </c>
      <c r="M29" s="10" t="str">
        <f ca="1">IFERROR(__xludf.DUMMYFUNCTION("""COMPUTED_VALUE"""),"19/2024")</f>
        <v>19/2024</v>
      </c>
      <c r="N29" s="10" t="str">
        <f ca="1">IFERROR(__xludf.DUMMYFUNCTION("""COMPUTED_VALUE"""),"FIGEM")</f>
        <v>FIGEM</v>
      </c>
      <c r="O29" s="59"/>
      <c r="P29" s="1"/>
      <c r="Q29" s="1"/>
      <c r="R29" s="1"/>
      <c r="S29" s="1"/>
      <c r="T29" s="1"/>
      <c r="U29" s="1"/>
      <c r="V29" s="1"/>
      <c r="W29" s="1"/>
      <c r="X29" s="1"/>
      <c r="Y29" s="1"/>
      <c r="Z29" s="1"/>
      <c r="AA29" s="1"/>
    </row>
    <row r="30" spans="1:27" ht="12.75" customHeight="1">
      <c r="A30" s="1"/>
      <c r="B30" s="10" t="str">
        <f ca="1">IFERROR(__xludf.DUMMYFUNCTION("""COMPUTED_VALUE"""),"Fondo de Incentivo al Mejoramiento de la Gestión Municipal 2024")</f>
        <v>Fondo de Incentivo al Mejoramiento de la Gestión Municipal 2024</v>
      </c>
      <c r="C30" s="10" t="str">
        <f ca="1">IFERROR(__xludf.DUMMYFUNCTION("""COMPUTED_VALUE"""),"FIGEM-2024-94")</f>
        <v>FIGEM-2024-94</v>
      </c>
      <c r="D30" s="26" t="str">
        <f t="shared" ca="1" si="0"/>
        <v xml:space="preserve"> TIERRA AMARILLA</v>
      </c>
      <c r="E30" s="10" t="str">
        <f ca="1">IFERROR(__xludf.DUMMYFUNCTION("""COMPUTED_VALUE"""),"Resolución de Transferencia")</f>
        <v>Resolución de Transferencia</v>
      </c>
      <c r="F30" s="10" t="str">
        <f ca="1">IFERROR(__xludf.DUMMYFUNCTION("""COMPUTED_VALUE"""),"MUNICIPALIDAD DE TIERRA AMARILLA")</f>
        <v>MUNICIPALIDAD DE TIERRA AMARILLA</v>
      </c>
      <c r="G30" s="71">
        <f ca="1">IFERROR(__xludf.DUMMYFUNCTION("""COMPUTED_VALUE"""),88980822)</f>
        <v>88980822</v>
      </c>
      <c r="H30" s="10" t="str">
        <f ca="1">IFERROR(__xludf.DUMMYFUNCTION("""COMPUTED_VALUE"""),"Resolución")</f>
        <v>Resolución</v>
      </c>
      <c r="I30" s="10" t="str">
        <f ca="1">IFERROR(__xludf.DUMMYFUNCTION("""COMPUTED_VALUE"""),"FONDO DE INCENTIVO AL MEJORAMIENTO DE LA GESTIÓN MUNICIPAL")</f>
        <v>FONDO DE INCENTIVO AL MEJORAMIENTO DE LA GESTIÓN MUNICIPAL</v>
      </c>
      <c r="J30" s="10" t="str">
        <f ca="1">IFERROR(__xludf.DUMMYFUNCTION("""COMPUTED_VALUE"""),"Cumplir con normativa y reglamentos internos del programa en base a los objetivos.")</f>
        <v>Cumplir con normativa y reglamentos internos del programa en base a los objetivos.</v>
      </c>
      <c r="K30" s="71">
        <f ca="1">IFERROR(__xludf.DUMMYFUNCTION("""COMPUTED_VALUE"""),88980822)</f>
        <v>88980822</v>
      </c>
      <c r="L30" s="27">
        <f ca="1">IFERROR(__xludf.DUMMYFUNCTION("""COMPUTED_VALUE"""),1)</f>
        <v>1</v>
      </c>
      <c r="M30" s="10" t="str">
        <f ca="1">IFERROR(__xludf.DUMMYFUNCTION("""COMPUTED_VALUE"""),"19/2024")</f>
        <v>19/2024</v>
      </c>
      <c r="N30" s="10" t="str">
        <f ca="1">IFERROR(__xludf.DUMMYFUNCTION("""COMPUTED_VALUE"""),"FIGEM")</f>
        <v>FIGEM</v>
      </c>
      <c r="O30" s="59"/>
      <c r="P30" s="1"/>
      <c r="Q30" s="1"/>
      <c r="R30" s="1"/>
      <c r="S30" s="1"/>
      <c r="T30" s="1"/>
      <c r="U30" s="1"/>
      <c r="V30" s="1"/>
      <c r="W30" s="1"/>
      <c r="X30" s="1"/>
      <c r="Y30" s="1"/>
      <c r="Z30" s="1"/>
      <c r="AA30" s="1"/>
    </row>
    <row r="31" spans="1:27" ht="12.75" customHeight="1">
      <c r="A31" s="1"/>
      <c r="B31" s="10" t="str">
        <f ca="1">IFERROR(__xludf.DUMMYFUNCTION("""COMPUTED_VALUE"""),"Fondo de Incentivo al Mejoramiento de la Gestión Municipal 2024")</f>
        <v>Fondo de Incentivo al Mejoramiento de la Gestión Municipal 2024</v>
      </c>
      <c r="C31" s="10" t="str">
        <f ca="1">IFERROR(__xludf.DUMMYFUNCTION("""COMPUTED_VALUE"""),"FIGEM-2024-88")</f>
        <v>FIGEM-2024-88</v>
      </c>
      <c r="D31" s="26" t="str">
        <f t="shared" ca="1" si="0"/>
        <v xml:space="preserve"> DIEGO DE ALMAGRO</v>
      </c>
      <c r="E31" s="10" t="str">
        <f ca="1">IFERROR(__xludf.DUMMYFUNCTION("""COMPUTED_VALUE"""),"Resolución de Transferencia")</f>
        <v>Resolución de Transferencia</v>
      </c>
      <c r="F31" s="10" t="str">
        <f ca="1">IFERROR(__xludf.DUMMYFUNCTION("""COMPUTED_VALUE"""),"MUNICIPALIDAD DE DIEGO DE ALMAGRO")</f>
        <v>MUNICIPALIDAD DE DIEGO DE ALMAGRO</v>
      </c>
      <c r="G31" s="71">
        <f ca="1">IFERROR(__xludf.DUMMYFUNCTION("""COMPUTED_VALUE"""),89642826)</f>
        <v>89642826</v>
      </c>
      <c r="H31" s="10" t="str">
        <f ca="1">IFERROR(__xludf.DUMMYFUNCTION("""COMPUTED_VALUE"""),"Resolución")</f>
        <v>Resolución</v>
      </c>
      <c r="I31" s="10" t="str">
        <f ca="1">IFERROR(__xludf.DUMMYFUNCTION("""COMPUTED_VALUE"""),"FONDO DE INCENTIVO AL MEJORAMIENTO DE LA GESTIÓN MUNICIPAL")</f>
        <v>FONDO DE INCENTIVO AL MEJORAMIENTO DE LA GESTIÓN MUNICIPAL</v>
      </c>
      <c r="J31" s="10" t="str">
        <f ca="1">IFERROR(__xludf.DUMMYFUNCTION("""COMPUTED_VALUE"""),"Cumplir con normativa y reglamentos internos del programa en base a los objetivos.")</f>
        <v>Cumplir con normativa y reglamentos internos del programa en base a los objetivos.</v>
      </c>
      <c r="K31" s="71">
        <f ca="1">IFERROR(__xludf.DUMMYFUNCTION("""COMPUTED_VALUE"""),89642826)</f>
        <v>89642826</v>
      </c>
      <c r="L31" s="27">
        <f ca="1">IFERROR(__xludf.DUMMYFUNCTION("""COMPUTED_VALUE"""),1)</f>
        <v>1</v>
      </c>
      <c r="M31" s="10" t="str">
        <f ca="1">IFERROR(__xludf.DUMMYFUNCTION("""COMPUTED_VALUE"""),"19/2024")</f>
        <v>19/2024</v>
      </c>
      <c r="N31" s="10" t="str">
        <f ca="1">IFERROR(__xludf.DUMMYFUNCTION("""COMPUTED_VALUE"""),"FIGEM")</f>
        <v>FIGEM</v>
      </c>
      <c r="O31" s="59"/>
      <c r="P31" s="1"/>
      <c r="Q31" s="1"/>
      <c r="R31" s="1"/>
      <c r="S31" s="1"/>
      <c r="T31" s="1"/>
      <c r="U31" s="1"/>
      <c r="V31" s="1"/>
      <c r="W31" s="1"/>
      <c r="X31" s="1"/>
      <c r="Y31" s="1"/>
      <c r="Z31" s="1"/>
      <c r="AA31" s="1"/>
    </row>
    <row r="32" spans="1:27" ht="12.75" customHeight="1">
      <c r="A32" s="1"/>
      <c r="B32" s="10" t="str">
        <f ca="1">IFERROR(__xludf.DUMMYFUNCTION("""COMPUTED_VALUE"""),"Fondo de Incentivo al Mejoramiento de la Gestión Municipal 2024")</f>
        <v>Fondo de Incentivo al Mejoramiento de la Gestión Municipal 2024</v>
      </c>
      <c r="C32" s="10" t="str">
        <f ca="1">IFERROR(__xludf.DUMMYFUNCTION("""COMPUTED_VALUE"""),"FIGEM-2024-58")</f>
        <v>FIGEM-2024-58</v>
      </c>
      <c r="D32" s="26" t="str">
        <f t="shared" ca="1" si="0"/>
        <v xml:space="preserve"> VALLENAR</v>
      </c>
      <c r="E32" s="10" t="str">
        <f ca="1">IFERROR(__xludf.DUMMYFUNCTION("""COMPUTED_VALUE"""),"Resolución de Transferencia")</f>
        <v>Resolución de Transferencia</v>
      </c>
      <c r="F32" s="10" t="str">
        <f ca="1">IFERROR(__xludf.DUMMYFUNCTION("""COMPUTED_VALUE"""),"MUNICIPALIDAD DE VALLENAR")</f>
        <v>MUNICIPALIDAD DE VALLENAR</v>
      </c>
      <c r="G32" s="71">
        <f ca="1">IFERROR(__xludf.DUMMYFUNCTION("""COMPUTED_VALUE"""),121490850)</f>
        <v>121490850</v>
      </c>
      <c r="H32" s="10" t="str">
        <f ca="1">IFERROR(__xludf.DUMMYFUNCTION("""COMPUTED_VALUE"""),"Resolución")</f>
        <v>Resolución</v>
      </c>
      <c r="I32" s="10" t="str">
        <f ca="1">IFERROR(__xludf.DUMMYFUNCTION("""COMPUTED_VALUE"""),"FONDO DE INCENTIVO AL MEJORAMIENTO DE LA GESTIÓN MUNICIPAL")</f>
        <v>FONDO DE INCENTIVO AL MEJORAMIENTO DE LA GESTIÓN MUNICIPAL</v>
      </c>
      <c r="J32" s="10" t="str">
        <f ca="1">IFERROR(__xludf.DUMMYFUNCTION("""COMPUTED_VALUE"""),"Cumplir con normativa y reglamentos internos del programa en base a los objetivos.")</f>
        <v>Cumplir con normativa y reglamentos internos del programa en base a los objetivos.</v>
      </c>
      <c r="K32" s="71">
        <f ca="1">IFERROR(__xludf.DUMMYFUNCTION("""COMPUTED_VALUE"""),121490850)</f>
        <v>121490850</v>
      </c>
      <c r="L32" s="27">
        <f ca="1">IFERROR(__xludf.DUMMYFUNCTION("""COMPUTED_VALUE"""),1)</f>
        <v>1</v>
      </c>
      <c r="M32" s="10" t="str">
        <f ca="1">IFERROR(__xludf.DUMMYFUNCTION("""COMPUTED_VALUE"""),"19/2024")</f>
        <v>19/2024</v>
      </c>
      <c r="N32" s="10" t="str">
        <f ca="1">IFERROR(__xludf.DUMMYFUNCTION("""COMPUTED_VALUE"""),"FIGEM")</f>
        <v>FIGEM</v>
      </c>
      <c r="O32" s="59"/>
      <c r="P32" s="1"/>
      <c r="Q32" s="1"/>
      <c r="R32" s="1"/>
      <c r="S32" s="1"/>
      <c r="T32" s="1"/>
      <c r="U32" s="1"/>
      <c r="V32" s="1"/>
      <c r="W32" s="1"/>
      <c r="X32" s="1"/>
      <c r="Y32" s="1"/>
      <c r="Z32" s="1"/>
      <c r="AA32" s="1"/>
    </row>
    <row r="33" spans="1:27" ht="12.75" customHeight="1">
      <c r="A33" s="1"/>
      <c r="B33" s="10" t="str">
        <f ca="1">IFERROR(__xludf.DUMMYFUNCTION("""COMPUTED_VALUE"""),"Fondo de Incentivo al Mejoramiento de la Gestión Municipal 2024")</f>
        <v>Fondo de Incentivo al Mejoramiento de la Gestión Municipal 2024</v>
      </c>
      <c r="C33" s="10" t="str">
        <f ca="1">IFERROR(__xludf.DUMMYFUNCTION("""COMPUTED_VALUE"""),"FIGEM-2024-104")</f>
        <v>FIGEM-2024-104</v>
      </c>
      <c r="D33" s="26" t="str">
        <f t="shared" ca="1" si="0"/>
        <v xml:space="preserve"> HUASCO</v>
      </c>
      <c r="E33" s="10" t="str">
        <f ca="1">IFERROR(__xludf.DUMMYFUNCTION("""COMPUTED_VALUE"""),"Resolución de Transferencia")</f>
        <v>Resolución de Transferencia</v>
      </c>
      <c r="F33" s="10" t="str">
        <f ca="1">IFERROR(__xludf.DUMMYFUNCTION("""COMPUTED_VALUE"""),"MUNICIPALIDAD DE HUASCO")</f>
        <v>MUNICIPALIDAD DE HUASCO</v>
      </c>
      <c r="G33" s="71">
        <f ca="1">IFERROR(__xludf.DUMMYFUNCTION("""COMPUTED_VALUE"""),87570583)</f>
        <v>87570583</v>
      </c>
      <c r="H33" s="10" t="str">
        <f ca="1">IFERROR(__xludf.DUMMYFUNCTION("""COMPUTED_VALUE"""),"Resolución")</f>
        <v>Resolución</v>
      </c>
      <c r="I33" s="10" t="str">
        <f ca="1">IFERROR(__xludf.DUMMYFUNCTION("""COMPUTED_VALUE"""),"FONDO DE INCENTIVO AL MEJORAMIENTO DE LA GESTIÓN MUNICIPAL")</f>
        <v>FONDO DE INCENTIVO AL MEJORAMIENTO DE LA GESTIÓN MUNICIPAL</v>
      </c>
      <c r="J33" s="10" t="str">
        <f ca="1">IFERROR(__xludf.DUMMYFUNCTION("""COMPUTED_VALUE"""),"Cumplir con normativa y reglamentos internos del programa en base a los objetivos.")</f>
        <v>Cumplir con normativa y reglamentos internos del programa en base a los objetivos.</v>
      </c>
      <c r="K33" s="71">
        <f ca="1">IFERROR(__xludf.DUMMYFUNCTION("""COMPUTED_VALUE"""),87570583)</f>
        <v>87570583</v>
      </c>
      <c r="L33" s="27">
        <f ca="1">IFERROR(__xludf.DUMMYFUNCTION("""COMPUTED_VALUE"""),1)</f>
        <v>1</v>
      </c>
      <c r="M33" s="10" t="str">
        <f ca="1">IFERROR(__xludf.DUMMYFUNCTION("""COMPUTED_VALUE"""),"19/2024")</f>
        <v>19/2024</v>
      </c>
      <c r="N33" s="10" t="str">
        <f ca="1">IFERROR(__xludf.DUMMYFUNCTION("""COMPUTED_VALUE"""),"FIGEM")</f>
        <v>FIGEM</v>
      </c>
      <c r="O33" s="59"/>
      <c r="P33" s="1"/>
      <c r="Q33" s="1"/>
      <c r="R33" s="1"/>
      <c r="S33" s="1"/>
      <c r="T33" s="1"/>
      <c r="U33" s="1"/>
      <c r="V33" s="1"/>
      <c r="W33" s="1"/>
      <c r="X33" s="1"/>
      <c r="Y33" s="1"/>
      <c r="Z33" s="1"/>
      <c r="AA33" s="1"/>
    </row>
    <row r="34" spans="1:27" ht="12.75" customHeight="1">
      <c r="A34" s="1"/>
      <c r="B34" s="10" t="str">
        <f ca="1">IFERROR(__xludf.DUMMYFUNCTION("""COMPUTED_VALUE"""),"Fondo de Incentivo al Mejoramiento de la Gestión Municipal 2024")</f>
        <v>Fondo de Incentivo al Mejoramiento de la Gestión Municipal 2024</v>
      </c>
      <c r="C34" s="10" t="str">
        <f ca="1">IFERROR(__xludf.DUMMYFUNCTION("""COMPUTED_VALUE"""),"FIGEM-2024-134")</f>
        <v>FIGEM-2024-134</v>
      </c>
      <c r="D34" s="26" t="str">
        <f t="shared" ca="1" si="0"/>
        <v xml:space="preserve"> LA HIGUERA</v>
      </c>
      <c r="E34" s="10" t="str">
        <f ca="1">IFERROR(__xludf.DUMMYFUNCTION("""COMPUTED_VALUE"""),"Resolución de Transferencia")</f>
        <v>Resolución de Transferencia</v>
      </c>
      <c r="F34" s="10" t="str">
        <f ca="1">IFERROR(__xludf.DUMMYFUNCTION("""COMPUTED_VALUE"""),"MUNICIPALIDAD DE LA HIGUERA")</f>
        <v>MUNICIPALIDAD DE LA HIGUERA</v>
      </c>
      <c r="G34" s="71">
        <f ca="1">IFERROR(__xludf.DUMMYFUNCTION("""COMPUTED_VALUE"""),93981918)</f>
        <v>93981918</v>
      </c>
      <c r="H34" s="10" t="str">
        <f ca="1">IFERROR(__xludf.DUMMYFUNCTION("""COMPUTED_VALUE"""),"Resolución")</f>
        <v>Resolución</v>
      </c>
      <c r="I34" s="10" t="str">
        <f ca="1">IFERROR(__xludf.DUMMYFUNCTION("""COMPUTED_VALUE"""),"FONDO DE INCENTIVO AL MEJORAMIENTO DE LA GESTIÓN MUNICIPAL")</f>
        <v>FONDO DE INCENTIVO AL MEJORAMIENTO DE LA GESTIÓN MUNICIPAL</v>
      </c>
      <c r="J34" s="10" t="str">
        <f ca="1">IFERROR(__xludf.DUMMYFUNCTION("""COMPUTED_VALUE"""),"Cumplir con normativa y reglamentos internos del programa en base a los objetivos.")</f>
        <v>Cumplir con normativa y reglamentos internos del programa en base a los objetivos.</v>
      </c>
      <c r="K34" s="71">
        <f ca="1">IFERROR(__xludf.DUMMYFUNCTION("""COMPUTED_VALUE"""),93981918)</f>
        <v>93981918</v>
      </c>
      <c r="L34" s="27">
        <f ca="1">IFERROR(__xludf.DUMMYFUNCTION("""COMPUTED_VALUE"""),1)</f>
        <v>1</v>
      </c>
      <c r="M34" s="10" t="str">
        <f ca="1">IFERROR(__xludf.DUMMYFUNCTION("""COMPUTED_VALUE"""),"19/2024")</f>
        <v>19/2024</v>
      </c>
      <c r="N34" s="10" t="str">
        <f ca="1">IFERROR(__xludf.DUMMYFUNCTION("""COMPUTED_VALUE"""),"FIGEM")</f>
        <v>FIGEM</v>
      </c>
      <c r="O34" s="59"/>
      <c r="P34" s="1"/>
      <c r="Q34" s="1"/>
      <c r="R34" s="1"/>
      <c r="S34" s="1"/>
      <c r="T34" s="1"/>
      <c r="U34" s="1"/>
      <c r="V34" s="1"/>
      <c r="W34" s="1"/>
      <c r="X34" s="1"/>
      <c r="Y34" s="1"/>
      <c r="Z34" s="1"/>
      <c r="AA34" s="1"/>
    </row>
    <row r="35" spans="1:27" ht="12.75" customHeight="1">
      <c r="A35" s="1"/>
      <c r="B35" s="10" t="str">
        <f ca="1">IFERROR(__xludf.DUMMYFUNCTION("""COMPUTED_VALUE"""),"Fondo de Incentivo al Mejoramiento de la Gestión Municipal 2024")</f>
        <v>Fondo de Incentivo al Mejoramiento de la Gestión Municipal 2024</v>
      </c>
      <c r="C35" s="10" t="str">
        <f ca="1">IFERROR(__xludf.DUMMYFUNCTION("""COMPUTED_VALUE"""),"FIGEM-2024-117")</f>
        <v>FIGEM-2024-117</v>
      </c>
      <c r="D35" s="26" t="str">
        <f t="shared" ca="1" si="0"/>
        <v xml:space="preserve"> PAIGUANO</v>
      </c>
      <c r="E35" s="10" t="str">
        <f ca="1">IFERROR(__xludf.DUMMYFUNCTION("""COMPUTED_VALUE"""),"Resolución de Transferencia")</f>
        <v>Resolución de Transferencia</v>
      </c>
      <c r="F35" s="10" t="str">
        <f ca="1">IFERROR(__xludf.DUMMYFUNCTION("""COMPUTED_VALUE"""),"MUNICIPALIDAD DE PAIGUANO")</f>
        <v>MUNICIPALIDAD DE PAIGUANO</v>
      </c>
      <c r="G35" s="71">
        <f ca="1">IFERROR(__xludf.DUMMYFUNCTION("""COMPUTED_VALUE"""),85477340)</f>
        <v>85477340</v>
      </c>
      <c r="H35" s="10" t="str">
        <f ca="1">IFERROR(__xludf.DUMMYFUNCTION("""COMPUTED_VALUE"""),"Resolución")</f>
        <v>Resolución</v>
      </c>
      <c r="I35" s="10" t="str">
        <f ca="1">IFERROR(__xludf.DUMMYFUNCTION("""COMPUTED_VALUE"""),"FONDO DE INCENTIVO AL MEJORAMIENTO DE LA GESTIÓN MUNICIPAL")</f>
        <v>FONDO DE INCENTIVO AL MEJORAMIENTO DE LA GESTIÓN MUNICIPAL</v>
      </c>
      <c r="J35" s="10" t="str">
        <f ca="1">IFERROR(__xludf.DUMMYFUNCTION("""COMPUTED_VALUE"""),"Cumplir con normativa y reglamentos internos del programa en base a los objetivos.")</f>
        <v>Cumplir con normativa y reglamentos internos del programa en base a los objetivos.</v>
      </c>
      <c r="K35" s="71">
        <f ca="1">IFERROR(__xludf.DUMMYFUNCTION("""COMPUTED_VALUE"""),85477340)</f>
        <v>85477340</v>
      </c>
      <c r="L35" s="27">
        <f ca="1">IFERROR(__xludf.DUMMYFUNCTION("""COMPUTED_VALUE"""),1)</f>
        <v>1</v>
      </c>
      <c r="M35" s="10" t="str">
        <f ca="1">IFERROR(__xludf.DUMMYFUNCTION("""COMPUTED_VALUE"""),"19/2024")</f>
        <v>19/2024</v>
      </c>
      <c r="N35" s="10" t="str">
        <f ca="1">IFERROR(__xludf.DUMMYFUNCTION("""COMPUTED_VALUE"""),"FIGEM")</f>
        <v>FIGEM</v>
      </c>
      <c r="O35" s="59"/>
      <c r="P35" s="1"/>
      <c r="Q35" s="1"/>
      <c r="R35" s="1"/>
      <c r="S35" s="1"/>
      <c r="T35" s="1"/>
      <c r="U35" s="1"/>
      <c r="V35" s="1"/>
      <c r="W35" s="1"/>
      <c r="X35" s="1"/>
      <c r="Y35" s="1"/>
      <c r="Z35" s="1"/>
      <c r="AA35" s="1"/>
    </row>
    <row r="36" spans="1:27" ht="12.75" customHeight="1">
      <c r="A36" s="1"/>
      <c r="B36" s="10" t="str">
        <f ca="1">IFERROR(__xludf.DUMMYFUNCTION("""COMPUTED_VALUE"""),"Fondo de Incentivo al Mejoramiento de la Gestión Municipal 2024")</f>
        <v>Fondo de Incentivo al Mejoramiento de la Gestión Municipal 2024</v>
      </c>
      <c r="C36" s="10" t="str">
        <f ca="1">IFERROR(__xludf.DUMMYFUNCTION("""COMPUTED_VALUE"""),"FIGEM-2024-102")</f>
        <v>FIGEM-2024-102</v>
      </c>
      <c r="D36" s="26" t="str">
        <f t="shared" ca="1" si="0"/>
        <v xml:space="preserve"> VICUÑA</v>
      </c>
      <c r="E36" s="10" t="str">
        <f ca="1">IFERROR(__xludf.DUMMYFUNCTION("""COMPUTED_VALUE"""),"Resolución de Transferencia")</f>
        <v>Resolución de Transferencia</v>
      </c>
      <c r="F36" s="10" t="str">
        <f ca="1">IFERROR(__xludf.DUMMYFUNCTION("""COMPUTED_VALUE"""),"MUNICIPALIDAD DE VICUÑA")</f>
        <v>MUNICIPALIDAD DE VICUÑA</v>
      </c>
      <c r="G36" s="71">
        <f ca="1">IFERROR(__xludf.DUMMYFUNCTION("""COMPUTED_VALUE"""),87819332)</f>
        <v>87819332</v>
      </c>
      <c r="H36" s="10" t="str">
        <f ca="1">IFERROR(__xludf.DUMMYFUNCTION("""COMPUTED_VALUE"""),"Resolución")</f>
        <v>Resolución</v>
      </c>
      <c r="I36" s="10" t="str">
        <f ca="1">IFERROR(__xludf.DUMMYFUNCTION("""COMPUTED_VALUE"""),"FONDO DE INCENTIVO AL MEJORAMIENTO DE LA GESTIÓN MUNICIPAL")</f>
        <v>FONDO DE INCENTIVO AL MEJORAMIENTO DE LA GESTIÓN MUNICIPAL</v>
      </c>
      <c r="J36" s="10" t="str">
        <f ca="1">IFERROR(__xludf.DUMMYFUNCTION("""COMPUTED_VALUE"""),"Cumplir con normativa y reglamentos internos del programa en base a los objetivos.")</f>
        <v>Cumplir con normativa y reglamentos internos del programa en base a los objetivos.</v>
      </c>
      <c r="K36" s="71">
        <f ca="1">IFERROR(__xludf.DUMMYFUNCTION("""COMPUTED_VALUE"""),87819332)</f>
        <v>87819332</v>
      </c>
      <c r="L36" s="27">
        <f ca="1">IFERROR(__xludf.DUMMYFUNCTION("""COMPUTED_VALUE"""),1)</f>
        <v>1</v>
      </c>
      <c r="M36" s="10" t="str">
        <f ca="1">IFERROR(__xludf.DUMMYFUNCTION("""COMPUTED_VALUE"""),"19/2024")</f>
        <v>19/2024</v>
      </c>
      <c r="N36" s="10" t="str">
        <f ca="1">IFERROR(__xludf.DUMMYFUNCTION("""COMPUTED_VALUE"""),"FIGEM")</f>
        <v>FIGEM</v>
      </c>
      <c r="O36" s="59"/>
      <c r="P36" s="1"/>
      <c r="Q36" s="1"/>
      <c r="R36" s="1"/>
      <c r="S36" s="1"/>
      <c r="T36" s="1"/>
      <c r="U36" s="1"/>
      <c r="V36" s="1"/>
      <c r="W36" s="1"/>
      <c r="X36" s="1"/>
      <c r="Y36" s="1"/>
      <c r="Z36" s="1"/>
      <c r="AA36" s="1"/>
    </row>
    <row r="37" spans="1:27" ht="12.75" customHeight="1">
      <c r="A37" s="1"/>
      <c r="B37" s="10" t="str">
        <f ca="1">IFERROR(__xludf.DUMMYFUNCTION("""COMPUTED_VALUE"""),"Fondo de Incentivo al Mejoramiento de la Gestión Municipal 2024")</f>
        <v>Fondo de Incentivo al Mejoramiento de la Gestión Municipal 2024</v>
      </c>
      <c r="C37" s="10" t="str">
        <f ca="1">IFERROR(__xludf.DUMMYFUNCTION("""COMPUTED_VALUE"""),"FIGEM-2024-140")</f>
        <v>FIGEM-2024-140</v>
      </c>
      <c r="D37" s="26" t="str">
        <f t="shared" ca="1" si="0"/>
        <v xml:space="preserve"> MONTE PATRIA</v>
      </c>
      <c r="E37" s="10" t="str">
        <f ca="1">IFERROR(__xludf.DUMMYFUNCTION("""COMPUTED_VALUE"""),"Resolución de Transferencia")</f>
        <v>Resolución de Transferencia</v>
      </c>
      <c r="F37" s="10" t="str">
        <f ca="1">IFERROR(__xludf.DUMMYFUNCTION("""COMPUTED_VALUE"""),"MUNICIPALIDAD DE MONTE PATRIA")</f>
        <v>MUNICIPALIDAD DE MONTE PATRIA</v>
      </c>
      <c r="G37" s="71">
        <f ca="1">IFERROR(__xludf.DUMMYFUNCTION("""COMPUTED_VALUE"""),93021179)</f>
        <v>93021179</v>
      </c>
      <c r="H37" s="10" t="str">
        <f ca="1">IFERROR(__xludf.DUMMYFUNCTION("""COMPUTED_VALUE"""),"Resolución")</f>
        <v>Resolución</v>
      </c>
      <c r="I37" s="10" t="str">
        <f ca="1">IFERROR(__xludf.DUMMYFUNCTION("""COMPUTED_VALUE"""),"FONDO DE INCENTIVO AL MEJORAMIENTO DE LA GESTIÓN MUNICIPAL")</f>
        <v>FONDO DE INCENTIVO AL MEJORAMIENTO DE LA GESTIÓN MUNICIPAL</v>
      </c>
      <c r="J37" s="10" t="str">
        <f ca="1">IFERROR(__xludf.DUMMYFUNCTION("""COMPUTED_VALUE"""),"Cumplir con normativa y reglamentos internos del programa en base a los objetivos.")</f>
        <v>Cumplir con normativa y reglamentos internos del programa en base a los objetivos.</v>
      </c>
      <c r="K37" s="71">
        <f ca="1">IFERROR(__xludf.DUMMYFUNCTION("""COMPUTED_VALUE"""),93021179)</f>
        <v>93021179</v>
      </c>
      <c r="L37" s="27">
        <f ca="1">IFERROR(__xludf.DUMMYFUNCTION("""COMPUTED_VALUE"""),1)</f>
        <v>1</v>
      </c>
      <c r="M37" s="10" t="str">
        <f ca="1">IFERROR(__xludf.DUMMYFUNCTION("""COMPUTED_VALUE"""),"19/2024")</f>
        <v>19/2024</v>
      </c>
      <c r="N37" s="10" t="str">
        <f ca="1">IFERROR(__xludf.DUMMYFUNCTION("""COMPUTED_VALUE"""),"FIGEM")</f>
        <v>FIGEM</v>
      </c>
      <c r="O37" s="59"/>
      <c r="P37" s="1"/>
      <c r="Q37" s="1"/>
      <c r="R37" s="1"/>
      <c r="S37" s="1"/>
      <c r="T37" s="1"/>
      <c r="U37" s="1"/>
      <c r="V37" s="1"/>
      <c r="W37" s="1"/>
      <c r="X37" s="1"/>
      <c r="Y37" s="1"/>
      <c r="Z37" s="1"/>
      <c r="AA37" s="1"/>
    </row>
    <row r="38" spans="1:27" ht="12.75" customHeight="1">
      <c r="A38" s="1"/>
      <c r="B38" s="10" t="str">
        <f ca="1">IFERROR(__xludf.DUMMYFUNCTION("""COMPUTED_VALUE"""),"Fondo de Incentivo al Mejoramiento de la Gestión Municipal 2024")</f>
        <v>Fondo de Incentivo al Mejoramiento de la Gestión Municipal 2024</v>
      </c>
      <c r="C38" s="10" t="str">
        <f ca="1">IFERROR(__xludf.DUMMYFUNCTION("""COMPUTED_VALUE"""),"FIGEM-2024-132")</f>
        <v>FIGEM-2024-132</v>
      </c>
      <c r="D38" s="26" t="str">
        <f t="shared" ca="1" si="0"/>
        <v xml:space="preserve"> RÍO HURTADO</v>
      </c>
      <c r="E38" s="10" t="str">
        <f ca="1">IFERROR(__xludf.DUMMYFUNCTION("""COMPUTED_VALUE"""),"Resolución de Transferencia")</f>
        <v>Resolución de Transferencia</v>
      </c>
      <c r="F38" s="10" t="str">
        <f ca="1">IFERROR(__xludf.DUMMYFUNCTION("""COMPUTED_VALUE"""),"MUNICIPALIDAD DE RÍO HURTADO")</f>
        <v>MUNICIPALIDAD DE RÍO HURTADO</v>
      </c>
      <c r="G38" s="71">
        <f ca="1">IFERROR(__xludf.DUMMYFUNCTION("""COMPUTED_VALUE"""),94497785)</f>
        <v>94497785</v>
      </c>
      <c r="H38" s="10" t="str">
        <f ca="1">IFERROR(__xludf.DUMMYFUNCTION("""COMPUTED_VALUE"""),"Resolución")</f>
        <v>Resolución</v>
      </c>
      <c r="I38" s="10" t="str">
        <f ca="1">IFERROR(__xludf.DUMMYFUNCTION("""COMPUTED_VALUE"""),"FONDO DE INCENTIVO AL MEJORAMIENTO DE LA GESTIÓN MUNICIPAL")</f>
        <v>FONDO DE INCENTIVO AL MEJORAMIENTO DE LA GESTIÓN MUNICIPAL</v>
      </c>
      <c r="J38" s="10" t="str">
        <f ca="1">IFERROR(__xludf.DUMMYFUNCTION("""COMPUTED_VALUE"""),"Cumplir con normativa y reglamentos internos del programa en base a los objetivos.")</f>
        <v>Cumplir con normativa y reglamentos internos del programa en base a los objetivos.</v>
      </c>
      <c r="K38" s="71">
        <f ca="1">IFERROR(__xludf.DUMMYFUNCTION("""COMPUTED_VALUE"""),94497785)</f>
        <v>94497785</v>
      </c>
      <c r="L38" s="27">
        <f ca="1">IFERROR(__xludf.DUMMYFUNCTION("""COMPUTED_VALUE"""),1)</f>
        <v>1</v>
      </c>
      <c r="M38" s="10" t="str">
        <f ca="1">IFERROR(__xludf.DUMMYFUNCTION("""COMPUTED_VALUE"""),"19/2024")</f>
        <v>19/2024</v>
      </c>
      <c r="N38" s="10" t="str">
        <f ca="1">IFERROR(__xludf.DUMMYFUNCTION("""COMPUTED_VALUE"""),"FIGEM")</f>
        <v>FIGEM</v>
      </c>
      <c r="O38" s="59"/>
      <c r="P38" s="1"/>
      <c r="Q38" s="1"/>
      <c r="R38" s="1"/>
      <c r="S38" s="1"/>
      <c r="T38" s="1"/>
      <c r="U38" s="1"/>
      <c r="V38" s="1"/>
      <c r="W38" s="1"/>
      <c r="X38" s="1"/>
      <c r="Y38" s="1"/>
      <c r="Z38" s="1"/>
      <c r="AA38" s="1"/>
    </row>
    <row r="39" spans="1:27" ht="12.75" customHeight="1">
      <c r="A39" s="1"/>
      <c r="B39" s="10" t="str">
        <f ca="1">IFERROR(__xludf.DUMMYFUNCTION("""COMPUTED_VALUE"""),"Fondo de Incentivo al Mejoramiento de la Gestión Municipal 2024")</f>
        <v>Fondo de Incentivo al Mejoramiento de la Gestión Municipal 2024</v>
      </c>
      <c r="C39" s="10" t="str">
        <f ca="1">IFERROR(__xludf.DUMMYFUNCTION("""COMPUTED_VALUE"""),"FIGEM-2024-95")</f>
        <v>FIGEM-2024-95</v>
      </c>
      <c r="D39" s="26" t="str">
        <f t="shared" ca="1" si="0"/>
        <v xml:space="preserve"> CASABLANCA</v>
      </c>
      <c r="E39" s="10" t="str">
        <f ca="1">IFERROR(__xludf.DUMMYFUNCTION("""COMPUTED_VALUE"""),"Resolución de Transferencia")</f>
        <v>Resolución de Transferencia</v>
      </c>
      <c r="F39" s="10" t="str">
        <f ca="1">IFERROR(__xludf.DUMMYFUNCTION("""COMPUTED_VALUE"""),"MUNICIPALIDAD DE CASABLANCA")</f>
        <v>MUNICIPALIDAD DE CASABLANCA</v>
      </c>
      <c r="G39" s="71">
        <f ca="1">IFERROR(__xludf.DUMMYFUNCTION("""COMPUTED_VALUE"""),88892962)</f>
        <v>88892962</v>
      </c>
      <c r="H39" s="10" t="str">
        <f ca="1">IFERROR(__xludf.DUMMYFUNCTION("""COMPUTED_VALUE"""),"Resolución")</f>
        <v>Resolución</v>
      </c>
      <c r="I39" s="10" t="str">
        <f ca="1">IFERROR(__xludf.DUMMYFUNCTION("""COMPUTED_VALUE"""),"FONDO DE INCENTIVO AL MEJORAMIENTO DE LA GESTIÓN MUNICIPAL")</f>
        <v>FONDO DE INCENTIVO AL MEJORAMIENTO DE LA GESTIÓN MUNICIPAL</v>
      </c>
      <c r="J39" s="10" t="str">
        <f ca="1">IFERROR(__xludf.DUMMYFUNCTION("""COMPUTED_VALUE"""),"Cumplir con normativa y reglamentos internos del programa en base a los objetivos.")</f>
        <v>Cumplir con normativa y reglamentos internos del programa en base a los objetivos.</v>
      </c>
      <c r="K39" s="71">
        <f ca="1">IFERROR(__xludf.DUMMYFUNCTION("""COMPUTED_VALUE"""),88892962)</f>
        <v>88892962</v>
      </c>
      <c r="L39" s="27">
        <f ca="1">IFERROR(__xludf.DUMMYFUNCTION("""COMPUTED_VALUE"""),1)</f>
        <v>1</v>
      </c>
      <c r="M39" s="10" t="str">
        <f ca="1">IFERROR(__xludf.DUMMYFUNCTION("""COMPUTED_VALUE"""),"19/2024")</f>
        <v>19/2024</v>
      </c>
      <c r="N39" s="10" t="str">
        <f ca="1">IFERROR(__xludf.DUMMYFUNCTION("""COMPUTED_VALUE"""),"FIGEM")</f>
        <v>FIGEM</v>
      </c>
      <c r="O39" s="59"/>
      <c r="P39" s="1"/>
      <c r="Q39" s="1"/>
      <c r="R39" s="1"/>
      <c r="S39" s="1"/>
      <c r="T39" s="1"/>
      <c r="U39" s="1"/>
      <c r="V39" s="1"/>
      <c r="W39" s="1"/>
      <c r="X39" s="1"/>
      <c r="Y39" s="1"/>
      <c r="Z39" s="1"/>
      <c r="AA39" s="1"/>
    </row>
    <row r="40" spans="1:27" ht="12.75" customHeight="1">
      <c r="A40" s="1"/>
      <c r="B40" s="10" t="str">
        <f ca="1">IFERROR(__xludf.DUMMYFUNCTION("""COMPUTED_VALUE"""),"Fondo de Incentivo al Mejoramiento de la Gestión Municipal 2024")</f>
        <v>Fondo de Incentivo al Mejoramiento de la Gestión Municipal 2024</v>
      </c>
      <c r="C40" s="10" t="str">
        <f ca="1">IFERROR(__xludf.DUMMYFUNCTION("""COMPUTED_VALUE"""),"FIGEM-2024-35")</f>
        <v>FIGEM-2024-35</v>
      </c>
      <c r="D40" s="26" t="str">
        <f t="shared" ca="1" si="0"/>
        <v xml:space="preserve"> CONCÓN</v>
      </c>
      <c r="E40" s="10" t="str">
        <f ca="1">IFERROR(__xludf.DUMMYFUNCTION("""COMPUTED_VALUE"""),"Resolución de Transferencia")</f>
        <v>Resolución de Transferencia</v>
      </c>
      <c r="F40" s="10" t="str">
        <f ca="1">IFERROR(__xludf.DUMMYFUNCTION("""COMPUTED_VALUE"""),"MUNICIPALIDAD DE CONCÓN")</f>
        <v>MUNICIPALIDAD DE CONCÓN</v>
      </c>
      <c r="G40" s="71">
        <f ca="1">IFERROR(__xludf.DUMMYFUNCTION("""COMPUTED_VALUE"""),132493879)</f>
        <v>132493879</v>
      </c>
      <c r="H40" s="10" t="str">
        <f ca="1">IFERROR(__xludf.DUMMYFUNCTION("""COMPUTED_VALUE"""),"Resolución")</f>
        <v>Resolución</v>
      </c>
      <c r="I40" s="10" t="str">
        <f ca="1">IFERROR(__xludf.DUMMYFUNCTION("""COMPUTED_VALUE"""),"FONDO DE INCENTIVO AL MEJORAMIENTO DE LA GESTIÓN MUNICIPAL")</f>
        <v>FONDO DE INCENTIVO AL MEJORAMIENTO DE LA GESTIÓN MUNICIPAL</v>
      </c>
      <c r="J40" s="10" t="str">
        <f ca="1">IFERROR(__xludf.DUMMYFUNCTION("""COMPUTED_VALUE"""),"Cumplir con normativa y reglamentos internos del programa en base a los objetivos.")</f>
        <v>Cumplir con normativa y reglamentos internos del programa en base a los objetivos.</v>
      </c>
      <c r="K40" s="71">
        <f ca="1">IFERROR(__xludf.DUMMYFUNCTION("""COMPUTED_VALUE"""),132493879)</f>
        <v>132493879</v>
      </c>
      <c r="L40" s="27">
        <f ca="1">IFERROR(__xludf.DUMMYFUNCTION("""COMPUTED_VALUE"""),1)</f>
        <v>1</v>
      </c>
      <c r="M40" s="10" t="str">
        <f ca="1">IFERROR(__xludf.DUMMYFUNCTION("""COMPUTED_VALUE"""),"19/2024")</f>
        <v>19/2024</v>
      </c>
      <c r="N40" s="10" t="str">
        <f ca="1">IFERROR(__xludf.DUMMYFUNCTION("""COMPUTED_VALUE"""),"FIGEM")</f>
        <v>FIGEM</v>
      </c>
      <c r="O40" s="59"/>
      <c r="P40" s="1"/>
      <c r="Q40" s="1"/>
      <c r="R40" s="1"/>
      <c r="S40" s="1"/>
      <c r="T40" s="1"/>
      <c r="U40" s="1"/>
      <c r="V40" s="1"/>
      <c r="W40" s="1"/>
      <c r="X40" s="1"/>
      <c r="Y40" s="1"/>
      <c r="Z40" s="1"/>
      <c r="AA40" s="1"/>
    </row>
    <row r="41" spans="1:27" ht="12.75" customHeight="1">
      <c r="A41" s="1"/>
      <c r="B41" s="10" t="str">
        <f ca="1">IFERROR(__xludf.DUMMYFUNCTION("""COMPUTED_VALUE"""),"Fondo de Incentivo al Mejoramiento de la Gestión Municipal 2024")</f>
        <v>Fondo de Incentivo al Mejoramiento de la Gestión Municipal 2024</v>
      </c>
      <c r="C41" s="10" t="str">
        <f ca="1">IFERROR(__xludf.DUMMYFUNCTION("""COMPUTED_VALUE"""),"FIGEM-2024-168")</f>
        <v>FIGEM-2024-168</v>
      </c>
      <c r="D41" s="26" t="str">
        <f t="shared" ca="1" si="0"/>
        <v xml:space="preserve"> JUAN FERNÁNDEZ</v>
      </c>
      <c r="E41" s="10" t="str">
        <f ca="1">IFERROR(__xludf.DUMMYFUNCTION("""COMPUTED_VALUE"""),"Resolución de Transferencia")</f>
        <v>Resolución de Transferencia</v>
      </c>
      <c r="F41" s="10" t="str">
        <f ca="1">IFERROR(__xludf.DUMMYFUNCTION("""COMPUTED_VALUE"""),"MUNICIPALIDAD DE JUAN FERNÁNDEZ")</f>
        <v>MUNICIPALIDAD DE JUAN FERNÁNDEZ</v>
      </c>
      <c r="G41" s="71">
        <f ca="1">IFERROR(__xludf.DUMMYFUNCTION("""COMPUTED_VALUE"""),88339235)</f>
        <v>88339235</v>
      </c>
      <c r="H41" s="10" t="str">
        <f ca="1">IFERROR(__xludf.DUMMYFUNCTION("""COMPUTED_VALUE"""),"Resolución")</f>
        <v>Resolución</v>
      </c>
      <c r="I41" s="10" t="str">
        <f ca="1">IFERROR(__xludf.DUMMYFUNCTION("""COMPUTED_VALUE"""),"FONDO DE INCENTIVO AL MEJORAMIENTO DE LA GESTIÓN MUNICIPAL")</f>
        <v>FONDO DE INCENTIVO AL MEJORAMIENTO DE LA GESTIÓN MUNICIPAL</v>
      </c>
      <c r="J41" s="10" t="str">
        <f ca="1">IFERROR(__xludf.DUMMYFUNCTION("""COMPUTED_VALUE"""),"Cumplir con normativa y reglamentos internos del programa en base a los objetivos.")</f>
        <v>Cumplir con normativa y reglamentos internos del programa en base a los objetivos.</v>
      </c>
      <c r="K41" s="71">
        <f ca="1">IFERROR(__xludf.DUMMYFUNCTION("""COMPUTED_VALUE"""),88339235)</f>
        <v>88339235</v>
      </c>
      <c r="L41" s="27">
        <f ca="1">IFERROR(__xludf.DUMMYFUNCTION("""COMPUTED_VALUE"""),1)</f>
        <v>1</v>
      </c>
      <c r="M41" s="10" t="str">
        <f ca="1">IFERROR(__xludf.DUMMYFUNCTION("""COMPUTED_VALUE"""),"19/2024")</f>
        <v>19/2024</v>
      </c>
      <c r="N41" s="10" t="str">
        <f ca="1">IFERROR(__xludf.DUMMYFUNCTION("""COMPUTED_VALUE"""),"FIGEM")</f>
        <v>FIGEM</v>
      </c>
      <c r="O41" s="59"/>
      <c r="P41" s="1"/>
      <c r="Q41" s="1"/>
      <c r="R41" s="1"/>
      <c r="S41" s="1"/>
      <c r="T41" s="1"/>
      <c r="U41" s="1"/>
      <c r="V41" s="1"/>
      <c r="W41" s="1"/>
      <c r="X41" s="1"/>
      <c r="Y41" s="1"/>
      <c r="Z41" s="1"/>
      <c r="AA41" s="1"/>
    </row>
    <row r="42" spans="1:27" ht="12.75" customHeight="1">
      <c r="A42" s="1"/>
      <c r="B42" s="10" t="str">
        <f ca="1">IFERROR(__xludf.DUMMYFUNCTION("""COMPUTED_VALUE"""),"Fondo de Incentivo al Mejoramiento de la Gestión Municipal 2024")</f>
        <v>Fondo de Incentivo al Mejoramiento de la Gestión Municipal 2024</v>
      </c>
      <c r="C42" s="10" t="str">
        <f ca="1">IFERROR(__xludf.DUMMYFUNCTION("""COMPUTED_VALUE"""),"FIGEM-2024-120")</f>
        <v>FIGEM-2024-120</v>
      </c>
      <c r="D42" s="26" t="str">
        <f t="shared" ca="1" si="0"/>
        <v xml:space="preserve"> ISLA DE PASCUA</v>
      </c>
      <c r="E42" s="10" t="str">
        <f ca="1">IFERROR(__xludf.DUMMYFUNCTION("""COMPUTED_VALUE"""),"Resolución de Transferencia")</f>
        <v>Resolución de Transferencia</v>
      </c>
      <c r="F42" s="10" t="str">
        <f ca="1">IFERROR(__xludf.DUMMYFUNCTION("""COMPUTED_VALUE"""),"MUNICIPALIDAD DE ISLA DE PASCUA")</f>
        <v>MUNICIPALIDAD DE ISLA DE PASCUA</v>
      </c>
      <c r="G42" s="71">
        <f ca="1">IFERROR(__xludf.DUMMYFUNCTION("""COMPUTED_VALUE"""),122901722)</f>
        <v>122901722</v>
      </c>
      <c r="H42" s="10" t="str">
        <f ca="1">IFERROR(__xludf.DUMMYFUNCTION("""COMPUTED_VALUE"""),"Resolución")</f>
        <v>Resolución</v>
      </c>
      <c r="I42" s="10" t="str">
        <f ca="1">IFERROR(__xludf.DUMMYFUNCTION("""COMPUTED_VALUE"""),"FONDO DE INCENTIVO AL MEJORAMIENTO DE LA GESTIÓN MUNICIPAL")</f>
        <v>FONDO DE INCENTIVO AL MEJORAMIENTO DE LA GESTIÓN MUNICIPAL</v>
      </c>
      <c r="J42" s="10" t="str">
        <f ca="1">IFERROR(__xludf.DUMMYFUNCTION("""COMPUTED_VALUE"""),"Cumplir con normativa y reglamentos internos del programa en base a los objetivos.")</f>
        <v>Cumplir con normativa y reglamentos internos del programa en base a los objetivos.</v>
      </c>
      <c r="K42" s="71">
        <f ca="1">IFERROR(__xludf.DUMMYFUNCTION("""COMPUTED_VALUE"""),122901722)</f>
        <v>122901722</v>
      </c>
      <c r="L42" s="27">
        <f ca="1">IFERROR(__xludf.DUMMYFUNCTION("""COMPUTED_VALUE"""),1)</f>
        <v>1</v>
      </c>
      <c r="M42" s="10" t="str">
        <f ca="1">IFERROR(__xludf.DUMMYFUNCTION("""COMPUTED_VALUE"""),"19/2024")</f>
        <v>19/2024</v>
      </c>
      <c r="N42" s="10" t="str">
        <f ca="1">IFERROR(__xludf.DUMMYFUNCTION("""COMPUTED_VALUE"""),"FIGEM")</f>
        <v>FIGEM</v>
      </c>
      <c r="O42" s="59"/>
      <c r="P42" s="1"/>
      <c r="Q42" s="1"/>
      <c r="R42" s="1"/>
      <c r="S42" s="1"/>
      <c r="T42" s="1"/>
      <c r="U42" s="1"/>
      <c r="V42" s="1"/>
      <c r="W42" s="1"/>
      <c r="X42" s="1"/>
      <c r="Y42" s="1"/>
      <c r="Z42" s="1"/>
      <c r="AA42" s="1"/>
    </row>
    <row r="43" spans="1:27" ht="12.75" customHeight="1">
      <c r="A43" s="1"/>
      <c r="B43" s="10" t="str">
        <f ca="1">IFERROR(__xludf.DUMMYFUNCTION("""COMPUTED_VALUE"""),"Fondo de Incentivo al Mejoramiento de la Gestión Municipal 2024")</f>
        <v>Fondo de Incentivo al Mejoramiento de la Gestión Municipal 2024</v>
      </c>
      <c r="C43" s="10" t="str">
        <f ca="1">IFERROR(__xludf.DUMMYFUNCTION("""COMPUTED_VALUE"""),"FIGEM-2024-77")</f>
        <v>FIGEM-2024-77</v>
      </c>
      <c r="D43" s="26" t="str">
        <f t="shared" ca="1" si="0"/>
        <v xml:space="preserve"> CALLE LARGA</v>
      </c>
      <c r="E43" s="10" t="str">
        <f ca="1">IFERROR(__xludf.DUMMYFUNCTION("""COMPUTED_VALUE"""),"Resolución de Transferencia")</f>
        <v>Resolución de Transferencia</v>
      </c>
      <c r="F43" s="10" t="str">
        <f ca="1">IFERROR(__xludf.DUMMYFUNCTION("""COMPUTED_VALUE"""),"MUNICIPALIDAD DE CALLE LARGA")</f>
        <v>MUNICIPALIDAD DE CALLE LARGA</v>
      </c>
      <c r="G43" s="71">
        <f ca="1">IFERROR(__xludf.DUMMYFUNCTION("""COMPUTED_VALUE"""),91539333)</f>
        <v>91539333</v>
      </c>
      <c r="H43" s="10" t="str">
        <f ca="1">IFERROR(__xludf.DUMMYFUNCTION("""COMPUTED_VALUE"""),"Resolución")</f>
        <v>Resolución</v>
      </c>
      <c r="I43" s="10" t="str">
        <f ca="1">IFERROR(__xludf.DUMMYFUNCTION("""COMPUTED_VALUE"""),"FONDO DE INCENTIVO AL MEJORAMIENTO DE LA GESTIÓN MUNICIPAL")</f>
        <v>FONDO DE INCENTIVO AL MEJORAMIENTO DE LA GESTIÓN MUNICIPAL</v>
      </c>
      <c r="J43" s="10" t="str">
        <f ca="1">IFERROR(__xludf.DUMMYFUNCTION("""COMPUTED_VALUE"""),"Cumplir con normativa y reglamentos internos del programa en base a los objetivos.")</f>
        <v>Cumplir con normativa y reglamentos internos del programa en base a los objetivos.</v>
      </c>
      <c r="K43" s="71">
        <f ca="1">IFERROR(__xludf.DUMMYFUNCTION("""COMPUTED_VALUE"""),91539333)</f>
        <v>91539333</v>
      </c>
      <c r="L43" s="27">
        <f ca="1">IFERROR(__xludf.DUMMYFUNCTION("""COMPUTED_VALUE"""),1)</f>
        <v>1</v>
      </c>
      <c r="M43" s="10" t="str">
        <f ca="1">IFERROR(__xludf.DUMMYFUNCTION("""COMPUTED_VALUE"""),"19/2024")</f>
        <v>19/2024</v>
      </c>
      <c r="N43" s="10" t="str">
        <f ca="1">IFERROR(__xludf.DUMMYFUNCTION("""COMPUTED_VALUE"""),"FIGEM")</f>
        <v>FIGEM</v>
      </c>
      <c r="O43" s="59"/>
      <c r="P43" s="1"/>
      <c r="Q43" s="1"/>
      <c r="R43" s="1"/>
      <c r="S43" s="1"/>
      <c r="T43" s="1"/>
      <c r="U43" s="1"/>
      <c r="V43" s="1"/>
      <c r="W43" s="1"/>
      <c r="X43" s="1"/>
      <c r="Y43" s="1"/>
      <c r="Z43" s="1"/>
      <c r="AA43" s="1"/>
    </row>
    <row r="44" spans="1:27" ht="12.75" customHeight="1">
      <c r="A44" s="1"/>
      <c r="B44" s="10" t="str">
        <f ca="1">IFERROR(__xludf.DUMMYFUNCTION("""COMPUTED_VALUE"""),"Fondo de Incentivo al Mejoramiento de la Gestión Municipal 2024")</f>
        <v>Fondo de Incentivo al Mejoramiento de la Gestión Municipal 2024</v>
      </c>
      <c r="C44" s="10" t="str">
        <f ca="1">IFERROR(__xludf.DUMMYFUNCTION("""COMPUTED_VALUE"""),"FIGEM-2024-84")</f>
        <v>FIGEM-2024-84</v>
      </c>
      <c r="D44" s="26" t="str">
        <f t="shared" ca="1" si="0"/>
        <v xml:space="preserve"> PAPUDO</v>
      </c>
      <c r="E44" s="10" t="str">
        <f ca="1">IFERROR(__xludf.DUMMYFUNCTION("""COMPUTED_VALUE"""),"Resolución de Transferencia")</f>
        <v>Resolución de Transferencia</v>
      </c>
      <c r="F44" s="10" t="str">
        <f ca="1">IFERROR(__xludf.DUMMYFUNCTION("""COMPUTED_VALUE"""),"MUNICIPALIDAD DE PAPUDO")</f>
        <v>MUNICIPALIDAD DE PAPUDO</v>
      </c>
      <c r="G44" s="71">
        <f ca="1">IFERROR(__xludf.DUMMYFUNCTION("""COMPUTED_VALUE"""),90640022)</f>
        <v>90640022</v>
      </c>
      <c r="H44" s="10" t="str">
        <f ca="1">IFERROR(__xludf.DUMMYFUNCTION("""COMPUTED_VALUE"""),"Resolución")</f>
        <v>Resolución</v>
      </c>
      <c r="I44" s="10" t="str">
        <f ca="1">IFERROR(__xludf.DUMMYFUNCTION("""COMPUTED_VALUE"""),"FONDO DE INCENTIVO AL MEJORAMIENTO DE LA GESTIÓN MUNICIPAL")</f>
        <v>FONDO DE INCENTIVO AL MEJORAMIENTO DE LA GESTIÓN MUNICIPAL</v>
      </c>
      <c r="J44" s="10" t="str">
        <f ca="1">IFERROR(__xludf.DUMMYFUNCTION("""COMPUTED_VALUE"""),"Cumplir con normativa y reglamentos internos del programa en base a los objetivos.")</f>
        <v>Cumplir con normativa y reglamentos internos del programa en base a los objetivos.</v>
      </c>
      <c r="K44" s="71">
        <f ca="1">IFERROR(__xludf.DUMMYFUNCTION("""COMPUTED_VALUE"""),90640022)</f>
        <v>90640022</v>
      </c>
      <c r="L44" s="27">
        <f ca="1">IFERROR(__xludf.DUMMYFUNCTION("""COMPUTED_VALUE"""),1)</f>
        <v>1</v>
      </c>
      <c r="M44" s="10" t="str">
        <f ca="1">IFERROR(__xludf.DUMMYFUNCTION("""COMPUTED_VALUE"""),"19/2024")</f>
        <v>19/2024</v>
      </c>
      <c r="N44" s="10" t="str">
        <f ca="1">IFERROR(__xludf.DUMMYFUNCTION("""COMPUTED_VALUE"""),"FIGEM")</f>
        <v>FIGEM</v>
      </c>
      <c r="O44" s="59"/>
      <c r="P44" s="1"/>
      <c r="Q44" s="1"/>
      <c r="R44" s="1"/>
      <c r="S44" s="1"/>
      <c r="T44" s="1"/>
      <c r="U44" s="1"/>
      <c r="V44" s="1"/>
      <c r="W44" s="1"/>
      <c r="X44" s="1"/>
      <c r="Y44" s="1"/>
      <c r="Z44" s="1"/>
      <c r="AA44" s="1"/>
    </row>
    <row r="45" spans="1:27" ht="12.75" customHeight="1">
      <c r="A45" s="1"/>
      <c r="B45" s="10" t="str">
        <f ca="1">IFERROR(__xludf.DUMMYFUNCTION("""COMPUTED_VALUE"""),"Fondo de Incentivo al Mejoramiento de la Gestión Municipal 2024")</f>
        <v>Fondo de Incentivo al Mejoramiento de la Gestión Municipal 2024</v>
      </c>
      <c r="C45" s="10" t="str">
        <f ca="1">IFERROR(__xludf.DUMMYFUNCTION("""COMPUTED_VALUE"""),"FIGEM-2024-130")</f>
        <v>FIGEM-2024-130</v>
      </c>
      <c r="D45" s="26" t="str">
        <f t="shared" ca="1" si="0"/>
        <v xml:space="preserve"> PETORCA</v>
      </c>
      <c r="E45" s="10" t="str">
        <f ca="1">IFERROR(__xludf.DUMMYFUNCTION("""COMPUTED_VALUE"""),"Resolución de Transferencia")</f>
        <v>Resolución de Transferencia</v>
      </c>
      <c r="F45" s="10" t="str">
        <f ca="1">IFERROR(__xludf.DUMMYFUNCTION("""COMPUTED_VALUE"""),"MUNICIPALIDAD DE PETORCA")</f>
        <v>MUNICIPALIDAD DE PETORCA</v>
      </c>
      <c r="G45" s="71">
        <f ca="1">IFERROR(__xludf.DUMMYFUNCTION("""COMPUTED_VALUE"""),94798085)</f>
        <v>94798085</v>
      </c>
      <c r="H45" s="10" t="str">
        <f ca="1">IFERROR(__xludf.DUMMYFUNCTION("""COMPUTED_VALUE"""),"Resolución")</f>
        <v>Resolución</v>
      </c>
      <c r="I45" s="10" t="str">
        <f ca="1">IFERROR(__xludf.DUMMYFUNCTION("""COMPUTED_VALUE"""),"FONDO DE INCENTIVO AL MEJORAMIENTO DE LA GESTIÓN MUNICIPAL")</f>
        <v>FONDO DE INCENTIVO AL MEJORAMIENTO DE LA GESTIÓN MUNICIPAL</v>
      </c>
      <c r="J45" s="10" t="str">
        <f ca="1">IFERROR(__xludf.DUMMYFUNCTION("""COMPUTED_VALUE"""),"Cumplir con normativa y reglamentos internos del programa en base a los objetivos.")</f>
        <v>Cumplir con normativa y reglamentos internos del programa en base a los objetivos.</v>
      </c>
      <c r="K45" s="71">
        <f ca="1">IFERROR(__xludf.DUMMYFUNCTION("""COMPUTED_VALUE"""),94798085)</f>
        <v>94798085</v>
      </c>
      <c r="L45" s="27">
        <f ca="1">IFERROR(__xludf.DUMMYFUNCTION("""COMPUTED_VALUE"""),1)</f>
        <v>1</v>
      </c>
      <c r="M45" s="10" t="str">
        <f ca="1">IFERROR(__xludf.DUMMYFUNCTION("""COMPUTED_VALUE"""),"19/2024")</f>
        <v>19/2024</v>
      </c>
      <c r="N45" s="10" t="str">
        <f ca="1">IFERROR(__xludf.DUMMYFUNCTION("""COMPUTED_VALUE"""),"FIGEM")</f>
        <v>FIGEM</v>
      </c>
      <c r="O45" s="59"/>
      <c r="P45" s="1"/>
      <c r="Q45" s="1"/>
      <c r="R45" s="1"/>
      <c r="S45" s="1"/>
      <c r="T45" s="1"/>
      <c r="U45" s="1"/>
      <c r="V45" s="1"/>
      <c r="W45" s="1"/>
      <c r="X45" s="1"/>
      <c r="Y45" s="1"/>
      <c r="Z45" s="1"/>
      <c r="AA45" s="1"/>
    </row>
    <row r="46" spans="1:27" ht="12.75" customHeight="1">
      <c r="A46" s="1"/>
      <c r="B46" s="10" t="str">
        <f ca="1">IFERROR(__xludf.DUMMYFUNCTION("""COMPUTED_VALUE"""),"Fondo de Incentivo al Mejoramiento de la Gestión Municipal 2024")</f>
        <v>Fondo de Incentivo al Mejoramiento de la Gestión Municipal 2024</v>
      </c>
      <c r="C46" s="10" t="str">
        <f ca="1">IFERROR(__xludf.DUMMYFUNCTION("""COMPUTED_VALUE"""),"FIGEM-2024-91")</f>
        <v>FIGEM-2024-91</v>
      </c>
      <c r="D46" s="26" t="str">
        <f t="shared" ca="1" si="0"/>
        <v xml:space="preserve"> ZAPALLAR</v>
      </c>
      <c r="E46" s="10" t="str">
        <f ca="1">IFERROR(__xludf.DUMMYFUNCTION("""COMPUTED_VALUE"""),"Resolución de Transferencia")</f>
        <v>Resolución de Transferencia</v>
      </c>
      <c r="F46" s="10" t="str">
        <f ca="1">IFERROR(__xludf.DUMMYFUNCTION("""COMPUTED_VALUE"""),"MUNICIPALIDAD DE ZAPALLAR")</f>
        <v>MUNICIPALIDAD DE ZAPALLAR</v>
      </c>
      <c r="G46" s="71">
        <f ca="1">IFERROR(__xludf.DUMMYFUNCTION("""COMPUTED_VALUE"""),89233119)</f>
        <v>89233119</v>
      </c>
      <c r="H46" s="10" t="str">
        <f ca="1">IFERROR(__xludf.DUMMYFUNCTION("""COMPUTED_VALUE"""),"Resolución")</f>
        <v>Resolución</v>
      </c>
      <c r="I46" s="10" t="str">
        <f ca="1">IFERROR(__xludf.DUMMYFUNCTION("""COMPUTED_VALUE"""),"FONDO DE INCENTIVO AL MEJORAMIENTO DE LA GESTIÓN MUNICIPAL")</f>
        <v>FONDO DE INCENTIVO AL MEJORAMIENTO DE LA GESTIÓN MUNICIPAL</v>
      </c>
      <c r="J46" s="10" t="str">
        <f ca="1">IFERROR(__xludf.DUMMYFUNCTION("""COMPUTED_VALUE"""),"Cumplir con normativa y reglamentos internos del programa en base a los objetivos.")</f>
        <v>Cumplir con normativa y reglamentos internos del programa en base a los objetivos.</v>
      </c>
      <c r="K46" s="71">
        <f ca="1">IFERROR(__xludf.DUMMYFUNCTION("""COMPUTED_VALUE"""),89233119)</f>
        <v>89233119</v>
      </c>
      <c r="L46" s="27">
        <f ca="1">IFERROR(__xludf.DUMMYFUNCTION("""COMPUTED_VALUE"""),1)</f>
        <v>1</v>
      </c>
      <c r="M46" s="10" t="str">
        <f ca="1">IFERROR(__xludf.DUMMYFUNCTION("""COMPUTED_VALUE"""),"19/2024")</f>
        <v>19/2024</v>
      </c>
      <c r="N46" s="10" t="str">
        <f ca="1">IFERROR(__xludf.DUMMYFUNCTION("""COMPUTED_VALUE"""),"FIGEM")</f>
        <v>FIGEM</v>
      </c>
      <c r="O46" s="59"/>
      <c r="P46" s="1"/>
      <c r="Q46" s="1"/>
      <c r="R46" s="1"/>
      <c r="S46" s="1"/>
      <c r="T46" s="1"/>
      <c r="U46" s="1"/>
      <c r="V46" s="1"/>
      <c r="W46" s="1"/>
      <c r="X46" s="1"/>
      <c r="Y46" s="1"/>
      <c r="Z46" s="1"/>
      <c r="AA46" s="1"/>
    </row>
    <row r="47" spans="1:27" ht="12.75" customHeight="1">
      <c r="A47" s="1"/>
      <c r="B47" s="10" t="str">
        <f ca="1">IFERROR(__xludf.DUMMYFUNCTION("""COMPUTED_VALUE"""),"Fondo de Incentivo al Mejoramiento de la Gestión Municipal 2024")</f>
        <v>Fondo de Incentivo al Mejoramiento de la Gestión Municipal 2024</v>
      </c>
      <c r="C47" s="10" t="str">
        <f ca="1">IFERROR(__xludf.DUMMYFUNCTION("""COMPUTED_VALUE"""),"FIGEM-2024-32")</f>
        <v>FIGEM-2024-32</v>
      </c>
      <c r="D47" s="26" t="str">
        <f t="shared" ca="1" si="0"/>
        <v xml:space="preserve"> QUILLOTA</v>
      </c>
      <c r="E47" s="10" t="str">
        <f ca="1">IFERROR(__xludf.DUMMYFUNCTION("""COMPUTED_VALUE"""),"Resolución de Transferencia")</f>
        <v>Resolución de Transferencia</v>
      </c>
      <c r="F47" s="10" t="str">
        <f ca="1">IFERROR(__xludf.DUMMYFUNCTION("""COMPUTED_VALUE"""),"MUNICIPALIDAD DE QUILLOTA")</f>
        <v>MUNICIPALIDAD DE QUILLOTA</v>
      </c>
      <c r="G47" s="71">
        <f ca="1">IFERROR(__xludf.DUMMYFUNCTION("""COMPUTED_VALUE"""),136116121)</f>
        <v>136116121</v>
      </c>
      <c r="H47" s="10" t="str">
        <f ca="1">IFERROR(__xludf.DUMMYFUNCTION("""COMPUTED_VALUE"""),"Resolución")</f>
        <v>Resolución</v>
      </c>
      <c r="I47" s="10" t="str">
        <f ca="1">IFERROR(__xludf.DUMMYFUNCTION("""COMPUTED_VALUE"""),"FONDO DE INCENTIVO AL MEJORAMIENTO DE LA GESTIÓN MUNICIPAL")</f>
        <v>FONDO DE INCENTIVO AL MEJORAMIENTO DE LA GESTIÓN MUNICIPAL</v>
      </c>
      <c r="J47" s="10" t="str">
        <f ca="1">IFERROR(__xludf.DUMMYFUNCTION("""COMPUTED_VALUE"""),"Cumplir con normativa y reglamentos internos del programa en base a los objetivos.")</f>
        <v>Cumplir con normativa y reglamentos internos del programa en base a los objetivos.</v>
      </c>
      <c r="K47" s="71">
        <f ca="1">IFERROR(__xludf.DUMMYFUNCTION("""COMPUTED_VALUE"""),136116121)</f>
        <v>136116121</v>
      </c>
      <c r="L47" s="27">
        <f ca="1">IFERROR(__xludf.DUMMYFUNCTION("""COMPUTED_VALUE"""),1)</f>
        <v>1</v>
      </c>
      <c r="M47" s="10" t="str">
        <f ca="1">IFERROR(__xludf.DUMMYFUNCTION("""COMPUTED_VALUE"""),"19/2024")</f>
        <v>19/2024</v>
      </c>
      <c r="N47" s="10" t="str">
        <f ca="1">IFERROR(__xludf.DUMMYFUNCTION("""COMPUTED_VALUE"""),"FIGEM")</f>
        <v>FIGEM</v>
      </c>
      <c r="O47" s="59"/>
      <c r="P47" s="1"/>
      <c r="Q47" s="1"/>
      <c r="R47" s="1"/>
      <c r="S47" s="1"/>
      <c r="T47" s="1"/>
      <c r="U47" s="1"/>
      <c r="V47" s="1"/>
      <c r="W47" s="1"/>
      <c r="X47" s="1"/>
      <c r="Y47" s="1"/>
      <c r="Z47" s="1"/>
      <c r="AA47" s="1"/>
    </row>
    <row r="48" spans="1:27" ht="12.75" customHeight="1">
      <c r="A48" s="1"/>
      <c r="B48" s="10" t="str">
        <f ca="1">IFERROR(__xludf.DUMMYFUNCTION("""COMPUTED_VALUE"""),"Fondo de Incentivo al Mejoramiento de la Gestión Municipal 2024")</f>
        <v>Fondo de Incentivo al Mejoramiento de la Gestión Municipal 2024</v>
      </c>
      <c r="C48" s="10" t="str">
        <f ca="1">IFERROR(__xludf.DUMMYFUNCTION("""COMPUTED_VALUE"""),"FIGEM-2024-60")</f>
        <v>FIGEM-2024-60</v>
      </c>
      <c r="D48" s="26" t="str">
        <f t="shared" ca="1" si="0"/>
        <v xml:space="preserve"> HIJUELAS</v>
      </c>
      <c r="E48" s="10" t="str">
        <f ca="1">IFERROR(__xludf.DUMMYFUNCTION("""COMPUTED_VALUE"""),"Resolución de Transferencia")</f>
        <v>Resolución de Transferencia</v>
      </c>
      <c r="F48" s="10" t="str">
        <f ca="1">IFERROR(__xludf.DUMMYFUNCTION("""COMPUTED_VALUE"""),"MUNICIPALIDAD DE HIJUELAS")</f>
        <v>MUNICIPALIDAD DE HIJUELAS</v>
      </c>
      <c r="G48" s="71">
        <f ca="1">IFERROR(__xludf.DUMMYFUNCTION("""COMPUTED_VALUE"""),119725276)</f>
        <v>119725276</v>
      </c>
      <c r="H48" s="10" t="str">
        <f ca="1">IFERROR(__xludf.DUMMYFUNCTION("""COMPUTED_VALUE"""),"Resolución")</f>
        <v>Resolución</v>
      </c>
      <c r="I48" s="10" t="str">
        <f ca="1">IFERROR(__xludf.DUMMYFUNCTION("""COMPUTED_VALUE"""),"FONDO DE INCENTIVO AL MEJORAMIENTO DE LA GESTIÓN MUNICIPAL")</f>
        <v>FONDO DE INCENTIVO AL MEJORAMIENTO DE LA GESTIÓN MUNICIPAL</v>
      </c>
      <c r="J48" s="10" t="str">
        <f ca="1">IFERROR(__xludf.DUMMYFUNCTION("""COMPUTED_VALUE"""),"Cumplir con normativa y reglamentos internos del programa en base a los objetivos.")</f>
        <v>Cumplir con normativa y reglamentos internos del programa en base a los objetivos.</v>
      </c>
      <c r="K48" s="71">
        <f ca="1">IFERROR(__xludf.DUMMYFUNCTION("""COMPUTED_VALUE"""),119725276)</f>
        <v>119725276</v>
      </c>
      <c r="L48" s="27">
        <f ca="1">IFERROR(__xludf.DUMMYFUNCTION("""COMPUTED_VALUE"""),1)</f>
        <v>1</v>
      </c>
      <c r="M48" s="10" t="str">
        <f ca="1">IFERROR(__xludf.DUMMYFUNCTION("""COMPUTED_VALUE"""),"19/2024")</f>
        <v>19/2024</v>
      </c>
      <c r="N48" s="10" t="str">
        <f ca="1">IFERROR(__xludf.DUMMYFUNCTION("""COMPUTED_VALUE"""),"FIGEM")</f>
        <v>FIGEM</v>
      </c>
      <c r="O48" s="59"/>
      <c r="P48" s="1"/>
      <c r="Q48" s="1"/>
      <c r="R48" s="1"/>
      <c r="S48" s="1"/>
      <c r="T48" s="1"/>
      <c r="U48" s="1"/>
      <c r="V48" s="1"/>
      <c r="W48" s="1"/>
      <c r="X48" s="1"/>
      <c r="Y48" s="1"/>
      <c r="Z48" s="1"/>
      <c r="AA48" s="1"/>
    </row>
    <row r="49" spans="1:27" ht="12.75" customHeight="1">
      <c r="A49" s="1"/>
      <c r="B49" s="10" t="str">
        <f ca="1">IFERROR(__xludf.DUMMYFUNCTION("""COMPUTED_VALUE"""),"Fondo de Incentivo al Mejoramiento de la Gestión Municipal 2024")</f>
        <v>Fondo de Incentivo al Mejoramiento de la Gestión Municipal 2024</v>
      </c>
      <c r="C49" s="10" t="str">
        <f ca="1">IFERROR(__xludf.DUMMYFUNCTION("""COMPUTED_VALUE"""),"FIGEM-2024-27")</f>
        <v>FIGEM-2024-27</v>
      </c>
      <c r="D49" s="26" t="str">
        <f t="shared" ca="1" si="0"/>
        <v xml:space="preserve"> LA CRUZ</v>
      </c>
      <c r="E49" s="10" t="str">
        <f ca="1">IFERROR(__xludf.DUMMYFUNCTION("""COMPUTED_VALUE"""),"Resolución de Transferencia")</f>
        <v>Resolución de Transferencia</v>
      </c>
      <c r="F49" s="10" t="str">
        <f ca="1">IFERROR(__xludf.DUMMYFUNCTION("""COMPUTED_VALUE"""),"MUNICIPALIDAD DE LA CRUZ")</f>
        <v>MUNICIPALIDAD DE LA CRUZ</v>
      </c>
      <c r="G49" s="71">
        <f ca="1">IFERROR(__xludf.DUMMYFUNCTION("""COMPUTED_VALUE"""),141115357)</f>
        <v>141115357</v>
      </c>
      <c r="H49" s="10" t="str">
        <f ca="1">IFERROR(__xludf.DUMMYFUNCTION("""COMPUTED_VALUE"""),"Resolución")</f>
        <v>Resolución</v>
      </c>
      <c r="I49" s="10" t="str">
        <f ca="1">IFERROR(__xludf.DUMMYFUNCTION("""COMPUTED_VALUE"""),"FONDO DE INCENTIVO AL MEJORAMIENTO DE LA GESTIÓN MUNICIPAL")</f>
        <v>FONDO DE INCENTIVO AL MEJORAMIENTO DE LA GESTIÓN MUNICIPAL</v>
      </c>
      <c r="J49" s="10" t="str">
        <f ca="1">IFERROR(__xludf.DUMMYFUNCTION("""COMPUTED_VALUE"""),"Cumplir con normativa y reglamentos internos del programa en base a los objetivos.")</f>
        <v>Cumplir con normativa y reglamentos internos del programa en base a los objetivos.</v>
      </c>
      <c r="K49" s="71">
        <f ca="1">IFERROR(__xludf.DUMMYFUNCTION("""COMPUTED_VALUE"""),141115357)</f>
        <v>141115357</v>
      </c>
      <c r="L49" s="27">
        <f ca="1">IFERROR(__xludf.DUMMYFUNCTION("""COMPUTED_VALUE"""),1)</f>
        <v>1</v>
      </c>
      <c r="M49" s="10" t="str">
        <f ca="1">IFERROR(__xludf.DUMMYFUNCTION("""COMPUTED_VALUE"""),"19/2024")</f>
        <v>19/2024</v>
      </c>
      <c r="N49" s="10" t="str">
        <f ca="1">IFERROR(__xludf.DUMMYFUNCTION("""COMPUTED_VALUE"""),"FIGEM")</f>
        <v>FIGEM</v>
      </c>
      <c r="O49" s="59"/>
      <c r="P49" s="1"/>
      <c r="Q49" s="1"/>
      <c r="R49" s="1"/>
      <c r="S49" s="1"/>
      <c r="T49" s="1"/>
      <c r="U49" s="1"/>
      <c r="V49" s="1"/>
      <c r="W49" s="1"/>
      <c r="X49" s="1"/>
      <c r="Y49" s="1"/>
      <c r="Z49" s="1"/>
      <c r="AA49" s="1"/>
    </row>
    <row r="50" spans="1:27" ht="12.75" customHeight="1">
      <c r="A50" s="1"/>
      <c r="B50" s="10" t="str">
        <f ca="1">IFERROR(__xludf.DUMMYFUNCTION("""COMPUTED_VALUE"""),"Fondo de Incentivo al Mejoramiento de la Gestión Municipal 2024")</f>
        <v>Fondo de Incentivo al Mejoramiento de la Gestión Municipal 2024</v>
      </c>
      <c r="C50" s="10" t="str">
        <f ca="1">IFERROR(__xludf.DUMMYFUNCTION("""COMPUTED_VALUE"""),"FIGEM-2024-40")</f>
        <v>FIGEM-2024-40</v>
      </c>
      <c r="D50" s="26" t="str">
        <f t="shared" ca="1" si="0"/>
        <v xml:space="preserve"> SAN ANTONIO</v>
      </c>
      <c r="E50" s="10" t="str">
        <f ca="1">IFERROR(__xludf.DUMMYFUNCTION("""COMPUTED_VALUE"""),"Resolución de Transferencia")</f>
        <v>Resolución de Transferencia</v>
      </c>
      <c r="F50" s="10" t="str">
        <f ca="1">IFERROR(__xludf.DUMMYFUNCTION("""COMPUTED_VALUE"""),"MUNICIPALIDAD DE SAN ANTONIO")</f>
        <v>MUNICIPALIDAD DE SAN ANTONIO</v>
      </c>
      <c r="G50" s="71">
        <f ca="1">IFERROR(__xludf.DUMMYFUNCTION("""COMPUTED_VALUE"""),129581002)</f>
        <v>129581002</v>
      </c>
      <c r="H50" s="10" t="str">
        <f ca="1">IFERROR(__xludf.DUMMYFUNCTION("""COMPUTED_VALUE"""),"Resolución")</f>
        <v>Resolución</v>
      </c>
      <c r="I50" s="10" t="str">
        <f ca="1">IFERROR(__xludf.DUMMYFUNCTION("""COMPUTED_VALUE"""),"FONDO DE INCENTIVO AL MEJORAMIENTO DE LA GESTIÓN MUNICIPAL")</f>
        <v>FONDO DE INCENTIVO AL MEJORAMIENTO DE LA GESTIÓN MUNICIPAL</v>
      </c>
      <c r="J50" s="10" t="str">
        <f ca="1">IFERROR(__xludf.DUMMYFUNCTION("""COMPUTED_VALUE"""),"Cumplir con normativa y reglamentos internos del programa en base a los objetivos.")</f>
        <v>Cumplir con normativa y reglamentos internos del programa en base a los objetivos.</v>
      </c>
      <c r="K50" s="71">
        <f ca="1">IFERROR(__xludf.DUMMYFUNCTION("""COMPUTED_VALUE"""),129581002)</f>
        <v>129581002</v>
      </c>
      <c r="L50" s="27">
        <f ca="1">IFERROR(__xludf.DUMMYFUNCTION("""COMPUTED_VALUE"""),1)</f>
        <v>1</v>
      </c>
      <c r="M50" s="10" t="str">
        <f ca="1">IFERROR(__xludf.DUMMYFUNCTION("""COMPUTED_VALUE"""),"19/2024")</f>
        <v>19/2024</v>
      </c>
      <c r="N50" s="10" t="str">
        <f ca="1">IFERROR(__xludf.DUMMYFUNCTION("""COMPUTED_VALUE"""),"FIGEM")</f>
        <v>FIGEM</v>
      </c>
      <c r="O50" s="59"/>
      <c r="P50" s="1"/>
      <c r="Q50" s="1"/>
      <c r="R50" s="1"/>
      <c r="S50" s="1"/>
      <c r="T50" s="1"/>
      <c r="U50" s="1"/>
      <c r="V50" s="1"/>
      <c r="W50" s="1"/>
      <c r="X50" s="1"/>
      <c r="Y50" s="1"/>
      <c r="Z50" s="1"/>
      <c r="AA50" s="1"/>
    </row>
    <row r="51" spans="1:27" ht="12.75" customHeight="1">
      <c r="A51" s="1"/>
      <c r="B51" s="10" t="str">
        <f ca="1">IFERROR(__xludf.DUMMYFUNCTION("""COMPUTED_VALUE"""),"Fondo de Incentivo al Mejoramiento de la Gestión Municipal 2024")</f>
        <v>Fondo de Incentivo al Mejoramiento de la Gestión Municipal 2024</v>
      </c>
      <c r="C51" s="10" t="str">
        <f ca="1">IFERROR(__xludf.DUMMYFUNCTION("""COMPUTED_VALUE"""),"FIGEM-2024-39")</f>
        <v>FIGEM-2024-39</v>
      </c>
      <c r="D51" s="26" t="str">
        <f t="shared" ca="1" si="0"/>
        <v xml:space="preserve"> CARTAGENA</v>
      </c>
      <c r="E51" s="10" t="str">
        <f ca="1">IFERROR(__xludf.DUMMYFUNCTION("""COMPUTED_VALUE"""),"Resolución de Transferencia")</f>
        <v>Resolución de Transferencia</v>
      </c>
      <c r="F51" s="10" t="str">
        <f ca="1">IFERROR(__xludf.DUMMYFUNCTION("""COMPUTED_VALUE"""),"MUNICIPALIDAD DE CARTAGENA")</f>
        <v>MUNICIPALIDAD DE CARTAGENA</v>
      </c>
      <c r="G51" s="71">
        <f ca="1">IFERROR(__xludf.DUMMYFUNCTION("""COMPUTED_VALUE"""),130061928)</f>
        <v>130061928</v>
      </c>
      <c r="H51" s="10" t="str">
        <f ca="1">IFERROR(__xludf.DUMMYFUNCTION("""COMPUTED_VALUE"""),"Resolución")</f>
        <v>Resolución</v>
      </c>
      <c r="I51" s="10" t="str">
        <f ca="1">IFERROR(__xludf.DUMMYFUNCTION("""COMPUTED_VALUE"""),"FONDO DE INCENTIVO AL MEJORAMIENTO DE LA GESTIÓN MUNICIPAL")</f>
        <v>FONDO DE INCENTIVO AL MEJORAMIENTO DE LA GESTIÓN MUNICIPAL</v>
      </c>
      <c r="J51" s="10" t="str">
        <f ca="1">IFERROR(__xludf.DUMMYFUNCTION("""COMPUTED_VALUE"""),"Cumplir con normativa y reglamentos internos del programa en base a los objetivos.")</f>
        <v>Cumplir con normativa y reglamentos internos del programa en base a los objetivos.</v>
      </c>
      <c r="K51" s="71">
        <f ca="1">IFERROR(__xludf.DUMMYFUNCTION("""COMPUTED_VALUE"""),130061928)</f>
        <v>130061928</v>
      </c>
      <c r="L51" s="27">
        <f ca="1">IFERROR(__xludf.DUMMYFUNCTION("""COMPUTED_VALUE"""),1)</f>
        <v>1</v>
      </c>
      <c r="M51" s="10" t="str">
        <f ca="1">IFERROR(__xludf.DUMMYFUNCTION("""COMPUTED_VALUE"""),"19/2024")</f>
        <v>19/2024</v>
      </c>
      <c r="N51" s="10" t="str">
        <f ca="1">IFERROR(__xludf.DUMMYFUNCTION("""COMPUTED_VALUE"""),"FIGEM")</f>
        <v>FIGEM</v>
      </c>
      <c r="O51" s="59"/>
      <c r="P51" s="1"/>
      <c r="Q51" s="1"/>
      <c r="R51" s="1"/>
      <c r="S51" s="1"/>
      <c r="T51" s="1"/>
      <c r="U51" s="1"/>
      <c r="V51" s="1"/>
      <c r="W51" s="1"/>
      <c r="X51" s="1"/>
      <c r="Y51" s="1"/>
      <c r="Z51" s="1"/>
      <c r="AA51" s="1"/>
    </row>
    <row r="52" spans="1:27" ht="12.75" customHeight="1">
      <c r="A52" s="1"/>
      <c r="B52" s="10" t="str">
        <f ca="1">IFERROR(__xludf.DUMMYFUNCTION("""COMPUTED_VALUE"""),"Fondo de Incentivo al Mejoramiento de la Gestión Municipal 2024")</f>
        <v>Fondo de Incentivo al Mejoramiento de la Gestión Municipal 2024</v>
      </c>
      <c r="C52" s="10" t="str">
        <f ca="1">IFERROR(__xludf.DUMMYFUNCTION("""COMPUTED_VALUE"""),"FIGEM-2024-52")</f>
        <v>FIGEM-2024-52</v>
      </c>
      <c r="D52" s="26" t="str">
        <f t="shared" ca="1" si="0"/>
        <v xml:space="preserve"> EL QUISCO</v>
      </c>
      <c r="E52" s="10" t="str">
        <f ca="1">IFERROR(__xludf.DUMMYFUNCTION("""COMPUTED_VALUE"""),"Resolución de Transferencia")</f>
        <v>Resolución de Transferencia</v>
      </c>
      <c r="F52" s="10" t="str">
        <f ca="1">IFERROR(__xludf.DUMMYFUNCTION("""COMPUTED_VALUE"""),"MUNICIPALIDAD DE EL QUISCO")</f>
        <v>MUNICIPALIDAD DE EL QUISCO</v>
      </c>
      <c r="G52" s="71">
        <f ca="1">IFERROR(__xludf.DUMMYFUNCTION("""COMPUTED_VALUE"""),125717703)</f>
        <v>125717703</v>
      </c>
      <c r="H52" s="10" t="str">
        <f ca="1">IFERROR(__xludf.DUMMYFUNCTION("""COMPUTED_VALUE"""),"Resolución")</f>
        <v>Resolución</v>
      </c>
      <c r="I52" s="10" t="str">
        <f ca="1">IFERROR(__xludf.DUMMYFUNCTION("""COMPUTED_VALUE"""),"FONDO DE INCENTIVO AL MEJORAMIENTO DE LA GESTIÓN MUNICIPAL")</f>
        <v>FONDO DE INCENTIVO AL MEJORAMIENTO DE LA GESTIÓN MUNICIPAL</v>
      </c>
      <c r="J52" s="10" t="str">
        <f ca="1">IFERROR(__xludf.DUMMYFUNCTION("""COMPUTED_VALUE"""),"Cumplir con normativa y reglamentos internos del programa en base a los objetivos.")</f>
        <v>Cumplir con normativa y reglamentos internos del programa en base a los objetivos.</v>
      </c>
      <c r="K52" s="71">
        <f ca="1">IFERROR(__xludf.DUMMYFUNCTION("""COMPUTED_VALUE"""),125717703)</f>
        <v>125717703</v>
      </c>
      <c r="L52" s="27">
        <f ca="1">IFERROR(__xludf.DUMMYFUNCTION("""COMPUTED_VALUE"""),1)</f>
        <v>1</v>
      </c>
      <c r="M52" s="10" t="str">
        <f ca="1">IFERROR(__xludf.DUMMYFUNCTION("""COMPUTED_VALUE"""),"19/2024")</f>
        <v>19/2024</v>
      </c>
      <c r="N52" s="10" t="str">
        <f ca="1">IFERROR(__xludf.DUMMYFUNCTION("""COMPUTED_VALUE"""),"FIGEM")</f>
        <v>FIGEM</v>
      </c>
      <c r="O52" s="59"/>
      <c r="P52" s="1"/>
      <c r="Q52" s="1"/>
      <c r="R52" s="1"/>
      <c r="S52" s="1"/>
      <c r="T52" s="1"/>
      <c r="U52" s="1"/>
      <c r="V52" s="1"/>
      <c r="W52" s="1"/>
      <c r="X52" s="1"/>
      <c r="Y52" s="1"/>
      <c r="Z52" s="1"/>
      <c r="AA52" s="1"/>
    </row>
    <row r="53" spans="1:27" ht="12.75" customHeight="1">
      <c r="A53" s="1"/>
      <c r="B53" s="10" t="str">
        <f ca="1">IFERROR(__xludf.DUMMYFUNCTION("""COMPUTED_VALUE"""),"Fondo de Incentivo al Mejoramiento de la Gestión Municipal 2024")</f>
        <v>Fondo de Incentivo al Mejoramiento de la Gestión Municipal 2024</v>
      </c>
      <c r="C53" s="10" t="str">
        <f ca="1">IFERROR(__xludf.DUMMYFUNCTION("""COMPUTED_VALUE"""),"FIGEM-2024-25")</f>
        <v>FIGEM-2024-25</v>
      </c>
      <c r="D53" s="26" t="str">
        <f t="shared" ca="1" si="0"/>
        <v xml:space="preserve"> SANTO DOMINGO</v>
      </c>
      <c r="E53" s="10" t="str">
        <f ca="1">IFERROR(__xludf.DUMMYFUNCTION("""COMPUTED_VALUE"""),"Resolución de Transferencia")</f>
        <v>Resolución de Transferencia</v>
      </c>
      <c r="F53" s="10" t="str">
        <f ca="1">IFERROR(__xludf.DUMMYFUNCTION("""COMPUTED_VALUE"""),"MUNICIPALIDAD DE SANTO DOMINGO")</f>
        <v>MUNICIPALIDAD DE SANTO DOMINGO</v>
      </c>
      <c r="G53" s="71">
        <f ca="1">IFERROR(__xludf.DUMMYFUNCTION("""COMPUTED_VALUE"""),147362579)</f>
        <v>147362579</v>
      </c>
      <c r="H53" s="10" t="str">
        <f ca="1">IFERROR(__xludf.DUMMYFUNCTION("""COMPUTED_VALUE"""),"Resolución")</f>
        <v>Resolución</v>
      </c>
      <c r="I53" s="10" t="str">
        <f ca="1">IFERROR(__xludf.DUMMYFUNCTION("""COMPUTED_VALUE"""),"FONDO DE INCENTIVO AL MEJORAMIENTO DE LA GESTIÓN MUNICIPAL")</f>
        <v>FONDO DE INCENTIVO AL MEJORAMIENTO DE LA GESTIÓN MUNICIPAL</v>
      </c>
      <c r="J53" s="10" t="str">
        <f ca="1">IFERROR(__xludf.DUMMYFUNCTION("""COMPUTED_VALUE"""),"Cumplir con normativa y reglamentos internos del programa en base a los objetivos.")</f>
        <v>Cumplir con normativa y reglamentos internos del programa en base a los objetivos.</v>
      </c>
      <c r="K53" s="71">
        <f ca="1">IFERROR(__xludf.DUMMYFUNCTION("""COMPUTED_VALUE"""),147362579)</f>
        <v>147362579</v>
      </c>
      <c r="L53" s="27">
        <f ca="1">IFERROR(__xludf.DUMMYFUNCTION("""COMPUTED_VALUE"""),1)</f>
        <v>1</v>
      </c>
      <c r="M53" s="10" t="str">
        <f ca="1">IFERROR(__xludf.DUMMYFUNCTION("""COMPUTED_VALUE"""),"19/2024")</f>
        <v>19/2024</v>
      </c>
      <c r="N53" s="10" t="str">
        <f ca="1">IFERROR(__xludf.DUMMYFUNCTION("""COMPUTED_VALUE"""),"FIGEM")</f>
        <v>FIGEM</v>
      </c>
      <c r="O53" s="59"/>
      <c r="P53" s="1"/>
      <c r="Q53" s="1"/>
      <c r="R53" s="1"/>
      <c r="S53" s="1"/>
      <c r="T53" s="1"/>
      <c r="U53" s="1"/>
      <c r="V53" s="1"/>
      <c r="W53" s="1"/>
      <c r="X53" s="1"/>
      <c r="Y53" s="1"/>
      <c r="Z53" s="1"/>
      <c r="AA53" s="1"/>
    </row>
    <row r="54" spans="1:27" ht="12.75" customHeight="1">
      <c r="A54" s="1"/>
      <c r="B54" s="10" t="str">
        <f ca="1">IFERROR(__xludf.DUMMYFUNCTION("""COMPUTED_VALUE"""),"Fondo de Incentivo al Mejoramiento de la Gestión Municipal 2024")</f>
        <v>Fondo de Incentivo al Mejoramiento de la Gestión Municipal 2024</v>
      </c>
      <c r="C54" s="10" t="str">
        <f ca="1">IFERROR(__xludf.DUMMYFUNCTION("""COMPUTED_VALUE"""),"FIGEM-2024-82")</f>
        <v>FIGEM-2024-82</v>
      </c>
      <c r="D54" s="26" t="str">
        <f t="shared" ca="1" si="0"/>
        <v xml:space="preserve"> CATEMU</v>
      </c>
      <c r="E54" s="10" t="str">
        <f ca="1">IFERROR(__xludf.DUMMYFUNCTION("""COMPUTED_VALUE"""),"Resolución de Transferencia")</f>
        <v>Resolución de Transferencia</v>
      </c>
      <c r="F54" s="10" t="str">
        <f ca="1">IFERROR(__xludf.DUMMYFUNCTION("""COMPUTED_VALUE"""),"MUNICIPALIDAD DE CATEMU")</f>
        <v>MUNICIPALIDAD DE CATEMU</v>
      </c>
      <c r="G54" s="71">
        <f ca="1">IFERROR(__xludf.DUMMYFUNCTION("""COMPUTED_VALUE"""),90808635)</f>
        <v>90808635</v>
      </c>
      <c r="H54" s="10" t="str">
        <f ca="1">IFERROR(__xludf.DUMMYFUNCTION("""COMPUTED_VALUE"""),"Resolución")</f>
        <v>Resolución</v>
      </c>
      <c r="I54" s="10" t="str">
        <f ca="1">IFERROR(__xludf.DUMMYFUNCTION("""COMPUTED_VALUE"""),"FONDO DE INCENTIVO AL MEJORAMIENTO DE LA GESTIÓN MUNICIPAL")</f>
        <v>FONDO DE INCENTIVO AL MEJORAMIENTO DE LA GESTIÓN MUNICIPAL</v>
      </c>
      <c r="J54" s="10" t="str">
        <f ca="1">IFERROR(__xludf.DUMMYFUNCTION("""COMPUTED_VALUE"""),"Cumplir con normativa y reglamentos internos del programa en base a los objetivos.")</f>
        <v>Cumplir con normativa y reglamentos internos del programa en base a los objetivos.</v>
      </c>
      <c r="K54" s="71">
        <f ca="1">IFERROR(__xludf.DUMMYFUNCTION("""COMPUTED_VALUE"""),90808635)</f>
        <v>90808635</v>
      </c>
      <c r="L54" s="27">
        <f ca="1">IFERROR(__xludf.DUMMYFUNCTION("""COMPUTED_VALUE"""),1)</f>
        <v>1</v>
      </c>
      <c r="M54" s="10" t="str">
        <f ca="1">IFERROR(__xludf.DUMMYFUNCTION("""COMPUTED_VALUE"""),"19/2024")</f>
        <v>19/2024</v>
      </c>
      <c r="N54" s="10" t="str">
        <f ca="1">IFERROR(__xludf.DUMMYFUNCTION("""COMPUTED_VALUE"""),"FIGEM")</f>
        <v>FIGEM</v>
      </c>
      <c r="O54" s="59"/>
      <c r="P54" s="1"/>
      <c r="Q54" s="1"/>
      <c r="R54" s="1"/>
      <c r="S54" s="1"/>
      <c r="T54" s="1"/>
      <c r="U54" s="1"/>
      <c r="V54" s="1"/>
      <c r="W54" s="1"/>
      <c r="X54" s="1"/>
      <c r="Y54" s="1"/>
      <c r="Z54" s="1"/>
      <c r="AA54" s="1"/>
    </row>
    <row r="55" spans="1:27" ht="12.75" customHeight="1">
      <c r="A55" s="1"/>
      <c r="B55" s="10" t="str">
        <f ca="1">IFERROR(__xludf.DUMMYFUNCTION("""COMPUTED_VALUE"""),"Fondo de Incentivo al Mejoramiento de la Gestión Municipal 2024")</f>
        <v>Fondo de Incentivo al Mejoramiento de la Gestión Municipal 2024</v>
      </c>
      <c r="C55" s="10" t="str">
        <f ca="1">IFERROR(__xludf.DUMMYFUNCTION("""COMPUTED_VALUE"""),"FIGEM-2024-100")</f>
        <v>FIGEM-2024-100</v>
      </c>
      <c r="D55" s="26" t="str">
        <f t="shared" ca="1" si="0"/>
        <v xml:space="preserve"> PANQUEHUE</v>
      </c>
      <c r="E55" s="10" t="str">
        <f ca="1">IFERROR(__xludf.DUMMYFUNCTION("""COMPUTED_VALUE"""),"Resolución de Transferencia")</f>
        <v>Resolución de Transferencia</v>
      </c>
      <c r="F55" s="10" t="str">
        <f ca="1">IFERROR(__xludf.DUMMYFUNCTION("""COMPUTED_VALUE"""),"MUNICIPALIDAD DE PANQUEHUE")</f>
        <v>MUNICIPALIDAD DE PANQUEHUE</v>
      </c>
      <c r="G55" s="71">
        <f ca="1">IFERROR(__xludf.DUMMYFUNCTION("""COMPUTED_VALUE"""),88257686)</f>
        <v>88257686</v>
      </c>
      <c r="H55" s="10" t="str">
        <f ca="1">IFERROR(__xludf.DUMMYFUNCTION("""COMPUTED_VALUE"""),"Resolución")</f>
        <v>Resolución</v>
      </c>
      <c r="I55" s="10" t="str">
        <f ca="1">IFERROR(__xludf.DUMMYFUNCTION("""COMPUTED_VALUE"""),"FONDO DE INCENTIVO AL MEJORAMIENTO DE LA GESTIÓN MUNICIPAL")</f>
        <v>FONDO DE INCENTIVO AL MEJORAMIENTO DE LA GESTIÓN MUNICIPAL</v>
      </c>
      <c r="J55" s="10" t="str">
        <f ca="1">IFERROR(__xludf.DUMMYFUNCTION("""COMPUTED_VALUE"""),"Cumplir con normativa y reglamentos internos del programa en base a los objetivos.")</f>
        <v>Cumplir con normativa y reglamentos internos del programa en base a los objetivos.</v>
      </c>
      <c r="K55" s="71">
        <f ca="1">IFERROR(__xludf.DUMMYFUNCTION("""COMPUTED_VALUE"""),88257686)</f>
        <v>88257686</v>
      </c>
      <c r="L55" s="27">
        <f ca="1">IFERROR(__xludf.DUMMYFUNCTION("""COMPUTED_VALUE"""),1)</f>
        <v>1</v>
      </c>
      <c r="M55" s="10" t="str">
        <f ca="1">IFERROR(__xludf.DUMMYFUNCTION("""COMPUTED_VALUE"""),"19/2024")</f>
        <v>19/2024</v>
      </c>
      <c r="N55" s="10" t="str">
        <f ca="1">IFERROR(__xludf.DUMMYFUNCTION("""COMPUTED_VALUE"""),"FIGEM")</f>
        <v>FIGEM</v>
      </c>
      <c r="O55" s="59"/>
      <c r="P55" s="1"/>
      <c r="Q55" s="1"/>
      <c r="R55" s="1"/>
      <c r="S55" s="1"/>
      <c r="T55" s="1"/>
      <c r="U55" s="1"/>
      <c r="V55" s="1"/>
      <c r="W55" s="1"/>
      <c r="X55" s="1"/>
      <c r="Y55" s="1"/>
      <c r="Z55" s="1"/>
      <c r="AA55" s="1"/>
    </row>
    <row r="56" spans="1:27" ht="12.75" customHeight="1">
      <c r="A56" s="1"/>
      <c r="B56" s="10" t="str">
        <f ca="1">IFERROR(__xludf.DUMMYFUNCTION("""COMPUTED_VALUE"""),"Fondo de Incentivo al Mejoramiento de la Gestión Municipal 2024")</f>
        <v>Fondo de Incentivo al Mejoramiento de la Gestión Municipal 2024</v>
      </c>
      <c r="C56" s="10" t="str">
        <f ca="1">IFERROR(__xludf.DUMMYFUNCTION("""COMPUTED_VALUE"""),"FIGEM-2024-135")</f>
        <v>FIGEM-2024-135</v>
      </c>
      <c r="D56" s="26" t="str">
        <f t="shared" ca="1" si="0"/>
        <v xml:space="preserve"> PUTAENDO</v>
      </c>
      <c r="E56" s="10" t="str">
        <f ca="1">IFERROR(__xludf.DUMMYFUNCTION("""COMPUTED_VALUE"""),"Resolución de Transferencia")</f>
        <v>Resolución de Transferencia</v>
      </c>
      <c r="F56" s="10" t="str">
        <f ca="1">IFERROR(__xludf.DUMMYFUNCTION("""COMPUTED_VALUE"""),"MUNICIPALIDAD DE PUTAENDO")</f>
        <v>MUNICIPALIDAD DE PUTAENDO</v>
      </c>
      <c r="G56" s="71">
        <f ca="1">IFERROR(__xludf.DUMMYFUNCTION("""COMPUTED_VALUE"""),93757377)</f>
        <v>93757377</v>
      </c>
      <c r="H56" s="10" t="str">
        <f ca="1">IFERROR(__xludf.DUMMYFUNCTION("""COMPUTED_VALUE"""),"Resolución")</f>
        <v>Resolución</v>
      </c>
      <c r="I56" s="10" t="str">
        <f ca="1">IFERROR(__xludf.DUMMYFUNCTION("""COMPUTED_VALUE"""),"FONDO DE INCENTIVO AL MEJORAMIENTO DE LA GESTIÓN MUNICIPAL")</f>
        <v>FONDO DE INCENTIVO AL MEJORAMIENTO DE LA GESTIÓN MUNICIPAL</v>
      </c>
      <c r="J56" s="10" t="str">
        <f ca="1">IFERROR(__xludf.DUMMYFUNCTION("""COMPUTED_VALUE"""),"Cumplir con normativa y reglamentos internos del programa en base a los objetivos.")</f>
        <v>Cumplir con normativa y reglamentos internos del programa en base a los objetivos.</v>
      </c>
      <c r="K56" s="71">
        <f ca="1">IFERROR(__xludf.DUMMYFUNCTION("""COMPUTED_VALUE"""),93757377)</f>
        <v>93757377</v>
      </c>
      <c r="L56" s="27">
        <f ca="1">IFERROR(__xludf.DUMMYFUNCTION("""COMPUTED_VALUE"""),1)</f>
        <v>1</v>
      </c>
      <c r="M56" s="10" t="str">
        <f ca="1">IFERROR(__xludf.DUMMYFUNCTION("""COMPUTED_VALUE"""),"19/2024")</f>
        <v>19/2024</v>
      </c>
      <c r="N56" s="10" t="str">
        <f ca="1">IFERROR(__xludf.DUMMYFUNCTION("""COMPUTED_VALUE"""),"FIGEM")</f>
        <v>FIGEM</v>
      </c>
      <c r="O56" s="59"/>
      <c r="P56" s="1"/>
      <c r="Q56" s="1"/>
      <c r="R56" s="1"/>
      <c r="S56" s="1"/>
      <c r="T56" s="1"/>
      <c r="U56" s="1"/>
      <c r="V56" s="1"/>
      <c r="W56" s="1"/>
      <c r="X56" s="1"/>
      <c r="Y56" s="1"/>
      <c r="Z56" s="1"/>
      <c r="AA56" s="1"/>
    </row>
    <row r="57" spans="1:27" ht="12.75" customHeight="1">
      <c r="A57" s="1"/>
      <c r="B57" s="10" t="str">
        <f ca="1">IFERROR(__xludf.DUMMYFUNCTION("""COMPUTED_VALUE"""),"Fondo de Incentivo al Mejoramiento de la Gestión Municipal 2024")</f>
        <v>Fondo de Incentivo al Mejoramiento de la Gestión Municipal 2024</v>
      </c>
      <c r="C57" s="10" t="str">
        <f ca="1">IFERROR(__xludf.DUMMYFUNCTION("""COMPUTED_VALUE"""),"FIGEM-2024-78")</f>
        <v>FIGEM-2024-78</v>
      </c>
      <c r="D57" s="26" t="str">
        <f t="shared" ca="1" si="0"/>
        <v xml:space="preserve"> SANTA MARÍA</v>
      </c>
      <c r="E57" s="10" t="str">
        <f ca="1">IFERROR(__xludf.DUMMYFUNCTION("""COMPUTED_VALUE"""),"Resolución de Transferencia")</f>
        <v>Resolución de Transferencia</v>
      </c>
      <c r="F57" s="10" t="str">
        <f ca="1">IFERROR(__xludf.DUMMYFUNCTION("""COMPUTED_VALUE"""),"MUNICIPALIDAD DE SANTA MARÍA")</f>
        <v>MUNICIPALIDAD DE SANTA MARÍA</v>
      </c>
      <c r="G57" s="71">
        <f ca="1">IFERROR(__xludf.DUMMYFUNCTION("""COMPUTED_VALUE"""),91455435)</f>
        <v>91455435</v>
      </c>
      <c r="H57" s="10" t="str">
        <f ca="1">IFERROR(__xludf.DUMMYFUNCTION("""COMPUTED_VALUE"""),"Resolución")</f>
        <v>Resolución</v>
      </c>
      <c r="I57" s="10" t="str">
        <f ca="1">IFERROR(__xludf.DUMMYFUNCTION("""COMPUTED_VALUE"""),"FONDO DE INCENTIVO AL MEJORAMIENTO DE LA GESTIÓN MUNICIPAL")</f>
        <v>FONDO DE INCENTIVO AL MEJORAMIENTO DE LA GESTIÓN MUNICIPAL</v>
      </c>
      <c r="J57" s="10" t="str">
        <f ca="1">IFERROR(__xludf.DUMMYFUNCTION("""COMPUTED_VALUE"""),"Cumplir con normativa y reglamentos internos del programa en base a los objetivos.")</f>
        <v>Cumplir con normativa y reglamentos internos del programa en base a los objetivos.</v>
      </c>
      <c r="K57" s="71">
        <f ca="1">IFERROR(__xludf.DUMMYFUNCTION("""COMPUTED_VALUE"""),91455435)</f>
        <v>91455435</v>
      </c>
      <c r="L57" s="27">
        <f ca="1">IFERROR(__xludf.DUMMYFUNCTION("""COMPUTED_VALUE"""),1)</f>
        <v>1</v>
      </c>
      <c r="M57" s="10" t="str">
        <f ca="1">IFERROR(__xludf.DUMMYFUNCTION("""COMPUTED_VALUE"""),"19/2024")</f>
        <v>19/2024</v>
      </c>
      <c r="N57" s="10" t="str">
        <f ca="1">IFERROR(__xludf.DUMMYFUNCTION("""COMPUTED_VALUE"""),"FIGEM")</f>
        <v>FIGEM</v>
      </c>
      <c r="O57" s="59"/>
      <c r="P57" s="1"/>
      <c r="Q57" s="1"/>
      <c r="R57" s="1"/>
      <c r="S57" s="1"/>
      <c r="T57" s="1"/>
      <c r="U57" s="1"/>
      <c r="V57" s="1"/>
      <c r="W57" s="1"/>
      <c r="X57" s="1"/>
      <c r="Y57" s="1"/>
      <c r="Z57" s="1"/>
      <c r="AA57" s="1"/>
    </row>
    <row r="58" spans="1:27" ht="12.75" customHeight="1">
      <c r="A58" s="1"/>
      <c r="B58" s="10" t="str">
        <f ca="1">IFERROR(__xludf.DUMMYFUNCTION("""COMPUTED_VALUE"""),"Fondo de Incentivo al Mejoramiento de la Gestión Municipal 2024")</f>
        <v>Fondo de Incentivo al Mejoramiento de la Gestión Municipal 2024</v>
      </c>
      <c r="C58" s="10" t="str">
        <f ca="1">IFERROR(__xludf.DUMMYFUNCTION("""COMPUTED_VALUE"""),"FIGEM-2024-49")</f>
        <v>FIGEM-2024-49</v>
      </c>
      <c r="D58" s="26" t="str">
        <f t="shared" ca="1" si="0"/>
        <v xml:space="preserve"> LIMACHE</v>
      </c>
      <c r="E58" s="10" t="str">
        <f ca="1">IFERROR(__xludf.DUMMYFUNCTION("""COMPUTED_VALUE"""),"Resolución de Transferencia")</f>
        <v>Resolución de Transferencia</v>
      </c>
      <c r="F58" s="10" t="str">
        <f ca="1">IFERROR(__xludf.DUMMYFUNCTION("""COMPUTED_VALUE"""),"MUNICIPALIDAD DE LIMACHE")</f>
        <v>MUNICIPALIDAD DE LIMACHE</v>
      </c>
      <c r="G58" s="71">
        <f ca="1">IFERROR(__xludf.DUMMYFUNCTION("""COMPUTED_VALUE"""),126234814)</f>
        <v>126234814</v>
      </c>
      <c r="H58" s="10" t="str">
        <f ca="1">IFERROR(__xludf.DUMMYFUNCTION("""COMPUTED_VALUE"""),"Resolución")</f>
        <v>Resolución</v>
      </c>
      <c r="I58" s="10" t="str">
        <f ca="1">IFERROR(__xludf.DUMMYFUNCTION("""COMPUTED_VALUE"""),"FONDO DE INCENTIVO AL MEJORAMIENTO DE LA GESTIÓN MUNICIPAL")</f>
        <v>FONDO DE INCENTIVO AL MEJORAMIENTO DE LA GESTIÓN MUNICIPAL</v>
      </c>
      <c r="J58" s="10" t="str">
        <f ca="1">IFERROR(__xludf.DUMMYFUNCTION("""COMPUTED_VALUE"""),"Cumplir con normativa y reglamentos internos del programa en base a los objetivos.")</f>
        <v>Cumplir con normativa y reglamentos internos del programa en base a los objetivos.</v>
      </c>
      <c r="K58" s="71">
        <f ca="1">IFERROR(__xludf.DUMMYFUNCTION("""COMPUTED_VALUE"""),126234814)</f>
        <v>126234814</v>
      </c>
      <c r="L58" s="27">
        <f ca="1">IFERROR(__xludf.DUMMYFUNCTION("""COMPUTED_VALUE"""),1)</f>
        <v>1</v>
      </c>
      <c r="M58" s="10" t="str">
        <f ca="1">IFERROR(__xludf.DUMMYFUNCTION("""COMPUTED_VALUE"""),"19/2024")</f>
        <v>19/2024</v>
      </c>
      <c r="N58" s="10" t="str">
        <f ca="1">IFERROR(__xludf.DUMMYFUNCTION("""COMPUTED_VALUE"""),"FIGEM")</f>
        <v>FIGEM</v>
      </c>
      <c r="O58" s="59"/>
      <c r="P58" s="1"/>
      <c r="Q58" s="1"/>
      <c r="R58" s="1"/>
      <c r="S58" s="1"/>
      <c r="T58" s="1"/>
      <c r="U58" s="1"/>
      <c r="V58" s="1"/>
      <c r="W58" s="1"/>
      <c r="X58" s="1"/>
      <c r="Y58" s="1"/>
      <c r="Z58" s="1"/>
      <c r="AA58" s="1"/>
    </row>
    <row r="59" spans="1:27" ht="12.75" customHeight="1">
      <c r="A59" s="1"/>
      <c r="B59" s="10" t="str">
        <f ca="1">IFERROR(__xludf.DUMMYFUNCTION("""COMPUTED_VALUE"""),"Fondo de Incentivo al Mejoramiento de la Gestión Municipal 2024")</f>
        <v>Fondo de Incentivo al Mejoramiento de la Gestión Municipal 2024</v>
      </c>
      <c r="C59" s="10" t="str">
        <f ca="1">IFERROR(__xludf.DUMMYFUNCTION("""COMPUTED_VALUE"""),"FIGEM-2024-56")</f>
        <v>FIGEM-2024-56</v>
      </c>
      <c r="D59" s="26" t="str">
        <f t="shared" ca="1" si="0"/>
        <v xml:space="preserve"> OLMUÉ</v>
      </c>
      <c r="E59" s="10" t="str">
        <f ca="1">IFERROR(__xludf.DUMMYFUNCTION("""COMPUTED_VALUE"""),"Resolución de Transferencia")</f>
        <v>Resolución de Transferencia</v>
      </c>
      <c r="F59" s="10" t="str">
        <f ca="1">IFERROR(__xludf.DUMMYFUNCTION("""COMPUTED_VALUE"""),"MUNICIPALIDAD DE OLMUÉ")</f>
        <v>MUNICIPALIDAD DE OLMUÉ</v>
      </c>
      <c r="G59" s="71">
        <f ca="1">IFERROR(__xludf.DUMMYFUNCTION("""COMPUTED_VALUE"""),121981608)</f>
        <v>121981608</v>
      </c>
      <c r="H59" s="10" t="str">
        <f ca="1">IFERROR(__xludf.DUMMYFUNCTION("""COMPUTED_VALUE"""),"Resolución")</f>
        <v>Resolución</v>
      </c>
      <c r="I59" s="10" t="str">
        <f ca="1">IFERROR(__xludf.DUMMYFUNCTION("""COMPUTED_VALUE"""),"FONDO DE INCENTIVO AL MEJORAMIENTO DE LA GESTIÓN MUNICIPAL")</f>
        <v>FONDO DE INCENTIVO AL MEJORAMIENTO DE LA GESTIÓN MUNICIPAL</v>
      </c>
      <c r="J59" s="10" t="str">
        <f ca="1">IFERROR(__xludf.DUMMYFUNCTION("""COMPUTED_VALUE"""),"Cumplir con normativa y reglamentos internos del programa en base a los objetivos.")</f>
        <v>Cumplir con normativa y reglamentos internos del programa en base a los objetivos.</v>
      </c>
      <c r="K59" s="71">
        <f ca="1">IFERROR(__xludf.DUMMYFUNCTION("""COMPUTED_VALUE"""),121981608)</f>
        <v>121981608</v>
      </c>
      <c r="L59" s="27">
        <f ca="1">IFERROR(__xludf.DUMMYFUNCTION("""COMPUTED_VALUE"""),1)</f>
        <v>1</v>
      </c>
      <c r="M59" s="10" t="str">
        <f ca="1">IFERROR(__xludf.DUMMYFUNCTION("""COMPUTED_VALUE"""),"19/2024")</f>
        <v>19/2024</v>
      </c>
      <c r="N59" s="10" t="str">
        <f ca="1">IFERROR(__xludf.DUMMYFUNCTION("""COMPUTED_VALUE"""),"FIGEM")</f>
        <v>FIGEM</v>
      </c>
      <c r="O59" s="59"/>
      <c r="P59" s="1"/>
      <c r="Q59" s="1"/>
      <c r="R59" s="1"/>
      <c r="S59" s="1"/>
      <c r="T59" s="1"/>
      <c r="U59" s="1"/>
      <c r="V59" s="1"/>
      <c r="W59" s="1"/>
      <c r="X59" s="1"/>
      <c r="Y59" s="1"/>
      <c r="Z59" s="1"/>
      <c r="AA59" s="1"/>
    </row>
    <row r="60" spans="1:27" ht="12.75" customHeight="1">
      <c r="A60" s="1"/>
      <c r="B60" s="10" t="str">
        <f ca="1">IFERROR(__xludf.DUMMYFUNCTION("""COMPUTED_VALUE"""),"Fondo de Incentivo al Mejoramiento de la Gestión Municipal 2024")</f>
        <v>Fondo de Incentivo al Mejoramiento de la Gestión Municipal 2024</v>
      </c>
      <c r="C60" s="10" t="str">
        <f ca="1">IFERROR(__xludf.DUMMYFUNCTION("""COMPUTED_VALUE"""),"FIGEM-2024-23")</f>
        <v>FIGEM-2024-23</v>
      </c>
      <c r="D60" s="26" t="str">
        <f t="shared" ca="1" si="0"/>
        <v xml:space="preserve"> RANCAGUA</v>
      </c>
      <c r="E60" s="10" t="str">
        <f ca="1">IFERROR(__xludf.DUMMYFUNCTION("""COMPUTED_VALUE"""),"Resolución de Transferencia")</f>
        <v>Resolución de Transferencia</v>
      </c>
      <c r="F60" s="10" t="str">
        <f ca="1">IFERROR(__xludf.DUMMYFUNCTION("""COMPUTED_VALUE"""),"MUNICIPALIDAD DE RANCAGUA")</f>
        <v>MUNICIPALIDAD DE RANCAGUA</v>
      </c>
      <c r="G60" s="71">
        <f ca="1">IFERROR(__xludf.DUMMYFUNCTION("""COMPUTED_VALUE"""),67807760)</f>
        <v>67807760</v>
      </c>
      <c r="H60" s="10" t="str">
        <f ca="1">IFERROR(__xludf.DUMMYFUNCTION("""COMPUTED_VALUE"""),"Resolución")</f>
        <v>Resolución</v>
      </c>
      <c r="I60" s="10" t="str">
        <f ca="1">IFERROR(__xludf.DUMMYFUNCTION("""COMPUTED_VALUE"""),"FONDO DE INCENTIVO AL MEJORAMIENTO DE LA GESTIÓN MUNICIPAL")</f>
        <v>FONDO DE INCENTIVO AL MEJORAMIENTO DE LA GESTIÓN MUNICIPAL</v>
      </c>
      <c r="J60" s="10" t="str">
        <f ca="1">IFERROR(__xludf.DUMMYFUNCTION("""COMPUTED_VALUE"""),"Cumplir con normativa y reglamentos internos del programa en base a los objetivos.")</f>
        <v>Cumplir con normativa y reglamentos internos del programa en base a los objetivos.</v>
      </c>
      <c r="K60" s="71">
        <f ca="1">IFERROR(__xludf.DUMMYFUNCTION("""COMPUTED_VALUE"""),67807760)</f>
        <v>67807760</v>
      </c>
      <c r="L60" s="27">
        <f ca="1">IFERROR(__xludf.DUMMYFUNCTION("""COMPUTED_VALUE"""),1)</f>
        <v>1</v>
      </c>
      <c r="M60" s="10" t="str">
        <f ca="1">IFERROR(__xludf.DUMMYFUNCTION("""COMPUTED_VALUE"""),"19/2024")</f>
        <v>19/2024</v>
      </c>
      <c r="N60" s="10" t="str">
        <f ca="1">IFERROR(__xludf.DUMMYFUNCTION("""COMPUTED_VALUE"""),"FIGEM")</f>
        <v>FIGEM</v>
      </c>
      <c r="O60" s="59"/>
      <c r="P60" s="1"/>
      <c r="Q60" s="1"/>
      <c r="R60" s="1"/>
      <c r="S60" s="1"/>
      <c r="T60" s="1"/>
      <c r="U60" s="1"/>
      <c r="V60" s="1"/>
      <c r="W60" s="1"/>
      <c r="X60" s="1"/>
      <c r="Y60" s="1"/>
      <c r="Z60" s="1"/>
      <c r="AA60" s="1"/>
    </row>
    <row r="61" spans="1:27" ht="12.75" customHeight="1">
      <c r="A61" s="1"/>
      <c r="B61" s="10" t="str">
        <f ca="1">IFERROR(__xludf.DUMMYFUNCTION("""COMPUTED_VALUE"""),"Fondo de Incentivo al Mejoramiento de la Gestión Municipal 2024")</f>
        <v>Fondo de Incentivo al Mejoramiento de la Gestión Municipal 2024</v>
      </c>
      <c r="C61" s="10" t="str">
        <f ca="1">IFERROR(__xludf.DUMMYFUNCTION("""COMPUTED_VALUE"""),"FIGEM-2024-80")</f>
        <v>FIGEM-2024-80</v>
      </c>
      <c r="D61" s="26" t="str">
        <f t="shared" ca="1" si="0"/>
        <v xml:space="preserve"> CODEGUA</v>
      </c>
      <c r="E61" s="10" t="str">
        <f ca="1">IFERROR(__xludf.DUMMYFUNCTION("""COMPUTED_VALUE"""),"Resolución de Transferencia")</f>
        <v>Resolución de Transferencia</v>
      </c>
      <c r="F61" s="10" t="str">
        <f ca="1">IFERROR(__xludf.DUMMYFUNCTION("""COMPUTED_VALUE"""),"MUNICIPALIDAD DE CODEGUA")</f>
        <v>MUNICIPALIDAD DE CODEGUA</v>
      </c>
      <c r="G61" s="71">
        <f ca="1">IFERROR(__xludf.DUMMYFUNCTION("""COMPUTED_VALUE"""),91269959)</f>
        <v>91269959</v>
      </c>
      <c r="H61" s="10" t="str">
        <f ca="1">IFERROR(__xludf.DUMMYFUNCTION("""COMPUTED_VALUE"""),"Resolución")</f>
        <v>Resolución</v>
      </c>
      <c r="I61" s="10" t="str">
        <f ca="1">IFERROR(__xludf.DUMMYFUNCTION("""COMPUTED_VALUE"""),"FONDO DE INCENTIVO AL MEJORAMIENTO DE LA GESTIÓN MUNICIPAL")</f>
        <v>FONDO DE INCENTIVO AL MEJORAMIENTO DE LA GESTIÓN MUNICIPAL</v>
      </c>
      <c r="J61" s="10" t="str">
        <f ca="1">IFERROR(__xludf.DUMMYFUNCTION("""COMPUTED_VALUE"""),"Cumplir con normativa y reglamentos internos del programa en base a los objetivos.")</f>
        <v>Cumplir con normativa y reglamentos internos del programa en base a los objetivos.</v>
      </c>
      <c r="K61" s="71">
        <f ca="1">IFERROR(__xludf.DUMMYFUNCTION("""COMPUTED_VALUE"""),91269959)</f>
        <v>91269959</v>
      </c>
      <c r="L61" s="27">
        <f ca="1">IFERROR(__xludf.DUMMYFUNCTION("""COMPUTED_VALUE"""),1)</f>
        <v>1</v>
      </c>
      <c r="M61" s="10" t="str">
        <f ca="1">IFERROR(__xludf.DUMMYFUNCTION("""COMPUTED_VALUE"""),"19/2024")</f>
        <v>19/2024</v>
      </c>
      <c r="N61" s="10" t="str">
        <f ca="1">IFERROR(__xludf.DUMMYFUNCTION("""COMPUTED_VALUE"""),"FIGEM")</f>
        <v>FIGEM</v>
      </c>
      <c r="O61" s="59"/>
      <c r="P61" s="1"/>
      <c r="Q61" s="1"/>
      <c r="R61" s="1"/>
      <c r="S61" s="1"/>
      <c r="T61" s="1"/>
      <c r="U61" s="1"/>
      <c r="V61" s="1"/>
      <c r="W61" s="1"/>
      <c r="X61" s="1"/>
      <c r="Y61" s="1"/>
      <c r="Z61" s="1"/>
      <c r="AA61" s="1"/>
    </row>
    <row r="62" spans="1:27" ht="12.75" customHeight="1">
      <c r="A62" s="1"/>
      <c r="B62" s="10" t="str">
        <f ca="1">IFERROR(__xludf.DUMMYFUNCTION("""COMPUTED_VALUE"""),"Fondo de Incentivo al Mejoramiento de la Gestión Municipal 2024")</f>
        <v>Fondo de Incentivo al Mejoramiento de la Gestión Municipal 2024</v>
      </c>
      <c r="C62" s="10" t="str">
        <f ca="1">IFERROR(__xludf.DUMMYFUNCTION("""COMPUTED_VALUE"""),"FIGEM-2024-105")</f>
        <v>FIGEM-2024-105</v>
      </c>
      <c r="D62" s="26" t="str">
        <f t="shared" ca="1" si="0"/>
        <v xml:space="preserve"> COINCO</v>
      </c>
      <c r="E62" s="10" t="str">
        <f ca="1">IFERROR(__xludf.DUMMYFUNCTION("""COMPUTED_VALUE"""),"Resolución de Transferencia")</f>
        <v>Resolución de Transferencia</v>
      </c>
      <c r="F62" s="10" t="str">
        <f ca="1">IFERROR(__xludf.DUMMYFUNCTION("""COMPUTED_VALUE"""),"MUNICIPALIDAD DE COINCO")</f>
        <v>MUNICIPALIDAD DE COINCO</v>
      </c>
      <c r="G62" s="71">
        <f ca="1">IFERROR(__xludf.DUMMYFUNCTION("""COMPUTED_VALUE"""),87541973)</f>
        <v>87541973</v>
      </c>
      <c r="H62" s="10" t="str">
        <f ca="1">IFERROR(__xludf.DUMMYFUNCTION("""COMPUTED_VALUE"""),"Resolución")</f>
        <v>Resolución</v>
      </c>
      <c r="I62" s="10" t="str">
        <f ca="1">IFERROR(__xludf.DUMMYFUNCTION("""COMPUTED_VALUE"""),"FONDO DE INCENTIVO AL MEJORAMIENTO DE LA GESTIÓN MUNICIPAL")</f>
        <v>FONDO DE INCENTIVO AL MEJORAMIENTO DE LA GESTIÓN MUNICIPAL</v>
      </c>
      <c r="J62" s="10" t="str">
        <f ca="1">IFERROR(__xludf.DUMMYFUNCTION("""COMPUTED_VALUE"""),"Cumplir con normativa y reglamentos internos del programa en base a los objetivos.")</f>
        <v>Cumplir con normativa y reglamentos internos del programa en base a los objetivos.</v>
      </c>
      <c r="K62" s="71">
        <f ca="1">IFERROR(__xludf.DUMMYFUNCTION("""COMPUTED_VALUE"""),87541973)</f>
        <v>87541973</v>
      </c>
      <c r="L62" s="27">
        <f ca="1">IFERROR(__xludf.DUMMYFUNCTION("""COMPUTED_VALUE"""),1)</f>
        <v>1</v>
      </c>
      <c r="M62" s="10" t="str">
        <f ca="1">IFERROR(__xludf.DUMMYFUNCTION("""COMPUTED_VALUE"""),"19/2024")</f>
        <v>19/2024</v>
      </c>
      <c r="N62" s="10" t="str">
        <f ca="1">IFERROR(__xludf.DUMMYFUNCTION("""COMPUTED_VALUE"""),"FIGEM")</f>
        <v>FIGEM</v>
      </c>
      <c r="O62" s="59"/>
      <c r="P62" s="1"/>
      <c r="Q62" s="1"/>
      <c r="R62" s="1"/>
      <c r="S62" s="1"/>
      <c r="T62" s="1"/>
      <c r="U62" s="1"/>
      <c r="V62" s="1"/>
      <c r="W62" s="1"/>
      <c r="X62" s="1"/>
      <c r="Y62" s="1"/>
      <c r="Z62" s="1"/>
      <c r="AA62" s="1"/>
    </row>
    <row r="63" spans="1:27" ht="12.75" customHeight="1">
      <c r="A63" s="1"/>
      <c r="B63" s="10" t="str">
        <f ca="1">IFERROR(__xludf.DUMMYFUNCTION("""COMPUTED_VALUE"""),"Fondo de Incentivo al Mejoramiento de la Gestión Municipal 2024")</f>
        <v>Fondo de Incentivo al Mejoramiento de la Gestión Municipal 2024</v>
      </c>
      <c r="C63" s="10" t="str">
        <f ca="1">IFERROR(__xludf.DUMMYFUNCTION("""COMPUTED_VALUE"""),"FIGEM-2024-98")</f>
        <v>FIGEM-2024-98</v>
      </c>
      <c r="D63" s="26" t="str">
        <f t="shared" ca="1" si="0"/>
        <v xml:space="preserve"> COLTAUCO</v>
      </c>
      <c r="E63" s="10" t="str">
        <f ca="1">IFERROR(__xludf.DUMMYFUNCTION("""COMPUTED_VALUE"""),"Resolución de Transferencia")</f>
        <v>Resolución de Transferencia</v>
      </c>
      <c r="F63" s="10" t="str">
        <f ca="1">IFERROR(__xludf.DUMMYFUNCTION("""COMPUTED_VALUE"""),"MUNICIPALIDAD DE COLTAUCO")</f>
        <v>MUNICIPALIDAD DE COLTAUCO</v>
      </c>
      <c r="G63" s="71">
        <f ca="1">IFERROR(__xludf.DUMMYFUNCTION("""COMPUTED_VALUE"""),88359271)</f>
        <v>88359271</v>
      </c>
      <c r="H63" s="10" t="str">
        <f ca="1">IFERROR(__xludf.DUMMYFUNCTION("""COMPUTED_VALUE"""),"Resolución")</f>
        <v>Resolución</v>
      </c>
      <c r="I63" s="10" t="str">
        <f ca="1">IFERROR(__xludf.DUMMYFUNCTION("""COMPUTED_VALUE"""),"FONDO DE INCENTIVO AL MEJORAMIENTO DE LA GESTIÓN MUNICIPAL")</f>
        <v>FONDO DE INCENTIVO AL MEJORAMIENTO DE LA GESTIÓN MUNICIPAL</v>
      </c>
      <c r="J63" s="10" t="str">
        <f ca="1">IFERROR(__xludf.DUMMYFUNCTION("""COMPUTED_VALUE"""),"Cumplir con normativa y reglamentos internos del programa en base a los objetivos.")</f>
        <v>Cumplir con normativa y reglamentos internos del programa en base a los objetivos.</v>
      </c>
      <c r="K63" s="71">
        <f ca="1">IFERROR(__xludf.DUMMYFUNCTION("""COMPUTED_VALUE"""),88359271)</f>
        <v>88359271</v>
      </c>
      <c r="L63" s="27">
        <f ca="1">IFERROR(__xludf.DUMMYFUNCTION("""COMPUTED_VALUE"""),1)</f>
        <v>1</v>
      </c>
      <c r="M63" s="10" t="str">
        <f ca="1">IFERROR(__xludf.DUMMYFUNCTION("""COMPUTED_VALUE"""),"19/2024")</f>
        <v>19/2024</v>
      </c>
      <c r="N63" s="10" t="str">
        <f ca="1">IFERROR(__xludf.DUMMYFUNCTION("""COMPUTED_VALUE"""),"FIGEM")</f>
        <v>FIGEM</v>
      </c>
      <c r="O63" s="59"/>
      <c r="P63" s="1"/>
      <c r="Q63" s="1"/>
      <c r="R63" s="1"/>
      <c r="S63" s="1"/>
      <c r="T63" s="1"/>
      <c r="U63" s="1"/>
      <c r="V63" s="1"/>
      <c r="W63" s="1"/>
      <c r="X63" s="1"/>
      <c r="Y63" s="1"/>
      <c r="Z63" s="1"/>
      <c r="AA63" s="1"/>
    </row>
    <row r="64" spans="1:27" ht="12.75" customHeight="1">
      <c r="A64" s="1"/>
      <c r="B64" s="10" t="str">
        <f ca="1">IFERROR(__xludf.DUMMYFUNCTION("""COMPUTED_VALUE"""),"Fondo de Incentivo al Mejoramiento de la Gestión Municipal 2024")</f>
        <v>Fondo de Incentivo al Mejoramiento de la Gestión Municipal 2024</v>
      </c>
      <c r="C64" s="10" t="str">
        <f ca="1">IFERROR(__xludf.DUMMYFUNCTION("""COMPUTED_VALUE"""),"FIGEM-2024-48")</f>
        <v>FIGEM-2024-48</v>
      </c>
      <c r="D64" s="26" t="str">
        <f t="shared" ca="1" si="0"/>
        <v xml:space="preserve"> DOÑIHUE</v>
      </c>
      <c r="E64" s="10" t="str">
        <f ca="1">IFERROR(__xludf.DUMMYFUNCTION("""COMPUTED_VALUE"""),"Resolución de Transferencia")</f>
        <v>Resolución de Transferencia</v>
      </c>
      <c r="F64" s="10" t="str">
        <f ca="1">IFERROR(__xludf.DUMMYFUNCTION("""COMPUTED_VALUE"""),"MUNICIPALIDAD DE DOÑIHUE")</f>
        <v>MUNICIPALIDAD DE DOÑIHUE</v>
      </c>
      <c r="G64" s="71">
        <f ca="1">IFERROR(__xludf.DUMMYFUNCTION("""COMPUTED_VALUE"""),127422615)</f>
        <v>127422615</v>
      </c>
      <c r="H64" s="10" t="str">
        <f ca="1">IFERROR(__xludf.DUMMYFUNCTION("""COMPUTED_VALUE"""),"Resolución")</f>
        <v>Resolución</v>
      </c>
      <c r="I64" s="10" t="str">
        <f ca="1">IFERROR(__xludf.DUMMYFUNCTION("""COMPUTED_VALUE"""),"FONDO DE INCENTIVO AL MEJORAMIENTO DE LA GESTIÓN MUNICIPAL")</f>
        <v>FONDO DE INCENTIVO AL MEJORAMIENTO DE LA GESTIÓN MUNICIPAL</v>
      </c>
      <c r="J64" s="10" t="str">
        <f ca="1">IFERROR(__xludf.DUMMYFUNCTION("""COMPUTED_VALUE"""),"Cumplir con normativa y reglamentos internos del programa en base a los objetivos.")</f>
        <v>Cumplir con normativa y reglamentos internos del programa en base a los objetivos.</v>
      </c>
      <c r="K64" s="71">
        <f ca="1">IFERROR(__xludf.DUMMYFUNCTION("""COMPUTED_VALUE"""),127422615)</f>
        <v>127422615</v>
      </c>
      <c r="L64" s="27">
        <f ca="1">IFERROR(__xludf.DUMMYFUNCTION("""COMPUTED_VALUE"""),1)</f>
        <v>1</v>
      </c>
      <c r="M64" s="10" t="str">
        <f ca="1">IFERROR(__xludf.DUMMYFUNCTION("""COMPUTED_VALUE"""),"19/2024")</f>
        <v>19/2024</v>
      </c>
      <c r="N64" s="10" t="str">
        <f ca="1">IFERROR(__xludf.DUMMYFUNCTION("""COMPUTED_VALUE"""),"FIGEM")</f>
        <v>FIGEM</v>
      </c>
      <c r="O64" s="59"/>
      <c r="P64" s="1"/>
      <c r="Q64" s="1"/>
      <c r="R64" s="1"/>
      <c r="S64" s="1"/>
      <c r="T64" s="1"/>
      <c r="U64" s="1"/>
      <c r="V64" s="1"/>
      <c r="W64" s="1"/>
      <c r="X64" s="1"/>
      <c r="Y64" s="1"/>
      <c r="Z64" s="1"/>
      <c r="AA64" s="1"/>
    </row>
    <row r="65" spans="1:27" ht="12.75" customHeight="1">
      <c r="A65" s="1"/>
      <c r="B65" s="10" t="str">
        <f ca="1">IFERROR(__xludf.DUMMYFUNCTION("""COMPUTED_VALUE"""),"Fondo de Incentivo al Mejoramiento de la Gestión Municipal 2024")</f>
        <v>Fondo de Incentivo al Mejoramiento de la Gestión Municipal 2024</v>
      </c>
      <c r="C65" s="10" t="str">
        <f ca="1">IFERROR(__xludf.DUMMYFUNCTION("""COMPUTED_VALUE"""),"FIGEM-2024-93")</f>
        <v>FIGEM-2024-93</v>
      </c>
      <c r="D65" s="26" t="str">
        <f t="shared" ca="1" si="0"/>
        <v xml:space="preserve"> LAS CABRAS</v>
      </c>
      <c r="E65" s="10" t="str">
        <f ca="1">IFERROR(__xludf.DUMMYFUNCTION("""COMPUTED_VALUE"""),"Resolución de Transferencia")</f>
        <v>Resolución de Transferencia</v>
      </c>
      <c r="F65" s="10" t="str">
        <f ca="1">IFERROR(__xludf.DUMMYFUNCTION("""COMPUTED_VALUE"""),"MUNICIPALIDAD DE LAS CABRAS")</f>
        <v>MUNICIPALIDAD DE LAS CABRAS</v>
      </c>
      <c r="G65" s="71">
        <f ca="1">IFERROR(__xludf.DUMMYFUNCTION("""COMPUTED_VALUE"""),88994898)</f>
        <v>88994898</v>
      </c>
      <c r="H65" s="10" t="str">
        <f ca="1">IFERROR(__xludf.DUMMYFUNCTION("""COMPUTED_VALUE"""),"Resolución")</f>
        <v>Resolución</v>
      </c>
      <c r="I65" s="10" t="str">
        <f ca="1">IFERROR(__xludf.DUMMYFUNCTION("""COMPUTED_VALUE"""),"FONDO DE INCENTIVO AL MEJORAMIENTO DE LA GESTIÓN MUNICIPAL")</f>
        <v>FONDO DE INCENTIVO AL MEJORAMIENTO DE LA GESTIÓN MUNICIPAL</v>
      </c>
      <c r="J65" s="10" t="str">
        <f ca="1">IFERROR(__xludf.DUMMYFUNCTION("""COMPUTED_VALUE"""),"Cumplir con normativa y reglamentos internos del programa en base a los objetivos.")</f>
        <v>Cumplir con normativa y reglamentos internos del programa en base a los objetivos.</v>
      </c>
      <c r="K65" s="71">
        <f ca="1">IFERROR(__xludf.DUMMYFUNCTION("""COMPUTED_VALUE"""),88994898)</f>
        <v>88994898</v>
      </c>
      <c r="L65" s="27">
        <f ca="1">IFERROR(__xludf.DUMMYFUNCTION("""COMPUTED_VALUE"""),1)</f>
        <v>1</v>
      </c>
      <c r="M65" s="10" t="str">
        <f ca="1">IFERROR(__xludf.DUMMYFUNCTION("""COMPUTED_VALUE"""),"19/2024")</f>
        <v>19/2024</v>
      </c>
      <c r="N65" s="10" t="str">
        <f ca="1">IFERROR(__xludf.DUMMYFUNCTION("""COMPUTED_VALUE"""),"FIGEM")</f>
        <v>FIGEM</v>
      </c>
      <c r="O65" s="59"/>
      <c r="P65" s="1"/>
      <c r="Q65" s="1"/>
      <c r="R65" s="1"/>
      <c r="S65" s="1"/>
      <c r="T65" s="1"/>
      <c r="U65" s="1"/>
      <c r="V65" s="1"/>
      <c r="W65" s="1"/>
      <c r="X65" s="1"/>
      <c r="Y65" s="1"/>
      <c r="Z65" s="1"/>
      <c r="AA65" s="1"/>
    </row>
    <row r="66" spans="1:27" ht="12.75" customHeight="1">
      <c r="A66" s="1"/>
      <c r="B66" s="10" t="str">
        <f ca="1">IFERROR(__xludf.DUMMYFUNCTION("""COMPUTED_VALUE"""),"Fondo de Incentivo al Mejoramiento de la Gestión Municipal 2024")</f>
        <v>Fondo de Incentivo al Mejoramiento de la Gestión Municipal 2024</v>
      </c>
      <c r="C66" s="10" t="str">
        <f ca="1">IFERROR(__xludf.DUMMYFUNCTION("""COMPUTED_VALUE"""),"FIGEM-2024-42")</f>
        <v>FIGEM-2024-42</v>
      </c>
      <c r="D66" s="26" t="str">
        <f t="shared" ca="1" si="0"/>
        <v xml:space="preserve"> MACHALÍ</v>
      </c>
      <c r="E66" s="10" t="str">
        <f ca="1">IFERROR(__xludf.DUMMYFUNCTION("""COMPUTED_VALUE"""),"Resolución de Transferencia")</f>
        <v>Resolución de Transferencia</v>
      </c>
      <c r="F66" s="10" t="str">
        <f ca="1">IFERROR(__xludf.DUMMYFUNCTION("""COMPUTED_VALUE"""),"MUNICIPALIDAD DE MACHALÍ")</f>
        <v>MUNICIPALIDAD DE MACHALÍ</v>
      </c>
      <c r="G66" s="71">
        <f ca="1">IFERROR(__xludf.DUMMYFUNCTION("""COMPUTED_VALUE"""),127591138)</f>
        <v>127591138</v>
      </c>
      <c r="H66" s="10" t="str">
        <f ca="1">IFERROR(__xludf.DUMMYFUNCTION("""COMPUTED_VALUE"""),"Resolución")</f>
        <v>Resolución</v>
      </c>
      <c r="I66" s="10" t="str">
        <f ca="1">IFERROR(__xludf.DUMMYFUNCTION("""COMPUTED_VALUE"""),"FONDO DE INCENTIVO AL MEJORAMIENTO DE LA GESTIÓN MUNICIPAL")</f>
        <v>FONDO DE INCENTIVO AL MEJORAMIENTO DE LA GESTIÓN MUNICIPAL</v>
      </c>
      <c r="J66" s="10" t="str">
        <f ca="1">IFERROR(__xludf.DUMMYFUNCTION("""COMPUTED_VALUE"""),"Cumplir con normativa y reglamentos internos del programa en base a los objetivos.")</f>
        <v>Cumplir con normativa y reglamentos internos del programa en base a los objetivos.</v>
      </c>
      <c r="K66" s="71">
        <f ca="1">IFERROR(__xludf.DUMMYFUNCTION("""COMPUTED_VALUE"""),127591138)</f>
        <v>127591138</v>
      </c>
      <c r="L66" s="27">
        <f ca="1">IFERROR(__xludf.DUMMYFUNCTION("""COMPUTED_VALUE"""),1)</f>
        <v>1</v>
      </c>
      <c r="M66" s="10" t="str">
        <f ca="1">IFERROR(__xludf.DUMMYFUNCTION("""COMPUTED_VALUE"""),"19/2024")</f>
        <v>19/2024</v>
      </c>
      <c r="N66" s="10" t="str">
        <f ca="1">IFERROR(__xludf.DUMMYFUNCTION("""COMPUTED_VALUE"""),"FIGEM")</f>
        <v>FIGEM</v>
      </c>
      <c r="O66" s="59"/>
      <c r="P66" s="1"/>
      <c r="Q66" s="1"/>
      <c r="R66" s="1"/>
      <c r="S66" s="1"/>
      <c r="T66" s="1"/>
      <c r="U66" s="1"/>
      <c r="V66" s="1"/>
      <c r="W66" s="1"/>
      <c r="X66" s="1"/>
      <c r="Y66" s="1"/>
      <c r="Z66" s="1"/>
      <c r="AA66" s="1"/>
    </row>
    <row r="67" spans="1:27" ht="12.75" customHeight="1">
      <c r="A67" s="1"/>
      <c r="B67" s="10" t="str">
        <f ca="1">IFERROR(__xludf.DUMMYFUNCTION("""COMPUTED_VALUE"""),"Fondo de Incentivo al Mejoramiento de la Gestión Municipal 2024")</f>
        <v>Fondo de Incentivo al Mejoramiento de la Gestión Municipal 2024</v>
      </c>
      <c r="C67" s="10" t="str">
        <f ca="1">IFERROR(__xludf.DUMMYFUNCTION("""COMPUTED_VALUE"""),"FIGEM-2024-165")</f>
        <v>FIGEM-2024-165</v>
      </c>
      <c r="D67" s="26" t="str">
        <f t="shared" ca="1" si="0"/>
        <v xml:space="preserve"> MALLOA</v>
      </c>
      <c r="E67" s="10" t="str">
        <f ca="1">IFERROR(__xludf.DUMMYFUNCTION("""COMPUTED_VALUE"""),"Resolución de Transferencia")</f>
        <v>Resolución de Transferencia</v>
      </c>
      <c r="F67" s="10" t="str">
        <f ca="1">IFERROR(__xludf.DUMMYFUNCTION("""COMPUTED_VALUE"""),"MUNICIPALIDAD DE MALLOA")</f>
        <v>MUNICIPALIDAD DE MALLOA</v>
      </c>
      <c r="G67" s="71">
        <f ca="1">IFERROR(__xludf.DUMMYFUNCTION("""COMPUTED_VALUE"""),89727429)</f>
        <v>89727429</v>
      </c>
      <c r="H67" s="10" t="str">
        <f ca="1">IFERROR(__xludf.DUMMYFUNCTION("""COMPUTED_VALUE"""),"Resolución")</f>
        <v>Resolución</v>
      </c>
      <c r="I67" s="10" t="str">
        <f ca="1">IFERROR(__xludf.DUMMYFUNCTION("""COMPUTED_VALUE"""),"FONDO DE INCENTIVO AL MEJORAMIENTO DE LA GESTIÓN MUNICIPAL")</f>
        <v>FONDO DE INCENTIVO AL MEJORAMIENTO DE LA GESTIÓN MUNICIPAL</v>
      </c>
      <c r="J67" s="10" t="str">
        <f ca="1">IFERROR(__xludf.DUMMYFUNCTION("""COMPUTED_VALUE"""),"Cumplir con normativa y reglamentos internos del programa en base a los objetivos.")</f>
        <v>Cumplir con normativa y reglamentos internos del programa en base a los objetivos.</v>
      </c>
      <c r="K67" s="71">
        <f ca="1">IFERROR(__xludf.DUMMYFUNCTION("""COMPUTED_VALUE"""),89727429)</f>
        <v>89727429</v>
      </c>
      <c r="L67" s="27">
        <f ca="1">IFERROR(__xludf.DUMMYFUNCTION("""COMPUTED_VALUE"""),1)</f>
        <v>1</v>
      </c>
      <c r="M67" s="10" t="str">
        <f ca="1">IFERROR(__xludf.DUMMYFUNCTION("""COMPUTED_VALUE"""),"19/2024")</f>
        <v>19/2024</v>
      </c>
      <c r="N67" s="10" t="str">
        <f ca="1">IFERROR(__xludf.DUMMYFUNCTION("""COMPUTED_VALUE"""),"FIGEM")</f>
        <v>FIGEM</v>
      </c>
      <c r="O67" s="59"/>
      <c r="P67" s="1"/>
      <c r="Q67" s="1"/>
      <c r="R67" s="1"/>
      <c r="S67" s="1"/>
      <c r="T67" s="1"/>
      <c r="U67" s="1"/>
      <c r="V67" s="1"/>
      <c r="W67" s="1"/>
      <c r="X67" s="1"/>
      <c r="Y67" s="1"/>
      <c r="Z67" s="1"/>
      <c r="AA67" s="1"/>
    </row>
    <row r="68" spans="1:27" ht="12.75" customHeight="1">
      <c r="A68" s="1"/>
      <c r="B68" s="10" t="str">
        <f ca="1">IFERROR(__xludf.DUMMYFUNCTION("""COMPUTED_VALUE"""),"Fondo de Incentivo al Mejoramiento de la Gestión Municipal 2024")</f>
        <v>Fondo de Incentivo al Mejoramiento de la Gestión Municipal 2024</v>
      </c>
      <c r="C68" s="10" t="str">
        <f ca="1">IFERROR(__xludf.DUMMYFUNCTION("""COMPUTED_VALUE"""),"FIGEM-2024-68")</f>
        <v>FIGEM-2024-68</v>
      </c>
      <c r="D68" s="26" t="str">
        <f t="shared" ca="1" si="0"/>
        <v xml:space="preserve"> MOSTAZAL</v>
      </c>
      <c r="E68" s="10" t="str">
        <f ca="1">IFERROR(__xludf.DUMMYFUNCTION("""COMPUTED_VALUE"""),"Resolución de Transferencia")</f>
        <v>Resolución de Transferencia</v>
      </c>
      <c r="F68" s="10" t="str">
        <f ca="1">IFERROR(__xludf.DUMMYFUNCTION("""COMPUTED_VALUE"""),"MUNICIPALIDAD DE MOSTAZAL")</f>
        <v>MUNICIPALIDAD DE MOSTAZAL</v>
      </c>
      <c r="G68" s="71">
        <f ca="1">IFERROR(__xludf.DUMMYFUNCTION("""COMPUTED_VALUE"""),117529404)</f>
        <v>117529404</v>
      </c>
      <c r="H68" s="10" t="str">
        <f ca="1">IFERROR(__xludf.DUMMYFUNCTION("""COMPUTED_VALUE"""),"Resolución")</f>
        <v>Resolución</v>
      </c>
      <c r="I68" s="10" t="str">
        <f ca="1">IFERROR(__xludf.DUMMYFUNCTION("""COMPUTED_VALUE"""),"FONDO DE INCENTIVO AL MEJORAMIENTO DE LA GESTIÓN MUNICIPAL")</f>
        <v>FONDO DE INCENTIVO AL MEJORAMIENTO DE LA GESTIÓN MUNICIPAL</v>
      </c>
      <c r="J68" s="10" t="str">
        <f ca="1">IFERROR(__xludf.DUMMYFUNCTION("""COMPUTED_VALUE"""),"Cumplir con normativa y reglamentos internos del programa en base a los objetivos.")</f>
        <v>Cumplir con normativa y reglamentos internos del programa en base a los objetivos.</v>
      </c>
      <c r="K68" s="71">
        <f ca="1">IFERROR(__xludf.DUMMYFUNCTION("""COMPUTED_VALUE"""),117529404)</f>
        <v>117529404</v>
      </c>
      <c r="L68" s="27">
        <f ca="1">IFERROR(__xludf.DUMMYFUNCTION("""COMPUTED_VALUE"""),1)</f>
        <v>1</v>
      </c>
      <c r="M68" s="10" t="str">
        <f ca="1">IFERROR(__xludf.DUMMYFUNCTION("""COMPUTED_VALUE"""),"19/2024")</f>
        <v>19/2024</v>
      </c>
      <c r="N68" s="10" t="str">
        <f ca="1">IFERROR(__xludf.DUMMYFUNCTION("""COMPUTED_VALUE"""),"FIGEM")</f>
        <v>FIGEM</v>
      </c>
      <c r="O68" s="59"/>
      <c r="P68" s="1"/>
      <c r="Q68" s="1"/>
      <c r="R68" s="1"/>
      <c r="S68" s="1"/>
      <c r="T68" s="1"/>
      <c r="U68" s="1"/>
      <c r="V68" s="1"/>
      <c r="W68" s="1"/>
      <c r="X68" s="1"/>
      <c r="Y68" s="1"/>
      <c r="Z68" s="1"/>
      <c r="AA68" s="1"/>
    </row>
    <row r="69" spans="1:27" ht="12.75" customHeight="1">
      <c r="A69" s="1"/>
      <c r="B69" s="10" t="str">
        <f ca="1">IFERROR(__xludf.DUMMYFUNCTION("""COMPUTED_VALUE"""),"Fondo de Incentivo al Mejoramiento de la Gestión Municipal 2024")</f>
        <v>Fondo de Incentivo al Mejoramiento de la Gestión Municipal 2024</v>
      </c>
      <c r="C69" s="10" t="str">
        <f ca="1">IFERROR(__xludf.DUMMYFUNCTION("""COMPUTED_VALUE"""),"FIGEM-2024-73")</f>
        <v>FIGEM-2024-73</v>
      </c>
      <c r="D69" s="26" t="str">
        <f t="shared" ca="1" si="0"/>
        <v xml:space="preserve"> OLIVAR</v>
      </c>
      <c r="E69" s="10" t="str">
        <f ca="1">IFERROR(__xludf.DUMMYFUNCTION("""COMPUTED_VALUE"""),"Resolución de Transferencia")</f>
        <v>Resolución de Transferencia</v>
      </c>
      <c r="F69" s="10" t="str">
        <f ca="1">IFERROR(__xludf.DUMMYFUNCTION("""COMPUTED_VALUE"""),"MUNICIPALIDAD DE OLIVAR")</f>
        <v>MUNICIPALIDAD DE OLIVAR</v>
      </c>
      <c r="G69" s="71">
        <f ca="1">IFERROR(__xludf.DUMMYFUNCTION("""COMPUTED_VALUE"""),96306421)</f>
        <v>96306421</v>
      </c>
      <c r="H69" s="10" t="str">
        <f ca="1">IFERROR(__xludf.DUMMYFUNCTION("""COMPUTED_VALUE"""),"Resolución")</f>
        <v>Resolución</v>
      </c>
      <c r="I69" s="10" t="str">
        <f ca="1">IFERROR(__xludf.DUMMYFUNCTION("""COMPUTED_VALUE"""),"FONDO DE INCENTIVO AL MEJORAMIENTO DE LA GESTIÓN MUNICIPAL")</f>
        <v>FONDO DE INCENTIVO AL MEJORAMIENTO DE LA GESTIÓN MUNICIPAL</v>
      </c>
      <c r="J69" s="10" t="str">
        <f ca="1">IFERROR(__xludf.DUMMYFUNCTION("""COMPUTED_VALUE"""),"Cumplir con normativa y reglamentos internos del programa en base a los objetivos.")</f>
        <v>Cumplir con normativa y reglamentos internos del programa en base a los objetivos.</v>
      </c>
      <c r="K69" s="71">
        <f ca="1">IFERROR(__xludf.DUMMYFUNCTION("""COMPUTED_VALUE"""),96306421)</f>
        <v>96306421</v>
      </c>
      <c r="L69" s="27">
        <f ca="1">IFERROR(__xludf.DUMMYFUNCTION("""COMPUTED_VALUE"""),1)</f>
        <v>1</v>
      </c>
      <c r="M69" s="10" t="str">
        <f ca="1">IFERROR(__xludf.DUMMYFUNCTION("""COMPUTED_VALUE"""),"19/2024")</f>
        <v>19/2024</v>
      </c>
      <c r="N69" s="10" t="str">
        <f ca="1">IFERROR(__xludf.DUMMYFUNCTION("""COMPUTED_VALUE"""),"FIGEM")</f>
        <v>FIGEM</v>
      </c>
      <c r="O69" s="59"/>
      <c r="P69" s="1"/>
      <c r="Q69" s="1"/>
      <c r="R69" s="1"/>
      <c r="S69" s="1"/>
      <c r="T69" s="1"/>
      <c r="U69" s="1"/>
      <c r="V69" s="1"/>
      <c r="W69" s="1"/>
      <c r="X69" s="1"/>
      <c r="Y69" s="1"/>
      <c r="Z69" s="1"/>
      <c r="AA69" s="1"/>
    </row>
    <row r="70" spans="1:27" ht="12.75" customHeight="1">
      <c r="A70" s="1"/>
      <c r="B70" s="10" t="str">
        <f ca="1">IFERROR(__xludf.DUMMYFUNCTION("""COMPUTED_VALUE"""),"Fondo de Incentivo al Mejoramiento de la Gestión Municipal 2024")</f>
        <v>Fondo de Incentivo al Mejoramiento de la Gestión Municipal 2024</v>
      </c>
      <c r="C70" s="10" t="str">
        <f ca="1">IFERROR(__xludf.DUMMYFUNCTION("""COMPUTED_VALUE"""),"FIGEM-2024-107")</f>
        <v>FIGEM-2024-107</v>
      </c>
      <c r="D70" s="26" t="str">
        <f t="shared" ca="1" si="0"/>
        <v xml:space="preserve"> QUINTA DE TILCOCO</v>
      </c>
      <c r="E70" s="10" t="str">
        <f ca="1">IFERROR(__xludf.DUMMYFUNCTION("""COMPUTED_VALUE"""),"Resolución de Transferencia")</f>
        <v>Resolución de Transferencia</v>
      </c>
      <c r="F70" s="10" t="str">
        <f ca="1">IFERROR(__xludf.DUMMYFUNCTION("""COMPUTED_VALUE"""),"MUNICIPALIDAD DE QUINTA DE TILCOCO")</f>
        <v>MUNICIPALIDAD DE QUINTA DE TILCOCO</v>
      </c>
      <c r="G70" s="71">
        <f ca="1">IFERROR(__xludf.DUMMYFUNCTION("""COMPUTED_VALUE"""),87288567)</f>
        <v>87288567</v>
      </c>
      <c r="H70" s="10" t="str">
        <f ca="1">IFERROR(__xludf.DUMMYFUNCTION("""COMPUTED_VALUE"""),"Resolución")</f>
        <v>Resolución</v>
      </c>
      <c r="I70" s="10" t="str">
        <f ca="1">IFERROR(__xludf.DUMMYFUNCTION("""COMPUTED_VALUE"""),"FONDO DE INCENTIVO AL MEJORAMIENTO DE LA GESTIÓN MUNICIPAL")</f>
        <v>FONDO DE INCENTIVO AL MEJORAMIENTO DE LA GESTIÓN MUNICIPAL</v>
      </c>
      <c r="J70" s="10" t="str">
        <f ca="1">IFERROR(__xludf.DUMMYFUNCTION("""COMPUTED_VALUE"""),"Cumplir con normativa y reglamentos internos del programa en base a los objetivos.")</f>
        <v>Cumplir con normativa y reglamentos internos del programa en base a los objetivos.</v>
      </c>
      <c r="K70" s="71">
        <f ca="1">IFERROR(__xludf.DUMMYFUNCTION("""COMPUTED_VALUE"""),87288567)</f>
        <v>87288567</v>
      </c>
      <c r="L70" s="27">
        <f ca="1">IFERROR(__xludf.DUMMYFUNCTION("""COMPUTED_VALUE"""),1)</f>
        <v>1</v>
      </c>
      <c r="M70" s="10" t="str">
        <f ca="1">IFERROR(__xludf.DUMMYFUNCTION("""COMPUTED_VALUE"""),"19/2024")</f>
        <v>19/2024</v>
      </c>
      <c r="N70" s="10" t="str">
        <f ca="1">IFERROR(__xludf.DUMMYFUNCTION("""COMPUTED_VALUE"""),"FIGEM")</f>
        <v>FIGEM</v>
      </c>
      <c r="O70" s="59"/>
      <c r="P70" s="1"/>
      <c r="Q70" s="1"/>
      <c r="R70" s="1"/>
      <c r="S70" s="1"/>
      <c r="T70" s="1"/>
      <c r="U70" s="1"/>
      <c r="V70" s="1"/>
      <c r="W70" s="1"/>
      <c r="X70" s="1"/>
      <c r="Y70" s="1"/>
      <c r="Z70" s="1"/>
      <c r="AA70" s="1"/>
    </row>
    <row r="71" spans="1:27" ht="12.75" customHeight="1">
      <c r="A71" s="1"/>
      <c r="B71" s="10" t="str">
        <f ca="1">IFERROR(__xludf.DUMMYFUNCTION("""COMPUTED_VALUE"""),"Fondo de Incentivo al Mejoramiento de la Gestión Municipal 2024")</f>
        <v>Fondo de Incentivo al Mejoramiento de la Gestión Municipal 2024</v>
      </c>
      <c r="C71" s="10" t="str">
        <f ca="1">IFERROR(__xludf.DUMMYFUNCTION("""COMPUTED_VALUE"""),"FIGEM-2024-81")</f>
        <v>FIGEM-2024-81</v>
      </c>
      <c r="D71" s="26" t="str">
        <f t="shared" ca="1" si="0"/>
        <v xml:space="preserve"> REQUÍNOA</v>
      </c>
      <c r="E71" s="10" t="str">
        <f ca="1">IFERROR(__xludf.DUMMYFUNCTION("""COMPUTED_VALUE"""),"Resolución de Transferencia")</f>
        <v>Resolución de Transferencia</v>
      </c>
      <c r="F71" s="10" t="str">
        <f ca="1">IFERROR(__xludf.DUMMYFUNCTION("""COMPUTED_VALUE"""),"MUNICIPALIDAD DE REQUÍNOA")</f>
        <v>MUNICIPALIDAD DE REQUÍNOA</v>
      </c>
      <c r="G71" s="71">
        <f ca="1">IFERROR(__xludf.DUMMYFUNCTION("""COMPUTED_VALUE"""),90938237)</f>
        <v>90938237</v>
      </c>
      <c r="H71" s="10" t="str">
        <f ca="1">IFERROR(__xludf.DUMMYFUNCTION("""COMPUTED_VALUE"""),"Resolución")</f>
        <v>Resolución</v>
      </c>
      <c r="I71" s="10" t="str">
        <f ca="1">IFERROR(__xludf.DUMMYFUNCTION("""COMPUTED_VALUE"""),"FONDO DE INCENTIVO AL MEJORAMIENTO DE LA GESTIÓN MUNICIPAL")</f>
        <v>FONDO DE INCENTIVO AL MEJORAMIENTO DE LA GESTIÓN MUNICIPAL</v>
      </c>
      <c r="J71" s="10" t="str">
        <f ca="1">IFERROR(__xludf.DUMMYFUNCTION("""COMPUTED_VALUE"""),"Cumplir con normativa y reglamentos internos del programa en base a los objetivos.")</f>
        <v>Cumplir con normativa y reglamentos internos del programa en base a los objetivos.</v>
      </c>
      <c r="K71" s="71">
        <f ca="1">IFERROR(__xludf.DUMMYFUNCTION("""COMPUTED_VALUE"""),90938237)</f>
        <v>90938237</v>
      </c>
      <c r="L71" s="27">
        <f ca="1">IFERROR(__xludf.DUMMYFUNCTION("""COMPUTED_VALUE"""),1)</f>
        <v>1</v>
      </c>
      <c r="M71" s="10" t="str">
        <f ca="1">IFERROR(__xludf.DUMMYFUNCTION("""COMPUTED_VALUE"""),"19/2024")</f>
        <v>19/2024</v>
      </c>
      <c r="N71" s="10" t="str">
        <f ca="1">IFERROR(__xludf.DUMMYFUNCTION("""COMPUTED_VALUE"""),"FIGEM")</f>
        <v>FIGEM</v>
      </c>
      <c r="O71" s="59"/>
      <c r="P71" s="1"/>
      <c r="Q71" s="1"/>
      <c r="R71" s="1"/>
      <c r="S71" s="1"/>
      <c r="T71" s="1"/>
      <c r="U71" s="1"/>
      <c r="V71" s="1"/>
      <c r="W71" s="1"/>
      <c r="X71" s="1"/>
      <c r="Y71" s="1"/>
      <c r="Z71" s="1"/>
      <c r="AA71" s="1"/>
    </row>
    <row r="72" spans="1:27" ht="12.75" customHeight="1">
      <c r="A72" s="1"/>
      <c r="B72" s="10" t="str">
        <f ca="1">IFERROR(__xludf.DUMMYFUNCTION("""COMPUTED_VALUE"""),"Fondo de Incentivo al Mejoramiento de la Gestión Municipal 2024")</f>
        <v>Fondo de Incentivo al Mejoramiento de la Gestión Municipal 2024</v>
      </c>
      <c r="C72" s="10" t="str">
        <f ca="1">IFERROR(__xludf.DUMMYFUNCTION("""COMPUTED_VALUE"""),"FIGEM-2024-64")</f>
        <v>FIGEM-2024-64</v>
      </c>
      <c r="D72" s="26" t="str">
        <f t="shared" ca="1" si="0"/>
        <v xml:space="preserve"> PICHILEMU</v>
      </c>
      <c r="E72" s="10" t="str">
        <f ca="1">IFERROR(__xludf.DUMMYFUNCTION("""COMPUTED_VALUE"""),"Resolución de Transferencia")</f>
        <v>Resolución de Transferencia</v>
      </c>
      <c r="F72" s="10" t="str">
        <f ca="1">IFERROR(__xludf.DUMMYFUNCTION("""COMPUTED_VALUE"""),"MUNICIPALIDAD DE PICHILEMU")</f>
        <v>MUNICIPALIDAD DE PICHILEMU</v>
      </c>
      <c r="G72" s="71">
        <f ca="1">IFERROR(__xludf.DUMMYFUNCTION("""COMPUTED_VALUE"""),118422918)</f>
        <v>118422918</v>
      </c>
      <c r="H72" s="10" t="str">
        <f ca="1">IFERROR(__xludf.DUMMYFUNCTION("""COMPUTED_VALUE"""),"Resolución")</f>
        <v>Resolución</v>
      </c>
      <c r="I72" s="10" t="str">
        <f ca="1">IFERROR(__xludf.DUMMYFUNCTION("""COMPUTED_VALUE"""),"FONDO DE INCENTIVO AL MEJORAMIENTO DE LA GESTIÓN MUNICIPAL")</f>
        <v>FONDO DE INCENTIVO AL MEJORAMIENTO DE LA GESTIÓN MUNICIPAL</v>
      </c>
      <c r="J72" s="10" t="str">
        <f ca="1">IFERROR(__xludf.DUMMYFUNCTION("""COMPUTED_VALUE"""),"Cumplir con normativa y reglamentos internos del programa en base a los objetivos.")</f>
        <v>Cumplir con normativa y reglamentos internos del programa en base a los objetivos.</v>
      </c>
      <c r="K72" s="71">
        <f ca="1">IFERROR(__xludf.DUMMYFUNCTION("""COMPUTED_VALUE"""),118422918)</f>
        <v>118422918</v>
      </c>
      <c r="L72" s="27">
        <f ca="1">IFERROR(__xludf.DUMMYFUNCTION("""COMPUTED_VALUE"""),1)</f>
        <v>1</v>
      </c>
      <c r="M72" s="10" t="str">
        <f ca="1">IFERROR(__xludf.DUMMYFUNCTION("""COMPUTED_VALUE"""),"19/2024")</f>
        <v>19/2024</v>
      </c>
      <c r="N72" s="10" t="str">
        <f ca="1">IFERROR(__xludf.DUMMYFUNCTION("""COMPUTED_VALUE"""),"FIGEM")</f>
        <v>FIGEM</v>
      </c>
      <c r="O72" s="59"/>
      <c r="P72" s="1"/>
      <c r="Q72" s="1"/>
      <c r="R72" s="1"/>
      <c r="S72" s="1"/>
      <c r="T72" s="1"/>
      <c r="U72" s="1"/>
      <c r="V72" s="1"/>
      <c r="W72" s="1"/>
      <c r="X72" s="1"/>
      <c r="Y72" s="1"/>
      <c r="Z72" s="1"/>
      <c r="AA72" s="1"/>
    </row>
    <row r="73" spans="1:27" ht="12.75" customHeight="1">
      <c r="A73" s="1"/>
      <c r="B73" s="10" t="str">
        <f ca="1">IFERROR(__xludf.DUMMYFUNCTION("""COMPUTED_VALUE"""),"Fondo de Incentivo al Mejoramiento de la Gestión Municipal 2024")</f>
        <v>Fondo de Incentivo al Mejoramiento de la Gestión Municipal 2024</v>
      </c>
      <c r="C73" s="10" t="str">
        <f ca="1">IFERROR(__xludf.DUMMYFUNCTION("""COMPUTED_VALUE"""),"FIGEM-2024-103")</f>
        <v>FIGEM-2024-103</v>
      </c>
      <c r="D73" s="26" t="str">
        <f t="shared" ca="1" si="0"/>
        <v xml:space="preserve"> LA ESTRELLA</v>
      </c>
      <c r="E73" s="10" t="str">
        <f ca="1">IFERROR(__xludf.DUMMYFUNCTION("""COMPUTED_VALUE"""),"Resolución de Transferencia")</f>
        <v>Resolución de Transferencia</v>
      </c>
      <c r="F73" s="10" t="str">
        <f ca="1">IFERROR(__xludf.DUMMYFUNCTION("""COMPUTED_VALUE"""),"MUNICIPALIDAD DE LA ESTRELLA")</f>
        <v>MUNICIPALIDAD DE LA ESTRELLA</v>
      </c>
      <c r="G73" s="71">
        <f ca="1">IFERROR(__xludf.DUMMYFUNCTION("""COMPUTED_VALUE"""),87768991)</f>
        <v>87768991</v>
      </c>
      <c r="H73" s="10" t="str">
        <f ca="1">IFERROR(__xludf.DUMMYFUNCTION("""COMPUTED_VALUE"""),"Resolución")</f>
        <v>Resolución</v>
      </c>
      <c r="I73" s="10" t="str">
        <f ca="1">IFERROR(__xludf.DUMMYFUNCTION("""COMPUTED_VALUE"""),"FONDO DE INCENTIVO AL MEJORAMIENTO DE LA GESTIÓN MUNICIPAL")</f>
        <v>FONDO DE INCENTIVO AL MEJORAMIENTO DE LA GESTIÓN MUNICIPAL</v>
      </c>
      <c r="J73" s="10" t="str">
        <f ca="1">IFERROR(__xludf.DUMMYFUNCTION("""COMPUTED_VALUE"""),"Cumplir con normativa y reglamentos internos del programa en base a los objetivos.")</f>
        <v>Cumplir con normativa y reglamentos internos del programa en base a los objetivos.</v>
      </c>
      <c r="K73" s="71">
        <f ca="1">IFERROR(__xludf.DUMMYFUNCTION("""COMPUTED_VALUE"""),87768991)</f>
        <v>87768991</v>
      </c>
      <c r="L73" s="27">
        <f ca="1">IFERROR(__xludf.DUMMYFUNCTION("""COMPUTED_VALUE"""),1)</f>
        <v>1</v>
      </c>
      <c r="M73" s="10" t="str">
        <f ca="1">IFERROR(__xludf.DUMMYFUNCTION("""COMPUTED_VALUE"""),"19/2024")</f>
        <v>19/2024</v>
      </c>
      <c r="N73" s="10" t="str">
        <f ca="1">IFERROR(__xludf.DUMMYFUNCTION("""COMPUTED_VALUE"""),"FIGEM")</f>
        <v>FIGEM</v>
      </c>
      <c r="O73" s="59"/>
      <c r="P73" s="1"/>
      <c r="Q73" s="1"/>
      <c r="R73" s="1"/>
      <c r="S73" s="1"/>
      <c r="T73" s="1"/>
      <c r="U73" s="1"/>
      <c r="V73" s="1"/>
      <c r="W73" s="1"/>
      <c r="X73" s="1"/>
      <c r="Y73" s="1"/>
      <c r="Z73" s="1"/>
      <c r="AA73" s="1"/>
    </row>
    <row r="74" spans="1:27" ht="12.75" customHeight="1">
      <c r="A74" s="1"/>
      <c r="B74" s="10" t="str">
        <f ca="1">IFERROR(__xludf.DUMMYFUNCTION("""COMPUTED_VALUE"""),"Fondo de Incentivo al Mejoramiento de la Gestión Municipal 2024")</f>
        <v>Fondo de Incentivo al Mejoramiento de la Gestión Municipal 2024</v>
      </c>
      <c r="C74" s="10" t="str">
        <f ca="1">IFERROR(__xludf.DUMMYFUNCTION("""COMPUTED_VALUE"""),"FIGEM-2024-137")</f>
        <v>FIGEM-2024-137</v>
      </c>
      <c r="D74" s="26" t="str">
        <f t="shared" ca="1" si="0"/>
        <v xml:space="preserve"> LITUECHE</v>
      </c>
      <c r="E74" s="10" t="str">
        <f ca="1">IFERROR(__xludf.DUMMYFUNCTION("""COMPUTED_VALUE"""),"Resolución de Transferencia")</f>
        <v>Resolución de Transferencia</v>
      </c>
      <c r="F74" s="10" t="str">
        <f ca="1">IFERROR(__xludf.DUMMYFUNCTION("""COMPUTED_VALUE"""),"MUNICIPALIDAD DE LITUECHE")</f>
        <v>MUNICIPALIDAD DE LITUECHE</v>
      </c>
      <c r="G74" s="71">
        <f ca="1">IFERROR(__xludf.DUMMYFUNCTION("""COMPUTED_VALUE"""),93517104)</f>
        <v>93517104</v>
      </c>
      <c r="H74" s="10" t="str">
        <f ca="1">IFERROR(__xludf.DUMMYFUNCTION("""COMPUTED_VALUE"""),"Resolución")</f>
        <v>Resolución</v>
      </c>
      <c r="I74" s="10" t="str">
        <f ca="1">IFERROR(__xludf.DUMMYFUNCTION("""COMPUTED_VALUE"""),"FONDO DE INCENTIVO AL MEJORAMIENTO DE LA GESTIÓN MUNICIPAL")</f>
        <v>FONDO DE INCENTIVO AL MEJORAMIENTO DE LA GESTIÓN MUNICIPAL</v>
      </c>
      <c r="J74" s="10" t="str">
        <f ca="1">IFERROR(__xludf.DUMMYFUNCTION("""COMPUTED_VALUE"""),"Cumplir con normativa y reglamentos internos del programa en base a los objetivos.")</f>
        <v>Cumplir con normativa y reglamentos internos del programa en base a los objetivos.</v>
      </c>
      <c r="K74" s="71">
        <f ca="1">IFERROR(__xludf.DUMMYFUNCTION("""COMPUTED_VALUE"""),93517104)</f>
        <v>93517104</v>
      </c>
      <c r="L74" s="27">
        <f ca="1">IFERROR(__xludf.DUMMYFUNCTION("""COMPUTED_VALUE"""),1)</f>
        <v>1</v>
      </c>
      <c r="M74" s="10" t="str">
        <f ca="1">IFERROR(__xludf.DUMMYFUNCTION("""COMPUTED_VALUE"""),"19/2024")</f>
        <v>19/2024</v>
      </c>
      <c r="N74" s="10" t="str">
        <f ca="1">IFERROR(__xludf.DUMMYFUNCTION("""COMPUTED_VALUE"""),"FIGEM")</f>
        <v>FIGEM</v>
      </c>
      <c r="O74" s="59"/>
      <c r="P74" s="1"/>
      <c r="Q74" s="1"/>
      <c r="R74" s="1"/>
      <c r="S74" s="1"/>
      <c r="T74" s="1"/>
      <c r="U74" s="1"/>
      <c r="V74" s="1"/>
      <c r="W74" s="1"/>
      <c r="X74" s="1"/>
      <c r="Y74" s="1"/>
      <c r="Z74" s="1"/>
      <c r="AA74" s="1"/>
    </row>
    <row r="75" spans="1:27" ht="12.75" customHeight="1">
      <c r="A75" s="1"/>
      <c r="B75" s="10" t="str">
        <f ca="1">IFERROR(__xludf.DUMMYFUNCTION("""COMPUTED_VALUE"""),"Fondo de Incentivo al Mejoramiento de la Gestión Municipal 2024")</f>
        <v>Fondo de Incentivo al Mejoramiento de la Gestión Municipal 2024</v>
      </c>
      <c r="C75" s="10" t="str">
        <f ca="1">IFERROR(__xludf.DUMMYFUNCTION("""COMPUTED_VALUE"""),"FIGEM-2024-121")</f>
        <v>FIGEM-2024-121</v>
      </c>
      <c r="D75" s="26" t="str">
        <f t="shared" ca="1" si="0"/>
        <v xml:space="preserve"> MARCHIHUE</v>
      </c>
      <c r="E75" s="10" t="str">
        <f ca="1">IFERROR(__xludf.DUMMYFUNCTION("""COMPUTED_VALUE"""),"Resolución de Transferencia")</f>
        <v>Resolución de Transferencia</v>
      </c>
      <c r="F75" s="10" t="str">
        <f ca="1">IFERROR(__xludf.DUMMYFUNCTION("""COMPUTED_VALUE"""),"MUNICIPALIDAD DE MARCHIHUE")</f>
        <v>MUNICIPALIDAD DE MARCHIHUE</v>
      </c>
      <c r="G75" s="71">
        <f ca="1">IFERROR(__xludf.DUMMYFUNCTION("""COMPUTED_VALUE"""),105863138)</f>
        <v>105863138</v>
      </c>
      <c r="H75" s="10" t="str">
        <f ca="1">IFERROR(__xludf.DUMMYFUNCTION("""COMPUTED_VALUE"""),"Resolución")</f>
        <v>Resolución</v>
      </c>
      <c r="I75" s="10" t="str">
        <f ca="1">IFERROR(__xludf.DUMMYFUNCTION("""COMPUTED_VALUE"""),"FONDO DE INCENTIVO AL MEJORAMIENTO DE LA GESTIÓN MUNICIPAL")</f>
        <v>FONDO DE INCENTIVO AL MEJORAMIENTO DE LA GESTIÓN MUNICIPAL</v>
      </c>
      <c r="J75" s="10" t="str">
        <f ca="1">IFERROR(__xludf.DUMMYFUNCTION("""COMPUTED_VALUE"""),"Cumplir con normativa y reglamentos internos del programa en base a los objetivos.")</f>
        <v>Cumplir con normativa y reglamentos internos del programa en base a los objetivos.</v>
      </c>
      <c r="K75" s="71">
        <f ca="1">IFERROR(__xludf.DUMMYFUNCTION("""COMPUTED_VALUE"""),105863138)</f>
        <v>105863138</v>
      </c>
      <c r="L75" s="27">
        <f ca="1">IFERROR(__xludf.DUMMYFUNCTION("""COMPUTED_VALUE"""),1)</f>
        <v>1</v>
      </c>
      <c r="M75" s="10" t="str">
        <f ca="1">IFERROR(__xludf.DUMMYFUNCTION("""COMPUTED_VALUE"""),"19/2024")</f>
        <v>19/2024</v>
      </c>
      <c r="N75" s="10" t="str">
        <f ca="1">IFERROR(__xludf.DUMMYFUNCTION("""COMPUTED_VALUE"""),"FIGEM")</f>
        <v>FIGEM</v>
      </c>
      <c r="O75" s="59"/>
      <c r="P75" s="1"/>
      <c r="Q75" s="1"/>
      <c r="R75" s="1"/>
      <c r="S75" s="1"/>
      <c r="T75" s="1"/>
      <c r="U75" s="1"/>
      <c r="V75" s="1"/>
      <c r="W75" s="1"/>
      <c r="X75" s="1"/>
      <c r="Y75" s="1"/>
      <c r="Z75" s="1"/>
      <c r="AA75" s="1"/>
    </row>
    <row r="76" spans="1:27" ht="12.75" customHeight="1">
      <c r="A76" s="1"/>
      <c r="B76" s="10" t="str">
        <f ca="1">IFERROR(__xludf.DUMMYFUNCTION("""COMPUTED_VALUE"""),"Fondo de Incentivo al Mejoramiento de la Gestión Municipal 2024")</f>
        <v>Fondo de Incentivo al Mejoramiento de la Gestión Municipal 2024</v>
      </c>
      <c r="C76" s="10" t="str">
        <f ca="1">IFERROR(__xludf.DUMMYFUNCTION("""COMPUTED_VALUE"""),"FIGEM-2024-158")</f>
        <v>FIGEM-2024-158</v>
      </c>
      <c r="D76" s="26" t="str">
        <f t="shared" ca="1" si="0"/>
        <v xml:space="preserve"> NAVIDAD</v>
      </c>
      <c r="E76" s="10" t="str">
        <f ca="1">IFERROR(__xludf.DUMMYFUNCTION("""COMPUTED_VALUE"""),"Resolución de Transferencia")</f>
        <v>Resolución de Transferencia</v>
      </c>
      <c r="F76" s="10" t="str">
        <f ca="1">IFERROR(__xludf.DUMMYFUNCTION("""COMPUTED_VALUE"""),"MUNICIPALIDAD DE NAVIDAD")</f>
        <v>MUNICIPALIDAD DE NAVIDAD</v>
      </c>
      <c r="G76" s="71">
        <f ca="1">IFERROR(__xludf.DUMMYFUNCTION("""COMPUTED_VALUE"""),91209492)</f>
        <v>91209492</v>
      </c>
      <c r="H76" s="10" t="str">
        <f ca="1">IFERROR(__xludf.DUMMYFUNCTION("""COMPUTED_VALUE"""),"Resolución")</f>
        <v>Resolución</v>
      </c>
      <c r="I76" s="10" t="str">
        <f ca="1">IFERROR(__xludf.DUMMYFUNCTION("""COMPUTED_VALUE"""),"FONDO DE INCENTIVO AL MEJORAMIENTO DE LA GESTIÓN MUNICIPAL")</f>
        <v>FONDO DE INCENTIVO AL MEJORAMIENTO DE LA GESTIÓN MUNICIPAL</v>
      </c>
      <c r="J76" s="10" t="str">
        <f ca="1">IFERROR(__xludf.DUMMYFUNCTION("""COMPUTED_VALUE"""),"Cumplir con normativa y reglamentos internos del programa en base a los objetivos.")</f>
        <v>Cumplir con normativa y reglamentos internos del programa en base a los objetivos.</v>
      </c>
      <c r="K76" s="71">
        <f ca="1">IFERROR(__xludf.DUMMYFUNCTION("""COMPUTED_VALUE"""),91209492)</f>
        <v>91209492</v>
      </c>
      <c r="L76" s="27">
        <f ca="1">IFERROR(__xludf.DUMMYFUNCTION("""COMPUTED_VALUE"""),1)</f>
        <v>1</v>
      </c>
      <c r="M76" s="10" t="str">
        <f ca="1">IFERROR(__xludf.DUMMYFUNCTION("""COMPUTED_VALUE"""),"19/2024")</f>
        <v>19/2024</v>
      </c>
      <c r="N76" s="10" t="str">
        <f ca="1">IFERROR(__xludf.DUMMYFUNCTION("""COMPUTED_VALUE"""),"FIGEM")</f>
        <v>FIGEM</v>
      </c>
      <c r="O76" s="59"/>
      <c r="P76" s="1"/>
      <c r="Q76" s="1"/>
      <c r="R76" s="1"/>
      <c r="S76" s="1"/>
      <c r="T76" s="1"/>
      <c r="U76" s="1"/>
      <c r="V76" s="1"/>
      <c r="W76" s="1"/>
      <c r="X76" s="1"/>
      <c r="Y76" s="1"/>
      <c r="Z76" s="1"/>
      <c r="AA76" s="1"/>
    </row>
    <row r="77" spans="1:27" ht="12.75" customHeight="1">
      <c r="A77" s="1"/>
      <c r="B77" s="10" t="str">
        <f ca="1">IFERROR(__xludf.DUMMYFUNCTION("""COMPUTED_VALUE"""),"Fondo de Incentivo al Mejoramiento de la Gestión Municipal 2024")</f>
        <v>Fondo de Incentivo al Mejoramiento de la Gestión Municipal 2024</v>
      </c>
      <c r="C77" s="10" t="str">
        <f ca="1">IFERROR(__xludf.DUMMYFUNCTION("""COMPUTED_VALUE"""),"FIGEM-2024-169")</f>
        <v>FIGEM-2024-169</v>
      </c>
      <c r="D77" s="26" t="str">
        <f t="shared" ca="1" si="0"/>
        <v xml:space="preserve"> PAREDONES</v>
      </c>
      <c r="E77" s="10" t="str">
        <f ca="1">IFERROR(__xludf.DUMMYFUNCTION("""COMPUTED_VALUE"""),"Resolución de Transferencia")</f>
        <v>Resolución de Transferencia</v>
      </c>
      <c r="F77" s="10" t="str">
        <f ca="1">IFERROR(__xludf.DUMMYFUNCTION("""COMPUTED_VALUE"""),"MUNICIPALIDAD DE PAREDONES")</f>
        <v>MUNICIPALIDAD DE PAREDONES</v>
      </c>
      <c r="G77" s="71">
        <f ca="1">IFERROR(__xludf.DUMMYFUNCTION("""COMPUTED_VALUE"""),88281938)</f>
        <v>88281938</v>
      </c>
      <c r="H77" s="10" t="str">
        <f ca="1">IFERROR(__xludf.DUMMYFUNCTION("""COMPUTED_VALUE"""),"Resolución")</f>
        <v>Resolución</v>
      </c>
      <c r="I77" s="10" t="str">
        <f ca="1">IFERROR(__xludf.DUMMYFUNCTION("""COMPUTED_VALUE"""),"FONDO DE INCENTIVO AL MEJORAMIENTO DE LA GESTIÓN MUNICIPAL")</f>
        <v>FONDO DE INCENTIVO AL MEJORAMIENTO DE LA GESTIÓN MUNICIPAL</v>
      </c>
      <c r="J77" s="10" t="str">
        <f ca="1">IFERROR(__xludf.DUMMYFUNCTION("""COMPUTED_VALUE"""),"Cumplir con normativa y reglamentos internos del programa en base a los objetivos.")</f>
        <v>Cumplir con normativa y reglamentos internos del programa en base a los objetivos.</v>
      </c>
      <c r="K77" s="71">
        <f ca="1">IFERROR(__xludf.DUMMYFUNCTION("""COMPUTED_VALUE"""),88281938)</f>
        <v>88281938</v>
      </c>
      <c r="L77" s="27">
        <f ca="1">IFERROR(__xludf.DUMMYFUNCTION("""COMPUTED_VALUE"""),1)</f>
        <v>1</v>
      </c>
      <c r="M77" s="10" t="str">
        <f ca="1">IFERROR(__xludf.DUMMYFUNCTION("""COMPUTED_VALUE"""),"19/2024")</f>
        <v>19/2024</v>
      </c>
      <c r="N77" s="10" t="str">
        <f ca="1">IFERROR(__xludf.DUMMYFUNCTION("""COMPUTED_VALUE"""),"FIGEM")</f>
        <v>FIGEM</v>
      </c>
      <c r="O77" s="59"/>
      <c r="P77" s="1"/>
      <c r="Q77" s="1"/>
      <c r="R77" s="1"/>
      <c r="S77" s="1"/>
      <c r="T77" s="1"/>
      <c r="U77" s="1"/>
      <c r="V77" s="1"/>
      <c r="W77" s="1"/>
      <c r="X77" s="1"/>
      <c r="Y77" s="1"/>
      <c r="Z77" s="1"/>
      <c r="AA77" s="1"/>
    </row>
    <row r="78" spans="1:27" ht="12.75" customHeight="1">
      <c r="A78" s="1"/>
      <c r="B78" s="10" t="str">
        <f ca="1">IFERROR(__xludf.DUMMYFUNCTION("""COMPUTED_VALUE"""),"Fondo de Incentivo al Mejoramiento de la Gestión Municipal 2024")</f>
        <v>Fondo de Incentivo al Mejoramiento de la Gestión Municipal 2024</v>
      </c>
      <c r="C78" s="10" t="str">
        <f ca="1">IFERROR(__xludf.DUMMYFUNCTION("""COMPUTED_VALUE"""),"FIGEM-2024-119")</f>
        <v>FIGEM-2024-119</v>
      </c>
      <c r="D78" s="26" t="str">
        <f t="shared" ca="1" si="0"/>
        <v xml:space="preserve"> NANCAGUA</v>
      </c>
      <c r="E78" s="10" t="str">
        <f ca="1">IFERROR(__xludf.DUMMYFUNCTION("""COMPUTED_VALUE"""),"Resolución de Transferencia")</f>
        <v>Resolución de Transferencia</v>
      </c>
      <c r="F78" s="10" t="str">
        <f ca="1">IFERROR(__xludf.DUMMYFUNCTION("""COMPUTED_VALUE"""),"MUNICIPALIDAD DE NANCAGUA")</f>
        <v>MUNICIPALIDAD DE NANCAGUA</v>
      </c>
      <c r="G78" s="71">
        <f ca="1">IFERROR(__xludf.DUMMYFUNCTION("""COMPUTED_VALUE"""),85120640)</f>
        <v>85120640</v>
      </c>
      <c r="H78" s="10" t="str">
        <f ca="1">IFERROR(__xludf.DUMMYFUNCTION("""COMPUTED_VALUE"""),"Resolución")</f>
        <v>Resolución</v>
      </c>
      <c r="I78" s="10" t="str">
        <f ca="1">IFERROR(__xludf.DUMMYFUNCTION("""COMPUTED_VALUE"""),"FONDO DE INCENTIVO AL MEJORAMIENTO DE LA GESTIÓN MUNICIPAL")</f>
        <v>FONDO DE INCENTIVO AL MEJORAMIENTO DE LA GESTIÓN MUNICIPAL</v>
      </c>
      <c r="J78" s="10" t="str">
        <f ca="1">IFERROR(__xludf.DUMMYFUNCTION("""COMPUTED_VALUE"""),"Cumplir con normativa y reglamentos internos del programa en base a los objetivos.")</f>
        <v>Cumplir con normativa y reglamentos internos del programa en base a los objetivos.</v>
      </c>
      <c r="K78" s="71">
        <f ca="1">IFERROR(__xludf.DUMMYFUNCTION("""COMPUTED_VALUE"""),85120640)</f>
        <v>85120640</v>
      </c>
      <c r="L78" s="27">
        <f ca="1">IFERROR(__xludf.DUMMYFUNCTION("""COMPUTED_VALUE"""),1)</f>
        <v>1</v>
      </c>
      <c r="M78" s="10" t="str">
        <f ca="1">IFERROR(__xludf.DUMMYFUNCTION("""COMPUTED_VALUE"""),"19/2024")</f>
        <v>19/2024</v>
      </c>
      <c r="N78" s="10" t="str">
        <f ca="1">IFERROR(__xludf.DUMMYFUNCTION("""COMPUTED_VALUE"""),"FIGEM")</f>
        <v>FIGEM</v>
      </c>
      <c r="O78" s="59"/>
      <c r="P78" s="1"/>
      <c r="Q78" s="1"/>
      <c r="R78" s="1"/>
      <c r="S78" s="1"/>
      <c r="T78" s="1"/>
      <c r="U78" s="1"/>
      <c r="V78" s="1"/>
      <c r="W78" s="1"/>
      <c r="X78" s="1"/>
      <c r="Y78" s="1"/>
      <c r="Z78" s="1"/>
      <c r="AA78" s="1"/>
    </row>
    <row r="79" spans="1:27" ht="12.75" customHeight="1">
      <c r="A79" s="1"/>
      <c r="B79" s="10" t="str">
        <f ca="1">IFERROR(__xludf.DUMMYFUNCTION("""COMPUTED_VALUE"""),"Fondo de Incentivo al Mejoramiento de la Gestión Municipal 2024")</f>
        <v>Fondo de Incentivo al Mejoramiento de la Gestión Municipal 2024</v>
      </c>
      <c r="C79" s="10" t="str">
        <f ca="1">IFERROR(__xludf.DUMMYFUNCTION("""COMPUTED_VALUE"""),"FIGEM-2024-109")</f>
        <v>FIGEM-2024-109</v>
      </c>
      <c r="D79" s="26" t="str">
        <f t="shared" ca="1" si="0"/>
        <v xml:space="preserve"> PALMILLA</v>
      </c>
      <c r="E79" s="10" t="str">
        <f ca="1">IFERROR(__xludf.DUMMYFUNCTION("""COMPUTED_VALUE"""),"Resolución de Transferencia")</f>
        <v>Resolución de Transferencia</v>
      </c>
      <c r="F79" s="10" t="str">
        <f ca="1">IFERROR(__xludf.DUMMYFUNCTION("""COMPUTED_VALUE"""),"MUNICIPALIDAD DE PALMILLA")</f>
        <v>MUNICIPALIDAD DE PALMILLA</v>
      </c>
      <c r="G79" s="71">
        <f ca="1">IFERROR(__xludf.DUMMYFUNCTION("""COMPUTED_VALUE"""),86239602)</f>
        <v>86239602</v>
      </c>
      <c r="H79" s="10" t="str">
        <f ca="1">IFERROR(__xludf.DUMMYFUNCTION("""COMPUTED_VALUE"""),"Resolución")</f>
        <v>Resolución</v>
      </c>
      <c r="I79" s="10" t="str">
        <f ca="1">IFERROR(__xludf.DUMMYFUNCTION("""COMPUTED_VALUE"""),"FONDO DE INCENTIVO AL MEJORAMIENTO DE LA GESTIÓN MUNICIPAL")</f>
        <v>FONDO DE INCENTIVO AL MEJORAMIENTO DE LA GESTIÓN MUNICIPAL</v>
      </c>
      <c r="J79" s="10" t="str">
        <f ca="1">IFERROR(__xludf.DUMMYFUNCTION("""COMPUTED_VALUE"""),"Cumplir con normativa y reglamentos internos del programa en base a los objetivos.")</f>
        <v>Cumplir con normativa y reglamentos internos del programa en base a los objetivos.</v>
      </c>
      <c r="K79" s="71">
        <f ca="1">IFERROR(__xludf.DUMMYFUNCTION("""COMPUTED_VALUE"""),86239602)</f>
        <v>86239602</v>
      </c>
      <c r="L79" s="27">
        <f ca="1">IFERROR(__xludf.DUMMYFUNCTION("""COMPUTED_VALUE"""),1)</f>
        <v>1</v>
      </c>
      <c r="M79" s="10" t="str">
        <f ca="1">IFERROR(__xludf.DUMMYFUNCTION("""COMPUTED_VALUE"""),"19/2024")</f>
        <v>19/2024</v>
      </c>
      <c r="N79" s="10" t="str">
        <f ca="1">IFERROR(__xludf.DUMMYFUNCTION("""COMPUTED_VALUE"""),"FIGEM")</f>
        <v>FIGEM</v>
      </c>
      <c r="O79" s="59"/>
      <c r="P79" s="1"/>
      <c r="Q79" s="1"/>
      <c r="R79" s="1"/>
      <c r="S79" s="1"/>
      <c r="T79" s="1"/>
      <c r="U79" s="1"/>
      <c r="V79" s="1"/>
      <c r="W79" s="1"/>
      <c r="X79" s="1"/>
      <c r="Y79" s="1"/>
      <c r="Z79" s="1"/>
      <c r="AA79" s="1"/>
    </row>
    <row r="80" spans="1:27" ht="12.75" customHeight="1">
      <c r="A80" s="1"/>
      <c r="B80" s="10" t="str">
        <f ca="1">IFERROR(__xludf.DUMMYFUNCTION("""COMPUTED_VALUE"""),"Fondo de Incentivo al Mejoramiento de la Gestión Municipal 2024")</f>
        <v>Fondo de Incentivo al Mejoramiento de la Gestión Municipal 2024</v>
      </c>
      <c r="C80" s="10" t="str">
        <f ca="1">IFERROR(__xludf.DUMMYFUNCTION("""COMPUTED_VALUE"""),"FIGEM-2024-144")</f>
        <v>FIGEM-2024-144</v>
      </c>
      <c r="D80" s="26" t="str">
        <f t="shared" ca="1" si="0"/>
        <v xml:space="preserve"> PERALILLO</v>
      </c>
      <c r="E80" s="10" t="str">
        <f ca="1">IFERROR(__xludf.DUMMYFUNCTION("""COMPUTED_VALUE"""),"Resolución de Transferencia")</f>
        <v>Resolución de Transferencia</v>
      </c>
      <c r="F80" s="10" t="str">
        <f ca="1">IFERROR(__xludf.DUMMYFUNCTION("""COMPUTED_VALUE"""),"MUNICIPALIDAD DE PERALILLO")</f>
        <v>MUNICIPALIDAD DE PERALILLO</v>
      </c>
      <c r="G80" s="71">
        <f ca="1">IFERROR(__xludf.DUMMYFUNCTION("""COMPUTED_VALUE"""),92725300)</f>
        <v>92725300</v>
      </c>
      <c r="H80" s="10" t="str">
        <f ca="1">IFERROR(__xludf.DUMMYFUNCTION("""COMPUTED_VALUE"""),"Resolución")</f>
        <v>Resolución</v>
      </c>
      <c r="I80" s="10" t="str">
        <f ca="1">IFERROR(__xludf.DUMMYFUNCTION("""COMPUTED_VALUE"""),"FONDO DE INCENTIVO AL MEJORAMIENTO DE LA GESTIÓN MUNICIPAL")</f>
        <v>FONDO DE INCENTIVO AL MEJORAMIENTO DE LA GESTIÓN MUNICIPAL</v>
      </c>
      <c r="J80" s="10" t="str">
        <f ca="1">IFERROR(__xludf.DUMMYFUNCTION("""COMPUTED_VALUE"""),"Cumplir con normativa y reglamentos internos del programa en base a los objetivos.")</f>
        <v>Cumplir con normativa y reglamentos internos del programa en base a los objetivos.</v>
      </c>
      <c r="K80" s="71">
        <f ca="1">IFERROR(__xludf.DUMMYFUNCTION("""COMPUTED_VALUE"""),92725300)</f>
        <v>92725300</v>
      </c>
      <c r="L80" s="27">
        <f ca="1">IFERROR(__xludf.DUMMYFUNCTION("""COMPUTED_VALUE"""),1)</f>
        <v>1</v>
      </c>
      <c r="M80" s="10" t="str">
        <f ca="1">IFERROR(__xludf.DUMMYFUNCTION("""COMPUTED_VALUE"""),"19/2024")</f>
        <v>19/2024</v>
      </c>
      <c r="N80" s="10" t="str">
        <f ca="1">IFERROR(__xludf.DUMMYFUNCTION("""COMPUTED_VALUE"""),"FIGEM")</f>
        <v>FIGEM</v>
      </c>
      <c r="O80" s="59"/>
      <c r="P80" s="1"/>
      <c r="Q80" s="1"/>
      <c r="R80" s="1"/>
      <c r="S80" s="1"/>
      <c r="T80" s="1"/>
      <c r="U80" s="1"/>
      <c r="V80" s="1"/>
      <c r="W80" s="1"/>
      <c r="X80" s="1"/>
      <c r="Y80" s="1"/>
      <c r="Z80" s="1"/>
      <c r="AA80" s="1"/>
    </row>
    <row r="81" spans="1:27" ht="12.75" customHeight="1">
      <c r="A81" s="1"/>
      <c r="B81" s="10" t="str">
        <f ca="1">IFERROR(__xludf.DUMMYFUNCTION("""COMPUTED_VALUE"""),"Fondo de Incentivo al Mejoramiento de la Gestión Municipal 2024")</f>
        <v>Fondo de Incentivo al Mejoramiento de la Gestión Municipal 2024</v>
      </c>
      <c r="C81" s="10" t="str">
        <f ca="1">IFERROR(__xludf.DUMMYFUNCTION("""COMPUTED_VALUE"""),"FIGEM-2024-143")</f>
        <v>FIGEM-2024-143</v>
      </c>
      <c r="D81" s="26" t="str">
        <f t="shared" ca="1" si="0"/>
        <v xml:space="preserve"> PLACILLA</v>
      </c>
      <c r="E81" s="10" t="str">
        <f ca="1">IFERROR(__xludf.DUMMYFUNCTION("""COMPUTED_VALUE"""),"Resolución de Transferencia")</f>
        <v>Resolución de Transferencia</v>
      </c>
      <c r="F81" s="10" t="str">
        <f ca="1">IFERROR(__xludf.DUMMYFUNCTION("""COMPUTED_VALUE"""),"MUNICIPALIDAD DE PLACILLA")</f>
        <v>MUNICIPALIDAD DE PLACILLA</v>
      </c>
      <c r="G81" s="71">
        <f ca="1">IFERROR(__xludf.DUMMYFUNCTION("""COMPUTED_VALUE"""),92727092)</f>
        <v>92727092</v>
      </c>
      <c r="H81" s="10" t="str">
        <f ca="1">IFERROR(__xludf.DUMMYFUNCTION("""COMPUTED_VALUE"""),"Resolución")</f>
        <v>Resolución</v>
      </c>
      <c r="I81" s="10" t="str">
        <f ca="1">IFERROR(__xludf.DUMMYFUNCTION("""COMPUTED_VALUE"""),"FONDO DE INCENTIVO AL MEJORAMIENTO DE LA GESTIÓN MUNICIPAL")</f>
        <v>FONDO DE INCENTIVO AL MEJORAMIENTO DE LA GESTIÓN MUNICIPAL</v>
      </c>
      <c r="J81" s="10" t="str">
        <f ca="1">IFERROR(__xludf.DUMMYFUNCTION("""COMPUTED_VALUE"""),"Cumplir con normativa y reglamentos internos del programa en base a los objetivos.")</f>
        <v>Cumplir con normativa y reglamentos internos del programa en base a los objetivos.</v>
      </c>
      <c r="K81" s="71">
        <f ca="1">IFERROR(__xludf.DUMMYFUNCTION("""COMPUTED_VALUE"""),92727092)</f>
        <v>92727092</v>
      </c>
      <c r="L81" s="27">
        <f ca="1">IFERROR(__xludf.DUMMYFUNCTION("""COMPUTED_VALUE"""),1)</f>
        <v>1</v>
      </c>
      <c r="M81" s="10" t="str">
        <f ca="1">IFERROR(__xludf.DUMMYFUNCTION("""COMPUTED_VALUE"""),"19/2024")</f>
        <v>19/2024</v>
      </c>
      <c r="N81" s="10" t="str">
        <f ca="1">IFERROR(__xludf.DUMMYFUNCTION("""COMPUTED_VALUE"""),"FIGEM")</f>
        <v>FIGEM</v>
      </c>
      <c r="O81" s="59"/>
      <c r="P81" s="1"/>
      <c r="Q81" s="1"/>
      <c r="R81" s="1"/>
      <c r="S81" s="1"/>
      <c r="T81" s="1"/>
      <c r="U81" s="1"/>
      <c r="V81" s="1"/>
      <c r="W81" s="1"/>
      <c r="X81" s="1"/>
      <c r="Y81" s="1"/>
      <c r="Z81" s="1"/>
      <c r="AA81" s="1"/>
    </row>
    <row r="82" spans="1:27" ht="12.75" customHeight="1">
      <c r="A82" s="1"/>
      <c r="B82" s="10" t="str">
        <f ca="1">IFERROR(__xludf.DUMMYFUNCTION("""COMPUTED_VALUE"""),"Fondo de Incentivo al Mejoramiento de la Gestión Municipal 2024")</f>
        <v>Fondo de Incentivo al Mejoramiento de la Gestión Municipal 2024</v>
      </c>
      <c r="C82" s="10" t="str">
        <f ca="1">IFERROR(__xludf.DUMMYFUNCTION("""COMPUTED_VALUE"""),"FIGEM-2024-131")</f>
        <v>FIGEM-2024-131</v>
      </c>
      <c r="D82" s="26" t="str">
        <f t="shared" ca="1" si="0"/>
        <v xml:space="preserve"> PUMANQUE</v>
      </c>
      <c r="E82" s="10" t="str">
        <f ca="1">IFERROR(__xludf.DUMMYFUNCTION("""COMPUTED_VALUE"""),"Resolución de Transferencia")</f>
        <v>Resolución de Transferencia</v>
      </c>
      <c r="F82" s="10" t="str">
        <f ca="1">IFERROR(__xludf.DUMMYFUNCTION("""COMPUTED_VALUE"""),"MUNICIPALIDAD DE PUMANQUE")</f>
        <v>MUNICIPALIDAD DE PUMANQUE</v>
      </c>
      <c r="G82" s="71">
        <f ca="1">IFERROR(__xludf.DUMMYFUNCTION("""COMPUTED_VALUE"""),94716743)</f>
        <v>94716743</v>
      </c>
      <c r="H82" s="10" t="str">
        <f ca="1">IFERROR(__xludf.DUMMYFUNCTION("""COMPUTED_VALUE"""),"Resolución")</f>
        <v>Resolución</v>
      </c>
      <c r="I82" s="10" t="str">
        <f ca="1">IFERROR(__xludf.DUMMYFUNCTION("""COMPUTED_VALUE"""),"FONDO DE INCENTIVO AL MEJORAMIENTO DE LA GESTIÓN MUNICIPAL")</f>
        <v>FONDO DE INCENTIVO AL MEJORAMIENTO DE LA GESTIÓN MUNICIPAL</v>
      </c>
      <c r="J82" s="10" t="str">
        <f ca="1">IFERROR(__xludf.DUMMYFUNCTION("""COMPUTED_VALUE"""),"Cumplir con normativa y reglamentos internos del programa en base a los objetivos.")</f>
        <v>Cumplir con normativa y reglamentos internos del programa en base a los objetivos.</v>
      </c>
      <c r="K82" s="71">
        <f ca="1">IFERROR(__xludf.DUMMYFUNCTION("""COMPUTED_VALUE"""),94716743)</f>
        <v>94716743</v>
      </c>
      <c r="L82" s="27">
        <f ca="1">IFERROR(__xludf.DUMMYFUNCTION("""COMPUTED_VALUE"""),1)</f>
        <v>1</v>
      </c>
      <c r="M82" s="10" t="str">
        <f ca="1">IFERROR(__xludf.DUMMYFUNCTION("""COMPUTED_VALUE"""),"19/2024")</f>
        <v>19/2024</v>
      </c>
      <c r="N82" s="10" t="str">
        <f ca="1">IFERROR(__xludf.DUMMYFUNCTION("""COMPUTED_VALUE"""),"FIGEM")</f>
        <v>FIGEM</v>
      </c>
      <c r="O82" s="59"/>
      <c r="P82" s="1"/>
      <c r="Q82" s="1"/>
      <c r="R82" s="1"/>
      <c r="S82" s="1"/>
      <c r="T82" s="1"/>
      <c r="U82" s="1"/>
      <c r="V82" s="1"/>
      <c r="W82" s="1"/>
      <c r="X82" s="1"/>
      <c r="Y82" s="1"/>
      <c r="Z82" s="1"/>
      <c r="AA82" s="1"/>
    </row>
    <row r="83" spans="1:27" ht="12.75" customHeight="1">
      <c r="A83" s="1"/>
      <c r="B83" s="10" t="str">
        <f ca="1">IFERROR(__xludf.DUMMYFUNCTION("""COMPUTED_VALUE"""),"Fondo de Incentivo al Mejoramiento de la Gestión Municipal 2024")</f>
        <v>Fondo de Incentivo al Mejoramiento de la Gestión Municipal 2024</v>
      </c>
      <c r="C83" s="10" t="str">
        <f ca="1">IFERROR(__xludf.DUMMYFUNCTION("""COMPUTED_VALUE"""),"FIGEM-2024-16")</f>
        <v>FIGEM-2024-16</v>
      </c>
      <c r="D83" s="26" t="str">
        <f t="shared" ca="1" si="0"/>
        <v xml:space="preserve"> TALCA</v>
      </c>
      <c r="E83" s="10" t="str">
        <f ca="1">IFERROR(__xludf.DUMMYFUNCTION("""COMPUTED_VALUE"""),"Resolución de Transferencia")</f>
        <v>Resolución de Transferencia</v>
      </c>
      <c r="F83" s="10" t="str">
        <f ca="1">IFERROR(__xludf.DUMMYFUNCTION("""COMPUTED_VALUE"""),"MUNICIPALIDAD DE TALCA")</f>
        <v>MUNICIPALIDAD DE TALCA</v>
      </c>
      <c r="G83" s="71">
        <f ca="1">IFERROR(__xludf.DUMMYFUNCTION("""COMPUTED_VALUE"""),69278850)</f>
        <v>69278850</v>
      </c>
      <c r="H83" s="10" t="str">
        <f ca="1">IFERROR(__xludf.DUMMYFUNCTION("""COMPUTED_VALUE"""),"Resolución")</f>
        <v>Resolución</v>
      </c>
      <c r="I83" s="10" t="str">
        <f ca="1">IFERROR(__xludf.DUMMYFUNCTION("""COMPUTED_VALUE"""),"FONDO DE INCENTIVO AL MEJORAMIENTO DE LA GESTIÓN MUNICIPAL")</f>
        <v>FONDO DE INCENTIVO AL MEJORAMIENTO DE LA GESTIÓN MUNICIPAL</v>
      </c>
      <c r="J83" s="10" t="str">
        <f ca="1">IFERROR(__xludf.DUMMYFUNCTION("""COMPUTED_VALUE"""),"Cumplir con normativa y reglamentos internos del programa en base a los objetivos.")</f>
        <v>Cumplir con normativa y reglamentos internos del programa en base a los objetivos.</v>
      </c>
      <c r="K83" s="71">
        <f ca="1">IFERROR(__xludf.DUMMYFUNCTION("""COMPUTED_VALUE"""),69278850)</f>
        <v>69278850</v>
      </c>
      <c r="L83" s="27">
        <f ca="1">IFERROR(__xludf.DUMMYFUNCTION("""COMPUTED_VALUE"""),1)</f>
        <v>1</v>
      </c>
      <c r="M83" s="10" t="str">
        <f ca="1">IFERROR(__xludf.DUMMYFUNCTION("""COMPUTED_VALUE"""),"19/2024")</f>
        <v>19/2024</v>
      </c>
      <c r="N83" s="10" t="str">
        <f ca="1">IFERROR(__xludf.DUMMYFUNCTION("""COMPUTED_VALUE"""),"FIGEM")</f>
        <v>FIGEM</v>
      </c>
      <c r="O83" s="59"/>
      <c r="P83" s="1"/>
      <c r="Q83" s="1"/>
      <c r="R83" s="1"/>
      <c r="S83" s="1"/>
      <c r="T83" s="1"/>
      <c r="U83" s="1"/>
      <c r="V83" s="1"/>
      <c r="W83" s="1"/>
      <c r="X83" s="1"/>
      <c r="Y83" s="1"/>
      <c r="Z83" s="1"/>
      <c r="AA83" s="1"/>
    </row>
    <row r="84" spans="1:27" ht="12.75" customHeight="1">
      <c r="A84" s="1"/>
      <c r="B84" s="10" t="str">
        <f ca="1">IFERROR(__xludf.DUMMYFUNCTION("""COMPUTED_VALUE"""),"Fondo de Incentivo al Mejoramiento de la Gestión Municipal 2024")</f>
        <v>Fondo de Incentivo al Mejoramiento de la Gestión Municipal 2024</v>
      </c>
      <c r="C84" s="10" t="str">
        <f ca="1">IFERROR(__xludf.DUMMYFUNCTION("""COMPUTED_VALUE"""),"FIGEM-2024-150")</f>
        <v>FIGEM-2024-150</v>
      </c>
      <c r="D84" s="26" t="str">
        <f t="shared" ca="1" si="0"/>
        <v xml:space="preserve"> CUREPTO</v>
      </c>
      <c r="E84" s="10" t="str">
        <f ca="1">IFERROR(__xludf.DUMMYFUNCTION("""COMPUTED_VALUE"""),"Resolución de Transferencia")</f>
        <v>Resolución de Transferencia</v>
      </c>
      <c r="F84" s="10" t="str">
        <f ca="1">IFERROR(__xludf.DUMMYFUNCTION("""COMPUTED_VALUE"""),"MUNICIPALIDAD DE CUREPTO")</f>
        <v>MUNICIPALIDAD DE CUREPTO</v>
      </c>
      <c r="G84" s="71">
        <f ca="1">IFERROR(__xludf.DUMMYFUNCTION("""COMPUTED_VALUE"""),92157813)</f>
        <v>92157813</v>
      </c>
      <c r="H84" s="10" t="str">
        <f ca="1">IFERROR(__xludf.DUMMYFUNCTION("""COMPUTED_VALUE"""),"Resolución")</f>
        <v>Resolución</v>
      </c>
      <c r="I84" s="10" t="str">
        <f ca="1">IFERROR(__xludf.DUMMYFUNCTION("""COMPUTED_VALUE"""),"FONDO DE INCENTIVO AL MEJORAMIENTO DE LA GESTIÓN MUNICIPAL")</f>
        <v>FONDO DE INCENTIVO AL MEJORAMIENTO DE LA GESTIÓN MUNICIPAL</v>
      </c>
      <c r="J84" s="10" t="str">
        <f ca="1">IFERROR(__xludf.DUMMYFUNCTION("""COMPUTED_VALUE"""),"Cumplir con normativa y reglamentos internos del programa en base a los objetivos.")</f>
        <v>Cumplir con normativa y reglamentos internos del programa en base a los objetivos.</v>
      </c>
      <c r="K84" s="71">
        <f ca="1">IFERROR(__xludf.DUMMYFUNCTION("""COMPUTED_VALUE"""),92157813)</f>
        <v>92157813</v>
      </c>
      <c r="L84" s="27">
        <f ca="1">IFERROR(__xludf.DUMMYFUNCTION("""COMPUTED_VALUE"""),1)</f>
        <v>1</v>
      </c>
      <c r="M84" s="10" t="str">
        <f ca="1">IFERROR(__xludf.DUMMYFUNCTION("""COMPUTED_VALUE"""),"19/2024")</f>
        <v>19/2024</v>
      </c>
      <c r="N84" s="10" t="str">
        <f ca="1">IFERROR(__xludf.DUMMYFUNCTION("""COMPUTED_VALUE"""),"FIGEM")</f>
        <v>FIGEM</v>
      </c>
      <c r="O84" s="59"/>
      <c r="P84" s="1"/>
      <c r="Q84" s="1"/>
      <c r="R84" s="1"/>
      <c r="S84" s="1"/>
      <c r="T84" s="1"/>
      <c r="U84" s="1"/>
      <c r="V84" s="1"/>
      <c r="W84" s="1"/>
      <c r="X84" s="1"/>
      <c r="Y84" s="1"/>
      <c r="Z84" s="1"/>
      <c r="AA84" s="1"/>
    </row>
    <row r="85" spans="1:27" ht="12.75" customHeight="1">
      <c r="A85" s="1"/>
      <c r="B85" s="10" t="str">
        <f ca="1">IFERROR(__xludf.DUMMYFUNCTION("""COMPUTED_VALUE"""),"Fondo de Incentivo al Mejoramiento de la Gestión Municipal 2024")</f>
        <v>Fondo de Incentivo al Mejoramiento de la Gestión Municipal 2024</v>
      </c>
      <c r="C85" s="10" t="str">
        <f ca="1">IFERROR(__xludf.DUMMYFUNCTION("""COMPUTED_VALUE"""),"FIGEM-2024-174")</f>
        <v>FIGEM-2024-174</v>
      </c>
      <c r="D85" s="26" t="str">
        <f t="shared" ca="1" si="0"/>
        <v xml:space="preserve"> EMPEDRADO</v>
      </c>
      <c r="E85" s="10" t="str">
        <f ca="1">IFERROR(__xludf.DUMMYFUNCTION("""COMPUTED_VALUE"""),"Resolución de Transferencia")</f>
        <v>Resolución de Transferencia</v>
      </c>
      <c r="F85" s="10" t="str">
        <f ca="1">IFERROR(__xludf.DUMMYFUNCTION("""COMPUTED_VALUE"""),"MUNICIPALIDAD DE EMPEDRADO")</f>
        <v>MUNICIPALIDAD DE EMPEDRADO</v>
      </c>
      <c r="G85" s="71">
        <f ca="1">IFERROR(__xludf.DUMMYFUNCTION("""COMPUTED_VALUE"""),87319454)</f>
        <v>87319454</v>
      </c>
      <c r="H85" s="10" t="str">
        <f ca="1">IFERROR(__xludf.DUMMYFUNCTION("""COMPUTED_VALUE"""),"Resolución")</f>
        <v>Resolución</v>
      </c>
      <c r="I85" s="10" t="str">
        <f ca="1">IFERROR(__xludf.DUMMYFUNCTION("""COMPUTED_VALUE"""),"FONDO DE INCENTIVO AL MEJORAMIENTO DE LA GESTIÓN MUNICIPAL")</f>
        <v>FONDO DE INCENTIVO AL MEJORAMIENTO DE LA GESTIÓN MUNICIPAL</v>
      </c>
      <c r="J85" s="10" t="str">
        <f ca="1">IFERROR(__xludf.DUMMYFUNCTION("""COMPUTED_VALUE"""),"Cumplir con normativa y reglamentos internos del programa en base a los objetivos.")</f>
        <v>Cumplir con normativa y reglamentos internos del programa en base a los objetivos.</v>
      </c>
      <c r="K85" s="71">
        <f ca="1">IFERROR(__xludf.DUMMYFUNCTION("""COMPUTED_VALUE"""),87319454)</f>
        <v>87319454</v>
      </c>
      <c r="L85" s="27">
        <f ca="1">IFERROR(__xludf.DUMMYFUNCTION("""COMPUTED_VALUE"""),1)</f>
        <v>1</v>
      </c>
      <c r="M85" s="10" t="str">
        <f ca="1">IFERROR(__xludf.DUMMYFUNCTION("""COMPUTED_VALUE"""),"19/2024")</f>
        <v>19/2024</v>
      </c>
      <c r="N85" s="10" t="str">
        <f ca="1">IFERROR(__xludf.DUMMYFUNCTION("""COMPUTED_VALUE"""),"FIGEM")</f>
        <v>FIGEM</v>
      </c>
      <c r="O85" s="59"/>
      <c r="P85" s="1"/>
      <c r="Q85" s="1"/>
      <c r="R85" s="1"/>
      <c r="S85" s="1"/>
      <c r="T85" s="1"/>
      <c r="U85" s="1"/>
      <c r="V85" s="1"/>
      <c r="W85" s="1"/>
      <c r="X85" s="1"/>
      <c r="Y85" s="1"/>
      <c r="Z85" s="1"/>
      <c r="AA85" s="1"/>
    </row>
    <row r="86" spans="1:27" ht="12.75" customHeight="1">
      <c r="A86" s="1"/>
      <c r="B86" s="10" t="str">
        <f ca="1">IFERROR(__xludf.DUMMYFUNCTION("""COMPUTED_VALUE"""),"Fondo de Incentivo al Mejoramiento de la Gestión Municipal 2024")</f>
        <v>Fondo de Incentivo al Mejoramiento de la Gestión Municipal 2024</v>
      </c>
      <c r="C86" s="10" t="str">
        <f ca="1">IFERROR(__xludf.DUMMYFUNCTION("""COMPUTED_VALUE"""),"FIGEM-2024-133")</f>
        <v>FIGEM-2024-133</v>
      </c>
      <c r="D86" s="26" t="str">
        <f t="shared" ca="1" si="0"/>
        <v xml:space="preserve"> MAULE</v>
      </c>
      <c r="E86" s="10" t="str">
        <f ca="1">IFERROR(__xludf.DUMMYFUNCTION("""COMPUTED_VALUE"""),"Resolución de Transferencia")</f>
        <v>Resolución de Transferencia</v>
      </c>
      <c r="F86" s="10" t="str">
        <f ca="1">IFERROR(__xludf.DUMMYFUNCTION("""COMPUTED_VALUE"""),"MUNICIPALIDAD DE MAULE")</f>
        <v>MUNICIPALIDAD DE MAULE</v>
      </c>
      <c r="G86" s="71">
        <f ca="1">IFERROR(__xludf.DUMMYFUNCTION("""COMPUTED_VALUE"""),94431888)</f>
        <v>94431888</v>
      </c>
      <c r="H86" s="10" t="str">
        <f ca="1">IFERROR(__xludf.DUMMYFUNCTION("""COMPUTED_VALUE"""),"Resolución")</f>
        <v>Resolución</v>
      </c>
      <c r="I86" s="10" t="str">
        <f ca="1">IFERROR(__xludf.DUMMYFUNCTION("""COMPUTED_VALUE"""),"FONDO DE INCENTIVO AL MEJORAMIENTO DE LA GESTIÓN MUNICIPAL")</f>
        <v>FONDO DE INCENTIVO AL MEJORAMIENTO DE LA GESTIÓN MUNICIPAL</v>
      </c>
      <c r="J86" s="10" t="str">
        <f ca="1">IFERROR(__xludf.DUMMYFUNCTION("""COMPUTED_VALUE"""),"Cumplir con normativa y reglamentos internos del programa en base a los objetivos.")</f>
        <v>Cumplir con normativa y reglamentos internos del programa en base a los objetivos.</v>
      </c>
      <c r="K86" s="71">
        <f ca="1">IFERROR(__xludf.DUMMYFUNCTION("""COMPUTED_VALUE"""),94431888)</f>
        <v>94431888</v>
      </c>
      <c r="L86" s="27">
        <f ca="1">IFERROR(__xludf.DUMMYFUNCTION("""COMPUTED_VALUE"""),1)</f>
        <v>1</v>
      </c>
      <c r="M86" s="10" t="str">
        <f ca="1">IFERROR(__xludf.DUMMYFUNCTION("""COMPUTED_VALUE"""),"19/2024")</f>
        <v>19/2024</v>
      </c>
      <c r="N86" s="10" t="str">
        <f ca="1">IFERROR(__xludf.DUMMYFUNCTION("""COMPUTED_VALUE"""),"FIGEM")</f>
        <v>FIGEM</v>
      </c>
      <c r="O86" s="59"/>
      <c r="P86" s="1"/>
      <c r="Q86" s="1"/>
      <c r="R86" s="1"/>
      <c r="S86" s="1"/>
      <c r="T86" s="1"/>
      <c r="U86" s="1"/>
      <c r="V86" s="1"/>
      <c r="W86" s="1"/>
      <c r="X86" s="1"/>
      <c r="Y86" s="1"/>
      <c r="Z86" s="1"/>
      <c r="AA86" s="1"/>
    </row>
    <row r="87" spans="1:27" ht="12.75" customHeight="1">
      <c r="A87" s="1"/>
      <c r="B87" s="10" t="str">
        <f ca="1">IFERROR(__xludf.DUMMYFUNCTION("""COMPUTED_VALUE"""),"Fondo de Incentivo al Mejoramiento de la Gestión Municipal 2024")</f>
        <v>Fondo de Incentivo al Mejoramiento de la Gestión Municipal 2024</v>
      </c>
      <c r="C87" s="10" t="str">
        <f ca="1">IFERROR(__xludf.DUMMYFUNCTION("""COMPUTED_VALUE"""),"FIGEM-2024-122")</f>
        <v>FIGEM-2024-122</v>
      </c>
      <c r="D87" s="26" t="str">
        <f t="shared" ca="1" si="0"/>
        <v xml:space="preserve"> PELARCO</v>
      </c>
      <c r="E87" s="10" t="str">
        <f ca="1">IFERROR(__xludf.DUMMYFUNCTION("""COMPUTED_VALUE"""),"Resolución de Transferencia")</f>
        <v>Resolución de Transferencia</v>
      </c>
      <c r="F87" s="10" t="str">
        <f ca="1">IFERROR(__xludf.DUMMYFUNCTION("""COMPUTED_VALUE"""),"MUNICIPALIDAD DE PELARCO")</f>
        <v>MUNICIPALIDAD DE PELARCO</v>
      </c>
      <c r="G87" s="71">
        <f ca="1">IFERROR(__xludf.DUMMYFUNCTION("""COMPUTED_VALUE"""),104908284)</f>
        <v>104908284</v>
      </c>
      <c r="H87" s="10" t="str">
        <f ca="1">IFERROR(__xludf.DUMMYFUNCTION("""COMPUTED_VALUE"""),"Resolución")</f>
        <v>Resolución</v>
      </c>
      <c r="I87" s="10" t="str">
        <f ca="1">IFERROR(__xludf.DUMMYFUNCTION("""COMPUTED_VALUE"""),"FONDO DE INCENTIVO AL MEJORAMIENTO DE LA GESTIÓN MUNICIPAL")</f>
        <v>FONDO DE INCENTIVO AL MEJORAMIENTO DE LA GESTIÓN MUNICIPAL</v>
      </c>
      <c r="J87" s="10" t="str">
        <f ca="1">IFERROR(__xludf.DUMMYFUNCTION("""COMPUTED_VALUE"""),"Cumplir con normativa y reglamentos internos del programa en base a los objetivos.")</f>
        <v>Cumplir con normativa y reglamentos internos del programa en base a los objetivos.</v>
      </c>
      <c r="K87" s="71">
        <f ca="1">IFERROR(__xludf.DUMMYFUNCTION("""COMPUTED_VALUE"""),104908284)</f>
        <v>104908284</v>
      </c>
      <c r="L87" s="27">
        <f ca="1">IFERROR(__xludf.DUMMYFUNCTION("""COMPUTED_VALUE"""),1)</f>
        <v>1</v>
      </c>
      <c r="M87" s="10" t="str">
        <f ca="1">IFERROR(__xludf.DUMMYFUNCTION("""COMPUTED_VALUE"""),"19/2024")</f>
        <v>19/2024</v>
      </c>
      <c r="N87" s="10" t="str">
        <f ca="1">IFERROR(__xludf.DUMMYFUNCTION("""COMPUTED_VALUE"""),"FIGEM")</f>
        <v>FIGEM</v>
      </c>
      <c r="O87" s="59"/>
      <c r="P87" s="1"/>
      <c r="Q87" s="1"/>
      <c r="R87" s="1"/>
      <c r="S87" s="1"/>
      <c r="T87" s="1"/>
      <c r="U87" s="1"/>
      <c r="V87" s="1"/>
      <c r="W87" s="1"/>
      <c r="X87" s="1"/>
      <c r="Y87" s="1"/>
      <c r="Z87" s="1"/>
      <c r="AA87" s="1"/>
    </row>
    <row r="88" spans="1:27" ht="12.75" customHeight="1">
      <c r="A88" s="1"/>
      <c r="B88" s="10" t="str">
        <f ca="1">IFERROR(__xludf.DUMMYFUNCTION("""COMPUTED_VALUE"""),"Fondo de Incentivo al Mejoramiento de la Gestión Municipal 2024")</f>
        <v>Fondo de Incentivo al Mejoramiento de la Gestión Municipal 2024</v>
      </c>
      <c r="C88" s="10" t="str">
        <f ca="1">IFERROR(__xludf.DUMMYFUNCTION("""COMPUTED_VALUE"""),"FIGEM-2024-167")</f>
        <v>FIGEM-2024-167</v>
      </c>
      <c r="D88" s="26" t="str">
        <f t="shared" ca="1" si="0"/>
        <v xml:space="preserve"> SAN RAFAEL</v>
      </c>
      <c r="E88" s="10" t="str">
        <f ca="1">IFERROR(__xludf.DUMMYFUNCTION("""COMPUTED_VALUE"""),"Resolución de Transferencia")</f>
        <v>Resolución de Transferencia</v>
      </c>
      <c r="F88" s="10" t="str">
        <f ca="1">IFERROR(__xludf.DUMMYFUNCTION("""COMPUTED_VALUE"""),"MUNICIPALIDAD DE SAN RAFAEL")</f>
        <v>MUNICIPALIDAD DE SAN RAFAEL</v>
      </c>
      <c r="G88" s="71">
        <f ca="1">IFERROR(__xludf.DUMMYFUNCTION("""COMPUTED_VALUE"""),88759016)</f>
        <v>88759016</v>
      </c>
      <c r="H88" s="10" t="str">
        <f ca="1">IFERROR(__xludf.DUMMYFUNCTION("""COMPUTED_VALUE"""),"Resolución")</f>
        <v>Resolución</v>
      </c>
      <c r="I88" s="10" t="str">
        <f ca="1">IFERROR(__xludf.DUMMYFUNCTION("""COMPUTED_VALUE"""),"FONDO DE INCENTIVO AL MEJORAMIENTO DE LA GESTIÓN MUNICIPAL")</f>
        <v>FONDO DE INCENTIVO AL MEJORAMIENTO DE LA GESTIÓN MUNICIPAL</v>
      </c>
      <c r="J88" s="10" t="str">
        <f ca="1">IFERROR(__xludf.DUMMYFUNCTION("""COMPUTED_VALUE"""),"Cumplir con normativa y reglamentos internos del programa en base a los objetivos.")</f>
        <v>Cumplir con normativa y reglamentos internos del programa en base a los objetivos.</v>
      </c>
      <c r="K88" s="71">
        <f ca="1">IFERROR(__xludf.DUMMYFUNCTION("""COMPUTED_VALUE"""),88759016)</f>
        <v>88759016</v>
      </c>
      <c r="L88" s="27">
        <f ca="1">IFERROR(__xludf.DUMMYFUNCTION("""COMPUTED_VALUE"""),1)</f>
        <v>1</v>
      </c>
      <c r="M88" s="10" t="str">
        <f ca="1">IFERROR(__xludf.DUMMYFUNCTION("""COMPUTED_VALUE"""),"19/2024")</f>
        <v>19/2024</v>
      </c>
      <c r="N88" s="10" t="str">
        <f ca="1">IFERROR(__xludf.DUMMYFUNCTION("""COMPUTED_VALUE"""),"FIGEM")</f>
        <v>FIGEM</v>
      </c>
      <c r="O88" s="59"/>
      <c r="P88" s="1"/>
      <c r="Q88" s="1"/>
      <c r="R88" s="1"/>
      <c r="S88" s="1"/>
      <c r="T88" s="1"/>
      <c r="U88" s="1"/>
      <c r="V88" s="1"/>
      <c r="W88" s="1"/>
      <c r="X88" s="1"/>
      <c r="Y88" s="1"/>
      <c r="Z88" s="1"/>
      <c r="AA88" s="1"/>
    </row>
    <row r="89" spans="1:27" ht="12.75" customHeight="1">
      <c r="A89" s="1"/>
      <c r="B89" s="10" t="str">
        <f ca="1">IFERROR(__xludf.DUMMYFUNCTION("""COMPUTED_VALUE"""),"Fondo de Incentivo al Mejoramiento de la Gestión Municipal 2024")</f>
        <v>Fondo de Incentivo al Mejoramiento de la Gestión Municipal 2024</v>
      </c>
      <c r="C89" s="10" t="str">
        <f ca="1">IFERROR(__xludf.DUMMYFUNCTION("""COMPUTED_VALUE"""),"FIGEM-2024-163")</f>
        <v>FIGEM-2024-163</v>
      </c>
      <c r="D89" s="26" t="str">
        <f t="shared" ca="1" si="0"/>
        <v xml:space="preserve"> CHANCO</v>
      </c>
      <c r="E89" s="10" t="str">
        <f ca="1">IFERROR(__xludf.DUMMYFUNCTION("""COMPUTED_VALUE"""),"Resolución de Transferencia")</f>
        <v>Resolución de Transferencia</v>
      </c>
      <c r="F89" s="10" t="str">
        <f ca="1">IFERROR(__xludf.DUMMYFUNCTION("""COMPUTED_VALUE"""),"MUNICIPALIDAD DE CHANCO")</f>
        <v>MUNICIPALIDAD DE CHANCO</v>
      </c>
      <c r="G89" s="71">
        <f ca="1">IFERROR(__xludf.DUMMYFUNCTION("""COMPUTED_VALUE"""),90702386)</f>
        <v>90702386</v>
      </c>
      <c r="H89" s="10" t="str">
        <f ca="1">IFERROR(__xludf.DUMMYFUNCTION("""COMPUTED_VALUE"""),"Resolución")</f>
        <v>Resolución</v>
      </c>
      <c r="I89" s="10" t="str">
        <f ca="1">IFERROR(__xludf.DUMMYFUNCTION("""COMPUTED_VALUE"""),"FONDO DE INCENTIVO AL MEJORAMIENTO DE LA GESTIÓN MUNICIPAL")</f>
        <v>FONDO DE INCENTIVO AL MEJORAMIENTO DE LA GESTIÓN MUNICIPAL</v>
      </c>
      <c r="J89" s="10" t="str">
        <f ca="1">IFERROR(__xludf.DUMMYFUNCTION("""COMPUTED_VALUE"""),"Cumplir con normativa y reglamentos internos del programa en base a los objetivos.")</f>
        <v>Cumplir con normativa y reglamentos internos del programa en base a los objetivos.</v>
      </c>
      <c r="K89" s="71">
        <f ca="1">IFERROR(__xludf.DUMMYFUNCTION("""COMPUTED_VALUE"""),90702386)</f>
        <v>90702386</v>
      </c>
      <c r="L89" s="27">
        <f ca="1">IFERROR(__xludf.DUMMYFUNCTION("""COMPUTED_VALUE"""),1)</f>
        <v>1</v>
      </c>
      <c r="M89" s="10" t="str">
        <f ca="1">IFERROR(__xludf.DUMMYFUNCTION("""COMPUTED_VALUE"""),"19/2024")</f>
        <v>19/2024</v>
      </c>
      <c r="N89" s="10" t="str">
        <f ca="1">IFERROR(__xludf.DUMMYFUNCTION("""COMPUTED_VALUE"""),"FIGEM")</f>
        <v>FIGEM</v>
      </c>
      <c r="O89" s="59"/>
      <c r="P89" s="1"/>
      <c r="Q89" s="1"/>
      <c r="R89" s="1"/>
      <c r="S89" s="1"/>
      <c r="T89" s="1"/>
      <c r="U89" s="1"/>
      <c r="V89" s="1"/>
      <c r="W89" s="1"/>
      <c r="X89" s="1"/>
      <c r="Y89" s="1"/>
      <c r="Z89" s="1"/>
      <c r="AA89" s="1"/>
    </row>
    <row r="90" spans="1:27" ht="12.75" customHeight="1">
      <c r="A90" s="1"/>
      <c r="B90" s="10" t="str">
        <f ca="1">IFERROR(__xludf.DUMMYFUNCTION("""COMPUTED_VALUE"""),"Fondo de Incentivo al Mejoramiento de la Gestión Municipal 2024")</f>
        <v>Fondo de Incentivo al Mejoramiento de la Gestión Municipal 2024</v>
      </c>
      <c r="C90" s="10" t="str">
        <f ca="1">IFERROR(__xludf.DUMMYFUNCTION("""COMPUTED_VALUE"""),"FIGEM-2024-154")</f>
        <v>FIGEM-2024-154</v>
      </c>
      <c r="D90" s="26" t="str">
        <f t="shared" ca="1" si="0"/>
        <v xml:space="preserve"> PELLUHUE</v>
      </c>
      <c r="E90" s="10" t="str">
        <f ca="1">IFERROR(__xludf.DUMMYFUNCTION("""COMPUTED_VALUE"""),"Resolución de Transferencia")</f>
        <v>Resolución de Transferencia</v>
      </c>
      <c r="F90" s="10" t="str">
        <f ca="1">IFERROR(__xludf.DUMMYFUNCTION("""COMPUTED_VALUE"""),"MUNICIPALIDAD DE PELLUHUE")</f>
        <v>MUNICIPALIDAD DE PELLUHUE</v>
      </c>
      <c r="G90" s="71">
        <f ca="1">IFERROR(__xludf.DUMMYFUNCTION("""COMPUTED_VALUE"""),91652695)</f>
        <v>91652695</v>
      </c>
      <c r="H90" s="10" t="str">
        <f ca="1">IFERROR(__xludf.DUMMYFUNCTION("""COMPUTED_VALUE"""),"Resolución")</f>
        <v>Resolución</v>
      </c>
      <c r="I90" s="10" t="str">
        <f ca="1">IFERROR(__xludf.DUMMYFUNCTION("""COMPUTED_VALUE"""),"FONDO DE INCENTIVO AL MEJORAMIENTO DE LA GESTIÓN MUNICIPAL")</f>
        <v>FONDO DE INCENTIVO AL MEJORAMIENTO DE LA GESTIÓN MUNICIPAL</v>
      </c>
      <c r="J90" s="10" t="str">
        <f ca="1">IFERROR(__xludf.DUMMYFUNCTION("""COMPUTED_VALUE"""),"Cumplir con normativa y reglamentos internos del programa en base a los objetivos.")</f>
        <v>Cumplir con normativa y reglamentos internos del programa en base a los objetivos.</v>
      </c>
      <c r="K90" s="71">
        <f ca="1">IFERROR(__xludf.DUMMYFUNCTION("""COMPUTED_VALUE"""),91652695)</f>
        <v>91652695</v>
      </c>
      <c r="L90" s="27">
        <f ca="1">IFERROR(__xludf.DUMMYFUNCTION("""COMPUTED_VALUE"""),1)</f>
        <v>1</v>
      </c>
      <c r="M90" s="10" t="str">
        <f ca="1">IFERROR(__xludf.DUMMYFUNCTION("""COMPUTED_VALUE"""),"19/2024")</f>
        <v>19/2024</v>
      </c>
      <c r="N90" s="10" t="str">
        <f ca="1">IFERROR(__xludf.DUMMYFUNCTION("""COMPUTED_VALUE"""),"FIGEM")</f>
        <v>FIGEM</v>
      </c>
      <c r="O90" s="59"/>
      <c r="P90" s="1"/>
      <c r="Q90" s="1"/>
      <c r="R90" s="1"/>
      <c r="S90" s="1"/>
      <c r="T90" s="1"/>
      <c r="U90" s="1"/>
      <c r="V90" s="1"/>
      <c r="W90" s="1"/>
      <c r="X90" s="1"/>
      <c r="Y90" s="1"/>
      <c r="Z90" s="1"/>
      <c r="AA90" s="1"/>
    </row>
    <row r="91" spans="1:27" ht="12.75" customHeight="1">
      <c r="A91" s="1"/>
      <c r="B91" s="10" t="str">
        <f ca="1">IFERROR(__xludf.DUMMYFUNCTION("""COMPUTED_VALUE"""),"Fondo de Incentivo al Mejoramiento de la Gestión Municipal 2024")</f>
        <v>Fondo de Incentivo al Mejoramiento de la Gestión Municipal 2024</v>
      </c>
      <c r="C91" s="10" t="str">
        <f ca="1">IFERROR(__xludf.DUMMYFUNCTION("""COMPUTED_VALUE"""),"FIGEM-2024-159")</f>
        <v>FIGEM-2024-159</v>
      </c>
      <c r="D91" s="26" t="str">
        <f t="shared" ca="1" si="0"/>
        <v xml:space="preserve"> LICANTÉN</v>
      </c>
      <c r="E91" s="10" t="str">
        <f ca="1">IFERROR(__xludf.DUMMYFUNCTION("""COMPUTED_VALUE"""),"Resolución de Transferencia")</f>
        <v>Resolución de Transferencia</v>
      </c>
      <c r="F91" s="10" t="str">
        <f ca="1">IFERROR(__xludf.DUMMYFUNCTION("""COMPUTED_VALUE"""),"MUNICIPALIDAD DE LICANTÉN")</f>
        <v>MUNICIPALIDAD DE LICANTÉN</v>
      </c>
      <c r="G91" s="71">
        <f ca="1">IFERROR(__xludf.DUMMYFUNCTION("""COMPUTED_VALUE"""),91028009)</f>
        <v>91028009</v>
      </c>
      <c r="H91" s="10" t="str">
        <f ca="1">IFERROR(__xludf.DUMMYFUNCTION("""COMPUTED_VALUE"""),"Resolución")</f>
        <v>Resolución</v>
      </c>
      <c r="I91" s="10" t="str">
        <f ca="1">IFERROR(__xludf.DUMMYFUNCTION("""COMPUTED_VALUE"""),"FONDO DE INCENTIVO AL MEJORAMIENTO DE LA GESTIÓN MUNICIPAL")</f>
        <v>FONDO DE INCENTIVO AL MEJORAMIENTO DE LA GESTIÓN MUNICIPAL</v>
      </c>
      <c r="J91" s="10" t="str">
        <f ca="1">IFERROR(__xludf.DUMMYFUNCTION("""COMPUTED_VALUE"""),"Cumplir con normativa y reglamentos internos del programa en base a los objetivos.")</f>
        <v>Cumplir con normativa y reglamentos internos del programa en base a los objetivos.</v>
      </c>
      <c r="K91" s="71">
        <f ca="1">IFERROR(__xludf.DUMMYFUNCTION("""COMPUTED_VALUE"""),91028009)</f>
        <v>91028009</v>
      </c>
      <c r="L91" s="27">
        <f ca="1">IFERROR(__xludf.DUMMYFUNCTION("""COMPUTED_VALUE"""),1)</f>
        <v>1</v>
      </c>
      <c r="M91" s="10" t="str">
        <f ca="1">IFERROR(__xludf.DUMMYFUNCTION("""COMPUTED_VALUE"""),"19/2024")</f>
        <v>19/2024</v>
      </c>
      <c r="N91" s="10" t="str">
        <f ca="1">IFERROR(__xludf.DUMMYFUNCTION("""COMPUTED_VALUE"""),"FIGEM")</f>
        <v>FIGEM</v>
      </c>
      <c r="O91" s="59"/>
      <c r="P91" s="1"/>
      <c r="Q91" s="1"/>
      <c r="R91" s="1"/>
      <c r="S91" s="1"/>
      <c r="T91" s="1"/>
      <c r="U91" s="1"/>
      <c r="V91" s="1"/>
      <c r="W91" s="1"/>
      <c r="X91" s="1"/>
      <c r="Y91" s="1"/>
      <c r="Z91" s="1"/>
      <c r="AA91" s="1"/>
    </row>
    <row r="92" spans="1:27" ht="12.75" customHeight="1">
      <c r="A92" s="1"/>
      <c r="B92" s="10" t="str">
        <f ca="1">IFERROR(__xludf.DUMMYFUNCTION("""COMPUTED_VALUE"""),"Fondo de Incentivo al Mejoramiento de la Gestión Municipal 2024")</f>
        <v>Fondo de Incentivo al Mejoramiento de la Gestión Municipal 2024</v>
      </c>
      <c r="C92" s="10" t="str">
        <f ca="1">IFERROR(__xludf.DUMMYFUNCTION("""COMPUTED_VALUE"""),"FIGEM-2024-51")</f>
        <v>FIGEM-2024-51</v>
      </c>
      <c r="D92" s="26" t="str">
        <f t="shared" ca="1" si="0"/>
        <v xml:space="preserve"> MOLINA</v>
      </c>
      <c r="E92" s="10" t="str">
        <f ca="1">IFERROR(__xludf.DUMMYFUNCTION("""COMPUTED_VALUE"""),"Resolución de Transferencia")</f>
        <v>Resolución de Transferencia</v>
      </c>
      <c r="F92" s="10" t="str">
        <f ca="1">IFERROR(__xludf.DUMMYFUNCTION("""COMPUTED_VALUE"""),"MUNICIPALIDAD DE MOLINA")</f>
        <v>MUNICIPALIDAD DE MOLINA</v>
      </c>
      <c r="G92" s="71">
        <f ca="1">IFERROR(__xludf.DUMMYFUNCTION("""COMPUTED_VALUE"""),126085175)</f>
        <v>126085175</v>
      </c>
      <c r="H92" s="10" t="str">
        <f ca="1">IFERROR(__xludf.DUMMYFUNCTION("""COMPUTED_VALUE"""),"Resolución")</f>
        <v>Resolución</v>
      </c>
      <c r="I92" s="10" t="str">
        <f ca="1">IFERROR(__xludf.DUMMYFUNCTION("""COMPUTED_VALUE"""),"FONDO DE INCENTIVO AL MEJORAMIENTO DE LA GESTIÓN MUNICIPAL")</f>
        <v>FONDO DE INCENTIVO AL MEJORAMIENTO DE LA GESTIÓN MUNICIPAL</v>
      </c>
      <c r="J92" s="10" t="str">
        <f ca="1">IFERROR(__xludf.DUMMYFUNCTION("""COMPUTED_VALUE"""),"Cumplir con normativa y reglamentos internos del programa en base a los objetivos.")</f>
        <v>Cumplir con normativa y reglamentos internos del programa en base a los objetivos.</v>
      </c>
      <c r="K92" s="71">
        <f ca="1">IFERROR(__xludf.DUMMYFUNCTION("""COMPUTED_VALUE"""),126085175)</f>
        <v>126085175</v>
      </c>
      <c r="L92" s="27">
        <f ca="1">IFERROR(__xludf.DUMMYFUNCTION("""COMPUTED_VALUE"""),1)</f>
        <v>1</v>
      </c>
      <c r="M92" s="10" t="str">
        <f ca="1">IFERROR(__xludf.DUMMYFUNCTION("""COMPUTED_VALUE"""),"19/2024")</f>
        <v>19/2024</v>
      </c>
      <c r="N92" s="10" t="str">
        <f ca="1">IFERROR(__xludf.DUMMYFUNCTION("""COMPUTED_VALUE"""),"FIGEM")</f>
        <v>FIGEM</v>
      </c>
      <c r="O92" s="59"/>
      <c r="P92" s="1"/>
      <c r="Q92" s="1"/>
      <c r="R92" s="1"/>
      <c r="S92" s="1"/>
      <c r="T92" s="1"/>
      <c r="U92" s="1"/>
      <c r="V92" s="1"/>
      <c r="W92" s="1"/>
      <c r="X92" s="1"/>
      <c r="Y92" s="1"/>
      <c r="Z92" s="1"/>
      <c r="AA92" s="1"/>
    </row>
    <row r="93" spans="1:27" ht="12.75" customHeight="1">
      <c r="A93" s="1"/>
      <c r="B93" s="10" t="str">
        <f ca="1">IFERROR(__xludf.DUMMYFUNCTION("""COMPUTED_VALUE"""),"Fondo de Incentivo al Mejoramiento de la Gestión Municipal 2024")</f>
        <v>Fondo de Incentivo al Mejoramiento de la Gestión Municipal 2024</v>
      </c>
      <c r="C93" s="10" t="str">
        <f ca="1">IFERROR(__xludf.DUMMYFUNCTION("""COMPUTED_VALUE"""),"FIGEM-2024-74")</f>
        <v>FIGEM-2024-74</v>
      </c>
      <c r="D93" s="26" t="str">
        <f t="shared" ca="1" si="0"/>
        <v xml:space="preserve"> ROMERAL</v>
      </c>
      <c r="E93" s="10" t="str">
        <f ca="1">IFERROR(__xludf.DUMMYFUNCTION("""COMPUTED_VALUE"""),"Resolución de Transferencia")</f>
        <v>Resolución de Transferencia</v>
      </c>
      <c r="F93" s="10" t="str">
        <f ca="1">IFERROR(__xludf.DUMMYFUNCTION("""COMPUTED_VALUE"""),"MUNICIPALIDAD DE ROMERAL")</f>
        <v>MUNICIPALIDAD DE ROMERAL</v>
      </c>
      <c r="G93" s="71">
        <f ca="1">IFERROR(__xludf.DUMMYFUNCTION("""COMPUTED_VALUE"""),93920411)</f>
        <v>93920411</v>
      </c>
      <c r="H93" s="10" t="str">
        <f ca="1">IFERROR(__xludf.DUMMYFUNCTION("""COMPUTED_VALUE"""),"Resolución")</f>
        <v>Resolución</v>
      </c>
      <c r="I93" s="10" t="str">
        <f ca="1">IFERROR(__xludf.DUMMYFUNCTION("""COMPUTED_VALUE"""),"FONDO DE INCENTIVO AL MEJORAMIENTO DE LA GESTIÓN MUNICIPAL")</f>
        <v>FONDO DE INCENTIVO AL MEJORAMIENTO DE LA GESTIÓN MUNICIPAL</v>
      </c>
      <c r="J93" s="10" t="str">
        <f ca="1">IFERROR(__xludf.DUMMYFUNCTION("""COMPUTED_VALUE"""),"Cumplir con normativa y reglamentos internos del programa en base a los objetivos.")</f>
        <v>Cumplir con normativa y reglamentos internos del programa en base a los objetivos.</v>
      </c>
      <c r="K93" s="71">
        <f ca="1">IFERROR(__xludf.DUMMYFUNCTION("""COMPUTED_VALUE"""),93920411)</f>
        <v>93920411</v>
      </c>
      <c r="L93" s="27">
        <f ca="1">IFERROR(__xludf.DUMMYFUNCTION("""COMPUTED_VALUE"""),1)</f>
        <v>1</v>
      </c>
      <c r="M93" s="10" t="str">
        <f ca="1">IFERROR(__xludf.DUMMYFUNCTION("""COMPUTED_VALUE"""),"19/2024")</f>
        <v>19/2024</v>
      </c>
      <c r="N93" s="10" t="str">
        <f ca="1">IFERROR(__xludf.DUMMYFUNCTION("""COMPUTED_VALUE"""),"FIGEM")</f>
        <v>FIGEM</v>
      </c>
      <c r="O93" s="59"/>
      <c r="P93" s="1"/>
      <c r="Q93" s="1"/>
      <c r="R93" s="1"/>
      <c r="S93" s="1"/>
      <c r="T93" s="1"/>
      <c r="U93" s="1"/>
      <c r="V93" s="1"/>
      <c r="W93" s="1"/>
      <c r="X93" s="1"/>
      <c r="Y93" s="1"/>
      <c r="Z93" s="1"/>
      <c r="AA93" s="1"/>
    </row>
    <row r="94" spans="1:27" ht="12.75" customHeight="1">
      <c r="A94" s="1"/>
      <c r="B94" s="10" t="str">
        <f ca="1">IFERROR(__xludf.DUMMYFUNCTION("""COMPUTED_VALUE"""),"Fondo de Incentivo al Mejoramiento de la Gestión Municipal 2024")</f>
        <v>Fondo de Incentivo al Mejoramiento de la Gestión Municipal 2024</v>
      </c>
      <c r="C94" s="10" t="str">
        <f ca="1">IFERROR(__xludf.DUMMYFUNCTION("""COMPUTED_VALUE"""),"FIGEM-2024-126")</f>
        <v>FIGEM-2024-126</v>
      </c>
      <c r="D94" s="26" t="str">
        <f t="shared" ca="1" si="0"/>
        <v xml:space="preserve"> SAGRADA FAMILIA</v>
      </c>
      <c r="E94" s="10" t="str">
        <f ca="1">IFERROR(__xludf.DUMMYFUNCTION("""COMPUTED_VALUE"""),"Resolución de Transferencia")</f>
        <v>Resolución de Transferencia</v>
      </c>
      <c r="F94" s="10" t="str">
        <f ca="1">IFERROR(__xludf.DUMMYFUNCTION("""COMPUTED_VALUE"""),"MUNICIPALIDAD DE SAGRADA FAMILIA")</f>
        <v>MUNICIPALIDAD DE SAGRADA FAMILIA</v>
      </c>
      <c r="G94" s="71">
        <f ca="1">IFERROR(__xludf.DUMMYFUNCTION("""COMPUTED_VALUE"""),95386875)</f>
        <v>95386875</v>
      </c>
      <c r="H94" s="10" t="str">
        <f ca="1">IFERROR(__xludf.DUMMYFUNCTION("""COMPUTED_VALUE"""),"Resolución")</f>
        <v>Resolución</v>
      </c>
      <c r="I94" s="10" t="str">
        <f ca="1">IFERROR(__xludf.DUMMYFUNCTION("""COMPUTED_VALUE"""),"FONDO DE INCENTIVO AL MEJORAMIENTO DE LA GESTIÓN MUNICIPAL")</f>
        <v>FONDO DE INCENTIVO AL MEJORAMIENTO DE LA GESTIÓN MUNICIPAL</v>
      </c>
      <c r="J94" s="10" t="str">
        <f ca="1">IFERROR(__xludf.DUMMYFUNCTION("""COMPUTED_VALUE"""),"Cumplir con normativa y reglamentos internos del programa en base a los objetivos.")</f>
        <v>Cumplir con normativa y reglamentos internos del programa en base a los objetivos.</v>
      </c>
      <c r="K94" s="71">
        <f ca="1">IFERROR(__xludf.DUMMYFUNCTION("""COMPUTED_VALUE"""),95386875)</f>
        <v>95386875</v>
      </c>
      <c r="L94" s="27">
        <f ca="1">IFERROR(__xludf.DUMMYFUNCTION("""COMPUTED_VALUE"""),1)</f>
        <v>1</v>
      </c>
      <c r="M94" s="10" t="str">
        <f ca="1">IFERROR(__xludf.DUMMYFUNCTION("""COMPUTED_VALUE"""),"19/2024")</f>
        <v>19/2024</v>
      </c>
      <c r="N94" s="10" t="str">
        <f ca="1">IFERROR(__xludf.DUMMYFUNCTION("""COMPUTED_VALUE"""),"FIGEM")</f>
        <v>FIGEM</v>
      </c>
      <c r="O94" s="59"/>
      <c r="P94" s="1"/>
      <c r="Q94" s="1"/>
      <c r="R94" s="1"/>
      <c r="S94" s="1"/>
      <c r="T94" s="1"/>
      <c r="U94" s="1"/>
      <c r="V94" s="1"/>
      <c r="W94" s="1"/>
      <c r="X94" s="1"/>
      <c r="Y94" s="1"/>
      <c r="Z94" s="1"/>
      <c r="AA94" s="1"/>
    </row>
    <row r="95" spans="1:27" ht="12.75" customHeight="1">
      <c r="A95" s="1"/>
      <c r="B95" s="10" t="str">
        <f ca="1">IFERROR(__xludf.DUMMYFUNCTION("""COMPUTED_VALUE"""),"Fondo de Incentivo al Mejoramiento de la Gestión Municipal 2024")</f>
        <v>Fondo de Incentivo al Mejoramiento de la Gestión Municipal 2024</v>
      </c>
      <c r="C95" s="10" t="str">
        <f ca="1">IFERROR(__xludf.DUMMYFUNCTION("""COMPUTED_VALUE"""),"FIGEM-2024-114")</f>
        <v>FIGEM-2024-114</v>
      </c>
      <c r="D95" s="26" t="str">
        <f t="shared" ca="1" si="0"/>
        <v xml:space="preserve"> TENO</v>
      </c>
      <c r="E95" s="10" t="str">
        <f ca="1">IFERROR(__xludf.DUMMYFUNCTION("""COMPUTED_VALUE"""),"Resolución de Transferencia")</f>
        <v>Resolución de Transferencia</v>
      </c>
      <c r="F95" s="10" t="str">
        <f ca="1">IFERROR(__xludf.DUMMYFUNCTION("""COMPUTED_VALUE"""),"MUNICIPALIDAD DE TENO")</f>
        <v>MUNICIPALIDAD DE TENO</v>
      </c>
      <c r="G95" s="71">
        <f ca="1">IFERROR(__xludf.DUMMYFUNCTION("""COMPUTED_VALUE"""),85694055)</f>
        <v>85694055</v>
      </c>
      <c r="H95" s="10" t="str">
        <f ca="1">IFERROR(__xludf.DUMMYFUNCTION("""COMPUTED_VALUE"""),"Resolución")</f>
        <v>Resolución</v>
      </c>
      <c r="I95" s="10" t="str">
        <f ca="1">IFERROR(__xludf.DUMMYFUNCTION("""COMPUTED_VALUE"""),"FONDO DE INCENTIVO AL MEJORAMIENTO DE LA GESTIÓN MUNICIPAL")</f>
        <v>FONDO DE INCENTIVO AL MEJORAMIENTO DE LA GESTIÓN MUNICIPAL</v>
      </c>
      <c r="J95" s="10" t="str">
        <f ca="1">IFERROR(__xludf.DUMMYFUNCTION("""COMPUTED_VALUE"""),"Cumplir con normativa y reglamentos internos del programa en base a los objetivos.")</f>
        <v>Cumplir con normativa y reglamentos internos del programa en base a los objetivos.</v>
      </c>
      <c r="K95" s="71">
        <f ca="1">IFERROR(__xludf.DUMMYFUNCTION("""COMPUTED_VALUE"""),85694055)</f>
        <v>85694055</v>
      </c>
      <c r="L95" s="27">
        <f ca="1">IFERROR(__xludf.DUMMYFUNCTION("""COMPUTED_VALUE"""),1)</f>
        <v>1</v>
      </c>
      <c r="M95" s="10" t="str">
        <f ca="1">IFERROR(__xludf.DUMMYFUNCTION("""COMPUTED_VALUE"""),"19/2024")</f>
        <v>19/2024</v>
      </c>
      <c r="N95" s="10" t="str">
        <f ca="1">IFERROR(__xludf.DUMMYFUNCTION("""COMPUTED_VALUE"""),"FIGEM")</f>
        <v>FIGEM</v>
      </c>
      <c r="O95" s="59"/>
      <c r="P95" s="1"/>
      <c r="Q95" s="1"/>
      <c r="R95" s="1"/>
      <c r="S95" s="1"/>
      <c r="T95" s="1"/>
      <c r="U95" s="1"/>
      <c r="V95" s="1"/>
      <c r="W95" s="1"/>
      <c r="X95" s="1"/>
      <c r="Y95" s="1"/>
      <c r="Z95" s="1"/>
      <c r="AA95" s="1"/>
    </row>
    <row r="96" spans="1:27" ht="12.75" customHeight="1">
      <c r="A96" s="1"/>
      <c r="B96" s="10" t="str">
        <f ca="1">IFERROR(__xludf.DUMMYFUNCTION("""COMPUTED_VALUE"""),"Fondo de Incentivo al Mejoramiento de la Gestión Municipal 2024")</f>
        <v>Fondo de Incentivo al Mejoramiento de la Gestión Municipal 2024</v>
      </c>
      <c r="C96" s="10" t="str">
        <f ca="1">IFERROR(__xludf.DUMMYFUNCTION("""COMPUTED_VALUE"""),"FIGEM-2024-125")</f>
        <v>FIGEM-2024-125</v>
      </c>
      <c r="D96" s="26" t="str">
        <f t="shared" ca="1" si="0"/>
        <v xml:space="preserve"> LONGAVÍ</v>
      </c>
      <c r="E96" s="10" t="str">
        <f ca="1">IFERROR(__xludf.DUMMYFUNCTION("""COMPUTED_VALUE"""),"Resolución de Transferencia")</f>
        <v>Resolución de Transferencia</v>
      </c>
      <c r="F96" s="10" t="str">
        <f ca="1">IFERROR(__xludf.DUMMYFUNCTION("""COMPUTED_VALUE"""),"MUNICIPALIDAD DE LONGAVÍ")</f>
        <v>MUNICIPALIDAD DE LONGAVÍ</v>
      </c>
      <c r="G96" s="71">
        <f ca="1">IFERROR(__xludf.DUMMYFUNCTION("""COMPUTED_VALUE"""),95390552)</f>
        <v>95390552</v>
      </c>
      <c r="H96" s="10" t="str">
        <f ca="1">IFERROR(__xludf.DUMMYFUNCTION("""COMPUTED_VALUE"""),"Resolución")</f>
        <v>Resolución</v>
      </c>
      <c r="I96" s="10" t="str">
        <f ca="1">IFERROR(__xludf.DUMMYFUNCTION("""COMPUTED_VALUE"""),"FONDO DE INCENTIVO AL MEJORAMIENTO DE LA GESTIÓN MUNICIPAL")</f>
        <v>FONDO DE INCENTIVO AL MEJORAMIENTO DE LA GESTIÓN MUNICIPAL</v>
      </c>
      <c r="J96" s="10" t="str">
        <f ca="1">IFERROR(__xludf.DUMMYFUNCTION("""COMPUTED_VALUE"""),"Cumplir con normativa y reglamentos internos del programa en base a los objetivos.")</f>
        <v>Cumplir con normativa y reglamentos internos del programa en base a los objetivos.</v>
      </c>
      <c r="K96" s="71">
        <f ca="1">IFERROR(__xludf.DUMMYFUNCTION("""COMPUTED_VALUE"""),95390552)</f>
        <v>95390552</v>
      </c>
      <c r="L96" s="27">
        <f ca="1">IFERROR(__xludf.DUMMYFUNCTION("""COMPUTED_VALUE"""),1)</f>
        <v>1</v>
      </c>
      <c r="M96" s="10" t="str">
        <f ca="1">IFERROR(__xludf.DUMMYFUNCTION("""COMPUTED_VALUE"""),"19/2024")</f>
        <v>19/2024</v>
      </c>
      <c r="N96" s="10" t="str">
        <f ca="1">IFERROR(__xludf.DUMMYFUNCTION("""COMPUTED_VALUE"""),"FIGEM")</f>
        <v>FIGEM</v>
      </c>
      <c r="O96" s="59"/>
      <c r="P96" s="1"/>
      <c r="Q96" s="1"/>
      <c r="R96" s="1"/>
      <c r="S96" s="1"/>
      <c r="T96" s="1"/>
      <c r="U96" s="1"/>
      <c r="V96" s="1"/>
      <c r="W96" s="1"/>
      <c r="X96" s="1"/>
      <c r="Y96" s="1"/>
      <c r="Z96" s="1"/>
      <c r="AA96" s="1"/>
    </row>
    <row r="97" spans="1:27" ht="12.75" customHeight="1">
      <c r="A97" s="1"/>
      <c r="B97" s="10" t="str">
        <f ca="1">IFERROR(__xludf.DUMMYFUNCTION("""COMPUTED_VALUE"""),"Fondo de Incentivo al Mejoramiento de la Gestión Municipal 2024")</f>
        <v>Fondo de Incentivo al Mejoramiento de la Gestión Municipal 2024</v>
      </c>
      <c r="C97" s="10" t="str">
        <f ca="1">IFERROR(__xludf.DUMMYFUNCTION("""COMPUTED_VALUE"""),"FIGEM-2024-54")</f>
        <v>FIGEM-2024-54</v>
      </c>
      <c r="D97" s="26" t="str">
        <f t="shared" ca="1" si="0"/>
        <v xml:space="preserve"> PARRAL</v>
      </c>
      <c r="E97" s="10" t="str">
        <f ca="1">IFERROR(__xludf.DUMMYFUNCTION("""COMPUTED_VALUE"""),"Resolución de Transferencia")</f>
        <v>Resolución de Transferencia</v>
      </c>
      <c r="F97" s="10" t="str">
        <f ca="1">IFERROR(__xludf.DUMMYFUNCTION("""COMPUTED_VALUE"""),"MUNICIPALIDAD DE PARRAL")</f>
        <v>MUNICIPALIDAD DE PARRAL</v>
      </c>
      <c r="G97" s="71">
        <f ca="1">IFERROR(__xludf.DUMMYFUNCTION("""COMPUTED_VALUE"""),122334042)</f>
        <v>122334042</v>
      </c>
      <c r="H97" s="10" t="str">
        <f ca="1">IFERROR(__xludf.DUMMYFUNCTION("""COMPUTED_VALUE"""),"Resolución")</f>
        <v>Resolución</v>
      </c>
      <c r="I97" s="10" t="str">
        <f ca="1">IFERROR(__xludf.DUMMYFUNCTION("""COMPUTED_VALUE"""),"FONDO DE INCENTIVO AL MEJORAMIENTO DE LA GESTIÓN MUNICIPAL")</f>
        <v>FONDO DE INCENTIVO AL MEJORAMIENTO DE LA GESTIÓN MUNICIPAL</v>
      </c>
      <c r="J97" s="10" t="str">
        <f ca="1">IFERROR(__xludf.DUMMYFUNCTION("""COMPUTED_VALUE"""),"Cumplir con normativa y reglamentos internos del programa en base a los objetivos.")</f>
        <v>Cumplir con normativa y reglamentos internos del programa en base a los objetivos.</v>
      </c>
      <c r="K97" s="71">
        <f ca="1">IFERROR(__xludf.DUMMYFUNCTION("""COMPUTED_VALUE"""),122334042)</f>
        <v>122334042</v>
      </c>
      <c r="L97" s="27">
        <f ca="1">IFERROR(__xludf.DUMMYFUNCTION("""COMPUTED_VALUE"""),1)</f>
        <v>1</v>
      </c>
      <c r="M97" s="10" t="str">
        <f ca="1">IFERROR(__xludf.DUMMYFUNCTION("""COMPUTED_VALUE"""),"19/2024")</f>
        <v>19/2024</v>
      </c>
      <c r="N97" s="10" t="str">
        <f ca="1">IFERROR(__xludf.DUMMYFUNCTION("""COMPUTED_VALUE"""),"FIGEM")</f>
        <v>FIGEM</v>
      </c>
      <c r="O97" s="59"/>
      <c r="P97" s="1"/>
      <c r="Q97" s="1"/>
      <c r="R97" s="1"/>
      <c r="S97" s="1"/>
      <c r="T97" s="1"/>
      <c r="U97" s="1"/>
      <c r="V97" s="1"/>
      <c r="W97" s="1"/>
      <c r="X97" s="1"/>
      <c r="Y97" s="1"/>
      <c r="Z97" s="1"/>
      <c r="AA97" s="1"/>
    </row>
    <row r="98" spans="1:27" ht="12.75" customHeight="1">
      <c r="A98" s="1"/>
      <c r="B98" s="10" t="str">
        <f ca="1">IFERROR(__xludf.DUMMYFUNCTION("""COMPUTED_VALUE"""),"Fondo de Incentivo al Mejoramiento de la Gestión Municipal 2024")</f>
        <v>Fondo de Incentivo al Mejoramiento de la Gestión Municipal 2024</v>
      </c>
      <c r="C98" s="10" t="str">
        <f ca="1">IFERROR(__xludf.DUMMYFUNCTION("""COMPUTED_VALUE"""),"FIGEM-2024-171")</f>
        <v>FIGEM-2024-171</v>
      </c>
      <c r="D98" s="26" t="str">
        <f t="shared" ca="1" si="0"/>
        <v xml:space="preserve"> RETIRO</v>
      </c>
      <c r="E98" s="10" t="str">
        <f ca="1">IFERROR(__xludf.DUMMYFUNCTION("""COMPUTED_VALUE"""),"Resolución de Transferencia")</f>
        <v>Resolución de Transferencia</v>
      </c>
      <c r="F98" s="10" t="str">
        <f ca="1">IFERROR(__xludf.DUMMYFUNCTION("""COMPUTED_VALUE"""),"MUNICIPALIDAD DE RETIRO")</f>
        <v>MUNICIPALIDAD DE RETIRO</v>
      </c>
      <c r="G98" s="71">
        <f ca="1">IFERROR(__xludf.DUMMYFUNCTION("""COMPUTED_VALUE"""),87870238)</f>
        <v>87870238</v>
      </c>
      <c r="H98" s="10" t="str">
        <f ca="1">IFERROR(__xludf.DUMMYFUNCTION("""COMPUTED_VALUE"""),"Resolución")</f>
        <v>Resolución</v>
      </c>
      <c r="I98" s="10" t="str">
        <f ca="1">IFERROR(__xludf.DUMMYFUNCTION("""COMPUTED_VALUE"""),"FONDO DE INCENTIVO AL MEJORAMIENTO DE LA GESTIÓN MUNICIPAL")</f>
        <v>FONDO DE INCENTIVO AL MEJORAMIENTO DE LA GESTIÓN MUNICIPAL</v>
      </c>
      <c r="J98" s="10" t="str">
        <f ca="1">IFERROR(__xludf.DUMMYFUNCTION("""COMPUTED_VALUE"""),"Cumplir con normativa y reglamentos internos del programa en base a los objetivos.")</f>
        <v>Cumplir con normativa y reglamentos internos del programa en base a los objetivos.</v>
      </c>
      <c r="K98" s="71">
        <f ca="1">IFERROR(__xludf.DUMMYFUNCTION("""COMPUTED_VALUE"""),87870238)</f>
        <v>87870238</v>
      </c>
      <c r="L98" s="27">
        <f ca="1">IFERROR(__xludf.DUMMYFUNCTION("""COMPUTED_VALUE"""),1)</f>
        <v>1</v>
      </c>
      <c r="M98" s="10" t="str">
        <f ca="1">IFERROR(__xludf.DUMMYFUNCTION("""COMPUTED_VALUE"""),"19/2024")</f>
        <v>19/2024</v>
      </c>
      <c r="N98" s="10" t="str">
        <f ca="1">IFERROR(__xludf.DUMMYFUNCTION("""COMPUTED_VALUE"""),"FIGEM")</f>
        <v>FIGEM</v>
      </c>
      <c r="O98" s="59"/>
      <c r="P98" s="1"/>
      <c r="Q98" s="1"/>
      <c r="R98" s="1"/>
      <c r="S98" s="1"/>
      <c r="T98" s="1"/>
      <c r="U98" s="1"/>
      <c r="V98" s="1"/>
      <c r="W98" s="1"/>
      <c r="X98" s="1"/>
      <c r="Y98" s="1"/>
      <c r="Z98" s="1"/>
      <c r="AA98" s="1"/>
    </row>
    <row r="99" spans="1:27" ht="12.75" customHeight="1">
      <c r="A99" s="1"/>
      <c r="B99" s="10" t="str">
        <f ca="1">IFERROR(__xludf.DUMMYFUNCTION("""COMPUTED_VALUE"""),"Fondo de Incentivo al Mejoramiento de la Gestión Municipal 2024")</f>
        <v>Fondo de Incentivo al Mejoramiento de la Gestión Municipal 2024</v>
      </c>
      <c r="C99" s="10" t="str">
        <f ca="1">IFERROR(__xludf.DUMMYFUNCTION("""COMPUTED_VALUE"""),"FIGEM-2024-50")</f>
        <v>FIGEM-2024-50</v>
      </c>
      <c r="D99" s="26" t="str">
        <f t="shared" ca="1" si="0"/>
        <v xml:space="preserve"> SAN JAVIER</v>
      </c>
      <c r="E99" s="10" t="str">
        <f ca="1">IFERROR(__xludf.DUMMYFUNCTION("""COMPUTED_VALUE"""),"Resolución de Transferencia")</f>
        <v>Resolución de Transferencia</v>
      </c>
      <c r="F99" s="10" t="str">
        <f ca="1">IFERROR(__xludf.DUMMYFUNCTION("""COMPUTED_VALUE"""),"MUNICIPALIDAD DE SAN JAVIER")</f>
        <v>MUNICIPALIDAD DE SAN JAVIER</v>
      </c>
      <c r="G99" s="71">
        <f ca="1">IFERROR(__xludf.DUMMYFUNCTION("""COMPUTED_VALUE"""),126092811)</f>
        <v>126092811</v>
      </c>
      <c r="H99" s="10" t="str">
        <f ca="1">IFERROR(__xludf.DUMMYFUNCTION("""COMPUTED_VALUE"""),"Resolución")</f>
        <v>Resolución</v>
      </c>
      <c r="I99" s="10" t="str">
        <f ca="1">IFERROR(__xludf.DUMMYFUNCTION("""COMPUTED_VALUE"""),"FONDO DE INCENTIVO AL MEJORAMIENTO DE LA GESTIÓN MUNICIPAL")</f>
        <v>FONDO DE INCENTIVO AL MEJORAMIENTO DE LA GESTIÓN MUNICIPAL</v>
      </c>
      <c r="J99" s="10" t="str">
        <f ca="1">IFERROR(__xludf.DUMMYFUNCTION("""COMPUTED_VALUE"""),"Cumplir con normativa y reglamentos internos del programa en base a los objetivos.")</f>
        <v>Cumplir con normativa y reglamentos internos del programa en base a los objetivos.</v>
      </c>
      <c r="K99" s="71">
        <f ca="1">IFERROR(__xludf.DUMMYFUNCTION("""COMPUTED_VALUE"""),126092811)</f>
        <v>126092811</v>
      </c>
      <c r="L99" s="27">
        <f ca="1">IFERROR(__xludf.DUMMYFUNCTION("""COMPUTED_VALUE"""),1)</f>
        <v>1</v>
      </c>
      <c r="M99" s="10" t="str">
        <f ca="1">IFERROR(__xludf.DUMMYFUNCTION("""COMPUTED_VALUE"""),"19/2024")</f>
        <v>19/2024</v>
      </c>
      <c r="N99" s="10" t="str">
        <f ca="1">IFERROR(__xludf.DUMMYFUNCTION("""COMPUTED_VALUE"""),"FIGEM")</f>
        <v>FIGEM</v>
      </c>
      <c r="O99" s="59"/>
      <c r="P99" s="1"/>
      <c r="Q99" s="1"/>
      <c r="R99" s="1"/>
      <c r="S99" s="1"/>
      <c r="T99" s="1"/>
      <c r="U99" s="1"/>
      <c r="V99" s="1"/>
      <c r="W99" s="1"/>
      <c r="X99" s="1"/>
      <c r="Y99" s="1"/>
      <c r="Z99" s="1"/>
      <c r="AA99" s="1"/>
    </row>
    <row r="100" spans="1:27" ht="12.75" customHeight="1">
      <c r="A100" s="1"/>
      <c r="B100" s="10" t="str">
        <f ca="1">IFERROR(__xludf.DUMMYFUNCTION("""COMPUTED_VALUE"""),"Fondo de Incentivo al Mejoramiento de la Gestión Municipal 2024")</f>
        <v>Fondo de Incentivo al Mejoramiento de la Gestión Municipal 2024</v>
      </c>
      <c r="C100" s="10" t="str">
        <f ca="1">IFERROR(__xludf.DUMMYFUNCTION("""COMPUTED_VALUE"""),"FIGEM-2024-170")</f>
        <v>FIGEM-2024-170</v>
      </c>
      <c r="D100" s="26" t="str">
        <f t="shared" ca="1" si="0"/>
        <v xml:space="preserve"> YERBAS BUENAS</v>
      </c>
      <c r="E100" s="10" t="str">
        <f ca="1">IFERROR(__xludf.DUMMYFUNCTION("""COMPUTED_VALUE"""),"Resolución de Transferencia")</f>
        <v>Resolución de Transferencia</v>
      </c>
      <c r="F100" s="10" t="str">
        <f ca="1">IFERROR(__xludf.DUMMYFUNCTION("""COMPUTED_VALUE"""),"MUNICIPALIDAD DE YERBAS BUENAS")</f>
        <v>MUNICIPALIDAD DE YERBAS BUENAS</v>
      </c>
      <c r="G100" s="71">
        <f ca="1">IFERROR(__xludf.DUMMYFUNCTION("""COMPUTED_VALUE"""),88158938)</f>
        <v>88158938</v>
      </c>
      <c r="H100" s="10" t="str">
        <f ca="1">IFERROR(__xludf.DUMMYFUNCTION("""COMPUTED_VALUE"""),"Resolución")</f>
        <v>Resolución</v>
      </c>
      <c r="I100" s="10" t="str">
        <f ca="1">IFERROR(__xludf.DUMMYFUNCTION("""COMPUTED_VALUE"""),"FONDO DE INCENTIVO AL MEJORAMIENTO DE LA GESTIÓN MUNICIPAL")</f>
        <v>FONDO DE INCENTIVO AL MEJORAMIENTO DE LA GESTIÓN MUNICIPAL</v>
      </c>
      <c r="J100" s="10" t="str">
        <f ca="1">IFERROR(__xludf.DUMMYFUNCTION("""COMPUTED_VALUE"""),"Cumplir con normativa y reglamentos internos del programa en base a los objetivos.")</f>
        <v>Cumplir con normativa y reglamentos internos del programa en base a los objetivos.</v>
      </c>
      <c r="K100" s="71">
        <f ca="1">IFERROR(__xludf.DUMMYFUNCTION("""COMPUTED_VALUE"""),88158938)</f>
        <v>88158938</v>
      </c>
      <c r="L100" s="27">
        <f ca="1">IFERROR(__xludf.DUMMYFUNCTION("""COMPUTED_VALUE"""),1)</f>
        <v>1</v>
      </c>
      <c r="M100" s="10" t="str">
        <f ca="1">IFERROR(__xludf.DUMMYFUNCTION("""COMPUTED_VALUE"""),"19/2024")</f>
        <v>19/2024</v>
      </c>
      <c r="N100" s="10" t="str">
        <f ca="1">IFERROR(__xludf.DUMMYFUNCTION("""COMPUTED_VALUE"""),"FIGEM")</f>
        <v>FIGEM</v>
      </c>
      <c r="O100" s="59"/>
      <c r="P100" s="1"/>
      <c r="Q100" s="1"/>
      <c r="R100" s="1"/>
      <c r="S100" s="1"/>
      <c r="T100" s="1"/>
      <c r="U100" s="1"/>
      <c r="V100" s="1"/>
      <c r="W100" s="1"/>
      <c r="X100" s="1"/>
      <c r="Y100" s="1"/>
      <c r="Z100" s="1"/>
      <c r="AA100" s="1"/>
    </row>
    <row r="101" spans="1:27" ht="12.75" customHeight="1">
      <c r="A101" s="1"/>
      <c r="B101" s="10" t="str">
        <f ca="1">IFERROR(__xludf.DUMMYFUNCTION("""COMPUTED_VALUE"""),"Fondo de Incentivo al Mejoramiento de la Gestión Municipal 2024")</f>
        <v>Fondo de Incentivo al Mejoramiento de la Gestión Municipal 2024</v>
      </c>
      <c r="C101" s="10" t="str">
        <f ca="1">IFERROR(__xludf.DUMMYFUNCTION("""COMPUTED_VALUE"""),"FIGEM-2024-10")</f>
        <v>FIGEM-2024-10</v>
      </c>
      <c r="D101" s="26" t="str">
        <f t="shared" ca="1" si="0"/>
        <v xml:space="preserve"> CONCEPCIÓN</v>
      </c>
      <c r="E101" s="10" t="str">
        <f ca="1">IFERROR(__xludf.DUMMYFUNCTION("""COMPUTED_VALUE"""),"Resolución de Transferencia")</f>
        <v>Resolución de Transferencia</v>
      </c>
      <c r="F101" s="10" t="str">
        <f ca="1">IFERROR(__xludf.DUMMYFUNCTION("""COMPUTED_VALUE"""),"MUNICIPALIDAD DE CONCEPCIÓN")</f>
        <v>MUNICIPALIDAD DE CONCEPCIÓN</v>
      </c>
      <c r="G101" s="71">
        <f ca="1">IFERROR(__xludf.DUMMYFUNCTION("""COMPUTED_VALUE"""),71378368)</f>
        <v>71378368</v>
      </c>
      <c r="H101" s="10" t="str">
        <f ca="1">IFERROR(__xludf.DUMMYFUNCTION("""COMPUTED_VALUE"""),"Resolución")</f>
        <v>Resolución</v>
      </c>
      <c r="I101" s="10" t="str">
        <f ca="1">IFERROR(__xludf.DUMMYFUNCTION("""COMPUTED_VALUE"""),"FONDO DE INCENTIVO AL MEJORAMIENTO DE LA GESTIÓN MUNICIPAL")</f>
        <v>FONDO DE INCENTIVO AL MEJORAMIENTO DE LA GESTIÓN MUNICIPAL</v>
      </c>
      <c r="J101" s="10" t="str">
        <f ca="1">IFERROR(__xludf.DUMMYFUNCTION("""COMPUTED_VALUE"""),"Cumplir con normativa y reglamentos internos del programa en base a los objetivos.")</f>
        <v>Cumplir con normativa y reglamentos internos del programa en base a los objetivos.</v>
      </c>
      <c r="K101" s="71">
        <f ca="1">IFERROR(__xludf.DUMMYFUNCTION("""COMPUTED_VALUE"""),71378368)</f>
        <v>71378368</v>
      </c>
      <c r="L101" s="27">
        <f ca="1">IFERROR(__xludf.DUMMYFUNCTION("""COMPUTED_VALUE"""),1)</f>
        <v>1</v>
      </c>
      <c r="M101" s="10" t="str">
        <f ca="1">IFERROR(__xludf.DUMMYFUNCTION("""COMPUTED_VALUE"""),"19/2024")</f>
        <v>19/2024</v>
      </c>
      <c r="N101" s="10" t="str">
        <f ca="1">IFERROR(__xludf.DUMMYFUNCTION("""COMPUTED_VALUE"""),"FIGEM")</f>
        <v>FIGEM</v>
      </c>
      <c r="O101" s="59"/>
      <c r="P101" s="1"/>
      <c r="Q101" s="1"/>
      <c r="R101" s="1"/>
      <c r="S101" s="1"/>
      <c r="T101" s="1"/>
      <c r="U101" s="1"/>
      <c r="V101" s="1"/>
      <c r="W101" s="1"/>
      <c r="X101" s="1"/>
      <c r="Y101" s="1"/>
      <c r="Z101" s="1"/>
      <c r="AA101" s="1"/>
    </row>
    <row r="102" spans="1:27" ht="12.75" customHeight="1">
      <c r="A102" s="1"/>
      <c r="B102" s="10" t="str">
        <f ca="1">IFERROR(__xludf.DUMMYFUNCTION("""COMPUTED_VALUE"""),"Fondo de Incentivo al Mejoramiento de la Gestión Municipal 2024")</f>
        <v>Fondo de Incentivo al Mejoramiento de la Gestión Municipal 2024</v>
      </c>
      <c r="C102" s="10" t="str">
        <f ca="1">IFERROR(__xludf.DUMMYFUNCTION("""COMPUTED_VALUE"""),"FIGEM-2024-06")</f>
        <v>FIGEM-2024-06</v>
      </c>
      <c r="D102" s="26" t="str">
        <f t="shared" ca="1" si="0"/>
        <v xml:space="preserve"> CHIGUAYANTE</v>
      </c>
      <c r="E102" s="10" t="str">
        <f ca="1">IFERROR(__xludf.DUMMYFUNCTION("""COMPUTED_VALUE"""),"Resolución de Transferencia")</f>
        <v>Resolución de Transferencia</v>
      </c>
      <c r="F102" s="10" t="str">
        <f ca="1">IFERROR(__xludf.DUMMYFUNCTION("""COMPUTED_VALUE"""),"MUNICIPALIDAD DE CHIGUAYANTE")</f>
        <v>MUNICIPALIDAD DE CHIGUAYANTE</v>
      </c>
      <c r="G102" s="71">
        <f ca="1">IFERROR(__xludf.DUMMYFUNCTION("""COMPUTED_VALUE"""),73808272)</f>
        <v>73808272</v>
      </c>
      <c r="H102" s="10" t="str">
        <f ca="1">IFERROR(__xludf.DUMMYFUNCTION("""COMPUTED_VALUE"""),"Resolución")</f>
        <v>Resolución</v>
      </c>
      <c r="I102" s="10" t="str">
        <f ca="1">IFERROR(__xludf.DUMMYFUNCTION("""COMPUTED_VALUE"""),"FONDO DE INCENTIVO AL MEJORAMIENTO DE LA GESTIÓN MUNICIPAL")</f>
        <v>FONDO DE INCENTIVO AL MEJORAMIENTO DE LA GESTIÓN MUNICIPAL</v>
      </c>
      <c r="J102" s="10" t="str">
        <f ca="1">IFERROR(__xludf.DUMMYFUNCTION("""COMPUTED_VALUE"""),"Cumplir con normativa y reglamentos internos del programa en base a los objetivos.")</f>
        <v>Cumplir con normativa y reglamentos internos del programa en base a los objetivos.</v>
      </c>
      <c r="K102" s="71">
        <f ca="1">IFERROR(__xludf.DUMMYFUNCTION("""COMPUTED_VALUE"""),73808272)</f>
        <v>73808272</v>
      </c>
      <c r="L102" s="27">
        <f ca="1">IFERROR(__xludf.DUMMYFUNCTION("""COMPUTED_VALUE"""),1)</f>
        <v>1</v>
      </c>
      <c r="M102" s="10" t="str">
        <f ca="1">IFERROR(__xludf.DUMMYFUNCTION("""COMPUTED_VALUE"""),"19/2024")</f>
        <v>19/2024</v>
      </c>
      <c r="N102" s="10" t="str">
        <f ca="1">IFERROR(__xludf.DUMMYFUNCTION("""COMPUTED_VALUE"""),"FIGEM")</f>
        <v>FIGEM</v>
      </c>
      <c r="O102" s="59"/>
      <c r="P102" s="1"/>
      <c r="Q102" s="1"/>
      <c r="R102" s="1"/>
      <c r="S102" s="1"/>
      <c r="T102" s="1"/>
      <c r="U102" s="1"/>
      <c r="V102" s="1"/>
      <c r="W102" s="1"/>
      <c r="X102" s="1"/>
      <c r="Y102" s="1"/>
      <c r="Z102" s="1"/>
      <c r="AA102" s="1"/>
    </row>
    <row r="103" spans="1:27" ht="12.75" customHeight="1">
      <c r="A103" s="1"/>
      <c r="B103" s="10" t="str">
        <f ca="1">IFERROR(__xludf.DUMMYFUNCTION("""COMPUTED_VALUE"""),"Fondo de Incentivo al Mejoramiento de la Gestión Municipal 2024")</f>
        <v>Fondo de Incentivo al Mejoramiento de la Gestión Municipal 2024</v>
      </c>
      <c r="C103" s="10" t="str">
        <f ca="1">IFERROR(__xludf.DUMMYFUNCTION("""COMPUTED_VALUE"""),"FIGEM-2024-128")</f>
        <v>FIGEM-2024-128</v>
      </c>
      <c r="D103" s="26" t="str">
        <f t="shared" ca="1" si="0"/>
        <v xml:space="preserve"> FLORIDA</v>
      </c>
      <c r="E103" s="10" t="str">
        <f ca="1">IFERROR(__xludf.DUMMYFUNCTION("""COMPUTED_VALUE"""),"Resolución de Transferencia")</f>
        <v>Resolución de Transferencia</v>
      </c>
      <c r="F103" s="10" t="str">
        <f ca="1">IFERROR(__xludf.DUMMYFUNCTION("""COMPUTED_VALUE"""),"MUNICIPALIDAD DE FLORIDA")</f>
        <v>MUNICIPALIDAD DE FLORIDA</v>
      </c>
      <c r="G103" s="71">
        <f ca="1">IFERROR(__xludf.DUMMYFUNCTION("""COMPUTED_VALUE"""),95280092)</f>
        <v>95280092</v>
      </c>
      <c r="H103" s="10" t="str">
        <f ca="1">IFERROR(__xludf.DUMMYFUNCTION("""COMPUTED_VALUE"""),"Resolución")</f>
        <v>Resolución</v>
      </c>
      <c r="I103" s="10" t="str">
        <f ca="1">IFERROR(__xludf.DUMMYFUNCTION("""COMPUTED_VALUE"""),"FONDO DE INCENTIVO AL MEJORAMIENTO DE LA GESTIÓN MUNICIPAL")</f>
        <v>FONDO DE INCENTIVO AL MEJORAMIENTO DE LA GESTIÓN MUNICIPAL</v>
      </c>
      <c r="J103" s="10" t="str">
        <f ca="1">IFERROR(__xludf.DUMMYFUNCTION("""COMPUTED_VALUE"""),"Cumplir con normativa y reglamentos internos del programa en base a los objetivos.")</f>
        <v>Cumplir con normativa y reglamentos internos del programa en base a los objetivos.</v>
      </c>
      <c r="K103" s="71">
        <f ca="1">IFERROR(__xludf.DUMMYFUNCTION("""COMPUTED_VALUE"""),95280092)</f>
        <v>95280092</v>
      </c>
      <c r="L103" s="27">
        <f ca="1">IFERROR(__xludf.DUMMYFUNCTION("""COMPUTED_VALUE"""),1)</f>
        <v>1</v>
      </c>
      <c r="M103" s="10" t="str">
        <f ca="1">IFERROR(__xludf.DUMMYFUNCTION("""COMPUTED_VALUE"""),"19/2024")</f>
        <v>19/2024</v>
      </c>
      <c r="N103" s="10" t="str">
        <f ca="1">IFERROR(__xludf.DUMMYFUNCTION("""COMPUTED_VALUE"""),"FIGEM")</f>
        <v>FIGEM</v>
      </c>
      <c r="O103" s="59"/>
      <c r="P103" s="1"/>
      <c r="Q103" s="1"/>
      <c r="R103" s="1"/>
      <c r="S103" s="1"/>
      <c r="T103" s="1"/>
      <c r="U103" s="1"/>
      <c r="V103" s="1"/>
      <c r="W103" s="1"/>
      <c r="X103" s="1"/>
      <c r="Y103" s="1"/>
      <c r="Z103" s="1"/>
      <c r="AA103" s="1"/>
    </row>
    <row r="104" spans="1:27" ht="12.75" customHeight="1">
      <c r="A104" s="1"/>
      <c r="B104" s="10" t="str">
        <f ca="1">IFERROR(__xludf.DUMMYFUNCTION("""COMPUTED_VALUE"""),"Fondo de Incentivo al Mejoramiento de la Gestión Municipal 2024")</f>
        <v>Fondo de Incentivo al Mejoramiento de la Gestión Municipal 2024</v>
      </c>
      <c r="C104" s="10" t="str">
        <f ca="1">IFERROR(__xludf.DUMMYFUNCTION("""COMPUTED_VALUE"""),"FIGEM-2024-17")</f>
        <v>FIGEM-2024-17</v>
      </c>
      <c r="D104" s="26" t="str">
        <f t="shared" ca="1" si="0"/>
        <v xml:space="preserve"> SAN PEDRO DE LA PAZ</v>
      </c>
      <c r="E104" s="10" t="str">
        <f ca="1">IFERROR(__xludf.DUMMYFUNCTION("""COMPUTED_VALUE"""),"Resolución de Transferencia")</f>
        <v>Resolución de Transferencia</v>
      </c>
      <c r="F104" s="10" t="str">
        <f ca="1">IFERROR(__xludf.DUMMYFUNCTION("""COMPUTED_VALUE"""),"MUNICIPALIDAD DE SAN PEDRO DE LA PAZ")</f>
        <v>MUNICIPALIDAD DE SAN PEDRO DE LA PAZ</v>
      </c>
      <c r="G104" s="71">
        <f ca="1">IFERROR(__xludf.DUMMYFUNCTION("""COMPUTED_VALUE"""),68885069)</f>
        <v>68885069</v>
      </c>
      <c r="H104" s="10" t="str">
        <f ca="1">IFERROR(__xludf.DUMMYFUNCTION("""COMPUTED_VALUE"""),"Resolución")</f>
        <v>Resolución</v>
      </c>
      <c r="I104" s="10" t="str">
        <f ca="1">IFERROR(__xludf.DUMMYFUNCTION("""COMPUTED_VALUE"""),"FONDO DE INCENTIVO AL MEJORAMIENTO DE LA GESTIÓN MUNICIPAL")</f>
        <v>FONDO DE INCENTIVO AL MEJORAMIENTO DE LA GESTIÓN MUNICIPAL</v>
      </c>
      <c r="J104" s="10" t="str">
        <f ca="1">IFERROR(__xludf.DUMMYFUNCTION("""COMPUTED_VALUE"""),"Cumplir con normativa y reglamentos internos del programa en base a los objetivos.")</f>
        <v>Cumplir con normativa y reglamentos internos del programa en base a los objetivos.</v>
      </c>
      <c r="K104" s="71">
        <f ca="1">IFERROR(__xludf.DUMMYFUNCTION("""COMPUTED_VALUE"""),68885069)</f>
        <v>68885069</v>
      </c>
      <c r="L104" s="27">
        <f ca="1">IFERROR(__xludf.DUMMYFUNCTION("""COMPUTED_VALUE"""),1)</f>
        <v>1</v>
      </c>
      <c r="M104" s="10" t="str">
        <f ca="1">IFERROR(__xludf.DUMMYFUNCTION("""COMPUTED_VALUE"""),"19/2024")</f>
        <v>19/2024</v>
      </c>
      <c r="N104" s="10" t="str">
        <f ca="1">IFERROR(__xludf.DUMMYFUNCTION("""COMPUTED_VALUE"""),"FIGEM")</f>
        <v>FIGEM</v>
      </c>
      <c r="O104" s="59"/>
      <c r="P104" s="1"/>
      <c r="Q104" s="1"/>
      <c r="R104" s="1"/>
      <c r="S104" s="1"/>
      <c r="T104" s="1"/>
      <c r="U104" s="1"/>
      <c r="V104" s="1"/>
      <c r="W104" s="1"/>
      <c r="X104" s="1"/>
      <c r="Y104" s="1"/>
      <c r="Z104" s="1"/>
      <c r="AA104" s="1"/>
    </row>
    <row r="105" spans="1:27" ht="12.75" customHeight="1">
      <c r="A105" s="1"/>
      <c r="B105" s="10" t="str">
        <f ca="1">IFERROR(__xludf.DUMMYFUNCTION("""COMPUTED_VALUE"""),"Fondo de Incentivo al Mejoramiento de la Gestión Municipal 2024")</f>
        <v>Fondo de Incentivo al Mejoramiento de la Gestión Municipal 2024</v>
      </c>
      <c r="C105" s="10" t="str">
        <f ca="1">IFERROR(__xludf.DUMMYFUNCTION("""COMPUTED_VALUE"""),"FIGEM-2024-07")</f>
        <v>FIGEM-2024-07</v>
      </c>
      <c r="D105" s="26" t="str">
        <f t="shared" ca="1" si="0"/>
        <v xml:space="preserve"> HUALPÉN</v>
      </c>
      <c r="E105" s="10" t="str">
        <f ca="1">IFERROR(__xludf.DUMMYFUNCTION("""COMPUTED_VALUE"""),"Resolución de Transferencia")</f>
        <v>Resolución de Transferencia</v>
      </c>
      <c r="F105" s="10" t="str">
        <f ca="1">IFERROR(__xludf.DUMMYFUNCTION("""COMPUTED_VALUE"""),"MUNICIPALIDAD DE HUALPÉN")</f>
        <v>MUNICIPALIDAD DE HUALPÉN</v>
      </c>
      <c r="G105" s="71">
        <f ca="1">IFERROR(__xludf.DUMMYFUNCTION("""COMPUTED_VALUE"""),73570047)</f>
        <v>73570047</v>
      </c>
      <c r="H105" s="10" t="str">
        <f ca="1">IFERROR(__xludf.DUMMYFUNCTION("""COMPUTED_VALUE"""),"Resolución")</f>
        <v>Resolución</v>
      </c>
      <c r="I105" s="10" t="str">
        <f ca="1">IFERROR(__xludf.DUMMYFUNCTION("""COMPUTED_VALUE"""),"FONDO DE INCENTIVO AL MEJORAMIENTO DE LA GESTIÓN MUNICIPAL")</f>
        <v>FONDO DE INCENTIVO AL MEJORAMIENTO DE LA GESTIÓN MUNICIPAL</v>
      </c>
      <c r="J105" s="10" t="str">
        <f ca="1">IFERROR(__xludf.DUMMYFUNCTION("""COMPUTED_VALUE"""),"Cumplir con normativa y reglamentos internos del programa en base a los objetivos.")</f>
        <v>Cumplir con normativa y reglamentos internos del programa en base a los objetivos.</v>
      </c>
      <c r="K105" s="71">
        <f ca="1">IFERROR(__xludf.DUMMYFUNCTION("""COMPUTED_VALUE"""),73570047)</f>
        <v>73570047</v>
      </c>
      <c r="L105" s="27">
        <f ca="1">IFERROR(__xludf.DUMMYFUNCTION("""COMPUTED_VALUE"""),1)</f>
        <v>1</v>
      </c>
      <c r="M105" s="10" t="str">
        <f ca="1">IFERROR(__xludf.DUMMYFUNCTION("""COMPUTED_VALUE"""),"19/2024")</f>
        <v>19/2024</v>
      </c>
      <c r="N105" s="10" t="str">
        <f ca="1">IFERROR(__xludf.DUMMYFUNCTION("""COMPUTED_VALUE"""),"FIGEM")</f>
        <v>FIGEM</v>
      </c>
      <c r="O105" s="59"/>
      <c r="P105" s="1"/>
      <c r="Q105" s="1"/>
      <c r="R105" s="1"/>
      <c r="S105" s="1"/>
      <c r="T105" s="1"/>
      <c r="U105" s="1"/>
      <c r="V105" s="1"/>
      <c r="W105" s="1"/>
      <c r="X105" s="1"/>
      <c r="Y105" s="1"/>
      <c r="Z105" s="1"/>
      <c r="AA105" s="1"/>
    </row>
    <row r="106" spans="1:27" ht="12.75" customHeight="1">
      <c r="A106" s="1"/>
      <c r="B106" s="10" t="str">
        <f ca="1">IFERROR(__xludf.DUMMYFUNCTION("""COMPUTED_VALUE"""),"Fondo de Incentivo al Mejoramiento de la Gestión Municipal 2024")</f>
        <v>Fondo de Incentivo al Mejoramiento de la Gestión Municipal 2024</v>
      </c>
      <c r="C106" s="10" t="str">
        <f ca="1">IFERROR(__xludf.DUMMYFUNCTION("""COMPUTED_VALUE"""),"FIGEM-2024-66")</f>
        <v>FIGEM-2024-66</v>
      </c>
      <c r="D106" s="26" t="str">
        <f t="shared" ca="1" si="0"/>
        <v xml:space="preserve"> LEBU</v>
      </c>
      <c r="E106" s="10" t="str">
        <f ca="1">IFERROR(__xludf.DUMMYFUNCTION("""COMPUTED_VALUE"""),"Resolución de Transferencia")</f>
        <v>Resolución de Transferencia</v>
      </c>
      <c r="F106" s="10" t="str">
        <f ca="1">IFERROR(__xludf.DUMMYFUNCTION("""COMPUTED_VALUE"""),"MUNICIPALIDAD DE LEBU")</f>
        <v>MUNICIPALIDAD DE LEBU</v>
      </c>
      <c r="G106" s="71">
        <f ca="1">IFERROR(__xludf.DUMMYFUNCTION("""COMPUTED_VALUE"""),118286670)</f>
        <v>118286670</v>
      </c>
      <c r="H106" s="10" t="str">
        <f ca="1">IFERROR(__xludf.DUMMYFUNCTION("""COMPUTED_VALUE"""),"Resolución")</f>
        <v>Resolución</v>
      </c>
      <c r="I106" s="10" t="str">
        <f ca="1">IFERROR(__xludf.DUMMYFUNCTION("""COMPUTED_VALUE"""),"FONDO DE INCENTIVO AL MEJORAMIENTO DE LA GESTIÓN MUNICIPAL")</f>
        <v>FONDO DE INCENTIVO AL MEJORAMIENTO DE LA GESTIÓN MUNICIPAL</v>
      </c>
      <c r="J106" s="10" t="str">
        <f ca="1">IFERROR(__xludf.DUMMYFUNCTION("""COMPUTED_VALUE"""),"Cumplir con normativa y reglamentos internos del programa en base a los objetivos.")</f>
        <v>Cumplir con normativa y reglamentos internos del programa en base a los objetivos.</v>
      </c>
      <c r="K106" s="71">
        <f ca="1">IFERROR(__xludf.DUMMYFUNCTION("""COMPUTED_VALUE"""),118286670)</f>
        <v>118286670</v>
      </c>
      <c r="L106" s="27">
        <f ca="1">IFERROR(__xludf.DUMMYFUNCTION("""COMPUTED_VALUE"""),1)</f>
        <v>1</v>
      </c>
      <c r="M106" s="10" t="str">
        <f ca="1">IFERROR(__xludf.DUMMYFUNCTION("""COMPUTED_VALUE"""),"19/2024")</f>
        <v>19/2024</v>
      </c>
      <c r="N106" s="10" t="str">
        <f ca="1">IFERROR(__xludf.DUMMYFUNCTION("""COMPUTED_VALUE"""),"FIGEM")</f>
        <v>FIGEM</v>
      </c>
      <c r="O106" s="59"/>
      <c r="P106" s="1"/>
      <c r="Q106" s="1"/>
      <c r="R106" s="1"/>
      <c r="S106" s="1"/>
      <c r="T106" s="1"/>
      <c r="U106" s="1"/>
      <c r="V106" s="1"/>
      <c r="W106" s="1"/>
      <c r="X106" s="1"/>
      <c r="Y106" s="1"/>
      <c r="Z106" s="1"/>
      <c r="AA106" s="1"/>
    </row>
    <row r="107" spans="1:27" ht="12.75" customHeight="1">
      <c r="A107" s="1"/>
      <c r="B107" s="10" t="str">
        <f ca="1">IFERROR(__xludf.DUMMYFUNCTION("""COMPUTED_VALUE"""),"Fondo de Incentivo al Mejoramiento de la Gestión Municipal 2024")</f>
        <v>Fondo de Incentivo al Mejoramiento de la Gestión Municipal 2024</v>
      </c>
      <c r="C107" s="10" t="str">
        <f ca="1">IFERROR(__xludf.DUMMYFUNCTION("""COMPUTED_VALUE"""),"FIGEM-2024-116")</f>
        <v>FIGEM-2024-116</v>
      </c>
      <c r="D107" s="26" t="str">
        <f t="shared" ca="1" si="0"/>
        <v xml:space="preserve"> ARAUCO</v>
      </c>
      <c r="E107" s="10" t="str">
        <f ca="1">IFERROR(__xludf.DUMMYFUNCTION("""COMPUTED_VALUE"""),"Resolución de Transferencia")</f>
        <v>Resolución de Transferencia</v>
      </c>
      <c r="F107" s="10" t="str">
        <f ca="1">IFERROR(__xludf.DUMMYFUNCTION("""COMPUTED_VALUE"""),"MUNICIPALIDAD DE ARAUCO")</f>
        <v>MUNICIPALIDAD DE ARAUCO</v>
      </c>
      <c r="G107" s="71">
        <f ca="1">IFERROR(__xludf.DUMMYFUNCTION("""COMPUTED_VALUE"""),85508521)</f>
        <v>85508521</v>
      </c>
      <c r="H107" s="10" t="str">
        <f ca="1">IFERROR(__xludf.DUMMYFUNCTION("""COMPUTED_VALUE"""),"Resolución")</f>
        <v>Resolución</v>
      </c>
      <c r="I107" s="10" t="str">
        <f ca="1">IFERROR(__xludf.DUMMYFUNCTION("""COMPUTED_VALUE"""),"FONDO DE INCENTIVO AL MEJORAMIENTO DE LA GESTIÓN MUNICIPAL")</f>
        <v>FONDO DE INCENTIVO AL MEJORAMIENTO DE LA GESTIÓN MUNICIPAL</v>
      </c>
      <c r="J107" s="10" t="str">
        <f ca="1">IFERROR(__xludf.DUMMYFUNCTION("""COMPUTED_VALUE"""),"Cumplir con normativa y reglamentos internos del programa en base a los objetivos.")</f>
        <v>Cumplir con normativa y reglamentos internos del programa en base a los objetivos.</v>
      </c>
      <c r="K107" s="71">
        <f ca="1">IFERROR(__xludf.DUMMYFUNCTION("""COMPUTED_VALUE"""),85508521)</f>
        <v>85508521</v>
      </c>
      <c r="L107" s="27">
        <f ca="1">IFERROR(__xludf.DUMMYFUNCTION("""COMPUTED_VALUE"""),1)</f>
        <v>1</v>
      </c>
      <c r="M107" s="10" t="str">
        <f ca="1">IFERROR(__xludf.DUMMYFUNCTION("""COMPUTED_VALUE"""),"19/2024")</f>
        <v>19/2024</v>
      </c>
      <c r="N107" s="10" t="str">
        <f ca="1">IFERROR(__xludf.DUMMYFUNCTION("""COMPUTED_VALUE"""),"FIGEM")</f>
        <v>FIGEM</v>
      </c>
      <c r="O107" s="59"/>
      <c r="P107" s="1"/>
      <c r="Q107" s="1"/>
      <c r="R107" s="1"/>
      <c r="S107" s="1"/>
      <c r="T107" s="1"/>
      <c r="U107" s="1"/>
      <c r="V107" s="1"/>
      <c r="W107" s="1"/>
      <c r="X107" s="1"/>
      <c r="Y107" s="1"/>
      <c r="Z107" s="1"/>
      <c r="AA107" s="1"/>
    </row>
    <row r="108" spans="1:27" ht="12.75" customHeight="1">
      <c r="A108" s="1"/>
      <c r="B108" s="10" t="str">
        <f ca="1">IFERROR(__xludf.DUMMYFUNCTION("""COMPUTED_VALUE"""),"Fondo de Incentivo al Mejoramiento de la Gestión Municipal 2024")</f>
        <v>Fondo de Incentivo al Mejoramiento de la Gestión Municipal 2024</v>
      </c>
      <c r="C108" s="10" t="str">
        <f ca="1">IFERROR(__xludf.DUMMYFUNCTION("""COMPUTED_VALUE"""),"FIGEM-2024-142")</f>
        <v>FIGEM-2024-142</v>
      </c>
      <c r="D108" s="26" t="str">
        <f t="shared" ca="1" si="0"/>
        <v xml:space="preserve"> CONTULMO</v>
      </c>
      <c r="E108" s="10" t="str">
        <f ca="1">IFERROR(__xludf.DUMMYFUNCTION("""COMPUTED_VALUE"""),"Resolución de Transferencia")</f>
        <v>Resolución de Transferencia</v>
      </c>
      <c r="F108" s="10" t="str">
        <f ca="1">IFERROR(__xludf.DUMMYFUNCTION("""COMPUTED_VALUE"""),"MUNICIPALIDAD DE CONTULMO")</f>
        <v>MUNICIPALIDAD DE CONTULMO</v>
      </c>
      <c r="G108" s="71">
        <f ca="1">IFERROR(__xludf.DUMMYFUNCTION("""COMPUTED_VALUE"""),92875713)</f>
        <v>92875713</v>
      </c>
      <c r="H108" s="10" t="str">
        <f ca="1">IFERROR(__xludf.DUMMYFUNCTION("""COMPUTED_VALUE"""),"Resolución")</f>
        <v>Resolución</v>
      </c>
      <c r="I108" s="10" t="str">
        <f ca="1">IFERROR(__xludf.DUMMYFUNCTION("""COMPUTED_VALUE"""),"FONDO DE INCENTIVO AL MEJORAMIENTO DE LA GESTIÓN MUNICIPAL")</f>
        <v>FONDO DE INCENTIVO AL MEJORAMIENTO DE LA GESTIÓN MUNICIPAL</v>
      </c>
      <c r="J108" s="10" t="str">
        <f ca="1">IFERROR(__xludf.DUMMYFUNCTION("""COMPUTED_VALUE"""),"Cumplir con normativa y reglamentos internos del programa en base a los objetivos.")</f>
        <v>Cumplir con normativa y reglamentos internos del programa en base a los objetivos.</v>
      </c>
      <c r="K108" s="71">
        <f ca="1">IFERROR(__xludf.DUMMYFUNCTION("""COMPUTED_VALUE"""),92875713)</f>
        <v>92875713</v>
      </c>
      <c r="L108" s="27">
        <f ca="1">IFERROR(__xludf.DUMMYFUNCTION("""COMPUTED_VALUE"""),1)</f>
        <v>1</v>
      </c>
      <c r="M108" s="10" t="str">
        <f ca="1">IFERROR(__xludf.DUMMYFUNCTION("""COMPUTED_VALUE"""),"19/2024")</f>
        <v>19/2024</v>
      </c>
      <c r="N108" s="10" t="str">
        <f ca="1">IFERROR(__xludf.DUMMYFUNCTION("""COMPUTED_VALUE"""),"FIGEM")</f>
        <v>FIGEM</v>
      </c>
      <c r="O108" s="59"/>
      <c r="P108" s="1"/>
      <c r="Q108" s="1"/>
      <c r="R108" s="1"/>
      <c r="S108" s="1"/>
      <c r="T108" s="1"/>
      <c r="U108" s="1"/>
      <c r="V108" s="1"/>
      <c r="W108" s="1"/>
      <c r="X108" s="1"/>
      <c r="Y108" s="1"/>
      <c r="Z108" s="1"/>
      <c r="AA108" s="1"/>
    </row>
    <row r="109" spans="1:27" ht="12.75" customHeight="1">
      <c r="A109" s="1"/>
      <c r="B109" s="10" t="str">
        <f ca="1">IFERROR(__xludf.DUMMYFUNCTION("""COMPUTED_VALUE"""),"Fondo de Incentivo al Mejoramiento de la Gestión Municipal 2024")</f>
        <v>Fondo de Incentivo al Mejoramiento de la Gestión Municipal 2024</v>
      </c>
      <c r="C109" s="10" t="str">
        <f ca="1">IFERROR(__xludf.DUMMYFUNCTION("""COMPUTED_VALUE"""),"FIGEM-2024-65")</f>
        <v>FIGEM-2024-65</v>
      </c>
      <c r="D109" s="26" t="str">
        <f t="shared" ca="1" si="0"/>
        <v xml:space="preserve"> LOS ÁLAMOS</v>
      </c>
      <c r="E109" s="10" t="str">
        <f ca="1">IFERROR(__xludf.DUMMYFUNCTION("""COMPUTED_VALUE"""),"Resolución de Transferencia")</f>
        <v>Resolución de Transferencia</v>
      </c>
      <c r="F109" s="10" t="str">
        <f ca="1">IFERROR(__xludf.DUMMYFUNCTION("""COMPUTED_VALUE"""),"MUNICIPALIDAD DE LOS ÁLAMOS")</f>
        <v>MUNICIPALIDAD DE LOS ÁLAMOS</v>
      </c>
      <c r="G109" s="71">
        <f ca="1">IFERROR(__xludf.DUMMYFUNCTION("""COMPUTED_VALUE"""),118342032)</f>
        <v>118342032</v>
      </c>
      <c r="H109" s="10" t="str">
        <f ca="1">IFERROR(__xludf.DUMMYFUNCTION("""COMPUTED_VALUE"""),"Resolución")</f>
        <v>Resolución</v>
      </c>
      <c r="I109" s="10" t="str">
        <f ca="1">IFERROR(__xludf.DUMMYFUNCTION("""COMPUTED_VALUE"""),"FONDO DE INCENTIVO AL MEJORAMIENTO DE LA GESTIÓN MUNICIPAL")</f>
        <v>FONDO DE INCENTIVO AL MEJORAMIENTO DE LA GESTIÓN MUNICIPAL</v>
      </c>
      <c r="J109" s="10" t="str">
        <f ca="1">IFERROR(__xludf.DUMMYFUNCTION("""COMPUTED_VALUE"""),"Cumplir con normativa y reglamentos internos del programa en base a los objetivos.")</f>
        <v>Cumplir con normativa y reglamentos internos del programa en base a los objetivos.</v>
      </c>
      <c r="K109" s="71">
        <f ca="1">IFERROR(__xludf.DUMMYFUNCTION("""COMPUTED_VALUE"""),118342032)</f>
        <v>118342032</v>
      </c>
      <c r="L109" s="27">
        <f ca="1">IFERROR(__xludf.DUMMYFUNCTION("""COMPUTED_VALUE"""),1)</f>
        <v>1</v>
      </c>
      <c r="M109" s="10" t="str">
        <f ca="1">IFERROR(__xludf.DUMMYFUNCTION("""COMPUTED_VALUE"""),"19/2024")</f>
        <v>19/2024</v>
      </c>
      <c r="N109" s="10" t="str">
        <f ca="1">IFERROR(__xludf.DUMMYFUNCTION("""COMPUTED_VALUE"""),"FIGEM")</f>
        <v>FIGEM</v>
      </c>
      <c r="O109" s="59"/>
      <c r="P109" s="1"/>
      <c r="Q109" s="1"/>
      <c r="R109" s="1"/>
      <c r="S109" s="1"/>
      <c r="T109" s="1"/>
      <c r="U109" s="1"/>
      <c r="V109" s="1"/>
      <c r="W109" s="1"/>
      <c r="X109" s="1"/>
      <c r="Y109" s="1"/>
      <c r="Z109" s="1"/>
      <c r="AA109" s="1"/>
    </row>
    <row r="110" spans="1:27" ht="12.75" customHeight="1">
      <c r="A110" s="1"/>
      <c r="B110" s="10" t="str">
        <f ca="1">IFERROR(__xludf.DUMMYFUNCTION("""COMPUTED_VALUE"""),"Fondo de Incentivo al Mejoramiento de la Gestión Municipal 2024")</f>
        <v>Fondo de Incentivo al Mejoramiento de la Gestión Municipal 2024</v>
      </c>
      <c r="C110" s="10" t="str">
        <f ca="1">IFERROR(__xludf.DUMMYFUNCTION("""COMPUTED_VALUE"""),"FIGEM-2024-43")</f>
        <v>FIGEM-2024-43</v>
      </c>
      <c r="D110" s="26" t="str">
        <f t="shared" ca="1" si="0"/>
        <v xml:space="preserve"> LOS ÁNGELES</v>
      </c>
      <c r="E110" s="10" t="str">
        <f ca="1">IFERROR(__xludf.DUMMYFUNCTION("""COMPUTED_VALUE"""),"Resolución de Transferencia")</f>
        <v>Resolución de Transferencia</v>
      </c>
      <c r="F110" s="10" t="str">
        <f ca="1">IFERROR(__xludf.DUMMYFUNCTION("""COMPUTED_VALUE"""),"MUNICIPALIDAD DE LOS ÁNGELES")</f>
        <v>MUNICIPALIDAD DE LOS ÁNGELES</v>
      </c>
      <c r="G110" s="71">
        <f ca="1">IFERROR(__xludf.DUMMYFUNCTION("""COMPUTED_VALUE"""),126889980)</f>
        <v>126889980</v>
      </c>
      <c r="H110" s="10" t="str">
        <f ca="1">IFERROR(__xludf.DUMMYFUNCTION("""COMPUTED_VALUE"""),"Resolución")</f>
        <v>Resolución</v>
      </c>
      <c r="I110" s="10" t="str">
        <f ca="1">IFERROR(__xludf.DUMMYFUNCTION("""COMPUTED_VALUE"""),"FONDO DE INCENTIVO AL MEJORAMIENTO DE LA GESTIÓN MUNICIPAL")</f>
        <v>FONDO DE INCENTIVO AL MEJORAMIENTO DE LA GESTIÓN MUNICIPAL</v>
      </c>
      <c r="J110" s="10" t="str">
        <f ca="1">IFERROR(__xludf.DUMMYFUNCTION("""COMPUTED_VALUE"""),"Cumplir con normativa y reglamentos internos del programa en base a los objetivos.")</f>
        <v>Cumplir con normativa y reglamentos internos del programa en base a los objetivos.</v>
      </c>
      <c r="K110" s="71">
        <f ca="1">IFERROR(__xludf.DUMMYFUNCTION("""COMPUTED_VALUE"""),126889980)</f>
        <v>126889980</v>
      </c>
      <c r="L110" s="27">
        <f ca="1">IFERROR(__xludf.DUMMYFUNCTION("""COMPUTED_VALUE"""),1)</f>
        <v>1</v>
      </c>
      <c r="M110" s="10" t="str">
        <f ca="1">IFERROR(__xludf.DUMMYFUNCTION("""COMPUTED_VALUE"""),"19/2024")</f>
        <v>19/2024</v>
      </c>
      <c r="N110" s="10" t="str">
        <f ca="1">IFERROR(__xludf.DUMMYFUNCTION("""COMPUTED_VALUE"""),"FIGEM")</f>
        <v>FIGEM</v>
      </c>
      <c r="O110" s="59"/>
      <c r="P110" s="1"/>
      <c r="Q110" s="1"/>
      <c r="R110" s="1"/>
      <c r="S110" s="1"/>
      <c r="T110" s="1"/>
      <c r="U110" s="1"/>
      <c r="V110" s="1"/>
      <c r="W110" s="1"/>
      <c r="X110" s="1"/>
      <c r="Y110" s="1"/>
      <c r="Z110" s="1"/>
      <c r="AA110" s="1"/>
    </row>
    <row r="111" spans="1:27" ht="12.75" customHeight="1">
      <c r="A111" s="1"/>
      <c r="B111" s="10" t="str">
        <f ca="1">IFERROR(__xludf.DUMMYFUNCTION("""COMPUTED_VALUE"""),"Fondo de Incentivo al Mejoramiento de la Gestión Municipal 2024")</f>
        <v>Fondo de Incentivo al Mejoramiento de la Gestión Municipal 2024</v>
      </c>
      <c r="C111" s="10" t="str">
        <f ca="1">IFERROR(__xludf.DUMMYFUNCTION("""COMPUTED_VALUE"""),"FIGEM-2024-162")</f>
        <v>FIGEM-2024-162</v>
      </c>
      <c r="D111" s="26" t="str">
        <f t="shared" ca="1" si="0"/>
        <v xml:space="preserve"> ANTUCO</v>
      </c>
      <c r="E111" s="10" t="str">
        <f ca="1">IFERROR(__xludf.DUMMYFUNCTION("""COMPUTED_VALUE"""),"Resolución de Transferencia")</f>
        <v>Resolución de Transferencia</v>
      </c>
      <c r="F111" s="10" t="str">
        <f ca="1">IFERROR(__xludf.DUMMYFUNCTION("""COMPUTED_VALUE"""),"MUNICIPALIDAD DE ANTUCO")</f>
        <v>MUNICIPALIDAD DE ANTUCO</v>
      </c>
      <c r="G111" s="71">
        <f ca="1">IFERROR(__xludf.DUMMYFUNCTION("""COMPUTED_VALUE"""),90798424)</f>
        <v>90798424</v>
      </c>
      <c r="H111" s="10" t="str">
        <f ca="1">IFERROR(__xludf.DUMMYFUNCTION("""COMPUTED_VALUE"""),"Resolución")</f>
        <v>Resolución</v>
      </c>
      <c r="I111" s="10" t="str">
        <f ca="1">IFERROR(__xludf.DUMMYFUNCTION("""COMPUTED_VALUE"""),"FONDO DE INCENTIVO AL MEJORAMIENTO DE LA GESTIÓN MUNICIPAL")</f>
        <v>FONDO DE INCENTIVO AL MEJORAMIENTO DE LA GESTIÓN MUNICIPAL</v>
      </c>
      <c r="J111" s="10" t="str">
        <f ca="1">IFERROR(__xludf.DUMMYFUNCTION("""COMPUTED_VALUE"""),"Cumplir con normativa y reglamentos internos del programa en base a los objetivos.")</f>
        <v>Cumplir con normativa y reglamentos internos del programa en base a los objetivos.</v>
      </c>
      <c r="K111" s="71">
        <f ca="1">IFERROR(__xludf.DUMMYFUNCTION("""COMPUTED_VALUE"""),90798424)</f>
        <v>90798424</v>
      </c>
      <c r="L111" s="27">
        <f ca="1">IFERROR(__xludf.DUMMYFUNCTION("""COMPUTED_VALUE"""),1)</f>
        <v>1</v>
      </c>
      <c r="M111" s="10" t="str">
        <f ca="1">IFERROR(__xludf.DUMMYFUNCTION("""COMPUTED_VALUE"""),"19/2024")</f>
        <v>19/2024</v>
      </c>
      <c r="N111" s="10" t="str">
        <f ca="1">IFERROR(__xludf.DUMMYFUNCTION("""COMPUTED_VALUE"""),"FIGEM")</f>
        <v>FIGEM</v>
      </c>
      <c r="O111" s="59"/>
      <c r="P111" s="1"/>
      <c r="Q111" s="1"/>
      <c r="R111" s="1"/>
      <c r="S111" s="1"/>
      <c r="T111" s="1"/>
      <c r="U111" s="1"/>
      <c r="V111" s="1"/>
      <c r="W111" s="1"/>
      <c r="X111" s="1"/>
      <c r="Y111" s="1"/>
      <c r="Z111" s="1"/>
      <c r="AA111" s="1"/>
    </row>
    <row r="112" spans="1:27" ht="12.75" customHeight="1">
      <c r="A112" s="1"/>
      <c r="B112" s="10" t="str">
        <f ca="1">IFERROR(__xludf.DUMMYFUNCTION("""COMPUTED_VALUE"""),"Fondo de Incentivo al Mejoramiento de la Gestión Municipal 2024")</f>
        <v>Fondo de Incentivo al Mejoramiento de la Gestión Municipal 2024</v>
      </c>
      <c r="C112" s="10" t="str">
        <f ca="1">IFERROR(__xludf.DUMMYFUNCTION("""COMPUTED_VALUE"""),"FIGEM-2024-75")</f>
        <v>FIGEM-2024-75</v>
      </c>
      <c r="D112" s="26" t="str">
        <f t="shared" ca="1" si="0"/>
        <v xml:space="preserve"> LAJA</v>
      </c>
      <c r="E112" s="10" t="str">
        <f ca="1">IFERROR(__xludf.DUMMYFUNCTION("""COMPUTED_VALUE"""),"Resolución de Transferencia")</f>
        <v>Resolución de Transferencia</v>
      </c>
      <c r="F112" s="10" t="str">
        <f ca="1">IFERROR(__xludf.DUMMYFUNCTION("""COMPUTED_VALUE"""),"MUNICIPALIDAD DE LAJA")</f>
        <v>MUNICIPALIDAD DE LAJA</v>
      </c>
      <c r="G112" s="71">
        <f ca="1">IFERROR(__xludf.DUMMYFUNCTION("""COMPUTED_VALUE"""),93615476)</f>
        <v>93615476</v>
      </c>
      <c r="H112" s="10" t="str">
        <f ca="1">IFERROR(__xludf.DUMMYFUNCTION("""COMPUTED_VALUE"""),"Resolución")</f>
        <v>Resolución</v>
      </c>
      <c r="I112" s="10" t="str">
        <f ca="1">IFERROR(__xludf.DUMMYFUNCTION("""COMPUTED_VALUE"""),"FONDO DE INCENTIVO AL MEJORAMIENTO DE LA GESTIÓN MUNICIPAL")</f>
        <v>FONDO DE INCENTIVO AL MEJORAMIENTO DE LA GESTIÓN MUNICIPAL</v>
      </c>
      <c r="J112" s="10" t="str">
        <f ca="1">IFERROR(__xludf.DUMMYFUNCTION("""COMPUTED_VALUE"""),"Cumplir con normativa y reglamentos internos del programa en base a los objetivos.")</f>
        <v>Cumplir con normativa y reglamentos internos del programa en base a los objetivos.</v>
      </c>
      <c r="K112" s="71">
        <f ca="1">IFERROR(__xludf.DUMMYFUNCTION("""COMPUTED_VALUE"""),93615476)</f>
        <v>93615476</v>
      </c>
      <c r="L112" s="27">
        <f ca="1">IFERROR(__xludf.DUMMYFUNCTION("""COMPUTED_VALUE"""),1)</f>
        <v>1</v>
      </c>
      <c r="M112" s="10" t="str">
        <f ca="1">IFERROR(__xludf.DUMMYFUNCTION("""COMPUTED_VALUE"""),"19/2024")</f>
        <v>19/2024</v>
      </c>
      <c r="N112" s="10" t="str">
        <f ca="1">IFERROR(__xludf.DUMMYFUNCTION("""COMPUTED_VALUE"""),"FIGEM")</f>
        <v>FIGEM</v>
      </c>
      <c r="O112" s="59"/>
      <c r="P112" s="1"/>
      <c r="Q112" s="1"/>
      <c r="R112" s="1"/>
      <c r="S112" s="1"/>
      <c r="T112" s="1"/>
      <c r="U112" s="1"/>
      <c r="V112" s="1"/>
      <c r="W112" s="1"/>
      <c r="X112" s="1"/>
      <c r="Y112" s="1"/>
      <c r="Z112" s="1"/>
      <c r="AA112" s="1"/>
    </row>
    <row r="113" spans="1:27" ht="12.75" customHeight="1">
      <c r="A113" s="1"/>
      <c r="B113" s="10" t="str">
        <f ca="1">IFERROR(__xludf.DUMMYFUNCTION("""COMPUTED_VALUE"""),"Fondo de Incentivo al Mejoramiento de la Gestión Municipal 2024")</f>
        <v>Fondo de Incentivo al Mejoramiento de la Gestión Municipal 2024</v>
      </c>
      <c r="C113" s="10" t="str">
        <f ca="1">IFERROR(__xludf.DUMMYFUNCTION("""COMPUTED_VALUE"""),"FIGEM-2024-69")</f>
        <v>FIGEM-2024-69</v>
      </c>
      <c r="D113" s="26" t="str">
        <f t="shared" ca="1" si="0"/>
        <v xml:space="preserve"> MULCHÉN</v>
      </c>
      <c r="E113" s="10" t="str">
        <f ca="1">IFERROR(__xludf.DUMMYFUNCTION("""COMPUTED_VALUE"""),"Resolución de Transferencia")</f>
        <v>Resolución de Transferencia</v>
      </c>
      <c r="F113" s="10" t="str">
        <f ca="1">IFERROR(__xludf.DUMMYFUNCTION("""COMPUTED_VALUE"""),"MUNICIPALIDAD DE MULCHÉN")</f>
        <v>MUNICIPALIDAD DE MULCHÉN</v>
      </c>
      <c r="G113" s="71">
        <f ca="1">IFERROR(__xludf.DUMMYFUNCTION("""COMPUTED_VALUE"""),116873561)</f>
        <v>116873561</v>
      </c>
      <c r="H113" s="10" t="str">
        <f ca="1">IFERROR(__xludf.DUMMYFUNCTION("""COMPUTED_VALUE"""),"Resolución")</f>
        <v>Resolución</v>
      </c>
      <c r="I113" s="10" t="str">
        <f ca="1">IFERROR(__xludf.DUMMYFUNCTION("""COMPUTED_VALUE"""),"FONDO DE INCENTIVO AL MEJORAMIENTO DE LA GESTIÓN MUNICIPAL")</f>
        <v>FONDO DE INCENTIVO AL MEJORAMIENTO DE LA GESTIÓN MUNICIPAL</v>
      </c>
      <c r="J113" s="10" t="str">
        <f ca="1">IFERROR(__xludf.DUMMYFUNCTION("""COMPUTED_VALUE"""),"Cumplir con normativa y reglamentos internos del programa en base a los objetivos.")</f>
        <v>Cumplir con normativa y reglamentos internos del programa en base a los objetivos.</v>
      </c>
      <c r="K113" s="71">
        <f ca="1">IFERROR(__xludf.DUMMYFUNCTION("""COMPUTED_VALUE"""),116873561)</f>
        <v>116873561</v>
      </c>
      <c r="L113" s="27">
        <f ca="1">IFERROR(__xludf.DUMMYFUNCTION("""COMPUTED_VALUE"""),1)</f>
        <v>1</v>
      </c>
      <c r="M113" s="10" t="str">
        <f ca="1">IFERROR(__xludf.DUMMYFUNCTION("""COMPUTED_VALUE"""),"19/2024")</f>
        <v>19/2024</v>
      </c>
      <c r="N113" s="10" t="str">
        <f ca="1">IFERROR(__xludf.DUMMYFUNCTION("""COMPUTED_VALUE"""),"FIGEM")</f>
        <v>FIGEM</v>
      </c>
      <c r="O113" s="59"/>
      <c r="P113" s="1"/>
      <c r="Q113" s="1"/>
      <c r="R113" s="1"/>
      <c r="S113" s="1"/>
      <c r="T113" s="1"/>
      <c r="U113" s="1"/>
      <c r="V113" s="1"/>
      <c r="W113" s="1"/>
      <c r="X113" s="1"/>
      <c r="Y113" s="1"/>
      <c r="Z113" s="1"/>
      <c r="AA113" s="1"/>
    </row>
    <row r="114" spans="1:27" ht="12.75" customHeight="1">
      <c r="A114" s="1"/>
      <c r="B114" s="10" t="str">
        <f ca="1">IFERROR(__xludf.DUMMYFUNCTION("""COMPUTED_VALUE"""),"Fondo de Incentivo al Mejoramiento de la Gestión Municipal 2024")</f>
        <v>Fondo de Incentivo al Mejoramiento de la Gestión Municipal 2024</v>
      </c>
      <c r="C114" s="10" t="str">
        <f ca="1">IFERROR(__xludf.DUMMYFUNCTION("""COMPUTED_VALUE"""),"FIGEM-2024-62")</f>
        <v>FIGEM-2024-62</v>
      </c>
      <c r="D114" s="26" t="str">
        <f t="shared" ca="1" si="0"/>
        <v xml:space="preserve"> NACIMIENTO</v>
      </c>
      <c r="E114" s="10" t="str">
        <f ca="1">IFERROR(__xludf.DUMMYFUNCTION("""COMPUTED_VALUE"""),"Resolución de Transferencia")</f>
        <v>Resolución de Transferencia</v>
      </c>
      <c r="F114" s="10" t="str">
        <f ca="1">IFERROR(__xludf.DUMMYFUNCTION("""COMPUTED_VALUE"""),"MUNICIPALIDAD DE NACIMIENTO")</f>
        <v>MUNICIPALIDAD DE NACIMIENTO</v>
      </c>
      <c r="G114" s="71">
        <f ca="1">IFERROR(__xludf.DUMMYFUNCTION("""COMPUTED_VALUE"""),119113160)</f>
        <v>119113160</v>
      </c>
      <c r="H114" s="10" t="str">
        <f ca="1">IFERROR(__xludf.DUMMYFUNCTION("""COMPUTED_VALUE"""),"Resolución")</f>
        <v>Resolución</v>
      </c>
      <c r="I114" s="10" t="str">
        <f ca="1">IFERROR(__xludf.DUMMYFUNCTION("""COMPUTED_VALUE"""),"FONDO DE INCENTIVO AL MEJORAMIENTO DE LA GESTIÓN MUNICIPAL")</f>
        <v>FONDO DE INCENTIVO AL MEJORAMIENTO DE LA GESTIÓN MUNICIPAL</v>
      </c>
      <c r="J114" s="10" t="str">
        <f ca="1">IFERROR(__xludf.DUMMYFUNCTION("""COMPUTED_VALUE"""),"Cumplir con normativa y reglamentos internos del programa en base a los objetivos.")</f>
        <v>Cumplir con normativa y reglamentos internos del programa en base a los objetivos.</v>
      </c>
      <c r="K114" s="71">
        <f ca="1">IFERROR(__xludf.DUMMYFUNCTION("""COMPUTED_VALUE"""),119113160)</f>
        <v>119113160</v>
      </c>
      <c r="L114" s="27">
        <f ca="1">IFERROR(__xludf.DUMMYFUNCTION("""COMPUTED_VALUE"""),1)</f>
        <v>1</v>
      </c>
      <c r="M114" s="10" t="str">
        <f ca="1">IFERROR(__xludf.DUMMYFUNCTION("""COMPUTED_VALUE"""),"19/2024")</f>
        <v>19/2024</v>
      </c>
      <c r="N114" s="10" t="str">
        <f ca="1">IFERROR(__xludf.DUMMYFUNCTION("""COMPUTED_VALUE"""),"FIGEM")</f>
        <v>FIGEM</v>
      </c>
      <c r="O114" s="59"/>
      <c r="P114" s="1"/>
      <c r="Q114" s="1"/>
      <c r="R114" s="1"/>
      <c r="S114" s="1"/>
      <c r="T114" s="1"/>
      <c r="U114" s="1"/>
      <c r="V114" s="1"/>
      <c r="W114" s="1"/>
      <c r="X114" s="1"/>
      <c r="Y114" s="1"/>
      <c r="Z114" s="1"/>
      <c r="AA114" s="1"/>
    </row>
    <row r="115" spans="1:27" ht="12.75" customHeight="1">
      <c r="A115" s="1"/>
      <c r="B115" s="10" t="str">
        <f ca="1">IFERROR(__xludf.DUMMYFUNCTION("""COMPUTED_VALUE"""),"Fondo de Incentivo al Mejoramiento de la Gestión Municipal 2024")</f>
        <v>Fondo de Incentivo al Mejoramiento de la Gestión Municipal 2024</v>
      </c>
      <c r="C115" s="10" t="str">
        <f ca="1">IFERROR(__xludf.DUMMYFUNCTION("""COMPUTED_VALUE"""),"FIGEM-2024-70")</f>
        <v>FIGEM-2024-70</v>
      </c>
      <c r="D115" s="26" t="str">
        <f t="shared" ca="1" si="0"/>
        <v xml:space="preserve"> SAN ROSENDO</v>
      </c>
      <c r="E115" s="10" t="str">
        <f ca="1">IFERROR(__xludf.DUMMYFUNCTION("""COMPUTED_VALUE"""),"Resolución de Transferencia")</f>
        <v>Resolución de Transferencia</v>
      </c>
      <c r="F115" s="10" t="str">
        <f ca="1">IFERROR(__xludf.DUMMYFUNCTION("""COMPUTED_VALUE"""),"MUNICIPALIDAD DE SAN ROSENDO")</f>
        <v>MUNICIPALIDAD DE SAN ROSENDO</v>
      </c>
      <c r="G115" s="71">
        <f ca="1">IFERROR(__xludf.DUMMYFUNCTION("""COMPUTED_VALUE"""),116159834)</f>
        <v>116159834</v>
      </c>
      <c r="H115" s="10" t="str">
        <f ca="1">IFERROR(__xludf.DUMMYFUNCTION("""COMPUTED_VALUE"""),"Resolución")</f>
        <v>Resolución</v>
      </c>
      <c r="I115" s="10" t="str">
        <f ca="1">IFERROR(__xludf.DUMMYFUNCTION("""COMPUTED_VALUE"""),"FONDO DE INCENTIVO AL MEJORAMIENTO DE LA GESTIÓN MUNICIPAL")</f>
        <v>FONDO DE INCENTIVO AL MEJORAMIENTO DE LA GESTIÓN MUNICIPAL</v>
      </c>
      <c r="J115" s="10" t="str">
        <f ca="1">IFERROR(__xludf.DUMMYFUNCTION("""COMPUTED_VALUE"""),"Cumplir con normativa y reglamentos internos del programa en base a los objetivos.")</f>
        <v>Cumplir con normativa y reglamentos internos del programa en base a los objetivos.</v>
      </c>
      <c r="K115" s="71">
        <f ca="1">IFERROR(__xludf.DUMMYFUNCTION("""COMPUTED_VALUE"""),116159834)</f>
        <v>116159834</v>
      </c>
      <c r="L115" s="27">
        <f ca="1">IFERROR(__xludf.DUMMYFUNCTION("""COMPUTED_VALUE"""),1)</f>
        <v>1</v>
      </c>
      <c r="M115" s="10" t="str">
        <f ca="1">IFERROR(__xludf.DUMMYFUNCTION("""COMPUTED_VALUE"""),"19/2024")</f>
        <v>19/2024</v>
      </c>
      <c r="N115" s="10" t="str">
        <f ca="1">IFERROR(__xludf.DUMMYFUNCTION("""COMPUTED_VALUE"""),"FIGEM")</f>
        <v>FIGEM</v>
      </c>
      <c r="O115" s="59"/>
      <c r="P115" s="1"/>
      <c r="Q115" s="1"/>
      <c r="R115" s="1"/>
      <c r="S115" s="1"/>
      <c r="T115" s="1"/>
      <c r="U115" s="1"/>
      <c r="V115" s="1"/>
      <c r="W115" s="1"/>
      <c r="X115" s="1"/>
      <c r="Y115" s="1"/>
      <c r="Z115" s="1"/>
      <c r="AA115" s="1"/>
    </row>
    <row r="116" spans="1:27" ht="12.75" customHeight="1">
      <c r="A116" s="1"/>
      <c r="B116" s="10" t="str">
        <f ca="1">IFERROR(__xludf.DUMMYFUNCTION("""COMPUTED_VALUE"""),"Fondo de Incentivo al Mejoramiento de la Gestión Municipal 2024")</f>
        <v>Fondo de Incentivo al Mejoramiento de la Gestión Municipal 2024</v>
      </c>
      <c r="C116" s="10" t="str">
        <f ca="1">IFERROR(__xludf.DUMMYFUNCTION("""COMPUTED_VALUE"""),"FIGEM-2024-57")</f>
        <v>FIGEM-2024-57</v>
      </c>
      <c r="D116" s="26" t="str">
        <f t="shared" ca="1" si="0"/>
        <v xml:space="preserve"> SANTA BÁRBARA</v>
      </c>
      <c r="E116" s="10" t="str">
        <f ca="1">IFERROR(__xludf.DUMMYFUNCTION("""COMPUTED_VALUE"""),"Resolución de Transferencia")</f>
        <v>Resolución de Transferencia</v>
      </c>
      <c r="F116" s="10" t="str">
        <f ca="1">IFERROR(__xludf.DUMMYFUNCTION("""COMPUTED_VALUE"""),"MUNICIPALIDAD DE SANTA BÁRBARA")</f>
        <v>MUNICIPALIDAD DE SANTA BÁRBARA</v>
      </c>
      <c r="G116" s="71">
        <f ca="1">IFERROR(__xludf.DUMMYFUNCTION("""COMPUTED_VALUE"""),121795487)</f>
        <v>121795487</v>
      </c>
      <c r="H116" s="10" t="str">
        <f ca="1">IFERROR(__xludf.DUMMYFUNCTION("""COMPUTED_VALUE"""),"Resolución")</f>
        <v>Resolución</v>
      </c>
      <c r="I116" s="10" t="str">
        <f ca="1">IFERROR(__xludf.DUMMYFUNCTION("""COMPUTED_VALUE"""),"FONDO DE INCENTIVO AL MEJORAMIENTO DE LA GESTIÓN MUNICIPAL")</f>
        <v>FONDO DE INCENTIVO AL MEJORAMIENTO DE LA GESTIÓN MUNICIPAL</v>
      </c>
      <c r="J116" s="10" t="str">
        <f ca="1">IFERROR(__xludf.DUMMYFUNCTION("""COMPUTED_VALUE"""),"Cumplir con normativa y reglamentos internos del programa en base a los objetivos.")</f>
        <v>Cumplir con normativa y reglamentos internos del programa en base a los objetivos.</v>
      </c>
      <c r="K116" s="71">
        <f ca="1">IFERROR(__xludf.DUMMYFUNCTION("""COMPUTED_VALUE"""),121795487)</f>
        <v>121795487</v>
      </c>
      <c r="L116" s="27">
        <f ca="1">IFERROR(__xludf.DUMMYFUNCTION("""COMPUTED_VALUE"""),1)</f>
        <v>1</v>
      </c>
      <c r="M116" s="10" t="str">
        <f ca="1">IFERROR(__xludf.DUMMYFUNCTION("""COMPUTED_VALUE"""),"19/2024")</f>
        <v>19/2024</v>
      </c>
      <c r="N116" s="10" t="str">
        <f ca="1">IFERROR(__xludf.DUMMYFUNCTION("""COMPUTED_VALUE"""),"FIGEM")</f>
        <v>FIGEM</v>
      </c>
      <c r="O116" s="59"/>
      <c r="P116" s="1"/>
      <c r="Q116" s="1"/>
      <c r="R116" s="1"/>
      <c r="S116" s="1"/>
      <c r="T116" s="1"/>
      <c r="U116" s="1"/>
      <c r="V116" s="1"/>
      <c r="W116" s="1"/>
      <c r="X116" s="1"/>
      <c r="Y116" s="1"/>
      <c r="Z116" s="1"/>
      <c r="AA116" s="1"/>
    </row>
    <row r="117" spans="1:27" ht="12.75" customHeight="1">
      <c r="A117" s="1"/>
      <c r="B117" s="10" t="str">
        <f ca="1">IFERROR(__xludf.DUMMYFUNCTION("""COMPUTED_VALUE"""),"Fondo de Incentivo al Mejoramiento de la Gestión Municipal 2024")</f>
        <v>Fondo de Incentivo al Mejoramiento de la Gestión Municipal 2024</v>
      </c>
      <c r="C117" s="10" t="str">
        <f ca="1">IFERROR(__xludf.DUMMYFUNCTION("""COMPUTED_VALUE"""),"FIGEM-2024-124")</f>
        <v>FIGEM-2024-124</v>
      </c>
      <c r="D117" s="26" t="str">
        <f t="shared" ca="1" si="0"/>
        <v xml:space="preserve"> TUCAPEL</v>
      </c>
      <c r="E117" s="10" t="str">
        <f ca="1">IFERROR(__xludf.DUMMYFUNCTION("""COMPUTED_VALUE"""),"Resolución de Transferencia")</f>
        <v>Resolución de Transferencia</v>
      </c>
      <c r="F117" s="10" t="str">
        <f ca="1">IFERROR(__xludf.DUMMYFUNCTION("""COMPUTED_VALUE"""),"MUNICIPALIDAD DE TUCAPEL")</f>
        <v>MUNICIPALIDAD DE TUCAPEL</v>
      </c>
      <c r="G117" s="71">
        <f ca="1">IFERROR(__xludf.DUMMYFUNCTION("""COMPUTED_VALUE"""),96224871)</f>
        <v>96224871</v>
      </c>
      <c r="H117" s="10" t="str">
        <f ca="1">IFERROR(__xludf.DUMMYFUNCTION("""COMPUTED_VALUE"""),"Resolución")</f>
        <v>Resolución</v>
      </c>
      <c r="I117" s="10" t="str">
        <f ca="1">IFERROR(__xludf.DUMMYFUNCTION("""COMPUTED_VALUE"""),"FONDO DE INCENTIVO AL MEJORAMIENTO DE LA GESTIÓN MUNICIPAL")</f>
        <v>FONDO DE INCENTIVO AL MEJORAMIENTO DE LA GESTIÓN MUNICIPAL</v>
      </c>
      <c r="J117" s="10" t="str">
        <f ca="1">IFERROR(__xludf.DUMMYFUNCTION("""COMPUTED_VALUE"""),"Cumplir con normativa y reglamentos internos del programa en base a los objetivos.")</f>
        <v>Cumplir con normativa y reglamentos internos del programa en base a los objetivos.</v>
      </c>
      <c r="K117" s="71">
        <f ca="1">IFERROR(__xludf.DUMMYFUNCTION("""COMPUTED_VALUE"""),96224871)</f>
        <v>96224871</v>
      </c>
      <c r="L117" s="27">
        <f ca="1">IFERROR(__xludf.DUMMYFUNCTION("""COMPUTED_VALUE"""),1)</f>
        <v>1</v>
      </c>
      <c r="M117" s="10" t="str">
        <f ca="1">IFERROR(__xludf.DUMMYFUNCTION("""COMPUTED_VALUE"""),"19/2024")</f>
        <v>19/2024</v>
      </c>
      <c r="N117" s="10" t="str">
        <f ca="1">IFERROR(__xludf.DUMMYFUNCTION("""COMPUTED_VALUE"""),"FIGEM")</f>
        <v>FIGEM</v>
      </c>
      <c r="O117" s="59"/>
      <c r="P117" s="1"/>
      <c r="Q117" s="1"/>
      <c r="R117" s="1"/>
      <c r="S117" s="1"/>
      <c r="T117" s="1"/>
      <c r="U117" s="1"/>
      <c r="V117" s="1"/>
      <c r="W117" s="1"/>
      <c r="X117" s="1"/>
      <c r="Y117" s="1"/>
      <c r="Z117" s="1"/>
      <c r="AA117" s="1"/>
    </row>
    <row r="118" spans="1:27" ht="12.75" customHeight="1">
      <c r="A118" s="1"/>
      <c r="B118" s="10" t="str">
        <f ca="1">IFERROR(__xludf.DUMMYFUNCTION("""COMPUTED_VALUE"""),"Fondo de Incentivo al Mejoramiento de la Gestión Municipal 2024")</f>
        <v>Fondo de Incentivo al Mejoramiento de la Gestión Municipal 2024</v>
      </c>
      <c r="C118" s="10" t="str">
        <f ca="1">IFERROR(__xludf.DUMMYFUNCTION("""COMPUTED_VALUE"""),"FIGEM-2024-19")</f>
        <v>FIGEM-2024-19</v>
      </c>
      <c r="D118" s="26" t="str">
        <f t="shared" ca="1" si="0"/>
        <v xml:space="preserve"> TEMUCO</v>
      </c>
      <c r="E118" s="10" t="str">
        <f ca="1">IFERROR(__xludf.DUMMYFUNCTION("""COMPUTED_VALUE"""),"Resolución de Transferencia")</f>
        <v>Resolución de Transferencia</v>
      </c>
      <c r="F118" s="10" t="str">
        <f ca="1">IFERROR(__xludf.DUMMYFUNCTION("""COMPUTED_VALUE"""),"MUNICIPALIDAD DE TEMUCO")</f>
        <v>MUNICIPALIDAD DE TEMUCO</v>
      </c>
      <c r="G118" s="71">
        <f ca="1">IFERROR(__xludf.DUMMYFUNCTION("""COMPUTED_VALUE"""),68191316)</f>
        <v>68191316</v>
      </c>
      <c r="H118" s="10" t="str">
        <f ca="1">IFERROR(__xludf.DUMMYFUNCTION("""COMPUTED_VALUE"""),"Resolución")</f>
        <v>Resolución</v>
      </c>
      <c r="I118" s="10" t="str">
        <f ca="1">IFERROR(__xludf.DUMMYFUNCTION("""COMPUTED_VALUE"""),"FONDO DE INCENTIVO AL MEJORAMIENTO DE LA GESTIÓN MUNICIPAL")</f>
        <v>FONDO DE INCENTIVO AL MEJORAMIENTO DE LA GESTIÓN MUNICIPAL</v>
      </c>
      <c r="J118" s="10" t="str">
        <f ca="1">IFERROR(__xludf.DUMMYFUNCTION("""COMPUTED_VALUE"""),"Cumplir con normativa y reglamentos internos del programa en base a los objetivos.")</f>
        <v>Cumplir con normativa y reglamentos internos del programa en base a los objetivos.</v>
      </c>
      <c r="K118" s="71">
        <f ca="1">IFERROR(__xludf.DUMMYFUNCTION("""COMPUTED_VALUE"""),68191316)</f>
        <v>68191316</v>
      </c>
      <c r="L118" s="27">
        <f ca="1">IFERROR(__xludf.DUMMYFUNCTION("""COMPUTED_VALUE"""),1)</f>
        <v>1</v>
      </c>
      <c r="M118" s="10" t="str">
        <f ca="1">IFERROR(__xludf.DUMMYFUNCTION("""COMPUTED_VALUE"""),"19/2024")</f>
        <v>19/2024</v>
      </c>
      <c r="N118" s="10" t="str">
        <f ca="1">IFERROR(__xludf.DUMMYFUNCTION("""COMPUTED_VALUE"""),"FIGEM")</f>
        <v>FIGEM</v>
      </c>
      <c r="O118" s="59"/>
      <c r="P118" s="1"/>
      <c r="Q118" s="1"/>
      <c r="R118" s="1"/>
      <c r="S118" s="1"/>
      <c r="T118" s="1"/>
      <c r="U118" s="1"/>
      <c r="V118" s="1"/>
      <c r="W118" s="1"/>
      <c r="X118" s="1"/>
      <c r="Y118" s="1"/>
      <c r="Z118" s="1"/>
      <c r="AA118" s="1"/>
    </row>
    <row r="119" spans="1:27" ht="12.75" customHeight="1">
      <c r="A119" s="1"/>
      <c r="B119" s="10" t="str">
        <f ca="1">IFERROR(__xludf.DUMMYFUNCTION("""COMPUTED_VALUE"""),"Fondo de Incentivo al Mejoramiento de la Gestión Municipal 2024")</f>
        <v>Fondo de Incentivo al Mejoramiento de la Gestión Municipal 2024</v>
      </c>
      <c r="C119" s="10" t="str">
        <f ca="1">IFERROR(__xludf.DUMMYFUNCTION("""COMPUTED_VALUE"""),"FIGEM-2024-108")</f>
        <v>FIGEM-2024-108</v>
      </c>
      <c r="D119" s="26" t="str">
        <f t="shared" ca="1" si="0"/>
        <v xml:space="preserve"> CUNCO</v>
      </c>
      <c r="E119" s="10" t="str">
        <f ca="1">IFERROR(__xludf.DUMMYFUNCTION("""COMPUTED_VALUE"""),"Resolución de Transferencia")</f>
        <v>Resolución de Transferencia</v>
      </c>
      <c r="F119" s="10" t="str">
        <f ca="1">IFERROR(__xludf.DUMMYFUNCTION("""COMPUTED_VALUE"""),"MUNICIPALIDAD DE CUNCO")</f>
        <v>MUNICIPALIDAD DE CUNCO</v>
      </c>
      <c r="G119" s="71">
        <f ca="1">IFERROR(__xludf.DUMMYFUNCTION("""COMPUTED_VALUE"""),86540682)</f>
        <v>86540682</v>
      </c>
      <c r="H119" s="10" t="str">
        <f ca="1">IFERROR(__xludf.DUMMYFUNCTION("""COMPUTED_VALUE"""),"Resolución")</f>
        <v>Resolución</v>
      </c>
      <c r="I119" s="10" t="str">
        <f ca="1">IFERROR(__xludf.DUMMYFUNCTION("""COMPUTED_VALUE"""),"FONDO DE INCENTIVO AL MEJORAMIENTO DE LA GESTIÓN MUNICIPAL")</f>
        <v>FONDO DE INCENTIVO AL MEJORAMIENTO DE LA GESTIÓN MUNICIPAL</v>
      </c>
      <c r="J119" s="10" t="str">
        <f ca="1">IFERROR(__xludf.DUMMYFUNCTION("""COMPUTED_VALUE"""),"Cumplir con normativa y reglamentos internos del programa en base a los objetivos.")</f>
        <v>Cumplir con normativa y reglamentos internos del programa en base a los objetivos.</v>
      </c>
      <c r="K119" s="71">
        <f ca="1">IFERROR(__xludf.DUMMYFUNCTION("""COMPUTED_VALUE"""),86540682)</f>
        <v>86540682</v>
      </c>
      <c r="L119" s="27">
        <f ca="1">IFERROR(__xludf.DUMMYFUNCTION("""COMPUTED_VALUE"""),1)</f>
        <v>1</v>
      </c>
      <c r="M119" s="10" t="str">
        <f ca="1">IFERROR(__xludf.DUMMYFUNCTION("""COMPUTED_VALUE"""),"19/2024")</f>
        <v>19/2024</v>
      </c>
      <c r="N119" s="10" t="str">
        <f ca="1">IFERROR(__xludf.DUMMYFUNCTION("""COMPUTED_VALUE"""),"FIGEM")</f>
        <v>FIGEM</v>
      </c>
      <c r="O119" s="59"/>
      <c r="P119" s="1"/>
      <c r="Q119" s="1"/>
      <c r="R119" s="1"/>
      <c r="S119" s="1"/>
      <c r="T119" s="1"/>
      <c r="U119" s="1"/>
      <c r="V119" s="1"/>
      <c r="W119" s="1"/>
      <c r="X119" s="1"/>
      <c r="Y119" s="1"/>
      <c r="Z119" s="1"/>
      <c r="AA119" s="1"/>
    </row>
    <row r="120" spans="1:27" ht="12.75" customHeight="1">
      <c r="A120" s="1"/>
      <c r="B120" s="10" t="str">
        <f ca="1">IFERROR(__xludf.DUMMYFUNCTION("""COMPUTED_VALUE"""),"Fondo de Incentivo al Mejoramiento de la Gestión Municipal 2024")</f>
        <v>Fondo de Incentivo al Mejoramiento de la Gestión Municipal 2024</v>
      </c>
      <c r="C120" s="10" t="str">
        <f ca="1">IFERROR(__xludf.DUMMYFUNCTION("""COMPUTED_VALUE"""),"FIGEM-2024-67")</f>
        <v>FIGEM-2024-67</v>
      </c>
      <c r="D120" s="26" t="str">
        <f t="shared" ca="1" si="0"/>
        <v xml:space="preserve"> LONCOCHE</v>
      </c>
      <c r="E120" s="10" t="str">
        <f ca="1">IFERROR(__xludf.DUMMYFUNCTION("""COMPUTED_VALUE"""),"Resolución de Transferencia")</f>
        <v>Resolución de Transferencia</v>
      </c>
      <c r="F120" s="10" t="str">
        <f ca="1">IFERROR(__xludf.DUMMYFUNCTION("""COMPUTED_VALUE"""),"MUNICIPALIDAD DE LONCOCHE")</f>
        <v>MUNICIPALIDAD DE LONCOCHE</v>
      </c>
      <c r="G120" s="71">
        <f ca="1">IFERROR(__xludf.DUMMYFUNCTION("""COMPUTED_VALUE"""),118278868)</f>
        <v>118278868</v>
      </c>
      <c r="H120" s="10" t="str">
        <f ca="1">IFERROR(__xludf.DUMMYFUNCTION("""COMPUTED_VALUE"""),"Resolución")</f>
        <v>Resolución</v>
      </c>
      <c r="I120" s="10" t="str">
        <f ca="1">IFERROR(__xludf.DUMMYFUNCTION("""COMPUTED_VALUE"""),"FONDO DE INCENTIVO AL MEJORAMIENTO DE LA GESTIÓN MUNICIPAL")</f>
        <v>FONDO DE INCENTIVO AL MEJORAMIENTO DE LA GESTIÓN MUNICIPAL</v>
      </c>
      <c r="J120" s="10" t="str">
        <f ca="1">IFERROR(__xludf.DUMMYFUNCTION("""COMPUTED_VALUE"""),"Cumplir con normativa y reglamentos internos del programa en base a los objetivos.")</f>
        <v>Cumplir con normativa y reglamentos internos del programa en base a los objetivos.</v>
      </c>
      <c r="K120" s="71">
        <f ca="1">IFERROR(__xludf.DUMMYFUNCTION("""COMPUTED_VALUE"""),118278868)</f>
        <v>118278868</v>
      </c>
      <c r="L120" s="27">
        <f ca="1">IFERROR(__xludf.DUMMYFUNCTION("""COMPUTED_VALUE"""),1)</f>
        <v>1</v>
      </c>
      <c r="M120" s="10" t="str">
        <f ca="1">IFERROR(__xludf.DUMMYFUNCTION("""COMPUTED_VALUE"""),"19/2024")</f>
        <v>19/2024</v>
      </c>
      <c r="N120" s="10" t="str">
        <f ca="1">IFERROR(__xludf.DUMMYFUNCTION("""COMPUTED_VALUE"""),"FIGEM")</f>
        <v>FIGEM</v>
      </c>
      <c r="O120" s="59"/>
      <c r="P120" s="1"/>
      <c r="Q120" s="1"/>
      <c r="R120" s="1"/>
      <c r="S120" s="1"/>
      <c r="T120" s="1"/>
      <c r="U120" s="1"/>
      <c r="V120" s="1"/>
      <c r="W120" s="1"/>
      <c r="X120" s="1"/>
      <c r="Y120" s="1"/>
      <c r="Z120" s="1"/>
      <c r="AA120" s="1"/>
    </row>
    <row r="121" spans="1:27" ht="12.75" customHeight="1">
      <c r="A121" s="1"/>
      <c r="B121" s="10" t="str">
        <f ca="1">IFERROR(__xludf.DUMMYFUNCTION("""COMPUTED_VALUE"""),"Fondo de Incentivo al Mejoramiento de la Gestión Municipal 2024")</f>
        <v>Fondo de Incentivo al Mejoramiento de la Gestión Municipal 2024</v>
      </c>
      <c r="C121" s="10" t="str">
        <f ca="1">IFERROR(__xludf.DUMMYFUNCTION("""COMPUTED_VALUE"""),"FIGEM-2024-153")</f>
        <v>FIGEM-2024-153</v>
      </c>
      <c r="D121" s="26" t="str">
        <f t="shared" ca="1" si="0"/>
        <v xml:space="preserve"> NUEVA IMPERIAL</v>
      </c>
      <c r="E121" s="10" t="str">
        <f ca="1">IFERROR(__xludf.DUMMYFUNCTION("""COMPUTED_VALUE"""),"Resolución de Transferencia")</f>
        <v>Resolución de Transferencia</v>
      </c>
      <c r="F121" s="10" t="str">
        <f ca="1">IFERROR(__xludf.DUMMYFUNCTION("""COMPUTED_VALUE"""),"MUNICIPALIDAD DE NUEVA IMPERIAL")</f>
        <v>MUNICIPALIDAD DE NUEVA IMPERIAL</v>
      </c>
      <c r="G121" s="71">
        <f ca="1">IFERROR(__xludf.DUMMYFUNCTION("""COMPUTED_VALUE"""),91701842)</f>
        <v>91701842</v>
      </c>
      <c r="H121" s="10" t="str">
        <f ca="1">IFERROR(__xludf.DUMMYFUNCTION("""COMPUTED_VALUE"""),"Resolución")</f>
        <v>Resolución</v>
      </c>
      <c r="I121" s="10" t="str">
        <f ca="1">IFERROR(__xludf.DUMMYFUNCTION("""COMPUTED_VALUE"""),"FONDO DE INCENTIVO AL MEJORAMIENTO DE LA GESTIÓN MUNICIPAL")</f>
        <v>FONDO DE INCENTIVO AL MEJORAMIENTO DE LA GESTIÓN MUNICIPAL</v>
      </c>
      <c r="J121" s="10" t="str">
        <f ca="1">IFERROR(__xludf.DUMMYFUNCTION("""COMPUTED_VALUE"""),"Cumplir con normativa y reglamentos internos del programa en base a los objetivos.")</f>
        <v>Cumplir con normativa y reglamentos internos del programa en base a los objetivos.</v>
      </c>
      <c r="K121" s="71">
        <f ca="1">IFERROR(__xludf.DUMMYFUNCTION("""COMPUTED_VALUE"""),91701842)</f>
        <v>91701842</v>
      </c>
      <c r="L121" s="27">
        <f ca="1">IFERROR(__xludf.DUMMYFUNCTION("""COMPUTED_VALUE"""),1)</f>
        <v>1</v>
      </c>
      <c r="M121" s="10" t="str">
        <f ca="1">IFERROR(__xludf.DUMMYFUNCTION("""COMPUTED_VALUE"""),"19/2024")</f>
        <v>19/2024</v>
      </c>
      <c r="N121" s="10" t="str">
        <f ca="1">IFERROR(__xludf.DUMMYFUNCTION("""COMPUTED_VALUE"""),"FIGEM")</f>
        <v>FIGEM</v>
      </c>
      <c r="O121" s="59"/>
      <c r="P121" s="1"/>
      <c r="Q121" s="1"/>
      <c r="R121" s="1"/>
      <c r="S121" s="1"/>
      <c r="T121" s="1"/>
      <c r="U121" s="1"/>
      <c r="V121" s="1"/>
      <c r="W121" s="1"/>
      <c r="X121" s="1"/>
      <c r="Y121" s="1"/>
      <c r="Z121" s="1"/>
      <c r="AA121" s="1"/>
    </row>
    <row r="122" spans="1:27" ht="12.75" customHeight="1">
      <c r="A122" s="1"/>
      <c r="B122" s="10" t="str">
        <f ca="1">IFERROR(__xludf.DUMMYFUNCTION("""COMPUTED_VALUE"""),"Fondo de Incentivo al Mejoramiento de la Gestión Municipal 2024")</f>
        <v>Fondo de Incentivo al Mejoramiento de la Gestión Municipal 2024</v>
      </c>
      <c r="C122" s="10" t="str">
        <f ca="1">IFERROR(__xludf.DUMMYFUNCTION("""COMPUTED_VALUE"""),"FIGEM-2024-44")</f>
        <v>FIGEM-2024-44</v>
      </c>
      <c r="D122" s="26" t="str">
        <f t="shared" ca="1" si="0"/>
        <v xml:space="preserve"> PADRE LAS CASAS</v>
      </c>
      <c r="E122" s="10" t="str">
        <f ca="1">IFERROR(__xludf.DUMMYFUNCTION("""COMPUTED_VALUE"""),"Resolución de Transferencia")</f>
        <v>Resolución de Transferencia</v>
      </c>
      <c r="F122" s="10" t="str">
        <f ca="1">IFERROR(__xludf.DUMMYFUNCTION("""COMPUTED_VALUE"""),"MUNICIPALIDAD DE PADRE LAS CASAS")</f>
        <v>MUNICIPALIDAD DE PADRE LAS CASAS</v>
      </c>
      <c r="G122" s="71">
        <f ca="1">IFERROR(__xludf.DUMMYFUNCTION("""COMPUTED_VALUE"""),130356280)</f>
        <v>130356280</v>
      </c>
      <c r="H122" s="10" t="str">
        <f ca="1">IFERROR(__xludf.DUMMYFUNCTION("""COMPUTED_VALUE"""),"Resolución")</f>
        <v>Resolución</v>
      </c>
      <c r="I122" s="10" t="str">
        <f ca="1">IFERROR(__xludf.DUMMYFUNCTION("""COMPUTED_VALUE"""),"FONDO DE INCENTIVO AL MEJORAMIENTO DE LA GESTIÓN MUNICIPAL")</f>
        <v>FONDO DE INCENTIVO AL MEJORAMIENTO DE LA GESTIÓN MUNICIPAL</v>
      </c>
      <c r="J122" s="10" t="str">
        <f ca="1">IFERROR(__xludf.DUMMYFUNCTION("""COMPUTED_VALUE"""),"Cumplir con normativa y reglamentos internos del programa en base a los objetivos.")</f>
        <v>Cumplir con normativa y reglamentos internos del programa en base a los objetivos.</v>
      </c>
      <c r="K122" s="71">
        <f ca="1">IFERROR(__xludf.DUMMYFUNCTION("""COMPUTED_VALUE"""),130356280)</f>
        <v>130356280</v>
      </c>
      <c r="L122" s="27">
        <f ca="1">IFERROR(__xludf.DUMMYFUNCTION("""COMPUTED_VALUE"""),1)</f>
        <v>1</v>
      </c>
      <c r="M122" s="10" t="str">
        <f ca="1">IFERROR(__xludf.DUMMYFUNCTION("""COMPUTED_VALUE"""),"19/2024")</f>
        <v>19/2024</v>
      </c>
      <c r="N122" s="10" t="str">
        <f ca="1">IFERROR(__xludf.DUMMYFUNCTION("""COMPUTED_VALUE"""),"FIGEM")</f>
        <v>FIGEM</v>
      </c>
      <c r="O122" s="59"/>
      <c r="P122" s="1"/>
      <c r="Q122" s="1"/>
      <c r="R122" s="1"/>
      <c r="S122" s="1"/>
      <c r="T122" s="1"/>
      <c r="U122" s="1"/>
      <c r="V122" s="1"/>
      <c r="W122" s="1"/>
      <c r="X122" s="1"/>
      <c r="Y122" s="1"/>
      <c r="Z122" s="1"/>
      <c r="AA122" s="1"/>
    </row>
    <row r="123" spans="1:27" ht="12.75" customHeight="1">
      <c r="A123" s="1"/>
      <c r="B123" s="10" t="str">
        <f ca="1">IFERROR(__xludf.DUMMYFUNCTION("""COMPUTED_VALUE"""),"Fondo de Incentivo al Mejoramiento de la Gestión Municipal 2024")</f>
        <v>Fondo de Incentivo al Mejoramiento de la Gestión Municipal 2024</v>
      </c>
      <c r="C123" s="10" t="str">
        <f ca="1">IFERROR(__xludf.DUMMYFUNCTION("""COMPUTED_VALUE"""),"FIGEM-2024-149")</f>
        <v>FIGEM-2024-149</v>
      </c>
      <c r="D123" s="26" t="str">
        <f t="shared" ca="1" si="0"/>
        <v xml:space="preserve"> PERQUENCO</v>
      </c>
      <c r="E123" s="10" t="str">
        <f ca="1">IFERROR(__xludf.DUMMYFUNCTION("""COMPUTED_VALUE"""),"Resolución de Transferencia")</f>
        <v>Resolución de Transferencia</v>
      </c>
      <c r="F123" s="10" t="str">
        <f ca="1">IFERROR(__xludf.DUMMYFUNCTION("""COMPUTED_VALUE"""),"MUNICIPALIDAD DE PERQUENCO")</f>
        <v>MUNICIPALIDAD DE PERQUENCO</v>
      </c>
      <c r="G123" s="71">
        <f ca="1">IFERROR(__xludf.DUMMYFUNCTION("""COMPUTED_VALUE"""),92241284)</f>
        <v>92241284</v>
      </c>
      <c r="H123" s="10" t="str">
        <f ca="1">IFERROR(__xludf.DUMMYFUNCTION("""COMPUTED_VALUE"""),"Resolución")</f>
        <v>Resolución</v>
      </c>
      <c r="I123" s="10" t="str">
        <f ca="1">IFERROR(__xludf.DUMMYFUNCTION("""COMPUTED_VALUE"""),"FONDO DE INCENTIVO AL MEJORAMIENTO DE LA GESTIÓN MUNICIPAL")</f>
        <v>FONDO DE INCENTIVO AL MEJORAMIENTO DE LA GESTIÓN MUNICIPAL</v>
      </c>
      <c r="J123" s="10" t="str">
        <f ca="1">IFERROR(__xludf.DUMMYFUNCTION("""COMPUTED_VALUE"""),"Cumplir con normativa y reglamentos internos del programa en base a los objetivos.")</f>
        <v>Cumplir con normativa y reglamentos internos del programa en base a los objetivos.</v>
      </c>
      <c r="K123" s="71">
        <f ca="1">IFERROR(__xludf.DUMMYFUNCTION("""COMPUTED_VALUE"""),92241284)</f>
        <v>92241284</v>
      </c>
      <c r="L123" s="27">
        <f ca="1">IFERROR(__xludf.DUMMYFUNCTION("""COMPUTED_VALUE"""),1)</f>
        <v>1</v>
      </c>
      <c r="M123" s="10" t="str">
        <f ca="1">IFERROR(__xludf.DUMMYFUNCTION("""COMPUTED_VALUE"""),"19/2024")</f>
        <v>19/2024</v>
      </c>
      <c r="N123" s="10" t="str">
        <f ca="1">IFERROR(__xludf.DUMMYFUNCTION("""COMPUTED_VALUE"""),"FIGEM")</f>
        <v>FIGEM</v>
      </c>
      <c r="O123" s="59"/>
      <c r="P123" s="1"/>
      <c r="Q123" s="1"/>
      <c r="R123" s="1"/>
      <c r="S123" s="1"/>
      <c r="T123" s="1"/>
      <c r="U123" s="1"/>
      <c r="V123" s="1"/>
      <c r="W123" s="1"/>
      <c r="X123" s="1"/>
      <c r="Y123" s="1"/>
      <c r="Z123" s="1"/>
      <c r="AA123" s="1"/>
    </row>
    <row r="124" spans="1:27" ht="12.75" customHeight="1">
      <c r="A124" s="1"/>
      <c r="B124" s="10" t="str">
        <f ca="1">IFERROR(__xludf.DUMMYFUNCTION("""COMPUTED_VALUE"""),"Fondo de Incentivo al Mejoramiento de la Gestión Municipal 2024")</f>
        <v>Fondo de Incentivo al Mejoramiento de la Gestión Municipal 2024</v>
      </c>
      <c r="C124" s="10" t="str">
        <f ca="1">IFERROR(__xludf.DUMMYFUNCTION("""COMPUTED_VALUE"""),"FIGEM-2024-156")</f>
        <v>FIGEM-2024-156</v>
      </c>
      <c r="D124" s="26" t="str">
        <f t="shared" ca="1" si="0"/>
        <v xml:space="preserve"> SAAVEDRA</v>
      </c>
      <c r="E124" s="10" t="str">
        <f ca="1">IFERROR(__xludf.DUMMYFUNCTION("""COMPUTED_VALUE"""),"Resolución de Transferencia")</f>
        <v>Resolución de Transferencia</v>
      </c>
      <c r="F124" s="10" t="str">
        <f ca="1">IFERROR(__xludf.DUMMYFUNCTION("""COMPUTED_VALUE"""),"MUNICIPALIDAD DE SAAVEDRA")</f>
        <v>MUNICIPALIDAD DE SAAVEDRA</v>
      </c>
      <c r="G124" s="71">
        <f ca="1">IFERROR(__xludf.DUMMYFUNCTION("""COMPUTED_VALUE"""),91573909)</f>
        <v>91573909</v>
      </c>
      <c r="H124" s="10" t="str">
        <f ca="1">IFERROR(__xludf.DUMMYFUNCTION("""COMPUTED_VALUE"""),"Resolución")</f>
        <v>Resolución</v>
      </c>
      <c r="I124" s="10" t="str">
        <f ca="1">IFERROR(__xludf.DUMMYFUNCTION("""COMPUTED_VALUE"""),"FONDO DE INCENTIVO AL MEJORAMIENTO DE LA GESTIÓN MUNICIPAL")</f>
        <v>FONDO DE INCENTIVO AL MEJORAMIENTO DE LA GESTIÓN MUNICIPAL</v>
      </c>
      <c r="J124" s="10" t="str">
        <f ca="1">IFERROR(__xludf.DUMMYFUNCTION("""COMPUTED_VALUE"""),"Cumplir con normativa y reglamentos internos del programa en base a los objetivos.")</f>
        <v>Cumplir con normativa y reglamentos internos del programa en base a los objetivos.</v>
      </c>
      <c r="K124" s="71">
        <f ca="1">IFERROR(__xludf.DUMMYFUNCTION("""COMPUTED_VALUE"""),91573909)</f>
        <v>91573909</v>
      </c>
      <c r="L124" s="27">
        <f ca="1">IFERROR(__xludf.DUMMYFUNCTION("""COMPUTED_VALUE"""),1)</f>
        <v>1</v>
      </c>
      <c r="M124" s="10" t="str">
        <f ca="1">IFERROR(__xludf.DUMMYFUNCTION("""COMPUTED_VALUE"""),"19/2024")</f>
        <v>19/2024</v>
      </c>
      <c r="N124" s="10" t="str">
        <f ca="1">IFERROR(__xludf.DUMMYFUNCTION("""COMPUTED_VALUE"""),"FIGEM")</f>
        <v>FIGEM</v>
      </c>
      <c r="O124" s="59"/>
      <c r="P124" s="1"/>
      <c r="Q124" s="1"/>
      <c r="R124" s="1"/>
      <c r="S124" s="1"/>
      <c r="T124" s="1"/>
      <c r="U124" s="1"/>
      <c r="V124" s="1"/>
      <c r="W124" s="1"/>
      <c r="X124" s="1"/>
      <c r="Y124" s="1"/>
      <c r="Z124" s="1"/>
      <c r="AA124" s="1"/>
    </row>
    <row r="125" spans="1:27" ht="12.75" customHeight="1">
      <c r="A125" s="1"/>
      <c r="B125" s="10" t="str">
        <f ca="1">IFERROR(__xludf.DUMMYFUNCTION("""COMPUTED_VALUE"""),"Fondo de Incentivo al Mejoramiento de la Gestión Municipal 2024")</f>
        <v>Fondo de Incentivo al Mejoramiento de la Gestión Municipal 2024</v>
      </c>
      <c r="C125" s="10" t="str">
        <f ca="1">IFERROR(__xludf.DUMMYFUNCTION("""COMPUTED_VALUE"""),"FIGEM-2024-173")</f>
        <v>FIGEM-2024-173</v>
      </c>
      <c r="D125" s="26" t="str">
        <f t="shared" ca="1" si="0"/>
        <v xml:space="preserve"> CHOLCHOL</v>
      </c>
      <c r="E125" s="10" t="str">
        <f ca="1">IFERROR(__xludf.DUMMYFUNCTION("""COMPUTED_VALUE"""),"Resolución de Transferencia")</f>
        <v>Resolución de Transferencia</v>
      </c>
      <c r="F125" s="10" t="str">
        <f ca="1">IFERROR(__xludf.DUMMYFUNCTION("""COMPUTED_VALUE"""),"MUNICIPALIDAD DE CHOLCHOL")</f>
        <v>MUNICIPALIDAD DE CHOLCHOL</v>
      </c>
      <c r="G125" s="71">
        <f ca="1">IFERROR(__xludf.DUMMYFUNCTION("""COMPUTED_VALUE"""),87738611)</f>
        <v>87738611</v>
      </c>
      <c r="H125" s="10" t="str">
        <f ca="1">IFERROR(__xludf.DUMMYFUNCTION("""COMPUTED_VALUE"""),"Resolución")</f>
        <v>Resolución</v>
      </c>
      <c r="I125" s="10" t="str">
        <f ca="1">IFERROR(__xludf.DUMMYFUNCTION("""COMPUTED_VALUE"""),"FONDO DE INCENTIVO AL MEJORAMIENTO DE LA GESTIÓN MUNICIPAL")</f>
        <v>FONDO DE INCENTIVO AL MEJORAMIENTO DE LA GESTIÓN MUNICIPAL</v>
      </c>
      <c r="J125" s="10" t="str">
        <f ca="1">IFERROR(__xludf.DUMMYFUNCTION("""COMPUTED_VALUE"""),"Cumplir con normativa y reglamentos internos del programa en base a los objetivos.")</f>
        <v>Cumplir con normativa y reglamentos internos del programa en base a los objetivos.</v>
      </c>
      <c r="K125" s="71">
        <f ca="1">IFERROR(__xludf.DUMMYFUNCTION("""COMPUTED_VALUE"""),87738611)</f>
        <v>87738611</v>
      </c>
      <c r="L125" s="27">
        <f ca="1">IFERROR(__xludf.DUMMYFUNCTION("""COMPUTED_VALUE"""),1)</f>
        <v>1</v>
      </c>
      <c r="M125" s="10" t="str">
        <f ca="1">IFERROR(__xludf.DUMMYFUNCTION("""COMPUTED_VALUE"""),"19/2024")</f>
        <v>19/2024</v>
      </c>
      <c r="N125" s="10" t="str">
        <f ca="1">IFERROR(__xludf.DUMMYFUNCTION("""COMPUTED_VALUE"""),"FIGEM")</f>
        <v>FIGEM</v>
      </c>
      <c r="O125" s="59"/>
      <c r="P125" s="1"/>
      <c r="Q125" s="1"/>
      <c r="R125" s="1"/>
      <c r="S125" s="1"/>
      <c r="T125" s="1"/>
      <c r="U125" s="1"/>
      <c r="V125" s="1"/>
      <c r="W125" s="1"/>
      <c r="X125" s="1"/>
      <c r="Y125" s="1"/>
      <c r="Z125" s="1"/>
      <c r="AA125" s="1"/>
    </row>
    <row r="126" spans="1:27" ht="12.75" customHeight="1">
      <c r="A126" s="1"/>
      <c r="B126" s="10" t="str">
        <f ca="1">IFERROR(__xludf.DUMMYFUNCTION("""COMPUTED_VALUE"""),"Fondo de Incentivo al Mejoramiento de la Gestión Municipal 2024")</f>
        <v>Fondo de Incentivo al Mejoramiento de la Gestión Municipal 2024</v>
      </c>
      <c r="C126" s="10" t="str">
        <f ca="1">IFERROR(__xludf.DUMMYFUNCTION("""COMPUTED_VALUE"""),"FIGEM-2024-59")</f>
        <v>FIGEM-2024-59</v>
      </c>
      <c r="D126" s="26" t="str">
        <f t="shared" ca="1" si="0"/>
        <v xml:space="preserve"> ANGOL</v>
      </c>
      <c r="E126" s="10" t="str">
        <f ca="1">IFERROR(__xludf.DUMMYFUNCTION("""COMPUTED_VALUE"""),"Resolución de Transferencia")</f>
        <v>Resolución de Transferencia</v>
      </c>
      <c r="F126" s="10" t="str">
        <f ca="1">IFERROR(__xludf.DUMMYFUNCTION("""COMPUTED_VALUE"""),"MUNICIPALIDAD DE ANGOL")</f>
        <v>MUNICIPALIDAD DE ANGOL</v>
      </c>
      <c r="G126" s="71">
        <f ca="1">IFERROR(__xludf.DUMMYFUNCTION("""COMPUTED_VALUE"""),120997206)</f>
        <v>120997206</v>
      </c>
      <c r="H126" s="10" t="str">
        <f ca="1">IFERROR(__xludf.DUMMYFUNCTION("""COMPUTED_VALUE"""),"Resolución")</f>
        <v>Resolución</v>
      </c>
      <c r="I126" s="10" t="str">
        <f ca="1">IFERROR(__xludf.DUMMYFUNCTION("""COMPUTED_VALUE"""),"FONDO DE INCENTIVO AL MEJORAMIENTO DE LA GESTIÓN MUNICIPAL")</f>
        <v>FONDO DE INCENTIVO AL MEJORAMIENTO DE LA GESTIÓN MUNICIPAL</v>
      </c>
      <c r="J126" s="10" t="str">
        <f ca="1">IFERROR(__xludf.DUMMYFUNCTION("""COMPUTED_VALUE"""),"Cumplir con normativa y reglamentos internos del programa en base a los objetivos.")</f>
        <v>Cumplir con normativa y reglamentos internos del programa en base a los objetivos.</v>
      </c>
      <c r="K126" s="71">
        <f ca="1">IFERROR(__xludf.DUMMYFUNCTION("""COMPUTED_VALUE"""),120997206)</f>
        <v>120997206</v>
      </c>
      <c r="L126" s="27">
        <f ca="1">IFERROR(__xludf.DUMMYFUNCTION("""COMPUTED_VALUE"""),1)</f>
        <v>1</v>
      </c>
      <c r="M126" s="10" t="str">
        <f ca="1">IFERROR(__xludf.DUMMYFUNCTION("""COMPUTED_VALUE"""),"19/2024")</f>
        <v>19/2024</v>
      </c>
      <c r="N126" s="10" t="str">
        <f ca="1">IFERROR(__xludf.DUMMYFUNCTION("""COMPUTED_VALUE"""),"FIGEM")</f>
        <v>FIGEM</v>
      </c>
      <c r="O126" s="59"/>
      <c r="P126" s="1"/>
      <c r="Q126" s="1"/>
      <c r="R126" s="1"/>
      <c r="S126" s="1"/>
      <c r="T126" s="1"/>
      <c r="U126" s="1"/>
      <c r="V126" s="1"/>
      <c r="W126" s="1"/>
      <c r="X126" s="1"/>
      <c r="Y126" s="1"/>
      <c r="Z126" s="1"/>
      <c r="AA126" s="1"/>
    </row>
    <row r="127" spans="1:27" ht="12.75" customHeight="1">
      <c r="A127" s="1"/>
      <c r="B127" s="10" t="str">
        <f ca="1">IFERROR(__xludf.DUMMYFUNCTION("""COMPUTED_VALUE"""),"Fondo de Incentivo al Mejoramiento de la Gestión Municipal 2024")</f>
        <v>Fondo de Incentivo al Mejoramiento de la Gestión Municipal 2024</v>
      </c>
      <c r="C127" s="10" t="str">
        <f ca="1">IFERROR(__xludf.DUMMYFUNCTION("""COMPUTED_VALUE"""),"FIGEM-2024-45")</f>
        <v>FIGEM-2024-45</v>
      </c>
      <c r="D127" s="26" t="str">
        <f t="shared" ca="1" si="0"/>
        <v xml:space="preserve"> COLLIPULLI</v>
      </c>
      <c r="E127" s="10" t="str">
        <f ca="1">IFERROR(__xludf.DUMMYFUNCTION("""COMPUTED_VALUE"""),"Resolución de Transferencia")</f>
        <v>Resolución de Transferencia</v>
      </c>
      <c r="F127" s="10" t="str">
        <f ca="1">IFERROR(__xludf.DUMMYFUNCTION("""COMPUTED_VALUE"""),"MUNICIPALIDAD DE COLLIPULLI")</f>
        <v>MUNICIPALIDAD DE COLLIPULLI</v>
      </c>
      <c r="G127" s="71">
        <f ca="1">IFERROR(__xludf.DUMMYFUNCTION("""COMPUTED_VALUE"""),129606542)</f>
        <v>129606542</v>
      </c>
      <c r="H127" s="10" t="str">
        <f ca="1">IFERROR(__xludf.DUMMYFUNCTION("""COMPUTED_VALUE"""),"Resolución")</f>
        <v>Resolución</v>
      </c>
      <c r="I127" s="10" t="str">
        <f ca="1">IFERROR(__xludf.DUMMYFUNCTION("""COMPUTED_VALUE"""),"FONDO DE INCENTIVO AL MEJORAMIENTO DE LA GESTIÓN MUNICIPAL")</f>
        <v>FONDO DE INCENTIVO AL MEJORAMIENTO DE LA GESTIÓN MUNICIPAL</v>
      </c>
      <c r="J127" s="10" t="str">
        <f ca="1">IFERROR(__xludf.DUMMYFUNCTION("""COMPUTED_VALUE"""),"Cumplir con normativa y reglamentos internos del programa en base a los objetivos.")</f>
        <v>Cumplir con normativa y reglamentos internos del programa en base a los objetivos.</v>
      </c>
      <c r="K127" s="71">
        <f ca="1">IFERROR(__xludf.DUMMYFUNCTION("""COMPUTED_VALUE"""),129606542)</f>
        <v>129606542</v>
      </c>
      <c r="L127" s="27">
        <f ca="1">IFERROR(__xludf.DUMMYFUNCTION("""COMPUTED_VALUE"""),1)</f>
        <v>1</v>
      </c>
      <c r="M127" s="10" t="str">
        <f ca="1">IFERROR(__xludf.DUMMYFUNCTION("""COMPUTED_VALUE"""),"19/2024")</f>
        <v>19/2024</v>
      </c>
      <c r="N127" s="10" t="str">
        <f ca="1">IFERROR(__xludf.DUMMYFUNCTION("""COMPUTED_VALUE"""),"FIGEM")</f>
        <v>FIGEM</v>
      </c>
      <c r="O127" s="59"/>
      <c r="P127" s="1"/>
      <c r="Q127" s="1"/>
      <c r="R127" s="1"/>
      <c r="S127" s="1"/>
      <c r="T127" s="1"/>
      <c r="U127" s="1"/>
      <c r="V127" s="1"/>
      <c r="W127" s="1"/>
      <c r="X127" s="1"/>
      <c r="Y127" s="1"/>
      <c r="Z127" s="1"/>
      <c r="AA127" s="1"/>
    </row>
    <row r="128" spans="1:27" ht="12.75" customHeight="1">
      <c r="A128" s="1"/>
      <c r="B128" s="10" t="str">
        <f ca="1">IFERROR(__xludf.DUMMYFUNCTION("""COMPUTED_VALUE"""),"Fondo de Incentivo al Mejoramiento de la Gestión Municipal 2024")</f>
        <v>Fondo de Incentivo al Mejoramiento de la Gestión Municipal 2024</v>
      </c>
      <c r="C128" s="10" t="str">
        <f ca="1">IFERROR(__xludf.DUMMYFUNCTION("""COMPUTED_VALUE"""),"FIGEM-2024-61")</f>
        <v>FIGEM-2024-61</v>
      </c>
      <c r="D128" s="26" t="str">
        <f t="shared" ca="1" si="0"/>
        <v xml:space="preserve"> CURACAUTÍN</v>
      </c>
      <c r="E128" s="10" t="str">
        <f ca="1">IFERROR(__xludf.DUMMYFUNCTION("""COMPUTED_VALUE"""),"Resolución de Transferencia")</f>
        <v>Resolución de Transferencia</v>
      </c>
      <c r="F128" s="10" t="str">
        <f ca="1">IFERROR(__xludf.DUMMYFUNCTION("""COMPUTED_VALUE"""),"MUNICIPALIDAD DE CURACAUTÍN")</f>
        <v>MUNICIPALIDAD DE CURACAUTÍN</v>
      </c>
      <c r="G128" s="71">
        <f ca="1">IFERROR(__xludf.DUMMYFUNCTION("""COMPUTED_VALUE"""),119247883)</f>
        <v>119247883</v>
      </c>
      <c r="H128" s="10" t="str">
        <f ca="1">IFERROR(__xludf.DUMMYFUNCTION("""COMPUTED_VALUE"""),"Resolución")</f>
        <v>Resolución</v>
      </c>
      <c r="I128" s="10" t="str">
        <f ca="1">IFERROR(__xludf.DUMMYFUNCTION("""COMPUTED_VALUE"""),"FONDO DE INCENTIVO AL MEJORAMIENTO DE LA GESTIÓN MUNICIPAL")</f>
        <v>FONDO DE INCENTIVO AL MEJORAMIENTO DE LA GESTIÓN MUNICIPAL</v>
      </c>
      <c r="J128" s="10" t="str">
        <f ca="1">IFERROR(__xludf.DUMMYFUNCTION("""COMPUTED_VALUE"""),"Cumplir con normativa y reglamentos internos del programa en base a los objetivos.")</f>
        <v>Cumplir con normativa y reglamentos internos del programa en base a los objetivos.</v>
      </c>
      <c r="K128" s="71">
        <f ca="1">IFERROR(__xludf.DUMMYFUNCTION("""COMPUTED_VALUE"""),119247883)</f>
        <v>119247883</v>
      </c>
      <c r="L128" s="27">
        <f ca="1">IFERROR(__xludf.DUMMYFUNCTION("""COMPUTED_VALUE"""),1)</f>
        <v>1</v>
      </c>
      <c r="M128" s="10" t="str">
        <f ca="1">IFERROR(__xludf.DUMMYFUNCTION("""COMPUTED_VALUE"""),"19/2024")</f>
        <v>19/2024</v>
      </c>
      <c r="N128" s="10" t="str">
        <f ca="1">IFERROR(__xludf.DUMMYFUNCTION("""COMPUTED_VALUE"""),"FIGEM")</f>
        <v>FIGEM</v>
      </c>
      <c r="O128" s="59"/>
      <c r="P128" s="1"/>
      <c r="Q128" s="1"/>
      <c r="R128" s="1"/>
      <c r="S128" s="1"/>
      <c r="T128" s="1"/>
      <c r="U128" s="1"/>
      <c r="V128" s="1"/>
      <c r="W128" s="1"/>
      <c r="X128" s="1"/>
      <c r="Y128" s="1"/>
      <c r="Z128" s="1"/>
      <c r="AA128" s="1"/>
    </row>
    <row r="129" spans="1:27" ht="12.75" customHeight="1">
      <c r="A129" s="1"/>
      <c r="B129" s="10" t="str">
        <f ca="1">IFERROR(__xludf.DUMMYFUNCTION("""COMPUTED_VALUE"""),"Fondo de Incentivo al Mejoramiento de la Gestión Municipal 2024")</f>
        <v>Fondo de Incentivo al Mejoramiento de la Gestión Municipal 2024</v>
      </c>
      <c r="C129" s="10" t="str">
        <f ca="1">IFERROR(__xludf.DUMMYFUNCTION("""COMPUTED_VALUE"""),"FIGEM-2024-161")</f>
        <v>FIGEM-2024-161</v>
      </c>
      <c r="D129" s="26" t="str">
        <f t="shared" ca="1" si="0"/>
        <v xml:space="preserve"> LOS SAUCES</v>
      </c>
      <c r="E129" s="10" t="str">
        <f ca="1">IFERROR(__xludf.DUMMYFUNCTION("""COMPUTED_VALUE"""),"Resolución de Transferencia")</f>
        <v>Resolución de Transferencia</v>
      </c>
      <c r="F129" s="10" t="str">
        <f ca="1">IFERROR(__xludf.DUMMYFUNCTION("""COMPUTED_VALUE"""),"MUNICIPALIDAD DE LOS SAUCES")</f>
        <v>MUNICIPALIDAD DE LOS SAUCES</v>
      </c>
      <c r="G129" s="71">
        <f ca="1">IFERROR(__xludf.DUMMYFUNCTION("""COMPUTED_VALUE"""),90938098)</f>
        <v>90938098</v>
      </c>
      <c r="H129" s="10" t="str">
        <f ca="1">IFERROR(__xludf.DUMMYFUNCTION("""COMPUTED_VALUE"""),"Resolución")</f>
        <v>Resolución</v>
      </c>
      <c r="I129" s="10" t="str">
        <f ca="1">IFERROR(__xludf.DUMMYFUNCTION("""COMPUTED_VALUE"""),"FONDO DE INCENTIVO AL MEJORAMIENTO DE LA GESTIÓN MUNICIPAL")</f>
        <v>FONDO DE INCENTIVO AL MEJORAMIENTO DE LA GESTIÓN MUNICIPAL</v>
      </c>
      <c r="J129" s="10" t="str">
        <f ca="1">IFERROR(__xludf.DUMMYFUNCTION("""COMPUTED_VALUE"""),"Cumplir con normativa y reglamentos internos del programa en base a los objetivos.")</f>
        <v>Cumplir con normativa y reglamentos internos del programa en base a los objetivos.</v>
      </c>
      <c r="K129" s="71">
        <f ca="1">IFERROR(__xludf.DUMMYFUNCTION("""COMPUTED_VALUE"""),90938098)</f>
        <v>90938098</v>
      </c>
      <c r="L129" s="27">
        <f ca="1">IFERROR(__xludf.DUMMYFUNCTION("""COMPUTED_VALUE"""),1)</f>
        <v>1</v>
      </c>
      <c r="M129" s="10" t="str">
        <f ca="1">IFERROR(__xludf.DUMMYFUNCTION("""COMPUTED_VALUE"""),"19/2024")</f>
        <v>19/2024</v>
      </c>
      <c r="N129" s="10" t="str">
        <f ca="1">IFERROR(__xludf.DUMMYFUNCTION("""COMPUTED_VALUE"""),"FIGEM")</f>
        <v>FIGEM</v>
      </c>
      <c r="O129" s="59"/>
      <c r="P129" s="1"/>
      <c r="Q129" s="1"/>
      <c r="R129" s="1"/>
      <c r="S129" s="1"/>
      <c r="T129" s="1"/>
      <c r="U129" s="1"/>
      <c r="V129" s="1"/>
      <c r="W129" s="1"/>
      <c r="X129" s="1"/>
      <c r="Y129" s="1"/>
      <c r="Z129" s="1"/>
      <c r="AA129" s="1"/>
    </row>
    <row r="130" spans="1:27" ht="12.75" customHeight="1">
      <c r="A130" s="1"/>
      <c r="B130" s="10" t="str">
        <f ca="1">IFERROR(__xludf.DUMMYFUNCTION("""COMPUTED_VALUE"""),"Fondo de Incentivo al Mejoramiento de la Gestión Municipal 2024")</f>
        <v>Fondo de Incentivo al Mejoramiento de la Gestión Municipal 2024</v>
      </c>
      <c r="C130" s="10" t="str">
        <f ca="1">IFERROR(__xludf.DUMMYFUNCTION("""COMPUTED_VALUE"""),"FIGEM-2024-55")</f>
        <v>FIGEM-2024-55</v>
      </c>
      <c r="D130" s="26" t="str">
        <f t="shared" ca="1" si="0"/>
        <v xml:space="preserve"> TRAIGUÉN</v>
      </c>
      <c r="E130" s="10" t="str">
        <f ca="1">IFERROR(__xludf.DUMMYFUNCTION("""COMPUTED_VALUE"""),"Resolución de Transferencia")</f>
        <v>Resolución de Transferencia</v>
      </c>
      <c r="F130" s="10" t="str">
        <f ca="1">IFERROR(__xludf.DUMMYFUNCTION("""COMPUTED_VALUE"""),"MUNICIPALIDAD DE TRAIGUÉN")</f>
        <v>MUNICIPALIDAD DE TRAIGUÉN</v>
      </c>
      <c r="G130" s="71">
        <f ca="1">IFERROR(__xludf.DUMMYFUNCTION("""COMPUTED_VALUE"""),122278874)</f>
        <v>122278874</v>
      </c>
      <c r="H130" s="10" t="str">
        <f ca="1">IFERROR(__xludf.DUMMYFUNCTION("""COMPUTED_VALUE"""),"Resolución")</f>
        <v>Resolución</v>
      </c>
      <c r="I130" s="10" t="str">
        <f ca="1">IFERROR(__xludf.DUMMYFUNCTION("""COMPUTED_VALUE"""),"FONDO DE INCENTIVO AL MEJORAMIENTO DE LA GESTIÓN MUNICIPAL")</f>
        <v>FONDO DE INCENTIVO AL MEJORAMIENTO DE LA GESTIÓN MUNICIPAL</v>
      </c>
      <c r="J130" s="10" t="str">
        <f ca="1">IFERROR(__xludf.DUMMYFUNCTION("""COMPUTED_VALUE"""),"Cumplir con normativa y reglamentos internos del programa en base a los objetivos.")</f>
        <v>Cumplir con normativa y reglamentos internos del programa en base a los objetivos.</v>
      </c>
      <c r="K130" s="71">
        <f ca="1">IFERROR(__xludf.DUMMYFUNCTION("""COMPUTED_VALUE"""),122278874)</f>
        <v>122278874</v>
      </c>
      <c r="L130" s="27">
        <f ca="1">IFERROR(__xludf.DUMMYFUNCTION("""COMPUTED_VALUE"""),1)</f>
        <v>1</v>
      </c>
      <c r="M130" s="10" t="str">
        <f ca="1">IFERROR(__xludf.DUMMYFUNCTION("""COMPUTED_VALUE"""),"19/2024")</f>
        <v>19/2024</v>
      </c>
      <c r="N130" s="10" t="str">
        <f ca="1">IFERROR(__xludf.DUMMYFUNCTION("""COMPUTED_VALUE"""),"FIGEM")</f>
        <v>FIGEM</v>
      </c>
      <c r="O130" s="59"/>
      <c r="P130" s="1"/>
      <c r="Q130" s="1"/>
      <c r="R130" s="1"/>
      <c r="S130" s="1"/>
      <c r="T130" s="1"/>
      <c r="U130" s="1"/>
      <c r="V130" s="1"/>
      <c r="W130" s="1"/>
      <c r="X130" s="1"/>
      <c r="Y130" s="1"/>
      <c r="Z130" s="1"/>
      <c r="AA130" s="1"/>
    </row>
    <row r="131" spans="1:27" ht="12.75" customHeight="1">
      <c r="A131" s="1"/>
      <c r="B131" s="10" t="str">
        <f ca="1">IFERROR(__xludf.DUMMYFUNCTION("""COMPUTED_VALUE"""),"Fondo de Incentivo al Mejoramiento de la Gestión Municipal 2024")</f>
        <v>Fondo de Incentivo al Mejoramiento de la Gestión Municipal 2024</v>
      </c>
      <c r="C131" s="10" t="str">
        <f ca="1">IFERROR(__xludf.DUMMYFUNCTION("""COMPUTED_VALUE"""),"FIGEM-2024-71")</f>
        <v>FIGEM-2024-71</v>
      </c>
      <c r="D131" s="26" t="str">
        <f t="shared" ca="1" si="0"/>
        <v xml:space="preserve"> VICTORIA</v>
      </c>
      <c r="E131" s="10" t="str">
        <f ca="1">IFERROR(__xludf.DUMMYFUNCTION("""COMPUTED_VALUE"""),"Resolución de Transferencia")</f>
        <v>Resolución de Transferencia</v>
      </c>
      <c r="F131" s="10" t="str">
        <f ca="1">IFERROR(__xludf.DUMMYFUNCTION("""COMPUTED_VALUE"""),"MUNICIPALIDAD DE VICTORIA")</f>
        <v>MUNICIPALIDAD DE VICTORIA</v>
      </c>
      <c r="G131" s="71">
        <f ca="1">IFERROR(__xludf.DUMMYFUNCTION("""COMPUTED_VALUE"""),115543993)</f>
        <v>115543993</v>
      </c>
      <c r="H131" s="10" t="str">
        <f ca="1">IFERROR(__xludf.DUMMYFUNCTION("""COMPUTED_VALUE"""),"Resolución")</f>
        <v>Resolución</v>
      </c>
      <c r="I131" s="10" t="str">
        <f ca="1">IFERROR(__xludf.DUMMYFUNCTION("""COMPUTED_VALUE"""),"FONDO DE INCENTIVO AL MEJORAMIENTO DE LA GESTIÓN MUNICIPAL")</f>
        <v>FONDO DE INCENTIVO AL MEJORAMIENTO DE LA GESTIÓN MUNICIPAL</v>
      </c>
      <c r="J131" s="10" t="str">
        <f ca="1">IFERROR(__xludf.DUMMYFUNCTION("""COMPUTED_VALUE"""),"Cumplir con normativa y reglamentos internos del programa en base a los objetivos.")</f>
        <v>Cumplir con normativa y reglamentos internos del programa en base a los objetivos.</v>
      </c>
      <c r="K131" s="71">
        <f ca="1">IFERROR(__xludf.DUMMYFUNCTION("""COMPUTED_VALUE"""),115543993)</f>
        <v>115543993</v>
      </c>
      <c r="L131" s="27">
        <f ca="1">IFERROR(__xludf.DUMMYFUNCTION("""COMPUTED_VALUE"""),1)</f>
        <v>1</v>
      </c>
      <c r="M131" s="10" t="str">
        <f ca="1">IFERROR(__xludf.DUMMYFUNCTION("""COMPUTED_VALUE"""),"19/2024")</f>
        <v>19/2024</v>
      </c>
      <c r="N131" s="10" t="str">
        <f ca="1">IFERROR(__xludf.DUMMYFUNCTION("""COMPUTED_VALUE"""),"FIGEM")</f>
        <v>FIGEM</v>
      </c>
      <c r="O131" s="59"/>
      <c r="P131" s="1"/>
      <c r="Q131" s="1"/>
      <c r="R131" s="1"/>
      <c r="S131" s="1"/>
      <c r="T131" s="1"/>
      <c r="U131" s="1"/>
      <c r="V131" s="1"/>
      <c r="W131" s="1"/>
      <c r="X131" s="1"/>
      <c r="Y131" s="1"/>
      <c r="Z131" s="1"/>
      <c r="AA131" s="1"/>
    </row>
    <row r="132" spans="1:27" ht="12.75" customHeight="1">
      <c r="A132" s="1"/>
      <c r="B132" s="10" t="str">
        <f ca="1">IFERROR(__xludf.DUMMYFUNCTION("""COMPUTED_VALUE"""),"Fondo de Incentivo al Mejoramiento de la Gestión Municipal 2024")</f>
        <v>Fondo de Incentivo al Mejoramiento de la Gestión Municipal 2024</v>
      </c>
      <c r="C132" s="10" t="str">
        <f ca="1">IFERROR(__xludf.DUMMYFUNCTION("""COMPUTED_VALUE"""),"FIGEM-2024-37")</f>
        <v>FIGEM-2024-37</v>
      </c>
      <c r="D132" s="26" t="str">
        <f t="shared" ca="1" si="0"/>
        <v xml:space="preserve"> PUERTO MONTT</v>
      </c>
      <c r="E132" s="10" t="str">
        <f ca="1">IFERROR(__xludf.DUMMYFUNCTION("""COMPUTED_VALUE"""),"Resolución de Transferencia")</f>
        <v>Resolución de Transferencia</v>
      </c>
      <c r="F132" s="10" t="str">
        <f ca="1">IFERROR(__xludf.DUMMYFUNCTION("""COMPUTED_VALUE"""),"MUNICIPALIDAD DE PUERTO MONTT")</f>
        <v>MUNICIPALIDAD DE PUERTO MONTT</v>
      </c>
      <c r="G132" s="71">
        <f ca="1">IFERROR(__xludf.DUMMYFUNCTION("""COMPUTED_VALUE"""),131066877)</f>
        <v>131066877</v>
      </c>
      <c r="H132" s="10" t="str">
        <f ca="1">IFERROR(__xludf.DUMMYFUNCTION("""COMPUTED_VALUE"""),"Resolución")</f>
        <v>Resolución</v>
      </c>
      <c r="I132" s="10" t="str">
        <f ca="1">IFERROR(__xludf.DUMMYFUNCTION("""COMPUTED_VALUE"""),"FONDO DE INCENTIVO AL MEJORAMIENTO DE LA GESTIÓN MUNICIPAL")</f>
        <v>FONDO DE INCENTIVO AL MEJORAMIENTO DE LA GESTIÓN MUNICIPAL</v>
      </c>
      <c r="J132" s="10" t="str">
        <f ca="1">IFERROR(__xludf.DUMMYFUNCTION("""COMPUTED_VALUE"""),"Cumplir con normativa y reglamentos internos del programa en base a los objetivos.")</f>
        <v>Cumplir con normativa y reglamentos internos del programa en base a los objetivos.</v>
      </c>
      <c r="K132" s="71">
        <f ca="1">IFERROR(__xludf.DUMMYFUNCTION("""COMPUTED_VALUE"""),131066877)</f>
        <v>131066877</v>
      </c>
      <c r="L132" s="27">
        <f ca="1">IFERROR(__xludf.DUMMYFUNCTION("""COMPUTED_VALUE"""),1)</f>
        <v>1</v>
      </c>
      <c r="M132" s="10" t="str">
        <f ca="1">IFERROR(__xludf.DUMMYFUNCTION("""COMPUTED_VALUE"""),"19/2024")</f>
        <v>19/2024</v>
      </c>
      <c r="N132" s="10" t="str">
        <f ca="1">IFERROR(__xludf.DUMMYFUNCTION("""COMPUTED_VALUE"""),"FIGEM")</f>
        <v>FIGEM</v>
      </c>
      <c r="O132" s="59"/>
      <c r="P132" s="1"/>
      <c r="Q132" s="1"/>
      <c r="R132" s="1"/>
      <c r="S132" s="1"/>
      <c r="T132" s="1"/>
      <c r="U132" s="1"/>
      <c r="V132" s="1"/>
      <c r="W132" s="1"/>
      <c r="X132" s="1"/>
      <c r="Y132" s="1"/>
      <c r="Z132" s="1"/>
      <c r="AA132" s="1"/>
    </row>
    <row r="133" spans="1:27" ht="12.75" customHeight="1">
      <c r="A133" s="1"/>
      <c r="B133" s="10" t="str">
        <f ca="1">IFERROR(__xludf.DUMMYFUNCTION("""COMPUTED_VALUE"""),"Fondo de Incentivo al Mejoramiento de la Gestión Municipal 2024")</f>
        <v>Fondo de Incentivo al Mejoramiento de la Gestión Municipal 2024</v>
      </c>
      <c r="C133" s="10" t="str">
        <f ca="1">IFERROR(__xludf.DUMMYFUNCTION("""COMPUTED_VALUE"""),"FIGEM-2024-111")</f>
        <v>FIGEM-2024-111</v>
      </c>
      <c r="D133" s="26" t="str">
        <f t="shared" ca="1" si="0"/>
        <v xml:space="preserve"> CALBUCO</v>
      </c>
      <c r="E133" s="10" t="str">
        <f ca="1">IFERROR(__xludf.DUMMYFUNCTION("""COMPUTED_VALUE"""),"Resolución de Transferencia")</f>
        <v>Resolución de Transferencia</v>
      </c>
      <c r="F133" s="10" t="str">
        <f ca="1">IFERROR(__xludf.DUMMYFUNCTION("""COMPUTED_VALUE"""),"MUNICIPALIDAD DE CALBUCO")</f>
        <v>MUNICIPALIDAD DE CALBUCO</v>
      </c>
      <c r="G133" s="71">
        <f ca="1">IFERROR(__xludf.DUMMYFUNCTION("""COMPUTED_VALUE"""),86134923)</f>
        <v>86134923</v>
      </c>
      <c r="H133" s="10" t="str">
        <f ca="1">IFERROR(__xludf.DUMMYFUNCTION("""COMPUTED_VALUE"""),"Resolución")</f>
        <v>Resolución</v>
      </c>
      <c r="I133" s="10" t="str">
        <f ca="1">IFERROR(__xludf.DUMMYFUNCTION("""COMPUTED_VALUE"""),"FONDO DE INCENTIVO AL MEJORAMIENTO DE LA GESTIÓN MUNICIPAL")</f>
        <v>FONDO DE INCENTIVO AL MEJORAMIENTO DE LA GESTIÓN MUNICIPAL</v>
      </c>
      <c r="J133" s="10" t="str">
        <f ca="1">IFERROR(__xludf.DUMMYFUNCTION("""COMPUTED_VALUE"""),"Cumplir con normativa y reglamentos internos del programa en base a los objetivos.")</f>
        <v>Cumplir con normativa y reglamentos internos del programa en base a los objetivos.</v>
      </c>
      <c r="K133" s="71">
        <f ca="1">IFERROR(__xludf.DUMMYFUNCTION("""COMPUTED_VALUE"""),86134923)</f>
        <v>86134923</v>
      </c>
      <c r="L133" s="27">
        <f ca="1">IFERROR(__xludf.DUMMYFUNCTION("""COMPUTED_VALUE"""),1)</f>
        <v>1</v>
      </c>
      <c r="M133" s="10" t="str">
        <f ca="1">IFERROR(__xludf.DUMMYFUNCTION("""COMPUTED_VALUE"""),"19/2024")</f>
        <v>19/2024</v>
      </c>
      <c r="N133" s="10" t="str">
        <f ca="1">IFERROR(__xludf.DUMMYFUNCTION("""COMPUTED_VALUE"""),"FIGEM")</f>
        <v>FIGEM</v>
      </c>
      <c r="O133" s="59"/>
      <c r="P133" s="1"/>
      <c r="Q133" s="1"/>
      <c r="R133" s="1"/>
      <c r="S133" s="1"/>
      <c r="T133" s="1"/>
      <c r="U133" s="1"/>
      <c r="V133" s="1"/>
      <c r="W133" s="1"/>
      <c r="X133" s="1"/>
      <c r="Y133" s="1"/>
      <c r="Z133" s="1"/>
      <c r="AA133" s="1"/>
    </row>
    <row r="134" spans="1:27" ht="12.75" customHeight="1">
      <c r="A134" s="1"/>
      <c r="B134" s="10" t="str">
        <f ca="1">IFERROR(__xludf.DUMMYFUNCTION("""COMPUTED_VALUE"""),"Fondo de Incentivo al Mejoramiento de la Gestión Municipal 2024")</f>
        <v>Fondo de Incentivo al Mejoramiento de la Gestión Municipal 2024</v>
      </c>
      <c r="C134" s="10" t="str">
        <f ca="1">IFERROR(__xludf.DUMMYFUNCTION("""COMPUTED_VALUE"""),"FIGEM-2024-106")</f>
        <v>FIGEM-2024-106</v>
      </c>
      <c r="D134" s="26" t="str">
        <f t="shared" ca="1" si="0"/>
        <v xml:space="preserve"> FRESIA</v>
      </c>
      <c r="E134" s="10" t="str">
        <f ca="1">IFERROR(__xludf.DUMMYFUNCTION("""COMPUTED_VALUE"""),"Resolución de Transferencia")</f>
        <v>Resolución de Transferencia</v>
      </c>
      <c r="F134" s="10" t="str">
        <f ca="1">IFERROR(__xludf.DUMMYFUNCTION("""COMPUTED_VALUE"""),"MUNICIPALIDAD DE FRESIA")</f>
        <v>MUNICIPALIDAD DE FRESIA</v>
      </c>
      <c r="G134" s="71">
        <f ca="1">IFERROR(__xludf.DUMMYFUNCTION("""COMPUTED_VALUE"""),87340091)</f>
        <v>87340091</v>
      </c>
      <c r="H134" s="10" t="str">
        <f ca="1">IFERROR(__xludf.DUMMYFUNCTION("""COMPUTED_VALUE"""),"Resolución")</f>
        <v>Resolución</v>
      </c>
      <c r="I134" s="10" t="str">
        <f ca="1">IFERROR(__xludf.DUMMYFUNCTION("""COMPUTED_VALUE"""),"FONDO DE INCENTIVO AL MEJORAMIENTO DE LA GESTIÓN MUNICIPAL")</f>
        <v>FONDO DE INCENTIVO AL MEJORAMIENTO DE LA GESTIÓN MUNICIPAL</v>
      </c>
      <c r="J134" s="10" t="str">
        <f ca="1">IFERROR(__xludf.DUMMYFUNCTION("""COMPUTED_VALUE"""),"Cumplir con normativa y reglamentos internos del programa en base a los objetivos.")</f>
        <v>Cumplir con normativa y reglamentos internos del programa en base a los objetivos.</v>
      </c>
      <c r="K134" s="71">
        <f ca="1">IFERROR(__xludf.DUMMYFUNCTION("""COMPUTED_VALUE"""),87340091)</f>
        <v>87340091</v>
      </c>
      <c r="L134" s="27">
        <f ca="1">IFERROR(__xludf.DUMMYFUNCTION("""COMPUTED_VALUE"""),1)</f>
        <v>1</v>
      </c>
      <c r="M134" s="10" t="str">
        <f ca="1">IFERROR(__xludf.DUMMYFUNCTION("""COMPUTED_VALUE"""),"19/2024")</f>
        <v>19/2024</v>
      </c>
      <c r="N134" s="10" t="str">
        <f ca="1">IFERROR(__xludf.DUMMYFUNCTION("""COMPUTED_VALUE"""),"FIGEM")</f>
        <v>FIGEM</v>
      </c>
      <c r="O134" s="59"/>
      <c r="P134" s="1"/>
      <c r="Q134" s="1"/>
      <c r="R134" s="1"/>
      <c r="S134" s="1"/>
      <c r="T134" s="1"/>
      <c r="U134" s="1"/>
      <c r="V134" s="1"/>
      <c r="W134" s="1"/>
      <c r="X134" s="1"/>
      <c r="Y134" s="1"/>
      <c r="Z134" s="1"/>
      <c r="AA134" s="1"/>
    </row>
    <row r="135" spans="1:27" ht="12.75" customHeight="1">
      <c r="A135" s="1"/>
      <c r="B135" s="10" t="str">
        <f ca="1">IFERROR(__xludf.DUMMYFUNCTION("""COMPUTED_VALUE"""),"Fondo de Incentivo al Mejoramiento de la Gestión Municipal 2024")</f>
        <v>Fondo de Incentivo al Mejoramiento de la Gestión Municipal 2024</v>
      </c>
      <c r="C135" s="10" t="str">
        <f ca="1">IFERROR(__xludf.DUMMYFUNCTION("""COMPUTED_VALUE"""),"FIGEM-2024-72")</f>
        <v>FIGEM-2024-72</v>
      </c>
      <c r="D135" s="26" t="str">
        <f t="shared" ca="1" si="0"/>
        <v xml:space="preserve"> FRUTILLAR</v>
      </c>
      <c r="E135" s="10" t="str">
        <f ca="1">IFERROR(__xludf.DUMMYFUNCTION("""COMPUTED_VALUE"""),"Resolución de Transferencia")</f>
        <v>Resolución de Transferencia</v>
      </c>
      <c r="F135" s="10" t="str">
        <f ca="1">IFERROR(__xludf.DUMMYFUNCTION("""COMPUTED_VALUE"""),"MUNICIPALIDAD DE FRUTILLAR")</f>
        <v>MUNICIPALIDAD DE FRUTILLAR</v>
      </c>
      <c r="G135" s="71">
        <f ca="1">IFERROR(__xludf.DUMMYFUNCTION("""COMPUTED_VALUE"""),96878864)</f>
        <v>96878864</v>
      </c>
      <c r="H135" s="10" t="str">
        <f ca="1">IFERROR(__xludf.DUMMYFUNCTION("""COMPUTED_VALUE"""),"Resolución")</f>
        <v>Resolución</v>
      </c>
      <c r="I135" s="10" t="str">
        <f ca="1">IFERROR(__xludf.DUMMYFUNCTION("""COMPUTED_VALUE"""),"FONDO DE INCENTIVO AL MEJORAMIENTO DE LA GESTIÓN MUNICIPAL")</f>
        <v>FONDO DE INCENTIVO AL MEJORAMIENTO DE LA GESTIÓN MUNICIPAL</v>
      </c>
      <c r="J135" s="10" t="str">
        <f ca="1">IFERROR(__xludf.DUMMYFUNCTION("""COMPUTED_VALUE"""),"Cumplir con normativa y reglamentos internos del programa en base a los objetivos.")</f>
        <v>Cumplir con normativa y reglamentos internos del programa en base a los objetivos.</v>
      </c>
      <c r="K135" s="71">
        <f ca="1">IFERROR(__xludf.DUMMYFUNCTION("""COMPUTED_VALUE"""),96878864)</f>
        <v>96878864</v>
      </c>
      <c r="L135" s="27">
        <f ca="1">IFERROR(__xludf.DUMMYFUNCTION("""COMPUTED_VALUE"""),1)</f>
        <v>1</v>
      </c>
      <c r="M135" s="10" t="str">
        <f ca="1">IFERROR(__xludf.DUMMYFUNCTION("""COMPUTED_VALUE"""),"19/2024")</f>
        <v>19/2024</v>
      </c>
      <c r="N135" s="10" t="str">
        <f ca="1">IFERROR(__xludf.DUMMYFUNCTION("""COMPUTED_VALUE"""),"FIGEM")</f>
        <v>FIGEM</v>
      </c>
      <c r="O135" s="59"/>
      <c r="P135" s="1"/>
      <c r="Q135" s="1"/>
      <c r="R135" s="1"/>
      <c r="S135" s="1"/>
      <c r="T135" s="1"/>
      <c r="U135" s="1"/>
      <c r="V135" s="1"/>
      <c r="W135" s="1"/>
      <c r="X135" s="1"/>
      <c r="Y135" s="1"/>
      <c r="Z135" s="1"/>
      <c r="AA135" s="1"/>
    </row>
    <row r="136" spans="1:27" ht="12.75" customHeight="1">
      <c r="A136" s="1"/>
      <c r="B136" s="10" t="str">
        <f ca="1">IFERROR(__xludf.DUMMYFUNCTION("""COMPUTED_VALUE"""),"Fondo de Incentivo al Mejoramiento de la Gestión Municipal 2024")</f>
        <v>Fondo de Incentivo al Mejoramiento de la Gestión Municipal 2024</v>
      </c>
      <c r="C136" s="10" t="str">
        <f ca="1">IFERROR(__xludf.DUMMYFUNCTION("""COMPUTED_VALUE"""),"FIGEM-2024-113")</f>
        <v>FIGEM-2024-113</v>
      </c>
      <c r="D136" s="26" t="str">
        <f t="shared" ca="1" si="0"/>
        <v xml:space="preserve"> LOS MUERMOS</v>
      </c>
      <c r="E136" s="10" t="str">
        <f ca="1">IFERROR(__xludf.DUMMYFUNCTION("""COMPUTED_VALUE"""),"Resolución de Transferencia")</f>
        <v>Resolución de Transferencia</v>
      </c>
      <c r="F136" s="10" t="str">
        <f ca="1">IFERROR(__xludf.DUMMYFUNCTION("""COMPUTED_VALUE"""),"MUNICIPALIDAD DE LOS MUERMOS")</f>
        <v>MUNICIPALIDAD DE LOS MUERMOS</v>
      </c>
      <c r="G136" s="71">
        <f ca="1">IFERROR(__xludf.DUMMYFUNCTION("""COMPUTED_VALUE"""),85960855)</f>
        <v>85960855</v>
      </c>
      <c r="H136" s="10" t="str">
        <f ca="1">IFERROR(__xludf.DUMMYFUNCTION("""COMPUTED_VALUE"""),"Resolución")</f>
        <v>Resolución</v>
      </c>
      <c r="I136" s="10" t="str">
        <f ca="1">IFERROR(__xludf.DUMMYFUNCTION("""COMPUTED_VALUE"""),"FONDO DE INCENTIVO AL MEJORAMIENTO DE LA GESTIÓN MUNICIPAL")</f>
        <v>FONDO DE INCENTIVO AL MEJORAMIENTO DE LA GESTIÓN MUNICIPAL</v>
      </c>
      <c r="J136" s="10" t="str">
        <f ca="1">IFERROR(__xludf.DUMMYFUNCTION("""COMPUTED_VALUE"""),"Cumplir con normativa y reglamentos internos del programa en base a los objetivos.")</f>
        <v>Cumplir con normativa y reglamentos internos del programa en base a los objetivos.</v>
      </c>
      <c r="K136" s="71">
        <f ca="1">IFERROR(__xludf.DUMMYFUNCTION("""COMPUTED_VALUE"""),85960855)</f>
        <v>85960855</v>
      </c>
      <c r="L136" s="27">
        <f ca="1">IFERROR(__xludf.DUMMYFUNCTION("""COMPUTED_VALUE"""),1)</f>
        <v>1</v>
      </c>
      <c r="M136" s="10" t="str">
        <f ca="1">IFERROR(__xludf.DUMMYFUNCTION("""COMPUTED_VALUE"""),"19/2024")</f>
        <v>19/2024</v>
      </c>
      <c r="N136" s="10" t="str">
        <f ca="1">IFERROR(__xludf.DUMMYFUNCTION("""COMPUTED_VALUE"""),"FIGEM")</f>
        <v>FIGEM</v>
      </c>
      <c r="O136" s="59"/>
      <c r="P136" s="1"/>
      <c r="Q136" s="1"/>
      <c r="R136" s="1"/>
      <c r="S136" s="1"/>
      <c r="T136" s="1"/>
      <c r="U136" s="1"/>
      <c r="V136" s="1"/>
      <c r="W136" s="1"/>
      <c r="X136" s="1"/>
      <c r="Y136" s="1"/>
      <c r="Z136" s="1"/>
      <c r="AA136" s="1"/>
    </row>
    <row r="137" spans="1:27" ht="12.75" customHeight="1">
      <c r="A137" s="1"/>
      <c r="B137" s="10" t="str">
        <f ca="1">IFERROR(__xludf.DUMMYFUNCTION("""COMPUTED_VALUE"""),"Fondo de Incentivo al Mejoramiento de la Gestión Municipal 2024")</f>
        <v>Fondo de Incentivo al Mejoramiento de la Gestión Municipal 2024</v>
      </c>
      <c r="C137" s="10" t="str">
        <f ca="1">IFERROR(__xludf.DUMMYFUNCTION("""COMPUTED_VALUE"""),"FIGEM-2024-101")</f>
        <v>FIGEM-2024-101</v>
      </c>
      <c r="D137" s="26" t="str">
        <f t="shared" ca="1" si="0"/>
        <v xml:space="preserve"> LLANQUIHUE</v>
      </c>
      <c r="E137" s="10" t="str">
        <f ca="1">IFERROR(__xludf.DUMMYFUNCTION("""COMPUTED_VALUE"""),"Resolución de Transferencia")</f>
        <v>Resolución de Transferencia</v>
      </c>
      <c r="F137" s="10" t="str">
        <f ca="1">IFERROR(__xludf.DUMMYFUNCTION("""COMPUTED_VALUE"""),"MUNICIPALIDAD DE LLANQUIHUE")</f>
        <v>MUNICIPALIDAD DE LLANQUIHUE</v>
      </c>
      <c r="G137" s="71">
        <f ca="1">IFERROR(__xludf.DUMMYFUNCTION("""COMPUTED_VALUE"""),88249224)</f>
        <v>88249224</v>
      </c>
      <c r="H137" s="10" t="str">
        <f ca="1">IFERROR(__xludf.DUMMYFUNCTION("""COMPUTED_VALUE"""),"Resolución")</f>
        <v>Resolución</v>
      </c>
      <c r="I137" s="10" t="str">
        <f ca="1">IFERROR(__xludf.DUMMYFUNCTION("""COMPUTED_VALUE"""),"FONDO DE INCENTIVO AL MEJORAMIENTO DE LA GESTIÓN MUNICIPAL")</f>
        <v>FONDO DE INCENTIVO AL MEJORAMIENTO DE LA GESTIÓN MUNICIPAL</v>
      </c>
      <c r="J137" s="10" t="str">
        <f ca="1">IFERROR(__xludf.DUMMYFUNCTION("""COMPUTED_VALUE"""),"Cumplir con normativa y reglamentos internos del programa en base a los objetivos.")</f>
        <v>Cumplir con normativa y reglamentos internos del programa en base a los objetivos.</v>
      </c>
      <c r="K137" s="71">
        <f ca="1">IFERROR(__xludf.DUMMYFUNCTION("""COMPUTED_VALUE"""),88249224)</f>
        <v>88249224</v>
      </c>
      <c r="L137" s="27">
        <f ca="1">IFERROR(__xludf.DUMMYFUNCTION("""COMPUTED_VALUE"""),1)</f>
        <v>1</v>
      </c>
      <c r="M137" s="10" t="str">
        <f ca="1">IFERROR(__xludf.DUMMYFUNCTION("""COMPUTED_VALUE"""),"19/2024")</f>
        <v>19/2024</v>
      </c>
      <c r="N137" s="10" t="str">
        <f ca="1">IFERROR(__xludf.DUMMYFUNCTION("""COMPUTED_VALUE"""),"FIGEM")</f>
        <v>FIGEM</v>
      </c>
      <c r="O137" s="59"/>
      <c r="P137" s="1"/>
      <c r="Q137" s="1"/>
      <c r="R137" s="1"/>
      <c r="S137" s="1"/>
      <c r="T137" s="1"/>
      <c r="U137" s="1"/>
      <c r="V137" s="1"/>
      <c r="W137" s="1"/>
      <c r="X137" s="1"/>
      <c r="Y137" s="1"/>
      <c r="Z137" s="1"/>
      <c r="AA137" s="1"/>
    </row>
    <row r="138" spans="1:27" ht="12.75" customHeight="1">
      <c r="A138" s="1"/>
      <c r="B138" s="10" t="str">
        <f ca="1">IFERROR(__xludf.DUMMYFUNCTION("""COMPUTED_VALUE"""),"Fondo de Incentivo al Mejoramiento de la Gestión Municipal 2024")</f>
        <v>Fondo de Incentivo al Mejoramiento de la Gestión Municipal 2024</v>
      </c>
      <c r="C138" s="10" t="str">
        <f ca="1">IFERROR(__xludf.DUMMYFUNCTION("""COMPUTED_VALUE"""),"FIGEM-2024-29")</f>
        <v>FIGEM-2024-29</v>
      </c>
      <c r="D138" s="26" t="str">
        <f t="shared" ca="1" si="0"/>
        <v xml:space="preserve"> PUERTO VARAS</v>
      </c>
      <c r="E138" s="10" t="str">
        <f ca="1">IFERROR(__xludf.DUMMYFUNCTION("""COMPUTED_VALUE"""),"Resolución de Transferencia")</f>
        <v>Resolución de Transferencia</v>
      </c>
      <c r="F138" s="10" t="str">
        <f ca="1">IFERROR(__xludf.DUMMYFUNCTION("""COMPUTED_VALUE"""),"MUNICIPALIDAD DE PUERTO VARAS")</f>
        <v>MUNICIPALIDAD DE PUERTO VARAS</v>
      </c>
      <c r="G138" s="71">
        <f ca="1">IFERROR(__xludf.DUMMYFUNCTION("""COMPUTED_VALUE"""),140322543)</f>
        <v>140322543</v>
      </c>
      <c r="H138" s="10" t="str">
        <f ca="1">IFERROR(__xludf.DUMMYFUNCTION("""COMPUTED_VALUE"""),"Resolución")</f>
        <v>Resolución</v>
      </c>
      <c r="I138" s="10" t="str">
        <f ca="1">IFERROR(__xludf.DUMMYFUNCTION("""COMPUTED_VALUE"""),"FONDO DE INCENTIVO AL MEJORAMIENTO DE LA GESTIÓN MUNICIPAL")</f>
        <v>FONDO DE INCENTIVO AL MEJORAMIENTO DE LA GESTIÓN MUNICIPAL</v>
      </c>
      <c r="J138" s="10" t="str">
        <f ca="1">IFERROR(__xludf.DUMMYFUNCTION("""COMPUTED_VALUE"""),"Cumplir con normativa y reglamentos internos del programa en base a los objetivos.")</f>
        <v>Cumplir con normativa y reglamentos internos del programa en base a los objetivos.</v>
      </c>
      <c r="K138" s="71">
        <f ca="1">IFERROR(__xludf.DUMMYFUNCTION("""COMPUTED_VALUE"""),140322543)</f>
        <v>140322543</v>
      </c>
      <c r="L138" s="27">
        <f ca="1">IFERROR(__xludf.DUMMYFUNCTION("""COMPUTED_VALUE"""),1)</f>
        <v>1</v>
      </c>
      <c r="M138" s="10" t="str">
        <f ca="1">IFERROR(__xludf.DUMMYFUNCTION("""COMPUTED_VALUE"""),"19/2024")</f>
        <v>19/2024</v>
      </c>
      <c r="N138" s="10" t="str">
        <f ca="1">IFERROR(__xludf.DUMMYFUNCTION("""COMPUTED_VALUE"""),"FIGEM")</f>
        <v>FIGEM</v>
      </c>
      <c r="O138" s="59"/>
      <c r="P138" s="1"/>
      <c r="Q138" s="1"/>
      <c r="R138" s="1"/>
      <c r="S138" s="1"/>
      <c r="T138" s="1"/>
      <c r="U138" s="1"/>
      <c r="V138" s="1"/>
      <c r="W138" s="1"/>
      <c r="X138" s="1"/>
      <c r="Y138" s="1"/>
      <c r="Z138" s="1"/>
      <c r="AA138" s="1"/>
    </row>
    <row r="139" spans="1:27" ht="12.75" customHeight="1">
      <c r="A139" s="1"/>
      <c r="B139" s="10" t="str">
        <f ca="1">IFERROR(__xludf.DUMMYFUNCTION("""COMPUTED_VALUE"""),"Fondo de Incentivo al Mejoramiento de la Gestión Municipal 2024")</f>
        <v>Fondo de Incentivo al Mejoramiento de la Gestión Municipal 2024</v>
      </c>
      <c r="C139" s="10" t="str">
        <f ca="1">IFERROR(__xludf.DUMMYFUNCTION("""COMPUTED_VALUE"""),"FIGEM-2024-85")</f>
        <v>FIGEM-2024-85</v>
      </c>
      <c r="D139" s="26" t="str">
        <f t="shared" ca="1" si="0"/>
        <v xml:space="preserve"> CHONCHI</v>
      </c>
      <c r="E139" s="10" t="str">
        <f ca="1">IFERROR(__xludf.DUMMYFUNCTION("""COMPUTED_VALUE"""),"Resolución de Transferencia")</f>
        <v>Resolución de Transferencia</v>
      </c>
      <c r="F139" s="10" t="str">
        <f ca="1">IFERROR(__xludf.DUMMYFUNCTION("""COMPUTED_VALUE"""),"MUNICIPALIDAD DE CHONCHI")</f>
        <v>MUNICIPALIDAD DE CHONCHI</v>
      </c>
      <c r="G139" s="71">
        <f ca="1">IFERROR(__xludf.DUMMYFUNCTION("""COMPUTED_VALUE"""),90333616)</f>
        <v>90333616</v>
      </c>
      <c r="H139" s="10" t="str">
        <f ca="1">IFERROR(__xludf.DUMMYFUNCTION("""COMPUTED_VALUE"""),"Resolución")</f>
        <v>Resolución</v>
      </c>
      <c r="I139" s="10" t="str">
        <f ca="1">IFERROR(__xludf.DUMMYFUNCTION("""COMPUTED_VALUE"""),"FONDO DE INCENTIVO AL MEJORAMIENTO DE LA GESTIÓN MUNICIPAL")</f>
        <v>FONDO DE INCENTIVO AL MEJORAMIENTO DE LA GESTIÓN MUNICIPAL</v>
      </c>
      <c r="J139" s="10" t="str">
        <f ca="1">IFERROR(__xludf.DUMMYFUNCTION("""COMPUTED_VALUE"""),"Cumplir con normativa y reglamentos internos del programa en base a los objetivos.")</f>
        <v>Cumplir con normativa y reglamentos internos del programa en base a los objetivos.</v>
      </c>
      <c r="K139" s="71">
        <f ca="1">IFERROR(__xludf.DUMMYFUNCTION("""COMPUTED_VALUE"""),90333616)</f>
        <v>90333616</v>
      </c>
      <c r="L139" s="27">
        <f ca="1">IFERROR(__xludf.DUMMYFUNCTION("""COMPUTED_VALUE"""),1)</f>
        <v>1</v>
      </c>
      <c r="M139" s="10" t="str">
        <f ca="1">IFERROR(__xludf.DUMMYFUNCTION("""COMPUTED_VALUE"""),"19/2024")</f>
        <v>19/2024</v>
      </c>
      <c r="N139" s="10" t="str">
        <f ca="1">IFERROR(__xludf.DUMMYFUNCTION("""COMPUTED_VALUE"""),"FIGEM")</f>
        <v>FIGEM</v>
      </c>
      <c r="O139" s="59"/>
      <c r="P139" s="1"/>
      <c r="Q139" s="1"/>
      <c r="R139" s="1"/>
      <c r="S139" s="1"/>
      <c r="T139" s="1"/>
      <c r="U139" s="1"/>
      <c r="V139" s="1"/>
      <c r="W139" s="1"/>
      <c r="X139" s="1"/>
      <c r="Y139" s="1"/>
      <c r="Z139" s="1"/>
      <c r="AA139" s="1"/>
    </row>
    <row r="140" spans="1:27" ht="12.75" customHeight="1">
      <c r="A140" s="1"/>
      <c r="B140" s="10" t="str">
        <f ca="1">IFERROR(__xludf.DUMMYFUNCTION("""COMPUTED_VALUE"""),"Fondo de Incentivo al Mejoramiento de la Gestión Municipal 2024")</f>
        <v>Fondo de Incentivo al Mejoramiento de la Gestión Municipal 2024</v>
      </c>
      <c r="C140" s="10" t="str">
        <f ca="1">IFERROR(__xludf.DUMMYFUNCTION("""COMPUTED_VALUE"""),"FIGEM-2024-145")</f>
        <v>FIGEM-2024-145</v>
      </c>
      <c r="D140" s="26" t="str">
        <f t="shared" ca="1" si="0"/>
        <v xml:space="preserve"> CURACO DE VÉLEZ</v>
      </c>
      <c r="E140" s="10" t="str">
        <f ca="1">IFERROR(__xludf.DUMMYFUNCTION("""COMPUTED_VALUE"""),"Resolución de Transferencia")</f>
        <v>Resolución de Transferencia</v>
      </c>
      <c r="F140" s="10" t="str">
        <f ca="1">IFERROR(__xludf.DUMMYFUNCTION("""COMPUTED_VALUE"""),"MUNICIPALIDAD DE CURACO DE VÉLEZ")</f>
        <v>MUNICIPALIDAD DE CURACO DE VÉLEZ</v>
      </c>
      <c r="G140" s="71">
        <f ca="1">IFERROR(__xludf.DUMMYFUNCTION("""COMPUTED_VALUE"""),92701069)</f>
        <v>92701069</v>
      </c>
      <c r="H140" s="10" t="str">
        <f ca="1">IFERROR(__xludf.DUMMYFUNCTION("""COMPUTED_VALUE"""),"Resolución")</f>
        <v>Resolución</v>
      </c>
      <c r="I140" s="10" t="str">
        <f ca="1">IFERROR(__xludf.DUMMYFUNCTION("""COMPUTED_VALUE"""),"FONDO DE INCENTIVO AL MEJORAMIENTO DE LA GESTIÓN MUNICIPAL")</f>
        <v>FONDO DE INCENTIVO AL MEJORAMIENTO DE LA GESTIÓN MUNICIPAL</v>
      </c>
      <c r="J140" s="10" t="str">
        <f ca="1">IFERROR(__xludf.DUMMYFUNCTION("""COMPUTED_VALUE"""),"Cumplir con normativa y reglamentos internos del programa en base a los objetivos.")</f>
        <v>Cumplir con normativa y reglamentos internos del programa en base a los objetivos.</v>
      </c>
      <c r="K140" s="71">
        <f ca="1">IFERROR(__xludf.DUMMYFUNCTION("""COMPUTED_VALUE"""),92701069)</f>
        <v>92701069</v>
      </c>
      <c r="L140" s="27">
        <f ca="1">IFERROR(__xludf.DUMMYFUNCTION("""COMPUTED_VALUE"""),1)</f>
        <v>1</v>
      </c>
      <c r="M140" s="10" t="str">
        <f ca="1">IFERROR(__xludf.DUMMYFUNCTION("""COMPUTED_VALUE"""),"19/2024")</f>
        <v>19/2024</v>
      </c>
      <c r="N140" s="10" t="str">
        <f ca="1">IFERROR(__xludf.DUMMYFUNCTION("""COMPUTED_VALUE"""),"FIGEM")</f>
        <v>FIGEM</v>
      </c>
      <c r="O140" s="59"/>
      <c r="P140" s="1"/>
      <c r="Q140" s="1"/>
      <c r="R140" s="1"/>
      <c r="S140" s="1"/>
      <c r="T140" s="1"/>
      <c r="U140" s="1"/>
      <c r="V140" s="1"/>
      <c r="W140" s="1"/>
      <c r="X140" s="1"/>
      <c r="Y140" s="1"/>
      <c r="Z140" s="1"/>
      <c r="AA140" s="1"/>
    </row>
    <row r="141" spans="1:27" ht="12.75" customHeight="1">
      <c r="A141" s="1"/>
      <c r="B141" s="10" t="str">
        <f ca="1">IFERROR(__xludf.DUMMYFUNCTION("""COMPUTED_VALUE"""),"Fondo de Incentivo al Mejoramiento de la Gestión Municipal 2024")</f>
        <v>Fondo de Incentivo al Mejoramiento de la Gestión Municipal 2024</v>
      </c>
      <c r="C141" s="10" t="str">
        <f ca="1">IFERROR(__xludf.DUMMYFUNCTION("""COMPUTED_VALUE"""),"FIGEM-2024-164")</f>
        <v>FIGEM-2024-164</v>
      </c>
      <c r="D141" s="26" t="str">
        <f t="shared" ca="1" si="0"/>
        <v xml:space="preserve"> PUQUELDÓN</v>
      </c>
      <c r="E141" s="10" t="str">
        <f ca="1">IFERROR(__xludf.DUMMYFUNCTION("""COMPUTED_VALUE"""),"Resolución de Transferencia")</f>
        <v>Resolución de Transferencia</v>
      </c>
      <c r="F141" s="10" t="str">
        <f ca="1">IFERROR(__xludf.DUMMYFUNCTION("""COMPUTED_VALUE"""),"MUNICIPALIDAD DE PUQUELDÓN")</f>
        <v>MUNICIPALIDAD DE PUQUELDÓN</v>
      </c>
      <c r="G141" s="71">
        <f ca="1">IFERROR(__xludf.DUMMYFUNCTION("""COMPUTED_VALUE"""),89832447)</f>
        <v>89832447</v>
      </c>
      <c r="H141" s="10" t="str">
        <f ca="1">IFERROR(__xludf.DUMMYFUNCTION("""COMPUTED_VALUE"""),"Resolución")</f>
        <v>Resolución</v>
      </c>
      <c r="I141" s="10" t="str">
        <f ca="1">IFERROR(__xludf.DUMMYFUNCTION("""COMPUTED_VALUE"""),"FONDO DE INCENTIVO AL MEJORAMIENTO DE LA GESTIÓN MUNICIPAL")</f>
        <v>FONDO DE INCENTIVO AL MEJORAMIENTO DE LA GESTIÓN MUNICIPAL</v>
      </c>
      <c r="J141" s="10" t="str">
        <f ca="1">IFERROR(__xludf.DUMMYFUNCTION("""COMPUTED_VALUE"""),"Cumplir con normativa y reglamentos internos del programa en base a los objetivos.")</f>
        <v>Cumplir con normativa y reglamentos internos del programa en base a los objetivos.</v>
      </c>
      <c r="K141" s="71">
        <f ca="1">IFERROR(__xludf.DUMMYFUNCTION("""COMPUTED_VALUE"""),89832447)</f>
        <v>89832447</v>
      </c>
      <c r="L141" s="27">
        <f ca="1">IFERROR(__xludf.DUMMYFUNCTION("""COMPUTED_VALUE"""),1)</f>
        <v>1</v>
      </c>
      <c r="M141" s="10" t="str">
        <f ca="1">IFERROR(__xludf.DUMMYFUNCTION("""COMPUTED_VALUE"""),"19/2024")</f>
        <v>19/2024</v>
      </c>
      <c r="N141" s="10" t="str">
        <f ca="1">IFERROR(__xludf.DUMMYFUNCTION("""COMPUTED_VALUE"""),"FIGEM")</f>
        <v>FIGEM</v>
      </c>
      <c r="O141" s="59"/>
      <c r="P141" s="1"/>
      <c r="Q141" s="1"/>
      <c r="R141" s="1"/>
      <c r="S141" s="1"/>
      <c r="T141" s="1"/>
      <c r="U141" s="1"/>
      <c r="V141" s="1"/>
      <c r="W141" s="1"/>
      <c r="X141" s="1"/>
      <c r="Y141" s="1"/>
      <c r="Z141" s="1"/>
      <c r="AA141" s="1"/>
    </row>
    <row r="142" spans="1:27" ht="12.75" customHeight="1">
      <c r="A142" s="1"/>
      <c r="B142" s="10" t="str">
        <f ca="1">IFERROR(__xludf.DUMMYFUNCTION("""COMPUTED_VALUE"""),"Fondo de Incentivo al Mejoramiento de la Gestión Municipal 2024")</f>
        <v>Fondo de Incentivo al Mejoramiento de la Gestión Municipal 2024</v>
      </c>
      <c r="C142" s="10" t="str">
        <f ca="1">IFERROR(__xludf.DUMMYFUNCTION("""COMPUTED_VALUE"""),"FIGEM-2024-172")</f>
        <v>FIGEM-2024-172</v>
      </c>
      <c r="D142" s="26" t="str">
        <f t="shared" ca="1" si="0"/>
        <v xml:space="preserve"> QUEMCHI</v>
      </c>
      <c r="E142" s="10" t="str">
        <f ca="1">IFERROR(__xludf.DUMMYFUNCTION("""COMPUTED_VALUE"""),"Resolución de Transferencia")</f>
        <v>Resolución de Transferencia</v>
      </c>
      <c r="F142" s="10" t="str">
        <f ca="1">IFERROR(__xludf.DUMMYFUNCTION("""COMPUTED_VALUE"""),"MUNICIPALIDAD DE QUEMCHI")</f>
        <v>MUNICIPALIDAD DE QUEMCHI</v>
      </c>
      <c r="G142" s="71">
        <f ca="1">IFERROR(__xludf.DUMMYFUNCTION("""COMPUTED_VALUE"""),87844550)</f>
        <v>87844550</v>
      </c>
      <c r="H142" s="10" t="str">
        <f ca="1">IFERROR(__xludf.DUMMYFUNCTION("""COMPUTED_VALUE"""),"Resolución")</f>
        <v>Resolución</v>
      </c>
      <c r="I142" s="10" t="str">
        <f ca="1">IFERROR(__xludf.DUMMYFUNCTION("""COMPUTED_VALUE"""),"FONDO DE INCENTIVO AL MEJORAMIENTO DE LA GESTIÓN MUNICIPAL")</f>
        <v>FONDO DE INCENTIVO AL MEJORAMIENTO DE LA GESTIÓN MUNICIPAL</v>
      </c>
      <c r="J142" s="10" t="str">
        <f ca="1">IFERROR(__xludf.DUMMYFUNCTION("""COMPUTED_VALUE"""),"Cumplir con normativa y reglamentos internos del programa en base a los objetivos.")</f>
        <v>Cumplir con normativa y reglamentos internos del programa en base a los objetivos.</v>
      </c>
      <c r="K142" s="71">
        <f ca="1">IFERROR(__xludf.DUMMYFUNCTION("""COMPUTED_VALUE"""),87844550)</f>
        <v>87844550</v>
      </c>
      <c r="L142" s="27">
        <f ca="1">IFERROR(__xludf.DUMMYFUNCTION("""COMPUTED_VALUE"""),1)</f>
        <v>1</v>
      </c>
      <c r="M142" s="10" t="str">
        <f ca="1">IFERROR(__xludf.DUMMYFUNCTION("""COMPUTED_VALUE"""),"19/2024")</f>
        <v>19/2024</v>
      </c>
      <c r="N142" s="10" t="str">
        <f ca="1">IFERROR(__xludf.DUMMYFUNCTION("""COMPUTED_VALUE"""),"FIGEM")</f>
        <v>FIGEM</v>
      </c>
      <c r="O142" s="59"/>
      <c r="P142" s="1"/>
      <c r="Q142" s="1"/>
      <c r="R142" s="1"/>
      <c r="S142" s="1"/>
      <c r="T142" s="1"/>
      <c r="U142" s="1"/>
      <c r="V142" s="1"/>
      <c r="W142" s="1"/>
      <c r="X142" s="1"/>
      <c r="Y142" s="1"/>
      <c r="Z142" s="1"/>
      <c r="AA142" s="1"/>
    </row>
    <row r="143" spans="1:27" ht="12.75" customHeight="1">
      <c r="A143" s="1"/>
      <c r="B143" s="10" t="str">
        <f ca="1">IFERROR(__xludf.DUMMYFUNCTION("""COMPUTED_VALUE"""),"Fondo de Incentivo al Mejoramiento de la Gestión Municipal 2024")</f>
        <v>Fondo de Incentivo al Mejoramiento de la Gestión Municipal 2024</v>
      </c>
      <c r="C143" s="10" t="str">
        <f ca="1">IFERROR(__xludf.DUMMYFUNCTION("""COMPUTED_VALUE"""),"FIGEM-2024-31")</f>
        <v>FIGEM-2024-31</v>
      </c>
      <c r="D143" s="26" t="str">
        <f t="shared" ca="1" si="0"/>
        <v xml:space="preserve"> OSORNO</v>
      </c>
      <c r="E143" s="10" t="str">
        <f ca="1">IFERROR(__xludf.DUMMYFUNCTION("""COMPUTED_VALUE"""),"Resolución de Transferencia")</f>
        <v>Resolución de Transferencia</v>
      </c>
      <c r="F143" s="10" t="str">
        <f ca="1">IFERROR(__xludf.DUMMYFUNCTION("""COMPUTED_VALUE"""),"MUNICIPALIDAD DE OSORNO")</f>
        <v>MUNICIPALIDAD DE OSORNO</v>
      </c>
      <c r="G143" s="71">
        <f ca="1">IFERROR(__xludf.DUMMYFUNCTION("""COMPUTED_VALUE"""),136183201)</f>
        <v>136183201</v>
      </c>
      <c r="H143" s="10" t="str">
        <f ca="1">IFERROR(__xludf.DUMMYFUNCTION("""COMPUTED_VALUE"""),"Resolución")</f>
        <v>Resolución</v>
      </c>
      <c r="I143" s="10" t="str">
        <f ca="1">IFERROR(__xludf.DUMMYFUNCTION("""COMPUTED_VALUE"""),"FONDO DE INCENTIVO AL MEJORAMIENTO DE LA GESTIÓN MUNICIPAL")</f>
        <v>FONDO DE INCENTIVO AL MEJORAMIENTO DE LA GESTIÓN MUNICIPAL</v>
      </c>
      <c r="J143" s="10" t="str">
        <f ca="1">IFERROR(__xludf.DUMMYFUNCTION("""COMPUTED_VALUE"""),"Cumplir con normativa y reglamentos internos del programa en base a los objetivos.")</f>
        <v>Cumplir con normativa y reglamentos internos del programa en base a los objetivos.</v>
      </c>
      <c r="K143" s="71">
        <f ca="1">IFERROR(__xludf.DUMMYFUNCTION("""COMPUTED_VALUE"""),136183201)</f>
        <v>136183201</v>
      </c>
      <c r="L143" s="27">
        <f ca="1">IFERROR(__xludf.DUMMYFUNCTION("""COMPUTED_VALUE"""),1)</f>
        <v>1</v>
      </c>
      <c r="M143" s="10" t="str">
        <f ca="1">IFERROR(__xludf.DUMMYFUNCTION("""COMPUTED_VALUE"""),"19/2024")</f>
        <v>19/2024</v>
      </c>
      <c r="N143" s="10" t="str">
        <f ca="1">IFERROR(__xludf.DUMMYFUNCTION("""COMPUTED_VALUE"""),"FIGEM")</f>
        <v>FIGEM</v>
      </c>
      <c r="O143" s="59"/>
      <c r="P143" s="1"/>
      <c r="Q143" s="1"/>
      <c r="R143" s="1"/>
      <c r="S143" s="1"/>
      <c r="T143" s="1"/>
      <c r="U143" s="1"/>
      <c r="V143" s="1"/>
      <c r="W143" s="1"/>
      <c r="X143" s="1"/>
      <c r="Y143" s="1"/>
      <c r="Z143" s="1"/>
      <c r="AA143" s="1"/>
    </row>
    <row r="144" spans="1:27" ht="12.75" customHeight="1">
      <c r="A144" s="1"/>
      <c r="B144" s="10" t="str">
        <f ca="1">IFERROR(__xludf.DUMMYFUNCTION("""COMPUTED_VALUE"""),"Fondo de Incentivo al Mejoramiento de la Gestión Municipal 2024")</f>
        <v>Fondo de Incentivo al Mejoramiento de la Gestión Municipal 2024</v>
      </c>
      <c r="C144" s="10" t="str">
        <f ca="1">IFERROR(__xludf.DUMMYFUNCTION("""COMPUTED_VALUE"""),"FIGEM-2024-89")</f>
        <v>FIGEM-2024-89</v>
      </c>
      <c r="D144" s="26" t="str">
        <f t="shared" ca="1" si="0"/>
        <v xml:space="preserve"> PURRANQUE</v>
      </c>
      <c r="E144" s="10" t="str">
        <f ca="1">IFERROR(__xludf.DUMMYFUNCTION("""COMPUTED_VALUE"""),"Resolución de Transferencia")</f>
        <v>Resolución de Transferencia</v>
      </c>
      <c r="F144" s="10" t="str">
        <f ca="1">IFERROR(__xludf.DUMMYFUNCTION("""COMPUTED_VALUE"""),"MUNICIPALIDAD DE PURRANQUE")</f>
        <v>MUNICIPALIDAD DE PURRANQUE</v>
      </c>
      <c r="G144" s="71">
        <f ca="1">IFERROR(__xludf.DUMMYFUNCTION("""COMPUTED_VALUE"""),89640839)</f>
        <v>89640839</v>
      </c>
      <c r="H144" s="10" t="str">
        <f ca="1">IFERROR(__xludf.DUMMYFUNCTION("""COMPUTED_VALUE"""),"Resolución")</f>
        <v>Resolución</v>
      </c>
      <c r="I144" s="10" t="str">
        <f ca="1">IFERROR(__xludf.DUMMYFUNCTION("""COMPUTED_VALUE"""),"FONDO DE INCENTIVO AL MEJORAMIENTO DE LA GESTIÓN MUNICIPAL")</f>
        <v>FONDO DE INCENTIVO AL MEJORAMIENTO DE LA GESTIÓN MUNICIPAL</v>
      </c>
      <c r="J144" s="10" t="str">
        <f ca="1">IFERROR(__xludf.DUMMYFUNCTION("""COMPUTED_VALUE"""),"Cumplir con normativa y reglamentos internos del programa en base a los objetivos.")</f>
        <v>Cumplir con normativa y reglamentos internos del programa en base a los objetivos.</v>
      </c>
      <c r="K144" s="71">
        <f ca="1">IFERROR(__xludf.DUMMYFUNCTION("""COMPUTED_VALUE"""),89640839)</f>
        <v>89640839</v>
      </c>
      <c r="L144" s="27">
        <f ca="1">IFERROR(__xludf.DUMMYFUNCTION("""COMPUTED_VALUE"""),1)</f>
        <v>1</v>
      </c>
      <c r="M144" s="10" t="str">
        <f ca="1">IFERROR(__xludf.DUMMYFUNCTION("""COMPUTED_VALUE"""),"19/2024")</f>
        <v>19/2024</v>
      </c>
      <c r="N144" s="10" t="str">
        <f ca="1">IFERROR(__xludf.DUMMYFUNCTION("""COMPUTED_VALUE"""),"FIGEM")</f>
        <v>FIGEM</v>
      </c>
      <c r="O144" s="59"/>
      <c r="P144" s="1"/>
      <c r="Q144" s="1"/>
      <c r="R144" s="1"/>
      <c r="S144" s="1"/>
      <c r="T144" s="1"/>
      <c r="U144" s="1"/>
      <c r="V144" s="1"/>
      <c r="W144" s="1"/>
      <c r="X144" s="1"/>
      <c r="Y144" s="1"/>
      <c r="Z144" s="1"/>
      <c r="AA144" s="1"/>
    </row>
    <row r="145" spans="1:27" ht="12.75" customHeight="1">
      <c r="A145" s="1"/>
      <c r="B145" s="10" t="str">
        <f ca="1">IFERROR(__xludf.DUMMYFUNCTION("""COMPUTED_VALUE"""),"Fondo de Incentivo al Mejoramiento de la Gestión Municipal 2024")</f>
        <v>Fondo de Incentivo al Mejoramiento de la Gestión Municipal 2024</v>
      </c>
      <c r="C145" s="10" t="str">
        <f ca="1">IFERROR(__xludf.DUMMYFUNCTION("""COMPUTED_VALUE"""),"FIGEM-2024-115")</f>
        <v>FIGEM-2024-115</v>
      </c>
      <c r="D145" s="26" t="str">
        <f t="shared" ca="1" si="0"/>
        <v xml:space="preserve"> RÍO NEGRO</v>
      </c>
      <c r="E145" s="10" t="str">
        <f ca="1">IFERROR(__xludf.DUMMYFUNCTION("""COMPUTED_VALUE"""),"Resolución de Transferencia")</f>
        <v>Resolución de Transferencia</v>
      </c>
      <c r="F145" s="10" t="str">
        <f ca="1">IFERROR(__xludf.DUMMYFUNCTION("""COMPUTED_VALUE"""),"MUNICIPALIDAD DE RÍO NEGRO")</f>
        <v>MUNICIPALIDAD DE RÍO NEGRO</v>
      </c>
      <c r="G145" s="71">
        <f ca="1">IFERROR(__xludf.DUMMYFUNCTION("""COMPUTED_VALUE"""),85622623)</f>
        <v>85622623</v>
      </c>
      <c r="H145" s="10" t="str">
        <f ca="1">IFERROR(__xludf.DUMMYFUNCTION("""COMPUTED_VALUE"""),"Resolución")</f>
        <v>Resolución</v>
      </c>
      <c r="I145" s="10" t="str">
        <f ca="1">IFERROR(__xludf.DUMMYFUNCTION("""COMPUTED_VALUE"""),"FONDO DE INCENTIVO AL MEJORAMIENTO DE LA GESTIÓN MUNICIPAL")</f>
        <v>FONDO DE INCENTIVO AL MEJORAMIENTO DE LA GESTIÓN MUNICIPAL</v>
      </c>
      <c r="J145" s="10" t="str">
        <f ca="1">IFERROR(__xludf.DUMMYFUNCTION("""COMPUTED_VALUE"""),"Cumplir con normativa y reglamentos internos del programa en base a los objetivos.")</f>
        <v>Cumplir con normativa y reglamentos internos del programa en base a los objetivos.</v>
      </c>
      <c r="K145" s="71">
        <f ca="1">IFERROR(__xludf.DUMMYFUNCTION("""COMPUTED_VALUE"""),85622623)</f>
        <v>85622623</v>
      </c>
      <c r="L145" s="27">
        <f ca="1">IFERROR(__xludf.DUMMYFUNCTION("""COMPUTED_VALUE"""),1)</f>
        <v>1</v>
      </c>
      <c r="M145" s="10" t="str">
        <f ca="1">IFERROR(__xludf.DUMMYFUNCTION("""COMPUTED_VALUE"""),"19/2024")</f>
        <v>19/2024</v>
      </c>
      <c r="N145" s="10" t="str">
        <f ca="1">IFERROR(__xludf.DUMMYFUNCTION("""COMPUTED_VALUE"""),"FIGEM")</f>
        <v>FIGEM</v>
      </c>
      <c r="O145" s="59"/>
      <c r="P145" s="1"/>
      <c r="Q145" s="1"/>
      <c r="R145" s="1"/>
      <c r="S145" s="1"/>
      <c r="T145" s="1"/>
      <c r="U145" s="1"/>
      <c r="V145" s="1"/>
      <c r="W145" s="1"/>
      <c r="X145" s="1"/>
      <c r="Y145" s="1"/>
      <c r="Z145" s="1"/>
      <c r="AA145" s="1"/>
    </row>
    <row r="146" spans="1:27" ht="12.75" customHeight="1">
      <c r="A146" s="1"/>
      <c r="B146" s="10" t="str">
        <f ca="1">IFERROR(__xludf.DUMMYFUNCTION("""COMPUTED_VALUE"""),"Fondo de Incentivo al Mejoramiento de la Gestión Municipal 2024")</f>
        <v>Fondo de Incentivo al Mejoramiento de la Gestión Municipal 2024</v>
      </c>
      <c r="C146" s="10" t="str">
        <f ca="1">IFERROR(__xludf.DUMMYFUNCTION("""COMPUTED_VALUE"""),"FIGEM-2024-90")</f>
        <v>FIGEM-2024-90</v>
      </c>
      <c r="D146" s="26" t="str">
        <f t="shared" ca="1" si="0"/>
        <v xml:space="preserve"> FUTALEUFÚ</v>
      </c>
      <c r="E146" s="10" t="str">
        <f ca="1">IFERROR(__xludf.DUMMYFUNCTION("""COMPUTED_VALUE"""),"Resolución de Transferencia")</f>
        <v>Resolución de Transferencia</v>
      </c>
      <c r="F146" s="10" t="str">
        <f ca="1">IFERROR(__xludf.DUMMYFUNCTION("""COMPUTED_VALUE"""),"MUNICIPALIDAD DE FUTALEUFÚ")</f>
        <v>MUNICIPALIDAD DE FUTALEUFÚ</v>
      </c>
      <c r="G146" s="71">
        <f ca="1">IFERROR(__xludf.DUMMYFUNCTION("""COMPUTED_VALUE"""),89512129)</f>
        <v>89512129</v>
      </c>
      <c r="H146" s="10" t="str">
        <f ca="1">IFERROR(__xludf.DUMMYFUNCTION("""COMPUTED_VALUE"""),"Resolución")</f>
        <v>Resolución</v>
      </c>
      <c r="I146" s="10" t="str">
        <f ca="1">IFERROR(__xludf.DUMMYFUNCTION("""COMPUTED_VALUE"""),"FONDO DE INCENTIVO AL MEJORAMIENTO DE LA GESTIÓN MUNICIPAL")</f>
        <v>FONDO DE INCENTIVO AL MEJORAMIENTO DE LA GESTIÓN MUNICIPAL</v>
      </c>
      <c r="J146" s="10" t="str">
        <f ca="1">IFERROR(__xludf.DUMMYFUNCTION("""COMPUTED_VALUE"""),"Cumplir con normativa y reglamentos internos del programa en base a los objetivos.")</f>
        <v>Cumplir con normativa y reglamentos internos del programa en base a los objetivos.</v>
      </c>
      <c r="K146" s="71">
        <f ca="1">IFERROR(__xludf.DUMMYFUNCTION("""COMPUTED_VALUE"""),89512129)</f>
        <v>89512129</v>
      </c>
      <c r="L146" s="27">
        <f ca="1">IFERROR(__xludf.DUMMYFUNCTION("""COMPUTED_VALUE"""),1)</f>
        <v>1</v>
      </c>
      <c r="M146" s="10" t="str">
        <f ca="1">IFERROR(__xludf.DUMMYFUNCTION("""COMPUTED_VALUE"""),"19/2024")</f>
        <v>19/2024</v>
      </c>
      <c r="N146" s="10" t="str">
        <f ca="1">IFERROR(__xludf.DUMMYFUNCTION("""COMPUTED_VALUE"""),"FIGEM")</f>
        <v>FIGEM</v>
      </c>
      <c r="O146" s="59"/>
      <c r="P146" s="1"/>
      <c r="Q146" s="1"/>
      <c r="R146" s="1"/>
      <c r="S146" s="1"/>
      <c r="T146" s="1"/>
      <c r="U146" s="1"/>
      <c r="V146" s="1"/>
      <c r="W146" s="1"/>
      <c r="X146" s="1"/>
      <c r="Y146" s="1"/>
      <c r="Z146" s="1"/>
      <c r="AA146" s="1"/>
    </row>
    <row r="147" spans="1:27" ht="12.75" customHeight="1">
      <c r="A147" s="1"/>
      <c r="B147" s="10" t="str">
        <f ca="1">IFERROR(__xludf.DUMMYFUNCTION("""COMPUTED_VALUE"""),"Fondo de Incentivo al Mejoramiento de la Gestión Municipal 2024")</f>
        <v>Fondo de Incentivo al Mejoramiento de la Gestión Municipal 2024</v>
      </c>
      <c r="C147" s="10" t="str">
        <f ca="1">IFERROR(__xludf.DUMMYFUNCTION("""COMPUTED_VALUE"""),"FIGEM-2024-83")</f>
        <v>FIGEM-2024-83</v>
      </c>
      <c r="D147" s="26" t="str">
        <f t="shared" ca="1" si="0"/>
        <v xml:space="preserve"> HUALAIHUÉ</v>
      </c>
      <c r="E147" s="10" t="str">
        <f ca="1">IFERROR(__xludf.DUMMYFUNCTION("""COMPUTED_VALUE"""),"Resolución de Transferencia")</f>
        <v>Resolución de Transferencia</v>
      </c>
      <c r="F147" s="10" t="str">
        <f ca="1">IFERROR(__xludf.DUMMYFUNCTION("""COMPUTED_VALUE"""),"MUNICIPALIDAD DE HUALAIHUÉ")</f>
        <v>MUNICIPALIDAD DE HUALAIHUÉ</v>
      </c>
      <c r="G147" s="71">
        <f ca="1">IFERROR(__xludf.DUMMYFUNCTION("""COMPUTED_VALUE"""),90693223)</f>
        <v>90693223</v>
      </c>
      <c r="H147" s="10" t="str">
        <f ca="1">IFERROR(__xludf.DUMMYFUNCTION("""COMPUTED_VALUE"""),"Resolución")</f>
        <v>Resolución</v>
      </c>
      <c r="I147" s="10" t="str">
        <f ca="1">IFERROR(__xludf.DUMMYFUNCTION("""COMPUTED_VALUE"""),"FONDO DE INCENTIVO AL MEJORAMIENTO DE LA GESTIÓN MUNICIPAL")</f>
        <v>FONDO DE INCENTIVO AL MEJORAMIENTO DE LA GESTIÓN MUNICIPAL</v>
      </c>
      <c r="J147" s="10" t="str">
        <f ca="1">IFERROR(__xludf.DUMMYFUNCTION("""COMPUTED_VALUE"""),"Cumplir con normativa y reglamentos internos del programa en base a los objetivos.")</f>
        <v>Cumplir con normativa y reglamentos internos del programa en base a los objetivos.</v>
      </c>
      <c r="K147" s="71">
        <f ca="1">IFERROR(__xludf.DUMMYFUNCTION("""COMPUTED_VALUE"""),90693223)</f>
        <v>90693223</v>
      </c>
      <c r="L147" s="27">
        <f ca="1">IFERROR(__xludf.DUMMYFUNCTION("""COMPUTED_VALUE"""),1)</f>
        <v>1</v>
      </c>
      <c r="M147" s="10" t="str">
        <f ca="1">IFERROR(__xludf.DUMMYFUNCTION("""COMPUTED_VALUE"""),"19/2024")</f>
        <v>19/2024</v>
      </c>
      <c r="N147" s="10" t="str">
        <f ca="1">IFERROR(__xludf.DUMMYFUNCTION("""COMPUTED_VALUE"""),"FIGEM")</f>
        <v>FIGEM</v>
      </c>
      <c r="O147" s="59"/>
      <c r="P147" s="1"/>
      <c r="Q147" s="1"/>
      <c r="R147" s="1"/>
      <c r="S147" s="1"/>
      <c r="T147" s="1"/>
      <c r="U147" s="1"/>
      <c r="V147" s="1"/>
      <c r="W147" s="1"/>
      <c r="X147" s="1"/>
      <c r="Y147" s="1"/>
      <c r="Z147" s="1"/>
      <c r="AA147" s="1"/>
    </row>
    <row r="148" spans="1:27" ht="12.75" customHeight="1">
      <c r="A148" s="1"/>
      <c r="B148" s="10" t="str">
        <f ca="1">IFERROR(__xludf.DUMMYFUNCTION("""COMPUTED_VALUE"""),"Fondo de Incentivo al Mejoramiento de la Gestión Municipal 2024")</f>
        <v>Fondo de Incentivo al Mejoramiento de la Gestión Municipal 2024</v>
      </c>
      <c r="C148" s="10" t="str">
        <f ca="1">IFERROR(__xludf.DUMMYFUNCTION("""COMPUTED_VALUE"""),"FIGEM-2024-110")</f>
        <v>FIGEM-2024-110</v>
      </c>
      <c r="D148" s="26" t="str">
        <f t="shared" ca="1" si="0"/>
        <v xml:space="preserve"> CISNES</v>
      </c>
      <c r="E148" s="10" t="str">
        <f ca="1">IFERROR(__xludf.DUMMYFUNCTION("""COMPUTED_VALUE"""),"Resolución de Transferencia")</f>
        <v>Resolución de Transferencia</v>
      </c>
      <c r="F148" s="10" t="str">
        <f ca="1">IFERROR(__xludf.DUMMYFUNCTION("""COMPUTED_VALUE"""),"MUNICIPALIDAD DE CISNES")</f>
        <v>MUNICIPALIDAD DE CISNES</v>
      </c>
      <c r="G148" s="71">
        <f ca="1">IFERROR(__xludf.DUMMYFUNCTION("""COMPUTED_VALUE"""),86143228)</f>
        <v>86143228</v>
      </c>
      <c r="H148" s="10" t="str">
        <f ca="1">IFERROR(__xludf.DUMMYFUNCTION("""COMPUTED_VALUE"""),"Resolución")</f>
        <v>Resolución</v>
      </c>
      <c r="I148" s="10" t="str">
        <f ca="1">IFERROR(__xludf.DUMMYFUNCTION("""COMPUTED_VALUE"""),"FONDO DE INCENTIVO AL MEJORAMIENTO DE LA GESTIÓN MUNICIPAL")</f>
        <v>FONDO DE INCENTIVO AL MEJORAMIENTO DE LA GESTIÓN MUNICIPAL</v>
      </c>
      <c r="J148" s="10" t="str">
        <f ca="1">IFERROR(__xludf.DUMMYFUNCTION("""COMPUTED_VALUE"""),"Cumplir con normativa y reglamentos internos del programa en base a los objetivos.")</f>
        <v>Cumplir con normativa y reglamentos internos del programa en base a los objetivos.</v>
      </c>
      <c r="K148" s="71">
        <f ca="1">IFERROR(__xludf.DUMMYFUNCTION("""COMPUTED_VALUE"""),86143228)</f>
        <v>86143228</v>
      </c>
      <c r="L148" s="27">
        <f ca="1">IFERROR(__xludf.DUMMYFUNCTION("""COMPUTED_VALUE"""),1)</f>
        <v>1</v>
      </c>
      <c r="M148" s="10" t="str">
        <f ca="1">IFERROR(__xludf.DUMMYFUNCTION("""COMPUTED_VALUE"""),"19/2024")</f>
        <v>19/2024</v>
      </c>
      <c r="N148" s="10" t="str">
        <f ca="1">IFERROR(__xludf.DUMMYFUNCTION("""COMPUTED_VALUE"""),"FIGEM")</f>
        <v>FIGEM</v>
      </c>
      <c r="O148" s="59"/>
      <c r="P148" s="1"/>
      <c r="Q148" s="1"/>
      <c r="R148" s="1"/>
      <c r="S148" s="1"/>
      <c r="T148" s="1"/>
      <c r="U148" s="1"/>
      <c r="V148" s="1"/>
      <c r="W148" s="1"/>
      <c r="X148" s="1"/>
      <c r="Y148" s="1"/>
      <c r="Z148" s="1"/>
      <c r="AA148" s="1"/>
    </row>
    <row r="149" spans="1:27" ht="12.75" customHeight="1">
      <c r="A149" s="1"/>
      <c r="B149" s="10" t="str">
        <f ca="1">IFERROR(__xludf.DUMMYFUNCTION("""COMPUTED_VALUE"""),"Fondo de Incentivo al Mejoramiento de la Gestión Municipal 2024")</f>
        <v>Fondo de Incentivo al Mejoramiento de la Gestión Municipal 2024</v>
      </c>
      <c r="C149" s="10" t="str">
        <f ca="1">IFERROR(__xludf.DUMMYFUNCTION("""COMPUTED_VALUE"""),"FIGEM-2024-86")</f>
        <v>FIGEM-2024-86</v>
      </c>
      <c r="D149" s="26" t="str">
        <f t="shared" ca="1" si="0"/>
        <v xml:space="preserve"> COCHRANE</v>
      </c>
      <c r="E149" s="10" t="str">
        <f ca="1">IFERROR(__xludf.DUMMYFUNCTION("""COMPUTED_VALUE"""),"Resolución de Transferencia")</f>
        <v>Resolución de Transferencia</v>
      </c>
      <c r="F149" s="10" t="str">
        <f ca="1">IFERROR(__xludf.DUMMYFUNCTION("""COMPUTED_VALUE"""),"MUNICIPALIDAD DE COCHRANE")</f>
        <v>MUNICIPALIDAD DE COCHRANE</v>
      </c>
      <c r="G149" s="71">
        <f ca="1">IFERROR(__xludf.DUMMYFUNCTION("""COMPUTED_VALUE"""),90278599)</f>
        <v>90278599</v>
      </c>
      <c r="H149" s="10" t="str">
        <f ca="1">IFERROR(__xludf.DUMMYFUNCTION("""COMPUTED_VALUE"""),"Resolución")</f>
        <v>Resolución</v>
      </c>
      <c r="I149" s="10" t="str">
        <f ca="1">IFERROR(__xludf.DUMMYFUNCTION("""COMPUTED_VALUE"""),"FONDO DE INCENTIVO AL MEJORAMIENTO DE LA GESTIÓN MUNICIPAL")</f>
        <v>FONDO DE INCENTIVO AL MEJORAMIENTO DE LA GESTIÓN MUNICIPAL</v>
      </c>
      <c r="J149" s="10" t="str">
        <f ca="1">IFERROR(__xludf.DUMMYFUNCTION("""COMPUTED_VALUE"""),"Cumplir con normativa y reglamentos internos del programa en base a los objetivos.")</f>
        <v>Cumplir con normativa y reglamentos internos del programa en base a los objetivos.</v>
      </c>
      <c r="K149" s="71">
        <f ca="1">IFERROR(__xludf.DUMMYFUNCTION("""COMPUTED_VALUE"""),90278599)</f>
        <v>90278599</v>
      </c>
      <c r="L149" s="27">
        <f ca="1">IFERROR(__xludf.DUMMYFUNCTION("""COMPUTED_VALUE"""),1)</f>
        <v>1</v>
      </c>
      <c r="M149" s="10" t="str">
        <f ca="1">IFERROR(__xludf.DUMMYFUNCTION("""COMPUTED_VALUE"""),"19/2024")</f>
        <v>19/2024</v>
      </c>
      <c r="N149" s="10" t="str">
        <f ca="1">IFERROR(__xludf.DUMMYFUNCTION("""COMPUTED_VALUE"""),"FIGEM")</f>
        <v>FIGEM</v>
      </c>
      <c r="O149" s="59"/>
      <c r="P149" s="1"/>
      <c r="Q149" s="1"/>
      <c r="R149" s="1"/>
      <c r="S149" s="1"/>
      <c r="T149" s="1"/>
      <c r="U149" s="1"/>
      <c r="V149" s="1"/>
      <c r="W149" s="1"/>
      <c r="X149" s="1"/>
      <c r="Y149" s="1"/>
      <c r="Z149" s="1"/>
      <c r="AA149" s="1"/>
    </row>
    <row r="150" spans="1:27" ht="12.75" customHeight="1">
      <c r="A150" s="1"/>
      <c r="B150" s="10" t="str">
        <f ca="1">IFERROR(__xludf.DUMMYFUNCTION("""COMPUTED_VALUE"""),"Fondo de Incentivo al Mejoramiento de la Gestión Municipal 2024")</f>
        <v>Fondo de Incentivo al Mejoramiento de la Gestión Municipal 2024</v>
      </c>
      <c r="C150" s="10" t="str">
        <f ca="1">IFERROR(__xludf.DUMMYFUNCTION("""COMPUTED_VALUE"""),"FIGEM-2024-92")</f>
        <v>FIGEM-2024-92</v>
      </c>
      <c r="D150" s="26" t="str">
        <f t="shared" ca="1" si="0"/>
        <v xml:space="preserve"> RÍO IBÁÑEZ</v>
      </c>
      <c r="E150" s="10" t="str">
        <f ca="1">IFERROR(__xludf.DUMMYFUNCTION("""COMPUTED_VALUE"""),"Resolución de Transferencia")</f>
        <v>Resolución de Transferencia</v>
      </c>
      <c r="F150" s="10" t="str">
        <f ca="1">IFERROR(__xludf.DUMMYFUNCTION("""COMPUTED_VALUE"""),"MUNICIPALIDAD DE RÍO IBÁÑEZ")</f>
        <v>MUNICIPALIDAD DE RÍO IBÁÑEZ</v>
      </c>
      <c r="G150" s="71">
        <f ca="1">IFERROR(__xludf.DUMMYFUNCTION("""COMPUTED_VALUE"""),89184764)</f>
        <v>89184764</v>
      </c>
      <c r="H150" s="10" t="str">
        <f ca="1">IFERROR(__xludf.DUMMYFUNCTION("""COMPUTED_VALUE"""),"Resolución")</f>
        <v>Resolución</v>
      </c>
      <c r="I150" s="10" t="str">
        <f ca="1">IFERROR(__xludf.DUMMYFUNCTION("""COMPUTED_VALUE"""),"FONDO DE INCENTIVO AL MEJORAMIENTO DE LA GESTIÓN MUNICIPAL")</f>
        <v>FONDO DE INCENTIVO AL MEJORAMIENTO DE LA GESTIÓN MUNICIPAL</v>
      </c>
      <c r="J150" s="10" t="str">
        <f ca="1">IFERROR(__xludf.DUMMYFUNCTION("""COMPUTED_VALUE"""),"Cumplir con normativa y reglamentos internos del programa en base a los objetivos.")</f>
        <v>Cumplir con normativa y reglamentos internos del programa en base a los objetivos.</v>
      </c>
      <c r="K150" s="71">
        <f ca="1">IFERROR(__xludf.DUMMYFUNCTION("""COMPUTED_VALUE"""),89184764)</f>
        <v>89184764</v>
      </c>
      <c r="L150" s="27">
        <f ca="1">IFERROR(__xludf.DUMMYFUNCTION("""COMPUTED_VALUE"""),1)</f>
        <v>1</v>
      </c>
      <c r="M150" s="10" t="str">
        <f ca="1">IFERROR(__xludf.DUMMYFUNCTION("""COMPUTED_VALUE"""),"19/2024")</f>
        <v>19/2024</v>
      </c>
      <c r="N150" s="10" t="str">
        <f ca="1">IFERROR(__xludf.DUMMYFUNCTION("""COMPUTED_VALUE"""),"FIGEM")</f>
        <v>FIGEM</v>
      </c>
      <c r="O150" s="59"/>
      <c r="P150" s="1"/>
      <c r="Q150" s="1"/>
      <c r="R150" s="1"/>
      <c r="S150" s="1"/>
      <c r="T150" s="1"/>
      <c r="U150" s="1"/>
      <c r="V150" s="1"/>
      <c r="W150" s="1"/>
      <c r="X150" s="1"/>
      <c r="Y150" s="1"/>
      <c r="Z150" s="1"/>
      <c r="AA150" s="1"/>
    </row>
    <row r="151" spans="1:27" ht="12.75" customHeight="1">
      <c r="A151" s="1"/>
      <c r="B151" s="10" t="str">
        <f ca="1">IFERROR(__xludf.DUMMYFUNCTION("""COMPUTED_VALUE"""),"Fondo de Incentivo al Mejoramiento de la Gestión Municipal 2024")</f>
        <v>Fondo de Incentivo al Mejoramiento de la Gestión Municipal 2024</v>
      </c>
      <c r="C151" s="10" t="str">
        <f ca="1">IFERROR(__xludf.DUMMYFUNCTION("""COMPUTED_VALUE"""),"FIGEM-2024-141")</f>
        <v>FIGEM-2024-141</v>
      </c>
      <c r="D151" s="26" t="str">
        <f t="shared" ca="1" si="0"/>
        <v xml:space="preserve"> RÍO VERDE</v>
      </c>
      <c r="E151" s="10" t="str">
        <f ca="1">IFERROR(__xludf.DUMMYFUNCTION("""COMPUTED_VALUE"""),"Resolución de Transferencia")</f>
        <v>Resolución de Transferencia</v>
      </c>
      <c r="F151" s="10" t="str">
        <f ca="1">IFERROR(__xludf.DUMMYFUNCTION("""COMPUTED_VALUE"""),"MUNICIPALIDAD DE RÍO VERDE")</f>
        <v>MUNICIPALIDAD DE RÍO VERDE</v>
      </c>
      <c r="G151" s="71">
        <f ca="1">IFERROR(__xludf.DUMMYFUNCTION("""COMPUTED_VALUE"""),92997257)</f>
        <v>92997257</v>
      </c>
      <c r="H151" s="10" t="str">
        <f ca="1">IFERROR(__xludf.DUMMYFUNCTION("""COMPUTED_VALUE"""),"Resolución")</f>
        <v>Resolución</v>
      </c>
      <c r="I151" s="10" t="str">
        <f ca="1">IFERROR(__xludf.DUMMYFUNCTION("""COMPUTED_VALUE"""),"FONDO DE INCENTIVO AL MEJORAMIENTO DE LA GESTIÓN MUNICIPAL")</f>
        <v>FONDO DE INCENTIVO AL MEJORAMIENTO DE LA GESTIÓN MUNICIPAL</v>
      </c>
      <c r="J151" s="10" t="str">
        <f ca="1">IFERROR(__xludf.DUMMYFUNCTION("""COMPUTED_VALUE"""),"Cumplir con normativa y reglamentos internos del programa en base a los objetivos.")</f>
        <v>Cumplir con normativa y reglamentos internos del programa en base a los objetivos.</v>
      </c>
      <c r="K151" s="71">
        <f ca="1">IFERROR(__xludf.DUMMYFUNCTION("""COMPUTED_VALUE"""),92997257)</f>
        <v>92997257</v>
      </c>
      <c r="L151" s="27">
        <f ca="1">IFERROR(__xludf.DUMMYFUNCTION("""COMPUTED_VALUE"""),1)</f>
        <v>1</v>
      </c>
      <c r="M151" s="10" t="str">
        <f ca="1">IFERROR(__xludf.DUMMYFUNCTION("""COMPUTED_VALUE"""),"19/2024")</f>
        <v>19/2024</v>
      </c>
      <c r="N151" s="10" t="str">
        <f ca="1">IFERROR(__xludf.DUMMYFUNCTION("""COMPUTED_VALUE"""),"FIGEM")</f>
        <v>FIGEM</v>
      </c>
      <c r="O151" s="59"/>
      <c r="P151" s="1"/>
      <c r="Q151" s="1"/>
      <c r="R151" s="1"/>
      <c r="S151" s="1"/>
      <c r="T151" s="1"/>
      <c r="U151" s="1"/>
      <c r="V151" s="1"/>
      <c r="W151" s="1"/>
      <c r="X151" s="1"/>
      <c r="Y151" s="1"/>
      <c r="Z151" s="1"/>
      <c r="AA151" s="1"/>
    </row>
    <row r="152" spans="1:27" ht="12.75" customHeight="1">
      <c r="A152" s="1"/>
      <c r="B152" s="10" t="str">
        <f ca="1">IFERROR(__xludf.DUMMYFUNCTION("""COMPUTED_VALUE"""),"Fondo de Incentivo al Mejoramiento de la Gestión Municipal 2024")</f>
        <v>Fondo de Incentivo al Mejoramiento de la Gestión Municipal 2024</v>
      </c>
      <c r="C152" s="10" t="str">
        <f ca="1">IFERROR(__xludf.DUMMYFUNCTION("""COMPUTED_VALUE"""),"FIGEM-2024-79")</f>
        <v>FIGEM-2024-79</v>
      </c>
      <c r="D152" s="26" t="str">
        <f t="shared" ca="1" si="0"/>
        <v xml:space="preserve"> SAN GREGORIO</v>
      </c>
      <c r="E152" s="10" t="str">
        <f ca="1">IFERROR(__xludf.DUMMYFUNCTION("""COMPUTED_VALUE"""),"Resolución de Transferencia")</f>
        <v>Resolución de Transferencia</v>
      </c>
      <c r="F152" s="10" t="str">
        <f ca="1">IFERROR(__xludf.DUMMYFUNCTION("""COMPUTED_VALUE"""),"MUNICIPALIDAD DE SAN GREGORIO")</f>
        <v>MUNICIPALIDAD DE SAN GREGORIO</v>
      </c>
      <c r="G152" s="71">
        <f ca="1">IFERROR(__xludf.DUMMYFUNCTION("""COMPUTED_VALUE"""),91380459)</f>
        <v>91380459</v>
      </c>
      <c r="H152" s="10" t="str">
        <f ca="1">IFERROR(__xludf.DUMMYFUNCTION("""COMPUTED_VALUE"""),"Resolución")</f>
        <v>Resolución</v>
      </c>
      <c r="I152" s="10" t="str">
        <f ca="1">IFERROR(__xludf.DUMMYFUNCTION("""COMPUTED_VALUE"""),"FONDO DE INCENTIVO AL MEJORAMIENTO DE LA GESTIÓN MUNICIPAL")</f>
        <v>FONDO DE INCENTIVO AL MEJORAMIENTO DE LA GESTIÓN MUNICIPAL</v>
      </c>
      <c r="J152" s="10" t="str">
        <f ca="1">IFERROR(__xludf.DUMMYFUNCTION("""COMPUTED_VALUE"""),"Cumplir con normativa y reglamentos internos del programa en base a los objetivos.")</f>
        <v>Cumplir con normativa y reglamentos internos del programa en base a los objetivos.</v>
      </c>
      <c r="K152" s="71">
        <f ca="1">IFERROR(__xludf.DUMMYFUNCTION("""COMPUTED_VALUE"""),91380459)</f>
        <v>91380459</v>
      </c>
      <c r="L152" s="27">
        <f ca="1">IFERROR(__xludf.DUMMYFUNCTION("""COMPUTED_VALUE"""),1)</f>
        <v>1</v>
      </c>
      <c r="M152" s="10" t="str">
        <f ca="1">IFERROR(__xludf.DUMMYFUNCTION("""COMPUTED_VALUE"""),"19/2024")</f>
        <v>19/2024</v>
      </c>
      <c r="N152" s="10" t="str">
        <f ca="1">IFERROR(__xludf.DUMMYFUNCTION("""COMPUTED_VALUE"""),"FIGEM")</f>
        <v>FIGEM</v>
      </c>
      <c r="O152" s="59"/>
      <c r="P152" s="1"/>
      <c r="Q152" s="1"/>
      <c r="R152" s="1"/>
      <c r="S152" s="1"/>
      <c r="T152" s="1"/>
      <c r="U152" s="1"/>
      <c r="V152" s="1"/>
      <c r="W152" s="1"/>
      <c r="X152" s="1"/>
      <c r="Y152" s="1"/>
      <c r="Z152" s="1"/>
      <c r="AA152" s="1"/>
    </row>
    <row r="153" spans="1:27" ht="12.75" customHeight="1">
      <c r="A153" s="1"/>
      <c r="B153" s="10" t="str">
        <f ca="1">IFERROR(__xludf.DUMMYFUNCTION("""COMPUTED_VALUE"""),"Fondo de Incentivo al Mejoramiento de la Gestión Municipal 2024")</f>
        <v>Fondo de Incentivo al Mejoramiento de la Gestión Municipal 2024</v>
      </c>
      <c r="C153" s="10" t="str">
        <f ca="1">IFERROR(__xludf.DUMMYFUNCTION("""COMPUTED_VALUE"""),"FIGEM-2024-118")</f>
        <v>FIGEM-2024-118</v>
      </c>
      <c r="D153" s="26" t="str">
        <f t="shared" ca="1" si="0"/>
        <v xml:space="preserve"> PRIMAVERA</v>
      </c>
      <c r="E153" s="10" t="str">
        <f ca="1">IFERROR(__xludf.DUMMYFUNCTION("""COMPUTED_VALUE"""),"Resolución de Transferencia")</f>
        <v>Resolución de Transferencia</v>
      </c>
      <c r="F153" s="10" t="str">
        <f ca="1">IFERROR(__xludf.DUMMYFUNCTION("""COMPUTED_VALUE"""),"MUNICIPALIDAD DE PRIMAVERA")</f>
        <v>MUNICIPALIDAD DE PRIMAVERA</v>
      </c>
      <c r="G153" s="71">
        <f ca="1">IFERROR(__xludf.DUMMYFUNCTION("""COMPUTED_VALUE"""),85403989)</f>
        <v>85403989</v>
      </c>
      <c r="H153" s="10" t="str">
        <f ca="1">IFERROR(__xludf.DUMMYFUNCTION("""COMPUTED_VALUE"""),"Resolución")</f>
        <v>Resolución</v>
      </c>
      <c r="I153" s="10" t="str">
        <f ca="1">IFERROR(__xludf.DUMMYFUNCTION("""COMPUTED_VALUE"""),"FONDO DE INCENTIVO AL MEJORAMIENTO DE LA GESTIÓN MUNICIPAL")</f>
        <v>FONDO DE INCENTIVO AL MEJORAMIENTO DE LA GESTIÓN MUNICIPAL</v>
      </c>
      <c r="J153" s="10" t="str">
        <f ca="1">IFERROR(__xludf.DUMMYFUNCTION("""COMPUTED_VALUE"""),"Cumplir con normativa y reglamentos internos del programa en base a los objetivos.")</f>
        <v>Cumplir con normativa y reglamentos internos del programa en base a los objetivos.</v>
      </c>
      <c r="K153" s="71">
        <f ca="1">IFERROR(__xludf.DUMMYFUNCTION("""COMPUTED_VALUE"""),85403989)</f>
        <v>85403989</v>
      </c>
      <c r="L153" s="27">
        <f ca="1">IFERROR(__xludf.DUMMYFUNCTION("""COMPUTED_VALUE"""),1)</f>
        <v>1</v>
      </c>
      <c r="M153" s="10" t="str">
        <f ca="1">IFERROR(__xludf.DUMMYFUNCTION("""COMPUTED_VALUE"""),"19/2024")</f>
        <v>19/2024</v>
      </c>
      <c r="N153" s="10" t="str">
        <f ca="1">IFERROR(__xludf.DUMMYFUNCTION("""COMPUTED_VALUE"""),"FIGEM")</f>
        <v>FIGEM</v>
      </c>
      <c r="O153" s="59"/>
      <c r="P153" s="1"/>
      <c r="Q153" s="1"/>
      <c r="R153" s="1"/>
      <c r="S153" s="1"/>
      <c r="T153" s="1"/>
      <c r="U153" s="1"/>
      <c r="V153" s="1"/>
      <c r="W153" s="1"/>
      <c r="X153" s="1"/>
      <c r="Y153" s="1"/>
      <c r="Z153" s="1"/>
      <c r="AA153" s="1"/>
    </row>
    <row r="154" spans="1:27" ht="12.75" customHeight="1">
      <c r="A154" s="1"/>
      <c r="B154" s="10" t="str">
        <f ca="1">IFERROR(__xludf.DUMMYFUNCTION("""COMPUTED_VALUE"""),"Fondo de Incentivo al Mejoramiento de la Gestión Municipal 2024")</f>
        <v>Fondo de Incentivo al Mejoramiento de la Gestión Municipal 2024</v>
      </c>
      <c r="C154" s="10" t="str">
        <f ca="1">IFERROR(__xludf.DUMMYFUNCTION("""COMPUTED_VALUE"""),"FIGEM-2024-166")</f>
        <v>FIGEM-2024-166</v>
      </c>
      <c r="D154" s="26" t="str">
        <f t="shared" ca="1" si="0"/>
        <v xml:space="preserve"> TORRES DEL PAINE</v>
      </c>
      <c r="E154" s="10" t="str">
        <f ca="1">IFERROR(__xludf.DUMMYFUNCTION("""COMPUTED_VALUE"""),"Resolución de Transferencia")</f>
        <v>Resolución de Transferencia</v>
      </c>
      <c r="F154" s="10" t="str">
        <f ca="1">IFERROR(__xludf.DUMMYFUNCTION("""COMPUTED_VALUE"""),"MUNICIPALIDAD DE TORRES DEL PAINE")</f>
        <v>MUNICIPALIDAD DE TORRES DEL PAINE</v>
      </c>
      <c r="G154" s="71">
        <f ca="1">IFERROR(__xludf.DUMMYFUNCTION("""COMPUTED_VALUE"""),89462130)</f>
        <v>89462130</v>
      </c>
      <c r="H154" s="10" t="str">
        <f ca="1">IFERROR(__xludf.DUMMYFUNCTION("""COMPUTED_VALUE"""),"Resolución")</f>
        <v>Resolución</v>
      </c>
      <c r="I154" s="10" t="str">
        <f ca="1">IFERROR(__xludf.DUMMYFUNCTION("""COMPUTED_VALUE"""),"FONDO DE INCENTIVO AL MEJORAMIENTO DE LA GESTIÓN MUNICIPAL")</f>
        <v>FONDO DE INCENTIVO AL MEJORAMIENTO DE LA GESTIÓN MUNICIPAL</v>
      </c>
      <c r="J154" s="10" t="str">
        <f ca="1">IFERROR(__xludf.DUMMYFUNCTION("""COMPUTED_VALUE"""),"Cumplir con normativa y reglamentos internos del programa en base a los objetivos.")</f>
        <v>Cumplir con normativa y reglamentos internos del programa en base a los objetivos.</v>
      </c>
      <c r="K154" s="71">
        <f ca="1">IFERROR(__xludf.DUMMYFUNCTION("""COMPUTED_VALUE"""),89462130)</f>
        <v>89462130</v>
      </c>
      <c r="L154" s="27">
        <f ca="1">IFERROR(__xludf.DUMMYFUNCTION("""COMPUTED_VALUE"""),1)</f>
        <v>1</v>
      </c>
      <c r="M154" s="10" t="str">
        <f ca="1">IFERROR(__xludf.DUMMYFUNCTION("""COMPUTED_VALUE"""),"19/2024")</f>
        <v>19/2024</v>
      </c>
      <c r="N154" s="10" t="str">
        <f ca="1">IFERROR(__xludf.DUMMYFUNCTION("""COMPUTED_VALUE"""),"FIGEM")</f>
        <v>FIGEM</v>
      </c>
      <c r="O154" s="59"/>
      <c r="P154" s="1"/>
      <c r="Q154" s="1"/>
      <c r="R154" s="1"/>
      <c r="S154" s="1"/>
      <c r="T154" s="1"/>
      <c r="U154" s="1"/>
      <c r="V154" s="1"/>
      <c r="W154" s="1"/>
      <c r="X154" s="1"/>
      <c r="Y154" s="1"/>
      <c r="Z154" s="1"/>
      <c r="AA154" s="1"/>
    </row>
    <row r="155" spans="1:27" ht="12.75" customHeight="1">
      <c r="A155" s="1"/>
      <c r="B155" s="10" t="str">
        <f ca="1">IFERROR(__xludf.DUMMYFUNCTION("""COMPUTED_VALUE"""),"Fondo de Incentivo al Mejoramiento de la Gestión Municipal 2024")</f>
        <v>Fondo de Incentivo al Mejoramiento de la Gestión Municipal 2024</v>
      </c>
      <c r="C155" s="10" t="str">
        <f ca="1">IFERROR(__xludf.DUMMYFUNCTION("""COMPUTED_VALUE"""),"FIGEM-2024-21")</f>
        <v>FIGEM-2024-21</v>
      </c>
      <c r="D155" s="26" t="str">
        <f t="shared" ca="1" si="0"/>
        <v xml:space="preserve"> CERRILLOS</v>
      </c>
      <c r="E155" s="10" t="str">
        <f ca="1">IFERROR(__xludf.DUMMYFUNCTION("""COMPUTED_VALUE"""),"Resolución de Transferencia")</f>
        <v>Resolución de Transferencia</v>
      </c>
      <c r="F155" s="10" t="str">
        <f ca="1">IFERROR(__xludf.DUMMYFUNCTION("""COMPUTED_VALUE"""),"MUNICIPALIDAD DE CERRILLOS")</f>
        <v>MUNICIPALIDAD DE CERRILLOS</v>
      </c>
      <c r="G155" s="71">
        <f ca="1">IFERROR(__xludf.DUMMYFUNCTION("""COMPUTED_VALUE"""),68157193)</f>
        <v>68157193</v>
      </c>
      <c r="H155" s="10" t="str">
        <f ca="1">IFERROR(__xludf.DUMMYFUNCTION("""COMPUTED_VALUE"""),"Resolución")</f>
        <v>Resolución</v>
      </c>
      <c r="I155" s="10" t="str">
        <f ca="1">IFERROR(__xludf.DUMMYFUNCTION("""COMPUTED_VALUE"""),"FONDO DE INCENTIVO AL MEJORAMIENTO DE LA GESTIÓN MUNICIPAL")</f>
        <v>FONDO DE INCENTIVO AL MEJORAMIENTO DE LA GESTIÓN MUNICIPAL</v>
      </c>
      <c r="J155" s="10" t="str">
        <f ca="1">IFERROR(__xludf.DUMMYFUNCTION("""COMPUTED_VALUE"""),"Cumplir con normativa y reglamentos internos del programa en base a los objetivos.")</f>
        <v>Cumplir con normativa y reglamentos internos del programa en base a los objetivos.</v>
      </c>
      <c r="K155" s="71">
        <f ca="1">IFERROR(__xludf.DUMMYFUNCTION("""COMPUTED_VALUE"""),68157193)</f>
        <v>68157193</v>
      </c>
      <c r="L155" s="27">
        <f ca="1">IFERROR(__xludf.DUMMYFUNCTION("""COMPUTED_VALUE"""),1)</f>
        <v>1</v>
      </c>
      <c r="M155" s="10" t="str">
        <f ca="1">IFERROR(__xludf.DUMMYFUNCTION("""COMPUTED_VALUE"""),"19/2024")</f>
        <v>19/2024</v>
      </c>
      <c r="N155" s="10" t="str">
        <f ca="1">IFERROR(__xludf.DUMMYFUNCTION("""COMPUTED_VALUE"""),"FIGEM")</f>
        <v>FIGEM</v>
      </c>
      <c r="O155" s="59"/>
      <c r="P155" s="1"/>
      <c r="Q155" s="1"/>
      <c r="R155" s="1"/>
      <c r="S155" s="1"/>
      <c r="T155" s="1"/>
      <c r="U155" s="1"/>
      <c r="V155" s="1"/>
      <c r="W155" s="1"/>
      <c r="X155" s="1"/>
      <c r="Y155" s="1"/>
      <c r="Z155" s="1"/>
      <c r="AA155" s="1"/>
    </row>
    <row r="156" spans="1:27" ht="12.75" customHeight="1">
      <c r="A156" s="1"/>
      <c r="B156" s="10" t="str">
        <f ca="1">IFERROR(__xludf.DUMMYFUNCTION("""COMPUTED_VALUE"""),"Fondo de Incentivo al Mejoramiento de la Gestión Municipal 2024")</f>
        <v>Fondo de Incentivo al Mejoramiento de la Gestión Municipal 2024</v>
      </c>
      <c r="C156" s="10" t="str">
        <f ca="1">IFERROR(__xludf.DUMMYFUNCTION("""COMPUTED_VALUE"""),"FIGEM-2024-09")</f>
        <v>FIGEM-2024-09</v>
      </c>
      <c r="D156" s="26" t="str">
        <f t="shared" ca="1" si="0"/>
        <v xml:space="preserve"> CONCHALÍ</v>
      </c>
      <c r="E156" s="10" t="str">
        <f ca="1">IFERROR(__xludf.DUMMYFUNCTION("""COMPUTED_VALUE"""),"Resolución de Transferencia")</f>
        <v>Resolución de Transferencia</v>
      </c>
      <c r="F156" s="10" t="str">
        <f ca="1">IFERROR(__xludf.DUMMYFUNCTION("""COMPUTED_VALUE"""),"MUNICIPALIDAD DE CONCHALÍ")</f>
        <v>MUNICIPALIDAD DE CONCHALÍ</v>
      </c>
      <c r="G156" s="71">
        <f ca="1">IFERROR(__xludf.DUMMYFUNCTION("""COMPUTED_VALUE"""),72154549)</f>
        <v>72154549</v>
      </c>
      <c r="H156" s="10" t="str">
        <f ca="1">IFERROR(__xludf.DUMMYFUNCTION("""COMPUTED_VALUE"""),"Resolución")</f>
        <v>Resolución</v>
      </c>
      <c r="I156" s="10" t="str">
        <f ca="1">IFERROR(__xludf.DUMMYFUNCTION("""COMPUTED_VALUE"""),"FONDO DE INCENTIVO AL MEJORAMIENTO DE LA GESTIÓN MUNICIPAL")</f>
        <v>FONDO DE INCENTIVO AL MEJORAMIENTO DE LA GESTIÓN MUNICIPAL</v>
      </c>
      <c r="J156" s="10" t="str">
        <f ca="1">IFERROR(__xludf.DUMMYFUNCTION("""COMPUTED_VALUE"""),"Cumplir con normativa y reglamentos internos del programa en base a los objetivos.")</f>
        <v>Cumplir con normativa y reglamentos internos del programa en base a los objetivos.</v>
      </c>
      <c r="K156" s="71">
        <f ca="1">IFERROR(__xludf.DUMMYFUNCTION("""COMPUTED_VALUE"""),72154549)</f>
        <v>72154549</v>
      </c>
      <c r="L156" s="27">
        <f ca="1">IFERROR(__xludf.DUMMYFUNCTION("""COMPUTED_VALUE"""),1)</f>
        <v>1</v>
      </c>
      <c r="M156" s="10" t="str">
        <f ca="1">IFERROR(__xludf.DUMMYFUNCTION("""COMPUTED_VALUE"""),"19/2024")</f>
        <v>19/2024</v>
      </c>
      <c r="N156" s="10" t="str">
        <f ca="1">IFERROR(__xludf.DUMMYFUNCTION("""COMPUTED_VALUE"""),"FIGEM")</f>
        <v>FIGEM</v>
      </c>
      <c r="O156" s="59"/>
      <c r="P156" s="1"/>
      <c r="Q156" s="1"/>
      <c r="R156" s="1"/>
      <c r="S156" s="1"/>
      <c r="T156" s="1"/>
      <c r="U156" s="1"/>
      <c r="V156" s="1"/>
      <c r="W156" s="1"/>
      <c r="X156" s="1"/>
      <c r="Y156" s="1"/>
      <c r="Z156" s="1"/>
      <c r="AA156" s="1"/>
    </row>
    <row r="157" spans="1:27" ht="12.75" customHeight="1">
      <c r="A157" s="1"/>
      <c r="B157" s="10" t="str">
        <f ca="1">IFERROR(__xludf.DUMMYFUNCTION("""COMPUTED_VALUE"""),"Fondo de Incentivo al Mejoramiento de la Gestión Municipal 2024")</f>
        <v>Fondo de Incentivo al Mejoramiento de la Gestión Municipal 2024</v>
      </c>
      <c r="C157" s="10" t="str">
        <f ca="1">IFERROR(__xludf.DUMMYFUNCTION("""COMPUTED_VALUE"""),"FIGEM-2024-15")</f>
        <v>FIGEM-2024-15</v>
      </c>
      <c r="D157" s="26" t="str">
        <f t="shared" ca="1" si="0"/>
        <v xml:space="preserve"> ESTACIÓN CENTRAL</v>
      </c>
      <c r="E157" s="10" t="str">
        <f ca="1">IFERROR(__xludf.DUMMYFUNCTION("""COMPUTED_VALUE"""),"Resolución de Transferencia")</f>
        <v>Resolución de Transferencia</v>
      </c>
      <c r="F157" s="10" t="str">
        <f ca="1">IFERROR(__xludf.DUMMYFUNCTION("""COMPUTED_VALUE"""),"MUNICIPALIDAD DE ESTACIÓN CENTRAL")</f>
        <v>MUNICIPALIDAD DE ESTACIÓN CENTRAL</v>
      </c>
      <c r="G157" s="71">
        <f ca="1">IFERROR(__xludf.DUMMYFUNCTION("""COMPUTED_VALUE"""),69682819)</f>
        <v>69682819</v>
      </c>
      <c r="H157" s="10" t="str">
        <f ca="1">IFERROR(__xludf.DUMMYFUNCTION("""COMPUTED_VALUE"""),"Resolución")</f>
        <v>Resolución</v>
      </c>
      <c r="I157" s="10" t="str">
        <f ca="1">IFERROR(__xludf.DUMMYFUNCTION("""COMPUTED_VALUE"""),"FONDO DE INCENTIVO AL MEJORAMIENTO DE LA GESTIÓN MUNICIPAL")</f>
        <v>FONDO DE INCENTIVO AL MEJORAMIENTO DE LA GESTIÓN MUNICIPAL</v>
      </c>
      <c r="J157" s="10" t="str">
        <f ca="1">IFERROR(__xludf.DUMMYFUNCTION("""COMPUTED_VALUE"""),"Cumplir con normativa y reglamentos internos del programa en base a los objetivos.")</f>
        <v>Cumplir con normativa y reglamentos internos del programa en base a los objetivos.</v>
      </c>
      <c r="K157" s="71">
        <f ca="1">IFERROR(__xludf.DUMMYFUNCTION("""COMPUTED_VALUE"""),69682819)</f>
        <v>69682819</v>
      </c>
      <c r="L157" s="27">
        <f ca="1">IFERROR(__xludf.DUMMYFUNCTION("""COMPUTED_VALUE"""),1)</f>
        <v>1</v>
      </c>
      <c r="M157" s="10" t="str">
        <f ca="1">IFERROR(__xludf.DUMMYFUNCTION("""COMPUTED_VALUE"""),"19/2024")</f>
        <v>19/2024</v>
      </c>
      <c r="N157" s="10" t="str">
        <f ca="1">IFERROR(__xludf.DUMMYFUNCTION("""COMPUTED_VALUE"""),"FIGEM")</f>
        <v>FIGEM</v>
      </c>
      <c r="O157" s="59"/>
      <c r="P157" s="1"/>
      <c r="Q157" s="1"/>
      <c r="R157" s="1"/>
      <c r="S157" s="1"/>
      <c r="T157" s="1"/>
      <c r="U157" s="1"/>
      <c r="V157" s="1"/>
      <c r="W157" s="1"/>
      <c r="X157" s="1"/>
      <c r="Y157" s="1"/>
      <c r="Z157" s="1"/>
      <c r="AA157" s="1"/>
    </row>
    <row r="158" spans="1:27" ht="12.75" customHeight="1">
      <c r="A158" s="1"/>
      <c r="B158" s="10" t="str">
        <f ca="1">IFERROR(__xludf.DUMMYFUNCTION("""COMPUTED_VALUE"""),"Fondo de Incentivo al Mejoramiento de la Gestión Municipal 2024")</f>
        <v>Fondo de Incentivo al Mejoramiento de la Gestión Municipal 2024</v>
      </c>
      <c r="C158" s="10" t="str">
        <f ca="1">IFERROR(__xludf.DUMMYFUNCTION("""COMPUTED_VALUE"""),"FIGEM-2024-03")</f>
        <v>FIGEM-2024-03</v>
      </c>
      <c r="D158" s="26" t="str">
        <f t="shared" ca="1" si="0"/>
        <v xml:space="preserve"> HUECHURABA</v>
      </c>
      <c r="E158" s="10" t="str">
        <f ca="1">IFERROR(__xludf.DUMMYFUNCTION("""COMPUTED_VALUE"""),"Resolución de Transferencia")</f>
        <v>Resolución de Transferencia</v>
      </c>
      <c r="F158" s="10" t="str">
        <f ca="1">IFERROR(__xludf.DUMMYFUNCTION("""COMPUTED_VALUE"""),"MUNICIPALIDAD DE HUECHURABA")</f>
        <v>MUNICIPALIDAD DE HUECHURABA</v>
      </c>
      <c r="G158" s="71">
        <f ca="1">IFERROR(__xludf.DUMMYFUNCTION("""COMPUTED_VALUE"""),74893479)</f>
        <v>74893479</v>
      </c>
      <c r="H158" s="10" t="str">
        <f ca="1">IFERROR(__xludf.DUMMYFUNCTION("""COMPUTED_VALUE"""),"Resolución")</f>
        <v>Resolución</v>
      </c>
      <c r="I158" s="10" t="str">
        <f ca="1">IFERROR(__xludf.DUMMYFUNCTION("""COMPUTED_VALUE"""),"FONDO DE INCENTIVO AL MEJORAMIENTO DE LA GESTIÓN MUNICIPAL")</f>
        <v>FONDO DE INCENTIVO AL MEJORAMIENTO DE LA GESTIÓN MUNICIPAL</v>
      </c>
      <c r="J158" s="10" t="str">
        <f ca="1">IFERROR(__xludf.DUMMYFUNCTION("""COMPUTED_VALUE"""),"Cumplir con normativa y reglamentos internos del programa en base a los objetivos.")</f>
        <v>Cumplir con normativa y reglamentos internos del programa en base a los objetivos.</v>
      </c>
      <c r="K158" s="71">
        <f ca="1">IFERROR(__xludf.DUMMYFUNCTION("""COMPUTED_VALUE"""),74893479)</f>
        <v>74893479</v>
      </c>
      <c r="L158" s="27">
        <f ca="1">IFERROR(__xludf.DUMMYFUNCTION("""COMPUTED_VALUE"""),1)</f>
        <v>1</v>
      </c>
      <c r="M158" s="10" t="str">
        <f ca="1">IFERROR(__xludf.DUMMYFUNCTION("""COMPUTED_VALUE"""),"19/2024")</f>
        <v>19/2024</v>
      </c>
      <c r="N158" s="10" t="str">
        <f ca="1">IFERROR(__xludf.DUMMYFUNCTION("""COMPUTED_VALUE"""),"FIGEM")</f>
        <v>FIGEM</v>
      </c>
      <c r="O158" s="59"/>
      <c r="P158" s="1"/>
      <c r="Q158" s="1"/>
      <c r="R158" s="1"/>
      <c r="S158" s="1"/>
      <c r="T158" s="1"/>
      <c r="U158" s="1"/>
      <c r="V158" s="1"/>
      <c r="W158" s="1"/>
      <c r="X158" s="1"/>
      <c r="Y158" s="1"/>
      <c r="Z158" s="1"/>
      <c r="AA158" s="1"/>
    </row>
    <row r="159" spans="1:27" ht="12.75" customHeight="1">
      <c r="A159" s="1"/>
      <c r="B159" s="10" t="str">
        <f ca="1">IFERROR(__xludf.DUMMYFUNCTION("""COMPUTED_VALUE"""),"Fondo de Incentivo al Mejoramiento de la Gestión Municipal 2024")</f>
        <v>Fondo de Incentivo al Mejoramiento de la Gestión Municipal 2024</v>
      </c>
      <c r="C159" s="10" t="str">
        <f ca="1">IFERROR(__xludf.DUMMYFUNCTION("""COMPUTED_VALUE"""),"FIGEM-2024-12")</f>
        <v>FIGEM-2024-12</v>
      </c>
      <c r="D159" s="26" t="str">
        <f t="shared" ca="1" si="0"/>
        <v xml:space="preserve"> LA GRANJA</v>
      </c>
      <c r="E159" s="10" t="str">
        <f ca="1">IFERROR(__xludf.DUMMYFUNCTION("""COMPUTED_VALUE"""),"Resolución de Transferencia")</f>
        <v>Resolución de Transferencia</v>
      </c>
      <c r="F159" s="10" t="str">
        <f ca="1">IFERROR(__xludf.DUMMYFUNCTION("""COMPUTED_VALUE"""),"MUNICIPALIDAD DE LA GRANJA")</f>
        <v>MUNICIPALIDAD DE LA GRANJA</v>
      </c>
      <c r="G159" s="71">
        <f ca="1">IFERROR(__xludf.DUMMYFUNCTION("""COMPUTED_VALUE"""),70415344)</f>
        <v>70415344</v>
      </c>
      <c r="H159" s="10" t="str">
        <f ca="1">IFERROR(__xludf.DUMMYFUNCTION("""COMPUTED_VALUE"""),"Resolución")</f>
        <v>Resolución</v>
      </c>
      <c r="I159" s="10" t="str">
        <f ca="1">IFERROR(__xludf.DUMMYFUNCTION("""COMPUTED_VALUE"""),"FONDO DE INCENTIVO AL MEJORAMIENTO DE LA GESTIÓN MUNICIPAL")</f>
        <v>FONDO DE INCENTIVO AL MEJORAMIENTO DE LA GESTIÓN MUNICIPAL</v>
      </c>
      <c r="J159" s="10" t="str">
        <f ca="1">IFERROR(__xludf.DUMMYFUNCTION("""COMPUTED_VALUE"""),"Cumplir con normativa y reglamentos internos del programa en base a los objetivos.")</f>
        <v>Cumplir con normativa y reglamentos internos del programa en base a los objetivos.</v>
      </c>
      <c r="K159" s="71">
        <f ca="1">IFERROR(__xludf.DUMMYFUNCTION("""COMPUTED_VALUE"""),70415344)</f>
        <v>70415344</v>
      </c>
      <c r="L159" s="27">
        <f ca="1">IFERROR(__xludf.DUMMYFUNCTION("""COMPUTED_VALUE"""),1)</f>
        <v>1</v>
      </c>
      <c r="M159" s="10" t="str">
        <f ca="1">IFERROR(__xludf.DUMMYFUNCTION("""COMPUTED_VALUE"""),"19/2024")</f>
        <v>19/2024</v>
      </c>
      <c r="N159" s="10" t="str">
        <f ca="1">IFERROR(__xludf.DUMMYFUNCTION("""COMPUTED_VALUE"""),"FIGEM")</f>
        <v>FIGEM</v>
      </c>
      <c r="O159" s="59"/>
      <c r="P159" s="1"/>
      <c r="Q159" s="1"/>
      <c r="R159" s="1"/>
      <c r="S159" s="1"/>
      <c r="T159" s="1"/>
      <c r="U159" s="1"/>
      <c r="V159" s="1"/>
      <c r="W159" s="1"/>
      <c r="X159" s="1"/>
      <c r="Y159" s="1"/>
      <c r="Z159" s="1"/>
      <c r="AA159" s="1"/>
    </row>
    <row r="160" spans="1:27" ht="12.75" customHeight="1">
      <c r="A160" s="1"/>
      <c r="B160" s="10" t="str">
        <f ca="1">IFERROR(__xludf.DUMMYFUNCTION("""COMPUTED_VALUE"""),"Fondo de Incentivo al Mejoramiento de la Gestión Municipal 2024")</f>
        <v>Fondo de Incentivo al Mejoramiento de la Gestión Municipal 2024</v>
      </c>
      <c r="C160" s="10" t="str">
        <f ca="1">IFERROR(__xludf.DUMMYFUNCTION("""COMPUTED_VALUE"""),"FIGEM-2024-01")</f>
        <v>FIGEM-2024-01</v>
      </c>
      <c r="D160" s="26" t="str">
        <f t="shared" ca="1" si="0"/>
        <v xml:space="preserve"> LAS CONDES</v>
      </c>
      <c r="E160" s="10" t="str">
        <f ca="1">IFERROR(__xludf.DUMMYFUNCTION("""COMPUTED_VALUE"""),"Resolución de Transferencia")</f>
        <v>Resolución de Transferencia</v>
      </c>
      <c r="F160" s="10" t="str">
        <f ca="1">IFERROR(__xludf.DUMMYFUNCTION("""COMPUTED_VALUE"""),"MUNICIPALIDAD DE LAS CONDES")</f>
        <v>MUNICIPALIDAD DE LAS CONDES</v>
      </c>
      <c r="G160" s="71">
        <f ca="1">IFERROR(__xludf.DUMMYFUNCTION("""COMPUTED_VALUE"""),79467751)</f>
        <v>79467751</v>
      </c>
      <c r="H160" s="10" t="str">
        <f ca="1">IFERROR(__xludf.DUMMYFUNCTION("""COMPUTED_VALUE"""),"Resolución")</f>
        <v>Resolución</v>
      </c>
      <c r="I160" s="10" t="str">
        <f ca="1">IFERROR(__xludf.DUMMYFUNCTION("""COMPUTED_VALUE"""),"FONDO DE INCENTIVO AL MEJORAMIENTO DE LA GESTIÓN MUNICIPAL")</f>
        <v>FONDO DE INCENTIVO AL MEJORAMIENTO DE LA GESTIÓN MUNICIPAL</v>
      </c>
      <c r="J160" s="10" t="str">
        <f ca="1">IFERROR(__xludf.DUMMYFUNCTION("""COMPUTED_VALUE"""),"Cumplir con normativa y reglamentos internos del programa en base a los objetivos.")</f>
        <v>Cumplir con normativa y reglamentos internos del programa en base a los objetivos.</v>
      </c>
      <c r="K160" s="71">
        <f ca="1">IFERROR(__xludf.DUMMYFUNCTION("""COMPUTED_VALUE"""),79467751)</f>
        <v>79467751</v>
      </c>
      <c r="L160" s="27">
        <f ca="1">IFERROR(__xludf.DUMMYFUNCTION("""COMPUTED_VALUE"""),1)</f>
        <v>1</v>
      </c>
      <c r="M160" s="10" t="str">
        <f ca="1">IFERROR(__xludf.DUMMYFUNCTION("""COMPUTED_VALUE"""),"19/2024")</f>
        <v>19/2024</v>
      </c>
      <c r="N160" s="10" t="str">
        <f ca="1">IFERROR(__xludf.DUMMYFUNCTION("""COMPUTED_VALUE"""),"FIGEM")</f>
        <v>FIGEM</v>
      </c>
      <c r="O160" s="59"/>
      <c r="P160" s="1"/>
      <c r="Q160" s="1"/>
      <c r="R160" s="1"/>
      <c r="S160" s="1"/>
      <c r="T160" s="1"/>
      <c r="U160" s="1"/>
      <c r="V160" s="1"/>
      <c r="W160" s="1"/>
      <c r="X160" s="1"/>
      <c r="Y160" s="1"/>
      <c r="Z160" s="1"/>
      <c r="AA160" s="1"/>
    </row>
    <row r="161" spans="1:27" ht="12.75" customHeight="1">
      <c r="A161" s="1"/>
      <c r="B161" s="10" t="str">
        <f ca="1">IFERROR(__xludf.DUMMYFUNCTION("""COMPUTED_VALUE"""),"Fondo de Incentivo al Mejoramiento de la Gestión Municipal 2024")</f>
        <v>Fondo de Incentivo al Mejoramiento de la Gestión Municipal 2024</v>
      </c>
      <c r="C161" s="10" t="str">
        <f ca="1">IFERROR(__xludf.DUMMYFUNCTION("""COMPUTED_VALUE"""),"FIGEM-2024-08")</f>
        <v>FIGEM-2024-08</v>
      </c>
      <c r="D161" s="26" t="str">
        <f t="shared" ca="1" si="0"/>
        <v xml:space="preserve"> LO BARNECHEA</v>
      </c>
      <c r="E161" s="10" t="str">
        <f ca="1">IFERROR(__xludf.DUMMYFUNCTION("""COMPUTED_VALUE"""),"Resolución de Transferencia")</f>
        <v>Resolución de Transferencia</v>
      </c>
      <c r="F161" s="10" t="str">
        <f ca="1">IFERROR(__xludf.DUMMYFUNCTION("""COMPUTED_VALUE"""),"MUNICIPALIDAD DE LO BARNECHEA")</f>
        <v>MUNICIPALIDAD DE LO BARNECHEA</v>
      </c>
      <c r="G161" s="71">
        <f ca="1">IFERROR(__xludf.DUMMYFUNCTION("""COMPUTED_VALUE"""),72281567)</f>
        <v>72281567</v>
      </c>
      <c r="H161" s="10" t="str">
        <f ca="1">IFERROR(__xludf.DUMMYFUNCTION("""COMPUTED_VALUE"""),"Resolución")</f>
        <v>Resolución</v>
      </c>
      <c r="I161" s="10" t="str">
        <f ca="1">IFERROR(__xludf.DUMMYFUNCTION("""COMPUTED_VALUE"""),"FONDO DE INCENTIVO AL MEJORAMIENTO DE LA GESTIÓN MUNICIPAL")</f>
        <v>FONDO DE INCENTIVO AL MEJORAMIENTO DE LA GESTIÓN MUNICIPAL</v>
      </c>
      <c r="J161" s="10" t="str">
        <f ca="1">IFERROR(__xludf.DUMMYFUNCTION("""COMPUTED_VALUE"""),"Cumplir con normativa y reglamentos internos del programa en base a los objetivos.")</f>
        <v>Cumplir con normativa y reglamentos internos del programa en base a los objetivos.</v>
      </c>
      <c r="K161" s="71">
        <f ca="1">IFERROR(__xludf.DUMMYFUNCTION("""COMPUTED_VALUE"""),72281567)</f>
        <v>72281567</v>
      </c>
      <c r="L161" s="27">
        <f ca="1">IFERROR(__xludf.DUMMYFUNCTION("""COMPUTED_VALUE"""),1)</f>
        <v>1</v>
      </c>
      <c r="M161" s="10" t="str">
        <f ca="1">IFERROR(__xludf.DUMMYFUNCTION("""COMPUTED_VALUE"""),"19/2024")</f>
        <v>19/2024</v>
      </c>
      <c r="N161" s="10" t="str">
        <f ca="1">IFERROR(__xludf.DUMMYFUNCTION("""COMPUTED_VALUE"""),"FIGEM")</f>
        <v>FIGEM</v>
      </c>
      <c r="O161" s="59"/>
      <c r="P161" s="1"/>
      <c r="Q161" s="1"/>
      <c r="R161" s="1"/>
      <c r="S161" s="1"/>
      <c r="T161" s="1"/>
      <c r="U161" s="1"/>
      <c r="V161" s="1"/>
      <c r="W161" s="1"/>
      <c r="X161" s="1"/>
      <c r="Y161" s="1"/>
      <c r="Z161" s="1"/>
      <c r="AA161" s="1"/>
    </row>
    <row r="162" spans="1:27" ht="12.75" customHeight="1">
      <c r="A162" s="1"/>
      <c r="B162" s="10" t="str">
        <f ca="1">IFERROR(__xludf.DUMMYFUNCTION("""COMPUTED_VALUE"""),"Fondo de Incentivo al Mejoramiento de la Gestión Municipal 2024")</f>
        <v>Fondo de Incentivo al Mejoramiento de la Gestión Municipal 2024</v>
      </c>
      <c r="C162" s="10" t="str">
        <f ca="1">IFERROR(__xludf.DUMMYFUNCTION("""COMPUTED_VALUE"""),"FIGEM-2024-18")</f>
        <v>FIGEM-2024-18</v>
      </c>
      <c r="D162" s="26" t="str">
        <f t="shared" ca="1" si="0"/>
        <v xml:space="preserve"> MACUL</v>
      </c>
      <c r="E162" s="10" t="str">
        <f ca="1">IFERROR(__xludf.DUMMYFUNCTION("""COMPUTED_VALUE"""),"Resolución de Transferencia")</f>
        <v>Resolución de Transferencia</v>
      </c>
      <c r="F162" s="10" t="str">
        <f ca="1">IFERROR(__xludf.DUMMYFUNCTION("""COMPUTED_VALUE"""),"MUNICIPALIDAD DE MACUL")</f>
        <v>MUNICIPALIDAD DE MACUL</v>
      </c>
      <c r="G162" s="71">
        <f ca="1">IFERROR(__xludf.DUMMYFUNCTION("""COMPUTED_VALUE"""),68483136)</f>
        <v>68483136</v>
      </c>
      <c r="H162" s="10" t="str">
        <f ca="1">IFERROR(__xludf.DUMMYFUNCTION("""COMPUTED_VALUE"""),"Resolución")</f>
        <v>Resolución</v>
      </c>
      <c r="I162" s="10" t="str">
        <f ca="1">IFERROR(__xludf.DUMMYFUNCTION("""COMPUTED_VALUE"""),"FONDO DE INCENTIVO AL MEJORAMIENTO DE LA GESTIÓN MUNICIPAL")</f>
        <v>FONDO DE INCENTIVO AL MEJORAMIENTO DE LA GESTIÓN MUNICIPAL</v>
      </c>
      <c r="J162" s="10" t="str">
        <f ca="1">IFERROR(__xludf.DUMMYFUNCTION("""COMPUTED_VALUE"""),"Cumplir con normativa y reglamentos internos del programa en base a los objetivos.")</f>
        <v>Cumplir con normativa y reglamentos internos del programa en base a los objetivos.</v>
      </c>
      <c r="K162" s="71">
        <f ca="1">IFERROR(__xludf.DUMMYFUNCTION("""COMPUTED_VALUE"""),68483136)</f>
        <v>68483136</v>
      </c>
      <c r="L162" s="27">
        <f ca="1">IFERROR(__xludf.DUMMYFUNCTION("""COMPUTED_VALUE"""),1)</f>
        <v>1</v>
      </c>
      <c r="M162" s="10" t="str">
        <f ca="1">IFERROR(__xludf.DUMMYFUNCTION("""COMPUTED_VALUE"""),"19/2024")</f>
        <v>19/2024</v>
      </c>
      <c r="N162" s="10" t="str">
        <f ca="1">IFERROR(__xludf.DUMMYFUNCTION("""COMPUTED_VALUE"""),"FIGEM")</f>
        <v>FIGEM</v>
      </c>
      <c r="O162" s="59"/>
      <c r="P162" s="1"/>
      <c r="Q162" s="1"/>
      <c r="R162" s="1"/>
      <c r="S162" s="1"/>
      <c r="T162" s="1"/>
      <c r="U162" s="1"/>
      <c r="V162" s="1"/>
      <c r="W162" s="1"/>
      <c r="X162" s="1"/>
      <c r="Y162" s="1"/>
      <c r="Z162" s="1"/>
      <c r="AA162" s="1"/>
    </row>
    <row r="163" spans="1:27" ht="12.75" customHeight="1">
      <c r="A163" s="1"/>
      <c r="B163" s="10" t="str">
        <f ca="1">IFERROR(__xludf.DUMMYFUNCTION("""COMPUTED_VALUE"""),"Fondo de Incentivo al Mejoramiento de la Gestión Municipal 2024")</f>
        <v>Fondo de Incentivo al Mejoramiento de la Gestión Municipal 2024</v>
      </c>
      <c r="C163" s="10" t="str">
        <f ca="1">IFERROR(__xludf.DUMMYFUNCTION("""COMPUTED_VALUE"""),"FIGEM-2024-13")</f>
        <v>FIGEM-2024-13</v>
      </c>
      <c r="D163" s="26" t="str">
        <f t="shared" ca="1" si="0"/>
        <v xml:space="preserve"> MAIPÚ</v>
      </c>
      <c r="E163" s="10" t="str">
        <f ca="1">IFERROR(__xludf.DUMMYFUNCTION("""COMPUTED_VALUE"""),"Resolución de Transferencia")</f>
        <v>Resolución de Transferencia</v>
      </c>
      <c r="F163" s="10" t="str">
        <f ca="1">IFERROR(__xludf.DUMMYFUNCTION("""COMPUTED_VALUE"""),"MUNICIPALIDAD DE MAIPÚ")</f>
        <v>MUNICIPALIDAD DE MAIPÚ</v>
      </c>
      <c r="G163" s="71">
        <f ca="1">IFERROR(__xludf.DUMMYFUNCTION("""COMPUTED_VALUE"""),70166093)</f>
        <v>70166093</v>
      </c>
      <c r="H163" s="10" t="str">
        <f ca="1">IFERROR(__xludf.DUMMYFUNCTION("""COMPUTED_VALUE"""),"Resolución")</f>
        <v>Resolución</v>
      </c>
      <c r="I163" s="10" t="str">
        <f ca="1">IFERROR(__xludf.DUMMYFUNCTION("""COMPUTED_VALUE"""),"FONDO DE INCENTIVO AL MEJORAMIENTO DE LA GESTIÓN MUNICIPAL")</f>
        <v>FONDO DE INCENTIVO AL MEJORAMIENTO DE LA GESTIÓN MUNICIPAL</v>
      </c>
      <c r="J163" s="10" t="str">
        <f ca="1">IFERROR(__xludf.DUMMYFUNCTION("""COMPUTED_VALUE"""),"Cumplir con normativa y reglamentos internos del programa en base a los objetivos.")</f>
        <v>Cumplir con normativa y reglamentos internos del programa en base a los objetivos.</v>
      </c>
      <c r="K163" s="71">
        <f ca="1">IFERROR(__xludf.DUMMYFUNCTION("""COMPUTED_VALUE"""),70166093)</f>
        <v>70166093</v>
      </c>
      <c r="L163" s="27">
        <f ca="1">IFERROR(__xludf.DUMMYFUNCTION("""COMPUTED_VALUE"""),1)</f>
        <v>1</v>
      </c>
      <c r="M163" s="10" t="str">
        <f ca="1">IFERROR(__xludf.DUMMYFUNCTION("""COMPUTED_VALUE"""),"19/2024")</f>
        <v>19/2024</v>
      </c>
      <c r="N163" s="10" t="str">
        <f ca="1">IFERROR(__xludf.DUMMYFUNCTION("""COMPUTED_VALUE"""),"FIGEM")</f>
        <v>FIGEM</v>
      </c>
      <c r="O163" s="59"/>
      <c r="P163" s="1"/>
      <c r="Q163" s="1"/>
      <c r="R163" s="1"/>
      <c r="S163" s="1"/>
      <c r="T163" s="1"/>
      <c r="U163" s="1"/>
      <c r="V163" s="1"/>
      <c r="W163" s="1"/>
      <c r="X163" s="1"/>
      <c r="Y163" s="1"/>
      <c r="Z163" s="1"/>
      <c r="AA163" s="1"/>
    </row>
    <row r="164" spans="1:27" ht="12.75" customHeight="1">
      <c r="A164" s="1"/>
      <c r="B164" s="10" t="str">
        <f ca="1">IFERROR(__xludf.DUMMYFUNCTION("""COMPUTED_VALUE"""),"Fondo de Incentivo al Mejoramiento de la Gestión Municipal 2024")</f>
        <v>Fondo de Incentivo al Mejoramiento de la Gestión Municipal 2024</v>
      </c>
      <c r="C164" s="10" t="str">
        <f ca="1">IFERROR(__xludf.DUMMYFUNCTION("""COMPUTED_VALUE"""),"FIGEM-2024-22")</f>
        <v>FIGEM-2024-22</v>
      </c>
      <c r="D164" s="26" t="str">
        <f t="shared" ca="1" si="0"/>
        <v xml:space="preserve"> ÑUÑOA</v>
      </c>
      <c r="E164" s="10" t="str">
        <f ca="1">IFERROR(__xludf.DUMMYFUNCTION("""COMPUTED_VALUE"""),"Resolución de Transferencia")</f>
        <v>Resolución de Transferencia</v>
      </c>
      <c r="F164" s="10" t="str">
        <f ca="1">IFERROR(__xludf.DUMMYFUNCTION("""COMPUTED_VALUE"""),"MUNICIPALIDAD DE ÑUÑOA")</f>
        <v>MUNICIPALIDAD DE ÑUÑOA</v>
      </c>
      <c r="G164" s="71">
        <f ca="1">IFERROR(__xludf.DUMMYFUNCTION("""COMPUTED_VALUE"""),68096274)</f>
        <v>68096274</v>
      </c>
      <c r="H164" s="10" t="str">
        <f ca="1">IFERROR(__xludf.DUMMYFUNCTION("""COMPUTED_VALUE"""),"Resolución")</f>
        <v>Resolución</v>
      </c>
      <c r="I164" s="10" t="str">
        <f ca="1">IFERROR(__xludf.DUMMYFUNCTION("""COMPUTED_VALUE"""),"FONDO DE INCENTIVO AL MEJORAMIENTO DE LA GESTIÓN MUNICIPAL")</f>
        <v>FONDO DE INCENTIVO AL MEJORAMIENTO DE LA GESTIÓN MUNICIPAL</v>
      </c>
      <c r="J164" s="10" t="str">
        <f ca="1">IFERROR(__xludf.DUMMYFUNCTION("""COMPUTED_VALUE"""),"Cumplir con normativa y reglamentos internos del programa en base a los objetivos.")</f>
        <v>Cumplir con normativa y reglamentos internos del programa en base a los objetivos.</v>
      </c>
      <c r="K164" s="71">
        <f ca="1">IFERROR(__xludf.DUMMYFUNCTION("""COMPUTED_VALUE"""),68096274)</f>
        <v>68096274</v>
      </c>
      <c r="L164" s="27">
        <f ca="1">IFERROR(__xludf.DUMMYFUNCTION("""COMPUTED_VALUE"""),1)</f>
        <v>1</v>
      </c>
      <c r="M164" s="10" t="str">
        <f ca="1">IFERROR(__xludf.DUMMYFUNCTION("""COMPUTED_VALUE"""),"19/2024")</f>
        <v>19/2024</v>
      </c>
      <c r="N164" s="10" t="str">
        <f ca="1">IFERROR(__xludf.DUMMYFUNCTION("""COMPUTED_VALUE"""),"FIGEM")</f>
        <v>FIGEM</v>
      </c>
      <c r="O164" s="59"/>
      <c r="P164" s="1"/>
      <c r="Q164" s="1"/>
      <c r="R164" s="1"/>
      <c r="S164" s="1"/>
      <c r="T164" s="1"/>
      <c r="U164" s="1"/>
      <c r="V164" s="1"/>
      <c r="W164" s="1"/>
      <c r="X164" s="1"/>
      <c r="Y164" s="1"/>
      <c r="Z164" s="1"/>
      <c r="AA164" s="1"/>
    </row>
    <row r="165" spans="1:27" ht="12.75" customHeight="1">
      <c r="A165" s="1"/>
      <c r="B165" s="10" t="str">
        <f ca="1">IFERROR(__xludf.DUMMYFUNCTION("""COMPUTED_VALUE"""),"Fondo de Incentivo al Mejoramiento de la Gestión Municipal 2024")</f>
        <v>Fondo de Incentivo al Mejoramiento de la Gestión Municipal 2024</v>
      </c>
      <c r="C165" s="10" t="str">
        <f ca="1">IFERROR(__xludf.DUMMYFUNCTION("""COMPUTED_VALUE"""),"FIGEM-2024-05")</f>
        <v>FIGEM-2024-05</v>
      </c>
      <c r="D165" s="26" t="str">
        <f t="shared" ca="1" si="0"/>
        <v xml:space="preserve"> PEÑALOLÉN</v>
      </c>
      <c r="E165" s="10" t="str">
        <f ca="1">IFERROR(__xludf.DUMMYFUNCTION("""COMPUTED_VALUE"""),"Resolución de Transferencia")</f>
        <v>Resolución de Transferencia</v>
      </c>
      <c r="F165" s="10" t="str">
        <f ca="1">IFERROR(__xludf.DUMMYFUNCTION("""COMPUTED_VALUE"""),"MUNICIPALIDAD DE PEÑALOLÉN")</f>
        <v>MUNICIPALIDAD DE PEÑALOLÉN</v>
      </c>
      <c r="G165" s="71">
        <f ca="1">IFERROR(__xludf.DUMMYFUNCTION("""COMPUTED_VALUE"""),73869240)</f>
        <v>73869240</v>
      </c>
      <c r="H165" s="10" t="str">
        <f ca="1">IFERROR(__xludf.DUMMYFUNCTION("""COMPUTED_VALUE"""),"Resolución")</f>
        <v>Resolución</v>
      </c>
      <c r="I165" s="10" t="str">
        <f ca="1">IFERROR(__xludf.DUMMYFUNCTION("""COMPUTED_VALUE"""),"FONDO DE INCENTIVO AL MEJORAMIENTO DE LA GESTIÓN MUNICIPAL")</f>
        <v>FONDO DE INCENTIVO AL MEJORAMIENTO DE LA GESTIÓN MUNICIPAL</v>
      </c>
      <c r="J165" s="10" t="str">
        <f ca="1">IFERROR(__xludf.DUMMYFUNCTION("""COMPUTED_VALUE"""),"Cumplir con normativa y reglamentos internos del programa en base a los objetivos.")</f>
        <v>Cumplir con normativa y reglamentos internos del programa en base a los objetivos.</v>
      </c>
      <c r="K165" s="71">
        <f ca="1">IFERROR(__xludf.DUMMYFUNCTION("""COMPUTED_VALUE"""),73869240)</f>
        <v>73869240</v>
      </c>
      <c r="L165" s="27">
        <f ca="1">IFERROR(__xludf.DUMMYFUNCTION("""COMPUTED_VALUE"""),1)</f>
        <v>1</v>
      </c>
      <c r="M165" s="10" t="str">
        <f ca="1">IFERROR(__xludf.DUMMYFUNCTION("""COMPUTED_VALUE"""),"19/2024")</f>
        <v>19/2024</v>
      </c>
      <c r="N165" s="10" t="str">
        <f ca="1">IFERROR(__xludf.DUMMYFUNCTION("""COMPUTED_VALUE"""),"FIGEM")</f>
        <v>FIGEM</v>
      </c>
      <c r="O165" s="59"/>
      <c r="P165" s="1"/>
      <c r="Q165" s="1"/>
      <c r="R165" s="1"/>
      <c r="S165" s="1"/>
      <c r="T165" s="1"/>
      <c r="U165" s="1"/>
      <c r="V165" s="1"/>
      <c r="W165" s="1"/>
      <c r="X165" s="1"/>
      <c r="Y165" s="1"/>
      <c r="Z165" s="1"/>
      <c r="AA165" s="1"/>
    </row>
    <row r="166" spans="1:27" ht="12.75" customHeight="1">
      <c r="A166" s="1"/>
      <c r="B166" s="10" t="str">
        <f ca="1">IFERROR(__xludf.DUMMYFUNCTION("""COMPUTED_VALUE"""),"Fondo de Incentivo al Mejoramiento de la Gestión Municipal 2024")</f>
        <v>Fondo de Incentivo al Mejoramiento de la Gestión Municipal 2024</v>
      </c>
      <c r="C166" s="10" t="str">
        <f ca="1">IFERROR(__xludf.DUMMYFUNCTION("""COMPUTED_VALUE"""),"FIGEM-2024-20")</f>
        <v>FIGEM-2024-20</v>
      </c>
      <c r="D166" s="26" t="str">
        <f t="shared" ca="1" si="0"/>
        <v xml:space="preserve"> PROVIDENCIA</v>
      </c>
      <c r="E166" s="10" t="str">
        <f ca="1">IFERROR(__xludf.DUMMYFUNCTION("""COMPUTED_VALUE"""),"Resolución de Transferencia")</f>
        <v>Resolución de Transferencia</v>
      </c>
      <c r="F166" s="10" t="str">
        <f ca="1">IFERROR(__xludf.DUMMYFUNCTION("""COMPUTED_VALUE"""),"MUNICIPALIDAD DE PROVIDENCIA")</f>
        <v>MUNICIPALIDAD DE PROVIDENCIA</v>
      </c>
      <c r="G166" s="71">
        <f ca="1">IFERROR(__xludf.DUMMYFUNCTION("""COMPUTED_VALUE"""),68186672)</f>
        <v>68186672</v>
      </c>
      <c r="H166" s="10" t="str">
        <f ca="1">IFERROR(__xludf.DUMMYFUNCTION("""COMPUTED_VALUE"""),"Resolución")</f>
        <v>Resolución</v>
      </c>
      <c r="I166" s="10" t="str">
        <f ca="1">IFERROR(__xludf.DUMMYFUNCTION("""COMPUTED_VALUE"""),"FONDO DE INCENTIVO AL MEJORAMIENTO DE LA GESTIÓN MUNICIPAL")</f>
        <v>FONDO DE INCENTIVO AL MEJORAMIENTO DE LA GESTIÓN MUNICIPAL</v>
      </c>
      <c r="J166" s="10" t="str">
        <f ca="1">IFERROR(__xludf.DUMMYFUNCTION("""COMPUTED_VALUE"""),"Cumplir con normativa y reglamentos internos del programa en base a los objetivos.")</f>
        <v>Cumplir con normativa y reglamentos internos del programa en base a los objetivos.</v>
      </c>
      <c r="K166" s="71">
        <f ca="1">IFERROR(__xludf.DUMMYFUNCTION("""COMPUTED_VALUE"""),68186672)</f>
        <v>68186672</v>
      </c>
      <c r="L166" s="27">
        <f ca="1">IFERROR(__xludf.DUMMYFUNCTION("""COMPUTED_VALUE"""),1)</f>
        <v>1</v>
      </c>
      <c r="M166" s="10" t="str">
        <f ca="1">IFERROR(__xludf.DUMMYFUNCTION("""COMPUTED_VALUE"""),"19/2024")</f>
        <v>19/2024</v>
      </c>
      <c r="N166" s="10" t="str">
        <f ca="1">IFERROR(__xludf.DUMMYFUNCTION("""COMPUTED_VALUE"""),"FIGEM")</f>
        <v>FIGEM</v>
      </c>
      <c r="O166" s="59"/>
      <c r="P166" s="1"/>
      <c r="Q166" s="1"/>
      <c r="R166" s="1"/>
      <c r="S166" s="1"/>
      <c r="T166" s="1"/>
      <c r="U166" s="1"/>
      <c r="V166" s="1"/>
      <c r="W166" s="1"/>
      <c r="X166" s="1"/>
      <c r="Y166" s="1"/>
      <c r="Z166" s="1"/>
      <c r="AA166" s="1"/>
    </row>
    <row r="167" spans="1:27" ht="12.75" customHeight="1">
      <c r="A167" s="1"/>
      <c r="B167" s="10" t="str">
        <f ca="1">IFERROR(__xludf.DUMMYFUNCTION("""COMPUTED_VALUE"""),"Fondo de Incentivo al Mejoramiento de la Gestión Municipal 2024")</f>
        <v>Fondo de Incentivo al Mejoramiento de la Gestión Municipal 2024</v>
      </c>
      <c r="C167" s="10" t="str">
        <f ca="1">IFERROR(__xludf.DUMMYFUNCTION("""COMPUTED_VALUE"""),"FIGEM-2024-24")</f>
        <v>FIGEM-2024-24</v>
      </c>
      <c r="D167" s="26" t="str">
        <f t="shared" ca="1" si="0"/>
        <v xml:space="preserve"> PUDAHUEL</v>
      </c>
      <c r="E167" s="10" t="str">
        <f ca="1">IFERROR(__xludf.DUMMYFUNCTION("""COMPUTED_VALUE"""),"Resolución de Transferencia")</f>
        <v>Resolución de Transferencia</v>
      </c>
      <c r="F167" s="10" t="str">
        <f ca="1">IFERROR(__xludf.DUMMYFUNCTION("""COMPUTED_VALUE"""),"MUNICIPALIDAD DE PUDAHUEL")</f>
        <v>MUNICIPALIDAD DE PUDAHUEL</v>
      </c>
      <c r="G167" s="71">
        <f ca="1">IFERROR(__xludf.DUMMYFUNCTION("""COMPUTED_VALUE"""),67511209)</f>
        <v>67511209</v>
      </c>
      <c r="H167" s="10" t="str">
        <f ca="1">IFERROR(__xludf.DUMMYFUNCTION("""COMPUTED_VALUE"""),"Resolución")</f>
        <v>Resolución</v>
      </c>
      <c r="I167" s="10" t="str">
        <f ca="1">IFERROR(__xludf.DUMMYFUNCTION("""COMPUTED_VALUE"""),"FONDO DE INCENTIVO AL MEJORAMIENTO DE LA GESTIÓN MUNICIPAL")</f>
        <v>FONDO DE INCENTIVO AL MEJORAMIENTO DE LA GESTIÓN MUNICIPAL</v>
      </c>
      <c r="J167" s="10" t="str">
        <f ca="1">IFERROR(__xludf.DUMMYFUNCTION("""COMPUTED_VALUE"""),"Cumplir con normativa y reglamentos internos del programa en base a los objetivos.")</f>
        <v>Cumplir con normativa y reglamentos internos del programa en base a los objetivos.</v>
      </c>
      <c r="K167" s="71">
        <f ca="1">IFERROR(__xludf.DUMMYFUNCTION("""COMPUTED_VALUE"""),67511209)</f>
        <v>67511209</v>
      </c>
      <c r="L167" s="27">
        <f ca="1">IFERROR(__xludf.DUMMYFUNCTION("""COMPUTED_VALUE"""),1)</f>
        <v>1</v>
      </c>
      <c r="M167" s="10" t="str">
        <f ca="1">IFERROR(__xludf.DUMMYFUNCTION("""COMPUTED_VALUE"""),"19/2024")</f>
        <v>19/2024</v>
      </c>
      <c r="N167" s="10" t="str">
        <f ca="1">IFERROR(__xludf.DUMMYFUNCTION("""COMPUTED_VALUE"""),"FIGEM")</f>
        <v>FIGEM</v>
      </c>
      <c r="O167" s="59"/>
      <c r="P167" s="1"/>
      <c r="Q167" s="1"/>
      <c r="R167" s="1"/>
      <c r="S167" s="1"/>
      <c r="T167" s="1"/>
      <c r="U167" s="1"/>
      <c r="V167" s="1"/>
      <c r="W167" s="1"/>
      <c r="X167" s="1"/>
      <c r="Y167" s="1"/>
      <c r="Z167" s="1"/>
      <c r="AA167" s="1"/>
    </row>
    <row r="168" spans="1:27" ht="12.75" customHeight="1">
      <c r="A168" s="1"/>
      <c r="B168" s="10" t="str">
        <f ca="1">IFERROR(__xludf.DUMMYFUNCTION("""COMPUTED_VALUE"""),"Fondo de Incentivo al Mejoramiento de la Gestión Municipal 2024")</f>
        <v>Fondo de Incentivo al Mejoramiento de la Gestión Municipal 2024</v>
      </c>
      <c r="C168" s="10" t="str">
        <f ca="1">IFERROR(__xludf.DUMMYFUNCTION("""COMPUTED_VALUE"""),"FIGEM-2024-04")</f>
        <v>FIGEM-2024-04</v>
      </c>
      <c r="D168" s="26" t="str">
        <f t="shared" ca="1" si="0"/>
        <v xml:space="preserve"> QUILICURA</v>
      </c>
      <c r="E168" s="10" t="str">
        <f ca="1">IFERROR(__xludf.DUMMYFUNCTION("""COMPUTED_VALUE"""),"Resolución de Transferencia")</f>
        <v>Resolución de Transferencia</v>
      </c>
      <c r="F168" s="10" t="str">
        <f ca="1">IFERROR(__xludf.DUMMYFUNCTION("""COMPUTED_VALUE"""),"MUNICIPALIDAD DE QUILICURA")</f>
        <v>MUNICIPALIDAD DE QUILICURA</v>
      </c>
      <c r="G168" s="71">
        <f ca="1">IFERROR(__xludf.DUMMYFUNCTION("""COMPUTED_VALUE"""),74753102)</f>
        <v>74753102</v>
      </c>
      <c r="H168" s="10" t="str">
        <f ca="1">IFERROR(__xludf.DUMMYFUNCTION("""COMPUTED_VALUE"""),"Resolución")</f>
        <v>Resolución</v>
      </c>
      <c r="I168" s="10" t="str">
        <f ca="1">IFERROR(__xludf.DUMMYFUNCTION("""COMPUTED_VALUE"""),"FONDO DE INCENTIVO AL MEJORAMIENTO DE LA GESTIÓN MUNICIPAL")</f>
        <v>FONDO DE INCENTIVO AL MEJORAMIENTO DE LA GESTIÓN MUNICIPAL</v>
      </c>
      <c r="J168" s="10" t="str">
        <f ca="1">IFERROR(__xludf.DUMMYFUNCTION("""COMPUTED_VALUE"""),"Cumplir con normativa y reglamentos internos del programa en base a los objetivos.")</f>
        <v>Cumplir con normativa y reglamentos internos del programa en base a los objetivos.</v>
      </c>
      <c r="K168" s="71">
        <f ca="1">IFERROR(__xludf.DUMMYFUNCTION("""COMPUTED_VALUE"""),74753102)</f>
        <v>74753102</v>
      </c>
      <c r="L168" s="27">
        <f ca="1">IFERROR(__xludf.DUMMYFUNCTION("""COMPUTED_VALUE"""),1)</f>
        <v>1</v>
      </c>
      <c r="M168" s="10" t="str">
        <f ca="1">IFERROR(__xludf.DUMMYFUNCTION("""COMPUTED_VALUE"""),"19/2024")</f>
        <v>19/2024</v>
      </c>
      <c r="N168" s="10" t="str">
        <f ca="1">IFERROR(__xludf.DUMMYFUNCTION("""COMPUTED_VALUE"""),"FIGEM")</f>
        <v>FIGEM</v>
      </c>
      <c r="O168" s="59"/>
      <c r="P168" s="1"/>
      <c r="Q168" s="1"/>
      <c r="R168" s="1"/>
      <c r="S168" s="1"/>
      <c r="T168" s="1"/>
      <c r="U168" s="1"/>
      <c r="V168" s="1"/>
      <c r="W168" s="1"/>
      <c r="X168" s="1"/>
      <c r="Y168" s="1"/>
      <c r="Z168" s="1"/>
      <c r="AA168" s="1"/>
    </row>
    <row r="169" spans="1:27" ht="12.75" customHeight="1">
      <c r="A169" s="1"/>
      <c r="B169" s="10" t="str">
        <f ca="1">IFERROR(__xludf.DUMMYFUNCTION("""COMPUTED_VALUE"""),"Fondo de Incentivo al Mejoramiento de la Gestión Municipal 2024")</f>
        <v>Fondo de Incentivo al Mejoramiento de la Gestión Municipal 2024</v>
      </c>
      <c r="C169" s="10" t="str">
        <f ca="1">IFERROR(__xludf.DUMMYFUNCTION("""COMPUTED_VALUE"""),"FIGEM-2024-11")</f>
        <v>FIGEM-2024-11</v>
      </c>
      <c r="D169" s="26" t="str">
        <f t="shared" ca="1" si="0"/>
        <v xml:space="preserve"> RECOLETA</v>
      </c>
      <c r="E169" s="10" t="str">
        <f ca="1">IFERROR(__xludf.DUMMYFUNCTION("""COMPUTED_VALUE"""),"Resolución de Transferencia")</f>
        <v>Resolución de Transferencia</v>
      </c>
      <c r="F169" s="10" t="str">
        <f ca="1">IFERROR(__xludf.DUMMYFUNCTION("""COMPUTED_VALUE"""),"MUNICIPALIDAD DE RECOLETA")</f>
        <v>MUNICIPALIDAD DE RECOLETA</v>
      </c>
      <c r="G169" s="71">
        <f ca="1">IFERROR(__xludf.DUMMYFUNCTION("""COMPUTED_VALUE"""),71356963)</f>
        <v>71356963</v>
      </c>
      <c r="H169" s="10" t="str">
        <f ca="1">IFERROR(__xludf.DUMMYFUNCTION("""COMPUTED_VALUE"""),"Resolución")</f>
        <v>Resolución</v>
      </c>
      <c r="I169" s="10" t="str">
        <f ca="1">IFERROR(__xludf.DUMMYFUNCTION("""COMPUTED_VALUE"""),"FONDO DE INCENTIVO AL MEJORAMIENTO DE LA GESTIÓN MUNICIPAL")</f>
        <v>FONDO DE INCENTIVO AL MEJORAMIENTO DE LA GESTIÓN MUNICIPAL</v>
      </c>
      <c r="J169" s="10" t="str">
        <f ca="1">IFERROR(__xludf.DUMMYFUNCTION("""COMPUTED_VALUE"""),"Cumplir con normativa y reglamentos internos del programa en base a los objetivos.")</f>
        <v>Cumplir con normativa y reglamentos internos del programa en base a los objetivos.</v>
      </c>
      <c r="K169" s="71">
        <f ca="1">IFERROR(__xludf.DUMMYFUNCTION("""COMPUTED_VALUE"""),71356963)</f>
        <v>71356963</v>
      </c>
      <c r="L169" s="27">
        <f ca="1">IFERROR(__xludf.DUMMYFUNCTION("""COMPUTED_VALUE"""),1)</f>
        <v>1</v>
      </c>
      <c r="M169" s="10" t="str">
        <f ca="1">IFERROR(__xludf.DUMMYFUNCTION("""COMPUTED_VALUE"""),"19/2024")</f>
        <v>19/2024</v>
      </c>
      <c r="N169" s="10" t="str">
        <f ca="1">IFERROR(__xludf.DUMMYFUNCTION("""COMPUTED_VALUE"""),"FIGEM")</f>
        <v>FIGEM</v>
      </c>
      <c r="O169" s="59"/>
      <c r="P169" s="1"/>
      <c r="Q169" s="1"/>
      <c r="R169" s="1"/>
      <c r="S169" s="1"/>
      <c r="T169" s="1"/>
      <c r="U169" s="1"/>
      <c r="V169" s="1"/>
      <c r="W169" s="1"/>
      <c r="X169" s="1"/>
      <c r="Y169" s="1"/>
      <c r="Z169" s="1"/>
      <c r="AA169" s="1"/>
    </row>
    <row r="170" spans="1:27" ht="12.75" customHeight="1">
      <c r="A170" s="1"/>
      <c r="B170" s="10" t="str">
        <f ca="1">IFERROR(__xludf.DUMMYFUNCTION("""COMPUTED_VALUE"""),"Fondo de Incentivo al Mejoramiento de la Gestión Municipal 2024")</f>
        <v>Fondo de Incentivo al Mejoramiento de la Gestión Municipal 2024</v>
      </c>
      <c r="C170" s="10" t="str">
        <f ca="1">IFERROR(__xludf.DUMMYFUNCTION("""COMPUTED_VALUE"""),"FIGEM-2024-14")</f>
        <v>FIGEM-2024-14</v>
      </c>
      <c r="D170" s="26" t="str">
        <f t="shared" ca="1" si="0"/>
        <v xml:space="preserve"> RENCA</v>
      </c>
      <c r="E170" s="10" t="str">
        <f ca="1">IFERROR(__xludf.DUMMYFUNCTION("""COMPUTED_VALUE"""),"Resolución de Transferencia")</f>
        <v>Resolución de Transferencia</v>
      </c>
      <c r="F170" s="10" t="str">
        <f ca="1">IFERROR(__xludf.DUMMYFUNCTION("""COMPUTED_VALUE"""),"MUNICIPALIDAD DE RENCA")</f>
        <v>MUNICIPALIDAD DE RENCA</v>
      </c>
      <c r="G170" s="71">
        <f ca="1">IFERROR(__xludf.DUMMYFUNCTION("""COMPUTED_VALUE"""),70030656)</f>
        <v>70030656</v>
      </c>
      <c r="H170" s="10" t="str">
        <f ca="1">IFERROR(__xludf.DUMMYFUNCTION("""COMPUTED_VALUE"""),"Resolución")</f>
        <v>Resolución</v>
      </c>
      <c r="I170" s="10" t="str">
        <f ca="1">IFERROR(__xludf.DUMMYFUNCTION("""COMPUTED_VALUE"""),"FONDO DE INCENTIVO AL MEJORAMIENTO DE LA GESTIÓN MUNICIPAL")</f>
        <v>FONDO DE INCENTIVO AL MEJORAMIENTO DE LA GESTIÓN MUNICIPAL</v>
      </c>
      <c r="J170" s="10" t="str">
        <f ca="1">IFERROR(__xludf.DUMMYFUNCTION("""COMPUTED_VALUE"""),"Cumplir con normativa y reglamentos internos del programa en base a los objetivos.")</f>
        <v>Cumplir con normativa y reglamentos internos del programa en base a los objetivos.</v>
      </c>
      <c r="K170" s="71">
        <f ca="1">IFERROR(__xludf.DUMMYFUNCTION("""COMPUTED_VALUE"""),70030656)</f>
        <v>70030656</v>
      </c>
      <c r="L170" s="27">
        <f ca="1">IFERROR(__xludf.DUMMYFUNCTION("""COMPUTED_VALUE"""),1)</f>
        <v>1</v>
      </c>
      <c r="M170" s="10" t="str">
        <f ca="1">IFERROR(__xludf.DUMMYFUNCTION("""COMPUTED_VALUE"""),"19/2024")</f>
        <v>19/2024</v>
      </c>
      <c r="N170" s="10" t="str">
        <f ca="1">IFERROR(__xludf.DUMMYFUNCTION("""COMPUTED_VALUE"""),"FIGEM")</f>
        <v>FIGEM</v>
      </c>
      <c r="O170" s="59"/>
      <c r="P170" s="1"/>
      <c r="Q170" s="1"/>
      <c r="R170" s="1"/>
      <c r="S170" s="1"/>
      <c r="T170" s="1"/>
      <c r="U170" s="1"/>
      <c r="V170" s="1"/>
      <c r="W170" s="1"/>
      <c r="X170" s="1"/>
      <c r="Y170" s="1"/>
      <c r="Z170" s="1"/>
      <c r="AA170" s="1"/>
    </row>
    <row r="171" spans="1:27" ht="12.75" customHeight="1">
      <c r="A171" s="1"/>
      <c r="B171" s="10" t="str">
        <f ca="1">IFERROR(__xludf.DUMMYFUNCTION("""COMPUTED_VALUE"""),"Fondo de Incentivo al Mejoramiento de la Gestión Municipal 2024")</f>
        <v>Fondo de Incentivo al Mejoramiento de la Gestión Municipal 2024</v>
      </c>
      <c r="C171" s="10" t="str">
        <f ca="1">IFERROR(__xludf.DUMMYFUNCTION("""COMPUTED_VALUE"""),"FIGEM-2024-02")</f>
        <v>FIGEM-2024-02</v>
      </c>
      <c r="D171" s="26" t="str">
        <f t="shared" ca="1" si="0"/>
        <v xml:space="preserve"> VITACURA</v>
      </c>
      <c r="E171" s="10" t="str">
        <f ca="1">IFERROR(__xludf.DUMMYFUNCTION("""COMPUTED_VALUE"""),"Resolución de Transferencia")</f>
        <v>Resolución de Transferencia</v>
      </c>
      <c r="F171" s="10" t="str">
        <f ca="1">IFERROR(__xludf.DUMMYFUNCTION("""COMPUTED_VALUE"""),"MUNICIPALIDAD DE VITACURA")</f>
        <v>MUNICIPALIDAD DE VITACURA</v>
      </c>
      <c r="G171" s="71">
        <f ca="1">IFERROR(__xludf.DUMMYFUNCTION("""COMPUTED_VALUE"""),76476371)</f>
        <v>76476371</v>
      </c>
      <c r="H171" s="10" t="str">
        <f ca="1">IFERROR(__xludf.DUMMYFUNCTION("""COMPUTED_VALUE"""),"Resolución")</f>
        <v>Resolución</v>
      </c>
      <c r="I171" s="10" t="str">
        <f ca="1">IFERROR(__xludf.DUMMYFUNCTION("""COMPUTED_VALUE"""),"FONDO DE INCENTIVO AL MEJORAMIENTO DE LA GESTIÓN MUNICIPAL")</f>
        <v>FONDO DE INCENTIVO AL MEJORAMIENTO DE LA GESTIÓN MUNICIPAL</v>
      </c>
      <c r="J171" s="10" t="str">
        <f ca="1">IFERROR(__xludf.DUMMYFUNCTION("""COMPUTED_VALUE"""),"Cumplir con normativa y reglamentos internos del programa en base a los objetivos.")</f>
        <v>Cumplir con normativa y reglamentos internos del programa en base a los objetivos.</v>
      </c>
      <c r="K171" s="71">
        <f ca="1">IFERROR(__xludf.DUMMYFUNCTION("""COMPUTED_VALUE"""),76476371)</f>
        <v>76476371</v>
      </c>
      <c r="L171" s="27">
        <f ca="1">IFERROR(__xludf.DUMMYFUNCTION("""COMPUTED_VALUE"""),1)</f>
        <v>1</v>
      </c>
      <c r="M171" s="10" t="str">
        <f ca="1">IFERROR(__xludf.DUMMYFUNCTION("""COMPUTED_VALUE"""),"19/2024")</f>
        <v>19/2024</v>
      </c>
      <c r="N171" s="10" t="str">
        <f ca="1">IFERROR(__xludf.DUMMYFUNCTION("""COMPUTED_VALUE"""),"FIGEM")</f>
        <v>FIGEM</v>
      </c>
      <c r="O171" s="59"/>
      <c r="P171" s="1"/>
      <c r="Q171" s="1"/>
      <c r="R171" s="1"/>
      <c r="S171" s="1"/>
      <c r="T171" s="1"/>
      <c r="U171" s="1"/>
      <c r="V171" s="1"/>
      <c r="W171" s="1"/>
      <c r="X171" s="1"/>
      <c r="Y171" s="1"/>
      <c r="Z171" s="1"/>
      <c r="AA171" s="1"/>
    </row>
    <row r="172" spans="1:27" ht="12.75" customHeight="1">
      <c r="A172" s="1"/>
      <c r="B172" s="10" t="str">
        <f ca="1">IFERROR(__xludf.DUMMYFUNCTION("""COMPUTED_VALUE"""),"Fondo de Incentivo al Mejoramiento de la Gestión Municipal 2024")</f>
        <v>Fondo de Incentivo al Mejoramiento de la Gestión Municipal 2024</v>
      </c>
      <c r="C172" s="10" t="str">
        <f ca="1">IFERROR(__xludf.DUMMYFUNCTION("""COMPUTED_VALUE"""),"FIGEM-2024-30")</f>
        <v>FIGEM-2024-30</v>
      </c>
      <c r="D172" s="26" t="str">
        <f t="shared" ca="1" si="0"/>
        <v xml:space="preserve"> PIRQUE</v>
      </c>
      <c r="E172" s="10" t="str">
        <f ca="1">IFERROR(__xludf.DUMMYFUNCTION("""COMPUTED_VALUE"""),"Resolución de Transferencia")</f>
        <v>Resolución de Transferencia</v>
      </c>
      <c r="F172" s="10" t="str">
        <f ca="1">IFERROR(__xludf.DUMMYFUNCTION("""COMPUTED_VALUE"""),"MUNICIPALIDAD DE PIRQUE")</f>
        <v>MUNICIPALIDAD DE PIRQUE</v>
      </c>
      <c r="G172" s="71">
        <f ca="1">IFERROR(__xludf.DUMMYFUNCTION("""COMPUTED_VALUE"""),137851252)</f>
        <v>137851252</v>
      </c>
      <c r="H172" s="10" t="str">
        <f ca="1">IFERROR(__xludf.DUMMYFUNCTION("""COMPUTED_VALUE"""),"Resolución")</f>
        <v>Resolución</v>
      </c>
      <c r="I172" s="10" t="str">
        <f ca="1">IFERROR(__xludf.DUMMYFUNCTION("""COMPUTED_VALUE"""),"FONDO DE INCENTIVO AL MEJORAMIENTO DE LA GESTIÓN MUNICIPAL")</f>
        <v>FONDO DE INCENTIVO AL MEJORAMIENTO DE LA GESTIÓN MUNICIPAL</v>
      </c>
      <c r="J172" s="10" t="str">
        <f ca="1">IFERROR(__xludf.DUMMYFUNCTION("""COMPUTED_VALUE"""),"Cumplir con normativa y reglamentos internos del programa en base a los objetivos.")</f>
        <v>Cumplir con normativa y reglamentos internos del programa en base a los objetivos.</v>
      </c>
      <c r="K172" s="71">
        <f ca="1">IFERROR(__xludf.DUMMYFUNCTION("""COMPUTED_VALUE"""),137851252)</f>
        <v>137851252</v>
      </c>
      <c r="L172" s="27">
        <f ca="1">IFERROR(__xludf.DUMMYFUNCTION("""COMPUTED_VALUE"""),1)</f>
        <v>1</v>
      </c>
      <c r="M172" s="10" t="str">
        <f ca="1">IFERROR(__xludf.DUMMYFUNCTION("""COMPUTED_VALUE"""),"19/2024")</f>
        <v>19/2024</v>
      </c>
      <c r="N172" s="10" t="str">
        <f ca="1">IFERROR(__xludf.DUMMYFUNCTION("""COMPUTED_VALUE"""),"FIGEM")</f>
        <v>FIGEM</v>
      </c>
      <c r="O172" s="59"/>
      <c r="P172" s="1"/>
      <c r="Q172" s="1"/>
      <c r="R172" s="1"/>
      <c r="S172" s="1"/>
      <c r="T172" s="1"/>
      <c r="U172" s="1"/>
      <c r="V172" s="1"/>
      <c r="W172" s="1"/>
      <c r="X172" s="1"/>
      <c r="Y172" s="1"/>
      <c r="Z172" s="1"/>
      <c r="AA172" s="1"/>
    </row>
    <row r="173" spans="1:27" ht="12.75" customHeight="1">
      <c r="A173" s="1"/>
      <c r="B173" s="10" t="str">
        <f ca="1">IFERROR(__xludf.DUMMYFUNCTION("""COMPUTED_VALUE"""),"Fondo de Incentivo al Mejoramiento de la Gestión Municipal 2024")</f>
        <v>Fondo de Incentivo al Mejoramiento de la Gestión Municipal 2024</v>
      </c>
      <c r="C173" s="10" t="str">
        <f ca="1">IFERROR(__xludf.DUMMYFUNCTION("""COMPUTED_VALUE"""),"FIGEM-2024-99")</f>
        <v>FIGEM-2024-99</v>
      </c>
      <c r="D173" s="26" t="str">
        <f t="shared" ca="1" si="0"/>
        <v xml:space="preserve"> CURACAVÍ</v>
      </c>
      <c r="E173" s="10" t="str">
        <f ca="1">IFERROR(__xludf.DUMMYFUNCTION("""COMPUTED_VALUE"""),"Resolución de Transferencia")</f>
        <v>Resolución de Transferencia</v>
      </c>
      <c r="F173" s="10" t="str">
        <f ca="1">IFERROR(__xludf.DUMMYFUNCTION("""COMPUTED_VALUE"""),"MUNICIPALIDAD DE CURACAVÍ")</f>
        <v>MUNICIPALIDAD DE CURACAVÍ</v>
      </c>
      <c r="G173" s="71">
        <f ca="1">IFERROR(__xludf.DUMMYFUNCTION("""COMPUTED_VALUE"""),88313341)</f>
        <v>88313341</v>
      </c>
      <c r="H173" s="10" t="str">
        <f ca="1">IFERROR(__xludf.DUMMYFUNCTION("""COMPUTED_VALUE"""),"Resolución")</f>
        <v>Resolución</v>
      </c>
      <c r="I173" s="10" t="str">
        <f ca="1">IFERROR(__xludf.DUMMYFUNCTION("""COMPUTED_VALUE"""),"FONDO DE INCENTIVO AL MEJORAMIENTO DE LA GESTIÓN MUNICIPAL")</f>
        <v>FONDO DE INCENTIVO AL MEJORAMIENTO DE LA GESTIÓN MUNICIPAL</v>
      </c>
      <c r="J173" s="10" t="str">
        <f ca="1">IFERROR(__xludf.DUMMYFUNCTION("""COMPUTED_VALUE"""),"Cumplir con normativa y reglamentos internos del programa en base a los objetivos.")</f>
        <v>Cumplir con normativa y reglamentos internos del programa en base a los objetivos.</v>
      </c>
      <c r="K173" s="71">
        <f ca="1">IFERROR(__xludf.DUMMYFUNCTION("""COMPUTED_VALUE"""),88313341)</f>
        <v>88313341</v>
      </c>
      <c r="L173" s="27">
        <f ca="1">IFERROR(__xludf.DUMMYFUNCTION("""COMPUTED_VALUE"""),1)</f>
        <v>1</v>
      </c>
      <c r="M173" s="10" t="str">
        <f ca="1">IFERROR(__xludf.DUMMYFUNCTION("""COMPUTED_VALUE"""),"19/2024")</f>
        <v>19/2024</v>
      </c>
      <c r="N173" s="10" t="str">
        <f ca="1">IFERROR(__xludf.DUMMYFUNCTION("""COMPUTED_VALUE"""),"FIGEM")</f>
        <v>FIGEM</v>
      </c>
      <c r="O173" s="59"/>
      <c r="P173" s="1"/>
      <c r="Q173" s="1"/>
      <c r="R173" s="1"/>
      <c r="S173" s="1"/>
      <c r="T173" s="1"/>
      <c r="U173" s="1"/>
      <c r="V173" s="1"/>
      <c r="W173" s="1"/>
      <c r="X173" s="1"/>
      <c r="Y173" s="1"/>
      <c r="Z173" s="1"/>
      <c r="AA173" s="1"/>
    </row>
    <row r="174" spans="1:27" ht="12.75" customHeight="1">
      <c r="A174" s="1"/>
      <c r="B174" s="10" t="str">
        <f ca="1">IFERROR(__xludf.DUMMYFUNCTION("""COMPUTED_VALUE"""),"Fondo de Incentivo al Mejoramiento de la Gestión Municipal 2024")</f>
        <v>Fondo de Incentivo al Mejoramiento de la Gestión Municipal 2024</v>
      </c>
      <c r="C174" s="10" t="str">
        <f ca="1">IFERROR(__xludf.DUMMYFUNCTION("""COMPUTED_VALUE"""),"FIGEM-2024-139")</f>
        <v>FIGEM-2024-139</v>
      </c>
      <c r="D174" s="26" t="str">
        <f t="shared" ca="1" si="0"/>
        <v xml:space="preserve"> MARÍA PINTO</v>
      </c>
      <c r="E174" s="10" t="str">
        <f ca="1">IFERROR(__xludf.DUMMYFUNCTION("""COMPUTED_VALUE"""),"Resolución de Transferencia")</f>
        <v>Resolución de Transferencia</v>
      </c>
      <c r="F174" s="10" t="str">
        <f ca="1">IFERROR(__xludf.DUMMYFUNCTION("""COMPUTED_VALUE"""),"MUNICIPALIDAD DE MARÍA PINTO")</f>
        <v>MUNICIPALIDAD DE MARÍA PINTO</v>
      </c>
      <c r="G174" s="71">
        <f ca="1">IFERROR(__xludf.DUMMYFUNCTION("""COMPUTED_VALUE"""),93136906)</f>
        <v>93136906</v>
      </c>
      <c r="H174" s="10" t="str">
        <f ca="1">IFERROR(__xludf.DUMMYFUNCTION("""COMPUTED_VALUE"""),"Resolución")</f>
        <v>Resolución</v>
      </c>
      <c r="I174" s="10" t="str">
        <f ca="1">IFERROR(__xludf.DUMMYFUNCTION("""COMPUTED_VALUE"""),"FONDO DE INCENTIVO AL MEJORAMIENTO DE LA GESTIÓN MUNICIPAL")</f>
        <v>FONDO DE INCENTIVO AL MEJORAMIENTO DE LA GESTIÓN MUNICIPAL</v>
      </c>
      <c r="J174" s="10" t="str">
        <f ca="1">IFERROR(__xludf.DUMMYFUNCTION("""COMPUTED_VALUE"""),"Cumplir con normativa y reglamentos internos del programa en base a los objetivos.")</f>
        <v>Cumplir con normativa y reglamentos internos del programa en base a los objetivos.</v>
      </c>
      <c r="K174" s="71">
        <f ca="1">IFERROR(__xludf.DUMMYFUNCTION("""COMPUTED_VALUE"""),93136906)</f>
        <v>93136906</v>
      </c>
      <c r="L174" s="27">
        <f ca="1">IFERROR(__xludf.DUMMYFUNCTION("""COMPUTED_VALUE"""),1)</f>
        <v>1</v>
      </c>
      <c r="M174" s="10" t="str">
        <f ca="1">IFERROR(__xludf.DUMMYFUNCTION("""COMPUTED_VALUE"""),"19/2024")</f>
        <v>19/2024</v>
      </c>
      <c r="N174" s="10" t="str">
        <f ca="1">IFERROR(__xludf.DUMMYFUNCTION("""COMPUTED_VALUE"""),"FIGEM")</f>
        <v>FIGEM</v>
      </c>
      <c r="O174" s="59"/>
      <c r="P174" s="1"/>
      <c r="Q174" s="1"/>
      <c r="R174" s="1"/>
      <c r="S174" s="1"/>
      <c r="T174" s="1"/>
      <c r="U174" s="1"/>
      <c r="V174" s="1"/>
      <c r="W174" s="1"/>
      <c r="X174" s="1"/>
      <c r="Y174" s="1"/>
      <c r="Z174" s="1"/>
      <c r="AA174" s="1"/>
    </row>
    <row r="175" spans="1:27" ht="12.75" customHeight="1">
      <c r="A175" s="1"/>
      <c r="B175" s="10" t="str">
        <f ca="1">IFERROR(__xludf.DUMMYFUNCTION("""COMPUTED_VALUE"""),"Fondo de Incentivo al Mejoramiento de la Gestión Municipal 2024")</f>
        <v>Fondo de Incentivo al Mejoramiento de la Gestión Municipal 2024</v>
      </c>
      <c r="C175" s="10" t="str">
        <f ca="1">IFERROR(__xludf.DUMMYFUNCTION("""COMPUTED_VALUE"""),"FIGEM-2024-157")</f>
        <v>FIGEM-2024-157</v>
      </c>
      <c r="D175" s="26" t="str">
        <f t="shared" ca="1" si="0"/>
        <v xml:space="preserve"> SAN PEDRO</v>
      </c>
      <c r="E175" s="10" t="str">
        <f ca="1">IFERROR(__xludf.DUMMYFUNCTION("""COMPUTED_VALUE"""),"Resolución de Transferencia")</f>
        <v>Resolución de Transferencia</v>
      </c>
      <c r="F175" s="10" t="str">
        <f ca="1">IFERROR(__xludf.DUMMYFUNCTION("""COMPUTED_VALUE"""),"MUNICIPALIDAD DE SAN PEDRO")</f>
        <v>MUNICIPALIDAD DE SAN PEDRO</v>
      </c>
      <c r="G175" s="71">
        <f ca="1">IFERROR(__xludf.DUMMYFUNCTION("""COMPUTED_VALUE"""),91249990)</f>
        <v>91249990</v>
      </c>
      <c r="H175" s="10" t="str">
        <f ca="1">IFERROR(__xludf.DUMMYFUNCTION("""COMPUTED_VALUE"""),"Resolución")</f>
        <v>Resolución</v>
      </c>
      <c r="I175" s="10" t="str">
        <f ca="1">IFERROR(__xludf.DUMMYFUNCTION("""COMPUTED_VALUE"""),"FONDO DE INCENTIVO AL MEJORAMIENTO DE LA GESTIÓN MUNICIPAL")</f>
        <v>FONDO DE INCENTIVO AL MEJORAMIENTO DE LA GESTIÓN MUNICIPAL</v>
      </c>
      <c r="J175" s="10" t="str">
        <f ca="1">IFERROR(__xludf.DUMMYFUNCTION("""COMPUTED_VALUE"""),"Cumplir con normativa y reglamentos internos del programa en base a los objetivos.")</f>
        <v>Cumplir con normativa y reglamentos internos del programa en base a los objetivos.</v>
      </c>
      <c r="K175" s="71">
        <f ca="1">IFERROR(__xludf.DUMMYFUNCTION("""COMPUTED_VALUE"""),91249990)</f>
        <v>91249990</v>
      </c>
      <c r="L175" s="27">
        <f ca="1">IFERROR(__xludf.DUMMYFUNCTION("""COMPUTED_VALUE"""),1)</f>
        <v>1</v>
      </c>
      <c r="M175" s="10" t="str">
        <f ca="1">IFERROR(__xludf.DUMMYFUNCTION("""COMPUTED_VALUE"""),"19/2024")</f>
        <v>19/2024</v>
      </c>
      <c r="N175" s="10" t="str">
        <f ca="1">IFERROR(__xludf.DUMMYFUNCTION("""COMPUTED_VALUE"""),"FIGEM")</f>
        <v>FIGEM</v>
      </c>
      <c r="O175" s="59"/>
      <c r="P175" s="1"/>
      <c r="Q175" s="1"/>
      <c r="R175" s="1"/>
      <c r="S175" s="1"/>
      <c r="T175" s="1"/>
      <c r="U175" s="1"/>
      <c r="V175" s="1"/>
      <c r="W175" s="1"/>
      <c r="X175" s="1"/>
      <c r="Y175" s="1"/>
      <c r="Z175" s="1"/>
      <c r="AA175" s="1"/>
    </row>
    <row r="176" spans="1:27" ht="12.75" customHeight="1">
      <c r="A176" s="1"/>
      <c r="B176" s="10" t="str">
        <f ca="1">IFERROR(__xludf.DUMMYFUNCTION("""COMPUTED_VALUE"""),"Fondo de Incentivo al Mejoramiento de la Gestión Municipal 2024")</f>
        <v>Fondo de Incentivo al Mejoramiento de la Gestión Municipal 2024</v>
      </c>
      <c r="C176" s="10" t="str">
        <f ca="1">IFERROR(__xludf.DUMMYFUNCTION("""COMPUTED_VALUE"""),"FIGEM-2024-28")</f>
        <v>FIGEM-2024-28</v>
      </c>
      <c r="D176" s="26" t="str">
        <f t="shared" ca="1" si="0"/>
        <v xml:space="preserve"> TALAGANTE</v>
      </c>
      <c r="E176" s="10" t="str">
        <f ca="1">IFERROR(__xludf.DUMMYFUNCTION("""COMPUTED_VALUE"""),"Resolución de Transferencia")</f>
        <v>Resolución de Transferencia</v>
      </c>
      <c r="F176" s="10" t="str">
        <f ca="1">IFERROR(__xludf.DUMMYFUNCTION("""COMPUTED_VALUE"""),"MUNICIPALIDAD DE TALAGANTE")</f>
        <v>MUNICIPALIDAD DE TALAGANTE</v>
      </c>
      <c r="G176" s="71">
        <f ca="1">IFERROR(__xludf.DUMMYFUNCTION("""COMPUTED_VALUE"""),140847900)</f>
        <v>140847900</v>
      </c>
      <c r="H176" s="10" t="str">
        <f ca="1">IFERROR(__xludf.DUMMYFUNCTION("""COMPUTED_VALUE"""),"Resolución")</f>
        <v>Resolución</v>
      </c>
      <c r="I176" s="10" t="str">
        <f ca="1">IFERROR(__xludf.DUMMYFUNCTION("""COMPUTED_VALUE"""),"FONDO DE INCENTIVO AL MEJORAMIENTO DE LA GESTIÓN MUNICIPAL")</f>
        <v>FONDO DE INCENTIVO AL MEJORAMIENTO DE LA GESTIÓN MUNICIPAL</v>
      </c>
      <c r="J176" s="10" t="str">
        <f ca="1">IFERROR(__xludf.DUMMYFUNCTION("""COMPUTED_VALUE"""),"Cumplir con normativa y reglamentos internos del programa en base a los objetivos.")</f>
        <v>Cumplir con normativa y reglamentos internos del programa en base a los objetivos.</v>
      </c>
      <c r="K176" s="71">
        <f ca="1">IFERROR(__xludf.DUMMYFUNCTION("""COMPUTED_VALUE"""),140847900)</f>
        <v>140847900</v>
      </c>
      <c r="L176" s="27">
        <f ca="1">IFERROR(__xludf.DUMMYFUNCTION("""COMPUTED_VALUE"""),1)</f>
        <v>1</v>
      </c>
      <c r="M176" s="10" t="str">
        <f ca="1">IFERROR(__xludf.DUMMYFUNCTION("""COMPUTED_VALUE"""),"19/2024")</f>
        <v>19/2024</v>
      </c>
      <c r="N176" s="10" t="str">
        <f ca="1">IFERROR(__xludf.DUMMYFUNCTION("""COMPUTED_VALUE"""),"FIGEM")</f>
        <v>FIGEM</v>
      </c>
      <c r="O176" s="59"/>
      <c r="P176" s="1"/>
      <c r="Q176" s="1"/>
      <c r="R176" s="1"/>
      <c r="S176" s="1"/>
      <c r="T176" s="1"/>
      <c r="U176" s="1"/>
      <c r="V176" s="1"/>
      <c r="W176" s="1"/>
      <c r="X176" s="1"/>
      <c r="Y176" s="1"/>
      <c r="Z176" s="1"/>
      <c r="AA176" s="1"/>
    </row>
    <row r="177" spans="1:27" ht="12.75" customHeight="1">
      <c r="A177" s="1"/>
      <c r="B177" s="10" t="str">
        <f ca="1">IFERROR(__xludf.DUMMYFUNCTION("""COMPUTED_VALUE"""),"Fondo de Incentivo al Mejoramiento de la Gestión Municipal 2024")</f>
        <v>Fondo de Incentivo al Mejoramiento de la Gestión Municipal 2024</v>
      </c>
      <c r="C177" s="10" t="str">
        <f ca="1">IFERROR(__xludf.DUMMYFUNCTION("""COMPUTED_VALUE"""),"FIGEM-2024-46")</f>
        <v>FIGEM-2024-46</v>
      </c>
      <c r="D177" s="26" t="str">
        <f t="shared" ca="1" si="0"/>
        <v xml:space="preserve"> EL MONTE</v>
      </c>
      <c r="E177" s="10" t="str">
        <f ca="1">IFERROR(__xludf.DUMMYFUNCTION("""COMPUTED_VALUE"""),"Resolución de Transferencia")</f>
        <v>Resolución de Transferencia</v>
      </c>
      <c r="F177" s="10" t="str">
        <f ca="1">IFERROR(__xludf.DUMMYFUNCTION("""COMPUTED_VALUE"""),"MUNICIPALIDAD DE EL MONTE")</f>
        <v>MUNICIPALIDAD DE EL MONTE</v>
      </c>
      <c r="G177" s="71">
        <f ca="1">IFERROR(__xludf.DUMMYFUNCTION("""COMPUTED_VALUE"""),128253714)</f>
        <v>128253714</v>
      </c>
      <c r="H177" s="10" t="str">
        <f ca="1">IFERROR(__xludf.DUMMYFUNCTION("""COMPUTED_VALUE"""),"Resolución")</f>
        <v>Resolución</v>
      </c>
      <c r="I177" s="10" t="str">
        <f ca="1">IFERROR(__xludf.DUMMYFUNCTION("""COMPUTED_VALUE"""),"FONDO DE INCENTIVO AL MEJORAMIENTO DE LA GESTIÓN MUNICIPAL")</f>
        <v>FONDO DE INCENTIVO AL MEJORAMIENTO DE LA GESTIÓN MUNICIPAL</v>
      </c>
      <c r="J177" s="10" t="str">
        <f ca="1">IFERROR(__xludf.DUMMYFUNCTION("""COMPUTED_VALUE"""),"Cumplir con normativa y reglamentos internos del programa en base a los objetivos.")</f>
        <v>Cumplir con normativa y reglamentos internos del programa en base a los objetivos.</v>
      </c>
      <c r="K177" s="71">
        <f ca="1">IFERROR(__xludf.DUMMYFUNCTION("""COMPUTED_VALUE"""),128253714)</f>
        <v>128253714</v>
      </c>
      <c r="L177" s="27">
        <f ca="1">IFERROR(__xludf.DUMMYFUNCTION("""COMPUTED_VALUE"""),1)</f>
        <v>1</v>
      </c>
      <c r="M177" s="10" t="str">
        <f ca="1">IFERROR(__xludf.DUMMYFUNCTION("""COMPUTED_VALUE"""),"19/2024")</f>
        <v>19/2024</v>
      </c>
      <c r="N177" s="10" t="str">
        <f ca="1">IFERROR(__xludf.DUMMYFUNCTION("""COMPUTED_VALUE"""),"FIGEM")</f>
        <v>FIGEM</v>
      </c>
      <c r="O177" s="59"/>
      <c r="P177" s="1"/>
      <c r="Q177" s="1"/>
      <c r="R177" s="1"/>
      <c r="S177" s="1"/>
      <c r="T177" s="1"/>
      <c r="U177" s="1"/>
      <c r="V177" s="1"/>
      <c r="W177" s="1"/>
      <c r="X177" s="1"/>
      <c r="Y177" s="1"/>
      <c r="Z177" s="1"/>
      <c r="AA177" s="1"/>
    </row>
    <row r="178" spans="1:27" ht="12.75" customHeight="1">
      <c r="A178" s="1"/>
      <c r="B178" s="10" t="str">
        <f ca="1">IFERROR(__xludf.DUMMYFUNCTION("""COMPUTED_VALUE"""),"Fondo de Incentivo al Mejoramiento de la Gestión Municipal 2024")</f>
        <v>Fondo de Incentivo al Mejoramiento de la Gestión Municipal 2024</v>
      </c>
      <c r="C178" s="10" t="str">
        <f ca="1">IFERROR(__xludf.DUMMYFUNCTION("""COMPUTED_VALUE"""),"FIGEM-2024-34")</f>
        <v>FIGEM-2024-34</v>
      </c>
      <c r="D178" s="26" t="str">
        <f t="shared" ca="1" si="0"/>
        <v xml:space="preserve"> VALDIVIA</v>
      </c>
      <c r="E178" s="10" t="str">
        <f ca="1">IFERROR(__xludf.DUMMYFUNCTION("""COMPUTED_VALUE"""),"Resolución de Transferencia")</f>
        <v>Resolución de Transferencia</v>
      </c>
      <c r="F178" s="10" t="str">
        <f ca="1">IFERROR(__xludf.DUMMYFUNCTION("""COMPUTED_VALUE"""),"MUNICIPALIDAD DE VALDIVIA")</f>
        <v>MUNICIPALIDAD DE VALDIVIA</v>
      </c>
      <c r="G178" s="71">
        <f ca="1">IFERROR(__xludf.DUMMYFUNCTION("""COMPUTED_VALUE"""),133345814)</f>
        <v>133345814</v>
      </c>
      <c r="H178" s="10" t="str">
        <f ca="1">IFERROR(__xludf.DUMMYFUNCTION("""COMPUTED_VALUE"""),"Resolución")</f>
        <v>Resolución</v>
      </c>
      <c r="I178" s="10" t="str">
        <f ca="1">IFERROR(__xludf.DUMMYFUNCTION("""COMPUTED_VALUE"""),"FONDO DE INCENTIVO AL MEJORAMIENTO DE LA GESTIÓN MUNICIPAL")</f>
        <v>FONDO DE INCENTIVO AL MEJORAMIENTO DE LA GESTIÓN MUNICIPAL</v>
      </c>
      <c r="J178" s="10" t="str">
        <f ca="1">IFERROR(__xludf.DUMMYFUNCTION("""COMPUTED_VALUE"""),"Cumplir con normativa y reglamentos internos del programa en base a los objetivos.")</f>
        <v>Cumplir con normativa y reglamentos internos del programa en base a los objetivos.</v>
      </c>
      <c r="K178" s="71">
        <f ca="1">IFERROR(__xludf.DUMMYFUNCTION("""COMPUTED_VALUE"""),133345814)</f>
        <v>133345814</v>
      </c>
      <c r="L178" s="27">
        <f ca="1">IFERROR(__xludf.DUMMYFUNCTION("""COMPUTED_VALUE"""),1)</f>
        <v>1</v>
      </c>
      <c r="M178" s="10" t="str">
        <f ca="1">IFERROR(__xludf.DUMMYFUNCTION("""COMPUTED_VALUE"""),"19/2024")</f>
        <v>19/2024</v>
      </c>
      <c r="N178" s="10" t="str">
        <f ca="1">IFERROR(__xludf.DUMMYFUNCTION("""COMPUTED_VALUE"""),"FIGEM")</f>
        <v>FIGEM</v>
      </c>
      <c r="O178" s="59"/>
      <c r="P178" s="1"/>
      <c r="Q178" s="1"/>
      <c r="R178" s="1"/>
      <c r="S178" s="1"/>
      <c r="T178" s="1"/>
      <c r="U178" s="1"/>
      <c r="V178" s="1"/>
      <c r="W178" s="1"/>
      <c r="X178" s="1"/>
      <c r="Y178" s="1"/>
      <c r="Z178" s="1"/>
      <c r="AA178" s="1"/>
    </row>
    <row r="179" spans="1:27" ht="12.75" customHeight="1">
      <c r="A179" s="1"/>
      <c r="B179" s="10" t="str">
        <f ca="1">IFERROR(__xludf.DUMMYFUNCTION("""COMPUTED_VALUE"""),"Fondo de Incentivo al Mejoramiento de la Gestión Municipal 2024")</f>
        <v>Fondo de Incentivo al Mejoramiento de la Gestión Municipal 2024</v>
      </c>
      <c r="C179" s="10" t="str">
        <f ca="1">IFERROR(__xludf.DUMMYFUNCTION("""COMPUTED_VALUE"""),"FIGEM-2024-53")</f>
        <v>FIGEM-2024-53</v>
      </c>
      <c r="D179" s="26" t="str">
        <f t="shared" ca="1" si="0"/>
        <v xml:space="preserve"> LANCO</v>
      </c>
      <c r="E179" s="10" t="str">
        <f ca="1">IFERROR(__xludf.DUMMYFUNCTION("""COMPUTED_VALUE"""),"Resolución de Transferencia")</f>
        <v>Resolución de Transferencia</v>
      </c>
      <c r="F179" s="10" t="str">
        <f ca="1">IFERROR(__xludf.DUMMYFUNCTION("""COMPUTED_VALUE"""),"MUNICIPALIDAD DE LANCO")</f>
        <v>MUNICIPALIDAD DE LANCO</v>
      </c>
      <c r="G179" s="71">
        <f ca="1">IFERROR(__xludf.DUMMYFUNCTION("""COMPUTED_VALUE"""),123155921)</f>
        <v>123155921</v>
      </c>
      <c r="H179" s="10" t="str">
        <f ca="1">IFERROR(__xludf.DUMMYFUNCTION("""COMPUTED_VALUE"""),"Resolución")</f>
        <v>Resolución</v>
      </c>
      <c r="I179" s="10" t="str">
        <f ca="1">IFERROR(__xludf.DUMMYFUNCTION("""COMPUTED_VALUE"""),"FONDO DE INCENTIVO AL MEJORAMIENTO DE LA GESTIÓN MUNICIPAL")</f>
        <v>FONDO DE INCENTIVO AL MEJORAMIENTO DE LA GESTIÓN MUNICIPAL</v>
      </c>
      <c r="J179" s="10" t="str">
        <f ca="1">IFERROR(__xludf.DUMMYFUNCTION("""COMPUTED_VALUE"""),"Cumplir con normativa y reglamentos internos del programa en base a los objetivos.")</f>
        <v>Cumplir con normativa y reglamentos internos del programa en base a los objetivos.</v>
      </c>
      <c r="K179" s="71">
        <f ca="1">IFERROR(__xludf.DUMMYFUNCTION("""COMPUTED_VALUE"""),123155921)</f>
        <v>123155921</v>
      </c>
      <c r="L179" s="27">
        <f ca="1">IFERROR(__xludf.DUMMYFUNCTION("""COMPUTED_VALUE"""),1)</f>
        <v>1</v>
      </c>
      <c r="M179" s="10" t="str">
        <f ca="1">IFERROR(__xludf.DUMMYFUNCTION("""COMPUTED_VALUE"""),"19/2024")</f>
        <v>19/2024</v>
      </c>
      <c r="N179" s="10" t="str">
        <f ca="1">IFERROR(__xludf.DUMMYFUNCTION("""COMPUTED_VALUE"""),"FIGEM")</f>
        <v>FIGEM</v>
      </c>
      <c r="O179" s="59"/>
      <c r="P179" s="1"/>
      <c r="Q179" s="1"/>
      <c r="R179" s="1"/>
      <c r="S179" s="1"/>
      <c r="T179" s="1"/>
      <c r="U179" s="1"/>
      <c r="V179" s="1"/>
      <c r="W179" s="1"/>
      <c r="X179" s="1"/>
      <c r="Y179" s="1"/>
      <c r="Z179" s="1"/>
      <c r="AA179" s="1"/>
    </row>
    <row r="180" spans="1:27" ht="12.75" customHeight="1">
      <c r="A180" s="1"/>
      <c r="B180" s="10" t="str">
        <f ca="1">IFERROR(__xludf.DUMMYFUNCTION("""COMPUTED_VALUE"""),"Fondo de Incentivo al Mejoramiento de la Gestión Municipal 2024")</f>
        <v>Fondo de Incentivo al Mejoramiento de la Gestión Municipal 2024</v>
      </c>
      <c r="C180" s="10" t="str">
        <f ca="1">IFERROR(__xludf.DUMMYFUNCTION("""COMPUTED_VALUE"""),"FIGEM-2024-155")</f>
        <v>FIGEM-2024-155</v>
      </c>
      <c r="D180" s="26" t="str">
        <f t="shared" ca="1" si="0"/>
        <v xml:space="preserve"> PANGUIPULLI</v>
      </c>
      <c r="E180" s="10" t="str">
        <f ca="1">IFERROR(__xludf.DUMMYFUNCTION("""COMPUTED_VALUE"""),"Resolución de Transferencia")</f>
        <v>Resolución de Transferencia</v>
      </c>
      <c r="F180" s="10" t="str">
        <f ca="1">IFERROR(__xludf.DUMMYFUNCTION("""COMPUTED_VALUE"""),"MUNICIPALIDAD DE PANGUIPULLI")</f>
        <v>MUNICIPALIDAD DE PANGUIPULLI</v>
      </c>
      <c r="G180" s="71">
        <f ca="1">IFERROR(__xludf.DUMMYFUNCTION("""COMPUTED_VALUE"""),91576541)</f>
        <v>91576541</v>
      </c>
      <c r="H180" s="10" t="str">
        <f ca="1">IFERROR(__xludf.DUMMYFUNCTION("""COMPUTED_VALUE"""),"Resolución")</f>
        <v>Resolución</v>
      </c>
      <c r="I180" s="10" t="str">
        <f ca="1">IFERROR(__xludf.DUMMYFUNCTION("""COMPUTED_VALUE"""),"FONDO DE INCENTIVO AL MEJORAMIENTO DE LA GESTIÓN MUNICIPAL")</f>
        <v>FONDO DE INCENTIVO AL MEJORAMIENTO DE LA GESTIÓN MUNICIPAL</v>
      </c>
      <c r="J180" s="10" t="str">
        <f ca="1">IFERROR(__xludf.DUMMYFUNCTION("""COMPUTED_VALUE"""),"Cumplir con normativa y reglamentos internos del programa en base a los objetivos.")</f>
        <v>Cumplir con normativa y reglamentos internos del programa en base a los objetivos.</v>
      </c>
      <c r="K180" s="71">
        <f ca="1">IFERROR(__xludf.DUMMYFUNCTION("""COMPUTED_VALUE"""),91576541)</f>
        <v>91576541</v>
      </c>
      <c r="L180" s="27">
        <f ca="1">IFERROR(__xludf.DUMMYFUNCTION("""COMPUTED_VALUE"""),1)</f>
        <v>1</v>
      </c>
      <c r="M180" s="10" t="str">
        <f ca="1">IFERROR(__xludf.DUMMYFUNCTION("""COMPUTED_VALUE"""),"19/2024")</f>
        <v>19/2024</v>
      </c>
      <c r="N180" s="10" t="str">
        <f ca="1">IFERROR(__xludf.DUMMYFUNCTION("""COMPUTED_VALUE"""),"FIGEM")</f>
        <v>FIGEM</v>
      </c>
      <c r="O180" s="59"/>
      <c r="P180" s="1"/>
      <c r="Q180" s="1"/>
      <c r="R180" s="1"/>
      <c r="S180" s="1"/>
      <c r="T180" s="1"/>
      <c r="U180" s="1"/>
      <c r="V180" s="1"/>
      <c r="W180" s="1"/>
      <c r="X180" s="1"/>
      <c r="Y180" s="1"/>
      <c r="Z180" s="1"/>
      <c r="AA180" s="1"/>
    </row>
    <row r="181" spans="1:27" ht="12.75" customHeight="1">
      <c r="A181" s="1"/>
      <c r="B181" s="10" t="str">
        <f ca="1">IFERROR(__xludf.DUMMYFUNCTION("""COMPUTED_VALUE"""),"Fondo de Incentivo al Mejoramiento de la Gestión Municipal 2024")</f>
        <v>Fondo de Incentivo al Mejoramiento de la Gestión Municipal 2024</v>
      </c>
      <c r="C181" s="10" t="str">
        <f ca="1">IFERROR(__xludf.DUMMYFUNCTION("""COMPUTED_VALUE"""),"FIGEM-2024-87")</f>
        <v>FIGEM-2024-87</v>
      </c>
      <c r="D181" s="26" t="str">
        <f t="shared" ca="1" si="0"/>
        <v xml:space="preserve"> FUTRONO</v>
      </c>
      <c r="E181" s="10" t="str">
        <f ca="1">IFERROR(__xludf.DUMMYFUNCTION("""COMPUTED_VALUE"""),"Resolución de Transferencia")</f>
        <v>Resolución de Transferencia</v>
      </c>
      <c r="F181" s="10" t="str">
        <f ca="1">IFERROR(__xludf.DUMMYFUNCTION("""COMPUTED_VALUE"""),"MUNICIPALIDAD DE FUTRONO")</f>
        <v>MUNICIPALIDAD DE FUTRONO</v>
      </c>
      <c r="G181" s="71">
        <f ca="1">IFERROR(__xludf.DUMMYFUNCTION("""COMPUTED_VALUE"""),89687015)</f>
        <v>89687015</v>
      </c>
      <c r="H181" s="10" t="str">
        <f ca="1">IFERROR(__xludf.DUMMYFUNCTION("""COMPUTED_VALUE"""),"Resolución")</f>
        <v>Resolución</v>
      </c>
      <c r="I181" s="10" t="str">
        <f ca="1">IFERROR(__xludf.DUMMYFUNCTION("""COMPUTED_VALUE"""),"FONDO DE INCENTIVO AL MEJORAMIENTO DE LA GESTIÓN MUNICIPAL")</f>
        <v>FONDO DE INCENTIVO AL MEJORAMIENTO DE LA GESTIÓN MUNICIPAL</v>
      </c>
      <c r="J181" s="10" t="str">
        <f ca="1">IFERROR(__xludf.DUMMYFUNCTION("""COMPUTED_VALUE"""),"Cumplir con normativa y reglamentos internos del programa en base a los objetivos.")</f>
        <v>Cumplir con normativa y reglamentos internos del programa en base a los objetivos.</v>
      </c>
      <c r="K181" s="71">
        <f ca="1">IFERROR(__xludf.DUMMYFUNCTION("""COMPUTED_VALUE"""),89687015)</f>
        <v>89687015</v>
      </c>
      <c r="L181" s="27">
        <f ca="1">IFERROR(__xludf.DUMMYFUNCTION("""COMPUTED_VALUE"""),1)</f>
        <v>1</v>
      </c>
      <c r="M181" s="10" t="str">
        <f ca="1">IFERROR(__xludf.DUMMYFUNCTION("""COMPUTED_VALUE"""),"19/2024")</f>
        <v>19/2024</v>
      </c>
      <c r="N181" s="10" t="str">
        <f ca="1">IFERROR(__xludf.DUMMYFUNCTION("""COMPUTED_VALUE"""),"FIGEM")</f>
        <v>FIGEM</v>
      </c>
      <c r="O181" s="59"/>
      <c r="P181" s="1"/>
      <c r="Q181" s="1"/>
      <c r="R181" s="1"/>
      <c r="S181" s="1"/>
      <c r="T181" s="1"/>
      <c r="U181" s="1"/>
      <c r="V181" s="1"/>
      <c r="W181" s="1"/>
      <c r="X181" s="1"/>
      <c r="Y181" s="1"/>
      <c r="Z181" s="1"/>
      <c r="AA181" s="1"/>
    </row>
    <row r="182" spans="1:27" ht="12.75" customHeight="1">
      <c r="A182" s="1"/>
      <c r="B182" s="10" t="str">
        <f ca="1">IFERROR(__xludf.DUMMYFUNCTION("""COMPUTED_VALUE"""),"Fondo de Incentivo al Mejoramiento de la Gestión Municipal 2024")</f>
        <v>Fondo de Incentivo al Mejoramiento de la Gestión Municipal 2024</v>
      </c>
      <c r="C182" s="10" t="str">
        <f ca="1">IFERROR(__xludf.DUMMYFUNCTION("""COMPUTED_VALUE"""),"FIGEM-2024-129")</f>
        <v>FIGEM-2024-129</v>
      </c>
      <c r="D182" s="26" t="str">
        <f t="shared" ca="1" si="0"/>
        <v xml:space="preserve"> LAGO RANCO</v>
      </c>
      <c r="E182" s="10" t="str">
        <f ca="1">IFERROR(__xludf.DUMMYFUNCTION("""COMPUTED_VALUE"""),"Resolución de Transferencia")</f>
        <v>Resolución de Transferencia</v>
      </c>
      <c r="F182" s="10" t="str">
        <f ca="1">IFERROR(__xludf.DUMMYFUNCTION("""COMPUTED_VALUE"""),"MUNICIPALIDAD DE LAGO RANCO")</f>
        <v>MUNICIPALIDAD DE LAGO RANCO</v>
      </c>
      <c r="G182" s="71">
        <f ca="1">IFERROR(__xludf.DUMMYFUNCTION("""COMPUTED_VALUE"""),95201823)</f>
        <v>95201823</v>
      </c>
      <c r="H182" s="10" t="str">
        <f ca="1">IFERROR(__xludf.DUMMYFUNCTION("""COMPUTED_VALUE"""),"Resolución")</f>
        <v>Resolución</v>
      </c>
      <c r="I182" s="10" t="str">
        <f ca="1">IFERROR(__xludf.DUMMYFUNCTION("""COMPUTED_VALUE"""),"FONDO DE INCENTIVO AL MEJORAMIENTO DE LA GESTIÓN MUNICIPAL")</f>
        <v>FONDO DE INCENTIVO AL MEJORAMIENTO DE LA GESTIÓN MUNICIPAL</v>
      </c>
      <c r="J182" s="10" t="str">
        <f ca="1">IFERROR(__xludf.DUMMYFUNCTION("""COMPUTED_VALUE"""),"Cumplir con normativa y reglamentos internos del programa en base a los objetivos.")</f>
        <v>Cumplir con normativa y reglamentos internos del programa en base a los objetivos.</v>
      </c>
      <c r="K182" s="71">
        <f ca="1">IFERROR(__xludf.DUMMYFUNCTION("""COMPUTED_VALUE"""),95201823)</f>
        <v>95201823</v>
      </c>
      <c r="L182" s="27">
        <f ca="1">IFERROR(__xludf.DUMMYFUNCTION("""COMPUTED_VALUE"""),1)</f>
        <v>1</v>
      </c>
      <c r="M182" s="10" t="str">
        <f ca="1">IFERROR(__xludf.DUMMYFUNCTION("""COMPUTED_VALUE"""),"19/2024")</f>
        <v>19/2024</v>
      </c>
      <c r="N182" s="10" t="str">
        <f ca="1">IFERROR(__xludf.DUMMYFUNCTION("""COMPUTED_VALUE"""),"FIGEM")</f>
        <v>FIGEM</v>
      </c>
      <c r="O182" s="59"/>
      <c r="P182" s="1"/>
      <c r="Q182" s="1"/>
      <c r="R182" s="1"/>
      <c r="S182" s="1"/>
      <c r="T182" s="1"/>
      <c r="U182" s="1"/>
      <c r="V182" s="1"/>
      <c r="W182" s="1"/>
      <c r="X182" s="1"/>
      <c r="Y182" s="1"/>
      <c r="Z182" s="1"/>
      <c r="AA182" s="1"/>
    </row>
    <row r="183" spans="1:27" ht="12.75" customHeight="1">
      <c r="A183" s="1"/>
      <c r="B183" s="10" t="str">
        <f ca="1">IFERROR(__xludf.DUMMYFUNCTION("""COMPUTED_VALUE"""),"Fondo de Incentivo al Mejoramiento de la Gestión Municipal 2024")</f>
        <v>Fondo de Incentivo al Mejoramiento de la Gestión Municipal 2024</v>
      </c>
      <c r="C183" s="10" t="str">
        <f ca="1">IFERROR(__xludf.DUMMYFUNCTION("""COMPUTED_VALUE"""),"FIGEM-2024-63")</f>
        <v>FIGEM-2024-63</v>
      </c>
      <c r="D183" s="26" t="str">
        <f t="shared" ca="1" si="0"/>
        <v xml:space="preserve"> RÍO BUENO</v>
      </c>
      <c r="E183" s="10" t="str">
        <f ca="1">IFERROR(__xludf.DUMMYFUNCTION("""COMPUTED_VALUE"""),"Resolución de Transferencia")</f>
        <v>Resolución de Transferencia</v>
      </c>
      <c r="F183" s="10" t="str">
        <f ca="1">IFERROR(__xludf.DUMMYFUNCTION("""COMPUTED_VALUE"""),"MUNICIPALIDAD DE RÍO BUENO")</f>
        <v>MUNICIPALIDAD DE RÍO BUENO</v>
      </c>
      <c r="G183" s="71">
        <f ca="1">IFERROR(__xludf.DUMMYFUNCTION("""COMPUTED_VALUE"""),118642333)</f>
        <v>118642333</v>
      </c>
      <c r="H183" s="10" t="str">
        <f ca="1">IFERROR(__xludf.DUMMYFUNCTION("""COMPUTED_VALUE"""),"Resolución")</f>
        <v>Resolución</v>
      </c>
      <c r="I183" s="10" t="str">
        <f ca="1">IFERROR(__xludf.DUMMYFUNCTION("""COMPUTED_VALUE"""),"FONDO DE INCENTIVO AL MEJORAMIENTO DE LA GESTIÓN MUNICIPAL")</f>
        <v>FONDO DE INCENTIVO AL MEJORAMIENTO DE LA GESTIÓN MUNICIPAL</v>
      </c>
      <c r="J183" s="10" t="str">
        <f ca="1">IFERROR(__xludf.DUMMYFUNCTION("""COMPUTED_VALUE"""),"Cumplir con normativa y reglamentos internos del programa en base a los objetivos.")</f>
        <v>Cumplir con normativa y reglamentos internos del programa en base a los objetivos.</v>
      </c>
      <c r="K183" s="71">
        <f ca="1">IFERROR(__xludf.DUMMYFUNCTION("""COMPUTED_VALUE"""),118642333)</f>
        <v>118642333</v>
      </c>
      <c r="L183" s="27">
        <f ca="1">IFERROR(__xludf.DUMMYFUNCTION("""COMPUTED_VALUE"""),1)</f>
        <v>1</v>
      </c>
      <c r="M183" s="10" t="str">
        <f ca="1">IFERROR(__xludf.DUMMYFUNCTION("""COMPUTED_VALUE"""),"19/2024")</f>
        <v>19/2024</v>
      </c>
      <c r="N183" s="10" t="str">
        <f ca="1">IFERROR(__xludf.DUMMYFUNCTION("""COMPUTED_VALUE"""),"FIGEM")</f>
        <v>FIGEM</v>
      </c>
      <c r="O183" s="59"/>
      <c r="P183" s="1"/>
      <c r="Q183" s="1"/>
      <c r="R183" s="1"/>
      <c r="S183" s="1"/>
      <c r="T183" s="1"/>
      <c r="U183" s="1"/>
      <c r="V183" s="1"/>
      <c r="W183" s="1"/>
      <c r="X183" s="1"/>
      <c r="Y183" s="1"/>
      <c r="Z183" s="1"/>
      <c r="AA183" s="1"/>
    </row>
    <row r="184" spans="1:27" ht="12.75" customHeight="1">
      <c r="A184" s="1"/>
      <c r="B184" s="10" t="str">
        <f ca="1">IFERROR(__xludf.DUMMYFUNCTION("""COMPUTED_VALUE"""),"Fondo de Incentivo al Mejoramiento de la Gestión Municipal 2024")</f>
        <v>Fondo de Incentivo al Mejoramiento de la Gestión Municipal 2024</v>
      </c>
      <c r="C184" s="10" t="str">
        <f ca="1">IFERROR(__xludf.DUMMYFUNCTION("""COMPUTED_VALUE"""),"FIGEM-2024-36")</f>
        <v>FIGEM-2024-36</v>
      </c>
      <c r="D184" s="26" t="str">
        <f t="shared" ca="1" si="0"/>
        <v xml:space="preserve"> ARICA</v>
      </c>
      <c r="E184" s="10" t="str">
        <f ca="1">IFERROR(__xludf.DUMMYFUNCTION("""COMPUTED_VALUE"""),"Resolución de Transferencia")</f>
        <v>Resolución de Transferencia</v>
      </c>
      <c r="F184" s="10" t="str">
        <f ca="1">IFERROR(__xludf.DUMMYFUNCTION("""COMPUTED_VALUE"""),"MUNICIPALIDAD DE ARICA")</f>
        <v>MUNICIPALIDAD DE ARICA</v>
      </c>
      <c r="G184" s="71">
        <f ca="1">IFERROR(__xludf.DUMMYFUNCTION("""COMPUTED_VALUE"""),131790199)</f>
        <v>131790199</v>
      </c>
      <c r="H184" s="10" t="str">
        <f ca="1">IFERROR(__xludf.DUMMYFUNCTION("""COMPUTED_VALUE"""),"Resolución")</f>
        <v>Resolución</v>
      </c>
      <c r="I184" s="10" t="str">
        <f ca="1">IFERROR(__xludf.DUMMYFUNCTION("""COMPUTED_VALUE"""),"FONDO DE INCENTIVO AL MEJORAMIENTO DE LA GESTIÓN MUNICIPAL")</f>
        <v>FONDO DE INCENTIVO AL MEJORAMIENTO DE LA GESTIÓN MUNICIPAL</v>
      </c>
      <c r="J184" s="10" t="str">
        <f ca="1">IFERROR(__xludf.DUMMYFUNCTION("""COMPUTED_VALUE"""),"Cumplir con normativa y reglamentos internos del programa en base a los objetivos.")</f>
        <v>Cumplir con normativa y reglamentos internos del programa en base a los objetivos.</v>
      </c>
      <c r="K184" s="71">
        <f ca="1">IFERROR(__xludf.DUMMYFUNCTION("""COMPUTED_VALUE"""),131790199)</f>
        <v>131790199</v>
      </c>
      <c r="L184" s="27">
        <f ca="1">IFERROR(__xludf.DUMMYFUNCTION("""COMPUTED_VALUE"""),1)</f>
        <v>1</v>
      </c>
      <c r="M184" s="10" t="str">
        <f ca="1">IFERROR(__xludf.DUMMYFUNCTION("""COMPUTED_VALUE"""),"19/2024")</f>
        <v>19/2024</v>
      </c>
      <c r="N184" s="10" t="str">
        <f ca="1">IFERROR(__xludf.DUMMYFUNCTION("""COMPUTED_VALUE"""),"FIGEM")</f>
        <v>FIGEM</v>
      </c>
      <c r="O184" s="59"/>
      <c r="P184" s="1"/>
      <c r="Q184" s="1"/>
      <c r="R184" s="1"/>
      <c r="S184" s="1"/>
      <c r="T184" s="1"/>
      <c r="U184" s="1"/>
      <c r="V184" s="1"/>
      <c r="W184" s="1"/>
      <c r="X184" s="1"/>
      <c r="Y184" s="1"/>
      <c r="Z184" s="1"/>
      <c r="AA184" s="1"/>
    </row>
    <row r="185" spans="1:27" ht="12.75" customHeight="1">
      <c r="A185" s="1"/>
      <c r="B185" s="10" t="str">
        <f ca="1">IFERROR(__xludf.DUMMYFUNCTION("""COMPUTED_VALUE"""),"Fondo de Incentivo al Mejoramiento de la Gestión Municipal 2024")</f>
        <v>Fondo de Incentivo al Mejoramiento de la Gestión Municipal 2024</v>
      </c>
      <c r="C185" s="10" t="str">
        <f ca="1">IFERROR(__xludf.DUMMYFUNCTION("""COMPUTED_VALUE"""),"FIGEM-2024-151")</f>
        <v>FIGEM-2024-151</v>
      </c>
      <c r="D185" s="26" t="str">
        <f t="shared" ca="1" si="0"/>
        <v xml:space="preserve"> GENERAL LAGOS</v>
      </c>
      <c r="E185" s="10" t="str">
        <f ca="1">IFERROR(__xludf.DUMMYFUNCTION("""COMPUTED_VALUE"""),"Resolución de Transferencia")</f>
        <v>Resolución de Transferencia</v>
      </c>
      <c r="F185" s="10" t="str">
        <f ca="1">IFERROR(__xludf.DUMMYFUNCTION("""COMPUTED_VALUE"""),"MUNICIPALIDAD DE GENERAL LAGOS")</f>
        <v>MUNICIPALIDAD DE GENERAL LAGOS</v>
      </c>
      <c r="G185" s="71">
        <f ca="1">IFERROR(__xludf.DUMMYFUNCTION("""COMPUTED_VALUE"""),92014860)</f>
        <v>92014860</v>
      </c>
      <c r="H185" s="10" t="str">
        <f ca="1">IFERROR(__xludf.DUMMYFUNCTION("""COMPUTED_VALUE"""),"Resolución")</f>
        <v>Resolución</v>
      </c>
      <c r="I185" s="10" t="str">
        <f ca="1">IFERROR(__xludf.DUMMYFUNCTION("""COMPUTED_VALUE"""),"FONDO DE INCENTIVO AL MEJORAMIENTO DE LA GESTIÓN MUNICIPAL")</f>
        <v>FONDO DE INCENTIVO AL MEJORAMIENTO DE LA GESTIÓN MUNICIPAL</v>
      </c>
      <c r="J185" s="10" t="str">
        <f ca="1">IFERROR(__xludf.DUMMYFUNCTION("""COMPUTED_VALUE"""),"Cumplir con normativa y reglamentos internos del programa en base a los objetivos.")</f>
        <v>Cumplir con normativa y reglamentos internos del programa en base a los objetivos.</v>
      </c>
      <c r="K185" s="71">
        <f ca="1">IFERROR(__xludf.DUMMYFUNCTION("""COMPUTED_VALUE"""),92014860)</f>
        <v>92014860</v>
      </c>
      <c r="L185" s="27">
        <f ca="1">IFERROR(__xludf.DUMMYFUNCTION("""COMPUTED_VALUE"""),1)</f>
        <v>1</v>
      </c>
      <c r="M185" s="10" t="str">
        <f ca="1">IFERROR(__xludf.DUMMYFUNCTION("""COMPUTED_VALUE"""),"19/2024")</f>
        <v>19/2024</v>
      </c>
      <c r="N185" s="10" t="str">
        <f ca="1">IFERROR(__xludf.DUMMYFUNCTION("""COMPUTED_VALUE"""),"FIGEM")</f>
        <v>FIGEM</v>
      </c>
      <c r="O185" s="59"/>
      <c r="P185" s="1"/>
      <c r="Q185" s="1"/>
      <c r="R185" s="1"/>
      <c r="S185" s="1"/>
      <c r="T185" s="1"/>
      <c r="U185" s="1"/>
      <c r="V185" s="1"/>
      <c r="W185" s="1"/>
      <c r="X185" s="1"/>
      <c r="Y185" s="1"/>
      <c r="Z185" s="1"/>
      <c r="AA185" s="1"/>
    </row>
    <row r="186" spans="1:27" ht="12.75" customHeight="1">
      <c r="A186" s="1"/>
      <c r="B186" s="10" t="str">
        <f ca="1">IFERROR(__xludf.DUMMYFUNCTION("""COMPUTED_VALUE"""),"Fondo de Incentivo al Mejoramiento de la Gestión Municipal 2024")</f>
        <v>Fondo de Incentivo al Mejoramiento de la Gestión Municipal 2024</v>
      </c>
      <c r="C186" s="10" t="str">
        <f ca="1">IFERROR(__xludf.DUMMYFUNCTION("""COMPUTED_VALUE"""),"FIGEM-2024-33")</f>
        <v>FIGEM-2024-33</v>
      </c>
      <c r="D186" s="26" t="str">
        <f t="shared" ca="1" si="0"/>
        <v xml:space="preserve"> CHILLÁN</v>
      </c>
      <c r="E186" s="10" t="str">
        <f ca="1">IFERROR(__xludf.DUMMYFUNCTION("""COMPUTED_VALUE"""),"Resolución de Transferencia")</f>
        <v>Resolución de Transferencia</v>
      </c>
      <c r="F186" s="10" t="str">
        <f ca="1">IFERROR(__xludf.DUMMYFUNCTION("""COMPUTED_VALUE"""),"MUNICIPALIDAD DE CHILLÁN")</f>
        <v>MUNICIPALIDAD DE CHILLÁN</v>
      </c>
      <c r="G186" s="71">
        <f ca="1">IFERROR(__xludf.DUMMYFUNCTION("""COMPUTED_VALUE"""),134742321)</f>
        <v>134742321</v>
      </c>
      <c r="H186" s="10" t="str">
        <f ca="1">IFERROR(__xludf.DUMMYFUNCTION("""COMPUTED_VALUE"""),"Resolución")</f>
        <v>Resolución</v>
      </c>
      <c r="I186" s="10" t="str">
        <f ca="1">IFERROR(__xludf.DUMMYFUNCTION("""COMPUTED_VALUE"""),"FONDO DE INCENTIVO AL MEJORAMIENTO DE LA GESTIÓN MUNICIPAL")</f>
        <v>FONDO DE INCENTIVO AL MEJORAMIENTO DE LA GESTIÓN MUNICIPAL</v>
      </c>
      <c r="J186" s="10" t="str">
        <f ca="1">IFERROR(__xludf.DUMMYFUNCTION("""COMPUTED_VALUE"""),"Cumplir con normativa y reglamentos internos del programa en base a los objetivos.")</f>
        <v>Cumplir con normativa y reglamentos internos del programa en base a los objetivos.</v>
      </c>
      <c r="K186" s="71">
        <f ca="1">IFERROR(__xludf.DUMMYFUNCTION("""COMPUTED_VALUE"""),134742321)</f>
        <v>134742321</v>
      </c>
      <c r="L186" s="27">
        <f ca="1">IFERROR(__xludf.DUMMYFUNCTION("""COMPUTED_VALUE"""),1)</f>
        <v>1</v>
      </c>
      <c r="M186" s="10" t="str">
        <f ca="1">IFERROR(__xludf.DUMMYFUNCTION("""COMPUTED_VALUE"""),"19/2024")</f>
        <v>19/2024</v>
      </c>
      <c r="N186" s="10" t="str">
        <f ca="1">IFERROR(__xludf.DUMMYFUNCTION("""COMPUTED_VALUE"""),"FIGEM")</f>
        <v>FIGEM</v>
      </c>
      <c r="O186" s="59"/>
      <c r="P186" s="1"/>
      <c r="Q186" s="1"/>
      <c r="R186" s="1"/>
      <c r="S186" s="1"/>
      <c r="T186" s="1"/>
      <c r="U186" s="1"/>
      <c r="V186" s="1"/>
      <c r="W186" s="1"/>
      <c r="X186" s="1"/>
      <c r="Y186" s="1"/>
      <c r="Z186" s="1"/>
      <c r="AA186" s="1"/>
    </row>
    <row r="187" spans="1:27" ht="12.75" customHeight="1">
      <c r="A187" s="1"/>
      <c r="B187" s="10" t="str">
        <f ca="1">IFERROR(__xludf.DUMMYFUNCTION("""COMPUTED_VALUE"""),"Fondo de Incentivo al Mejoramiento de la Gestión Municipal 2024")</f>
        <v>Fondo de Incentivo al Mejoramiento de la Gestión Municipal 2024</v>
      </c>
      <c r="C187" s="10" t="str">
        <f ca="1">IFERROR(__xludf.DUMMYFUNCTION("""COMPUTED_VALUE"""),"FIGEM-2024-97")</f>
        <v>FIGEM-2024-97</v>
      </c>
      <c r="D187" s="26" t="str">
        <f t="shared" ca="1" si="0"/>
        <v xml:space="preserve"> BULNES</v>
      </c>
      <c r="E187" s="10" t="str">
        <f ca="1">IFERROR(__xludf.DUMMYFUNCTION("""COMPUTED_VALUE"""),"Resolución de Transferencia")</f>
        <v>Resolución de Transferencia</v>
      </c>
      <c r="F187" s="10" t="str">
        <f ca="1">IFERROR(__xludf.DUMMYFUNCTION("""COMPUTED_VALUE"""),"MUNICIPALIDAD DE BULNES")</f>
        <v>MUNICIPALIDAD DE BULNES</v>
      </c>
      <c r="G187" s="71">
        <f ca="1">IFERROR(__xludf.DUMMYFUNCTION("""COMPUTED_VALUE"""),88685723)</f>
        <v>88685723</v>
      </c>
      <c r="H187" s="10" t="str">
        <f ca="1">IFERROR(__xludf.DUMMYFUNCTION("""COMPUTED_VALUE"""),"Resolución")</f>
        <v>Resolución</v>
      </c>
      <c r="I187" s="10" t="str">
        <f ca="1">IFERROR(__xludf.DUMMYFUNCTION("""COMPUTED_VALUE"""),"FONDO DE INCENTIVO AL MEJORAMIENTO DE LA GESTIÓN MUNICIPAL")</f>
        <v>FONDO DE INCENTIVO AL MEJORAMIENTO DE LA GESTIÓN MUNICIPAL</v>
      </c>
      <c r="J187" s="10" t="str">
        <f ca="1">IFERROR(__xludf.DUMMYFUNCTION("""COMPUTED_VALUE"""),"Cumplir con normativa y reglamentos internos del programa en base a los objetivos.")</f>
        <v>Cumplir con normativa y reglamentos internos del programa en base a los objetivos.</v>
      </c>
      <c r="K187" s="71">
        <f ca="1">IFERROR(__xludf.DUMMYFUNCTION("""COMPUTED_VALUE"""),88685723)</f>
        <v>88685723</v>
      </c>
      <c r="L187" s="27">
        <f ca="1">IFERROR(__xludf.DUMMYFUNCTION("""COMPUTED_VALUE"""),1)</f>
        <v>1</v>
      </c>
      <c r="M187" s="10" t="str">
        <f ca="1">IFERROR(__xludf.DUMMYFUNCTION("""COMPUTED_VALUE"""),"19/2024")</f>
        <v>19/2024</v>
      </c>
      <c r="N187" s="10" t="str">
        <f ca="1">IFERROR(__xludf.DUMMYFUNCTION("""COMPUTED_VALUE"""),"FIGEM")</f>
        <v>FIGEM</v>
      </c>
      <c r="O187" s="59"/>
      <c r="P187" s="1"/>
      <c r="Q187" s="1"/>
      <c r="R187" s="1"/>
      <c r="S187" s="1"/>
      <c r="T187" s="1"/>
      <c r="U187" s="1"/>
      <c r="V187" s="1"/>
      <c r="W187" s="1"/>
      <c r="X187" s="1"/>
      <c r="Y187" s="1"/>
      <c r="Z187" s="1"/>
      <c r="AA187" s="1"/>
    </row>
    <row r="188" spans="1:27" ht="12.75" customHeight="1">
      <c r="A188" s="1"/>
      <c r="B188" s="10" t="str">
        <f ca="1">IFERROR(__xludf.DUMMYFUNCTION("""COMPUTED_VALUE"""),"Fondo de Incentivo al Mejoramiento de la Gestión Municipal 2024")</f>
        <v>Fondo de Incentivo al Mejoramiento de la Gestión Municipal 2024</v>
      </c>
      <c r="C188" s="10" t="str">
        <f ca="1">IFERROR(__xludf.DUMMYFUNCTION("""COMPUTED_VALUE"""),"FIGEM-2024-160")</f>
        <v>FIGEM-2024-160</v>
      </c>
      <c r="D188" s="26" t="str">
        <f t="shared" ca="1" si="0"/>
        <v xml:space="preserve"> EL CARMEN</v>
      </c>
      <c r="E188" s="10" t="str">
        <f ca="1">IFERROR(__xludf.DUMMYFUNCTION("""COMPUTED_VALUE"""),"Resolución de Transferencia")</f>
        <v>Resolución de Transferencia</v>
      </c>
      <c r="F188" s="10" t="str">
        <f ca="1">IFERROR(__xludf.DUMMYFUNCTION("""COMPUTED_VALUE"""),"MUNICIPALIDAD DE EL CARMEN")</f>
        <v>MUNICIPALIDAD DE EL CARMEN</v>
      </c>
      <c r="G188" s="71">
        <f ca="1">IFERROR(__xludf.DUMMYFUNCTION("""COMPUTED_VALUE"""),90979293)</f>
        <v>90979293</v>
      </c>
      <c r="H188" s="10" t="str">
        <f ca="1">IFERROR(__xludf.DUMMYFUNCTION("""COMPUTED_VALUE"""),"Resolución")</f>
        <v>Resolución</v>
      </c>
      <c r="I188" s="10" t="str">
        <f ca="1">IFERROR(__xludf.DUMMYFUNCTION("""COMPUTED_VALUE"""),"FONDO DE INCENTIVO AL MEJORAMIENTO DE LA GESTIÓN MUNICIPAL")</f>
        <v>FONDO DE INCENTIVO AL MEJORAMIENTO DE LA GESTIÓN MUNICIPAL</v>
      </c>
      <c r="J188" s="10" t="str">
        <f ca="1">IFERROR(__xludf.DUMMYFUNCTION("""COMPUTED_VALUE"""),"Cumplir con normativa y reglamentos internos del programa en base a los objetivos.")</f>
        <v>Cumplir con normativa y reglamentos internos del programa en base a los objetivos.</v>
      </c>
      <c r="K188" s="71">
        <f ca="1">IFERROR(__xludf.DUMMYFUNCTION("""COMPUTED_VALUE"""),90979293)</f>
        <v>90979293</v>
      </c>
      <c r="L188" s="27">
        <f ca="1">IFERROR(__xludf.DUMMYFUNCTION("""COMPUTED_VALUE"""),1)</f>
        <v>1</v>
      </c>
      <c r="M188" s="10" t="str">
        <f ca="1">IFERROR(__xludf.DUMMYFUNCTION("""COMPUTED_VALUE"""),"19/2024")</f>
        <v>19/2024</v>
      </c>
      <c r="N188" s="10" t="str">
        <f ca="1">IFERROR(__xludf.DUMMYFUNCTION("""COMPUTED_VALUE"""),"FIGEM")</f>
        <v>FIGEM</v>
      </c>
      <c r="O188" s="59"/>
      <c r="P188" s="1"/>
      <c r="Q188" s="1"/>
      <c r="R188" s="1"/>
      <c r="S188" s="1"/>
      <c r="T188" s="1"/>
      <c r="U188" s="1"/>
      <c r="V188" s="1"/>
      <c r="W188" s="1"/>
      <c r="X188" s="1"/>
      <c r="Y188" s="1"/>
      <c r="Z188" s="1"/>
      <c r="AA188" s="1"/>
    </row>
    <row r="189" spans="1:27" ht="12.75" customHeight="1">
      <c r="A189" s="1"/>
      <c r="B189" s="10" t="str">
        <f ca="1">IFERROR(__xludf.DUMMYFUNCTION("""COMPUTED_VALUE"""),"Fondo de Incentivo al Mejoramiento de la Gestión Municipal 2024")</f>
        <v>Fondo de Incentivo al Mejoramiento de la Gestión Municipal 2024</v>
      </c>
      <c r="C189" s="10" t="str">
        <f ca="1">IFERROR(__xludf.DUMMYFUNCTION("""COMPUTED_VALUE"""),"FIGEM-2024-147")</f>
        <v>FIGEM-2024-147</v>
      </c>
      <c r="D189" s="26" t="str">
        <f t="shared" ca="1" si="0"/>
        <v xml:space="preserve"> PINTO</v>
      </c>
      <c r="E189" s="10" t="str">
        <f ca="1">IFERROR(__xludf.DUMMYFUNCTION("""COMPUTED_VALUE"""),"Resolución de Transferencia")</f>
        <v>Resolución de Transferencia</v>
      </c>
      <c r="F189" s="10" t="str">
        <f ca="1">IFERROR(__xludf.DUMMYFUNCTION("""COMPUTED_VALUE"""),"MUNICIPALIDAD DE PINTO")</f>
        <v>MUNICIPALIDAD DE PINTO</v>
      </c>
      <c r="G189" s="71">
        <f ca="1">IFERROR(__xludf.DUMMYFUNCTION("""COMPUTED_VALUE"""),92310094)</f>
        <v>92310094</v>
      </c>
      <c r="H189" s="10" t="str">
        <f ca="1">IFERROR(__xludf.DUMMYFUNCTION("""COMPUTED_VALUE"""),"Resolución")</f>
        <v>Resolución</v>
      </c>
      <c r="I189" s="10" t="str">
        <f ca="1">IFERROR(__xludf.DUMMYFUNCTION("""COMPUTED_VALUE"""),"FONDO DE INCENTIVO AL MEJORAMIENTO DE LA GESTIÓN MUNICIPAL")</f>
        <v>FONDO DE INCENTIVO AL MEJORAMIENTO DE LA GESTIÓN MUNICIPAL</v>
      </c>
      <c r="J189" s="10" t="str">
        <f ca="1">IFERROR(__xludf.DUMMYFUNCTION("""COMPUTED_VALUE"""),"Cumplir con normativa y reglamentos internos del programa en base a los objetivos.")</f>
        <v>Cumplir con normativa y reglamentos internos del programa en base a los objetivos.</v>
      </c>
      <c r="K189" s="71">
        <f ca="1">IFERROR(__xludf.DUMMYFUNCTION("""COMPUTED_VALUE"""),92310094)</f>
        <v>92310094</v>
      </c>
      <c r="L189" s="27">
        <f ca="1">IFERROR(__xludf.DUMMYFUNCTION("""COMPUTED_VALUE"""),1)</f>
        <v>1</v>
      </c>
      <c r="M189" s="10" t="str">
        <f ca="1">IFERROR(__xludf.DUMMYFUNCTION("""COMPUTED_VALUE"""),"19/2024")</f>
        <v>19/2024</v>
      </c>
      <c r="N189" s="10" t="str">
        <f ca="1">IFERROR(__xludf.DUMMYFUNCTION("""COMPUTED_VALUE"""),"FIGEM")</f>
        <v>FIGEM</v>
      </c>
      <c r="O189" s="59"/>
      <c r="P189" s="1"/>
      <c r="Q189" s="1"/>
      <c r="R189" s="1"/>
      <c r="S189" s="1"/>
      <c r="T189" s="1"/>
      <c r="U189" s="1"/>
      <c r="V189" s="1"/>
      <c r="W189" s="1"/>
      <c r="X189" s="1"/>
      <c r="Y189" s="1"/>
      <c r="Z189" s="1"/>
      <c r="AA189" s="1"/>
    </row>
    <row r="190" spans="1:27" ht="12.75" customHeight="1">
      <c r="A190" s="1"/>
      <c r="B190" s="10" t="str">
        <f ca="1">IFERROR(__xludf.DUMMYFUNCTION("""COMPUTED_VALUE"""),"Fondo de Incentivo al Mejoramiento de la Gestión Municipal 2024")</f>
        <v>Fondo de Incentivo al Mejoramiento de la Gestión Municipal 2024</v>
      </c>
      <c r="C190" s="10" t="str">
        <f ca="1">IFERROR(__xludf.DUMMYFUNCTION("""COMPUTED_VALUE"""),"FIGEM-2024-152")</f>
        <v>FIGEM-2024-152</v>
      </c>
      <c r="D190" s="26" t="str">
        <f t="shared" ca="1" si="0"/>
        <v xml:space="preserve"> COELEMU</v>
      </c>
      <c r="E190" s="10" t="str">
        <f ca="1">IFERROR(__xludf.DUMMYFUNCTION("""COMPUTED_VALUE"""),"Resolución de Transferencia")</f>
        <v>Resolución de Transferencia</v>
      </c>
      <c r="F190" s="10" t="str">
        <f ca="1">IFERROR(__xludf.DUMMYFUNCTION("""COMPUTED_VALUE"""),"MUNICIPALIDAD DE COELEMU")</f>
        <v>MUNICIPALIDAD DE COELEMU</v>
      </c>
      <c r="G190" s="71">
        <f ca="1">IFERROR(__xludf.DUMMYFUNCTION("""COMPUTED_VALUE"""),91755754)</f>
        <v>91755754</v>
      </c>
      <c r="H190" s="10" t="str">
        <f ca="1">IFERROR(__xludf.DUMMYFUNCTION("""COMPUTED_VALUE"""),"Resolución")</f>
        <v>Resolución</v>
      </c>
      <c r="I190" s="10" t="str">
        <f ca="1">IFERROR(__xludf.DUMMYFUNCTION("""COMPUTED_VALUE"""),"FONDO DE INCENTIVO AL MEJORAMIENTO DE LA GESTIÓN MUNICIPAL")</f>
        <v>FONDO DE INCENTIVO AL MEJORAMIENTO DE LA GESTIÓN MUNICIPAL</v>
      </c>
      <c r="J190" s="10" t="str">
        <f ca="1">IFERROR(__xludf.DUMMYFUNCTION("""COMPUTED_VALUE"""),"Cumplir con normativa y reglamentos internos del programa en base a los objetivos.")</f>
        <v>Cumplir con normativa y reglamentos internos del programa en base a los objetivos.</v>
      </c>
      <c r="K190" s="71">
        <f ca="1">IFERROR(__xludf.DUMMYFUNCTION("""COMPUTED_VALUE"""),91755754)</f>
        <v>91755754</v>
      </c>
      <c r="L190" s="27">
        <f ca="1">IFERROR(__xludf.DUMMYFUNCTION("""COMPUTED_VALUE"""),1)</f>
        <v>1</v>
      </c>
      <c r="M190" s="10" t="str">
        <f ca="1">IFERROR(__xludf.DUMMYFUNCTION("""COMPUTED_VALUE"""),"19/2024")</f>
        <v>19/2024</v>
      </c>
      <c r="N190" s="10" t="str">
        <f ca="1">IFERROR(__xludf.DUMMYFUNCTION("""COMPUTED_VALUE"""),"FIGEM")</f>
        <v>FIGEM</v>
      </c>
      <c r="O190" s="59"/>
      <c r="P190" s="1"/>
      <c r="Q190" s="1"/>
      <c r="R190" s="1"/>
      <c r="S190" s="1"/>
      <c r="T190" s="1"/>
      <c r="U190" s="1"/>
      <c r="V190" s="1"/>
      <c r="W190" s="1"/>
      <c r="X190" s="1"/>
      <c r="Y190" s="1"/>
      <c r="Z190" s="1"/>
      <c r="AA190" s="1"/>
    </row>
    <row r="191" spans="1:27" ht="12.75" customHeight="1">
      <c r="A191" s="1"/>
      <c r="B191" s="10" t="str">
        <f ca="1">IFERROR(__xludf.DUMMYFUNCTION("""COMPUTED_VALUE"""),"Fondo de Incentivo al Mejoramiento de la Gestión Municipal 2024")</f>
        <v>Fondo de Incentivo al Mejoramiento de la Gestión Municipal 2024</v>
      </c>
      <c r="C191" s="10" t="str">
        <f ca="1">IFERROR(__xludf.DUMMYFUNCTION("""COMPUTED_VALUE"""),"FIGEM-2024-136")</f>
        <v>FIGEM-2024-136</v>
      </c>
      <c r="D191" s="26" t="str">
        <f t="shared" ca="1" si="0"/>
        <v xml:space="preserve"> PORTEZUELO</v>
      </c>
      <c r="E191" s="10" t="str">
        <f ca="1">IFERROR(__xludf.DUMMYFUNCTION("""COMPUTED_VALUE"""),"Resolución de Transferencia")</f>
        <v>Resolución de Transferencia</v>
      </c>
      <c r="F191" s="10" t="str">
        <f ca="1">IFERROR(__xludf.DUMMYFUNCTION("""COMPUTED_VALUE"""),"MUNICIPALIDAD DE PORTEZUELO")</f>
        <v>MUNICIPALIDAD DE PORTEZUELO</v>
      </c>
      <c r="G191" s="71">
        <f ca="1">IFERROR(__xludf.DUMMYFUNCTION("""COMPUTED_VALUE"""),93534083)</f>
        <v>93534083</v>
      </c>
      <c r="H191" s="10" t="str">
        <f ca="1">IFERROR(__xludf.DUMMYFUNCTION("""COMPUTED_VALUE"""),"Resolución")</f>
        <v>Resolución</v>
      </c>
      <c r="I191" s="10" t="str">
        <f ca="1">IFERROR(__xludf.DUMMYFUNCTION("""COMPUTED_VALUE"""),"FONDO DE INCENTIVO AL MEJORAMIENTO DE LA GESTIÓN MUNICIPAL")</f>
        <v>FONDO DE INCENTIVO AL MEJORAMIENTO DE LA GESTIÓN MUNICIPAL</v>
      </c>
      <c r="J191" s="10" t="str">
        <f ca="1">IFERROR(__xludf.DUMMYFUNCTION("""COMPUTED_VALUE"""),"Cumplir con normativa y reglamentos internos del programa en base a los objetivos.")</f>
        <v>Cumplir con normativa y reglamentos internos del programa en base a los objetivos.</v>
      </c>
      <c r="K191" s="71">
        <f ca="1">IFERROR(__xludf.DUMMYFUNCTION("""COMPUTED_VALUE"""),93534083)</f>
        <v>93534083</v>
      </c>
      <c r="L191" s="27">
        <f ca="1">IFERROR(__xludf.DUMMYFUNCTION("""COMPUTED_VALUE"""),1)</f>
        <v>1</v>
      </c>
      <c r="M191" s="10" t="str">
        <f ca="1">IFERROR(__xludf.DUMMYFUNCTION("""COMPUTED_VALUE"""),"19/2024")</f>
        <v>19/2024</v>
      </c>
      <c r="N191" s="10" t="str">
        <f ca="1">IFERROR(__xludf.DUMMYFUNCTION("""COMPUTED_VALUE"""),"FIGEM")</f>
        <v>FIGEM</v>
      </c>
      <c r="O191" s="59"/>
      <c r="P191" s="1"/>
      <c r="Q191" s="1"/>
      <c r="R191" s="1"/>
      <c r="S191" s="1"/>
      <c r="T191" s="1"/>
      <c r="U191" s="1"/>
      <c r="V191" s="1"/>
      <c r="W191" s="1"/>
      <c r="X191" s="1"/>
      <c r="Y191" s="1"/>
      <c r="Z191" s="1"/>
      <c r="AA191" s="1"/>
    </row>
    <row r="192" spans="1:27" ht="12.75" customHeight="1">
      <c r="A192" s="1"/>
      <c r="B192" s="10" t="str">
        <f ca="1">IFERROR(__xludf.DUMMYFUNCTION("""COMPUTED_VALUE"""),"Fondo de Incentivo al Mejoramiento de la Gestión Municipal 2024")</f>
        <v>Fondo de Incentivo al Mejoramiento de la Gestión Municipal 2024</v>
      </c>
      <c r="C192" s="10" t="str">
        <f ca="1">IFERROR(__xludf.DUMMYFUNCTION("""COMPUTED_VALUE"""),"FIGEM-2024-47")</f>
        <v>FIGEM-2024-47</v>
      </c>
      <c r="D192" s="26" t="str">
        <f t="shared" ca="1" si="0"/>
        <v xml:space="preserve"> SAN CARLOS</v>
      </c>
      <c r="E192" s="10" t="str">
        <f ca="1">IFERROR(__xludf.DUMMYFUNCTION("""COMPUTED_VALUE"""),"Resolución de Transferencia")</f>
        <v>Resolución de Transferencia</v>
      </c>
      <c r="F192" s="10" t="str">
        <f ca="1">IFERROR(__xludf.DUMMYFUNCTION("""COMPUTED_VALUE"""),"MUNICIPALIDAD DE SAN CARLOS")</f>
        <v>MUNICIPALIDAD DE SAN CARLOS</v>
      </c>
      <c r="G192" s="71">
        <f ca="1">IFERROR(__xludf.DUMMYFUNCTION("""COMPUTED_VALUE"""),127834626)</f>
        <v>127834626</v>
      </c>
      <c r="H192" s="10" t="str">
        <f ca="1">IFERROR(__xludf.DUMMYFUNCTION("""COMPUTED_VALUE"""),"Resolución")</f>
        <v>Resolución</v>
      </c>
      <c r="I192" s="10" t="str">
        <f ca="1">IFERROR(__xludf.DUMMYFUNCTION("""COMPUTED_VALUE"""),"FONDO DE INCENTIVO AL MEJORAMIENTO DE LA GESTIÓN MUNICIPAL")</f>
        <v>FONDO DE INCENTIVO AL MEJORAMIENTO DE LA GESTIÓN MUNICIPAL</v>
      </c>
      <c r="J192" s="10" t="str">
        <f ca="1">IFERROR(__xludf.DUMMYFUNCTION("""COMPUTED_VALUE"""),"Cumplir con normativa y reglamentos internos del programa en base a los objetivos.")</f>
        <v>Cumplir con normativa y reglamentos internos del programa en base a los objetivos.</v>
      </c>
      <c r="K192" s="71">
        <f ca="1">IFERROR(__xludf.DUMMYFUNCTION("""COMPUTED_VALUE"""),127834626)</f>
        <v>127834626</v>
      </c>
      <c r="L192" s="27">
        <f ca="1">IFERROR(__xludf.DUMMYFUNCTION("""COMPUTED_VALUE"""),1)</f>
        <v>1</v>
      </c>
      <c r="M192" s="10" t="str">
        <f ca="1">IFERROR(__xludf.DUMMYFUNCTION("""COMPUTED_VALUE"""),"19/2024")</f>
        <v>19/2024</v>
      </c>
      <c r="N192" s="10" t="str">
        <f ca="1">IFERROR(__xludf.DUMMYFUNCTION("""COMPUTED_VALUE"""),"FIGEM")</f>
        <v>FIGEM</v>
      </c>
      <c r="O192" s="59"/>
      <c r="P192" s="1"/>
      <c r="Q192" s="1"/>
      <c r="R192" s="1"/>
      <c r="S192" s="1"/>
      <c r="T192" s="1"/>
      <c r="U192" s="1"/>
      <c r="V192" s="1"/>
      <c r="W192" s="1"/>
      <c r="X192" s="1"/>
      <c r="Y192" s="1"/>
      <c r="Z192" s="1"/>
      <c r="AA192" s="1"/>
    </row>
    <row r="193" spans="1:27" ht="12.75" customHeight="1">
      <c r="A193" s="1"/>
      <c r="B193" s="10" t="str">
        <f ca="1">IFERROR(__xludf.DUMMYFUNCTION("""COMPUTED_VALUE"""),"Fondo de Incentivo al Mejoramiento de la Gestión Municipal 2024")</f>
        <v>Fondo de Incentivo al Mejoramiento de la Gestión Municipal 2024</v>
      </c>
      <c r="C193" s="10" t="str">
        <f ca="1">IFERROR(__xludf.DUMMYFUNCTION("""COMPUTED_VALUE"""),"FIGEM-2024-138")</f>
        <v>FIGEM-2024-138</v>
      </c>
      <c r="D193" s="26" t="str">
        <f t="shared" ca="1" si="0"/>
        <v xml:space="preserve"> COIHUECO</v>
      </c>
      <c r="E193" s="10" t="str">
        <f ca="1">IFERROR(__xludf.DUMMYFUNCTION("""COMPUTED_VALUE"""),"Resolución de Transferencia")</f>
        <v>Resolución de Transferencia</v>
      </c>
      <c r="F193" s="10" t="str">
        <f ca="1">IFERROR(__xludf.DUMMYFUNCTION("""COMPUTED_VALUE"""),"MUNICIPALIDAD DE COIHUECO")</f>
        <v>MUNICIPALIDAD DE COIHUECO</v>
      </c>
      <c r="G193" s="71">
        <f ca="1">IFERROR(__xludf.DUMMYFUNCTION("""COMPUTED_VALUE"""),93307306)</f>
        <v>93307306</v>
      </c>
      <c r="H193" s="10" t="str">
        <f ca="1">IFERROR(__xludf.DUMMYFUNCTION("""COMPUTED_VALUE"""),"Resolución")</f>
        <v>Resolución</v>
      </c>
      <c r="I193" s="10" t="str">
        <f ca="1">IFERROR(__xludf.DUMMYFUNCTION("""COMPUTED_VALUE"""),"FONDO DE INCENTIVO AL MEJORAMIENTO DE LA GESTIÓN MUNICIPAL")</f>
        <v>FONDO DE INCENTIVO AL MEJORAMIENTO DE LA GESTIÓN MUNICIPAL</v>
      </c>
      <c r="J193" s="10" t="str">
        <f ca="1">IFERROR(__xludf.DUMMYFUNCTION("""COMPUTED_VALUE"""),"Cumplir con normativa y reglamentos internos del programa en base a los objetivos.")</f>
        <v>Cumplir con normativa y reglamentos internos del programa en base a los objetivos.</v>
      </c>
      <c r="K193" s="71">
        <f ca="1">IFERROR(__xludf.DUMMYFUNCTION("""COMPUTED_VALUE"""),93307306)</f>
        <v>93307306</v>
      </c>
      <c r="L193" s="27">
        <f ca="1">IFERROR(__xludf.DUMMYFUNCTION("""COMPUTED_VALUE"""),1)</f>
        <v>1</v>
      </c>
      <c r="M193" s="10" t="str">
        <f ca="1">IFERROR(__xludf.DUMMYFUNCTION("""COMPUTED_VALUE"""),"19/2024")</f>
        <v>19/2024</v>
      </c>
      <c r="N193" s="10" t="str">
        <f ca="1">IFERROR(__xludf.DUMMYFUNCTION("""COMPUTED_VALUE"""),"FIGEM")</f>
        <v>FIGEM</v>
      </c>
      <c r="O193" s="59"/>
      <c r="P193" s="1"/>
      <c r="Q193" s="1"/>
      <c r="R193" s="1"/>
      <c r="S193" s="1"/>
      <c r="T193" s="1"/>
      <c r="U193" s="1"/>
      <c r="V193" s="1"/>
      <c r="W193" s="1"/>
      <c r="X193" s="1"/>
      <c r="Y193" s="1"/>
      <c r="Z193" s="1"/>
      <c r="AA193" s="1"/>
    </row>
    <row r="194" spans="1:27" ht="12.75" customHeight="1">
      <c r="A194" s="1"/>
      <c r="B194" s="10" t="str">
        <f ca="1">IFERROR(__xludf.DUMMYFUNCTION("""COMPUTED_VALUE"""),"Fondo de Incentivo al Mejoramiento de la Gestión Municipal 2024")</f>
        <v>Fondo de Incentivo al Mejoramiento de la Gestión Municipal 2024</v>
      </c>
      <c r="C194" s="10" t="str">
        <f ca="1">IFERROR(__xludf.DUMMYFUNCTION("""COMPUTED_VALUE"""),"FIGEM-2024-127")</f>
        <v>FIGEM-2024-127</v>
      </c>
      <c r="D194" s="26" t="str">
        <f t="shared" ca="1" si="0"/>
        <v xml:space="preserve"> SAN FABIÁN</v>
      </c>
      <c r="E194" s="10" t="str">
        <f ca="1">IFERROR(__xludf.DUMMYFUNCTION("""COMPUTED_VALUE"""),"Resolución de Transferencia")</f>
        <v>Resolución de Transferencia</v>
      </c>
      <c r="F194" s="10" t="str">
        <f ca="1">IFERROR(__xludf.DUMMYFUNCTION("""COMPUTED_VALUE"""),"MUNICIPALIDAD DE SAN FABIÁN")</f>
        <v>MUNICIPALIDAD DE SAN FABIÁN</v>
      </c>
      <c r="G194" s="71">
        <f ca="1">IFERROR(__xludf.DUMMYFUNCTION("""COMPUTED_VALUE"""),95294062)</f>
        <v>95294062</v>
      </c>
      <c r="H194" s="10" t="str">
        <f ca="1">IFERROR(__xludf.DUMMYFUNCTION("""COMPUTED_VALUE"""),"Resolución")</f>
        <v>Resolución</v>
      </c>
      <c r="I194" s="10" t="str">
        <f ca="1">IFERROR(__xludf.DUMMYFUNCTION("""COMPUTED_VALUE"""),"FONDO DE INCENTIVO AL MEJORAMIENTO DE LA GESTIÓN MUNICIPAL")</f>
        <v>FONDO DE INCENTIVO AL MEJORAMIENTO DE LA GESTIÓN MUNICIPAL</v>
      </c>
      <c r="J194" s="10" t="str">
        <f ca="1">IFERROR(__xludf.DUMMYFUNCTION("""COMPUTED_VALUE"""),"Cumplir con normativa y reglamentos internos del programa en base a los objetivos.")</f>
        <v>Cumplir con normativa y reglamentos internos del programa en base a los objetivos.</v>
      </c>
      <c r="K194" s="71">
        <f ca="1">IFERROR(__xludf.DUMMYFUNCTION("""COMPUTED_VALUE"""),95294062)</f>
        <v>95294062</v>
      </c>
      <c r="L194" s="27">
        <f ca="1">IFERROR(__xludf.DUMMYFUNCTION("""COMPUTED_VALUE"""),1)</f>
        <v>1</v>
      </c>
      <c r="M194" s="10" t="str">
        <f ca="1">IFERROR(__xludf.DUMMYFUNCTION("""COMPUTED_VALUE"""),"19/2024")</f>
        <v>19/2024</v>
      </c>
      <c r="N194" s="10" t="str">
        <f ca="1">IFERROR(__xludf.DUMMYFUNCTION("""COMPUTED_VALUE"""),"FIGEM")</f>
        <v>FIGEM</v>
      </c>
      <c r="O194" s="59"/>
      <c r="P194" s="1"/>
      <c r="Q194" s="1"/>
      <c r="R194" s="1"/>
      <c r="S194" s="1"/>
      <c r="T194" s="1"/>
      <c r="U194" s="1"/>
      <c r="V194" s="1"/>
      <c r="W194" s="1"/>
      <c r="X194" s="1"/>
      <c r="Y194" s="1"/>
      <c r="Z194" s="1"/>
      <c r="AA194" s="1"/>
    </row>
    <row r="195" spans="1:27" ht="12.75" customHeight="1">
      <c r="A195" s="1"/>
      <c r="B195" s="10" t="str">
        <f ca="1">IFERROR(__xludf.DUMMYFUNCTION("""COMPUTED_VALUE"""),"Fondo de Incentivo al Mejoramiento de la Gestión Municipal 2024")</f>
        <v>Fondo de Incentivo al Mejoramiento de la Gestión Municipal 2024</v>
      </c>
      <c r="C195" s="10" t="str">
        <f ca="1">IFERROR(__xludf.DUMMYFUNCTION("""COMPUTED_VALUE"""),"FIGEM-2024-123")</f>
        <v>FIGEM-2024-123</v>
      </c>
      <c r="D195" s="26" t="str">
        <f t="shared" ca="1" si="0"/>
        <v xml:space="preserve"> SAN NICOLÁS</v>
      </c>
      <c r="E195" s="10" t="str">
        <f ca="1">IFERROR(__xludf.DUMMYFUNCTION("""COMPUTED_VALUE"""),"Resolución de Transferencia")</f>
        <v>Resolución de Transferencia</v>
      </c>
      <c r="F195" s="10" t="str">
        <f ca="1">IFERROR(__xludf.DUMMYFUNCTION("""COMPUTED_VALUE"""),"MUNICIPALIDAD DE SAN NICOLÁS")</f>
        <v>MUNICIPALIDAD DE SAN NICOLÁS</v>
      </c>
      <c r="G195" s="71">
        <f ca="1">IFERROR(__xludf.DUMMYFUNCTION("""COMPUTED_VALUE"""),101461716)</f>
        <v>101461716</v>
      </c>
      <c r="H195" s="10" t="str">
        <f ca="1">IFERROR(__xludf.DUMMYFUNCTION("""COMPUTED_VALUE"""),"Resolución")</f>
        <v>Resolución</v>
      </c>
      <c r="I195" s="10" t="str">
        <f ca="1">IFERROR(__xludf.DUMMYFUNCTION("""COMPUTED_VALUE"""),"FONDO DE INCENTIVO AL MEJORAMIENTO DE LA GESTIÓN MUNICIPAL")</f>
        <v>FONDO DE INCENTIVO AL MEJORAMIENTO DE LA GESTIÓN MUNICIPAL</v>
      </c>
      <c r="J195" s="10" t="str">
        <f ca="1">IFERROR(__xludf.DUMMYFUNCTION("""COMPUTED_VALUE"""),"Cumplir con normativa y reglamentos internos del programa en base a los objetivos.")</f>
        <v>Cumplir con normativa y reglamentos internos del programa en base a los objetivos.</v>
      </c>
      <c r="K195" s="71">
        <f ca="1">IFERROR(__xludf.DUMMYFUNCTION("""COMPUTED_VALUE"""),101461716)</f>
        <v>101461716</v>
      </c>
      <c r="L195" s="27">
        <f ca="1">IFERROR(__xludf.DUMMYFUNCTION("""COMPUTED_VALUE"""),1)</f>
        <v>1</v>
      </c>
      <c r="M195" s="10" t="str">
        <f ca="1">IFERROR(__xludf.DUMMYFUNCTION("""COMPUTED_VALUE"""),"19/2024")</f>
        <v>19/2024</v>
      </c>
      <c r="N195" s="10" t="str">
        <f ca="1">IFERROR(__xludf.DUMMYFUNCTION("""COMPUTED_VALUE"""),"FIGEM")</f>
        <v>FIGEM</v>
      </c>
      <c r="O195" s="59"/>
      <c r="P195" s="1"/>
      <c r="Q195" s="1"/>
      <c r="R195" s="1"/>
      <c r="S195" s="1"/>
      <c r="T195" s="1"/>
      <c r="U195" s="1"/>
      <c r="V195" s="1"/>
      <c r="W195" s="1"/>
      <c r="X195" s="1"/>
      <c r="Y195" s="1"/>
      <c r="Z195" s="1"/>
      <c r="AA195" s="1"/>
    </row>
    <row r="196" spans="1:27"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73"/>
    </row>
    <row r="197" spans="1:27" ht="12.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73"/>
    </row>
    <row r="198" spans="1:27" ht="12.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73"/>
    </row>
    <row r="199" spans="1:27" ht="12.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73"/>
    </row>
    <row r="200" spans="1:27" ht="12.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73"/>
    </row>
    <row r="201" spans="1:27" ht="12.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73"/>
    </row>
    <row r="202" spans="1:27" ht="12.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73"/>
    </row>
    <row r="203" spans="1:27" ht="12.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73"/>
    </row>
    <row r="204" spans="1:27" ht="12.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73"/>
    </row>
    <row r="205" spans="1:27" ht="12.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73"/>
    </row>
    <row r="206" spans="1:27" ht="12.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73"/>
    </row>
    <row r="207" spans="1:27" ht="12.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73"/>
    </row>
    <row r="208" spans="1:27" ht="12.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73"/>
    </row>
    <row r="209" spans="1:27" ht="12.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73"/>
    </row>
    <row r="210" spans="1:27" ht="12.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73"/>
    </row>
    <row r="211" spans="1:27" ht="12.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73"/>
    </row>
    <row r="212" spans="1:27" ht="12.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73"/>
    </row>
    <row r="213" spans="1:27" ht="12.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73"/>
    </row>
    <row r="214" spans="1:27" ht="12.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73"/>
    </row>
    <row r="215" spans="1:27" ht="12.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73"/>
    </row>
    <row r="216" spans="1:27" ht="12.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73"/>
    </row>
    <row r="217" spans="1:27" ht="12.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73"/>
    </row>
    <row r="218" spans="1:27" ht="12.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73"/>
    </row>
    <row r="219" spans="1:27" ht="12.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73"/>
    </row>
    <row r="220" spans="1:27" ht="12.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73"/>
    </row>
    <row r="221" spans="1:27" ht="12.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73"/>
    </row>
    <row r="222" spans="1:27" ht="15.75" hidden="1" customHeight="1">
      <c r="B222" s="99"/>
      <c r="C222" s="99"/>
      <c r="E222" s="99"/>
      <c r="F222" s="99"/>
      <c r="G222" s="99"/>
      <c r="H222" s="99"/>
      <c r="I222" s="99"/>
      <c r="J222" s="99"/>
      <c r="K222" s="99"/>
      <c r="L222" s="99"/>
      <c r="M222" s="99"/>
      <c r="N222" s="99"/>
    </row>
    <row r="223" spans="1:27" ht="15.75" hidden="1" customHeight="1">
      <c r="B223" s="99"/>
      <c r="C223" s="99"/>
      <c r="E223" s="99"/>
      <c r="F223" s="99"/>
      <c r="G223" s="99"/>
      <c r="H223" s="99"/>
      <c r="I223" s="99"/>
      <c r="J223" s="99"/>
      <c r="K223" s="99"/>
      <c r="L223" s="99"/>
      <c r="M223" s="99"/>
      <c r="N223" s="99"/>
    </row>
    <row r="224" spans="1:27" ht="15.75" hidden="1" customHeight="1">
      <c r="B224" s="99"/>
      <c r="C224" s="99"/>
      <c r="E224" s="99"/>
      <c r="F224" s="99"/>
      <c r="G224" s="99"/>
      <c r="H224" s="99"/>
      <c r="I224" s="99"/>
      <c r="J224" s="99"/>
      <c r="K224" s="99"/>
      <c r="L224" s="99"/>
      <c r="M224" s="99"/>
      <c r="N224" s="99"/>
    </row>
    <row r="225" spans="2:14" ht="15.75" hidden="1" customHeight="1">
      <c r="B225" s="99"/>
      <c r="C225" s="99"/>
      <c r="E225" s="99"/>
      <c r="F225" s="99"/>
      <c r="G225" s="99"/>
      <c r="H225" s="99"/>
      <c r="I225" s="99"/>
      <c r="J225" s="99"/>
      <c r="K225" s="99"/>
      <c r="L225" s="99"/>
      <c r="M225" s="99"/>
      <c r="N225" s="99"/>
    </row>
    <row r="226" spans="2:14" ht="15.75" hidden="1" customHeight="1">
      <c r="B226" s="99"/>
      <c r="C226" s="99"/>
      <c r="E226" s="99"/>
      <c r="F226" s="99"/>
      <c r="G226" s="99"/>
      <c r="H226" s="99"/>
      <c r="I226" s="99"/>
      <c r="J226" s="99"/>
      <c r="K226" s="99"/>
      <c r="L226" s="99"/>
      <c r="M226" s="99"/>
      <c r="N226" s="99"/>
    </row>
    <row r="227" spans="2:14" ht="15.75" hidden="1" customHeight="1">
      <c r="B227" s="99"/>
      <c r="C227" s="99"/>
      <c r="E227" s="99"/>
      <c r="F227" s="99"/>
      <c r="G227" s="99"/>
      <c r="H227" s="99"/>
      <c r="I227" s="99"/>
      <c r="J227" s="99"/>
      <c r="K227" s="99"/>
      <c r="L227" s="99"/>
      <c r="M227" s="99"/>
      <c r="N227" s="99"/>
    </row>
    <row r="228" spans="2:14" ht="15.75" hidden="1" customHeight="1">
      <c r="B228" s="99"/>
      <c r="C228" s="99"/>
      <c r="E228" s="99"/>
      <c r="F228" s="99"/>
      <c r="G228" s="99"/>
      <c r="H228" s="99"/>
      <c r="I228" s="99"/>
      <c r="J228" s="99"/>
      <c r="K228" s="99"/>
      <c r="L228" s="99"/>
      <c r="M228" s="99"/>
      <c r="N228" s="99"/>
    </row>
    <row r="229" spans="2:14" ht="15.75" hidden="1" customHeight="1">
      <c r="B229" s="99"/>
      <c r="C229" s="99"/>
      <c r="E229" s="99"/>
      <c r="F229" s="99"/>
      <c r="G229" s="99"/>
      <c r="H229" s="99"/>
      <c r="I229" s="99"/>
      <c r="J229" s="99"/>
      <c r="K229" s="99"/>
      <c r="L229" s="99"/>
      <c r="M229" s="99"/>
      <c r="N229" s="99"/>
    </row>
    <row r="230" spans="2:14" ht="15.75" hidden="1" customHeight="1">
      <c r="B230" s="99"/>
      <c r="C230" s="99"/>
      <c r="E230" s="99"/>
      <c r="F230" s="99"/>
      <c r="G230" s="99"/>
      <c r="H230" s="99"/>
      <c r="I230" s="99"/>
      <c r="J230" s="99"/>
      <c r="K230" s="99"/>
      <c r="L230" s="99"/>
      <c r="M230" s="99"/>
      <c r="N230" s="99"/>
    </row>
    <row r="231" spans="2:14" ht="15.75" hidden="1" customHeight="1">
      <c r="B231" s="99"/>
      <c r="C231" s="99"/>
      <c r="E231" s="99"/>
      <c r="F231" s="99"/>
      <c r="G231" s="99"/>
      <c r="H231" s="99"/>
      <c r="I231" s="99"/>
      <c r="J231" s="99"/>
      <c r="K231" s="99"/>
      <c r="L231" s="99"/>
      <c r="M231" s="99"/>
      <c r="N231" s="99"/>
    </row>
    <row r="232" spans="2:14" ht="15.75" hidden="1" customHeight="1">
      <c r="B232" s="99"/>
      <c r="C232" s="99"/>
      <c r="E232" s="99"/>
      <c r="F232" s="99"/>
      <c r="G232" s="99"/>
      <c r="H232" s="99"/>
      <c r="I232" s="99"/>
      <c r="J232" s="99"/>
      <c r="K232" s="99"/>
      <c r="L232" s="99"/>
      <c r="M232" s="99"/>
      <c r="N232" s="99"/>
    </row>
    <row r="233" spans="2:14" ht="15.75" hidden="1" customHeight="1">
      <c r="B233" s="99"/>
      <c r="C233" s="99"/>
      <c r="E233" s="99"/>
      <c r="F233" s="99"/>
      <c r="G233" s="99"/>
      <c r="H233" s="99"/>
      <c r="I233" s="99"/>
      <c r="J233" s="99"/>
      <c r="K233" s="99"/>
      <c r="L233" s="99"/>
      <c r="M233" s="99"/>
      <c r="N233" s="99"/>
    </row>
    <row r="234" spans="2:14" ht="15.75" hidden="1" customHeight="1">
      <c r="B234" s="99"/>
      <c r="C234" s="99"/>
      <c r="E234" s="99"/>
      <c r="F234" s="99"/>
      <c r="G234" s="99"/>
      <c r="H234" s="99"/>
      <c r="I234" s="99"/>
      <c r="J234" s="99"/>
      <c r="K234" s="99"/>
      <c r="L234" s="99"/>
      <c r="M234" s="99"/>
      <c r="N234" s="99"/>
    </row>
    <row r="235" spans="2:14" ht="15.75" hidden="1" customHeight="1">
      <c r="B235" s="99"/>
      <c r="C235" s="99"/>
      <c r="E235" s="99"/>
      <c r="F235" s="99"/>
      <c r="G235" s="99"/>
      <c r="H235" s="99"/>
      <c r="I235" s="99"/>
      <c r="J235" s="99"/>
      <c r="K235" s="99"/>
      <c r="L235" s="99"/>
      <c r="M235" s="99"/>
      <c r="N235" s="99"/>
    </row>
    <row r="236" spans="2:14" ht="15.75" hidden="1" customHeight="1">
      <c r="B236" s="99"/>
      <c r="C236" s="99"/>
      <c r="E236" s="99"/>
      <c r="F236" s="99"/>
      <c r="G236" s="99"/>
      <c r="H236" s="99"/>
      <c r="I236" s="99"/>
      <c r="J236" s="99"/>
      <c r="K236" s="99"/>
      <c r="L236" s="99"/>
      <c r="M236" s="99"/>
      <c r="N236" s="99"/>
    </row>
    <row r="237" spans="2:14" ht="15.75" hidden="1" customHeight="1">
      <c r="B237" s="99"/>
      <c r="C237" s="99"/>
      <c r="E237" s="99"/>
      <c r="F237" s="99"/>
      <c r="G237" s="99"/>
      <c r="H237" s="99"/>
      <c r="I237" s="99"/>
      <c r="J237" s="99"/>
      <c r="K237" s="99"/>
      <c r="L237" s="99"/>
      <c r="M237" s="99"/>
      <c r="N237" s="99"/>
    </row>
    <row r="238" spans="2:14" ht="15.75" hidden="1" customHeight="1">
      <c r="B238" s="99"/>
      <c r="C238" s="99"/>
      <c r="E238" s="99"/>
      <c r="F238" s="99"/>
      <c r="G238" s="99"/>
      <c r="H238" s="99"/>
      <c r="I238" s="99"/>
      <c r="J238" s="99"/>
      <c r="K238" s="99"/>
      <c r="L238" s="99"/>
      <c r="M238" s="99"/>
      <c r="N238" s="99"/>
    </row>
    <row r="239" spans="2:14" ht="15.75" hidden="1" customHeight="1">
      <c r="B239" s="99"/>
      <c r="C239" s="99"/>
      <c r="E239" s="99"/>
      <c r="F239" s="99"/>
      <c r="G239" s="99"/>
      <c r="H239" s="99"/>
      <c r="I239" s="99"/>
      <c r="J239" s="99"/>
      <c r="K239" s="99"/>
      <c r="L239" s="99"/>
      <c r="M239" s="99"/>
      <c r="N239" s="99"/>
    </row>
    <row r="240" spans="2:14" ht="15.75" hidden="1" customHeight="1">
      <c r="B240" s="99"/>
      <c r="C240" s="99"/>
      <c r="E240" s="99"/>
      <c r="F240" s="99"/>
      <c r="G240" s="99"/>
      <c r="H240" s="99"/>
      <c r="I240" s="99"/>
      <c r="J240" s="99"/>
      <c r="K240" s="99"/>
      <c r="L240" s="99"/>
      <c r="M240" s="99"/>
      <c r="N240" s="99"/>
    </row>
    <row r="241" spans="2:14" ht="15.75" hidden="1" customHeight="1">
      <c r="B241" s="99"/>
      <c r="C241" s="99"/>
      <c r="E241" s="99"/>
      <c r="F241" s="99"/>
      <c r="G241" s="99"/>
      <c r="H241" s="99"/>
      <c r="I241" s="99"/>
      <c r="J241" s="99"/>
      <c r="K241" s="99"/>
      <c r="L241" s="99"/>
      <c r="M241" s="99"/>
      <c r="N241" s="99"/>
    </row>
    <row r="242" spans="2:14" ht="15.75" hidden="1" customHeight="1">
      <c r="B242" s="99"/>
      <c r="C242" s="99"/>
      <c r="E242" s="99"/>
      <c r="F242" s="99"/>
      <c r="G242" s="99"/>
      <c r="H242" s="99"/>
      <c r="I242" s="99"/>
      <c r="J242" s="99"/>
      <c r="K242" s="99"/>
      <c r="L242" s="99"/>
      <c r="M242" s="99"/>
      <c r="N242" s="99"/>
    </row>
    <row r="243" spans="2:14" ht="15.75" hidden="1" customHeight="1">
      <c r="B243" s="99"/>
      <c r="C243" s="99"/>
      <c r="E243" s="99"/>
      <c r="F243" s="99"/>
      <c r="G243" s="99"/>
      <c r="H243" s="99"/>
      <c r="I243" s="99"/>
      <c r="J243" s="99"/>
      <c r="K243" s="99"/>
      <c r="L243" s="99"/>
      <c r="M243" s="99"/>
      <c r="N243" s="99"/>
    </row>
    <row r="244" spans="2:14" ht="15.75" hidden="1" customHeight="1">
      <c r="B244" s="99"/>
      <c r="C244" s="99"/>
      <c r="E244" s="99"/>
      <c r="F244" s="99"/>
      <c r="G244" s="99"/>
      <c r="H244" s="99"/>
      <c r="I244" s="99"/>
      <c r="J244" s="99"/>
      <c r="K244" s="99"/>
      <c r="L244" s="99"/>
      <c r="M244" s="99"/>
      <c r="N244" s="99"/>
    </row>
    <row r="245" spans="2:14" ht="15.75" hidden="1" customHeight="1">
      <c r="B245" s="99"/>
      <c r="C245" s="99"/>
      <c r="E245" s="99"/>
      <c r="F245" s="99"/>
      <c r="G245" s="99"/>
      <c r="H245" s="99"/>
      <c r="I245" s="99"/>
      <c r="J245" s="99"/>
      <c r="K245" s="99"/>
      <c r="L245" s="99"/>
      <c r="M245" s="99"/>
      <c r="N245" s="99"/>
    </row>
    <row r="246" spans="2:14" ht="15.75" hidden="1" customHeight="1">
      <c r="B246" s="99"/>
      <c r="C246" s="99"/>
      <c r="E246" s="99"/>
      <c r="F246" s="99"/>
      <c r="G246" s="99"/>
      <c r="H246" s="99"/>
      <c r="I246" s="99"/>
      <c r="J246" s="99"/>
      <c r="K246" s="99"/>
      <c r="L246" s="99"/>
      <c r="M246" s="99"/>
      <c r="N246" s="99"/>
    </row>
    <row r="247" spans="2:14" ht="15.75" hidden="1" customHeight="1">
      <c r="B247" s="99"/>
      <c r="C247" s="99"/>
      <c r="E247" s="99"/>
      <c r="F247" s="99"/>
      <c r="G247" s="99"/>
      <c r="H247" s="99"/>
      <c r="I247" s="99"/>
      <c r="J247" s="99"/>
      <c r="K247" s="99"/>
      <c r="L247" s="99"/>
      <c r="M247" s="99"/>
      <c r="N247" s="99"/>
    </row>
    <row r="248" spans="2:14" ht="15.75" hidden="1" customHeight="1">
      <c r="B248" s="99"/>
      <c r="C248" s="99"/>
      <c r="E248" s="99"/>
      <c r="F248" s="99"/>
      <c r="G248" s="99"/>
      <c r="H248" s="99"/>
      <c r="I248" s="99"/>
      <c r="J248" s="99"/>
      <c r="K248" s="99"/>
      <c r="L248" s="99"/>
      <c r="M248" s="99"/>
      <c r="N248" s="99"/>
    </row>
    <row r="249" spans="2:14" ht="15.75" hidden="1" customHeight="1">
      <c r="B249" s="99"/>
      <c r="C249" s="99"/>
      <c r="E249" s="99"/>
      <c r="F249" s="99"/>
      <c r="G249" s="99"/>
      <c r="H249" s="99"/>
      <c r="I249" s="99"/>
      <c r="J249" s="99"/>
      <c r="K249" s="99"/>
      <c r="L249" s="99"/>
      <c r="M249" s="99"/>
      <c r="N249" s="99"/>
    </row>
    <row r="250" spans="2:14" ht="15.75" hidden="1" customHeight="1">
      <c r="B250" s="99"/>
      <c r="C250" s="99"/>
      <c r="E250" s="99"/>
      <c r="F250" s="99"/>
      <c r="G250" s="99"/>
      <c r="H250" s="99"/>
      <c r="I250" s="99"/>
      <c r="J250" s="99"/>
      <c r="K250" s="99"/>
      <c r="L250" s="99"/>
      <c r="M250" s="99"/>
      <c r="N250" s="99"/>
    </row>
    <row r="251" spans="2:14" ht="15.75" hidden="1" customHeight="1">
      <c r="B251" s="99"/>
      <c r="C251" s="99"/>
      <c r="E251" s="99"/>
      <c r="F251" s="99"/>
      <c r="G251" s="99"/>
      <c r="H251" s="99"/>
      <c r="I251" s="99"/>
      <c r="J251" s="99"/>
      <c r="K251" s="99"/>
      <c r="L251" s="99"/>
      <c r="M251" s="99"/>
      <c r="N251" s="99"/>
    </row>
    <row r="252" spans="2:14" ht="15.75" hidden="1" customHeight="1">
      <c r="B252" s="99"/>
      <c r="C252" s="99"/>
      <c r="E252" s="99"/>
      <c r="F252" s="99"/>
      <c r="G252" s="99"/>
      <c r="H252" s="99"/>
      <c r="I252" s="99"/>
      <c r="J252" s="99"/>
      <c r="K252" s="99"/>
      <c r="L252" s="99"/>
      <c r="M252" s="99"/>
      <c r="N252" s="99"/>
    </row>
    <row r="253" spans="2:14" ht="15.75" hidden="1" customHeight="1">
      <c r="B253" s="99"/>
      <c r="C253" s="99"/>
      <c r="E253" s="99"/>
      <c r="F253" s="99"/>
      <c r="G253" s="99"/>
      <c r="H253" s="99"/>
      <c r="I253" s="99"/>
      <c r="J253" s="99"/>
      <c r="K253" s="99"/>
      <c r="L253" s="99"/>
      <c r="M253" s="99"/>
      <c r="N253" s="99"/>
    </row>
    <row r="254" spans="2:14" ht="15.75" hidden="1" customHeight="1">
      <c r="B254" s="99"/>
      <c r="C254" s="99"/>
      <c r="E254" s="99"/>
      <c r="F254" s="99"/>
      <c r="G254" s="99"/>
      <c r="H254" s="99"/>
      <c r="I254" s="99"/>
      <c r="J254" s="99"/>
      <c r="K254" s="99"/>
      <c r="L254" s="99"/>
      <c r="M254" s="99"/>
      <c r="N254" s="99"/>
    </row>
    <row r="255" spans="2:14" ht="15.75" hidden="1" customHeight="1">
      <c r="B255" s="99"/>
      <c r="C255" s="99"/>
      <c r="E255" s="99"/>
      <c r="F255" s="99"/>
      <c r="G255" s="99"/>
      <c r="H255" s="99"/>
      <c r="I255" s="99"/>
      <c r="J255" s="99"/>
      <c r="K255" s="99"/>
      <c r="L255" s="99"/>
      <c r="M255" s="99"/>
      <c r="N255" s="99"/>
    </row>
    <row r="256" spans="2:14" ht="15.75" hidden="1" customHeight="1">
      <c r="B256" s="99"/>
      <c r="C256" s="99"/>
      <c r="E256" s="99"/>
      <c r="F256" s="99"/>
      <c r="G256" s="99"/>
      <c r="H256" s="99"/>
      <c r="I256" s="99"/>
      <c r="J256" s="99"/>
      <c r="K256" s="99"/>
      <c r="L256" s="99"/>
      <c r="M256" s="99"/>
      <c r="N256" s="99"/>
    </row>
    <row r="257" spans="2:14" ht="15.75" hidden="1" customHeight="1">
      <c r="B257" s="99"/>
      <c r="C257" s="99"/>
      <c r="E257" s="99"/>
      <c r="F257" s="99"/>
      <c r="G257" s="99"/>
      <c r="H257" s="99"/>
      <c r="I257" s="99"/>
      <c r="J257" s="99"/>
      <c r="K257" s="99"/>
      <c r="L257" s="99"/>
      <c r="M257" s="99"/>
      <c r="N257" s="99"/>
    </row>
    <row r="258" spans="2:14" ht="15.75" hidden="1" customHeight="1">
      <c r="B258" s="99"/>
      <c r="C258" s="99"/>
      <c r="E258" s="99"/>
      <c r="F258" s="99"/>
      <c r="G258" s="99"/>
      <c r="H258" s="99"/>
      <c r="I258" s="99"/>
      <c r="J258" s="99"/>
      <c r="K258" s="99"/>
      <c r="L258" s="99"/>
      <c r="M258" s="99"/>
      <c r="N258" s="99"/>
    </row>
    <row r="259" spans="2:14" ht="15.75" hidden="1" customHeight="1">
      <c r="B259" s="99"/>
      <c r="C259" s="99"/>
      <c r="E259" s="99"/>
      <c r="F259" s="99"/>
      <c r="G259" s="99"/>
      <c r="H259" s="99"/>
      <c r="I259" s="99"/>
      <c r="J259" s="99"/>
      <c r="K259" s="99"/>
      <c r="L259" s="99"/>
      <c r="M259" s="99"/>
      <c r="N259" s="99"/>
    </row>
    <row r="260" spans="2:14" ht="15.75" hidden="1" customHeight="1">
      <c r="B260" s="99"/>
      <c r="C260" s="99"/>
      <c r="E260" s="99"/>
      <c r="F260" s="99"/>
      <c r="G260" s="99"/>
      <c r="H260" s="99"/>
      <c r="I260" s="99"/>
      <c r="J260" s="99"/>
      <c r="K260" s="99"/>
      <c r="L260" s="99"/>
      <c r="M260" s="99"/>
      <c r="N260" s="99"/>
    </row>
    <row r="261" spans="2:14" ht="15.75" hidden="1" customHeight="1">
      <c r="B261" s="99"/>
      <c r="C261" s="99"/>
      <c r="E261" s="99"/>
      <c r="F261" s="99"/>
      <c r="G261" s="99"/>
      <c r="H261" s="99"/>
      <c r="I261" s="99"/>
      <c r="J261" s="99"/>
      <c r="K261" s="99"/>
      <c r="L261" s="99"/>
      <c r="M261" s="99"/>
      <c r="N261" s="99"/>
    </row>
    <row r="262" spans="2:14" ht="15.75" hidden="1" customHeight="1">
      <c r="B262" s="99"/>
      <c r="C262" s="99"/>
      <c r="E262" s="99"/>
      <c r="F262" s="99"/>
      <c r="G262" s="99"/>
      <c r="H262" s="99"/>
      <c r="I262" s="99"/>
      <c r="J262" s="99"/>
      <c r="K262" s="99"/>
      <c r="L262" s="99"/>
      <c r="M262" s="99"/>
      <c r="N262" s="99"/>
    </row>
    <row r="263" spans="2:14" ht="15.75" hidden="1" customHeight="1">
      <c r="B263" s="99"/>
      <c r="C263" s="99"/>
      <c r="E263" s="99"/>
      <c r="F263" s="99"/>
      <c r="G263" s="99"/>
      <c r="H263" s="99"/>
      <c r="I263" s="99"/>
      <c r="J263" s="99"/>
      <c r="K263" s="99"/>
      <c r="L263" s="99"/>
      <c r="M263" s="99"/>
      <c r="N263" s="99"/>
    </row>
    <row r="264" spans="2:14" ht="15.75" hidden="1" customHeight="1">
      <c r="B264" s="99"/>
      <c r="C264" s="99"/>
      <c r="E264" s="99"/>
      <c r="F264" s="99"/>
      <c r="G264" s="99"/>
      <c r="H264" s="99"/>
      <c r="I264" s="99"/>
      <c r="J264" s="99"/>
      <c r="K264" s="99"/>
      <c r="L264" s="99"/>
      <c r="M264" s="99"/>
      <c r="N264" s="99"/>
    </row>
    <row r="265" spans="2:14" ht="15.75" hidden="1" customHeight="1">
      <c r="B265" s="99"/>
      <c r="C265" s="99"/>
      <c r="E265" s="99"/>
      <c r="F265" s="99"/>
      <c r="G265" s="99"/>
      <c r="H265" s="99"/>
      <c r="I265" s="99"/>
      <c r="J265" s="99"/>
      <c r="K265" s="99"/>
      <c r="L265" s="99"/>
      <c r="M265" s="99"/>
      <c r="N265" s="99"/>
    </row>
    <row r="266" spans="2:14" ht="15.75" hidden="1" customHeight="1">
      <c r="B266" s="99"/>
      <c r="C266" s="99"/>
      <c r="E266" s="99"/>
      <c r="F266" s="99"/>
      <c r="G266" s="99"/>
      <c r="H266" s="99"/>
      <c r="I266" s="99"/>
      <c r="J266" s="99"/>
      <c r="K266" s="99"/>
      <c r="L266" s="99"/>
      <c r="M266" s="99"/>
      <c r="N266" s="99"/>
    </row>
    <row r="267" spans="2:14" ht="15.75" hidden="1" customHeight="1">
      <c r="B267" s="99"/>
      <c r="C267" s="99"/>
      <c r="E267" s="99"/>
      <c r="F267" s="99"/>
      <c r="G267" s="99"/>
      <c r="H267" s="99"/>
      <c r="I267" s="99"/>
      <c r="J267" s="99"/>
      <c r="K267" s="99"/>
      <c r="L267" s="99"/>
      <c r="M267" s="99"/>
      <c r="N267" s="99"/>
    </row>
    <row r="268" spans="2:14" ht="15.75" hidden="1" customHeight="1">
      <c r="B268" s="99"/>
      <c r="C268" s="99"/>
      <c r="E268" s="99"/>
      <c r="F268" s="99"/>
      <c r="G268" s="99"/>
      <c r="H268" s="99"/>
      <c r="I268" s="99"/>
      <c r="J268" s="99"/>
      <c r="K268" s="99"/>
      <c r="L268" s="99"/>
      <c r="M268" s="99"/>
      <c r="N268" s="99"/>
    </row>
    <row r="269" spans="2:14" ht="15.75" hidden="1" customHeight="1">
      <c r="B269" s="99"/>
      <c r="C269" s="99"/>
      <c r="E269" s="99"/>
      <c r="F269" s="99"/>
      <c r="G269" s="99"/>
      <c r="H269" s="99"/>
      <c r="I269" s="99"/>
      <c r="J269" s="99"/>
      <c r="K269" s="99"/>
      <c r="L269" s="99"/>
      <c r="M269" s="99"/>
      <c r="N269" s="99"/>
    </row>
    <row r="270" spans="2:14" ht="15.75" hidden="1" customHeight="1">
      <c r="B270" s="99"/>
      <c r="C270" s="99"/>
      <c r="E270" s="99"/>
      <c r="F270" s="99"/>
      <c r="G270" s="99"/>
      <c r="H270" s="99"/>
      <c r="I270" s="99"/>
      <c r="J270" s="99"/>
      <c r="K270" s="99"/>
      <c r="L270" s="99"/>
      <c r="M270" s="99"/>
      <c r="N270" s="99"/>
    </row>
    <row r="271" spans="2:14" ht="15.75" hidden="1" customHeight="1">
      <c r="B271" s="99"/>
      <c r="C271" s="99"/>
      <c r="E271" s="99"/>
      <c r="F271" s="99"/>
      <c r="G271" s="99"/>
      <c r="H271" s="99"/>
      <c r="I271" s="99"/>
      <c r="J271" s="99"/>
      <c r="K271" s="99"/>
      <c r="L271" s="99"/>
      <c r="M271" s="99"/>
      <c r="N271" s="99"/>
    </row>
    <row r="272" spans="2:14" ht="15.75" hidden="1" customHeight="1">
      <c r="B272" s="99"/>
      <c r="C272" s="99"/>
      <c r="E272" s="99"/>
      <c r="F272" s="99"/>
      <c r="G272" s="99"/>
      <c r="H272" s="99"/>
      <c r="I272" s="99"/>
      <c r="J272" s="99"/>
      <c r="K272" s="99"/>
      <c r="L272" s="99"/>
      <c r="M272" s="99"/>
      <c r="N272" s="99"/>
    </row>
    <row r="273" spans="2:14" ht="15.75" hidden="1" customHeight="1">
      <c r="B273" s="99"/>
      <c r="C273" s="99"/>
      <c r="E273" s="99"/>
      <c r="F273" s="99"/>
      <c r="G273" s="99"/>
      <c r="H273" s="99"/>
      <c r="I273" s="99"/>
      <c r="J273" s="99"/>
      <c r="K273" s="99"/>
      <c r="L273" s="99"/>
      <c r="M273" s="99"/>
      <c r="N273" s="99"/>
    </row>
    <row r="274" spans="2:14" ht="15.75" hidden="1" customHeight="1">
      <c r="B274" s="99"/>
      <c r="C274" s="99"/>
      <c r="E274" s="99"/>
      <c r="F274" s="99"/>
      <c r="G274" s="99"/>
      <c r="H274" s="99"/>
      <c r="I274" s="99"/>
      <c r="J274" s="99"/>
      <c r="K274" s="99"/>
      <c r="L274" s="99"/>
      <c r="M274" s="99"/>
      <c r="N274" s="99"/>
    </row>
    <row r="275" spans="2:14" ht="15.75" hidden="1" customHeight="1">
      <c r="B275" s="99"/>
      <c r="C275" s="99"/>
      <c r="E275" s="99"/>
      <c r="F275" s="99"/>
      <c r="G275" s="99"/>
      <c r="H275" s="99"/>
      <c r="I275" s="99"/>
      <c r="J275" s="99"/>
      <c r="K275" s="99"/>
      <c r="L275" s="99"/>
      <c r="M275" s="99"/>
      <c r="N275" s="99"/>
    </row>
    <row r="276" spans="2:14" ht="15.75" hidden="1" customHeight="1">
      <c r="B276" s="99"/>
      <c r="C276" s="99"/>
      <c r="E276" s="99"/>
      <c r="F276" s="99"/>
      <c r="G276" s="99"/>
      <c r="H276" s="99"/>
      <c r="I276" s="99"/>
      <c r="J276" s="99"/>
      <c r="K276" s="99"/>
      <c r="L276" s="99"/>
      <c r="M276" s="99"/>
      <c r="N276" s="99"/>
    </row>
    <row r="277" spans="2:14" ht="15.75" hidden="1" customHeight="1">
      <c r="B277" s="99"/>
      <c r="C277" s="99"/>
      <c r="E277" s="99"/>
      <c r="F277" s="99"/>
      <c r="G277" s="99"/>
      <c r="H277" s="99"/>
      <c r="I277" s="99"/>
      <c r="J277" s="99"/>
      <c r="K277" s="99"/>
      <c r="L277" s="99"/>
      <c r="M277" s="99"/>
      <c r="N277" s="99"/>
    </row>
    <row r="278" spans="2:14" ht="15.75" hidden="1" customHeight="1">
      <c r="B278" s="99"/>
      <c r="C278" s="99"/>
      <c r="E278" s="99"/>
      <c r="F278" s="99"/>
      <c r="G278" s="99"/>
      <c r="H278" s="99"/>
      <c r="I278" s="99"/>
      <c r="J278" s="99"/>
      <c r="K278" s="99"/>
      <c r="L278" s="99"/>
      <c r="M278" s="99"/>
      <c r="N278" s="99"/>
    </row>
    <row r="279" spans="2:14" ht="15.75" hidden="1" customHeight="1">
      <c r="B279" s="99"/>
      <c r="C279" s="99"/>
      <c r="E279" s="99"/>
      <c r="F279" s="99"/>
      <c r="G279" s="99"/>
      <c r="H279" s="99"/>
      <c r="I279" s="99"/>
      <c r="J279" s="99"/>
      <c r="K279" s="99"/>
      <c r="L279" s="99"/>
      <c r="M279" s="99"/>
      <c r="N279" s="99"/>
    </row>
    <row r="280" spans="2:14" ht="15.75" hidden="1" customHeight="1">
      <c r="B280" s="99"/>
      <c r="C280" s="99"/>
      <c r="E280" s="99"/>
      <c r="F280" s="99"/>
      <c r="G280" s="99"/>
      <c r="H280" s="99"/>
      <c r="I280" s="99"/>
      <c r="J280" s="99"/>
      <c r="K280" s="99"/>
      <c r="L280" s="99"/>
      <c r="M280" s="99"/>
      <c r="N280" s="99"/>
    </row>
    <row r="281" spans="2:14" ht="15.75" hidden="1" customHeight="1">
      <c r="B281" s="99"/>
      <c r="C281" s="99"/>
      <c r="E281" s="99"/>
      <c r="F281" s="99"/>
      <c r="G281" s="99"/>
      <c r="H281" s="99"/>
      <c r="I281" s="99"/>
      <c r="J281" s="99"/>
      <c r="K281" s="99"/>
      <c r="L281" s="99"/>
      <c r="M281" s="99"/>
      <c r="N281" s="99"/>
    </row>
    <row r="282" spans="2:14" ht="15.75" hidden="1" customHeight="1">
      <c r="B282" s="99"/>
      <c r="C282" s="99"/>
      <c r="E282" s="99"/>
      <c r="F282" s="99"/>
      <c r="G282" s="99"/>
      <c r="H282" s="99"/>
      <c r="I282" s="99"/>
      <c r="J282" s="99"/>
      <c r="K282" s="99"/>
      <c r="L282" s="99"/>
      <c r="M282" s="99"/>
      <c r="N282" s="99"/>
    </row>
    <row r="283" spans="2:14" ht="15.75" hidden="1" customHeight="1">
      <c r="B283" s="99"/>
      <c r="C283" s="99"/>
      <c r="E283" s="99"/>
      <c r="F283" s="99"/>
      <c r="G283" s="99"/>
      <c r="H283" s="99"/>
      <c r="I283" s="99"/>
      <c r="J283" s="99"/>
      <c r="K283" s="99"/>
      <c r="L283" s="99"/>
      <c r="M283" s="99"/>
      <c r="N283" s="99"/>
    </row>
    <row r="284" spans="2:14" ht="15.75" hidden="1" customHeight="1">
      <c r="B284" s="99"/>
      <c r="C284" s="99"/>
      <c r="E284" s="99"/>
      <c r="F284" s="99"/>
      <c r="G284" s="99"/>
      <c r="H284" s="99"/>
      <c r="I284" s="99"/>
      <c r="J284" s="99"/>
      <c r="K284" s="99"/>
      <c r="L284" s="99"/>
      <c r="M284" s="99"/>
      <c r="N284" s="99"/>
    </row>
    <row r="285" spans="2:14" ht="15.75" hidden="1" customHeight="1">
      <c r="B285" s="99"/>
      <c r="C285" s="99"/>
      <c r="E285" s="99"/>
      <c r="F285" s="99"/>
      <c r="G285" s="99"/>
      <c r="H285" s="99"/>
      <c r="I285" s="99"/>
      <c r="J285" s="99"/>
      <c r="K285" s="99"/>
      <c r="L285" s="99"/>
      <c r="M285" s="99"/>
      <c r="N285" s="99"/>
    </row>
    <row r="286" spans="2:14" ht="15.75" hidden="1" customHeight="1">
      <c r="B286" s="99"/>
      <c r="C286" s="99"/>
      <c r="E286" s="99"/>
      <c r="F286" s="99"/>
      <c r="G286" s="99"/>
      <c r="H286" s="99"/>
      <c r="I286" s="99"/>
      <c r="J286" s="99"/>
      <c r="K286" s="99"/>
      <c r="L286" s="99"/>
      <c r="M286" s="99"/>
      <c r="N286" s="99"/>
    </row>
    <row r="287" spans="2:14" ht="15.75" hidden="1" customHeight="1">
      <c r="B287" s="99"/>
      <c r="C287" s="99"/>
      <c r="E287" s="99"/>
      <c r="F287" s="99"/>
      <c r="G287" s="99"/>
      <c r="H287" s="99"/>
      <c r="I287" s="99"/>
      <c r="J287" s="99"/>
      <c r="K287" s="99"/>
      <c r="L287" s="99"/>
      <c r="M287" s="99"/>
      <c r="N287" s="99"/>
    </row>
    <row r="288" spans="2:14" ht="15.75" hidden="1" customHeight="1">
      <c r="B288" s="99"/>
      <c r="C288" s="99"/>
      <c r="E288" s="99"/>
      <c r="F288" s="99"/>
      <c r="G288" s="99"/>
      <c r="H288" s="99"/>
      <c r="I288" s="99"/>
      <c r="J288" s="99"/>
      <c r="K288" s="99"/>
      <c r="L288" s="99"/>
      <c r="M288" s="99"/>
      <c r="N288" s="99"/>
    </row>
    <row r="289" spans="2:14" ht="15.75" hidden="1" customHeight="1">
      <c r="B289" s="99"/>
      <c r="C289" s="99"/>
      <c r="E289" s="99"/>
      <c r="F289" s="99"/>
      <c r="G289" s="99"/>
      <c r="H289" s="99"/>
      <c r="I289" s="99"/>
      <c r="J289" s="99"/>
      <c r="K289" s="99"/>
      <c r="L289" s="99"/>
      <c r="M289" s="99"/>
      <c r="N289" s="99"/>
    </row>
    <row r="290" spans="2:14" ht="15.75" hidden="1" customHeight="1">
      <c r="B290" s="99"/>
      <c r="C290" s="99"/>
      <c r="E290" s="99"/>
      <c r="F290" s="99"/>
      <c r="G290" s="99"/>
      <c r="H290" s="99"/>
      <c r="I290" s="99"/>
      <c r="J290" s="99"/>
      <c r="K290" s="99"/>
      <c r="L290" s="99"/>
      <c r="M290" s="99"/>
      <c r="N290" s="99"/>
    </row>
    <row r="291" spans="2:14" ht="15.75" hidden="1" customHeight="1">
      <c r="B291" s="99"/>
      <c r="C291" s="99"/>
      <c r="E291" s="99"/>
      <c r="F291" s="99"/>
      <c r="G291" s="99"/>
      <c r="H291" s="99"/>
      <c r="I291" s="99"/>
      <c r="J291" s="99"/>
      <c r="K291" s="99"/>
      <c r="L291" s="99"/>
      <c r="M291" s="99"/>
      <c r="N291" s="99"/>
    </row>
    <row r="292" spans="2:14" ht="15.75" hidden="1" customHeight="1">
      <c r="B292" s="99"/>
      <c r="C292" s="99"/>
      <c r="E292" s="99"/>
      <c r="F292" s="99"/>
      <c r="G292" s="99"/>
      <c r="H292" s="99"/>
      <c r="I292" s="99"/>
      <c r="J292" s="99"/>
      <c r="K292" s="99"/>
      <c r="L292" s="99"/>
      <c r="M292" s="99"/>
      <c r="N292" s="99"/>
    </row>
    <row r="293" spans="2:14" ht="15.75" hidden="1" customHeight="1">
      <c r="B293" s="99"/>
      <c r="C293" s="99"/>
      <c r="E293" s="99"/>
      <c r="F293" s="99"/>
      <c r="G293" s="99"/>
      <c r="H293" s="99"/>
      <c r="I293" s="99"/>
      <c r="J293" s="99"/>
      <c r="K293" s="99"/>
      <c r="L293" s="99"/>
      <c r="M293" s="99"/>
      <c r="N293" s="99"/>
    </row>
    <row r="294" spans="2:14" ht="15.75" hidden="1" customHeight="1">
      <c r="B294" s="99"/>
      <c r="C294" s="99"/>
      <c r="E294" s="99"/>
      <c r="F294" s="99"/>
      <c r="G294" s="99"/>
      <c r="H294" s="99"/>
      <c r="I294" s="99"/>
      <c r="J294" s="99"/>
      <c r="K294" s="99"/>
      <c r="L294" s="99"/>
      <c r="M294" s="99"/>
      <c r="N294" s="99"/>
    </row>
    <row r="295" spans="2:14" ht="15.75" hidden="1" customHeight="1">
      <c r="B295" s="99"/>
      <c r="C295" s="99"/>
      <c r="E295" s="99"/>
      <c r="F295" s="99"/>
      <c r="G295" s="99"/>
      <c r="H295" s="99"/>
      <c r="I295" s="99"/>
      <c r="J295" s="99"/>
      <c r="K295" s="99"/>
      <c r="L295" s="99"/>
      <c r="M295" s="99"/>
      <c r="N295" s="99"/>
    </row>
    <row r="296" spans="2:14" ht="15.75" hidden="1" customHeight="1">
      <c r="B296" s="99"/>
      <c r="C296" s="99"/>
      <c r="E296" s="99"/>
      <c r="F296" s="99"/>
      <c r="G296" s="99"/>
      <c r="H296" s="99"/>
      <c r="I296" s="99"/>
      <c r="J296" s="99"/>
      <c r="K296" s="99"/>
      <c r="L296" s="99"/>
      <c r="M296" s="99"/>
      <c r="N296" s="99"/>
    </row>
    <row r="297" spans="2:14" ht="15.75" hidden="1" customHeight="1">
      <c r="B297" s="99"/>
      <c r="C297" s="99"/>
      <c r="E297" s="99"/>
      <c r="F297" s="99"/>
      <c r="G297" s="99"/>
      <c r="H297" s="99"/>
      <c r="I297" s="99"/>
      <c r="J297" s="99"/>
      <c r="K297" s="99"/>
      <c r="L297" s="99"/>
      <c r="M297" s="99"/>
      <c r="N297" s="99"/>
    </row>
    <row r="298" spans="2:14" ht="15.75" hidden="1" customHeight="1">
      <c r="B298" s="99"/>
      <c r="C298" s="99"/>
      <c r="E298" s="99"/>
      <c r="F298" s="99"/>
      <c r="G298" s="99"/>
      <c r="H298" s="99"/>
      <c r="I298" s="99"/>
      <c r="J298" s="99"/>
      <c r="K298" s="99"/>
      <c r="L298" s="99"/>
      <c r="M298" s="99"/>
      <c r="N298" s="99"/>
    </row>
    <row r="299" spans="2:14" ht="15.75" hidden="1" customHeight="1">
      <c r="B299" s="99"/>
      <c r="C299" s="99"/>
      <c r="E299" s="99"/>
      <c r="F299" s="99"/>
      <c r="G299" s="99"/>
      <c r="H299" s="99"/>
      <c r="I299" s="99"/>
      <c r="J299" s="99"/>
      <c r="K299" s="99"/>
      <c r="L299" s="99"/>
      <c r="M299" s="99"/>
      <c r="N299" s="99"/>
    </row>
    <row r="300" spans="2:14" ht="15.75" hidden="1" customHeight="1">
      <c r="B300" s="99"/>
      <c r="C300" s="99"/>
      <c r="E300" s="99"/>
      <c r="F300" s="99"/>
      <c r="G300" s="99"/>
      <c r="H300" s="99"/>
      <c r="I300" s="99"/>
      <c r="J300" s="99"/>
      <c r="K300" s="99"/>
      <c r="L300" s="99"/>
      <c r="M300" s="99"/>
      <c r="N300" s="99"/>
    </row>
    <row r="301" spans="2:14" ht="15.75" hidden="1" customHeight="1">
      <c r="B301" s="99"/>
      <c r="C301" s="99"/>
      <c r="E301" s="99"/>
      <c r="F301" s="99"/>
      <c r="G301" s="99"/>
      <c r="H301" s="99"/>
      <c r="I301" s="99"/>
      <c r="J301" s="99"/>
      <c r="K301" s="99"/>
      <c r="L301" s="99"/>
      <c r="M301" s="99"/>
      <c r="N301" s="99"/>
    </row>
    <row r="302" spans="2:14" ht="15.75" hidden="1" customHeight="1">
      <c r="B302" s="99"/>
      <c r="C302" s="99"/>
      <c r="E302" s="99"/>
      <c r="F302" s="99"/>
      <c r="G302" s="99"/>
      <c r="H302" s="99"/>
      <c r="I302" s="99"/>
      <c r="J302" s="99"/>
      <c r="K302" s="99"/>
      <c r="L302" s="99"/>
      <c r="M302" s="99"/>
      <c r="N302" s="99"/>
    </row>
    <row r="303" spans="2:14" ht="15.75" hidden="1" customHeight="1">
      <c r="B303" s="99"/>
      <c r="C303" s="99"/>
      <c r="E303" s="99"/>
      <c r="F303" s="99"/>
      <c r="G303" s="99"/>
      <c r="H303" s="99"/>
      <c r="I303" s="99"/>
      <c r="J303" s="99"/>
      <c r="K303" s="99"/>
      <c r="L303" s="99"/>
      <c r="M303" s="99"/>
      <c r="N303" s="99"/>
    </row>
    <row r="304" spans="2:14" ht="15.75" hidden="1" customHeight="1">
      <c r="B304" s="99"/>
      <c r="C304" s="99"/>
      <c r="E304" s="99"/>
      <c r="F304" s="99"/>
      <c r="G304" s="99"/>
      <c r="H304" s="99"/>
      <c r="I304" s="99"/>
      <c r="J304" s="99"/>
      <c r="K304" s="99"/>
      <c r="L304" s="99"/>
      <c r="M304" s="99"/>
      <c r="N304" s="99"/>
    </row>
    <row r="305" spans="2:14" ht="15.75" hidden="1" customHeight="1">
      <c r="B305" s="99"/>
      <c r="C305" s="99"/>
      <c r="E305" s="99"/>
      <c r="F305" s="99"/>
      <c r="G305" s="99"/>
      <c r="H305" s="99"/>
      <c r="I305" s="99"/>
      <c r="J305" s="99"/>
      <c r="K305" s="99"/>
      <c r="L305" s="99"/>
      <c r="M305" s="99"/>
      <c r="N305" s="99"/>
    </row>
    <row r="306" spans="2:14" ht="15.75" hidden="1" customHeight="1">
      <c r="B306" s="99"/>
      <c r="C306" s="99"/>
      <c r="E306" s="99"/>
      <c r="F306" s="99"/>
      <c r="G306" s="99"/>
      <c r="H306" s="99"/>
      <c r="I306" s="99"/>
      <c r="J306" s="99"/>
      <c r="K306" s="99"/>
      <c r="L306" s="99"/>
      <c r="M306" s="99"/>
      <c r="N306" s="99"/>
    </row>
    <row r="307" spans="2:14" ht="15.75" hidden="1" customHeight="1">
      <c r="B307" s="99"/>
      <c r="C307" s="99"/>
      <c r="E307" s="99"/>
      <c r="F307" s="99"/>
      <c r="G307" s="99"/>
      <c r="H307" s="99"/>
      <c r="I307" s="99"/>
      <c r="J307" s="99"/>
      <c r="K307" s="99"/>
      <c r="L307" s="99"/>
      <c r="M307" s="99"/>
      <c r="N307" s="99"/>
    </row>
    <row r="308" spans="2:14" ht="15.75" hidden="1" customHeight="1">
      <c r="B308" s="99"/>
      <c r="C308" s="99"/>
      <c r="E308" s="99"/>
      <c r="F308" s="99"/>
      <c r="G308" s="99"/>
      <c r="H308" s="99"/>
      <c r="I308" s="99"/>
      <c r="J308" s="99"/>
      <c r="K308" s="99"/>
      <c r="L308" s="99"/>
      <c r="M308" s="99"/>
      <c r="N308" s="99"/>
    </row>
    <row r="309" spans="2:14" ht="15.75" hidden="1" customHeight="1">
      <c r="B309" s="99"/>
      <c r="C309" s="99"/>
      <c r="E309" s="99"/>
      <c r="F309" s="99"/>
      <c r="G309" s="99"/>
      <c r="H309" s="99"/>
      <c r="I309" s="99"/>
      <c r="J309" s="99"/>
      <c r="K309" s="99"/>
      <c r="L309" s="99"/>
      <c r="M309" s="99"/>
      <c r="N309" s="99"/>
    </row>
    <row r="310" spans="2:14" ht="15.75" hidden="1" customHeight="1">
      <c r="B310" s="99"/>
      <c r="C310" s="99"/>
      <c r="E310" s="99"/>
      <c r="F310" s="99"/>
      <c r="G310" s="99"/>
      <c r="H310" s="99"/>
      <c r="I310" s="99"/>
      <c r="J310" s="99"/>
      <c r="K310" s="99"/>
      <c r="L310" s="99"/>
      <c r="M310" s="99"/>
      <c r="N310" s="99"/>
    </row>
    <row r="311" spans="2:14" ht="15.75" hidden="1" customHeight="1">
      <c r="B311" s="99"/>
      <c r="C311" s="99"/>
      <c r="E311" s="99"/>
      <c r="F311" s="99"/>
      <c r="G311" s="99"/>
      <c r="H311" s="99"/>
      <c r="I311" s="99"/>
      <c r="J311" s="99"/>
      <c r="K311" s="99"/>
      <c r="L311" s="99"/>
      <c r="M311" s="99"/>
      <c r="N311" s="99"/>
    </row>
    <row r="312" spans="2:14" ht="15.75" hidden="1" customHeight="1">
      <c r="B312" s="99"/>
      <c r="C312" s="99"/>
      <c r="E312" s="99"/>
      <c r="F312" s="99"/>
      <c r="G312" s="99"/>
      <c r="H312" s="99"/>
      <c r="I312" s="99"/>
      <c r="J312" s="99"/>
      <c r="K312" s="99"/>
      <c r="L312" s="99"/>
      <c r="M312" s="99"/>
      <c r="N312" s="99"/>
    </row>
    <row r="313" spans="2:14" ht="15.75" hidden="1" customHeight="1">
      <c r="B313" s="99"/>
      <c r="C313" s="99"/>
      <c r="E313" s="99"/>
      <c r="F313" s="99"/>
      <c r="G313" s="99"/>
      <c r="H313" s="99"/>
      <c r="I313" s="99"/>
      <c r="J313" s="99"/>
      <c r="K313" s="99"/>
      <c r="L313" s="99"/>
      <c r="M313" s="99"/>
      <c r="N313" s="99"/>
    </row>
    <row r="314" spans="2:14" ht="15.75" hidden="1" customHeight="1">
      <c r="B314" s="99"/>
      <c r="C314" s="99"/>
      <c r="E314" s="99"/>
      <c r="F314" s="99"/>
      <c r="G314" s="99"/>
      <c r="H314" s="99"/>
      <c r="I314" s="99"/>
      <c r="J314" s="99"/>
      <c r="K314" s="99"/>
      <c r="L314" s="99"/>
      <c r="M314" s="99"/>
      <c r="N314" s="99"/>
    </row>
    <row r="315" spans="2:14" ht="15.75" hidden="1" customHeight="1">
      <c r="B315" s="99"/>
      <c r="C315" s="99"/>
      <c r="E315" s="99"/>
      <c r="F315" s="99"/>
      <c r="G315" s="99"/>
      <c r="H315" s="99"/>
      <c r="I315" s="99"/>
      <c r="J315" s="99"/>
      <c r="K315" s="99"/>
      <c r="L315" s="99"/>
      <c r="M315" s="99"/>
      <c r="N315" s="99"/>
    </row>
    <row r="316" spans="2:14" ht="15.75" hidden="1" customHeight="1">
      <c r="B316" s="99"/>
      <c r="C316" s="99"/>
      <c r="E316" s="99"/>
      <c r="F316" s="99"/>
      <c r="G316" s="99"/>
      <c r="H316" s="99"/>
      <c r="I316" s="99"/>
      <c r="J316" s="99"/>
      <c r="K316" s="99"/>
      <c r="L316" s="99"/>
      <c r="M316" s="99"/>
      <c r="N316" s="99"/>
    </row>
    <row r="317" spans="2:14" ht="15.75" hidden="1" customHeight="1">
      <c r="B317" s="99"/>
      <c r="C317" s="99"/>
      <c r="E317" s="99"/>
      <c r="F317" s="99"/>
      <c r="G317" s="99"/>
      <c r="H317" s="99"/>
      <c r="I317" s="99"/>
      <c r="J317" s="99"/>
      <c r="K317" s="99"/>
      <c r="L317" s="99"/>
      <c r="M317" s="99"/>
      <c r="N317" s="99"/>
    </row>
    <row r="318" spans="2:14" ht="15.75" hidden="1" customHeight="1">
      <c r="B318" s="99"/>
      <c r="C318" s="99"/>
      <c r="E318" s="99"/>
      <c r="F318" s="99"/>
      <c r="G318" s="99"/>
      <c r="H318" s="99"/>
      <c r="I318" s="99"/>
      <c r="J318" s="99"/>
      <c r="K318" s="99"/>
      <c r="L318" s="99"/>
      <c r="M318" s="99"/>
      <c r="N318" s="99"/>
    </row>
    <row r="319" spans="2:14" ht="15.75" hidden="1" customHeight="1">
      <c r="B319" s="99"/>
      <c r="C319" s="99"/>
      <c r="E319" s="99"/>
      <c r="F319" s="99"/>
      <c r="G319" s="99"/>
      <c r="H319" s="99"/>
      <c r="I319" s="99"/>
      <c r="J319" s="99"/>
      <c r="K319" s="99"/>
      <c r="L319" s="99"/>
      <c r="M319" s="99"/>
      <c r="N319" s="99"/>
    </row>
    <row r="320" spans="2:14" ht="15.75" hidden="1" customHeight="1">
      <c r="B320" s="99"/>
      <c r="C320" s="99"/>
      <c r="E320" s="99"/>
      <c r="F320" s="99"/>
      <c r="G320" s="99"/>
      <c r="H320" s="99"/>
      <c r="I320" s="99"/>
      <c r="J320" s="99"/>
      <c r="K320" s="99"/>
      <c r="L320" s="99"/>
      <c r="M320" s="99"/>
      <c r="N320" s="99"/>
    </row>
    <row r="321" spans="2:14" ht="15.75" hidden="1" customHeight="1">
      <c r="B321" s="99"/>
      <c r="C321" s="99"/>
      <c r="E321" s="99"/>
      <c r="F321" s="99"/>
      <c r="G321" s="99"/>
      <c r="H321" s="99"/>
      <c r="I321" s="99"/>
      <c r="J321" s="99"/>
      <c r="K321" s="99"/>
      <c r="L321" s="99"/>
      <c r="M321" s="99"/>
      <c r="N321" s="99"/>
    </row>
    <row r="322" spans="2:14" ht="15.75" hidden="1" customHeight="1">
      <c r="B322" s="99"/>
      <c r="C322" s="99"/>
      <c r="E322" s="99"/>
      <c r="F322" s="99"/>
      <c r="G322" s="99"/>
      <c r="H322" s="99"/>
      <c r="I322" s="99"/>
      <c r="J322" s="99"/>
      <c r="K322" s="99"/>
      <c r="L322" s="99"/>
      <c r="M322" s="99"/>
      <c r="N322" s="99"/>
    </row>
    <row r="323" spans="2:14" ht="15.75" hidden="1" customHeight="1">
      <c r="B323" s="99"/>
      <c r="C323" s="99"/>
      <c r="E323" s="99"/>
      <c r="F323" s="99"/>
      <c r="G323" s="99"/>
      <c r="H323" s="99"/>
      <c r="I323" s="99"/>
      <c r="J323" s="99"/>
      <c r="K323" s="99"/>
      <c r="L323" s="99"/>
      <c r="M323" s="99"/>
      <c r="N323" s="99"/>
    </row>
    <row r="324" spans="2:14" ht="15.75" hidden="1" customHeight="1">
      <c r="B324" s="99"/>
      <c r="C324" s="99"/>
      <c r="E324" s="99"/>
      <c r="F324" s="99"/>
      <c r="G324" s="99"/>
      <c r="H324" s="99"/>
      <c r="I324" s="99"/>
      <c r="J324" s="99"/>
      <c r="K324" s="99"/>
      <c r="L324" s="99"/>
      <c r="M324" s="99"/>
      <c r="N324" s="99"/>
    </row>
    <row r="325" spans="2:14" ht="15.75" hidden="1" customHeight="1">
      <c r="B325" s="99"/>
      <c r="C325" s="99"/>
      <c r="E325" s="99"/>
      <c r="F325" s="99"/>
      <c r="G325" s="99"/>
      <c r="H325" s="99"/>
      <c r="I325" s="99"/>
      <c r="J325" s="99"/>
      <c r="K325" s="99"/>
      <c r="L325" s="99"/>
      <c r="M325" s="99"/>
      <c r="N325" s="99"/>
    </row>
    <row r="326" spans="2:14" ht="15.75" hidden="1" customHeight="1">
      <c r="B326" s="99"/>
      <c r="C326" s="99"/>
      <c r="E326" s="99"/>
      <c r="F326" s="99"/>
      <c r="G326" s="99"/>
      <c r="H326" s="99"/>
      <c r="I326" s="99"/>
      <c r="J326" s="99"/>
      <c r="K326" s="99"/>
      <c r="L326" s="99"/>
      <c r="M326" s="99"/>
      <c r="N326" s="99"/>
    </row>
    <row r="327" spans="2:14" ht="15.75" hidden="1" customHeight="1">
      <c r="B327" s="99"/>
      <c r="C327" s="99"/>
      <c r="E327" s="99"/>
      <c r="F327" s="99"/>
      <c r="G327" s="99"/>
      <c r="H327" s="99"/>
      <c r="I327" s="99"/>
      <c r="J327" s="99"/>
      <c r="K327" s="99"/>
      <c r="L327" s="99"/>
      <c r="M327" s="99"/>
      <c r="N327" s="99"/>
    </row>
    <row r="328" spans="2:14" ht="15.75" hidden="1" customHeight="1">
      <c r="B328" s="99"/>
      <c r="C328" s="99"/>
      <c r="E328" s="99"/>
      <c r="F328" s="99"/>
      <c r="G328" s="99"/>
      <c r="H328" s="99"/>
      <c r="I328" s="99"/>
      <c r="J328" s="99"/>
      <c r="K328" s="99"/>
      <c r="L328" s="99"/>
      <c r="M328" s="99"/>
      <c r="N328" s="99"/>
    </row>
    <row r="329" spans="2:14" ht="15.75" hidden="1" customHeight="1">
      <c r="B329" s="99"/>
      <c r="C329" s="99"/>
      <c r="E329" s="99"/>
      <c r="F329" s="99"/>
      <c r="G329" s="99"/>
      <c r="H329" s="99"/>
      <c r="I329" s="99"/>
      <c r="J329" s="99"/>
      <c r="K329" s="99"/>
      <c r="L329" s="99"/>
      <c r="M329" s="99"/>
      <c r="N329" s="99"/>
    </row>
    <row r="330" spans="2:14" ht="15.75" hidden="1" customHeight="1">
      <c r="B330" s="99"/>
      <c r="C330" s="99"/>
      <c r="E330" s="99"/>
      <c r="F330" s="99"/>
      <c r="G330" s="99"/>
      <c r="H330" s="99"/>
      <c r="I330" s="99"/>
      <c r="J330" s="99"/>
      <c r="K330" s="99"/>
      <c r="L330" s="99"/>
      <c r="M330" s="99"/>
      <c r="N330" s="99"/>
    </row>
    <row r="331" spans="2:14" ht="15.75" hidden="1" customHeight="1">
      <c r="B331" s="99"/>
      <c r="C331" s="99"/>
      <c r="E331" s="99"/>
      <c r="F331" s="99"/>
      <c r="G331" s="99"/>
      <c r="H331" s="99"/>
      <c r="I331" s="99"/>
      <c r="J331" s="99"/>
      <c r="K331" s="99"/>
      <c r="L331" s="99"/>
      <c r="M331" s="99"/>
      <c r="N331" s="99"/>
    </row>
    <row r="332" spans="2:14" ht="15.75" hidden="1" customHeight="1">
      <c r="B332" s="99"/>
      <c r="C332" s="99"/>
      <c r="E332" s="99"/>
      <c r="F332" s="99"/>
      <c r="G332" s="99"/>
      <c r="H332" s="99"/>
      <c r="I332" s="99"/>
      <c r="J332" s="99"/>
      <c r="K332" s="99"/>
      <c r="L332" s="99"/>
      <c r="M332" s="99"/>
      <c r="N332" s="99"/>
    </row>
    <row r="333" spans="2:14" ht="15.75" hidden="1" customHeight="1">
      <c r="B333" s="99"/>
      <c r="C333" s="99"/>
      <c r="E333" s="99"/>
      <c r="F333" s="99"/>
      <c r="G333" s="99"/>
      <c r="H333" s="99"/>
      <c r="I333" s="99"/>
      <c r="J333" s="99"/>
      <c r="K333" s="99"/>
      <c r="L333" s="99"/>
      <c r="M333" s="99"/>
      <c r="N333" s="99"/>
    </row>
    <row r="334" spans="2:14" ht="15.75" hidden="1" customHeight="1">
      <c r="B334" s="99"/>
      <c r="C334" s="99"/>
      <c r="E334" s="99"/>
      <c r="F334" s="99"/>
      <c r="G334" s="99"/>
      <c r="H334" s="99"/>
      <c r="I334" s="99"/>
      <c r="J334" s="99"/>
      <c r="K334" s="99"/>
      <c r="L334" s="99"/>
      <c r="M334" s="99"/>
      <c r="N334" s="99"/>
    </row>
    <row r="335" spans="2:14" ht="15.75" hidden="1" customHeight="1">
      <c r="B335" s="99"/>
      <c r="C335" s="99"/>
      <c r="E335" s="99"/>
      <c r="F335" s="99"/>
      <c r="G335" s="99"/>
      <c r="H335" s="99"/>
      <c r="I335" s="99"/>
      <c r="J335" s="99"/>
      <c r="K335" s="99"/>
      <c r="L335" s="99"/>
      <c r="M335" s="99"/>
      <c r="N335" s="99"/>
    </row>
    <row r="336" spans="2:14" ht="15.75" hidden="1" customHeight="1">
      <c r="B336" s="99"/>
      <c r="C336" s="99"/>
      <c r="E336" s="99"/>
      <c r="F336" s="99"/>
      <c r="G336" s="99"/>
      <c r="H336" s="99"/>
      <c r="I336" s="99"/>
      <c r="J336" s="99"/>
      <c r="K336" s="99"/>
      <c r="L336" s="99"/>
      <c r="M336" s="99"/>
      <c r="N336" s="99"/>
    </row>
    <row r="337" spans="2:14" ht="15.75" hidden="1" customHeight="1">
      <c r="B337" s="99"/>
      <c r="C337" s="99"/>
      <c r="E337" s="99"/>
      <c r="F337" s="99"/>
      <c r="G337" s="99"/>
      <c r="H337" s="99"/>
      <c r="I337" s="99"/>
      <c r="J337" s="99"/>
      <c r="K337" s="99"/>
      <c r="L337" s="99"/>
      <c r="M337" s="99"/>
      <c r="N337" s="99"/>
    </row>
    <row r="338" spans="2:14" ht="15.75" hidden="1" customHeight="1">
      <c r="B338" s="99"/>
      <c r="C338" s="99"/>
      <c r="E338" s="99"/>
      <c r="F338" s="99"/>
      <c r="G338" s="99"/>
      <c r="H338" s="99"/>
      <c r="I338" s="99"/>
      <c r="J338" s="99"/>
      <c r="K338" s="99"/>
      <c r="L338" s="99"/>
      <c r="M338" s="99"/>
      <c r="N338" s="99"/>
    </row>
    <row r="339" spans="2:14" ht="15.75" hidden="1" customHeight="1">
      <c r="B339" s="99"/>
      <c r="C339" s="99"/>
      <c r="E339" s="99"/>
      <c r="F339" s="99"/>
      <c r="G339" s="99"/>
      <c r="H339" s="99"/>
      <c r="I339" s="99"/>
      <c r="J339" s="99"/>
      <c r="K339" s="99"/>
      <c r="L339" s="99"/>
      <c r="M339" s="99"/>
      <c r="N339" s="99"/>
    </row>
    <row r="340" spans="2:14" ht="15.75" hidden="1" customHeight="1">
      <c r="B340" s="99"/>
      <c r="C340" s="99"/>
      <c r="E340" s="99"/>
      <c r="F340" s="99"/>
      <c r="G340" s="99"/>
      <c r="H340" s="99"/>
      <c r="I340" s="99"/>
      <c r="J340" s="99"/>
      <c r="K340" s="99"/>
      <c r="L340" s="99"/>
      <c r="M340" s="99"/>
      <c r="N340" s="99"/>
    </row>
    <row r="341" spans="2:14" ht="15.75" hidden="1" customHeight="1">
      <c r="B341" s="99"/>
      <c r="C341" s="99"/>
      <c r="E341" s="99"/>
      <c r="F341" s="99"/>
      <c r="G341" s="99"/>
      <c r="H341" s="99"/>
      <c r="I341" s="99"/>
      <c r="J341" s="99"/>
      <c r="K341" s="99"/>
      <c r="L341" s="99"/>
      <c r="M341" s="99"/>
      <c r="N341" s="99"/>
    </row>
    <row r="342" spans="2:14" ht="15.75" hidden="1" customHeight="1">
      <c r="B342" s="99"/>
      <c r="C342" s="99"/>
      <c r="E342" s="99"/>
      <c r="F342" s="99"/>
      <c r="G342" s="99"/>
      <c r="H342" s="99"/>
      <c r="I342" s="99"/>
      <c r="J342" s="99"/>
      <c r="K342" s="99"/>
      <c r="L342" s="99"/>
      <c r="M342" s="99"/>
      <c r="N342" s="99"/>
    </row>
    <row r="343" spans="2:14" ht="15.75" hidden="1" customHeight="1">
      <c r="B343" s="99"/>
      <c r="C343" s="99"/>
      <c r="E343" s="99"/>
      <c r="F343" s="99"/>
      <c r="G343" s="99"/>
      <c r="H343" s="99"/>
      <c r="I343" s="99"/>
      <c r="J343" s="99"/>
      <c r="K343" s="99"/>
      <c r="L343" s="99"/>
      <c r="M343" s="99"/>
      <c r="N343" s="99"/>
    </row>
    <row r="344" spans="2:14" ht="15.75" hidden="1" customHeight="1">
      <c r="B344" s="99"/>
      <c r="C344" s="99"/>
      <c r="E344" s="99"/>
      <c r="F344" s="99"/>
      <c r="G344" s="99"/>
      <c r="H344" s="99"/>
      <c r="I344" s="99"/>
      <c r="J344" s="99"/>
      <c r="K344" s="99"/>
      <c r="L344" s="99"/>
      <c r="M344" s="99"/>
      <c r="N344" s="99"/>
    </row>
    <row r="345" spans="2:14" ht="15.75" hidden="1" customHeight="1">
      <c r="B345" s="99"/>
      <c r="C345" s="99"/>
      <c r="E345" s="99"/>
      <c r="F345" s="99"/>
      <c r="G345" s="99"/>
      <c r="H345" s="99"/>
      <c r="I345" s="99"/>
      <c r="J345" s="99"/>
      <c r="K345" s="99"/>
      <c r="L345" s="99"/>
      <c r="M345" s="99"/>
      <c r="N345" s="99"/>
    </row>
    <row r="346" spans="2:14" ht="15.75" hidden="1" customHeight="1">
      <c r="B346" s="99"/>
      <c r="C346" s="99"/>
      <c r="E346" s="99"/>
      <c r="F346" s="99"/>
      <c r="G346" s="99"/>
      <c r="H346" s="99"/>
      <c r="I346" s="99"/>
      <c r="J346" s="99"/>
      <c r="K346" s="99"/>
      <c r="L346" s="99"/>
      <c r="M346" s="99"/>
      <c r="N346" s="99"/>
    </row>
    <row r="347" spans="2:14" ht="15.75" hidden="1" customHeight="1">
      <c r="B347" s="99"/>
      <c r="C347" s="99"/>
      <c r="E347" s="99"/>
      <c r="F347" s="99"/>
      <c r="G347" s="99"/>
      <c r="H347" s="99"/>
      <c r="I347" s="99"/>
      <c r="J347" s="99"/>
      <c r="K347" s="99"/>
      <c r="L347" s="99"/>
      <c r="M347" s="99"/>
      <c r="N347" s="99"/>
    </row>
    <row r="348" spans="2:14" ht="15.75" hidden="1" customHeight="1">
      <c r="B348" s="99"/>
      <c r="C348" s="99"/>
      <c r="E348" s="99"/>
      <c r="F348" s="99"/>
      <c r="G348" s="99"/>
      <c r="H348" s="99"/>
      <c r="I348" s="99"/>
      <c r="J348" s="99"/>
      <c r="K348" s="99"/>
      <c r="L348" s="99"/>
      <c r="M348" s="99"/>
      <c r="N348" s="99"/>
    </row>
    <row r="349" spans="2:14" ht="15.75" hidden="1" customHeight="1">
      <c r="B349" s="99"/>
      <c r="C349" s="99"/>
      <c r="E349" s="99"/>
      <c r="F349" s="99"/>
      <c r="G349" s="99"/>
      <c r="H349" s="99"/>
      <c r="I349" s="99"/>
      <c r="J349" s="99"/>
      <c r="K349" s="99"/>
      <c r="L349" s="99"/>
      <c r="M349" s="99"/>
      <c r="N349" s="99"/>
    </row>
    <row r="350" spans="2:14" ht="15.75" hidden="1" customHeight="1">
      <c r="B350" s="99"/>
      <c r="C350" s="99"/>
      <c r="E350" s="99"/>
      <c r="F350" s="99"/>
      <c r="G350" s="99"/>
      <c r="H350" s="99"/>
      <c r="I350" s="99"/>
      <c r="J350" s="99"/>
      <c r="K350" s="99"/>
      <c r="L350" s="99"/>
      <c r="M350" s="99"/>
      <c r="N350" s="99"/>
    </row>
    <row r="351" spans="2:14" ht="15.75" hidden="1" customHeight="1">
      <c r="B351" s="99"/>
      <c r="C351" s="99"/>
      <c r="E351" s="99"/>
      <c r="F351" s="99"/>
      <c r="G351" s="99"/>
      <c r="H351" s="99"/>
      <c r="I351" s="99"/>
      <c r="J351" s="99"/>
      <c r="K351" s="99"/>
      <c r="L351" s="99"/>
      <c r="M351" s="99"/>
      <c r="N351" s="99"/>
    </row>
    <row r="352" spans="2:14" ht="15.75" hidden="1" customHeight="1">
      <c r="B352" s="99"/>
      <c r="C352" s="99"/>
      <c r="E352" s="99"/>
      <c r="F352" s="99"/>
      <c r="G352" s="99"/>
      <c r="H352" s="99"/>
      <c r="I352" s="99"/>
      <c r="J352" s="99"/>
      <c r="K352" s="99"/>
      <c r="L352" s="99"/>
      <c r="M352" s="99"/>
      <c r="N352" s="99"/>
    </row>
    <row r="353" spans="2:14" ht="15.75" hidden="1" customHeight="1">
      <c r="B353" s="99"/>
      <c r="C353" s="99"/>
      <c r="E353" s="99"/>
      <c r="F353" s="99"/>
      <c r="G353" s="99"/>
      <c r="H353" s="99"/>
      <c r="I353" s="99"/>
      <c r="J353" s="99"/>
      <c r="K353" s="99"/>
      <c r="L353" s="99"/>
      <c r="M353" s="99"/>
      <c r="N353" s="99"/>
    </row>
    <row r="354" spans="2:14" ht="15.75" hidden="1" customHeight="1">
      <c r="B354" s="99"/>
      <c r="C354" s="99"/>
      <c r="E354" s="99"/>
      <c r="F354" s="99"/>
      <c r="G354" s="99"/>
      <c r="H354" s="99"/>
      <c r="I354" s="99"/>
      <c r="J354" s="99"/>
      <c r="K354" s="99"/>
      <c r="L354" s="99"/>
      <c r="M354" s="99"/>
      <c r="N354" s="99"/>
    </row>
    <row r="355" spans="2:14" ht="15.75" hidden="1" customHeight="1">
      <c r="B355" s="99"/>
      <c r="C355" s="99"/>
      <c r="E355" s="99"/>
      <c r="F355" s="99"/>
      <c r="G355" s="99"/>
      <c r="H355" s="99"/>
      <c r="I355" s="99"/>
      <c r="J355" s="99"/>
      <c r="K355" s="99"/>
      <c r="L355" s="99"/>
      <c r="M355" s="99"/>
      <c r="N355" s="99"/>
    </row>
    <row r="356" spans="2:14" ht="15.75" hidden="1" customHeight="1">
      <c r="B356" s="99"/>
      <c r="C356" s="99"/>
      <c r="E356" s="99"/>
      <c r="F356" s="99"/>
      <c r="G356" s="99"/>
      <c r="H356" s="99"/>
      <c r="I356" s="99"/>
      <c r="J356" s="99"/>
      <c r="K356" s="99"/>
      <c r="L356" s="99"/>
      <c r="M356" s="99"/>
      <c r="N356" s="99"/>
    </row>
    <row r="357" spans="2:14" ht="15.75" hidden="1" customHeight="1">
      <c r="B357" s="99"/>
      <c r="C357" s="99"/>
      <c r="E357" s="99"/>
      <c r="F357" s="99"/>
      <c r="G357" s="99"/>
      <c r="H357" s="99"/>
      <c r="I357" s="99"/>
      <c r="J357" s="99"/>
      <c r="K357" s="99"/>
      <c r="L357" s="99"/>
      <c r="M357" s="99"/>
      <c r="N357" s="99"/>
    </row>
    <row r="358" spans="2:14" ht="15.75" hidden="1" customHeight="1">
      <c r="B358" s="99"/>
      <c r="C358" s="99"/>
      <c r="E358" s="99"/>
      <c r="F358" s="99"/>
      <c r="G358" s="99"/>
      <c r="H358" s="99"/>
      <c r="I358" s="99"/>
      <c r="J358" s="99"/>
      <c r="K358" s="99"/>
      <c r="L358" s="99"/>
      <c r="M358" s="99"/>
      <c r="N358" s="99"/>
    </row>
    <row r="359" spans="2:14" ht="15.75" hidden="1" customHeight="1">
      <c r="B359" s="99"/>
      <c r="C359" s="99"/>
      <c r="E359" s="99"/>
      <c r="F359" s="99"/>
      <c r="G359" s="99"/>
      <c r="H359" s="99"/>
      <c r="I359" s="99"/>
      <c r="J359" s="99"/>
      <c r="K359" s="99"/>
      <c r="L359" s="99"/>
      <c r="M359" s="99"/>
      <c r="N359" s="99"/>
    </row>
    <row r="360" spans="2:14" ht="15.75" hidden="1" customHeight="1">
      <c r="B360" s="99"/>
      <c r="C360" s="99"/>
      <c r="E360" s="99"/>
      <c r="F360" s="99"/>
      <c r="G360" s="99"/>
      <c r="H360" s="99"/>
      <c r="I360" s="99"/>
      <c r="J360" s="99"/>
      <c r="K360" s="99"/>
      <c r="L360" s="99"/>
      <c r="M360" s="99"/>
      <c r="N360" s="99"/>
    </row>
    <row r="361" spans="2:14" ht="15.75" hidden="1" customHeight="1">
      <c r="B361" s="99"/>
      <c r="C361" s="99"/>
      <c r="E361" s="99"/>
      <c r="F361" s="99"/>
      <c r="G361" s="99"/>
      <c r="H361" s="99"/>
      <c r="I361" s="99"/>
      <c r="J361" s="99"/>
      <c r="K361" s="99"/>
      <c r="L361" s="99"/>
      <c r="M361" s="99"/>
      <c r="N361" s="99"/>
    </row>
    <row r="362" spans="2:14" ht="15.75" hidden="1" customHeight="1">
      <c r="B362" s="99"/>
      <c r="C362" s="99"/>
      <c r="E362" s="99"/>
      <c r="F362" s="99"/>
      <c r="G362" s="99"/>
      <c r="H362" s="99"/>
      <c r="I362" s="99"/>
      <c r="J362" s="99"/>
      <c r="K362" s="99"/>
      <c r="L362" s="99"/>
      <c r="M362" s="99"/>
      <c r="N362" s="99"/>
    </row>
    <row r="363" spans="2:14" ht="15.75" hidden="1" customHeight="1">
      <c r="B363" s="99"/>
      <c r="C363" s="99"/>
      <c r="E363" s="99"/>
      <c r="F363" s="99"/>
      <c r="G363" s="99"/>
      <c r="H363" s="99"/>
      <c r="I363" s="99"/>
      <c r="J363" s="99"/>
      <c r="K363" s="99"/>
      <c r="L363" s="99"/>
      <c r="M363" s="99"/>
      <c r="N363" s="99"/>
    </row>
    <row r="364" spans="2:14" ht="15.75" hidden="1" customHeight="1">
      <c r="B364" s="99"/>
      <c r="C364" s="99"/>
      <c r="E364" s="99"/>
      <c r="F364" s="99"/>
      <c r="G364" s="99"/>
      <c r="H364" s="99"/>
      <c r="I364" s="99"/>
      <c r="J364" s="99"/>
      <c r="K364" s="99"/>
      <c r="L364" s="99"/>
      <c r="M364" s="99"/>
      <c r="N364" s="99"/>
    </row>
    <row r="365" spans="2:14" ht="15.75" hidden="1" customHeight="1">
      <c r="B365" s="99"/>
      <c r="C365" s="99"/>
      <c r="E365" s="99"/>
      <c r="F365" s="99"/>
      <c r="G365" s="99"/>
      <c r="H365" s="99"/>
      <c r="I365" s="99"/>
      <c r="J365" s="99"/>
      <c r="K365" s="99"/>
      <c r="L365" s="99"/>
      <c r="M365" s="99"/>
      <c r="N365" s="99"/>
    </row>
    <row r="366" spans="2:14" ht="15.75" hidden="1" customHeight="1">
      <c r="B366" s="99"/>
      <c r="C366" s="99"/>
      <c r="E366" s="99"/>
      <c r="F366" s="99"/>
      <c r="G366" s="99"/>
      <c r="H366" s="99"/>
      <c r="I366" s="99"/>
      <c r="J366" s="99"/>
      <c r="K366" s="99"/>
      <c r="L366" s="99"/>
      <c r="M366" s="99"/>
      <c r="N366" s="99"/>
    </row>
    <row r="367" spans="2:14" ht="15.75" hidden="1" customHeight="1">
      <c r="B367" s="99"/>
      <c r="C367" s="99"/>
      <c r="E367" s="99"/>
      <c r="F367" s="99"/>
      <c r="G367" s="99"/>
      <c r="H367" s="99"/>
      <c r="I367" s="99"/>
      <c r="J367" s="99"/>
      <c r="K367" s="99"/>
      <c r="L367" s="99"/>
      <c r="M367" s="99"/>
      <c r="N367" s="99"/>
    </row>
    <row r="368" spans="2:14" ht="15.75" hidden="1" customHeight="1">
      <c r="B368" s="99"/>
      <c r="C368" s="99"/>
      <c r="E368" s="99"/>
      <c r="F368" s="99"/>
      <c r="G368" s="99"/>
      <c r="H368" s="99"/>
      <c r="I368" s="99"/>
      <c r="J368" s="99"/>
      <c r="K368" s="99"/>
      <c r="L368" s="99"/>
      <c r="M368" s="99"/>
      <c r="N368" s="99"/>
    </row>
    <row r="369" spans="2:14" ht="15.75" hidden="1" customHeight="1">
      <c r="B369" s="99"/>
      <c r="C369" s="99"/>
      <c r="E369" s="99"/>
      <c r="F369" s="99"/>
      <c r="G369" s="99"/>
      <c r="H369" s="99"/>
      <c r="I369" s="99"/>
      <c r="J369" s="99"/>
      <c r="K369" s="99"/>
      <c r="L369" s="99"/>
      <c r="M369" s="99"/>
      <c r="N369" s="99"/>
    </row>
    <row r="370" spans="2:14" ht="15.75" hidden="1" customHeight="1">
      <c r="B370" s="99"/>
      <c r="C370" s="99"/>
      <c r="E370" s="99"/>
      <c r="F370" s="99"/>
      <c r="G370" s="99"/>
      <c r="H370" s="99"/>
      <c r="I370" s="99"/>
      <c r="J370" s="99"/>
      <c r="K370" s="99"/>
      <c r="L370" s="99"/>
      <c r="M370" s="99"/>
      <c r="N370" s="99"/>
    </row>
    <row r="371" spans="2:14" ht="15.75" hidden="1" customHeight="1">
      <c r="B371" s="99"/>
      <c r="C371" s="99"/>
      <c r="E371" s="99"/>
      <c r="F371" s="99"/>
      <c r="G371" s="99"/>
      <c r="H371" s="99"/>
      <c r="I371" s="99"/>
      <c r="J371" s="99"/>
      <c r="K371" s="99"/>
      <c r="L371" s="99"/>
      <c r="M371" s="99"/>
      <c r="N371" s="99"/>
    </row>
    <row r="372" spans="2:14" ht="15.75" hidden="1" customHeight="1">
      <c r="B372" s="99"/>
      <c r="C372" s="99"/>
      <c r="E372" s="99"/>
      <c r="F372" s="99"/>
      <c r="G372" s="99"/>
      <c r="H372" s="99"/>
      <c r="I372" s="99"/>
      <c r="J372" s="99"/>
      <c r="K372" s="99"/>
      <c r="L372" s="99"/>
      <c r="M372" s="99"/>
      <c r="N372" s="99"/>
    </row>
    <row r="373" spans="2:14" ht="15.75" hidden="1" customHeight="1">
      <c r="B373" s="99"/>
      <c r="C373" s="99"/>
      <c r="E373" s="99"/>
      <c r="F373" s="99"/>
      <c r="G373" s="99"/>
      <c r="H373" s="99"/>
      <c r="I373" s="99"/>
      <c r="J373" s="99"/>
      <c r="K373" s="99"/>
      <c r="L373" s="99"/>
      <c r="M373" s="99"/>
      <c r="N373" s="99"/>
    </row>
    <row r="374" spans="2:14" ht="15.75" hidden="1" customHeight="1">
      <c r="B374" s="99"/>
      <c r="C374" s="99"/>
      <c r="E374" s="99"/>
      <c r="F374" s="99"/>
      <c r="G374" s="99"/>
      <c r="H374" s="99"/>
      <c r="I374" s="99"/>
      <c r="J374" s="99"/>
      <c r="K374" s="99"/>
      <c r="L374" s="99"/>
      <c r="M374" s="99"/>
      <c r="N374" s="99"/>
    </row>
    <row r="375" spans="2:14" ht="15.75" hidden="1" customHeight="1">
      <c r="B375" s="99"/>
      <c r="C375" s="99"/>
      <c r="E375" s="99"/>
      <c r="F375" s="99"/>
      <c r="G375" s="99"/>
      <c r="H375" s="99"/>
      <c r="I375" s="99"/>
      <c r="J375" s="99"/>
      <c r="K375" s="99"/>
      <c r="L375" s="99"/>
      <c r="M375" s="99"/>
      <c r="N375" s="99"/>
    </row>
    <row r="376" spans="2:14" ht="15.75" hidden="1" customHeight="1">
      <c r="B376" s="99"/>
      <c r="C376" s="99"/>
      <c r="E376" s="99"/>
      <c r="F376" s="99"/>
      <c r="G376" s="99"/>
      <c r="H376" s="99"/>
      <c r="I376" s="99"/>
      <c r="J376" s="99"/>
      <c r="K376" s="99"/>
      <c r="L376" s="99"/>
      <c r="M376" s="99"/>
      <c r="N376" s="99"/>
    </row>
    <row r="377" spans="2:14" ht="15.75" hidden="1" customHeight="1">
      <c r="B377" s="99"/>
      <c r="C377" s="99"/>
      <c r="E377" s="99"/>
      <c r="F377" s="99"/>
      <c r="G377" s="99"/>
      <c r="H377" s="99"/>
      <c r="I377" s="99"/>
      <c r="J377" s="99"/>
      <c r="K377" s="99"/>
      <c r="L377" s="99"/>
      <c r="M377" s="99"/>
      <c r="N377" s="99"/>
    </row>
    <row r="378" spans="2:14" ht="15.75" hidden="1" customHeight="1">
      <c r="B378" s="99"/>
      <c r="C378" s="99"/>
      <c r="E378" s="99"/>
      <c r="F378" s="99"/>
      <c r="G378" s="99"/>
      <c r="H378" s="99"/>
      <c r="I378" s="99"/>
      <c r="J378" s="99"/>
      <c r="K378" s="99"/>
      <c r="L378" s="99"/>
      <c r="M378" s="99"/>
      <c r="N378" s="99"/>
    </row>
    <row r="379" spans="2:14" ht="15.75" hidden="1" customHeight="1">
      <c r="B379" s="99"/>
      <c r="C379" s="99"/>
      <c r="E379" s="99"/>
      <c r="F379" s="99"/>
      <c r="G379" s="99"/>
      <c r="H379" s="99"/>
      <c r="I379" s="99"/>
      <c r="J379" s="99"/>
      <c r="K379" s="99"/>
      <c r="L379" s="99"/>
      <c r="M379" s="99"/>
      <c r="N379" s="99"/>
    </row>
    <row r="380" spans="2:14" ht="15.75" hidden="1" customHeight="1">
      <c r="B380" s="99"/>
      <c r="C380" s="99"/>
      <c r="E380" s="99"/>
      <c r="F380" s="99"/>
      <c r="G380" s="99"/>
      <c r="H380" s="99"/>
      <c r="I380" s="99"/>
      <c r="J380" s="99"/>
      <c r="K380" s="99"/>
      <c r="L380" s="99"/>
      <c r="M380" s="99"/>
      <c r="N380" s="99"/>
    </row>
    <row r="381" spans="2:14" ht="15.75" hidden="1" customHeight="1">
      <c r="B381" s="99"/>
      <c r="C381" s="99"/>
      <c r="E381" s="99"/>
      <c r="F381" s="99"/>
      <c r="G381" s="99"/>
      <c r="H381" s="99"/>
      <c r="I381" s="99"/>
      <c r="J381" s="99"/>
      <c r="K381" s="99"/>
      <c r="L381" s="99"/>
      <c r="M381" s="99"/>
      <c r="N381" s="99"/>
    </row>
    <row r="382" spans="2:14" ht="15.75" hidden="1" customHeight="1">
      <c r="B382" s="99"/>
      <c r="C382" s="99"/>
      <c r="E382" s="99"/>
      <c r="F382" s="99"/>
      <c r="G382" s="99"/>
      <c r="H382" s="99"/>
      <c r="I382" s="99"/>
      <c r="J382" s="99"/>
      <c r="K382" s="99"/>
      <c r="L382" s="99"/>
      <c r="M382" s="99"/>
      <c r="N382" s="99"/>
    </row>
    <row r="383" spans="2:14" ht="15.75" hidden="1" customHeight="1">
      <c r="B383" s="99"/>
      <c r="C383" s="99"/>
      <c r="E383" s="99"/>
      <c r="F383" s="99"/>
      <c r="G383" s="99"/>
      <c r="H383" s="99"/>
      <c r="I383" s="99"/>
      <c r="J383" s="99"/>
      <c r="K383" s="99"/>
      <c r="L383" s="99"/>
      <c r="M383" s="99"/>
      <c r="N383" s="99"/>
    </row>
    <row r="384" spans="2:14" ht="15.75" hidden="1" customHeight="1">
      <c r="B384" s="99"/>
      <c r="C384" s="99"/>
      <c r="E384" s="99"/>
      <c r="F384" s="99"/>
      <c r="G384" s="99"/>
      <c r="H384" s="99"/>
      <c r="I384" s="99"/>
      <c r="J384" s="99"/>
      <c r="K384" s="99"/>
      <c r="L384" s="99"/>
      <c r="M384" s="99"/>
      <c r="N384" s="99"/>
    </row>
    <row r="385" spans="2:14" ht="15.75" hidden="1" customHeight="1">
      <c r="B385" s="99"/>
      <c r="C385" s="99"/>
      <c r="E385" s="99"/>
      <c r="F385" s="99"/>
      <c r="G385" s="99"/>
      <c r="H385" s="99"/>
      <c r="I385" s="99"/>
      <c r="J385" s="99"/>
      <c r="K385" s="99"/>
      <c r="L385" s="99"/>
      <c r="M385" s="99"/>
      <c r="N385" s="99"/>
    </row>
    <row r="386" spans="2:14" ht="15.75" hidden="1" customHeight="1">
      <c r="B386" s="99"/>
      <c r="C386" s="99"/>
      <c r="E386" s="99"/>
      <c r="F386" s="99"/>
      <c r="G386" s="99"/>
      <c r="H386" s="99"/>
      <c r="I386" s="99"/>
      <c r="J386" s="99"/>
      <c r="K386" s="99"/>
      <c r="L386" s="99"/>
      <c r="M386" s="99"/>
      <c r="N386" s="99"/>
    </row>
    <row r="387" spans="2:14" ht="15.75" hidden="1" customHeight="1">
      <c r="B387" s="99"/>
      <c r="C387" s="99"/>
      <c r="E387" s="99"/>
      <c r="F387" s="99"/>
      <c r="G387" s="99"/>
      <c r="H387" s="99"/>
      <c r="I387" s="99"/>
      <c r="J387" s="99"/>
      <c r="K387" s="99"/>
      <c r="L387" s="99"/>
      <c r="M387" s="99"/>
      <c r="N387" s="99"/>
    </row>
    <row r="388" spans="2:14" ht="15.75" hidden="1" customHeight="1">
      <c r="B388" s="99"/>
      <c r="C388" s="99"/>
      <c r="E388" s="99"/>
      <c r="F388" s="99"/>
      <c r="G388" s="99"/>
      <c r="H388" s="99"/>
      <c r="I388" s="99"/>
      <c r="J388" s="99"/>
      <c r="K388" s="99"/>
      <c r="L388" s="99"/>
      <c r="M388" s="99"/>
      <c r="N388" s="99"/>
    </row>
    <row r="389" spans="2:14" ht="15.75" hidden="1" customHeight="1">
      <c r="B389" s="99"/>
      <c r="C389" s="99"/>
      <c r="E389" s="99"/>
      <c r="F389" s="99"/>
      <c r="G389" s="99"/>
      <c r="H389" s="99"/>
      <c r="I389" s="99"/>
      <c r="J389" s="99"/>
      <c r="K389" s="99"/>
      <c r="L389" s="99"/>
      <c r="M389" s="99"/>
      <c r="N389" s="99"/>
    </row>
    <row r="390" spans="2:14" ht="15.75" hidden="1" customHeight="1">
      <c r="B390" s="99"/>
      <c r="C390" s="99"/>
      <c r="E390" s="99"/>
      <c r="F390" s="99"/>
      <c r="G390" s="99"/>
      <c r="H390" s="99"/>
      <c r="I390" s="99"/>
      <c r="J390" s="99"/>
      <c r="K390" s="99"/>
      <c r="L390" s="99"/>
      <c r="M390" s="99"/>
      <c r="N390" s="99"/>
    </row>
    <row r="391" spans="2:14" ht="15.75" hidden="1" customHeight="1">
      <c r="B391" s="99"/>
      <c r="C391" s="99"/>
      <c r="E391" s="99"/>
      <c r="F391" s="99"/>
      <c r="G391" s="99"/>
      <c r="H391" s="99"/>
      <c r="I391" s="99"/>
      <c r="J391" s="99"/>
      <c r="K391" s="99"/>
      <c r="L391" s="99"/>
      <c r="M391" s="99"/>
      <c r="N391" s="99"/>
    </row>
    <row r="392" spans="2:14" ht="15.75" hidden="1" customHeight="1">
      <c r="B392" s="99"/>
      <c r="C392" s="99"/>
      <c r="E392" s="99"/>
      <c r="F392" s="99"/>
      <c r="G392" s="99"/>
      <c r="H392" s="99"/>
      <c r="I392" s="99"/>
      <c r="J392" s="99"/>
      <c r="K392" s="99"/>
      <c r="L392" s="99"/>
      <c r="M392" s="99"/>
      <c r="N392" s="99"/>
    </row>
    <row r="393" spans="2:14" ht="15.75" hidden="1" customHeight="1">
      <c r="B393" s="99"/>
      <c r="C393" s="99"/>
      <c r="E393" s="99"/>
      <c r="F393" s="99"/>
      <c r="G393" s="99"/>
      <c r="H393" s="99"/>
      <c r="I393" s="99"/>
      <c r="J393" s="99"/>
      <c r="K393" s="99"/>
      <c r="L393" s="99"/>
      <c r="M393" s="99"/>
      <c r="N393" s="99"/>
    </row>
    <row r="394" spans="2:14" ht="15.75" hidden="1" customHeight="1">
      <c r="B394" s="99"/>
      <c r="C394" s="99"/>
      <c r="E394" s="99"/>
      <c r="F394" s="99"/>
      <c r="G394" s="99"/>
      <c r="H394" s="99"/>
      <c r="I394" s="99"/>
      <c r="J394" s="99"/>
      <c r="K394" s="99"/>
      <c r="L394" s="99"/>
      <c r="M394" s="99"/>
      <c r="N394" s="99"/>
    </row>
    <row r="395" spans="2:14" ht="15.75" hidden="1" customHeight="1">
      <c r="B395" s="99"/>
      <c r="C395" s="99"/>
      <c r="E395" s="99"/>
      <c r="F395" s="99"/>
      <c r="G395" s="99"/>
      <c r="H395" s="99"/>
      <c r="I395" s="99"/>
      <c r="J395" s="99"/>
      <c r="K395" s="99"/>
      <c r="L395" s="99"/>
      <c r="M395" s="99"/>
      <c r="N395" s="99"/>
    </row>
    <row r="396" spans="2:14" ht="15.75" hidden="1" customHeight="1">
      <c r="B396" s="99"/>
      <c r="C396" s="99"/>
      <c r="E396" s="99"/>
      <c r="F396" s="99"/>
      <c r="G396" s="99"/>
      <c r="H396" s="99"/>
      <c r="I396" s="99"/>
      <c r="J396" s="99"/>
      <c r="K396" s="99"/>
      <c r="L396" s="99"/>
      <c r="M396" s="99"/>
      <c r="N396" s="99"/>
    </row>
    <row r="397" spans="2:14" ht="15.75" hidden="1" customHeight="1">
      <c r="B397" s="99"/>
      <c r="C397" s="99"/>
      <c r="E397" s="99"/>
      <c r="F397" s="99"/>
      <c r="G397" s="99"/>
      <c r="H397" s="99"/>
      <c r="I397" s="99"/>
      <c r="J397" s="99"/>
      <c r="K397" s="99"/>
      <c r="L397" s="99"/>
      <c r="M397" s="99"/>
      <c r="N397" s="99"/>
    </row>
    <row r="398" spans="2:14" ht="15.75" hidden="1" customHeight="1">
      <c r="B398" s="99"/>
      <c r="C398" s="99"/>
      <c r="E398" s="99"/>
      <c r="F398" s="99"/>
      <c r="G398" s="99"/>
      <c r="H398" s="99"/>
      <c r="I398" s="99"/>
      <c r="J398" s="99"/>
      <c r="K398" s="99"/>
      <c r="L398" s="99"/>
      <c r="M398" s="99"/>
      <c r="N398" s="99"/>
    </row>
    <row r="399" spans="2:14" ht="15.75" hidden="1" customHeight="1">
      <c r="B399" s="99"/>
      <c r="C399" s="99"/>
      <c r="E399" s="99"/>
      <c r="F399" s="99"/>
      <c r="G399" s="99"/>
      <c r="H399" s="99"/>
      <c r="I399" s="99"/>
      <c r="J399" s="99"/>
      <c r="K399" s="99"/>
      <c r="L399" s="99"/>
      <c r="M399" s="99"/>
      <c r="N399" s="99"/>
    </row>
    <row r="400" spans="2:14" ht="15.75" hidden="1" customHeight="1">
      <c r="B400" s="99"/>
      <c r="C400" s="99"/>
      <c r="E400" s="99"/>
      <c r="F400" s="99"/>
      <c r="G400" s="99"/>
      <c r="H400" s="99"/>
      <c r="I400" s="99"/>
      <c r="J400" s="99"/>
      <c r="K400" s="99"/>
      <c r="L400" s="99"/>
      <c r="M400" s="99"/>
      <c r="N400" s="99"/>
    </row>
    <row r="401" spans="2:14" ht="15.75" hidden="1" customHeight="1">
      <c r="B401" s="99"/>
      <c r="C401" s="99"/>
      <c r="E401" s="99"/>
      <c r="F401" s="99"/>
      <c r="G401" s="99"/>
      <c r="H401" s="99"/>
      <c r="I401" s="99"/>
      <c r="J401" s="99"/>
      <c r="K401" s="99"/>
      <c r="L401" s="99"/>
      <c r="M401" s="99"/>
      <c r="N401" s="99"/>
    </row>
    <row r="402" spans="2:14" ht="15.75" hidden="1" customHeight="1">
      <c r="B402" s="99"/>
      <c r="C402" s="99"/>
      <c r="E402" s="99"/>
      <c r="F402" s="99"/>
      <c r="G402" s="99"/>
      <c r="H402" s="99"/>
      <c r="I402" s="99"/>
      <c r="J402" s="99"/>
      <c r="K402" s="99"/>
      <c r="L402" s="99"/>
      <c r="M402" s="99"/>
      <c r="N402" s="99"/>
    </row>
    <row r="403" spans="2:14" ht="15.75" hidden="1" customHeight="1">
      <c r="B403" s="99"/>
      <c r="C403" s="99"/>
      <c r="E403" s="99"/>
      <c r="F403" s="99"/>
      <c r="G403" s="99"/>
      <c r="H403" s="99"/>
      <c r="I403" s="99"/>
      <c r="J403" s="99"/>
      <c r="K403" s="99"/>
      <c r="L403" s="99"/>
      <c r="M403" s="99"/>
      <c r="N403" s="99"/>
    </row>
    <row r="404" spans="2:14" ht="15.75" hidden="1" customHeight="1">
      <c r="B404" s="99"/>
      <c r="C404" s="99"/>
      <c r="E404" s="99"/>
      <c r="F404" s="99"/>
      <c r="G404" s="99"/>
      <c r="H404" s="99"/>
      <c r="I404" s="99"/>
      <c r="J404" s="99"/>
      <c r="K404" s="99"/>
      <c r="L404" s="99"/>
      <c r="M404" s="99"/>
      <c r="N404" s="99"/>
    </row>
    <row r="405" spans="2:14" ht="15.75" hidden="1" customHeight="1">
      <c r="B405" s="99"/>
      <c r="C405" s="99"/>
      <c r="E405" s="99"/>
      <c r="F405" s="99"/>
      <c r="G405" s="99"/>
      <c r="H405" s="99"/>
      <c r="I405" s="99"/>
      <c r="J405" s="99"/>
      <c r="K405" s="99"/>
      <c r="L405" s="99"/>
      <c r="M405" s="99"/>
      <c r="N405" s="99"/>
    </row>
    <row r="406" spans="2:14" ht="15.75" hidden="1" customHeight="1">
      <c r="B406" s="99"/>
      <c r="C406" s="99"/>
      <c r="E406" s="99"/>
      <c r="F406" s="99"/>
      <c r="G406" s="99"/>
      <c r="H406" s="99"/>
      <c r="I406" s="99"/>
      <c r="J406" s="99"/>
      <c r="K406" s="99"/>
      <c r="L406" s="99"/>
      <c r="M406" s="99"/>
      <c r="N406" s="99"/>
    </row>
    <row r="407" spans="2:14" ht="15.75" hidden="1" customHeight="1">
      <c r="B407" s="99"/>
      <c r="C407" s="99"/>
      <c r="E407" s="99"/>
      <c r="F407" s="99"/>
      <c r="G407" s="99"/>
      <c r="H407" s="99"/>
      <c r="I407" s="99"/>
      <c r="J407" s="99"/>
      <c r="K407" s="99"/>
      <c r="L407" s="99"/>
      <c r="M407" s="99"/>
      <c r="N407" s="99"/>
    </row>
    <row r="408" spans="2:14" ht="15.75" hidden="1" customHeight="1">
      <c r="B408" s="99"/>
      <c r="C408" s="99"/>
      <c r="E408" s="99"/>
      <c r="F408" s="99"/>
      <c r="G408" s="99"/>
      <c r="H408" s="99"/>
      <c r="I408" s="99"/>
      <c r="J408" s="99"/>
      <c r="K408" s="99"/>
      <c r="L408" s="99"/>
      <c r="M408" s="99"/>
      <c r="N408" s="99"/>
    </row>
    <row r="409" spans="2:14" ht="15.75" hidden="1" customHeight="1">
      <c r="B409" s="99"/>
      <c r="C409" s="99"/>
      <c r="E409" s="99"/>
      <c r="F409" s="99"/>
      <c r="G409" s="99"/>
      <c r="H409" s="99"/>
      <c r="I409" s="99"/>
      <c r="J409" s="99"/>
      <c r="K409" s="99"/>
      <c r="L409" s="99"/>
      <c r="M409" s="99"/>
      <c r="N409" s="99"/>
    </row>
    <row r="410" spans="2:14" ht="15.75" hidden="1" customHeight="1">
      <c r="B410" s="99"/>
      <c r="C410" s="99"/>
      <c r="E410" s="99"/>
      <c r="F410" s="99"/>
      <c r="G410" s="99"/>
      <c r="H410" s="99"/>
      <c r="I410" s="99"/>
      <c r="J410" s="99"/>
      <c r="K410" s="99"/>
      <c r="L410" s="99"/>
      <c r="M410" s="99"/>
      <c r="N410" s="99"/>
    </row>
    <row r="411" spans="2:14" ht="15.75" hidden="1" customHeight="1">
      <c r="B411" s="99"/>
      <c r="C411" s="99"/>
      <c r="E411" s="99"/>
      <c r="F411" s="99"/>
      <c r="G411" s="99"/>
      <c r="H411" s="99"/>
      <c r="I411" s="99"/>
      <c r="J411" s="99"/>
      <c r="K411" s="99"/>
      <c r="L411" s="99"/>
      <c r="M411" s="99"/>
      <c r="N411" s="99"/>
    </row>
    <row r="412" spans="2:14" ht="15.75" hidden="1" customHeight="1">
      <c r="B412" s="99"/>
      <c r="C412" s="99"/>
      <c r="E412" s="99"/>
      <c r="F412" s="99"/>
      <c r="G412" s="99"/>
      <c r="H412" s="99"/>
      <c r="I412" s="99"/>
      <c r="J412" s="99"/>
      <c r="K412" s="99"/>
      <c r="L412" s="99"/>
      <c r="M412" s="99"/>
      <c r="N412" s="99"/>
    </row>
    <row r="413" spans="2:14" ht="15.75" hidden="1" customHeight="1">
      <c r="B413" s="99"/>
      <c r="C413" s="99"/>
      <c r="E413" s="99"/>
      <c r="F413" s="99"/>
      <c r="G413" s="99"/>
      <c r="H413" s="99"/>
      <c r="I413" s="99"/>
      <c r="J413" s="99"/>
      <c r="K413" s="99"/>
      <c r="L413" s="99"/>
      <c r="M413" s="99"/>
      <c r="N413" s="99"/>
    </row>
    <row r="414" spans="2:14" ht="15.75" hidden="1" customHeight="1">
      <c r="B414" s="99"/>
      <c r="C414" s="99"/>
      <c r="E414" s="99"/>
      <c r="F414" s="99"/>
      <c r="G414" s="99"/>
      <c r="H414" s="99"/>
      <c r="I414" s="99"/>
      <c r="J414" s="99"/>
      <c r="K414" s="99"/>
      <c r="L414" s="99"/>
      <c r="M414" s="99"/>
      <c r="N414" s="99"/>
    </row>
    <row r="415" spans="2:14" ht="15.75" hidden="1" customHeight="1">
      <c r="B415" s="99"/>
      <c r="C415" s="99"/>
      <c r="E415" s="99"/>
      <c r="F415" s="99"/>
      <c r="G415" s="99"/>
      <c r="H415" s="99"/>
      <c r="I415" s="99"/>
      <c r="J415" s="99"/>
      <c r="K415" s="99"/>
      <c r="L415" s="99"/>
      <c r="M415" s="99"/>
      <c r="N415" s="99"/>
    </row>
    <row r="416" spans="2:14" ht="15.75" hidden="1" customHeight="1">
      <c r="B416" s="99"/>
      <c r="C416" s="99"/>
      <c r="E416" s="99"/>
      <c r="F416" s="99"/>
      <c r="G416" s="99"/>
      <c r="H416" s="99"/>
      <c r="I416" s="99"/>
      <c r="J416" s="99"/>
      <c r="K416" s="99"/>
      <c r="L416" s="99"/>
      <c r="M416" s="99"/>
      <c r="N416" s="99"/>
    </row>
    <row r="417" spans="2:14" ht="15.75" hidden="1" customHeight="1">
      <c r="B417" s="99"/>
      <c r="C417" s="99"/>
      <c r="E417" s="99"/>
      <c r="F417" s="99"/>
      <c r="G417" s="99"/>
      <c r="H417" s="99"/>
      <c r="I417" s="99"/>
      <c r="J417" s="99"/>
      <c r="K417" s="99"/>
      <c r="L417" s="99"/>
      <c r="M417" s="99"/>
      <c r="N417" s="99"/>
    </row>
    <row r="418" spans="2:14" ht="15.75" hidden="1" customHeight="1">
      <c r="B418" s="99"/>
      <c r="C418" s="99"/>
      <c r="E418" s="99"/>
      <c r="F418" s="99"/>
      <c r="G418" s="99"/>
      <c r="H418" s="99"/>
      <c r="I418" s="99"/>
      <c r="J418" s="99"/>
      <c r="K418" s="99"/>
      <c r="L418" s="99"/>
      <c r="M418" s="99"/>
      <c r="N418" s="99"/>
    </row>
    <row r="419" spans="2:14" ht="15.75" hidden="1" customHeight="1">
      <c r="B419" s="99"/>
      <c r="C419" s="99"/>
      <c r="E419" s="99"/>
      <c r="F419" s="99"/>
      <c r="G419" s="99"/>
      <c r="H419" s="99"/>
      <c r="I419" s="99"/>
      <c r="J419" s="99"/>
      <c r="K419" s="99"/>
      <c r="L419" s="99"/>
      <c r="M419" s="99"/>
      <c r="N419" s="99"/>
    </row>
    <row r="420" spans="2:14" ht="15.75" hidden="1" customHeight="1">
      <c r="B420" s="99"/>
      <c r="C420" s="99"/>
      <c r="E420" s="99"/>
      <c r="F420" s="99"/>
      <c r="G420" s="99"/>
      <c r="H420" s="99"/>
      <c r="I420" s="99"/>
      <c r="J420" s="99"/>
      <c r="K420" s="99"/>
      <c r="L420" s="99"/>
      <c r="M420" s="99"/>
      <c r="N420" s="99"/>
    </row>
    <row r="421" spans="2:14" ht="15.75" hidden="1" customHeight="1">
      <c r="B421" s="99"/>
      <c r="C421" s="99"/>
      <c r="E421" s="99"/>
      <c r="F421" s="99"/>
      <c r="G421" s="99"/>
      <c r="H421" s="99"/>
      <c r="I421" s="99"/>
      <c r="J421" s="99"/>
      <c r="K421" s="99"/>
      <c r="L421" s="99"/>
      <c r="M421" s="99"/>
      <c r="N421" s="99"/>
    </row>
    <row r="422" spans="2:14" ht="15.75" hidden="1" customHeight="1">
      <c r="B422" s="99"/>
      <c r="C422" s="99"/>
      <c r="E422" s="99"/>
      <c r="F422" s="99"/>
      <c r="G422" s="99"/>
      <c r="H422" s="99"/>
      <c r="I422" s="99"/>
      <c r="J422" s="99"/>
      <c r="K422" s="99"/>
      <c r="L422" s="99"/>
      <c r="M422" s="99"/>
      <c r="N422" s="99"/>
    </row>
    <row r="423" spans="2:14" ht="15.75" hidden="1" customHeight="1">
      <c r="B423" s="99"/>
      <c r="C423" s="99"/>
      <c r="E423" s="99"/>
      <c r="F423" s="99"/>
      <c r="G423" s="99"/>
      <c r="H423" s="99"/>
      <c r="I423" s="99"/>
      <c r="J423" s="99"/>
      <c r="K423" s="99"/>
      <c r="L423" s="99"/>
      <c r="M423" s="99"/>
      <c r="N423" s="99"/>
    </row>
    <row r="424" spans="2:14" ht="15.75" hidden="1" customHeight="1">
      <c r="B424" s="99"/>
      <c r="C424" s="99"/>
      <c r="E424" s="99"/>
      <c r="F424" s="99"/>
      <c r="G424" s="99"/>
      <c r="H424" s="99"/>
      <c r="I424" s="99"/>
      <c r="J424" s="99"/>
      <c r="K424" s="99"/>
      <c r="L424" s="99"/>
      <c r="M424" s="99"/>
      <c r="N424" s="99"/>
    </row>
    <row r="425" spans="2:14" ht="15.75" hidden="1" customHeight="1">
      <c r="B425" s="99"/>
      <c r="C425" s="99"/>
      <c r="E425" s="99"/>
      <c r="F425" s="99"/>
      <c r="G425" s="99"/>
      <c r="H425" s="99"/>
      <c r="I425" s="99"/>
      <c r="J425" s="99"/>
      <c r="K425" s="99"/>
      <c r="L425" s="99"/>
      <c r="M425" s="99"/>
      <c r="N425" s="99"/>
    </row>
    <row r="426" spans="2:14" ht="15.75" hidden="1" customHeight="1">
      <c r="B426" s="99"/>
      <c r="C426" s="99"/>
      <c r="E426" s="99"/>
      <c r="F426" s="99"/>
      <c r="G426" s="99"/>
      <c r="H426" s="99"/>
      <c r="I426" s="99"/>
      <c r="J426" s="99"/>
      <c r="K426" s="99"/>
      <c r="L426" s="99"/>
      <c r="M426" s="99"/>
      <c r="N426" s="99"/>
    </row>
    <row r="427" spans="2:14" ht="15.75" hidden="1" customHeight="1">
      <c r="B427" s="99"/>
      <c r="C427" s="99"/>
      <c r="E427" s="99"/>
      <c r="F427" s="99"/>
      <c r="G427" s="99"/>
      <c r="H427" s="99"/>
      <c r="I427" s="99"/>
      <c r="J427" s="99"/>
      <c r="K427" s="99"/>
      <c r="L427" s="99"/>
      <c r="M427" s="99"/>
      <c r="N427" s="99"/>
    </row>
    <row r="428" spans="2:14" ht="15.75" hidden="1" customHeight="1">
      <c r="B428" s="99"/>
      <c r="C428" s="99"/>
      <c r="E428" s="99"/>
      <c r="F428" s="99"/>
      <c r="G428" s="99"/>
      <c r="H428" s="99"/>
      <c r="I428" s="99"/>
      <c r="J428" s="99"/>
      <c r="K428" s="99"/>
      <c r="L428" s="99"/>
      <c r="M428" s="99"/>
      <c r="N428" s="99"/>
    </row>
    <row r="429" spans="2:14" ht="15.75" hidden="1" customHeight="1">
      <c r="B429" s="99"/>
      <c r="C429" s="99"/>
      <c r="E429" s="99"/>
      <c r="F429" s="99"/>
      <c r="G429" s="99"/>
      <c r="H429" s="99"/>
      <c r="I429" s="99"/>
      <c r="J429" s="99"/>
      <c r="K429" s="99"/>
      <c r="L429" s="99"/>
      <c r="M429" s="99"/>
      <c r="N429" s="99"/>
    </row>
    <row r="430" spans="2:14" ht="15.75" hidden="1" customHeight="1">
      <c r="B430" s="99"/>
      <c r="C430" s="99"/>
      <c r="E430" s="99"/>
      <c r="F430" s="99"/>
      <c r="G430" s="99"/>
      <c r="H430" s="99"/>
      <c r="I430" s="99"/>
      <c r="J430" s="99"/>
      <c r="K430" s="99"/>
      <c r="L430" s="99"/>
      <c r="M430" s="99"/>
      <c r="N430" s="99"/>
    </row>
    <row r="431" spans="2:14" ht="15.75" hidden="1" customHeight="1">
      <c r="B431" s="99"/>
      <c r="C431" s="99"/>
      <c r="E431" s="99"/>
      <c r="F431" s="99"/>
      <c r="G431" s="99"/>
      <c r="H431" s="99"/>
      <c r="I431" s="99"/>
      <c r="J431" s="99"/>
      <c r="K431" s="99"/>
      <c r="L431" s="99"/>
      <c r="M431" s="99"/>
      <c r="N431" s="99"/>
    </row>
    <row r="432" spans="2:14" ht="15.75" hidden="1" customHeight="1">
      <c r="B432" s="99"/>
      <c r="C432" s="99"/>
      <c r="E432" s="99"/>
      <c r="F432" s="99"/>
      <c r="G432" s="99"/>
      <c r="H432" s="99"/>
      <c r="I432" s="99"/>
      <c r="J432" s="99"/>
      <c r="K432" s="99"/>
      <c r="L432" s="99"/>
      <c r="M432" s="99"/>
      <c r="N432" s="99"/>
    </row>
    <row r="433" spans="2:14" ht="15.75" hidden="1" customHeight="1">
      <c r="B433" s="99"/>
      <c r="C433" s="99"/>
      <c r="E433" s="99"/>
      <c r="F433" s="99"/>
      <c r="G433" s="99"/>
      <c r="H433" s="99"/>
      <c r="I433" s="99"/>
      <c r="J433" s="99"/>
      <c r="K433" s="99"/>
      <c r="L433" s="99"/>
      <c r="M433" s="99"/>
      <c r="N433" s="99"/>
    </row>
    <row r="434" spans="2:14" ht="15.75" hidden="1" customHeight="1">
      <c r="B434" s="99"/>
      <c r="C434" s="99"/>
      <c r="E434" s="99"/>
      <c r="F434" s="99"/>
      <c r="G434" s="99"/>
      <c r="H434" s="99"/>
      <c r="I434" s="99"/>
      <c r="J434" s="99"/>
      <c r="K434" s="99"/>
      <c r="L434" s="99"/>
      <c r="M434" s="99"/>
      <c r="N434" s="99"/>
    </row>
    <row r="435" spans="2:14" ht="15.75" hidden="1" customHeight="1">
      <c r="B435" s="99"/>
      <c r="C435" s="99"/>
      <c r="E435" s="99"/>
      <c r="F435" s="99"/>
      <c r="G435" s="99"/>
      <c r="H435" s="99"/>
      <c r="I435" s="99"/>
      <c r="J435" s="99"/>
      <c r="K435" s="99"/>
      <c r="L435" s="99"/>
      <c r="M435" s="99"/>
      <c r="N435" s="99"/>
    </row>
    <row r="436" spans="2:14" ht="15.75" hidden="1" customHeight="1">
      <c r="B436" s="99"/>
      <c r="C436" s="99"/>
      <c r="E436" s="99"/>
      <c r="F436" s="99"/>
      <c r="G436" s="99"/>
      <c r="H436" s="99"/>
      <c r="I436" s="99"/>
      <c r="J436" s="99"/>
      <c r="K436" s="99"/>
      <c r="L436" s="99"/>
      <c r="M436" s="99"/>
      <c r="N436" s="99"/>
    </row>
    <row r="437" spans="2:14" ht="15.75" hidden="1" customHeight="1">
      <c r="B437" s="99"/>
      <c r="C437" s="99"/>
      <c r="E437" s="99"/>
      <c r="F437" s="99"/>
      <c r="G437" s="99"/>
      <c r="H437" s="99"/>
      <c r="I437" s="99"/>
      <c r="J437" s="99"/>
      <c r="K437" s="99"/>
      <c r="L437" s="99"/>
      <c r="M437" s="99"/>
      <c r="N437" s="99"/>
    </row>
    <row r="438" spans="2:14" ht="15.75" hidden="1" customHeight="1">
      <c r="B438" s="99"/>
      <c r="C438" s="99"/>
      <c r="E438" s="99"/>
      <c r="F438" s="99"/>
      <c r="G438" s="99"/>
      <c r="H438" s="99"/>
      <c r="I438" s="99"/>
      <c r="J438" s="99"/>
      <c r="K438" s="99"/>
      <c r="L438" s="99"/>
      <c r="M438" s="99"/>
      <c r="N438" s="99"/>
    </row>
    <row r="439" spans="2:14" ht="15.75" hidden="1" customHeight="1">
      <c r="B439" s="99"/>
      <c r="C439" s="99"/>
      <c r="E439" s="99"/>
      <c r="F439" s="99"/>
      <c r="G439" s="99"/>
      <c r="H439" s="99"/>
      <c r="I439" s="99"/>
      <c r="J439" s="99"/>
      <c r="K439" s="99"/>
      <c r="L439" s="99"/>
      <c r="M439" s="99"/>
      <c r="N439" s="99"/>
    </row>
    <row r="440" spans="2:14" ht="15.75" hidden="1" customHeight="1">
      <c r="B440" s="99"/>
      <c r="C440" s="99"/>
      <c r="E440" s="99"/>
      <c r="F440" s="99"/>
      <c r="G440" s="99"/>
      <c r="H440" s="99"/>
      <c r="I440" s="99"/>
      <c r="J440" s="99"/>
      <c r="K440" s="99"/>
      <c r="L440" s="99"/>
      <c r="M440" s="99"/>
      <c r="N440" s="99"/>
    </row>
    <row r="441" spans="2:14" ht="15.75" hidden="1" customHeight="1">
      <c r="B441" s="99"/>
      <c r="C441" s="99"/>
      <c r="E441" s="99"/>
      <c r="F441" s="99"/>
      <c r="G441" s="99"/>
      <c r="H441" s="99"/>
      <c r="I441" s="99"/>
      <c r="J441" s="99"/>
      <c r="K441" s="99"/>
      <c r="L441" s="99"/>
      <c r="M441" s="99"/>
      <c r="N441" s="99"/>
    </row>
    <row r="442" spans="2:14" ht="15.75" hidden="1" customHeight="1">
      <c r="B442" s="99"/>
      <c r="C442" s="99"/>
      <c r="E442" s="99"/>
      <c r="F442" s="99"/>
      <c r="G442" s="99"/>
      <c r="H442" s="99"/>
      <c r="I442" s="99"/>
      <c r="J442" s="99"/>
      <c r="K442" s="99"/>
      <c r="L442" s="99"/>
      <c r="M442" s="99"/>
      <c r="N442" s="99"/>
    </row>
    <row r="443" spans="2:14" ht="15.75" hidden="1" customHeight="1">
      <c r="B443" s="99"/>
      <c r="C443" s="99"/>
      <c r="E443" s="99"/>
      <c r="F443" s="99"/>
      <c r="G443" s="99"/>
      <c r="H443" s="99"/>
      <c r="I443" s="99"/>
      <c r="J443" s="99"/>
      <c r="K443" s="99"/>
      <c r="L443" s="99"/>
      <c r="M443" s="99"/>
      <c r="N443" s="99"/>
    </row>
    <row r="444" spans="2:14" ht="15.75" hidden="1" customHeight="1">
      <c r="B444" s="99"/>
      <c r="C444" s="99"/>
      <c r="E444" s="99"/>
      <c r="F444" s="99"/>
      <c r="G444" s="99"/>
      <c r="H444" s="99"/>
      <c r="I444" s="99"/>
      <c r="J444" s="99"/>
      <c r="K444" s="99"/>
      <c r="L444" s="99"/>
      <c r="M444" s="99"/>
      <c r="N444" s="99"/>
    </row>
    <row r="445" spans="2:14" ht="15.75" hidden="1" customHeight="1">
      <c r="B445" s="99"/>
      <c r="C445" s="99"/>
      <c r="E445" s="99"/>
      <c r="F445" s="99"/>
      <c r="G445" s="99"/>
      <c r="H445" s="99"/>
      <c r="I445" s="99"/>
      <c r="J445" s="99"/>
      <c r="K445" s="99"/>
      <c r="L445" s="99"/>
      <c r="M445" s="99"/>
      <c r="N445" s="99"/>
    </row>
    <row r="446" spans="2:14" ht="15.75" hidden="1" customHeight="1">
      <c r="B446" s="99"/>
      <c r="C446" s="99"/>
      <c r="E446" s="99"/>
      <c r="F446" s="99"/>
      <c r="G446" s="99"/>
      <c r="H446" s="99"/>
      <c r="I446" s="99"/>
      <c r="J446" s="99"/>
      <c r="K446" s="99"/>
      <c r="L446" s="99"/>
      <c r="M446" s="99"/>
      <c r="N446" s="99"/>
    </row>
    <row r="447" spans="2:14" ht="15.75" hidden="1" customHeight="1">
      <c r="B447" s="99"/>
      <c r="C447" s="99"/>
      <c r="E447" s="99"/>
      <c r="F447" s="99"/>
      <c r="G447" s="99"/>
      <c r="H447" s="99"/>
      <c r="I447" s="99"/>
      <c r="J447" s="99"/>
      <c r="K447" s="99"/>
      <c r="L447" s="99"/>
      <c r="M447" s="99"/>
      <c r="N447" s="99"/>
    </row>
    <row r="448" spans="2:14" ht="15.75" hidden="1" customHeight="1">
      <c r="B448" s="99"/>
      <c r="C448" s="99"/>
      <c r="E448" s="99"/>
      <c r="F448" s="99"/>
      <c r="G448" s="99"/>
      <c r="H448" s="99"/>
      <c r="I448" s="99"/>
      <c r="J448" s="99"/>
      <c r="K448" s="99"/>
      <c r="L448" s="99"/>
      <c r="M448" s="99"/>
      <c r="N448" s="99"/>
    </row>
    <row r="449" spans="2:14" ht="15.75" hidden="1" customHeight="1">
      <c r="B449" s="99"/>
      <c r="C449" s="99"/>
      <c r="E449" s="99"/>
      <c r="F449" s="99"/>
      <c r="G449" s="99"/>
      <c r="H449" s="99"/>
      <c r="I449" s="99"/>
      <c r="J449" s="99"/>
      <c r="K449" s="99"/>
      <c r="L449" s="99"/>
      <c r="M449" s="99"/>
      <c r="N449" s="99"/>
    </row>
    <row r="450" spans="2:14" ht="15.75" hidden="1" customHeight="1">
      <c r="B450" s="99"/>
      <c r="C450" s="99"/>
      <c r="E450" s="99"/>
      <c r="F450" s="99"/>
      <c r="G450" s="99"/>
      <c r="H450" s="99"/>
      <c r="I450" s="99"/>
      <c r="J450" s="99"/>
      <c r="K450" s="99"/>
      <c r="L450" s="99"/>
      <c r="M450" s="99"/>
      <c r="N450" s="99"/>
    </row>
    <row r="451" spans="2:14" ht="15.75" hidden="1" customHeight="1">
      <c r="B451" s="99"/>
      <c r="C451" s="99"/>
      <c r="E451" s="99"/>
      <c r="F451" s="99"/>
      <c r="G451" s="99"/>
      <c r="H451" s="99"/>
      <c r="I451" s="99"/>
      <c r="J451" s="99"/>
      <c r="K451" s="99"/>
      <c r="L451" s="99"/>
      <c r="M451" s="99"/>
      <c r="N451" s="99"/>
    </row>
    <row r="452" spans="2:14" ht="15.75" hidden="1" customHeight="1">
      <c r="B452" s="99"/>
      <c r="C452" s="99"/>
      <c r="E452" s="99"/>
      <c r="F452" s="99"/>
      <c r="G452" s="99"/>
      <c r="H452" s="99"/>
      <c r="I452" s="99"/>
      <c r="J452" s="99"/>
      <c r="K452" s="99"/>
      <c r="L452" s="99"/>
      <c r="M452" s="99"/>
      <c r="N452" s="99"/>
    </row>
    <row r="453" spans="2:14" ht="15.75" hidden="1" customHeight="1">
      <c r="B453" s="99"/>
      <c r="C453" s="99"/>
      <c r="E453" s="99"/>
      <c r="F453" s="99"/>
      <c r="G453" s="99"/>
      <c r="H453" s="99"/>
      <c r="I453" s="99"/>
      <c r="J453" s="99"/>
      <c r="K453" s="99"/>
      <c r="L453" s="99"/>
      <c r="M453" s="99"/>
      <c r="N453" s="99"/>
    </row>
    <row r="454" spans="2:14" ht="15.75" hidden="1" customHeight="1">
      <c r="B454" s="99"/>
      <c r="C454" s="99"/>
      <c r="E454" s="99"/>
      <c r="F454" s="99"/>
      <c r="G454" s="99"/>
      <c r="H454" s="99"/>
      <c r="I454" s="99"/>
      <c r="J454" s="99"/>
      <c r="K454" s="99"/>
      <c r="L454" s="99"/>
      <c r="M454" s="99"/>
      <c r="N454" s="99"/>
    </row>
    <row r="455" spans="2:14" ht="15.75" hidden="1" customHeight="1">
      <c r="B455" s="99"/>
      <c r="C455" s="99"/>
      <c r="E455" s="99"/>
      <c r="F455" s="99"/>
      <c r="G455" s="99"/>
      <c r="H455" s="99"/>
      <c r="I455" s="99"/>
      <c r="J455" s="99"/>
      <c r="K455" s="99"/>
      <c r="L455" s="99"/>
      <c r="M455" s="99"/>
      <c r="N455" s="99"/>
    </row>
    <row r="456" spans="2:14" ht="15.75" hidden="1" customHeight="1">
      <c r="B456" s="99"/>
      <c r="C456" s="99"/>
      <c r="E456" s="99"/>
      <c r="F456" s="99"/>
      <c r="G456" s="99"/>
      <c r="H456" s="99"/>
      <c r="I456" s="99"/>
      <c r="J456" s="99"/>
      <c r="K456" s="99"/>
      <c r="L456" s="99"/>
      <c r="M456" s="99"/>
      <c r="N456" s="99"/>
    </row>
    <row r="457" spans="2:14" ht="15.75" hidden="1" customHeight="1">
      <c r="B457" s="99"/>
      <c r="C457" s="99"/>
      <c r="E457" s="99"/>
      <c r="F457" s="99"/>
      <c r="G457" s="99"/>
      <c r="H457" s="99"/>
      <c r="I457" s="99"/>
      <c r="J457" s="99"/>
      <c r="K457" s="99"/>
      <c r="L457" s="99"/>
      <c r="M457" s="99"/>
      <c r="N457" s="99"/>
    </row>
    <row r="458" spans="2:14" ht="15.75" hidden="1" customHeight="1">
      <c r="B458" s="99"/>
      <c r="C458" s="99"/>
      <c r="E458" s="99"/>
      <c r="F458" s="99"/>
      <c r="G458" s="99"/>
      <c r="H458" s="99"/>
      <c r="I458" s="99"/>
      <c r="J458" s="99"/>
      <c r="K458" s="99"/>
      <c r="L458" s="99"/>
      <c r="M458" s="99"/>
      <c r="N458" s="99"/>
    </row>
    <row r="459" spans="2:14" ht="15.75" hidden="1" customHeight="1">
      <c r="B459" s="99"/>
      <c r="C459" s="99"/>
      <c r="E459" s="99"/>
      <c r="F459" s="99"/>
      <c r="G459" s="99"/>
      <c r="H459" s="99"/>
      <c r="I459" s="99"/>
      <c r="J459" s="99"/>
      <c r="K459" s="99"/>
      <c r="L459" s="99"/>
      <c r="M459" s="99"/>
      <c r="N459" s="99"/>
    </row>
    <row r="460" spans="2:14" ht="15.75" hidden="1" customHeight="1">
      <c r="B460" s="99"/>
      <c r="C460" s="99"/>
      <c r="E460" s="99"/>
      <c r="F460" s="99"/>
      <c r="G460" s="99"/>
      <c r="H460" s="99"/>
      <c r="I460" s="99"/>
      <c r="J460" s="99"/>
      <c r="K460" s="99"/>
      <c r="L460" s="99"/>
      <c r="M460" s="99"/>
      <c r="N460" s="99"/>
    </row>
    <row r="461" spans="2:14" ht="15.75" hidden="1" customHeight="1">
      <c r="B461" s="99"/>
      <c r="C461" s="99"/>
      <c r="E461" s="99"/>
      <c r="F461" s="99"/>
      <c r="G461" s="99"/>
      <c r="H461" s="99"/>
      <c r="I461" s="99"/>
      <c r="J461" s="99"/>
      <c r="K461" s="99"/>
      <c r="L461" s="99"/>
      <c r="M461" s="99"/>
      <c r="N461" s="99"/>
    </row>
    <row r="462" spans="2:14" ht="15.75" hidden="1" customHeight="1">
      <c r="B462" s="99"/>
      <c r="C462" s="99"/>
      <c r="E462" s="99"/>
      <c r="F462" s="99"/>
      <c r="G462" s="99"/>
      <c r="H462" s="99"/>
      <c r="I462" s="99"/>
      <c r="J462" s="99"/>
      <c r="K462" s="99"/>
      <c r="L462" s="99"/>
      <c r="M462" s="99"/>
      <c r="N462" s="99"/>
    </row>
    <row r="463" spans="2:14" ht="15.75" hidden="1" customHeight="1">
      <c r="B463" s="99"/>
      <c r="C463" s="99"/>
      <c r="E463" s="99"/>
      <c r="F463" s="99"/>
      <c r="G463" s="99"/>
      <c r="H463" s="99"/>
      <c r="I463" s="99"/>
      <c r="J463" s="99"/>
      <c r="K463" s="99"/>
      <c r="L463" s="99"/>
      <c r="M463" s="99"/>
      <c r="N463" s="99"/>
    </row>
    <row r="464" spans="2:14" ht="15.75" hidden="1" customHeight="1">
      <c r="B464" s="99"/>
      <c r="C464" s="99"/>
      <c r="E464" s="99"/>
      <c r="F464" s="99"/>
      <c r="G464" s="99"/>
      <c r="H464" s="99"/>
      <c r="I464" s="99"/>
      <c r="J464" s="99"/>
      <c r="K464" s="99"/>
      <c r="L464" s="99"/>
      <c r="M464" s="99"/>
      <c r="N464" s="99"/>
    </row>
    <row r="465" spans="2:14" ht="15.75" hidden="1" customHeight="1">
      <c r="B465" s="99"/>
      <c r="C465" s="99"/>
      <c r="E465" s="99"/>
      <c r="F465" s="99"/>
      <c r="G465" s="99"/>
      <c r="H465" s="99"/>
      <c r="I465" s="99"/>
      <c r="J465" s="99"/>
      <c r="K465" s="99"/>
      <c r="L465" s="99"/>
      <c r="M465" s="99"/>
      <c r="N465" s="99"/>
    </row>
    <row r="466" spans="2:14" ht="15.75" hidden="1" customHeight="1">
      <c r="B466" s="99"/>
      <c r="C466" s="99"/>
      <c r="E466" s="99"/>
      <c r="F466" s="99"/>
      <c r="G466" s="99"/>
      <c r="H466" s="99"/>
      <c r="I466" s="99"/>
      <c r="J466" s="99"/>
      <c r="K466" s="99"/>
      <c r="L466" s="99"/>
      <c r="M466" s="99"/>
      <c r="N466" s="99"/>
    </row>
    <row r="467" spans="2:14" ht="15.75" hidden="1" customHeight="1">
      <c r="B467" s="99"/>
      <c r="C467" s="99"/>
      <c r="E467" s="99"/>
      <c r="F467" s="99"/>
      <c r="G467" s="99"/>
      <c r="H467" s="99"/>
      <c r="I467" s="99"/>
      <c r="J467" s="99"/>
      <c r="K467" s="99"/>
      <c r="L467" s="99"/>
      <c r="M467" s="99"/>
      <c r="N467" s="99"/>
    </row>
    <row r="468" spans="2:14" ht="15.75" hidden="1" customHeight="1">
      <c r="B468" s="99"/>
      <c r="C468" s="99"/>
      <c r="E468" s="99"/>
      <c r="F468" s="99"/>
      <c r="G468" s="99"/>
      <c r="H468" s="99"/>
      <c r="I468" s="99"/>
      <c r="J468" s="99"/>
      <c r="K468" s="99"/>
      <c r="L468" s="99"/>
      <c r="M468" s="99"/>
      <c r="N468" s="99"/>
    </row>
    <row r="469" spans="2:14" ht="15.75" hidden="1" customHeight="1">
      <c r="B469" s="99"/>
      <c r="C469" s="99"/>
      <c r="E469" s="99"/>
      <c r="F469" s="99"/>
      <c r="G469" s="99"/>
      <c r="H469" s="99"/>
      <c r="I469" s="99"/>
      <c r="J469" s="99"/>
      <c r="K469" s="99"/>
      <c r="L469" s="99"/>
      <c r="M469" s="99"/>
      <c r="N469" s="99"/>
    </row>
    <row r="470" spans="2:14" ht="15.75" hidden="1" customHeight="1">
      <c r="B470" s="99"/>
      <c r="C470" s="99"/>
      <c r="E470" s="99"/>
      <c r="F470" s="99"/>
      <c r="G470" s="99"/>
      <c r="H470" s="99"/>
      <c r="I470" s="99"/>
      <c r="J470" s="99"/>
      <c r="K470" s="99"/>
      <c r="L470" s="99"/>
      <c r="M470" s="99"/>
      <c r="N470" s="99"/>
    </row>
    <row r="471" spans="2:14" ht="15.75" hidden="1" customHeight="1">
      <c r="B471" s="99"/>
      <c r="C471" s="99"/>
      <c r="E471" s="99"/>
      <c r="F471" s="99"/>
      <c r="G471" s="99"/>
      <c r="H471" s="99"/>
      <c r="I471" s="99"/>
      <c r="J471" s="99"/>
      <c r="K471" s="99"/>
      <c r="L471" s="99"/>
      <c r="M471" s="99"/>
      <c r="N471" s="99"/>
    </row>
    <row r="472" spans="2:14" ht="15.75" hidden="1" customHeight="1">
      <c r="B472" s="99"/>
      <c r="C472" s="99"/>
      <c r="E472" s="99"/>
      <c r="F472" s="99"/>
      <c r="G472" s="99"/>
      <c r="H472" s="99"/>
      <c r="I472" s="99"/>
      <c r="J472" s="99"/>
      <c r="K472" s="99"/>
      <c r="L472" s="99"/>
      <c r="M472" s="99"/>
      <c r="N472" s="99"/>
    </row>
    <row r="473" spans="2:14" ht="15.75" hidden="1" customHeight="1">
      <c r="B473" s="99"/>
      <c r="C473" s="99"/>
      <c r="E473" s="99"/>
      <c r="F473" s="99"/>
      <c r="G473" s="99"/>
      <c r="H473" s="99"/>
      <c r="I473" s="99"/>
      <c r="J473" s="99"/>
      <c r="K473" s="99"/>
      <c r="L473" s="99"/>
      <c r="M473" s="99"/>
      <c r="N473" s="99"/>
    </row>
    <row r="474" spans="2:14" ht="15.75" hidden="1" customHeight="1">
      <c r="B474" s="99"/>
      <c r="C474" s="99"/>
      <c r="E474" s="99"/>
      <c r="F474" s="99"/>
      <c r="G474" s="99"/>
      <c r="H474" s="99"/>
      <c r="I474" s="99"/>
      <c r="J474" s="99"/>
      <c r="K474" s="99"/>
      <c r="L474" s="99"/>
      <c r="M474" s="99"/>
      <c r="N474" s="99"/>
    </row>
    <row r="475" spans="2:14" ht="15.75" hidden="1" customHeight="1">
      <c r="B475" s="99"/>
      <c r="C475" s="99"/>
      <c r="E475" s="99"/>
      <c r="F475" s="99"/>
      <c r="G475" s="99"/>
      <c r="H475" s="99"/>
      <c r="I475" s="99"/>
      <c r="J475" s="99"/>
      <c r="K475" s="99"/>
      <c r="L475" s="99"/>
      <c r="M475" s="99"/>
      <c r="N475" s="99"/>
    </row>
    <row r="476" spans="2:14" ht="15.75" hidden="1" customHeight="1">
      <c r="B476" s="99"/>
      <c r="C476" s="99"/>
      <c r="E476" s="99"/>
      <c r="F476" s="99"/>
      <c r="G476" s="99"/>
      <c r="H476" s="99"/>
      <c r="I476" s="99"/>
      <c r="J476" s="99"/>
      <c r="K476" s="99"/>
      <c r="L476" s="99"/>
      <c r="M476" s="99"/>
      <c r="N476" s="99"/>
    </row>
    <row r="477" spans="2:14" ht="15.75" hidden="1" customHeight="1">
      <c r="B477" s="99"/>
      <c r="C477" s="99"/>
      <c r="E477" s="99"/>
      <c r="F477" s="99"/>
      <c r="G477" s="99"/>
      <c r="H477" s="99"/>
      <c r="I477" s="99"/>
      <c r="J477" s="99"/>
      <c r="K477" s="99"/>
      <c r="L477" s="99"/>
      <c r="M477" s="99"/>
      <c r="N477" s="99"/>
    </row>
    <row r="478" spans="2:14" ht="15.75" hidden="1" customHeight="1">
      <c r="B478" s="99"/>
      <c r="C478" s="99"/>
      <c r="E478" s="99"/>
      <c r="F478" s="99"/>
      <c r="G478" s="99"/>
      <c r="H478" s="99"/>
      <c r="I478" s="99"/>
      <c r="J478" s="99"/>
      <c r="K478" s="99"/>
      <c r="L478" s="99"/>
      <c r="M478" s="99"/>
      <c r="N478" s="99"/>
    </row>
    <row r="479" spans="2:14" ht="15.75" hidden="1" customHeight="1">
      <c r="B479" s="99"/>
      <c r="C479" s="99"/>
      <c r="E479" s="99"/>
      <c r="F479" s="99"/>
      <c r="G479" s="99"/>
      <c r="H479" s="99"/>
      <c r="I479" s="99"/>
      <c r="J479" s="99"/>
      <c r="K479" s="99"/>
      <c r="L479" s="99"/>
      <c r="M479" s="99"/>
      <c r="N479" s="99"/>
    </row>
    <row r="480" spans="2:14" ht="15.75" hidden="1" customHeight="1">
      <c r="B480" s="99"/>
      <c r="C480" s="99"/>
      <c r="E480" s="99"/>
      <c r="F480" s="99"/>
      <c r="G480" s="99"/>
      <c r="H480" s="99"/>
      <c r="I480" s="99"/>
      <c r="J480" s="99"/>
      <c r="K480" s="99"/>
      <c r="L480" s="99"/>
      <c r="M480" s="99"/>
      <c r="N480" s="99"/>
    </row>
    <row r="481" spans="2:14" ht="15.75" hidden="1" customHeight="1">
      <c r="B481" s="99"/>
      <c r="C481" s="99"/>
      <c r="E481" s="99"/>
      <c r="F481" s="99"/>
      <c r="G481" s="99"/>
      <c r="H481" s="99"/>
      <c r="I481" s="99"/>
      <c r="J481" s="99"/>
      <c r="K481" s="99"/>
      <c r="L481" s="99"/>
      <c r="M481" s="99"/>
      <c r="N481" s="99"/>
    </row>
    <row r="482" spans="2:14" ht="15.75" hidden="1" customHeight="1">
      <c r="B482" s="99"/>
      <c r="C482" s="99"/>
      <c r="E482" s="99"/>
      <c r="F482" s="99"/>
      <c r="G482" s="99"/>
      <c r="H482" s="99"/>
      <c r="I482" s="99"/>
      <c r="J482" s="99"/>
      <c r="K482" s="99"/>
      <c r="L482" s="99"/>
      <c r="M482" s="99"/>
      <c r="N482" s="99"/>
    </row>
    <row r="483" spans="2:14" ht="15.75" hidden="1" customHeight="1">
      <c r="B483" s="99"/>
      <c r="C483" s="99"/>
      <c r="E483" s="99"/>
      <c r="F483" s="99"/>
      <c r="G483" s="99"/>
      <c r="H483" s="99"/>
      <c r="I483" s="99"/>
      <c r="J483" s="99"/>
      <c r="K483" s="99"/>
      <c r="L483" s="99"/>
      <c r="M483" s="99"/>
      <c r="N483" s="99"/>
    </row>
    <row r="484" spans="2:14" ht="15.75" hidden="1" customHeight="1">
      <c r="B484" s="99"/>
      <c r="C484" s="99"/>
      <c r="E484" s="99"/>
      <c r="F484" s="99"/>
      <c r="G484" s="99"/>
      <c r="H484" s="99"/>
      <c r="I484" s="99"/>
      <c r="J484" s="99"/>
      <c r="K484" s="99"/>
      <c r="L484" s="99"/>
      <c r="M484" s="99"/>
      <c r="N484" s="99"/>
    </row>
    <row r="485" spans="2:14" ht="15.75" hidden="1" customHeight="1">
      <c r="B485" s="99"/>
      <c r="C485" s="99"/>
      <c r="E485" s="99"/>
      <c r="F485" s="99"/>
      <c r="G485" s="99"/>
      <c r="H485" s="99"/>
      <c r="I485" s="99"/>
      <c r="J485" s="99"/>
      <c r="K485" s="99"/>
      <c r="L485" s="99"/>
      <c r="M485" s="99"/>
      <c r="N485" s="99"/>
    </row>
    <row r="486" spans="2:14" ht="15.75" hidden="1" customHeight="1">
      <c r="B486" s="99"/>
      <c r="C486" s="99"/>
      <c r="E486" s="99"/>
      <c r="F486" s="99"/>
      <c r="G486" s="99"/>
      <c r="H486" s="99"/>
      <c r="I486" s="99"/>
      <c r="J486" s="99"/>
      <c r="K486" s="99"/>
      <c r="L486" s="99"/>
      <c r="M486" s="99"/>
      <c r="N486" s="99"/>
    </row>
    <row r="487" spans="2:14" ht="15.75" hidden="1" customHeight="1">
      <c r="B487" s="99"/>
      <c r="C487" s="99"/>
      <c r="E487" s="99"/>
      <c r="F487" s="99"/>
      <c r="G487" s="99"/>
      <c r="H487" s="99"/>
      <c r="I487" s="99"/>
      <c r="J487" s="99"/>
      <c r="K487" s="99"/>
      <c r="L487" s="99"/>
      <c r="M487" s="99"/>
      <c r="N487" s="99"/>
    </row>
    <row r="488" spans="2:14" ht="15.75" hidden="1" customHeight="1">
      <c r="B488" s="99"/>
      <c r="C488" s="99"/>
      <c r="E488" s="99"/>
      <c r="F488" s="99"/>
      <c r="G488" s="99"/>
      <c r="H488" s="99"/>
      <c r="I488" s="99"/>
      <c r="J488" s="99"/>
      <c r="K488" s="99"/>
      <c r="L488" s="99"/>
      <c r="M488" s="99"/>
      <c r="N488" s="99"/>
    </row>
    <row r="489" spans="2:14" ht="15.75" hidden="1" customHeight="1">
      <c r="B489" s="99"/>
      <c r="C489" s="99"/>
      <c r="E489" s="99"/>
      <c r="F489" s="99"/>
      <c r="G489" s="99"/>
      <c r="H489" s="99"/>
      <c r="I489" s="99"/>
      <c r="J489" s="99"/>
      <c r="K489" s="99"/>
      <c r="L489" s="99"/>
      <c r="M489" s="99"/>
      <c r="N489" s="99"/>
    </row>
    <row r="490" spans="2:14" ht="15.75" hidden="1" customHeight="1">
      <c r="B490" s="99"/>
      <c r="C490" s="99"/>
      <c r="E490" s="99"/>
      <c r="F490" s="99"/>
      <c r="G490" s="99"/>
      <c r="H490" s="99"/>
      <c r="I490" s="99"/>
      <c r="J490" s="99"/>
      <c r="K490" s="99"/>
      <c r="L490" s="99"/>
      <c r="M490" s="99"/>
      <c r="N490" s="99"/>
    </row>
    <row r="491" spans="2:14" ht="15.75" hidden="1" customHeight="1">
      <c r="B491" s="99"/>
      <c r="C491" s="99"/>
      <c r="E491" s="99"/>
      <c r="F491" s="99"/>
      <c r="G491" s="99"/>
      <c r="H491" s="99"/>
      <c r="I491" s="99"/>
      <c r="J491" s="99"/>
      <c r="K491" s="99"/>
      <c r="L491" s="99"/>
      <c r="M491" s="99"/>
      <c r="N491" s="99"/>
    </row>
    <row r="492" spans="2:14" ht="15.75" hidden="1" customHeight="1">
      <c r="B492" s="99"/>
      <c r="C492" s="99"/>
      <c r="E492" s="99"/>
      <c r="F492" s="99"/>
      <c r="G492" s="99"/>
      <c r="H492" s="99"/>
      <c r="I492" s="99"/>
      <c r="J492" s="99"/>
      <c r="K492" s="99"/>
      <c r="L492" s="99"/>
      <c r="M492" s="99"/>
      <c r="N492" s="99"/>
    </row>
    <row r="493" spans="2:14" ht="15.75" hidden="1" customHeight="1">
      <c r="B493" s="99"/>
      <c r="C493" s="99"/>
      <c r="E493" s="99"/>
      <c r="F493" s="99"/>
      <c r="G493" s="99"/>
      <c r="H493" s="99"/>
      <c r="I493" s="99"/>
      <c r="J493" s="99"/>
      <c r="K493" s="99"/>
      <c r="L493" s="99"/>
      <c r="M493" s="99"/>
      <c r="N493" s="99"/>
    </row>
    <row r="494" spans="2:14" ht="15.75" hidden="1" customHeight="1">
      <c r="B494" s="99"/>
      <c r="C494" s="99"/>
      <c r="E494" s="99"/>
      <c r="F494" s="99"/>
      <c r="G494" s="99"/>
      <c r="H494" s="99"/>
      <c r="I494" s="99"/>
      <c r="J494" s="99"/>
      <c r="K494" s="99"/>
      <c r="L494" s="99"/>
      <c r="M494" s="99"/>
      <c r="N494" s="99"/>
    </row>
    <row r="495" spans="2:14" ht="15.75" hidden="1" customHeight="1">
      <c r="B495" s="99"/>
      <c r="C495" s="99"/>
      <c r="E495" s="99"/>
      <c r="F495" s="99"/>
      <c r="G495" s="99"/>
      <c r="H495" s="99"/>
      <c r="I495" s="99"/>
      <c r="J495" s="99"/>
      <c r="K495" s="99"/>
      <c r="L495" s="99"/>
      <c r="M495" s="99"/>
      <c r="N495" s="99"/>
    </row>
    <row r="496" spans="2:14" ht="15.75" hidden="1" customHeight="1">
      <c r="B496" s="99"/>
      <c r="C496" s="99"/>
      <c r="E496" s="99"/>
      <c r="F496" s="99"/>
      <c r="G496" s="99"/>
      <c r="H496" s="99"/>
      <c r="I496" s="99"/>
      <c r="J496" s="99"/>
      <c r="K496" s="99"/>
      <c r="L496" s="99"/>
      <c r="M496" s="99"/>
      <c r="N496" s="99"/>
    </row>
    <row r="497" spans="2:14" ht="15.75" hidden="1" customHeight="1">
      <c r="B497" s="99"/>
      <c r="C497" s="99"/>
      <c r="E497" s="99"/>
      <c r="F497" s="99"/>
      <c r="G497" s="99"/>
      <c r="H497" s="99"/>
      <c r="I497" s="99"/>
      <c r="J497" s="99"/>
      <c r="K497" s="99"/>
      <c r="L497" s="99"/>
      <c r="M497" s="99"/>
      <c r="N497" s="99"/>
    </row>
    <row r="498" spans="2:14" ht="15.75" hidden="1" customHeight="1">
      <c r="B498" s="99"/>
      <c r="C498" s="99"/>
      <c r="E498" s="99"/>
      <c r="F498" s="99"/>
      <c r="G498" s="99"/>
      <c r="H498" s="99"/>
      <c r="I498" s="99"/>
      <c r="J498" s="99"/>
      <c r="K498" s="99"/>
      <c r="L498" s="99"/>
      <c r="M498" s="99"/>
      <c r="N498" s="99"/>
    </row>
    <row r="499" spans="2:14" ht="15.75" hidden="1" customHeight="1">
      <c r="B499" s="99"/>
      <c r="C499" s="99"/>
      <c r="E499" s="99"/>
      <c r="F499" s="99"/>
      <c r="G499" s="99"/>
      <c r="H499" s="99"/>
      <c r="I499" s="99"/>
      <c r="J499" s="99"/>
      <c r="K499" s="99"/>
      <c r="L499" s="99"/>
      <c r="M499" s="99"/>
      <c r="N499" s="99"/>
    </row>
    <row r="500" spans="2:14" ht="15.75" hidden="1" customHeight="1">
      <c r="B500" s="99"/>
      <c r="C500" s="99"/>
      <c r="E500" s="99"/>
      <c r="F500" s="99"/>
      <c r="G500" s="99"/>
      <c r="H500" s="99"/>
      <c r="I500" s="99"/>
      <c r="J500" s="99"/>
      <c r="K500" s="99"/>
      <c r="L500" s="99"/>
      <c r="M500" s="99"/>
      <c r="N500" s="99"/>
    </row>
    <row r="501" spans="2:14" ht="15.75" hidden="1" customHeight="1">
      <c r="B501" s="99"/>
      <c r="C501" s="99"/>
      <c r="E501" s="99"/>
      <c r="F501" s="99"/>
      <c r="G501" s="99"/>
      <c r="H501" s="99"/>
      <c r="I501" s="99"/>
      <c r="J501" s="99"/>
      <c r="K501" s="99"/>
      <c r="L501" s="99"/>
      <c r="M501" s="99"/>
      <c r="N501" s="99"/>
    </row>
    <row r="502" spans="2:14" ht="15.75" hidden="1" customHeight="1">
      <c r="B502" s="99"/>
      <c r="C502" s="99"/>
      <c r="E502" s="99"/>
      <c r="F502" s="99"/>
      <c r="G502" s="99"/>
      <c r="H502" s="99"/>
      <c r="I502" s="99"/>
      <c r="J502" s="99"/>
      <c r="K502" s="99"/>
      <c r="L502" s="99"/>
      <c r="M502" s="99"/>
      <c r="N502" s="99"/>
    </row>
    <row r="503" spans="2:14" ht="15.75" hidden="1" customHeight="1">
      <c r="B503" s="99"/>
      <c r="C503" s="99"/>
      <c r="E503" s="99"/>
      <c r="F503" s="99"/>
      <c r="G503" s="99"/>
      <c r="H503" s="99"/>
      <c r="I503" s="99"/>
      <c r="J503" s="99"/>
      <c r="K503" s="99"/>
      <c r="L503" s="99"/>
      <c r="M503" s="99"/>
      <c r="N503" s="99"/>
    </row>
    <row r="504" spans="2:14" ht="15.75" hidden="1" customHeight="1">
      <c r="B504" s="99"/>
      <c r="C504" s="99"/>
      <c r="E504" s="99"/>
      <c r="F504" s="99"/>
      <c r="G504" s="99"/>
      <c r="H504" s="99"/>
      <c r="I504" s="99"/>
      <c r="J504" s="99"/>
      <c r="K504" s="99"/>
      <c r="L504" s="99"/>
      <c r="M504" s="99"/>
      <c r="N504" s="99"/>
    </row>
    <row r="505" spans="2:14" ht="15.75" hidden="1" customHeight="1">
      <c r="B505" s="99"/>
      <c r="C505" s="99"/>
      <c r="E505" s="99"/>
      <c r="F505" s="99"/>
      <c r="G505" s="99"/>
      <c r="H505" s="99"/>
      <c r="I505" s="99"/>
      <c r="J505" s="99"/>
      <c r="K505" s="99"/>
      <c r="L505" s="99"/>
      <c r="M505" s="99"/>
      <c r="N505" s="99"/>
    </row>
    <row r="506" spans="2:14" ht="15.75" hidden="1" customHeight="1">
      <c r="B506" s="99"/>
      <c r="C506" s="99"/>
      <c r="E506" s="99"/>
      <c r="F506" s="99"/>
      <c r="G506" s="99"/>
      <c r="H506" s="99"/>
      <c r="I506" s="99"/>
      <c r="J506" s="99"/>
      <c r="K506" s="99"/>
      <c r="L506" s="99"/>
      <c r="M506" s="99"/>
      <c r="N506" s="99"/>
    </row>
    <row r="507" spans="2:14" ht="15.75" hidden="1" customHeight="1">
      <c r="B507" s="99"/>
      <c r="C507" s="99"/>
      <c r="E507" s="99"/>
      <c r="F507" s="99"/>
      <c r="G507" s="99"/>
      <c r="H507" s="99"/>
      <c r="I507" s="99"/>
      <c r="J507" s="99"/>
      <c r="K507" s="99"/>
      <c r="L507" s="99"/>
      <c r="M507" s="99"/>
      <c r="N507" s="99"/>
    </row>
    <row r="508" spans="2:14" ht="15.75" hidden="1" customHeight="1">
      <c r="B508" s="99"/>
      <c r="C508" s="99"/>
      <c r="E508" s="99"/>
      <c r="F508" s="99"/>
      <c r="G508" s="99"/>
      <c r="H508" s="99"/>
      <c r="I508" s="99"/>
      <c r="J508" s="99"/>
      <c r="K508" s="99"/>
      <c r="L508" s="99"/>
      <c r="M508" s="99"/>
      <c r="N508" s="99"/>
    </row>
    <row r="509" spans="2:14" ht="15.75" hidden="1" customHeight="1">
      <c r="B509" s="99"/>
      <c r="C509" s="99"/>
      <c r="E509" s="99"/>
      <c r="F509" s="99"/>
      <c r="G509" s="99"/>
      <c r="H509" s="99"/>
      <c r="I509" s="99"/>
      <c r="J509" s="99"/>
      <c r="K509" s="99"/>
      <c r="L509" s="99"/>
      <c r="M509" s="99"/>
      <c r="N509" s="99"/>
    </row>
    <row r="510" spans="2:14" ht="15.75" hidden="1" customHeight="1">
      <c r="B510" s="99"/>
      <c r="C510" s="99"/>
      <c r="E510" s="99"/>
      <c r="F510" s="99"/>
      <c r="G510" s="99"/>
      <c r="H510" s="99"/>
      <c r="I510" s="99"/>
      <c r="J510" s="99"/>
      <c r="K510" s="99"/>
      <c r="L510" s="99"/>
      <c r="M510" s="99"/>
      <c r="N510" s="99"/>
    </row>
    <row r="511" spans="2:14" ht="15.75" hidden="1" customHeight="1">
      <c r="B511" s="99"/>
      <c r="C511" s="99"/>
      <c r="E511" s="99"/>
      <c r="F511" s="99"/>
      <c r="G511" s="99"/>
      <c r="H511" s="99"/>
      <c r="I511" s="99"/>
      <c r="J511" s="99"/>
      <c r="K511" s="99"/>
      <c r="L511" s="99"/>
      <c r="M511" s="99"/>
      <c r="N511" s="99"/>
    </row>
    <row r="512" spans="2:14" ht="15.75" hidden="1" customHeight="1">
      <c r="B512" s="99"/>
      <c r="C512" s="99"/>
      <c r="E512" s="99"/>
      <c r="F512" s="99"/>
      <c r="G512" s="99"/>
      <c r="H512" s="99"/>
      <c r="I512" s="99"/>
      <c r="J512" s="99"/>
      <c r="K512" s="99"/>
      <c r="L512" s="99"/>
      <c r="M512" s="99"/>
      <c r="N512" s="99"/>
    </row>
    <row r="513" spans="2:14" ht="15.75" hidden="1" customHeight="1">
      <c r="B513" s="99"/>
      <c r="C513" s="99"/>
      <c r="E513" s="99"/>
      <c r="F513" s="99"/>
      <c r="G513" s="99"/>
      <c r="H513" s="99"/>
      <c r="I513" s="99"/>
      <c r="J513" s="99"/>
      <c r="K513" s="99"/>
      <c r="L513" s="99"/>
      <c r="M513" s="99"/>
      <c r="N513" s="99"/>
    </row>
    <row r="514" spans="2:14" ht="15.75" hidden="1" customHeight="1">
      <c r="B514" s="99"/>
      <c r="C514" s="99"/>
      <c r="E514" s="99"/>
      <c r="F514" s="99"/>
      <c r="G514" s="99"/>
      <c r="H514" s="99"/>
      <c r="I514" s="99"/>
      <c r="J514" s="99"/>
      <c r="K514" s="99"/>
      <c r="L514" s="99"/>
      <c r="M514" s="99"/>
      <c r="N514" s="99"/>
    </row>
    <row r="515" spans="2:14" ht="15.75" hidden="1" customHeight="1">
      <c r="B515" s="99"/>
      <c r="C515" s="99"/>
      <c r="E515" s="99"/>
      <c r="F515" s="99"/>
      <c r="G515" s="99"/>
      <c r="H515" s="99"/>
      <c r="I515" s="99"/>
      <c r="J515" s="99"/>
      <c r="K515" s="99"/>
      <c r="L515" s="99"/>
      <c r="M515" s="99"/>
      <c r="N515" s="99"/>
    </row>
    <row r="516" spans="2:14" ht="15.75" hidden="1" customHeight="1">
      <c r="B516" s="99"/>
      <c r="C516" s="99"/>
      <c r="E516" s="99"/>
      <c r="F516" s="99"/>
      <c r="G516" s="99"/>
      <c r="H516" s="99"/>
      <c r="I516" s="99"/>
      <c r="J516" s="99"/>
      <c r="K516" s="99"/>
      <c r="L516" s="99"/>
      <c r="M516" s="99"/>
      <c r="N516" s="99"/>
    </row>
    <row r="517" spans="2:14" ht="15.75" hidden="1" customHeight="1">
      <c r="B517" s="99"/>
      <c r="C517" s="99"/>
      <c r="E517" s="99"/>
      <c r="F517" s="99"/>
      <c r="G517" s="99"/>
      <c r="H517" s="99"/>
      <c r="I517" s="99"/>
      <c r="J517" s="99"/>
      <c r="K517" s="99"/>
      <c r="L517" s="99"/>
      <c r="M517" s="99"/>
      <c r="N517" s="99"/>
    </row>
    <row r="518" spans="2:14" ht="15.75" hidden="1" customHeight="1">
      <c r="B518" s="99"/>
      <c r="C518" s="99"/>
      <c r="E518" s="99"/>
      <c r="F518" s="99"/>
      <c r="G518" s="99"/>
      <c r="H518" s="99"/>
      <c r="I518" s="99"/>
      <c r="J518" s="99"/>
      <c r="K518" s="99"/>
      <c r="L518" s="99"/>
      <c r="M518" s="99"/>
      <c r="N518" s="99"/>
    </row>
    <row r="519" spans="2:14" ht="15.75" hidden="1" customHeight="1">
      <c r="B519" s="99"/>
      <c r="C519" s="99"/>
      <c r="E519" s="99"/>
      <c r="F519" s="99"/>
      <c r="G519" s="99"/>
      <c r="H519" s="99"/>
      <c r="I519" s="99"/>
      <c r="J519" s="99"/>
      <c r="K519" s="99"/>
      <c r="L519" s="99"/>
      <c r="M519" s="99"/>
      <c r="N519" s="99"/>
    </row>
    <row r="520" spans="2:14" ht="15.75" hidden="1" customHeight="1">
      <c r="B520" s="99"/>
      <c r="C520" s="99"/>
      <c r="E520" s="99"/>
      <c r="F520" s="99"/>
      <c r="G520" s="99"/>
      <c r="H520" s="99"/>
      <c r="I520" s="99"/>
      <c r="J520" s="99"/>
      <c r="K520" s="99"/>
      <c r="L520" s="99"/>
      <c r="M520" s="99"/>
      <c r="N520" s="99"/>
    </row>
    <row r="521" spans="2:14" ht="15.75" hidden="1" customHeight="1">
      <c r="B521" s="99"/>
      <c r="C521" s="99"/>
      <c r="E521" s="99"/>
      <c r="F521" s="99"/>
      <c r="G521" s="99"/>
      <c r="H521" s="99"/>
      <c r="I521" s="99"/>
      <c r="J521" s="99"/>
      <c r="K521" s="99"/>
      <c r="L521" s="99"/>
      <c r="M521" s="99"/>
      <c r="N521" s="99"/>
    </row>
    <row r="522" spans="2:14" ht="15.75" hidden="1" customHeight="1">
      <c r="B522" s="99"/>
      <c r="C522" s="99"/>
      <c r="E522" s="99"/>
      <c r="F522" s="99"/>
      <c r="G522" s="99"/>
      <c r="H522" s="99"/>
      <c r="I522" s="99"/>
      <c r="J522" s="99"/>
      <c r="K522" s="99"/>
      <c r="L522" s="99"/>
      <c r="M522" s="99"/>
      <c r="N522" s="99"/>
    </row>
    <row r="523" spans="2:14" ht="15.75" hidden="1" customHeight="1">
      <c r="B523" s="99"/>
      <c r="C523" s="99"/>
      <c r="E523" s="99"/>
      <c r="F523" s="99"/>
      <c r="G523" s="99"/>
      <c r="H523" s="99"/>
      <c r="I523" s="99"/>
      <c r="J523" s="99"/>
      <c r="K523" s="99"/>
      <c r="L523" s="99"/>
      <c r="M523" s="99"/>
      <c r="N523" s="99"/>
    </row>
    <row r="524" spans="2:14" ht="15.75" hidden="1" customHeight="1">
      <c r="B524" s="99"/>
      <c r="C524" s="99"/>
      <c r="E524" s="99"/>
      <c r="F524" s="99"/>
      <c r="G524" s="99"/>
      <c r="H524" s="99"/>
      <c r="I524" s="99"/>
      <c r="J524" s="99"/>
      <c r="K524" s="99"/>
      <c r="L524" s="99"/>
      <c r="M524" s="99"/>
      <c r="N524" s="99"/>
    </row>
    <row r="525" spans="2:14" ht="15.75" hidden="1" customHeight="1">
      <c r="B525" s="99"/>
      <c r="C525" s="99"/>
      <c r="E525" s="99"/>
      <c r="F525" s="99"/>
      <c r="G525" s="99"/>
      <c r="H525" s="99"/>
      <c r="I525" s="99"/>
      <c r="J525" s="99"/>
      <c r="K525" s="99"/>
      <c r="L525" s="99"/>
      <c r="M525" s="99"/>
      <c r="N525" s="99"/>
    </row>
    <row r="526" spans="2:14" ht="15.75" hidden="1" customHeight="1">
      <c r="B526" s="99"/>
      <c r="C526" s="99"/>
      <c r="E526" s="99"/>
      <c r="F526" s="99"/>
      <c r="G526" s="99"/>
      <c r="H526" s="99"/>
      <c r="I526" s="99"/>
      <c r="J526" s="99"/>
      <c r="K526" s="99"/>
      <c r="L526" s="99"/>
      <c r="M526" s="99"/>
      <c r="N526" s="99"/>
    </row>
    <row r="527" spans="2:14" ht="15.75" hidden="1" customHeight="1">
      <c r="B527" s="99"/>
      <c r="C527" s="99"/>
      <c r="E527" s="99"/>
      <c r="F527" s="99"/>
      <c r="G527" s="99"/>
      <c r="H527" s="99"/>
      <c r="I527" s="99"/>
      <c r="J527" s="99"/>
      <c r="K527" s="99"/>
      <c r="L527" s="99"/>
      <c r="M527" s="99"/>
      <c r="N527" s="99"/>
    </row>
    <row r="528" spans="2:14" ht="15.75" hidden="1" customHeight="1">
      <c r="B528" s="99"/>
      <c r="C528" s="99"/>
      <c r="E528" s="99"/>
      <c r="F528" s="99"/>
      <c r="G528" s="99"/>
      <c r="H528" s="99"/>
      <c r="I528" s="99"/>
      <c r="J528" s="99"/>
      <c r="K528" s="99"/>
      <c r="L528" s="99"/>
      <c r="M528" s="99"/>
      <c r="N528" s="99"/>
    </row>
    <row r="529" spans="2:14" ht="15.75" hidden="1" customHeight="1">
      <c r="B529" s="99"/>
      <c r="C529" s="99"/>
      <c r="E529" s="99"/>
      <c r="F529" s="99"/>
      <c r="G529" s="99"/>
      <c r="H529" s="99"/>
      <c r="I529" s="99"/>
      <c r="J529" s="99"/>
      <c r="K529" s="99"/>
      <c r="L529" s="99"/>
      <c r="M529" s="99"/>
      <c r="N529" s="99"/>
    </row>
    <row r="530" spans="2:14" ht="15.75" hidden="1" customHeight="1">
      <c r="B530" s="99"/>
      <c r="C530" s="99"/>
      <c r="E530" s="99"/>
      <c r="F530" s="99"/>
      <c r="G530" s="99"/>
      <c r="H530" s="99"/>
      <c r="I530" s="99"/>
      <c r="J530" s="99"/>
      <c r="K530" s="99"/>
      <c r="L530" s="99"/>
      <c r="M530" s="99"/>
      <c r="N530" s="99"/>
    </row>
    <row r="531" spans="2:14" ht="15.75" hidden="1" customHeight="1">
      <c r="B531" s="99"/>
      <c r="C531" s="99"/>
      <c r="E531" s="99"/>
      <c r="F531" s="99"/>
      <c r="G531" s="99"/>
      <c r="H531" s="99"/>
      <c r="I531" s="99"/>
      <c r="J531" s="99"/>
      <c r="K531" s="99"/>
      <c r="L531" s="99"/>
      <c r="M531" s="99"/>
      <c r="N531" s="99"/>
    </row>
    <row r="532" spans="2:14" ht="15.75" hidden="1" customHeight="1">
      <c r="B532" s="99"/>
      <c r="C532" s="99"/>
      <c r="E532" s="99"/>
      <c r="F532" s="99"/>
      <c r="G532" s="99"/>
      <c r="H532" s="99"/>
      <c r="I532" s="99"/>
      <c r="J532" s="99"/>
      <c r="K532" s="99"/>
      <c r="L532" s="99"/>
      <c r="M532" s="99"/>
      <c r="N532" s="99"/>
    </row>
    <row r="533" spans="2:14" ht="15.75" hidden="1" customHeight="1">
      <c r="B533" s="99"/>
      <c r="C533" s="99"/>
      <c r="E533" s="99"/>
      <c r="F533" s="99"/>
      <c r="G533" s="99"/>
      <c r="H533" s="99"/>
      <c r="I533" s="99"/>
      <c r="J533" s="99"/>
      <c r="K533" s="99"/>
      <c r="L533" s="99"/>
      <c r="M533" s="99"/>
      <c r="N533" s="99"/>
    </row>
    <row r="534" spans="2:14" ht="15.75" hidden="1" customHeight="1">
      <c r="B534" s="99"/>
      <c r="C534" s="99"/>
      <c r="E534" s="99"/>
      <c r="F534" s="99"/>
      <c r="G534" s="99"/>
      <c r="H534" s="99"/>
      <c r="I534" s="99"/>
      <c r="J534" s="99"/>
      <c r="K534" s="99"/>
      <c r="L534" s="99"/>
      <c r="M534" s="99"/>
      <c r="N534" s="99"/>
    </row>
    <row r="535" spans="2:14" ht="15.75" hidden="1" customHeight="1">
      <c r="B535" s="99"/>
      <c r="C535" s="99"/>
      <c r="E535" s="99"/>
      <c r="F535" s="99"/>
      <c r="G535" s="99"/>
      <c r="H535" s="99"/>
      <c r="I535" s="99"/>
      <c r="J535" s="99"/>
      <c r="K535" s="99"/>
      <c r="L535" s="99"/>
      <c r="M535" s="99"/>
      <c r="N535" s="99"/>
    </row>
    <row r="536" spans="2:14" ht="15.75" hidden="1" customHeight="1">
      <c r="B536" s="99"/>
      <c r="C536" s="99"/>
      <c r="E536" s="99"/>
      <c r="F536" s="99"/>
      <c r="G536" s="99"/>
      <c r="H536" s="99"/>
      <c r="I536" s="99"/>
      <c r="J536" s="99"/>
      <c r="K536" s="99"/>
      <c r="L536" s="99"/>
      <c r="M536" s="99"/>
      <c r="N536" s="99"/>
    </row>
    <row r="537" spans="2:14" ht="15.75" hidden="1" customHeight="1">
      <c r="B537" s="99"/>
      <c r="C537" s="99"/>
      <c r="E537" s="99"/>
      <c r="F537" s="99"/>
      <c r="G537" s="99"/>
      <c r="H537" s="99"/>
      <c r="I537" s="99"/>
      <c r="J537" s="99"/>
      <c r="K537" s="99"/>
      <c r="L537" s="99"/>
      <c r="M537" s="99"/>
      <c r="N537" s="99"/>
    </row>
    <row r="538" spans="2:14" ht="15.75" hidden="1" customHeight="1">
      <c r="B538" s="99"/>
      <c r="C538" s="99"/>
      <c r="E538" s="99"/>
      <c r="F538" s="99"/>
      <c r="G538" s="99"/>
      <c r="H538" s="99"/>
      <c r="I538" s="99"/>
      <c r="J538" s="99"/>
      <c r="K538" s="99"/>
      <c r="L538" s="99"/>
      <c r="M538" s="99"/>
      <c r="N538" s="99"/>
    </row>
    <row r="539" spans="2:14" ht="15.75" hidden="1" customHeight="1">
      <c r="B539" s="99"/>
      <c r="C539" s="99"/>
      <c r="E539" s="99"/>
      <c r="F539" s="99"/>
      <c r="G539" s="99"/>
      <c r="H539" s="99"/>
      <c r="I539" s="99"/>
      <c r="J539" s="99"/>
      <c r="K539" s="99"/>
      <c r="L539" s="99"/>
      <c r="M539" s="99"/>
      <c r="N539" s="99"/>
    </row>
    <row r="540" spans="2:14" ht="15.75" hidden="1" customHeight="1">
      <c r="B540" s="99"/>
      <c r="C540" s="99"/>
      <c r="E540" s="99"/>
      <c r="F540" s="99"/>
      <c r="G540" s="99"/>
      <c r="H540" s="99"/>
      <c r="I540" s="99"/>
      <c r="J540" s="99"/>
      <c r="K540" s="99"/>
      <c r="L540" s="99"/>
      <c r="M540" s="99"/>
      <c r="N540" s="99"/>
    </row>
    <row r="541" spans="2:14" ht="15.75" hidden="1" customHeight="1">
      <c r="B541" s="99"/>
      <c r="C541" s="99"/>
      <c r="E541" s="99"/>
      <c r="F541" s="99"/>
      <c r="G541" s="99"/>
      <c r="H541" s="99"/>
      <c r="I541" s="99"/>
      <c r="J541" s="99"/>
      <c r="K541" s="99"/>
      <c r="L541" s="99"/>
      <c r="M541" s="99"/>
      <c r="N541" s="99"/>
    </row>
    <row r="542" spans="2:14" ht="15.75" hidden="1" customHeight="1">
      <c r="B542" s="99"/>
      <c r="C542" s="99"/>
      <c r="E542" s="99"/>
      <c r="F542" s="99"/>
      <c r="G542" s="99"/>
      <c r="H542" s="99"/>
      <c r="I542" s="99"/>
      <c r="J542" s="99"/>
      <c r="K542" s="99"/>
      <c r="L542" s="99"/>
      <c r="M542" s="99"/>
      <c r="N542" s="99"/>
    </row>
    <row r="543" spans="2:14" ht="15.75" hidden="1" customHeight="1">
      <c r="B543" s="99"/>
      <c r="C543" s="99"/>
      <c r="E543" s="99"/>
      <c r="F543" s="99"/>
      <c r="G543" s="99"/>
      <c r="H543" s="99"/>
      <c r="I543" s="99"/>
      <c r="J543" s="99"/>
      <c r="K543" s="99"/>
      <c r="L543" s="99"/>
      <c r="M543" s="99"/>
      <c r="N543" s="99"/>
    </row>
    <row r="544" spans="2:14" ht="15.75" hidden="1" customHeight="1">
      <c r="B544" s="99"/>
      <c r="C544" s="99"/>
      <c r="E544" s="99"/>
      <c r="F544" s="99"/>
      <c r="G544" s="99"/>
      <c r="H544" s="99"/>
      <c r="I544" s="99"/>
      <c r="J544" s="99"/>
      <c r="K544" s="99"/>
      <c r="L544" s="99"/>
      <c r="M544" s="99"/>
      <c r="N544" s="99"/>
    </row>
    <row r="545" spans="2:14" ht="15.75" hidden="1" customHeight="1">
      <c r="B545" s="99"/>
      <c r="C545" s="99"/>
      <c r="E545" s="99"/>
      <c r="F545" s="99"/>
      <c r="G545" s="99"/>
      <c r="H545" s="99"/>
      <c r="I545" s="99"/>
      <c r="J545" s="99"/>
      <c r="K545" s="99"/>
      <c r="L545" s="99"/>
      <c r="M545" s="99"/>
      <c r="N545" s="99"/>
    </row>
    <row r="546" spans="2:14" ht="15.75" hidden="1" customHeight="1">
      <c r="B546" s="99"/>
      <c r="C546" s="99"/>
      <c r="E546" s="99"/>
      <c r="F546" s="99"/>
      <c r="G546" s="99"/>
      <c r="H546" s="99"/>
      <c r="I546" s="99"/>
      <c r="J546" s="99"/>
      <c r="K546" s="99"/>
      <c r="L546" s="99"/>
      <c r="M546" s="99"/>
      <c r="N546" s="99"/>
    </row>
    <row r="547" spans="2:14" ht="15.75" hidden="1" customHeight="1">
      <c r="B547" s="99"/>
      <c r="C547" s="99"/>
      <c r="E547" s="99"/>
      <c r="F547" s="99"/>
      <c r="G547" s="99"/>
      <c r="H547" s="99"/>
      <c r="I547" s="99"/>
      <c r="J547" s="99"/>
      <c r="K547" s="99"/>
      <c r="L547" s="99"/>
      <c r="M547" s="99"/>
      <c r="N547" s="99"/>
    </row>
    <row r="548" spans="2:14" ht="15.75" hidden="1" customHeight="1">
      <c r="B548" s="99"/>
      <c r="C548" s="99"/>
      <c r="E548" s="99"/>
      <c r="F548" s="99"/>
      <c r="G548" s="99"/>
      <c r="H548" s="99"/>
      <c r="I548" s="99"/>
      <c r="J548" s="99"/>
      <c r="K548" s="99"/>
      <c r="L548" s="99"/>
      <c r="M548" s="99"/>
      <c r="N548" s="99"/>
    </row>
    <row r="549" spans="2:14" ht="15.75" hidden="1" customHeight="1">
      <c r="B549" s="99"/>
      <c r="C549" s="99"/>
      <c r="E549" s="99"/>
      <c r="F549" s="99"/>
      <c r="G549" s="99"/>
      <c r="H549" s="99"/>
      <c r="I549" s="99"/>
      <c r="J549" s="99"/>
      <c r="K549" s="99"/>
      <c r="L549" s="99"/>
      <c r="M549" s="99"/>
      <c r="N549" s="99"/>
    </row>
    <row r="550" spans="2:14" ht="15.75" hidden="1" customHeight="1">
      <c r="B550" s="99"/>
      <c r="C550" s="99"/>
      <c r="E550" s="99"/>
      <c r="F550" s="99"/>
      <c r="G550" s="99"/>
      <c r="H550" s="99"/>
      <c r="I550" s="99"/>
      <c r="J550" s="99"/>
      <c r="K550" s="99"/>
      <c r="L550" s="99"/>
      <c r="M550" s="99"/>
      <c r="N550" s="99"/>
    </row>
    <row r="551" spans="2:14" ht="15.75" hidden="1" customHeight="1">
      <c r="B551" s="99"/>
      <c r="C551" s="99"/>
      <c r="E551" s="99"/>
      <c r="F551" s="99"/>
      <c r="G551" s="99"/>
      <c r="H551" s="99"/>
      <c r="I551" s="99"/>
      <c r="J551" s="99"/>
      <c r="K551" s="99"/>
      <c r="L551" s="99"/>
      <c r="M551" s="99"/>
      <c r="N551" s="99"/>
    </row>
    <row r="552" spans="2:14" ht="15.75" hidden="1" customHeight="1">
      <c r="B552" s="99"/>
      <c r="C552" s="99"/>
      <c r="E552" s="99"/>
      <c r="F552" s="99"/>
      <c r="G552" s="99"/>
      <c r="H552" s="99"/>
      <c r="I552" s="99"/>
      <c r="J552" s="99"/>
      <c r="K552" s="99"/>
      <c r="L552" s="99"/>
      <c r="M552" s="99"/>
      <c r="N552" s="99"/>
    </row>
    <row r="553" spans="2:14" ht="15.75" hidden="1" customHeight="1">
      <c r="B553" s="99"/>
      <c r="C553" s="99"/>
      <c r="E553" s="99"/>
      <c r="F553" s="99"/>
      <c r="G553" s="99"/>
      <c r="H553" s="99"/>
      <c r="I553" s="99"/>
      <c r="J553" s="99"/>
      <c r="K553" s="99"/>
      <c r="L553" s="99"/>
      <c r="M553" s="99"/>
      <c r="N553" s="99"/>
    </row>
    <row r="554" spans="2:14" ht="15.75" hidden="1" customHeight="1">
      <c r="B554" s="99"/>
      <c r="C554" s="99"/>
      <c r="E554" s="99"/>
      <c r="F554" s="99"/>
      <c r="G554" s="99"/>
      <c r="H554" s="99"/>
      <c r="I554" s="99"/>
      <c r="J554" s="99"/>
      <c r="K554" s="99"/>
      <c r="L554" s="99"/>
      <c r="M554" s="99"/>
      <c r="N554" s="99"/>
    </row>
    <row r="555" spans="2:14" ht="15.75" hidden="1" customHeight="1">
      <c r="B555" s="99"/>
      <c r="C555" s="99"/>
      <c r="E555" s="99"/>
      <c r="F555" s="99"/>
      <c r="G555" s="99"/>
      <c r="H555" s="99"/>
      <c r="I555" s="99"/>
      <c r="J555" s="99"/>
      <c r="K555" s="99"/>
      <c r="L555" s="99"/>
      <c r="M555" s="99"/>
      <c r="N555" s="99"/>
    </row>
    <row r="556" spans="2:14" ht="15.75" hidden="1" customHeight="1">
      <c r="B556" s="99"/>
      <c r="C556" s="99"/>
      <c r="E556" s="99"/>
      <c r="F556" s="99"/>
      <c r="G556" s="99"/>
      <c r="H556" s="99"/>
      <c r="I556" s="99"/>
      <c r="J556" s="99"/>
      <c r="K556" s="99"/>
      <c r="L556" s="99"/>
      <c r="M556" s="99"/>
      <c r="N556" s="99"/>
    </row>
    <row r="557" spans="2:14" ht="15.75" hidden="1" customHeight="1">
      <c r="B557" s="99"/>
      <c r="C557" s="99"/>
      <c r="E557" s="99"/>
      <c r="F557" s="99"/>
      <c r="G557" s="99"/>
      <c r="H557" s="99"/>
      <c r="I557" s="99"/>
      <c r="J557" s="99"/>
      <c r="K557" s="99"/>
      <c r="L557" s="99"/>
      <c r="M557" s="99"/>
      <c r="N557" s="99"/>
    </row>
    <row r="558" spans="2:14" ht="15.75" hidden="1" customHeight="1">
      <c r="B558" s="99"/>
      <c r="C558" s="99"/>
      <c r="E558" s="99"/>
      <c r="F558" s="99"/>
      <c r="G558" s="99"/>
      <c r="H558" s="99"/>
      <c r="I558" s="99"/>
      <c r="J558" s="99"/>
      <c r="K558" s="99"/>
      <c r="L558" s="99"/>
      <c r="M558" s="99"/>
      <c r="N558" s="99"/>
    </row>
    <row r="559" spans="2:14" ht="15.75" hidden="1" customHeight="1">
      <c r="B559" s="99"/>
      <c r="C559" s="99"/>
      <c r="E559" s="99"/>
      <c r="F559" s="99"/>
      <c r="G559" s="99"/>
      <c r="H559" s="99"/>
      <c r="I559" s="99"/>
      <c r="J559" s="99"/>
      <c r="K559" s="99"/>
      <c r="L559" s="99"/>
      <c r="M559" s="99"/>
      <c r="N559" s="99"/>
    </row>
    <row r="560" spans="2:14" ht="15.75" hidden="1" customHeight="1">
      <c r="B560" s="99"/>
      <c r="C560" s="99"/>
      <c r="E560" s="99"/>
      <c r="F560" s="99"/>
      <c r="G560" s="99"/>
      <c r="H560" s="99"/>
      <c r="I560" s="99"/>
      <c r="J560" s="99"/>
      <c r="K560" s="99"/>
      <c r="L560" s="99"/>
      <c r="M560" s="99"/>
      <c r="N560" s="99"/>
    </row>
    <row r="561" spans="2:14" ht="15.75" hidden="1" customHeight="1">
      <c r="B561" s="99"/>
      <c r="C561" s="99"/>
      <c r="E561" s="99"/>
      <c r="F561" s="99"/>
      <c r="G561" s="99"/>
      <c r="H561" s="99"/>
      <c r="I561" s="99"/>
      <c r="J561" s="99"/>
      <c r="K561" s="99"/>
      <c r="L561" s="99"/>
      <c r="M561" s="99"/>
      <c r="N561" s="99"/>
    </row>
    <row r="562" spans="2:14" ht="15.75" hidden="1" customHeight="1">
      <c r="B562" s="99"/>
      <c r="C562" s="99"/>
      <c r="E562" s="99"/>
      <c r="F562" s="99"/>
      <c r="G562" s="99"/>
      <c r="H562" s="99"/>
      <c r="I562" s="99"/>
      <c r="J562" s="99"/>
      <c r="K562" s="99"/>
      <c r="L562" s="99"/>
      <c r="M562" s="99"/>
      <c r="N562" s="99"/>
    </row>
    <row r="563" spans="2:14" ht="15.75" hidden="1" customHeight="1">
      <c r="B563" s="99"/>
      <c r="C563" s="99"/>
      <c r="E563" s="99"/>
      <c r="F563" s="99"/>
      <c r="G563" s="99"/>
      <c r="H563" s="99"/>
      <c r="I563" s="99"/>
      <c r="J563" s="99"/>
      <c r="K563" s="99"/>
      <c r="L563" s="99"/>
      <c r="M563" s="99"/>
      <c r="N563" s="99"/>
    </row>
    <row r="564" spans="2:14" ht="15.75" hidden="1" customHeight="1">
      <c r="B564" s="99"/>
      <c r="C564" s="99"/>
      <c r="E564" s="99"/>
      <c r="F564" s="99"/>
      <c r="G564" s="99"/>
      <c r="H564" s="99"/>
      <c r="I564" s="99"/>
      <c r="J564" s="99"/>
      <c r="K564" s="99"/>
      <c r="L564" s="99"/>
      <c r="M564" s="99"/>
      <c r="N564" s="99"/>
    </row>
    <row r="565" spans="2:14" ht="15.75" hidden="1" customHeight="1">
      <c r="B565" s="99"/>
      <c r="C565" s="99"/>
      <c r="E565" s="99"/>
      <c r="F565" s="99"/>
      <c r="G565" s="99"/>
      <c r="H565" s="99"/>
      <c r="I565" s="99"/>
      <c r="J565" s="99"/>
      <c r="K565" s="99"/>
      <c r="L565" s="99"/>
      <c r="M565" s="99"/>
      <c r="N565" s="99"/>
    </row>
    <row r="566" spans="2:14" ht="15.75" hidden="1" customHeight="1">
      <c r="B566" s="99"/>
      <c r="C566" s="99"/>
      <c r="E566" s="99"/>
      <c r="F566" s="99"/>
      <c r="G566" s="99"/>
      <c r="H566" s="99"/>
      <c r="I566" s="99"/>
      <c r="J566" s="99"/>
      <c r="K566" s="99"/>
      <c r="L566" s="99"/>
      <c r="M566" s="99"/>
      <c r="N566" s="99"/>
    </row>
    <row r="567" spans="2:14" ht="15.75" hidden="1" customHeight="1">
      <c r="B567" s="99"/>
      <c r="C567" s="99"/>
      <c r="E567" s="99"/>
      <c r="F567" s="99"/>
      <c r="G567" s="99"/>
      <c r="H567" s="99"/>
      <c r="I567" s="99"/>
      <c r="J567" s="99"/>
      <c r="K567" s="99"/>
      <c r="L567" s="99"/>
      <c r="M567" s="99"/>
      <c r="N567" s="99"/>
    </row>
    <row r="568" spans="2:14" ht="15.75" hidden="1" customHeight="1">
      <c r="B568" s="99"/>
      <c r="C568" s="99"/>
      <c r="E568" s="99"/>
      <c r="F568" s="99"/>
      <c r="G568" s="99"/>
      <c r="H568" s="99"/>
      <c r="I568" s="99"/>
      <c r="J568" s="99"/>
      <c r="K568" s="99"/>
      <c r="L568" s="99"/>
      <c r="M568" s="99"/>
      <c r="N568" s="99"/>
    </row>
    <row r="569" spans="2:14" ht="15.75" hidden="1" customHeight="1">
      <c r="B569" s="99"/>
      <c r="C569" s="99"/>
      <c r="E569" s="99"/>
      <c r="F569" s="99"/>
      <c r="G569" s="99"/>
      <c r="H569" s="99"/>
      <c r="I569" s="99"/>
      <c r="J569" s="99"/>
      <c r="K569" s="99"/>
      <c r="L569" s="99"/>
      <c r="M569" s="99"/>
      <c r="N569" s="99"/>
    </row>
    <row r="570" spans="2:14" ht="15.75" hidden="1" customHeight="1">
      <c r="B570" s="99"/>
      <c r="C570" s="99"/>
      <c r="E570" s="99"/>
      <c r="F570" s="99"/>
      <c r="G570" s="99"/>
      <c r="H570" s="99"/>
      <c r="I570" s="99"/>
      <c r="J570" s="99"/>
      <c r="K570" s="99"/>
      <c r="L570" s="99"/>
      <c r="M570" s="99"/>
      <c r="N570" s="99"/>
    </row>
    <row r="571" spans="2:14" ht="15.75" hidden="1" customHeight="1">
      <c r="B571" s="99"/>
      <c r="C571" s="99"/>
      <c r="E571" s="99"/>
      <c r="F571" s="99"/>
      <c r="G571" s="99"/>
      <c r="H571" s="99"/>
      <c r="I571" s="99"/>
      <c r="J571" s="99"/>
      <c r="K571" s="99"/>
      <c r="L571" s="99"/>
      <c r="M571" s="99"/>
      <c r="N571" s="99"/>
    </row>
    <row r="572" spans="2:14" ht="15.75" hidden="1" customHeight="1">
      <c r="B572" s="99"/>
      <c r="C572" s="99"/>
      <c r="E572" s="99"/>
      <c r="F572" s="99"/>
      <c r="G572" s="99"/>
      <c r="H572" s="99"/>
      <c r="I572" s="99"/>
      <c r="J572" s="99"/>
      <c r="K572" s="99"/>
      <c r="L572" s="99"/>
      <c r="M572" s="99"/>
      <c r="N572" s="99"/>
    </row>
    <row r="573" spans="2:14" ht="15.75" hidden="1" customHeight="1">
      <c r="B573" s="99"/>
      <c r="C573" s="99"/>
      <c r="E573" s="99"/>
      <c r="F573" s="99"/>
      <c r="G573" s="99"/>
      <c r="H573" s="99"/>
      <c r="I573" s="99"/>
      <c r="J573" s="99"/>
      <c r="K573" s="99"/>
      <c r="L573" s="99"/>
      <c r="M573" s="99"/>
      <c r="N573" s="99"/>
    </row>
    <row r="574" spans="2:14" ht="15.75" hidden="1" customHeight="1">
      <c r="B574" s="99"/>
      <c r="C574" s="99"/>
      <c r="E574" s="99"/>
      <c r="F574" s="99"/>
      <c r="G574" s="99"/>
      <c r="H574" s="99"/>
      <c r="I574" s="99"/>
      <c r="J574" s="99"/>
      <c r="K574" s="99"/>
      <c r="L574" s="99"/>
      <c r="M574" s="99"/>
      <c r="N574" s="99"/>
    </row>
    <row r="575" spans="2:14" ht="15.75" hidden="1" customHeight="1">
      <c r="B575" s="99"/>
      <c r="C575" s="99"/>
      <c r="E575" s="99"/>
      <c r="F575" s="99"/>
      <c r="G575" s="99"/>
      <c r="H575" s="99"/>
      <c r="I575" s="99"/>
      <c r="J575" s="99"/>
      <c r="K575" s="99"/>
      <c r="L575" s="99"/>
      <c r="M575" s="99"/>
      <c r="N575" s="99"/>
    </row>
    <row r="576" spans="2:14" ht="15.75" hidden="1" customHeight="1">
      <c r="B576" s="99"/>
      <c r="C576" s="99"/>
      <c r="E576" s="99"/>
      <c r="F576" s="99"/>
      <c r="G576" s="99"/>
      <c r="H576" s="99"/>
      <c r="I576" s="99"/>
      <c r="J576" s="99"/>
      <c r="K576" s="99"/>
      <c r="L576" s="99"/>
      <c r="M576" s="99"/>
      <c r="N576" s="99"/>
    </row>
    <row r="577" spans="2:14" ht="15.75" hidden="1" customHeight="1">
      <c r="B577" s="99"/>
      <c r="C577" s="99"/>
      <c r="E577" s="99"/>
      <c r="F577" s="99"/>
      <c r="G577" s="99"/>
      <c r="H577" s="99"/>
      <c r="I577" s="99"/>
      <c r="J577" s="99"/>
      <c r="K577" s="99"/>
      <c r="L577" s="99"/>
      <c r="M577" s="99"/>
      <c r="N577" s="99"/>
    </row>
    <row r="578" spans="2:14" ht="15.75" hidden="1" customHeight="1">
      <c r="B578" s="99"/>
      <c r="C578" s="99"/>
      <c r="E578" s="99"/>
      <c r="F578" s="99"/>
      <c r="G578" s="99"/>
      <c r="H578" s="99"/>
      <c r="I578" s="99"/>
      <c r="J578" s="99"/>
      <c r="K578" s="99"/>
      <c r="L578" s="99"/>
      <c r="M578" s="99"/>
      <c r="N578" s="99"/>
    </row>
    <row r="579" spans="2:14" ht="15.75" hidden="1" customHeight="1">
      <c r="B579" s="99"/>
      <c r="C579" s="99"/>
      <c r="E579" s="99"/>
      <c r="F579" s="99"/>
      <c r="G579" s="99"/>
      <c r="H579" s="99"/>
      <c r="I579" s="99"/>
      <c r="J579" s="99"/>
      <c r="K579" s="99"/>
      <c r="L579" s="99"/>
      <c r="M579" s="99"/>
      <c r="N579" s="99"/>
    </row>
    <row r="580" spans="2:14" ht="15.75" hidden="1" customHeight="1">
      <c r="B580" s="99"/>
      <c r="C580" s="99"/>
      <c r="E580" s="99"/>
      <c r="F580" s="99"/>
      <c r="G580" s="99"/>
      <c r="H580" s="99"/>
      <c r="I580" s="99"/>
      <c r="J580" s="99"/>
      <c r="K580" s="99"/>
      <c r="L580" s="99"/>
      <c r="M580" s="99"/>
      <c r="N580" s="99"/>
    </row>
    <row r="581" spans="2:14" ht="15.75" hidden="1" customHeight="1">
      <c r="B581" s="99"/>
      <c r="C581" s="99"/>
      <c r="E581" s="99"/>
      <c r="F581" s="99"/>
      <c r="G581" s="99"/>
      <c r="H581" s="99"/>
      <c r="I581" s="99"/>
      <c r="J581" s="99"/>
      <c r="K581" s="99"/>
      <c r="L581" s="99"/>
      <c r="M581" s="99"/>
      <c r="N581" s="99"/>
    </row>
    <row r="582" spans="2:14" ht="15.75" hidden="1" customHeight="1">
      <c r="B582" s="99"/>
      <c r="C582" s="99"/>
      <c r="E582" s="99"/>
      <c r="F582" s="99"/>
      <c r="G582" s="99"/>
      <c r="H582" s="99"/>
      <c r="I582" s="99"/>
      <c r="J582" s="99"/>
      <c r="K582" s="99"/>
      <c r="L582" s="99"/>
      <c r="M582" s="99"/>
      <c r="N582" s="99"/>
    </row>
    <row r="583" spans="2:14" ht="15.75" hidden="1" customHeight="1">
      <c r="B583" s="99"/>
      <c r="C583" s="99"/>
      <c r="E583" s="99"/>
      <c r="F583" s="99"/>
      <c r="G583" s="99"/>
      <c r="H583" s="99"/>
      <c r="I583" s="99"/>
      <c r="J583" s="99"/>
      <c r="K583" s="99"/>
      <c r="L583" s="99"/>
      <c r="M583" s="99"/>
      <c r="N583" s="99"/>
    </row>
    <row r="584" spans="2:14" ht="15.75" hidden="1" customHeight="1">
      <c r="B584" s="99"/>
      <c r="C584" s="99"/>
      <c r="E584" s="99"/>
      <c r="F584" s="99"/>
      <c r="G584" s="99"/>
      <c r="H584" s="99"/>
      <c r="I584" s="99"/>
      <c r="J584" s="99"/>
      <c r="K584" s="99"/>
      <c r="L584" s="99"/>
      <c r="M584" s="99"/>
      <c r="N584" s="99"/>
    </row>
    <row r="585" spans="2:14" ht="15.75" hidden="1" customHeight="1">
      <c r="B585" s="99"/>
      <c r="C585" s="99"/>
      <c r="E585" s="99"/>
      <c r="F585" s="99"/>
      <c r="G585" s="99"/>
      <c r="H585" s="99"/>
      <c r="I585" s="99"/>
      <c r="J585" s="99"/>
      <c r="K585" s="99"/>
      <c r="L585" s="99"/>
      <c r="M585" s="99"/>
      <c r="N585" s="99"/>
    </row>
    <row r="586" spans="2:14" ht="15.75" hidden="1" customHeight="1">
      <c r="B586" s="99"/>
      <c r="C586" s="99"/>
      <c r="E586" s="99"/>
      <c r="F586" s="99"/>
      <c r="G586" s="99"/>
      <c r="H586" s="99"/>
      <c r="I586" s="99"/>
      <c r="J586" s="99"/>
      <c r="K586" s="99"/>
      <c r="L586" s="99"/>
      <c r="M586" s="99"/>
      <c r="N586" s="99"/>
    </row>
    <row r="587" spans="2:14" ht="15.75" hidden="1" customHeight="1">
      <c r="B587" s="99"/>
      <c r="C587" s="99"/>
      <c r="E587" s="99"/>
      <c r="F587" s="99"/>
      <c r="G587" s="99"/>
      <c r="H587" s="99"/>
      <c r="I587" s="99"/>
      <c r="J587" s="99"/>
      <c r="K587" s="99"/>
      <c r="L587" s="99"/>
      <c r="M587" s="99"/>
      <c r="N587" s="99"/>
    </row>
    <row r="588" spans="2:14" ht="15.75" hidden="1" customHeight="1">
      <c r="B588" s="99"/>
      <c r="C588" s="99"/>
      <c r="E588" s="99"/>
      <c r="F588" s="99"/>
      <c r="G588" s="99"/>
      <c r="H588" s="99"/>
      <c r="I588" s="99"/>
      <c r="J588" s="99"/>
      <c r="K588" s="99"/>
      <c r="L588" s="99"/>
      <c r="M588" s="99"/>
      <c r="N588" s="99"/>
    </row>
    <row r="589" spans="2:14" ht="15.75" hidden="1" customHeight="1">
      <c r="B589" s="99"/>
      <c r="C589" s="99"/>
      <c r="E589" s="99"/>
      <c r="F589" s="99"/>
      <c r="G589" s="99"/>
      <c r="H589" s="99"/>
      <c r="I589" s="99"/>
      <c r="J589" s="99"/>
      <c r="K589" s="99"/>
      <c r="L589" s="99"/>
      <c r="M589" s="99"/>
      <c r="N589" s="99"/>
    </row>
    <row r="590" spans="2:14" ht="15.75" hidden="1" customHeight="1">
      <c r="B590" s="99"/>
      <c r="C590" s="99"/>
      <c r="E590" s="99"/>
      <c r="F590" s="99"/>
      <c r="G590" s="99"/>
      <c r="H590" s="99"/>
      <c r="I590" s="99"/>
      <c r="J590" s="99"/>
      <c r="K590" s="99"/>
      <c r="L590" s="99"/>
      <c r="M590" s="99"/>
      <c r="N590" s="99"/>
    </row>
    <row r="591" spans="2:14" ht="15.75" hidden="1" customHeight="1">
      <c r="B591" s="99"/>
      <c r="C591" s="99"/>
      <c r="E591" s="99"/>
      <c r="F591" s="99"/>
      <c r="G591" s="99"/>
      <c r="H591" s="99"/>
      <c r="I591" s="99"/>
      <c r="J591" s="99"/>
      <c r="K591" s="99"/>
      <c r="L591" s="99"/>
      <c r="M591" s="99"/>
      <c r="N591" s="99"/>
    </row>
    <row r="592" spans="2:14" ht="15.75" hidden="1" customHeight="1">
      <c r="B592" s="99"/>
      <c r="C592" s="99"/>
      <c r="E592" s="99"/>
      <c r="F592" s="99"/>
      <c r="G592" s="99"/>
      <c r="H592" s="99"/>
      <c r="I592" s="99"/>
      <c r="J592" s="99"/>
      <c r="K592" s="99"/>
      <c r="L592" s="99"/>
      <c r="M592" s="99"/>
      <c r="N592" s="99"/>
    </row>
    <row r="593" spans="2:14" ht="15.75" hidden="1" customHeight="1">
      <c r="B593" s="99"/>
      <c r="C593" s="99"/>
      <c r="E593" s="99"/>
      <c r="F593" s="99"/>
      <c r="G593" s="99"/>
      <c r="H593" s="99"/>
      <c r="I593" s="99"/>
      <c r="J593" s="99"/>
      <c r="K593" s="99"/>
      <c r="L593" s="99"/>
      <c r="M593" s="99"/>
      <c r="N593" s="99"/>
    </row>
    <row r="594" spans="2:14" ht="15.75" hidden="1" customHeight="1">
      <c r="B594" s="99"/>
      <c r="C594" s="99"/>
      <c r="E594" s="99"/>
      <c r="F594" s="99"/>
      <c r="G594" s="99"/>
      <c r="H594" s="99"/>
      <c r="I594" s="99"/>
      <c r="J594" s="99"/>
      <c r="K594" s="99"/>
      <c r="L594" s="99"/>
      <c r="M594" s="99"/>
      <c r="N594" s="99"/>
    </row>
    <row r="595" spans="2:14" ht="15.75" hidden="1" customHeight="1">
      <c r="B595" s="99"/>
      <c r="C595" s="99"/>
      <c r="E595" s="99"/>
      <c r="F595" s="99"/>
      <c r="G595" s="99"/>
      <c r="H595" s="99"/>
      <c r="I595" s="99"/>
      <c r="J595" s="99"/>
      <c r="K595" s="99"/>
      <c r="L595" s="99"/>
      <c r="M595" s="99"/>
      <c r="N595" s="99"/>
    </row>
    <row r="596" spans="2:14" ht="15.75" hidden="1" customHeight="1">
      <c r="B596" s="99"/>
      <c r="C596" s="99"/>
      <c r="E596" s="99"/>
      <c r="F596" s="99"/>
      <c r="G596" s="99"/>
      <c r="H596" s="99"/>
      <c r="I596" s="99"/>
      <c r="J596" s="99"/>
      <c r="K596" s="99"/>
      <c r="L596" s="99"/>
      <c r="M596" s="99"/>
      <c r="N596" s="99"/>
    </row>
    <row r="597" spans="2:14" ht="15.75" hidden="1" customHeight="1">
      <c r="B597" s="99"/>
      <c r="C597" s="99"/>
      <c r="E597" s="99"/>
      <c r="F597" s="99"/>
      <c r="G597" s="99"/>
      <c r="H597" s="99"/>
      <c r="I597" s="99"/>
      <c r="J597" s="99"/>
      <c r="K597" s="99"/>
      <c r="L597" s="99"/>
      <c r="M597" s="99"/>
      <c r="N597" s="99"/>
    </row>
    <row r="598" spans="2:14" ht="15.75" hidden="1" customHeight="1">
      <c r="B598" s="99"/>
      <c r="C598" s="99"/>
      <c r="E598" s="99"/>
      <c r="F598" s="99"/>
      <c r="G598" s="99"/>
      <c r="H598" s="99"/>
      <c r="I598" s="99"/>
      <c r="J598" s="99"/>
      <c r="K598" s="99"/>
      <c r="L598" s="99"/>
      <c r="M598" s="99"/>
      <c r="N598" s="99"/>
    </row>
    <row r="599" spans="2:14" ht="15.75" hidden="1" customHeight="1">
      <c r="B599" s="99"/>
      <c r="C599" s="99"/>
      <c r="E599" s="99"/>
      <c r="F599" s="99"/>
      <c r="G599" s="99"/>
      <c r="H599" s="99"/>
      <c r="I599" s="99"/>
      <c r="J599" s="99"/>
      <c r="K599" s="99"/>
      <c r="L599" s="99"/>
      <c r="M599" s="99"/>
      <c r="N599" s="99"/>
    </row>
    <row r="600" spans="2:14" ht="15.75" hidden="1" customHeight="1">
      <c r="B600" s="99"/>
      <c r="C600" s="99"/>
      <c r="E600" s="99"/>
      <c r="F600" s="99"/>
      <c r="G600" s="99"/>
      <c r="H600" s="99"/>
      <c r="I600" s="99"/>
      <c r="J600" s="99"/>
      <c r="K600" s="99"/>
      <c r="L600" s="99"/>
      <c r="M600" s="99"/>
      <c r="N600" s="99"/>
    </row>
    <row r="601" spans="2:14" ht="15.75" hidden="1" customHeight="1">
      <c r="B601" s="99"/>
      <c r="C601" s="99"/>
      <c r="E601" s="99"/>
      <c r="F601" s="99"/>
      <c r="G601" s="99"/>
      <c r="H601" s="99"/>
      <c r="I601" s="99"/>
      <c r="J601" s="99"/>
      <c r="K601" s="99"/>
      <c r="L601" s="99"/>
      <c r="M601" s="99"/>
      <c r="N601" s="99"/>
    </row>
    <row r="602" spans="2:14" ht="15.75" hidden="1" customHeight="1">
      <c r="B602" s="99"/>
      <c r="C602" s="99"/>
      <c r="E602" s="99"/>
      <c r="F602" s="99"/>
      <c r="G602" s="99"/>
      <c r="H602" s="99"/>
      <c r="I602" s="99"/>
      <c r="J602" s="99"/>
      <c r="K602" s="99"/>
      <c r="L602" s="99"/>
      <c r="M602" s="99"/>
      <c r="N602" s="99"/>
    </row>
    <row r="603" spans="2:14" ht="15.75" hidden="1" customHeight="1">
      <c r="B603" s="99"/>
      <c r="C603" s="99"/>
      <c r="E603" s="99"/>
      <c r="F603" s="99"/>
      <c r="G603" s="99"/>
      <c r="H603" s="99"/>
      <c r="I603" s="99"/>
      <c r="J603" s="99"/>
      <c r="K603" s="99"/>
      <c r="L603" s="99"/>
      <c r="M603" s="99"/>
      <c r="N603" s="99"/>
    </row>
    <row r="604" spans="2:14" ht="15.75" hidden="1" customHeight="1">
      <c r="B604" s="99"/>
      <c r="C604" s="99"/>
      <c r="E604" s="99"/>
      <c r="F604" s="99"/>
      <c r="G604" s="99"/>
      <c r="H604" s="99"/>
      <c r="I604" s="99"/>
      <c r="J604" s="99"/>
      <c r="K604" s="99"/>
      <c r="L604" s="99"/>
      <c r="M604" s="99"/>
      <c r="N604" s="99"/>
    </row>
    <row r="605" spans="2:14" ht="15.75" hidden="1" customHeight="1">
      <c r="B605" s="99"/>
      <c r="C605" s="99"/>
      <c r="E605" s="99"/>
      <c r="F605" s="99"/>
      <c r="G605" s="99"/>
      <c r="H605" s="99"/>
      <c r="I605" s="99"/>
      <c r="J605" s="99"/>
      <c r="K605" s="99"/>
      <c r="L605" s="99"/>
      <c r="M605" s="99"/>
      <c r="N605" s="99"/>
    </row>
    <row r="606" spans="2:14" ht="15.75" hidden="1" customHeight="1">
      <c r="B606" s="99"/>
      <c r="C606" s="99"/>
      <c r="E606" s="99"/>
      <c r="F606" s="99"/>
      <c r="G606" s="99"/>
      <c r="H606" s="99"/>
      <c r="I606" s="99"/>
      <c r="J606" s="99"/>
      <c r="K606" s="99"/>
      <c r="L606" s="99"/>
      <c r="M606" s="99"/>
      <c r="N606" s="99"/>
    </row>
    <row r="607" spans="2:14" ht="15.75" hidden="1" customHeight="1">
      <c r="B607" s="99"/>
      <c r="C607" s="99"/>
      <c r="E607" s="99"/>
      <c r="F607" s="99"/>
      <c r="G607" s="99"/>
      <c r="H607" s="99"/>
      <c r="I607" s="99"/>
      <c r="J607" s="99"/>
      <c r="K607" s="99"/>
      <c r="L607" s="99"/>
      <c r="M607" s="99"/>
      <c r="N607" s="99"/>
    </row>
    <row r="608" spans="2:14" ht="15.75" hidden="1" customHeight="1">
      <c r="B608" s="99"/>
      <c r="C608" s="99"/>
      <c r="E608" s="99"/>
      <c r="F608" s="99"/>
      <c r="G608" s="99"/>
      <c r="H608" s="99"/>
      <c r="I608" s="99"/>
      <c r="J608" s="99"/>
      <c r="K608" s="99"/>
      <c r="L608" s="99"/>
      <c r="M608" s="99"/>
      <c r="N608" s="99"/>
    </row>
    <row r="609" spans="2:14" ht="15.75" hidden="1" customHeight="1">
      <c r="B609" s="99"/>
      <c r="C609" s="99"/>
      <c r="E609" s="99"/>
      <c r="F609" s="99"/>
      <c r="G609" s="99"/>
      <c r="H609" s="99"/>
      <c r="I609" s="99"/>
      <c r="J609" s="99"/>
      <c r="K609" s="99"/>
      <c r="L609" s="99"/>
      <c r="M609" s="99"/>
      <c r="N609" s="99"/>
    </row>
    <row r="610" spans="2:14" ht="15.75" hidden="1" customHeight="1">
      <c r="B610" s="99"/>
      <c r="C610" s="99"/>
      <c r="E610" s="99"/>
      <c r="F610" s="99"/>
      <c r="G610" s="99"/>
      <c r="H610" s="99"/>
      <c r="I610" s="99"/>
      <c r="J610" s="99"/>
      <c r="K610" s="99"/>
      <c r="L610" s="99"/>
      <c r="M610" s="99"/>
      <c r="N610" s="99"/>
    </row>
    <row r="611" spans="2:14" ht="15.75" hidden="1" customHeight="1">
      <c r="B611" s="99"/>
      <c r="C611" s="99"/>
      <c r="E611" s="99"/>
      <c r="F611" s="99"/>
      <c r="G611" s="99"/>
      <c r="H611" s="99"/>
      <c r="I611" s="99"/>
      <c r="J611" s="99"/>
      <c r="K611" s="99"/>
      <c r="L611" s="99"/>
      <c r="M611" s="99"/>
      <c r="N611" s="99"/>
    </row>
    <row r="612" spans="2:14" ht="15.75" hidden="1" customHeight="1">
      <c r="B612" s="99"/>
      <c r="C612" s="99"/>
      <c r="E612" s="99"/>
      <c r="F612" s="99"/>
      <c r="G612" s="99"/>
      <c r="H612" s="99"/>
      <c r="I612" s="99"/>
      <c r="J612" s="99"/>
      <c r="K612" s="99"/>
      <c r="L612" s="99"/>
      <c r="M612" s="99"/>
      <c r="N612" s="99"/>
    </row>
    <row r="613" spans="2:14" ht="15.75" hidden="1" customHeight="1">
      <c r="B613" s="99"/>
      <c r="C613" s="99"/>
      <c r="E613" s="99"/>
      <c r="F613" s="99"/>
      <c r="G613" s="99"/>
      <c r="H613" s="99"/>
      <c r="I613" s="99"/>
      <c r="J613" s="99"/>
      <c r="K613" s="99"/>
      <c r="L613" s="99"/>
      <c r="M613" s="99"/>
      <c r="N613" s="99"/>
    </row>
    <row r="614" spans="2:14" ht="15.75" hidden="1" customHeight="1">
      <c r="B614" s="99"/>
      <c r="C614" s="99"/>
      <c r="E614" s="99"/>
      <c r="F614" s="99"/>
      <c r="G614" s="99"/>
      <c r="H614" s="99"/>
      <c r="I614" s="99"/>
      <c r="J614" s="99"/>
      <c r="K614" s="99"/>
      <c r="L614" s="99"/>
      <c r="M614" s="99"/>
      <c r="N614" s="99"/>
    </row>
    <row r="615" spans="2:14" ht="15.75" hidden="1" customHeight="1">
      <c r="B615" s="99"/>
      <c r="C615" s="99"/>
      <c r="E615" s="99"/>
      <c r="F615" s="99"/>
      <c r="G615" s="99"/>
      <c r="H615" s="99"/>
      <c r="I615" s="99"/>
      <c r="J615" s="99"/>
      <c r="K615" s="99"/>
      <c r="L615" s="99"/>
      <c r="M615" s="99"/>
      <c r="N615" s="99"/>
    </row>
    <row r="616" spans="2:14" ht="15.75" hidden="1" customHeight="1">
      <c r="B616" s="99"/>
      <c r="C616" s="99"/>
      <c r="E616" s="99"/>
      <c r="F616" s="99"/>
      <c r="G616" s="99"/>
      <c r="H616" s="99"/>
      <c r="I616" s="99"/>
      <c r="J616" s="99"/>
      <c r="K616" s="99"/>
      <c r="L616" s="99"/>
      <c r="M616" s="99"/>
      <c r="N616" s="99"/>
    </row>
    <row r="617" spans="2:14" ht="15.75" hidden="1" customHeight="1">
      <c r="B617" s="99"/>
      <c r="C617" s="99"/>
      <c r="E617" s="99"/>
      <c r="F617" s="99"/>
      <c r="G617" s="99"/>
      <c r="H617" s="99"/>
      <c r="I617" s="99"/>
      <c r="J617" s="99"/>
      <c r="K617" s="99"/>
      <c r="L617" s="99"/>
      <c r="M617" s="99"/>
      <c r="N617" s="99"/>
    </row>
    <row r="618" spans="2:14" ht="15.75" hidden="1" customHeight="1">
      <c r="B618" s="99"/>
      <c r="C618" s="99"/>
      <c r="E618" s="99"/>
      <c r="F618" s="99"/>
      <c r="G618" s="99"/>
      <c r="H618" s="99"/>
      <c r="I618" s="99"/>
      <c r="J618" s="99"/>
      <c r="K618" s="99"/>
      <c r="L618" s="99"/>
      <c r="M618" s="99"/>
      <c r="N618" s="99"/>
    </row>
    <row r="619" spans="2:14" ht="15.75" hidden="1" customHeight="1">
      <c r="B619" s="99"/>
      <c r="C619" s="99"/>
      <c r="E619" s="99"/>
      <c r="F619" s="99"/>
      <c r="G619" s="99"/>
      <c r="H619" s="99"/>
      <c r="I619" s="99"/>
      <c r="J619" s="99"/>
      <c r="K619" s="99"/>
      <c r="L619" s="99"/>
      <c r="M619" s="99"/>
      <c r="N619" s="99"/>
    </row>
    <row r="620" spans="2:14" ht="15.75" hidden="1" customHeight="1">
      <c r="B620" s="99"/>
      <c r="C620" s="99"/>
      <c r="E620" s="99"/>
      <c r="F620" s="99"/>
      <c r="G620" s="99"/>
      <c r="H620" s="99"/>
      <c r="I620" s="99"/>
      <c r="J620" s="99"/>
      <c r="K620" s="99"/>
      <c r="L620" s="99"/>
      <c r="M620" s="99"/>
      <c r="N620" s="99"/>
    </row>
    <row r="621" spans="2:14" ht="15.75" hidden="1" customHeight="1">
      <c r="B621" s="99"/>
      <c r="C621" s="99"/>
      <c r="E621" s="99"/>
      <c r="F621" s="99"/>
      <c r="G621" s="99"/>
      <c r="H621" s="99"/>
      <c r="I621" s="99"/>
      <c r="J621" s="99"/>
      <c r="K621" s="99"/>
      <c r="L621" s="99"/>
      <c r="M621" s="99"/>
      <c r="N621" s="99"/>
    </row>
    <row r="622" spans="2:14" ht="15.75" hidden="1" customHeight="1">
      <c r="B622" s="99"/>
      <c r="C622" s="99"/>
      <c r="E622" s="99"/>
      <c r="F622" s="99"/>
      <c r="G622" s="99"/>
      <c r="H622" s="99"/>
      <c r="I622" s="99"/>
      <c r="J622" s="99"/>
      <c r="K622" s="99"/>
      <c r="L622" s="99"/>
      <c r="M622" s="99"/>
      <c r="N622" s="99"/>
    </row>
    <row r="623" spans="2:14" ht="15.75" hidden="1" customHeight="1">
      <c r="B623" s="99"/>
      <c r="C623" s="99"/>
      <c r="E623" s="99"/>
      <c r="F623" s="99"/>
      <c r="G623" s="99"/>
      <c r="H623" s="99"/>
      <c r="I623" s="99"/>
      <c r="J623" s="99"/>
      <c r="K623" s="99"/>
      <c r="L623" s="99"/>
      <c r="M623" s="99"/>
      <c r="N623" s="99"/>
    </row>
    <row r="624" spans="2:14" ht="15.75" hidden="1" customHeight="1">
      <c r="B624" s="99"/>
      <c r="C624" s="99"/>
      <c r="E624" s="99"/>
      <c r="F624" s="99"/>
      <c r="G624" s="99"/>
      <c r="H624" s="99"/>
      <c r="I624" s="99"/>
      <c r="J624" s="99"/>
      <c r="K624" s="99"/>
      <c r="L624" s="99"/>
      <c r="M624" s="99"/>
      <c r="N624" s="99"/>
    </row>
    <row r="625" spans="2:14" ht="15.75" hidden="1" customHeight="1">
      <c r="B625" s="99"/>
      <c r="C625" s="99"/>
      <c r="E625" s="99"/>
      <c r="F625" s="99"/>
      <c r="G625" s="99"/>
      <c r="H625" s="99"/>
      <c r="I625" s="99"/>
      <c r="J625" s="99"/>
      <c r="K625" s="99"/>
      <c r="L625" s="99"/>
      <c r="M625" s="99"/>
      <c r="N625" s="99"/>
    </row>
    <row r="626" spans="2:14" ht="15.75" hidden="1" customHeight="1">
      <c r="B626" s="99"/>
      <c r="C626" s="99"/>
      <c r="E626" s="99"/>
      <c r="F626" s="99"/>
      <c r="G626" s="99"/>
      <c r="H626" s="99"/>
      <c r="I626" s="99"/>
      <c r="J626" s="99"/>
      <c r="K626" s="99"/>
      <c r="L626" s="99"/>
      <c r="M626" s="99"/>
      <c r="N626" s="99"/>
    </row>
    <row r="627" spans="2:14" ht="15.75" hidden="1" customHeight="1">
      <c r="B627" s="99"/>
      <c r="C627" s="99"/>
      <c r="E627" s="99"/>
      <c r="F627" s="99"/>
      <c r="G627" s="99"/>
      <c r="H627" s="99"/>
      <c r="I627" s="99"/>
      <c r="J627" s="99"/>
      <c r="K627" s="99"/>
      <c r="L627" s="99"/>
      <c r="M627" s="99"/>
      <c r="N627" s="99"/>
    </row>
    <row r="628" spans="2:14" ht="15.75" hidden="1" customHeight="1">
      <c r="B628" s="99"/>
      <c r="C628" s="99"/>
      <c r="E628" s="99"/>
      <c r="F628" s="99"/>
      <c r="G628" s="99"/>
      <c r="H628" s="99"/>
      <c r="I628" s="99"/>
      <c r="J628" s="99"/>
      <c r="K628" s="99"/>
      <c r="L628" s="99"/>
      <c r="M628" s="99"/>
      <c r="N628" s="99"/>
    </row>
    <row r="629" spans="2:14" ht="15.75" hidden="1" customHeight="1">
      <c r="B629" s="99"/>
      <c r="C629" s="99"/>
      <c r="E629" s="99"/>
      <c r="F629" s="99"/>
      <c r="G629" s="99"/>
      <c r="H629" s="99"/>
      <c r="I629" s="99"/>
      <c r="J629" s="99"/>
      <c r="K629" s="99"/>
      <c r="L629" s="99"/>
      <c r="M629" s="99"/>
      <c r="N629" s="99"/>
    </row>
    <row r="630" spans="2:14" ht="15.75" hidden="1" customHeight="1">
      <c r="B630" s="99"/>
      <c r="C630" s="99"/>
      <c r="E630" s="99"/>
      <c r="F630" s="99"/>
      <c r="G630" s="99"/>
      <c r="H630" s="99"/>
      <c r="I630" s="99"/>
      <c r="J630" s="99"/>
      <c r="K630" s="99"/>
      <c r="L630" s="99"/>
      <c r="M630" s="99"/>
      <c r="N630" s="99"/>
    </row>
    <row r="631" spans="2:14" ht="15.75" hidden="1" customHeight="1">
      <c r="B631" s="99"/>
      <c r="C631" s="99"/>
      <c r="E631" s="99"/>
      <c r="F631" s="99"/>
      <c r="G631" s="99"/>
      <c r="H631" s="99"/>
      <c r="I631" s="99"/>
      <c r="J631" s="99"/>
      <c r="K631" s="99"/>
      <c r="L631" s="99"/>
      <c r="M631" s="99"/>
      <c r="N631" s="99"/>
    </row>
    <row r="632" spans="2:14" ht="15.75" hidden="1" customHeight="1">
      <c r="B632" s="99"/>
      <c r="C632" s="99"/>
      <c r="E632" s="99"/>
      <c r="F632" s="99"/>
      <c r="G632" s="99"/>
      <c r="H632" s="99"/>
      <c r="I632" s="99"/>
      <c r="J632" s="99"/>
      <c r="K632" s="99"/>
      <c r="L632" s="99"/>
      <c r="M632" s="99"/>
      <c r="N632" s="99"/>
    </row>
    <row r="633" spans="2:14" ht="15.75" hidden="1" customHeight="1">
      <c r="B633" s="99"/>
      <c r="C633" s="99"/>
      <c r="E633" s="99"/>
      <c r="F633" s="99"/>
      <c r="G633" s="99"/>
      <c r="H633" s="99"/>
      <c r="I633" s="99"/>
      <c r="J633" s="99"/>
      <c r="K633" s="99"/>
      <c r="L633" s="99"/>
      <c r="M633" s="99"/>
      <c r="N633" s="99"/>
    </row>
    <row r="634" spans="2:14" ht="15.75" hidden="1" customHeight="1">
      <c r="B634" s="99"/>
      <c r="C634" s="99"/>
      <c r="E634" s="99"/>
      <c r="F634" s="99"/>
      <c r="G634" s="99"/>
      <c r="H634" s="99"/>
      <c r="I634" s="99"/>
      <c r="J634" s="99"/>
      <c r="K634" s="99"/>
      <c r="L634" s="99"/>
      <c r="M634" s="99"/>
      <c r="N634" s="99"/>
    </row>
    <row r="635" spans="2:14" ht="15.75" hidden="1" customHeight="1">
      <c r="B635" s="99"/>
      <c r="C635" s="99"/>
      <c r="E635" s="99"/>
      <c r="F635" s="99"/>
      <c r="G635" s="99"/>
      <c r="H635" s="99"/>
      <c r="I635" s="99"/>
      <c r="J635" s="99"/>
      <c r="K635" s="99"/>
      <c r="L635" s="99"/>
      <c r="M635" s="99"/>
      <c r="N635" s="99"/>
    </row>
    <row r="636" spans="2:14" ht="15.75" hidden="1" customHeight="1">
      <c r="B636" s="99"/>
      <c r="C636" s="99"/>
      <c r="E636" s="99"/>
      <c r="F636" s="99"/>
      <c r="G636" s="99"/>
      <c r="H636" s="99"/>
      <c r="I636" s="99"/>
      <c r="J636" s="99"/>
      <c r="K636" s="99"/>
      <c r="L636" s="99"/>
      <c r="M636" s="99"/>
      <c r="N636" s="99"/>
    </row>
    <row r="637" spans="2:14" ht="15.75" hidden="1" customHeight="1">
      <c r="B637" s="99"/>
      <c r="C637" s="99"/>
      <c r="E637" s="99"/>
      <c r="F637" s="99"/>
      <c r="G637" s="99"/>
      <c r="H637" s="99"/>
      <c r="I637" s="99"/>
      <c r="J637" s="99"/>
      <c r="K637" s="99"/>
      <c r="L637" s="99"/>
      <c r="M637" s="99"/>
      <c r="N637" s="99"/>
    </row>
    <row r="638" spans="2:14" ht="15.75" hidden="1" customHeight="1">
      <c r="B638" s="99"/>
      <c r="C638" s="99"/>
      <c r="E638" s="99"/>
      <c r="F638" s="99"/>
      <c r="G638" s="99"/>
      <c r="H638" s="99"/>
      <c r="I638" s="99"/>
      <c r="J638" s="99"/>
      <c r="K638" s="99"/>
      <c r="L638" s="99"/>
      <c r="M638" s="99"/>
      <c r="N638" s="99"/>
    </row>
    <row r="639" spans="2:14" ht="15.75" hidden="1" customHeight="1">
      <c r="B639" s="99"/>
      <c r="C639" s="99"/>
      <c r="E639" s="99"/>
      <c r="F639" s="99"/>
      <c r="G639" s="99"/>
      <c r="H639" s="99"/>
      <c r="I639" s="99"/>
      <c r="J639" s="99"/>
      <c r="K639" s="99"/>
      <c r="L639" s="99"/>
      <c r="M639" s="99"/>
      <c r="N639" s="99"/>
    </row>
    <row r="640" spans="2:14" ht="15.75" hidden="1" customHeight="1">
      <c r="B640" s="99"/>
      <c r="C640" s="99"/>
      <c r="E640" s="99"/>
      <c r="F640" s="99"/>
      <c r="G640" s="99"/>
      <c r="H640" s="99"/>
      <c r="I640" s="99"/>
      <c r="J640" s="99"/>
      <c r="K640" s="99"/>
      <c r="L640" s="99"/>
      <c r="M640" s="99"/>
      <c r="N640" s="99"/>
    </row>
    <row r="641" spans="2:14" ht="15.75" hidden="1" customHeight="1">
      <c r="B641" s="99"/>
      <c r="C641" s="99"/>
      <c r="E641" s="99"/>
      <c r="F641" s="99"/>
      <c r="G641" s="99"/>
      <c r="H641" s="99"/>
      <c r="I641" s="99"/>
      <c r="J641" s="99"/>
      <c r="K641" s="99"/>
      <c r="L641" s="99"/>
      <c r="M641" s="99"/>
      <c r="N641" s="99"/>
    </row>
    <row r="642" spans="2:14" ht="15.75" hidden="1" customHeight="1">
      <c r="B642" s="99"/>
      <c r="C642" s="99"/>
      <c r="E642" s="99"/>
      <c r="F642" s="99"/>
      <c r="G642" s="99"/>
      <c r="H642" s="99"/>
      <c r="I642" s="99"/>
      <c r="J642" s="99"/>
      <c r="K642" s="99"/>
      <c r="L642" s="99"/>
      <c r="M642" s="99"/>
      <c r="N642" s="99"/>
    </row>
    <row r="643" spans="2:14" ht="15.75" hidden="1" customHeight="1">
      <c r="B643" s="99"/>
      <c r="C643" s="99"/>
      <c r="E643" s="99"/>
      <c r="F643" s="99"/>
      <c r="G643" s="99"/>
      <c r="H643" s="99"/>
      <c r="I643" s="99"/>
      <c r="J643" s="99"/>
      <c r="K643" s="99"/>
      <c r="L643" s="99"/>
      <c r="M643" s="99"/>
      <c r="N643" s="99"/>
    </row>
    <row r="644" spans="2:14" ht="15.75" hidden="1" customHeight="1">
      <c r="B644" s="99"/>
      <c r="C644" s="99"/>
      <c r="E644" s="99"/>
      <c r="F644" s="99"/>
      <c r="G644" s="99"/>
      <c r="H644" s="99"/>
      <c r="I644" s="99"/>
      <c r="J644" s="99"/>
      <c r="K644" s="99"/>
      <c r="L644" s="99"/>
      <c r="M644" s="99"/>
      <c r="N644" s="99"/>
    </row>
    <row r="645" spans="2:14" ht="15.75" hidden="1" customHeight="1">
      <c r="B645" s="99"/>
      <c r="C645" s="99"/>
      <c r="E645" s="99"/>
      <c r="F645" s="99"/>
      <c r="G645" s="99"/>
      <c r="H645" s="99"/>
      <c r="I645" s="99"/>
      <c r="J645" s="99"/>
      <c r="K645" s="99"/>
      <c r="L645" s="99"/>
      <c r="M645" s="99"/>
      <c r="N645" s="99"/>
    </row>
    <row r="646" spans="2:14" ht="15.75" hidden="1" customHeight="1">
      <c r="B646" s="99"/>
      <c r="C646" s="99"/>
      <c r="E646" s="99"/>
      <c r="F646" s="99"/>
      <c r="G646" s="99"/>
      <c r="H646" s="99"/>
      <c r="I646" s="99"/>
      <c r="J646" s="99"/>
      <c r="K646" s="99"/>
      <c r="L646" s="99"/>
      <c r="M646" s="99"/>
      <c r="N646" s="99"/>
    </row>
    <row r="647" spans="2:14" ht="15.75" hidden="1" customHeight="1">
      <c r="B647" s="99"/>
      <c r="C647" s="99"/>
      <c r="E647" s="99"/>
      <c r="F647" s="99"/>
      <c r="G647" s="99"/>
      <c r="H647" s="99"/>
      <c r="I647" s="99"/>
      <c r="J647" s="99"/>
      <c r="K647" s="99"/>
      <c r="L647" s="99"/>
      <c r="M647" s="99"/>
      <c r="N647" s="99"/>
    </row>
    <row r="648" spans="2:14" ht="15.75" hidden="1" customHeight="1">
      <c r="B648" s="99"/>
      <c r="C648" s="99"/>
      <c r="E648" s="99"/>
      <c r="F648" s="99"/>
      <c r="G648" s="99"/>
      <c r="H648" s="99"/>
      <c r="I648" s="99"/>
      <c r="J648" s="99"/>
      <c r="K648" s="99"/>
      <c r="L648" s="99"/>
      <c r="M648" s="99"/>
      <c r="N648" s="99"/>
    </row>
    <row r="649" spans="2:14" ht="15.75" hidden="1" customHeight="1">
      <c r="B649" s="99"/>
      <c r="C649" s="99"/>
      <c r="E649" s="99"/>
      <c r="F649" s="99"/>
      <c r="G649" s="99"/>
      <c r="H649" s="99"/>
      <c r="I649" s="99"/>
      <c r="J649" s="99"/>
      <c r="K649" s="99"/>
      <c r="L649" s="99"/>
      <c r="M649" s="99"/>
      <c r="N649" s="99"/>
    </row>
    <row r="650" spans="2:14" ht="15.75" hidden="1" customHeight="1">
      <c r="B650" s="99"/>
      <c r="C650" s="99"/>
      <c r="E650" s="99"/>
      <c r="F650" s="99"/>
      <c r="G650" s="99"/>
      <c r="H650" s="99"/>
      <c r="I650" s="99"/>
      <c r="J650" s="99"/>
      <c r="K650" s="99"/>
      <c r="L650" s="99"/>
      <c r="M650" s="99"/>
      <c r="N650" s="99"/>
    </row>
    <row r="651" spans="2:14" ht="15.75" hidden="1" customHeight="1">
      <c r="B651" s="99"/>
      <c r="C651" s="99"/>
      <c r="E651" s="99"/>
      <c r="F651" s="99"/>
      <c r="G651" s="99"/>
      <c r="H651" s="99"/>
      <c r="I651" s="99"/>
      <c r="J651" s="99"/>
      <c r="K651" s="99"/>
      <c r="L651" s="99"/>
      <c r="M651" s="99"/>
      <c r="N651" s="99"/>
    </row>
    <row r="652" spans="2:14" ht="15.75" hidden="1" customHeight="1">
      <c r="B652" s="99"/>
      <c r="C652" s="99"/>
      <c r="E652" s="99"/>
      <c r="F652" s="99"/>
      <c r="G652" s="99"/>
      <c r="H652" s="99"/>
      <c r="I652" s="99"/>
      <c r="J652" s="99"/>
      <c r="K652" s="99"/>
      <c r="L652" s="99"/>
      <c r="M652" s="99"/>
      <c r="N652" s="99"/>
    </row>
    <row r="653" spans="2:14" ht="15.75" hidden="1" customHeight="1">
      <c r="B653" s="99"/>
      <c r="C653" s="99"/>
      <c r="E653" s="99"/>
      <c r="F653" s="99"/>
      <c r="G653" s="99"/>
      <c r="H653" s="99"/>
      <c r="I653" s="99"/>
      <c r="J653" s="99"/>
      <c r="K653" s="99"/>
      <c r="L653" s="99"/>
      <c r="M653" s="99"/>
      <c r="N653" s="99"/>
    </row>
    <row r="654" spans="2:14" ht="15.75" hidden="1" customHeight="1">
      <c r="B654" s="99"/>
      <c r="C654" s="99"/>
      <c r="E654" s="99"/>
      <c r="F654" s="99"/>
      <c r="G654" s="99"/>
      <c r="H654" s="99"/>
      <c r="I654" s="99"/>
      <c r="J654" s="99"/>
      <c r="K654" s="99"/>
      <c r="L654" s="99"/>
      <c r="M654" s="99"/>
      <c r="N654" s="99"/>
    </row>
    <row r="655" spans="2:14" ht="15.75" hidden="1" customHeight="1">
      <c r="B655" s="99"/>
      <c r="C655" s="99"/>
      <c r="E655" s="99"/>
      <c r="F655" s="99"/>
      <c r="G655" s="99"/>
      <c r="H655" s="99"/>
      <c r="I655" s="99"/>
      <c r="J655" s="99"/>
      <c r="K655" s="99"/>
      <c r="L655" s="99"/>
      <c r="M655" s="99"/>
      <c r="N655" s="99"/>
    </row>
    <row r="656" spans="2:14" ht="15.75" hidden="1" customHeight="1">
      <c r="B656" s="99"/>
      <c r="C656" s="99"/>
      <c r="E656" s="99"/>
      <c r="F656" s="99"/>
      <c r="G656" s="99"/>
      <c r="H656" s="99"/>
      <c r="I656" s="99"/>
      <c r="J656" s="99"/>
      <c r="K656" s="99"/>
      <c r="L656" s="99"/>
      <c r="M656" s="99"/>
      <c r="N656" s="99"/>
    </row>
    <row r="657" spans="2:14" ht="15.75" hidden="1" customHeight="1">
      <c r="B657" s="99"/>
      <c r="C657" s="99"/>
      <c r="E657" s="99"/>
      <c r="F657" s="99"/>
      <c r="G657" s="99"/>
      <c r="H657" s="99"/>
      <c r="I657" s="99"/>
      <c r="J657" s="99"/>
      <c r="K657" s="99"/>
      <c r="L657" s="99"/>
      <c r="M657" s="99"/>
      <c r="N657" s="99"/>
    </row>
    <row r="658" spans="2:14" ht="15.75" hidden="1" customHeight="1">
      <c r="B658" s="99"/>
      <c r="C658" s="99"/>
      <c r="E658" s="99"/>
      <c r="F658" s="99"/>
      <c r="G658" s="99"/>
      <c r="H658" s="99"/>
      <c r="I658" s="99"/>
      <c r="J658" s="99"/>
      <c r="K658" s="99"/>
      <c r="L658" s="99"/>
      <c r="M658" s="99"/>
      <c r="N658" s="99"/>
    </row>
    <row r="659" spans="2:14" ht="15.75" hidden="1" customHeight="1">
      <c r="B659" s="99"/>
      <c r="C659" s="99"/>
      <c r="E659" s="99"/>
      <c r="F659" s="99"/>
      <c r="G659" s="99"/>
      <c r="H659" s="99"/>
      <c r="I659" s="99"/>
      <c r="J659" s="99"/>
      <c r="K659" s="99"/>
      <c r="L659" s="99"/>
      <c r="M659" s="99"/>
      <c r="N659" s="99"/>
    </row>
    <row r="660" spans="2:14" ht="15.75" hidden="1" customHeight="1">
      <c r="B660" s="99"/>
      <c r="C660" s="99"/>
      <c r="E660" s="99"/>
      <c r="F660" s="99"/>
      <c r="G660" s="99"/>
      <c r="H660" s="99"/>
      <c r="I660" s="99"/>
      <c r="J660" s="99"/>
      <c r="K660" s="99"/>
      <c r="L660" s="99"/>
      <c r="M660" s="99"/>
      <c r="N660" s="99"/>
    </row>
    <row r="661" spans="2:14" ht="15.75" hidden="1" customHeight="1">
      <c r="B661" s="99"/>
      <c r="C661" s="99"/>
      <c r="E661" s="99"/>
      <c r="F661" s="99"/>
      <c r="G661" s="99"/>
      <c r="H661" s="99"/>
      <c r="I661" s="99"/>
      <c r="J661" s="99"/>
      <c r="K661" s="99"/>
      <c r="L661" s="99"/>
      <c r="M661" s="99"/>
      <c r="N661" s="99"/>
    </row>
    <row r="662" spans="2:14" ht="15.75" hidden="1" customHeight="1">
      <c r="B662" s="99"/>
      <c r="C662" s="99"/>
      <c r="E662" s="99"/>
      <c r="F662" s="99"/>
      <c r="G662" s="99"/>
      <c r="H662" s="99"/>
      <c r="I662" s="99"/>
      <c r="J662" s="99"/>
      <c r="K662" s="99"/>
      <c r="L662" s="99"/>
      <c r="M662" s="99"/>
      <c r="N662" s="99"/>
    </row>
    <row r="663" spans="2:14" ht="15.75" hidden="1" customHeight="1">
      <c r="B663" s="99"/>
      <c r="C663" s="99"/>
      <c r="E663" s="99"/>
      <c r="F663" s="99"/>
      <c r="G663" s="99"/>
      <c r="H663" s="99"/>
      <c r="I663" s="99"/>
      <c r="J663" s="99"/>
      <c r="K663" s="99"/>
      <c r="L663" s="99"/>
      <c r="M663" s="99"/>
      <c r="N663" s="99"/>
    </row>
    <row r="664" spans="2:14" ht="15.75" hidden="1" customHeight="1">
      <c r="B664" s="99"/>
      <c r="C664" s="99"/>
      <c r="E664" s="99"/>
      <c r="F664" s="99"/>
      <c r="G664" s="99"/>
      <c r="H664" s="99"/>
      <c r="I664" s="99"/>
      <c r="J664" s="99"/>
      <c r="K664" s="99"/>
      <c r="L664" s="99"/>
      <c r="M664" s="99"/>
      <c r="N664" s="99"/>
    </row>
    <row r="665" spans="2:14" ht="15.75" hidden="1" customHeight="1">
      <c r="B665" s="99"/>
      <c r="C665" s="99"/>
      <c r="E665" s="99"/>
      <c r="F665" s="99"/>
      <c r="G665" s="99"/>
      <c r="H665" s="99"/>
      <c r="I665" s="99"/>
      <c r="J665" s="99"/>
      <c r="K665" s="99"/>
      <c r="L665" s="99"/>
      <c r="M665" s="99"/>
      <c r="N665" s="99"/>
    </row>
    <row r="666" spans="2:14" ht="15.75" hidden="1" customHeight="1">
      <c r="B666" s="99"/>
      <c r="C666" s="99"/>
      <c r="E666" s="99"/>
      <c r="F666" s="99"/>
      <c r="G666" s="99"/>
      <c r="H666" s="99"/>
      <c r="I666" s="99"/>
      <c r="J666" s="99"/>
      <c r="K666" s="99"/>
      <c r="L666" s="99"/>
      <c r="M666" s="99"/>
      <c r="N666" s="99"/>
    </row>
    <row r="667" spans="2:14" ht="15.75" hidden="1" customHeight="1">
      <c r="B667" s="99"/>
      <c r="C667" s="99"/>
      <c r="E667" s="99"/>
      <c r="F667" s="99"/>
      <c r="G667" s="99"/>
      <c r="H667" s="99"/>
      <c r="I667" s="99"/>
      <c r="J667" s="99"/>
      <c r="K667" s="99"/>
      <c r="L667" s="99"/>
      <c r="M667" s="99"/>
      <c r="N667" s="99"/>
    </row>
    <row r="668" spans="2:14" ht="15.75" hidden="1" customHeight="1">
      <c r="B668" s="99"/>
      <c r="C668" s="99"/>
      <c r="E668" s="99"/>
      <c r="F668" s="99"/>
      <c r="G668" s="99"/>
      <c r="H668" s="99"/>
      <c r="I668" s="99"/>
      <c r="J668" s="99"/>
      <c r="K668" s="99"/>
      <c r="L668" s="99"/>
      <c r="M668" s="99"/>
      <c r="N668" s="99"/>
    </row>
    <row r="669" spans="2:14" ht="15.75" hidden="1" customHeight="1">
      <c r="B669" s="99"/>
      <c r="C669" s="99"/>
      <c r="E669" s="99"/>
      <c r="F669" s="99"/>
      <c r="G669" s="99"/>
      <c r="H669" s="99"/>
      <c r="I669" s="99"/>
      <c r="J669" s="99"/>
      <c r="K669" s="99"/>
      <c r="L669" s="99"/>
      <c r="M669" s="99"/>
      <c r="N669" s="99"/>
    </row>
    <row r="670" spans="2:14" ht="15.75" hidden="1" customHeight="1">
      <c r="B670" s="99"/>
      <c r="C670" s="99"/>
      <c r="E670" s="99"/>
      <c r="F670" s="99"/>
      <c r="G670" s="99"/>
      <c r="H670" s="99"/>
      <c r="I670" s="99"/>
      <c r="J670" s="99"/>
      <c r="K670" s="99"/>
      <c r="L670" s="99"/>
      <c r="M670" s="99"/>
      <c r="N670" s="99"/>
    </row>
    <row r="671" spans="2:14" ht="15.75" hidden="1" customHeight="1">
      <c r="B671" s="99"/>
      <c r="C671" s="99"/>
      <c r="E671" s="99"/>
      <c r="F671" s="99"/>
      <c r="G671" s="99"/>
      <c r="H671" s="99"/>
      <c r="I671" s="99"/>
      <c r="J671" s="99"/>
      <c r="K671" s="99"/>
      <c r="L671" s="99"/>
      <c r="M671" s="99"/>
      <c r="N671" s="99"/>
    </row>
    <row r="672" spans="2:14" ht="15.75" hidden="1" customHeight="1">
      <c r="B672" s="99"/>
      <c r="C672" s="99"/>
      <c r="E672" s="99"/>
      <c r="F672" s="99"/>
      <c r="G672" s="99"/>
      <c r="H672" s="99"/>
      <c r="I672" s="99"/>
      <c r="J672" s="99"/>
      <c r="K672" s="99"/>
      <c r="L672" s="99"/>
      <c r="M672" s="99"/>
      <c r="N672" s="99"/>
    </row>
    <row r="673" spans="2:14" ht="15.75" hidden="1" customHeight="1">
      <c r="B673" s="99"/>
      <c r="C673" s="99"/>
      <c r="E673" s="99"/>
      <c r="F673" s="99"/>
      <c r="G673" s="99"/>
      <c r="H673" s="99"/>
      <c r="I673" s="99"/>
      <c r="J673" s="99"/>
      <c r="K673" s="99"/>
      <c r="L673" s="99"/>
      <c r="M673" s="99"/>
      <c r="N673" s="99"/>
    </row>
    <row r="674" spans="2:14" ht="15.75" hidden="1" customHeight="1">
      <c r="B674" s="99"/>
      <c r="C674" s="99"/>
      <c r="E674" s="99"/>
      <c r="F674" s="99"/>
      <c r="G674" s="99"/>
      <c r="H674" s="99"/>
      <c r="I674" s="99"/>
      <c r="J674" s="99"/>
      <c r="K674" s="99"/>
      <c r="L674" s="99"/>
      <c r="M674" s="99"/>
      <c r="N674" s="99"/>
    </row>
    <row r="675" spans="2:14" ht="15.75" hidden="1" customHeight="1">
      <c r="B675" s="99"/>
      <c r="C675" s="99"/>
      <c r="E675" s="99"/>
      <c r="F675" s="99"/>
      <c r="G675" s="99"/>
      <c r="H675" s="99"/>
      <c r="I675" s="99"/>
      <c r="J675" s="99"/>
      <c r="K675" s="99"/>
      <c r="L675" s="99"/>
      <c r="M675" s="99"/>
      <c r="N675" s="99"/>
    </row>
    <row r="676" spans="2:14" ht="15.75" hidden="1" customHeight="1">
      <c r="B676" s="99"/>
      <c r="C676" s="99"/>
      <c r="E676" s="99"/>
      <c r="F676" s="99"/>
      <c r="G676" s="99"/>
      <c r="H676" s="99"/>
      <c r="I676" s="99"/>
      <c r="J676" s="99"/>
      <c r="K676" s="99"/>
      <c r="L676" s="99"/>
      <c r="M676" s="99"/>
      <c r="N676" s="99"/>
    </row>
    <row r="677" spans="2:14" ht="15.75" hidden="1" customHeight="1">
      <c r="B677" s="99"/>
      <c r="C677" s="99"/>
      <c r="E677" s="99"/>
      <c r="F677" s="99"/>
      <c r="G677" s="99"/>
      <c r="H677" s="99"/>
      <c r="I677" s="99"/>
      <c r="J677" s="99"/>
      <c r="K677" s="99"/>
      <c r="L677" s="99"/>
      <c r="M677" s="99"/>
      <c r="N677" s="99"/>
    </row>
    <row r="678" spans="2:14" ht="15.75" hidden="1" customHeight="1">
      <c r="B678" s="99"/>
      <c r="C678" s="99"/>
      <c r="E678" s="99"/>
      <c r="F678" s="99"/>
      <c r="G678" s="99"/>
      <c r="H678" s="99"/>
      <c r="I678" s="99"/>
      <c r="J678" s="99"/>
      <c r="K678" s="99"/>
      <c r="L678" s="99"/>
      <c r="M678" s="99"/>
      <c r="N678" s="99"/>
    </row>
    <row r="679" spans="2:14" ht="15.75" hidden="1" customHeight="1">
      <c r="B679" s="99"/>
      <c r="C679" s="99"/>
      <c r="E679" s="99"/>
      <c r="F679" s="99"/>
      <c r="G679" s="99"/>
      <c r="H679" s="99"/>
      <c r="I679" s="99"/>
      <c r="J679" s="99"/>
      <c r="K679" s="99"/>
      <c r="L679" s="99"/>
      <c r="M679" s="99"/>
      <c r="N679" s="99"/>
    </row>
    <row r="680" spans="2:14" ht="15.75" hidden="1" customHeight="1">
      <c r="B680" s="99"/>
      <c r="C680" s="99"/>
      <c r="E680" s="99"/>
      <c r="F680" s="99"/>
      <c r="G680" s="99"/>
      <c r="H680" s="99"/>
      <c r="I680" s="99"/>
      <c r="J680" s="99"/>
      <c r="K680" s="99"/>
      <c r="L680" s="99"/>
      <c r="M680" s="99"/>
      <c r="N680" s="99"/>
    </row>
    <row r="681" spans="2:14" ht="15.75" hidden="1" customHeight="1">
      <c r="B681" s="99"/>
      <c r="C681" s="99"/>
      <c r="E681" s="99"/>
      <c r="F681" s="99"/>
      <c r="G681" s="99"/>
      <c r="H681" s="99"/>
      <c r="I681" s="99"/>
      <c r="J681" s="99"/>
      <c r="K681" s="99"/>
      <c r="L681" s="99"/>
      <c r="M681" s="99"/>
      <c r="N681" s="99"/>
    </row>
    <row r="682" spans="2:14" ht="15.75" hidden="1" customHeight="1">
      <c r="B682" s="99"/>
      <c r="C682" s="99"/>
      <c r="E682" s="99"/>
      <c r="F682" s="99"/>
      <c r="G682" s="99"/>
      <c r="H682" s="99"/>
      <c r="I682" s="99"/>
      <c r="J682" s="99"/>
      <c r="K682" s="99"/>
      <c r="L682" s="99"/>
      <c r="M682" s="99"/>
      <c r="N682" s="99"/>
    </row>
    <row r="683" spans="2:14" ht="15.75" hidden="1" customHeight="1">
      <c r="B683" s="99"/>
      <c r="C683" s="99"/>
      <c r="E683" s="99"/>
      <c r="F683" s="99"/>
      <c r="G683" s="99"/>
      <c r="H683" s="99"/>
      <c r="I683" s="99"/>
      <c r="J683" s="99"/>
      <c r="K683" s="99"/>
      <c r="L683" s="99"/>
      <c r="M683" s="99"/>
      <c r="N683" s="99"/>
    </row>
    <row r="684" spans="2:14" ht="15.75" hidden="1" customHeight="1">
      <c r="B684" s="99"/>
      <c r="C684" s="99"/>
      <c r="E684" s="99"/>
      <c r="F684" s="99"/>
      <c r="G684" s="99"/>
      <c r="H684" s="99"/>
      <c r="I684" s="99"/>
      <c r="J684" s="99"/>
      <c r="K684" s="99"/>
      <c r="L684" s="99"/>
      <c r="M684" s="99"/>
      <c r="N684" s="99"/>
    </row>
    <row r="685" spans="2:14" ht="15.75" hidden="1" customHeight="1">
      <c r="B685" s="99"/>
      <c r="C685" s="99"/>
      <c r="E685" s="99"/>
      <c r="F685" s="99"/>
      <c r="G685" s="99"/>
      <c r="H685" s="99"/>
      <c r="I685" s="99"/>
      <c r="J685" s="99"/>
      <c r="K685" s="99"/>
      <c r="L685" s="99"/>
      <c r="M685" s="99"/>
      <c r="N685" s="99"/>
    </row>
    <row r="686" spans="2:14" ht="15.75" hidden="1" customHeight="1">
      <c r="B686" s="99"/>
      <c r="C686" s="99"/>
      <c r="E686" s="99"/>
      <c r="F686" s="99"/>
      <c r="G686" s="99"/>
      <c r="H686" s="99"/>
      <c r="I686" s="99"/>
      <c r="J686" s="99"/>
      <c r="K686" s="99"/>
      <c r="L686" s="99"/>
      <c r="M686" s="99"/>
      <c r="N686" s="99"/>
    </row>
    <row r="687" spans="2:14" ht="15.75" hidden="1" customHeight="1">
      <c r="B687" s="99"/>
      <c r="C687" s="99"/>
      <c r="E687" s="99"/>
      <c r="F687" s="99"/>
      <c r="G687" s="99"/>
      <c r="H687" s="99"/>
      <c r="I687" s="99"/>
      <c r="J687" s="99"/>
      <c r="K687" s="99"/>
      <c r="L687" s="99"/>
      <c r="M687" s="99"/>
      <c r="N687" s="99"/>
    </row>
    <row r="688" spans="2:14" ht="15.75" hidden="1" customHeight="1">
      <c r="B688" s="99"/>
      <c r="C688" s="99"/>
      <c r="E688" s="99"/>
      <c r="F688" s="99"/>
      <c r="G688" s="99"/>
      <c r="H688" s="99"/>
      <c r="I688" s="99"/>
      <c r="J688" s="99"/>
      <c r="K688" s="99"/>
      <c r="L688" s="99"/>
      <c r="M688" s="99"/>
      <c r="N688" s="99"/>
    </row>
    <row r="689" spans="2:14" ht="15.75" hidden="1" customHeight="1">
      <c r="B689" s="99"/>
      <c r="C689" s="99"/>
      <c r="E689" s="99"/>
      <c r="F689" s="99"/>
      <c r="G689" s="99"/>
      <c r="H689" s="99"/>
      <c r="I689" s="99"/>
      <c r="J689" s="99"/>
      <c r="K689" s="99"/>
      <c r="L689" s="99"/>
      <c r="M689" s="99"/>
      <c r="N689" s="99"/>
    </row>
    <row r="690" spans="2:14" ht="15.75" hidden="1" customHeight="1">
      <c r="B690" s="99"/>
      <c r="C690" s="99"/>
      <c r="E690" s="99"/>
      <c r="F690" s="99"/>
      <c r="G690" s="99"/>
      <c r="H690" s="99"/>
      <c r="I690" s="99"/>
      <c r="J690" s="99"/>
      <c r="K690" s="99"/>
      <c r="L690" s="99"/>
      <c r="M690" s="99"/>
      <c r="N690" s="99"/>
    </row>
    <row r="691" spans="2:14" ht="15.75" hidden="1" customHeight="1">
      <c r="B691" s="99"/>
      <c r="C691" s="99"/>
      <c r="E691" s="99"/>
      <c r="F691" s="99"/>
      <c r="G691" s="99"/>
      <c r="H691" s="99"/>
      <c r="I691" s="99"/>
      <c r="J691" s="99"/>
      <c r="K691" s="99"/>
      <c r="L691" s="99"/>
      <c r="M691" s="99"/>
      <c r="N691" s="99"/>
    </row>
    <row r="692" spans="2:14" ht="15.75" hidden="1" customHeight="1">
      <c r="B692" s="99"/>
      <c r="C692" s="99"/>
      <c r="E692" s="99"/>
      <c r="F692" s="99"/>
      <c r="G692" s="99"/>
      <c r="H692" s="99"/>
      <c r="I692" s="99"/>
      <c r="J692" s="99"/>
      <c r="K692" s="99"/>
      <c r="L692" s="99"/>
      <c r="M692" s="99"/>
      <c r="N692" s="99"/>
    </row>
    <row r="693" spans="2:14" ht="15.75" hidden="1" customHeight="1">
      <c r="B693" s="99"/>
      <c r="C693" s="99"/>
      <c r="E693" s="99"/>
      <c r="F693" s="99"/>
      <c r="G693" s="99"/>
      <c r="H693" s="99"/>
      <c r="I693" s="99"/>
      <c r="J693" s="99"/>
      <c r="K693" s="99"/>
      <c r="L693" s="99"/>
      <c r="M693" s="99"/>
      <c r="N693" s="99"/>
    </row>
    <row r="694" spans="2:14" ht="15.75" hidden="1" customHeight="1">
      <c r="B694" s="99"/>
      <c r="C694" s="99"/>
      <c r="E694" s="99"/>
      <c r="F694" s="99"/>
      <c r="G694" s="99"/>
      <c r="H694" s="99"/>
      <c r="I694" s="99"/>
      <c r="J694" s="99"/>
      <c r="K694" s="99"/>
      <c r="L694" s="99"/>
      <c r="M694" s="99"/>
      <c r="N694" s="99"/>
    </row>
    <row r="695" spans="2:14" ht="15.75" hidden="1" customHeight="1">
      <c r="B695" s="99"/>
      <c r="C695" s="99"/>
      <c r="E695" s="99"/>
      <c r="F695" s="99"/>
      <c r="G695" s="99"/>
      <c r="H695" s="99"/>
      <c r="I695" s="99"/>
      <c r="J695" s="99"/>
      <c r="K695" s="99"/>
      <c r="L695" s="99"/>
      <c r="M695" s="99"/>
      <c r="N695" s="99"/>
    </row>
    <row r="696" spans="2:14" ht="15.75" hidden="1" customHeight="1">
      <c r="B696" s="99"/>
      <c r="C696" s="99"/>
      <c r="E696" s="99"/>
      <c r="F696" s="99"/>
      <c r="G696" s="99"/>
      <c r="H696" s="99"/>
      <c r="I696" s="99"/>
      <c r="J696" s="99"/>
      <c r="K696" s="99"/>
      <c r="L696" s="99"/>
      <c r="M696" s="99"/>
      <c r="N696" s="99"/>
    </row>
    <row r="697" spans="2:14" ht="15.75" hidden="1" customHeight="1">
      <c r="B697" s="99"/>
      <c r="C697" s="99"/>
      <c r="E697" s="99"/>
      <c r="F697" s="99"/>
      <c r="G697" s="99"/>
      <c r="H697" s="99"/>
      <c r="I697" s="99"/>
      <c r="J697" s="99"/>
      <c r="K697" s="99"/>
      <c r="L697" s="99"/>
      <c r="M697" s="99"/>
      <c r="N697" s="99"/>
    </row>
    <row r="698" spans="2:14" ht="15.75" hidden="1" customHeight="1">
      <c r="B698" s="99"/>
      <c r="C698" s="99"/>
      <c r="E698" s="99"/>
      <c r="F698" s="99"/>
      <c r="G698" s="99"/>
      <c r="H698" s="99"/>
      <c r="I698" s="99"/>
      <c r="J698" s="99"/>
      <c r="K698" s="99"/>
      <c r="L698" s="99"/>
      <c r="M698" s="99"/>
      <c r="N698" s="99"/>
    </row>
    <row r="699" spans="2:14" ht="15.75" hidden="1" customHeight="1">
      <c r="B699" s="99"/>
      <c r="C699" s="99"/>
      <c r="E699" s="99"/>
      <c r="F699" s="99"/>
      <c r="G699" s="99"/>
      <c r="H699" s="99"/>
      <c r="I699" s="99"/>
      <c r="J699" s="99"/>
      <c r="K699" s="99"/>
      <c r="L699" s="99"/>
      <c r="M699" s="99"/>
      <c r="N699" s="99"/>
    </row>
    <row r="700" spans="2:14" ht="15.75" hidden="1" customHeight="1">
      <c r="B700" s="99"/>
      <c r="C700" s="99"/>
      <c r="E700" s="99"/>
      <c r="F700" s="99"/>
      <c r="G700" s="99"/>
      <c r="H700" s="99"/>
      <c r="I700" s="99"/>
      <c r="J700" s="99"/>
      <c r="K700" s="99"/>
      <c r="L700" s="99"/>
      <c r="M700" s="99"/>
      <c r="N700" s="99"/>
    </row>
    <row r="701" spans="2:14" ht="15.75" hidden="1" customHeight="1">
      <c r="B701" s="99"/>
      <c r="C701" s="99"/>
      <c r="E701" s="99"/>
      <c r="F701" s="99"/>
      <c r="G701" s="99"/>
      <c r="H701" s="99"/>
      <c r="I701" s="99"/>
      <c r="J701" s="99"/>
      <c r="K701" s="99"/>
      <c r="L701" s="99"/>
      <c r="M701" s="99"/>
      <c r="N701" s="99"/>
    </row>
    <row r="702" spans="2:14" ht="15.75" hidden="1" customHeight="1">
      <c r="B702" s="99"/>
      <c r="C702" s="99"/>
      <c r="E702" s="99"/>
      <c r="F702" s="99"/>
      <c r="G702" s="99"/>
      <c r="H702" s="99"/>
      <c r="I702" s="99"/>
      <c r="J702" s="99"/>
      <c r="K702" s="99"/>
      <c r="L702" s="99"/>
      <c r="M702" s="99"/>
      <c r="N702" s="99"/>
    </row>
    <row r="703" spans="2:14" ht="15.75" hidden="1" customHeight="1">
      <c r="B703" s="99"/>
      <c r="C703" s="99"/>
      <c r="E703" s="99"/>
      <c r="F703" s="99"/>
      <c r="G703" s="99"/>
      <c r="H703" s="99"/>
      <c r="I703" s="99"/>
      <c r="J703" s="99"/>
      <c r="K703" s="99"/>
      <c r="L703" s="99"/>
      <c r="M703" s="99"/>
      <c r="N703" s="99"/>
    </row>
    <row r="704" spans="2:14" ht="15.75" hidden="1" customHeight="1">
      <c r="B704" s="99"/>
      <c r="C704" s="99"/>
      <c r="E704" s="99"/>
      <c r="F704" s="99"/>
      <c r="G704" s="99"/>
      <c r="H704" s="99"/>
      <c r="I704" s="99"/>
      <c r="J704" s="99"/>
      <c r="K704" s="99"/>
      <c r="L704" s="99"/>
      <c r="M704" s="99"/>
      <c r="N704" s="99"/>
    </row>
    <row r="705" spans="2:14" ht="15.75" hidden="1" customHeight="1">
      <c r="B705" s="99"/>
      <c r="C705" s="99"/>
      <c r="E705" s="99"/>
      <c r="F705" s="99"/>
      <c r="G705" s="99"/>
      <c r="H705" s="99"/>
      <c r="I705" s="99"/>
      <c r="J705" s="99"/>
      <c r="K705" s="99"/>
      <c r="L705" s="99"/>
      <c r="M705" s="99"/>
      <c r="N705" s="99"/>
    </row>
    <row r="706" spans="2:14" ht="15.75" hidden="1" customHeight="1">
      <c r="B706" s="99"/>
      <c r="C706" s="99"/>
      <c r="E706" s="99"/>
      <c r="F706" s="99"/>
      <c r="G706" s="99"/>
      <c r="H706" s="99"/>
      <c r="I706" s="99"/>
      <c r="J706" s="99"/>
      <c r="K706" s="99"/>
      <c r="L706" s="99"/>
      <c r="M706" s="99"/>
      <c r="N706" s="99"/>
    </row>
    <row r="707" spans="2:14" ht="15.75" hidden="1" customHeight="1">
      <c r="B707" s="99"/>
      <c r="C707" s="99"/>
      <c r="E707" s="99"/>
      <c r="F707" s="99"/>
      <c r="G707" s="99"/>
      <c r="H707" s="99"/>
      <c r="I707" s="99"/>
      <c r="J707" s="99"/>
      <c r="K707" s="99"/>
      <c r="L707" s="99"/>
      <c r="M707" s="99"/>
      <c r="N707" s="99"/>
    </row>
    <row r="708" spans="2:14" ht="15.75" hidden="1" customHeight="1">
      <c r="B708" s="99"/>
      <c r="C708" s="99"/>
      <c r="E708" s="99"/>
      <c r="F708" s="99"/>
      <c r="G708" s="99"/>
      <c r="H708" s="99"/>
      <c r="I708" s="99"/>
      <c r="J708" s="99"/>
      <c r="K708" s="99"/>
      <c r="L708" s="99"/>
      <c r="M708" s="99"/>
      <c r="N708" s="99"/>
    </row>
    <row r="709" spans="2:14" ht="15.75" hidden="1" customHeight="1">
      <c r="B709" s="99"/>
      <c r="C709" s="99"/>
      <c r="E709" s="99"/>
      <c r="F709" s="99"/>
      <c r="G709" s="99"/>
      <c r="H709" s="99"/>
      <c r="I709" s="99"/>
      <c r="J709" s="99"/>
      <c r="K709" s="99"/>
      <c r="L709" s="99"/>
      <c r="M709" s="99"/>
      <c r="N709" s="99"/>
    </row>
    <row r="710" spans="2:14" ht="15.75" hidden="1" customHeight="1">
      <c r="B710" s="99"/>
      <c r="C710" s="99"/>
      <c r="E710" s="99"/>
      <c r="F710" s="99"/>
      <c r="G710" s="99"/>
      <c r="H710" s="99"/>
      <c r="I710" s="99"/>
      <c r="J710" s="99"/>
      <c r="K710" s="99"/>
      <c r="L710" s="99"/>
      <c r="M710" s="99"/>
      <c r="N710" s="99"/>
    </row>
    <row r="711" spans="2:14" ht="15.75" hidden="1" customHeight="1">
      <c r="B711" s="99"/>
      <c r="C711" s="99"/>
      <c r="E711" s="99"/>
      <c r="F711" s="99"/>
      <c r="G711" s="99"/>
      <c r="H711" s="99"/>
      <c r="I711" s="99"/>
      <c r="J711" s="99"/>
      <c r="K711" s="99"/>
      <c r="L711" s="99"/>
      <c r="M711" s="99"/>
      <c r="N711" s="99"/>
    </row>
    <row r="712" spans="2:14" ht="15.75" hidden="1" customHeight="1">
      <c r="B712" s="99"/>
      <c r="C712" s="99"/>
      <c r="E712" s="99"/>
      <c r="F712" s="99"/>
      <c r="G712" s="99"/>
      <c r="H712" s="99"/>
      <c r="I712" s="99"/>
      <c r="J712" s="99"/>
      <c r="K712" s="99"/>
      <c r="L712" s="99"/>
      <c r="M712" s="99"/>
      <c r="N712" s="99"/>
    </row>
    <row r="713" spans="2:14" ht="15.75" hidden="1" customHeight="1">
      <c r="B713" s="99"/>
      <c r="C713" s="99"/>
      <c r="E713" s="99"/>
      <c r="F713" s="99"/>
      <c r="G713" s="99"/>
      <c r="H713" s="99"/>
      <c r="I713" s="99"/>
      <c r="J713" s="99"/>
      <c r="K713" s="99"/>
      <c r="L713" s="99"/>
      <c r="M713" s="99"/>
      <c r="N713" s="99"/>
    </row>
    <row r="714" spans="2:14" ht="15.75" hidden="1" customHeight="1">
      <c r="B714" s="99"/>
      <c r="C714" s="99"/>
      <c r="E714" s="99"/>
      <c r="F714" s="99"/>
      <c r="G714" s="99"/>
      <c r="H714" s="99"/>
      <c r="I714" s="99"/>
      <c r="J714" s="99"/>
      <c r="K714" s="99"/>
      <c r="L714" s="99"/>
      <c r="M714" s="99"/>
      <c r="N714" s="99"/>
    </row>
    <row r="715" spans="2:14" ht="15.75" hidden="1" customHeight="1">
      <c r="B715" s="99"/>
      <c r="C715" s="99"/>
      <c r="E715" s="99"/>
      <c r="F715" s="99"/>
      <c r="G715" s="99"/>
      <c r="H715" s="99"/>
      <c r="I715" s="99"/>
      <c r="J715" s="99"/>
      <c r="K715" s="99"/>
      <c r="L715" s="99"/>
      <c r="M715" s="99"/>
      <c r="N715" s="99"/>
    </row>
    <row r="716" spans="2:14" ht="15.75" hidden="1" customHeight="1">
      <c r="B716" s="99"/>
      <c r="C716" s="99"/>
      <c r="E716" s="99"/>
      <c r="F716" s="99"/>
      <c r="G716" s="99"/>
      <c r="H716" s="99"/>
      <c r="I716" s="99"/>
      <c r="J716" s="99"/>
      <c r="K716" s="99"/>
      <c r="L716" s="99"/>
      <c r="M716" s="99"/>
      <c r="N716" s="99"/>
    </row>
    <row r="717" spans="2:14" ht="15.75" hidden="1" customHeight="1">
      <c r="B717" s="99"/>
      <c r="C717" s="99"/>
      <c r="E717" s="99"/>
      <c r="F717" s="99"/>
      <c r="G717" s="99"/>
      <c r="H717" s="99"/>
      <c r="I717" s="99"/>
      <c r="J717" s="99"/>
      <c r="K717" s="99"/>
      <c r="L717" s="99"/>
      <c r="M717" s="99"/>
      <c r="N717" s="99"/>
    </row>
    <row r="718" spans="2:14" ht="15.75" hidden="1" customHeight="1">
      <c r="B718" s="99"/>
      <c r="C718" s="99"/>
      <c r="E718" s="99"/>
      <c r="F718" s="99"/>
      <c r="G718" s="99"/>
      <c r="H718" s="99"/>
      <c r="I718" s="99"/>
      <c r="J718" s="99"/>
      <c r="K718" s="99"/>
      <c r="L718" s="99"/>
      <c r="M718" s="99"/>
      <c r="N718" s="99"/>
    </row>
    <row r="719" spans="2:14" ht="15.75" hidden="1" customHeight="1">
      <c r="B719" s="99"/>
      <c r="C719" s="99"/>
      <c r="E719" s="99"/>
      <c r="F719" s="99"/>
      <c r="G719" s="99"/>
      <c r="H719" s="99"/>
      <c r="I719" s="99"/>
      <c r="J719" s="99"/>
      <c r="K719" s="99"/>
      <c r="L719" s="99"/>
      <c r="M719" s="99"/>
      <c r="N719" s="99"/>
    </row>
    <row r="720" spans="2:14" ht="15.75" hidden="1" customHeight="1">
      <c r="B720" s="99"/>
      <c r="C720" s="99"/>
      <c r="E720" s="99"/>
      <c r="F720" s="99"/>
      <c r="G720" s="99"/>
      <c r="H720" s="99"/>
      <c r="I720" s="99"/>
      <c r="J720" s="99"/>
      <c r="K720" s="99"/>
      <c r="L720" s="99"/>
      <c r="M720" s="99"/>
      <c r="N720" s="99"/>
    </row>
    <row r="721" spans="2:14" ht="15.75" hidden="1" customHeight="1">
      <c r="B721" s="99"/>
      <c r="C721" s="99"/>
      <c r="E721" s="99"/>
      <c r="F721" s="99"/>
      <c r="G721" s="99"/>
      <c r="H721" s="99"/>
      <c r="I721" s="99"/>
      <c r="J721" s="99"/>
      <c r="K721" s="99"/>
      <c r="L721" s="99"/>
      <c r="M721" s="99"/>
      <c r="N721" s="99"/>
    </row>
    <row r="722" spans="2:14" ht="15.75" hidden="1" customHeight="1">
      <c r="B722" s="99"/>
      <c r="C722" s="99"/>
      <c r="E722" s="99"/>
      <c r="F722" s="99"/>
      <c r="G722" s="99"/>
      <c r="H722" s="99"/>
      <c r="I722" s="99"/>
      <c r="J722" s="99"/>
      <c r="K722" s="99"/>
      <c r="L722" s="99"/>
      <c r="M722" s="99"/>
      <c r="N722" s="99"/>
    </row>
    <row r="723" spans="2:14" ht="15.75" hidden="1" customHeight="1">
      <c r="B723" s="99"/>
      <c r="C723" s="99"/>
      <c r="E723" s="99"/>
      <c r="F723" s="99"/>
      <c r="G723" s="99"/>
      <c r="H723" s="99"/>
      <c r="I723" s="99"/>
      <c r="J723" s="99"/>
      <c r="K723" s="99"/>
      <c r="L723" s="99"/>
      <c r="M723" s="99"/>
      <c r="N723" s="99"/>
    </row>
    <row r="724" spans="2:14" ht="15.75" hidden="1" customHeight="1">
      <c r="B724" s="99"/>
      <c r="C724" s="99"/>
      <c r="E724" s="99"/>
      <c r="F724" s="99"/>
      <c r="G724" s="99"/>
      <c r="H724" s="99"/>
      <c r="I724" s="99"/>
      <c r="J724" s="99"/>
      <c r="K724" s="99"/>
      <c r="L724" s="99"/>
      <c r="M724" s="99"/>
      <c r="N724" s="99"/>
    </row>
    <row r="725" spans="2:14" ht="15.75" hidden="1" customHeight="1">
      <c r="B725" s="99"/>
      <c r="C725" s="99"/>
      <c r="E725" s="99"/>
      <c r="F725" s="99"/>
      <c r="G725" s="99"/>
      <c r="H725" s="99"/>
      <c r="I725" s="99"/>
      <c r="J725" s="99"/>
      <c r="K725" s="99"/>
      <c r="L725" s="99"/>
      <c r="M725" s="99"/>
      <c r="N725" s="99"/>
    </row>
    <row r="726" spans="2:14" ht="15.75" hidden="1" customHeight="1">
      <c r="B726" s="99"/>
      <c r="C726" s="99"/>
      <c r="E726" s="99"/>
      <c r="F726" s="99"/>
      <c r="G726" s="99"/>
      <c r="H726" s="99"/>
      <c r="I726" s="99"/>
      <c r="J726" s="99"/>
      <c r="K726" s="99"/>
      <c r="L726" s="99"/>
      <c r="M726" s="99"/>
      <c r="N726" s="99"/>
    </row>
    <row r="727" spans="2:14" ht="15.75" hidden="1" customHeight="1">
      <c r="B727" s="99"/>
      <c r="C727" s="99"/>
      <c r="E727" s="99"/>
      <c r="F727" s="99"/>
      <c r="G727" s="99"/>
      <c r="H727" s="99"/>
      <c r="I727" s="99"/>
      <c r="J727" s="99"/>
      <c r="K727" s="99"/>
      <c r="L727" s="99"/>
      <c r="M727" s="99"/>
      <c r="N727" s="99"/>
    </row>
    <row r="728" spans="2:14" ht="15.75" hidden="1" customHeight="1">
      <c r="B728" s="99"/>
      <c r="C728" s="99"/>
      <c r="E728" s="99"/>
      <c r="F728" s="99"/>
      <c r="G728" s="99"/>
      <c r="H728" s="99"/>
      <c r="I728" s="99"/>
      <c r="J728" s="99"/>
      <c r="K728" s="99"/>
      <c r="L728" s="99"/>
      <c r="M728" s="99"/>
      <c r="N728" s="99"/>
    </row>
    <row r="729" spans="2:14" ht="15.75" hidden="1" customHeight="1">
      <c r="B729" s="99"/>
      <c r="C729" s="99"/>
      <c r="E729" s="99"/>
      <c r="F729" s="99"/>
      <c r="G729" s="99"/>
      <c r="H729" s="99"/>
      <c r="I729" s="99"/>
      <c r="J729" s="99"/>
      <c r="K729" s="99"/>
      <c r="L729" s="99"/>
      <c r="M729" s="99"/>
      <c r="N729" s="99"/>
    </row>
    <row r="730" spans="2:14" ht="15.75" hidden="1" customHeight="1">
      <c r="B730" s="99"/>
      <c r="C730" s="99"/>
      <c r="E730" s="99"/>
      <c r="F730" s="99"/>
      <c r="G730" s="99"/>
      <c r="H730" s="99"/>
      <c r="I730" s="99"/>
      <c r="J730" s="99"/>
      <c r="K730" s="99"/>
      <c r="L730" s="99"/>
      <c r="M730" s="99"/>
      <c r="N730" s="99"/>
    </row>
    <row r="731" spans="2:14" ht="15.75" hidden="1" customHeight="1">
      <c r="B731" s="99"/>
      <c r="C731" s="99"/>
      <c r="E731" s="99"/>
      <c r="F731" s="99"/>
      <c r="G731" s="99"/>
      <c r="H731" s="99"/>
      <c r="I731" s="99"/>
      <c r="J731" s="99"/>
      <c r="K731" s="99"/>
      <c r="L731" s="99"/>
      <c r="M731" s="99"/>
      <c r="N731" s="99"/>
    </row>
    <row r="732" spans="2:14" ht="15.75" hidden="1" customHeight="1">
      <c r="B732" s="99"/>
      <c r="C732" s="99"/>
      <c r="E732" s="99"/>
      <c r="F732" s="99"/>
      <c r="G732" s="99"/>
      <c r="H732" s="99"/>
      <c r="I732" s="99"/>
      <c r="J732" s="99"/>
      <c r="K732" s="99"/>
      <c r="L732" s="99"/>
      <c r="M732" s="99"/>
      <c r="N732" s="99"/>
    </row>
    <row r="733" spans="2:14" ht="15.75" hidden="1" customHeight="1">
      <c r="B733" s="99"/>
      <c r="C733" s="99"/>
      <c r="E733" s="99"/>
      <c r="F733" s="99"/>
      <c r="G733" s="99"/>
      <c r="H733" s="99"/>
      <c r="I733" s="99"/>
      <c r="J733" s="99"/>
      <c r="K733" s="99"/>
      <c r="L733" s="99"/>
      <c r="M733" s="99"/>
      <c r="N733" s="99"/>
    </row>
    <row r="734" spans="2:14" ht="15.75" hidden="1" customHeight="1">
      <c r="B734" s="99"/>
      <c r="C734" s="99"/>
      <c r="E734" s="99"/>
      <c r="F734" s="99"/>
      <c r="G734" s="99"/>
      <c r="H734" s="99"/>
      <c r="I734" s="99"/>
      <c r="J734" s="99"/>
      <c r="K734" s="99"/>
      <c r="L734" s="99"/>
      <c r="M734" s="99"/>
      <c r="N734" s="99"/>
    </row>
    <row r="735" spans="2:14" ht="15.75" hidden="1" customHeight="1">
      <c r="B735" s="99"/>
      <c r="C735" s="99"/>
      <c r="E735" s="99"/>
      <c r="F735" s="99"/>
      <c r="G735" s="99"/>
      <c r="H735" s="99"/>
      <c r="I735" s="99"/>
      <c r="J735" s="99"/>
      <c r="K735" s="99"/>
      <c r="L735" s="99"/>
      <c r="M735" s="99"/>
      <c r="N735" s="99"/>
    </row>
    <row r="736" spans="2:14" ht="15.75" hidden="1" customHeight="1">
      <c r="B736" s="99"/>
      <c r="C736" s="99"/>
      <c r="E736" s="99"/>
      <c r="F736" s="99"/>
      <c r="G736" s="99"/>
      <c r="H736" s="99"/>
      <c r="I736" s="99"/>
      <c r="J736" s="99"/>
      <c r="K736" s="99"/>
      <c r="L736" s="99"/>
      <c r="M736" s="99"/>
      <c r="N736" s="99"/>
    </row>
    <row r="737" spans="2:14" ht="15.75" hidden="1" customHeight="1">
      <c r="B737" s="99"/>
      <c r="C737" s="99"/>
      <c r="E737" s="99"/>
      <c r="F737" s="99"/>
      <c r="G737" s="99"/>
      <c r="H737" s="99"/>
      <c r="I737" s="99"/>
      <c r="J737" s="99"/>
      <c r="K737" s="99"/>
      <c r="L737" s="99"/>
      <c r="M737" s="99"/>
      <c r="N737" s="99"/>
    </row>
    <row r="738" spans="2:14" ht="15.75" hidden="1" customHeight="1">
      <c r="B738" s="99"/>
      <c r="C738" s="99"/>
      <c r="E738" s="99"/>
      <c r="F738" s="99"/>
      <c r="G738" s="99"/>
      <c r="H738" s="99"/>
      <c r="I738" s="99"/>
      <c r="J738" s="99"/>
      <c r="K738" s="99"/>
      <c r="L738" s="99"/>
      <c r="M738" s="99"/>
      <c r="N738" s="99"/>
    </row>
    <row r="739" spans="2:14" ht="15.75" hidden="1" customHeight="1">
      <c r="B739" s="99"/>
      <c r="C739" s="99"/>
      <c r="E739" s="99"/>
      <c r="F739" s="99"/>
      <c r="G739" s="99"/>
      <c r="H739" s="99"/>
      <c r="I739" s="99"/>
      <c r="J739" s="99"/>
      <c r="K739" s="99"/>
      <c r="L739" s="99"/>
      <c r="M739" s="99"/>
      <c r="N739" s="99"/>
    </row>
    <row r="740" spans="2:14" ht="15.75" hidden="1" customHeight="1">
      <c r="B740" s="99"/>
      <c r="C740" s="99"/>
      <c r="E740" s="99"/>
      <c r="F740" s="99"/>
      <c r="G740" s="99"/>
      <c r="H740" s="99"/>
      <c r="I740" s="99"/>
      <c r="J740" s="99"/>
      <c r="K740" s="99"/>
      <c r="L740" s="99"/>
      <c r="M740" s="99"/>
      <c r="N740" s="99"/>
    </row>
    <row r="741" spans="2:14" ht="15.75" hidden="1" customHeight="1">
      <c r="B741" s="99"/>
      <c r="C741" s="99"/>
      <c r="E741" s="99"/>
      <c r="F741" s="99"/>
      <c r="G741" s="99"/>
      <c r="H741" s="99"/>
      <c r="I741" s="99"/>
      <c r="J741" s="99"/>
      <c r="K741" s="99"/>
      <c r="L741" s="99"/>
      <c r="M741" s="99"/>
      <c r="N741" s="99"/>
    </row>
    <row r="742" spans="2:14" ht="15.75" hidden="1" customHeight="1">
      <c r="B742" s="99"/>
      <c r="C742" s="99"/>
      <c r="E742" s="99"/>
      <c r="F742" s="99"/>
      <c r="G742" s="99"/>
      <c r="H742" s="99"/>
      <c r="I742" s="99"/>
      <c r="J742" s="99"/>
      <c r="K742" s="99"/>
      <c r="L742" s="99"/>
      <c r="M742" s="99"/>
      <c r="N742" s="99"/>
    </row>
    <row r="743" spans="2:14" ht="15.75" hidden="1" customHeight="1">
      <c r="B743" s="99"/>
      <c r="C743" s="99"/>
      <c r="E743" s="99"/>
      <c r="F743" s="99"/>
      <c r="G743" s="99"/>
      <c r="H743" s="99"/>
      <c r="I743" s="99"/>
      <c r="J743" s="99"/>
      <c r="K743" s="99"/>
      <c r="L743" s="99"/>
      <c r="M743" s="99"/>
      <c r="N743" s="99"/>
    </row>
    <row r="744" spans="2:14" ht="15.75" hidden="1" customHeight="1">
      <c r="B744" s="99"/>
      <c r="C744" s="99"/>
      <c r="E744" s="99"/>
      <c r="F744" s="99"/>
      <c r="G744" s="99"/>
      <c r="H744" s="99"/>
      <c r="I744" s="99"/>
      <c r="J744" s="99"/>
      <c r="K744" s="99"/>
      <c r="L744" s="99"/>
      <c r="M744" s="99"/>
      <c r="N744" s="99"/>
    </row>
    <row r="745" spans="2:14" ht="15.75" hidden="1" customHeight="1">
      <c r="B745" s="99"/>
      <c r="C745" s="99"/>
      <c r="E745" s="99"/>
      <c r="F745" s="99"/>
      <c r="G745" s="99"/>
      <c r="H745" s="99"/>
      <c r="I745" s="99"/>
      <c r="J745" s="99"/>
      <c r="K745" s="99"/>
      <c r="L745" s="99"/>
      <c r="M745" s="99"/>
      <c r="N745" s="99"/>
    </row>
    <row r="746" spans="2:14" ht="15.75" hidden="1" customHeight="1">
      <c r="B746" s="99"/>
      <c r="C746" s="99"/>
      <c r="E746" s="99"/>
      <c r="F746" s="99"/>
      <c r="G746" s="99"/>
      <c r="H746" s="99"/>
      <c r="I746" s="99"/>
      <c r="J746" s="99"/>
      <c r="K746" s="99"/>
      <c r="L746" s="99"/>
      <c r="M746" s="99"/>
      <c r="N746" s="99"/>
    </row>
    <row r="747" spans="2:14" ht="15.75" hidden="1" customHeight="1">
      <c r="B747" s="99"/>
      <c r="C747" s="99"/>
      <c r="E747" s="99"/>
      <c r="F747" s="99"/>
      <c r="G747" s="99"/>
      <c r="H747" s="99"/>
      <c r="I747" s="99"/>
      <c r="J747" s="99"/>
      <c r="K747" s="99"/>
      <c r="L747" s="99"/>
      <c r="M747" s="99"/>
      <c r="N747" s="99"/>
    </row>
    <row r="748" spans="2:14" ht="15.75" hidden="1" customHeight="1">
      <c r="B748" s="99"/>
      <c r="C748" s="99"/>
      <c r="E748" s="99"/>
      <c r="F748" s="99"/>
      <c r="G748" s="99"/>
      <c r="H748" s="99"/>
      <c r="I748" s="99"/>
      <c r="J748" s="99"/>
      <c r="K748" s="99"/>
      <c r="L748" s="99"/>
      <c r="M748" s="99"/>
      <c r="N748" s="99"/>
    </row>
    <row r="749" spans="2:14" ht="15.75" hidden="1" customHeight="1">
      <c r="B749" s="99"/>
      <c r="C749" s="99"/>
      <c r="E749" s="99"/>
      <c r="F749" s="99"/>
      <c r="G749" s="99"/>
      <c r="H749" s="99"/>
      <c r="I749" s="99"/>
      <c r="J749" s="99"/>
      <c r="K749" s="99"/>
      <c r="L749" s="99"/>
      <c r="M749" s="99"/>
      <c r="N749" s="99"/>
    </row>
    <row r="750" spans="2:14" ht="15.75" hidden="1" customHeight="1">
      <c r="B750" s="99"/>
      <c r="C750" s="99"/>
      <c r="E750" s="99"/>
      <c r="F750" s="99"/>
      <c r="G750" s="99"/>
      <c r="H750" s="99"/>
      <c r="I750" s="99"/>
      <c r="J750" s="99"/>
      <c r="K750" s="99"/>
      <c r="L750" s="99"/>
      <c r="M750" s="99"/>
      <c r="N750" s="99"/>
    </row>
    <row r="751" spans="2:14" ht="15.75" hidden="1" customHeight="1">
      <c r="B751" s="99"/>
      <c r="C751" s="99"/>
      <c r="E751" s="99"/>
      <c r="F751" s="99"/>
      <c r="G751" s="99"/>
      <c r="H751" s="99"/>
      <c r="I751" s="99"/>
      <c r="J751" s="99"/>
      <c r="K751" s="99"/>
      <c r="L751" s="99"/>
      <c r="M751" s="99"/>
      <c r="N751" s="99"/>
    </row>
    <row r="752" spans="2:14" ht="15.75" hidden="1" customHeight="1">
      <c r="B752" s="99"/>
      <c r="C752" s="99"/>
      <c r="E752" s="99"/>
      <c r="F752" s="99"/>
      <c r="G752" s="99"/>
      <c r="H752" s="99"/>
      <c r="I752" s="99"/>
      <c r="J752" s="99"/>
      <c r="K752" s="99"/>
      <c r="L752" s="99"/>
      <c r="M752" s="99"/>
      <c r="N752" s="99"/>
    </row>
    <row r="753" spans="2:14" ht="15.75" hidden="1" customHeight="1">
      <c r="B753" s="99"/>
      <c r="C753" s="99"/>
      <c r="E753" s="99"/>
      <c r="F753" s="99"/>
      <c r="G753" s="99"/>
      <c r="H753" s="99"/>
      <c r="I753" s="99"/>
      <c r="J753" s="99"/>
      <c r="K753" s="99"/>
      <c r="L753" s="99"/>
      <c r="M753" s="99"/>
      <c r="N753" s="99"/>
    </row>
    <row r="754" spans="2:14" ht="15.75" hidden="1" customHeight="1">
      <c r="B754" s="99"/>
      <c r="C754" s="99"/>
      <c r="E754" s="99"/>
      <c r="F754" s="99"/>
      <c r="G754" s="99"/>
      <c r="H754" s="99"/>
      <c r="I754" s="99"/>
      <c r="J754" s="99"/>
      <c r="K754" s="99"/>
      <c r="L754" s="99"/>
      <c r="M754" s="99"/>
      <c r="N754" s="99"/>
    </row>
    <row r="755" spans="2:14" ht="15.75" hidden="1" customHeight="1">
      <c r="B755" s="99"/>
      <c r="C755" s="99"/>
      <c r="E755" s="99"/>
      <c r="F755" s="99"/>
      <c r="G755" s="99"/>
      <c r="H755" s="99"/>
      <c r="I755" s="99"/>
      <c r="J755" s="99"/>
      <c r="K755" s="99"/>
      <c r="L755" s="99"/>
      <c r="M755" s="99"/>
      <c r="N755" s="99"/>
    </row>
    <row r="756" spans="2:14" ht="15.75" hidden="1" customHeight="1">
      <c r="B756" s="99"/>
      <c r="C756" s="99"/>
      <c r="E756" s="99"/>
      <c r="F756" s="99"/>
      <c r="G756" s="99"/>
      <c r="H756" s="99"/>
      <c r="I756" s="99"/>
      <c r="J756" s="99"/>
      <c r="K756" s="99"/>
      <c r="L756" s="99"/>
      <c r="M756" s="99"/>
      <c r="N756" s="99"/>
    </row>
    <row r="757" spans="2:14" ht="15.75" hidden="1" customHeight="1">
      <c r="B757" s="99"/>
      <c r="C757" s="99"/>
      <c r="E757" s="99"/>
      <c r="F757" s="99"/>
      <c r="G757" s="99"/>
      <c r="H757" s="99"/>
      <c r="I757" s="99"/>
      <c r="J757" s="99"/>
      <c r="K757" s="99"/>
      <c r="L757" s="99"/>
      <c r="M757" s="99"/>
      <c r="N757" s="99"/>
    </row>
    <row r="758" spans="2:14" ht="15.75" hidden="1" customHeight="1">
      <c r="B758" s="99"/>
      <c r="C758" s="99"/>
      <c r="E758" s="99"/>
      <c r="F758" s="99"/>
      <c r="G758" s="99"/>
      <c r="H758" s="99"/>
      <c r="I758" s="99"/>
      <c r="J758" s="99"/>
      <c r="K758" s="99"/>
      <c r="L758" s="99"/>
      <c r="M758" s="99"/>
      <c r="N758" s="99"/>
    </row>
    <row r="759" spans="2:14" ht="15.75" hidden="1" customHeight="1">
      <c r="B759" s="99"/>
      <c r="C759" s="99"/>
      <c r="E759" s="99"/>
      <c r="F759" s="99"/>
      <c r="G759" s="99"/>
      <c r="H759" s="99"/>
      <c r="I759" s="99"/>
      <c r="J759" s="99"/>
      <c r="K759" s="99"/>
      <c r="L759" s="99"/>
      <c r="M759" s="99"/>
      <c r="N759" s="99"/>
    </row>
    <row r="760" spans="2:14" ht="15.75" hidden="1" customHeight="1">
      <c r="B760" s="99"/>
      <c r="C760" s="99"/>
      <c r="E760" s="99"/>
      <c r="F760" s="99"/>
      <c r="G760" s="99"/>
      <c r="H760" s="99"/>
      <c r="I760" s="99"/>
      <c r="J760" s="99"/>
      <c r="K760" s="99"/>
      <c r="L760" s="99"/>
      <c r="M760" s="99"/>
      <c r="N760" s="99"/>
    </row>
    <row r="761" spans="2:14" ht="15.75" hidden="1" customHeight="1">
      <c r="B761" s="99"/>
      <c r="C761" s="99"/>
      <c r="E761" s="99"/>
      <c r="F761" s="99"/>
      <c r="G761" s="99"/>
      <c r="H761" s="99"/>
      <c r="I761" s="99"/>
      <c r="J761" s="99"/>
      <c r="K761" s="99"/>
      <c r="L761" s="99"/>
      <c r="M761" s="99"/>
      <c r="N761" s="99"/>
    </row>
    <row r="762" spans="2:14" ht="15.75" hidden="1" customHeight="1">
      <c r="B762" s="99"/>
      <c r="C762" s="99"/>
      <c r="E762" s="99"/>
      <c r="F762" s="99"/>
      <c r="G762" s="99"/>
      <c r="H762" s="99"/>
      <c r="I762" s="99"/>
      <c r="J762" s="99"/>
      <c r="K762" s="99"/>
      <c r="L762" s="99"/>
      <c r="M762" s="99"/>
      <c r="N762" s="99"/>
    </row>
    <row r="763" spans="2:14" ht="15.75" hidden="1" customHeight="1">
      <c r="B763" s="99"/>
      <c r="C763" s="99"/>
      <c r="E763" s="99"/>
      <c r="F763" s="99"/>
      <c r="G763" s="99"/>
      <c r="H763" s="99"/>
      <c r="I763" s="99"/>
      <c r="J763" s="99"/>
      <c r="K763" s="99"/>
      <c r="L763" s="99"/>
      <c r="M763" s="99"/>
      <c r="N763" s="99"/>
    </row>
    <row r="764" spans="2:14" ht="15.75" hidden="1" customHeight="1">
      <c r="B764" s="99"/>
      <c r="C764" s="99"/>
      <c r="E764" s="99"/>
      <c r="F764" s="99"/>
      <c r="G764" s="99"/>
      <c r="H764" s="99"/>
      <c r="I764" s="99"/>
      <c r="J764" s="99"/>
      <c r="K764" s="99"/>
      <c r="L764" s="99"/>
      <c r="M764" s="99"/>
      <c r="N764" s="99"/>
    </row>
    <row r="765" spans="2:14" ht="15.75" hidden="1" customHeight="1">
      <c r="B765" s="99"/>
      <c r="C765" s="99"/>
      <c r="E765" s="99"/>
      <c r="F765" s="99"/>
      <c r="G765" s="99"/>
      <c r="H765" s="99"/>
      <c r="I765" s="99"/>
      <c r="J765" s="99"/>
      <c r="K765" s="99"/>
      <c r="L765" s="99"/>
      <c r="M765" s="99"/>
      <c r="N765" s="99"/>
    </row>
    <row r="766" spans="2:14" ht="15.75" hidden="1" customHeight="1">
      <c r="B766" s="99"/>
      <c r="C766" s="99"/>
      <c r="E766" s="99"/>
      <c r="F766" s="99"/>
      <c r="G766" s="99"/>
      <c r="H766" s="99"/>
      <c r="I766" s="99"/>
      <c r="J766" s="99"/>
      <c r="K766" s="99"/>
      <c r="L766" s="99"/>
      <c r="M766" s="99"/>
      <c r="N766" s="99"/>
    </row>
    <row r="767" spans="2:14" ht="15.75" hidden="1" customHeight="1">
      <c r="B767" s="99"/>
      <c r="C767" s="99"/>
      <c r="E767" s="99"/>
      <c r="F767" s="99"/>
      <c r="G767" s="99"/>
      <c r="H767" s="99"/>
      <c r="I767" s="99"/>
      <c r="J767" s="99"/>
      <c r="K767" s="99"/>
      <c r="L767" s="99"/>
      <c r="M767" s="99"/>
      <c r="N767" s="99"/>
    </row>
    <row r="768" spans="2:14" ht="15.75" hidden="1" customHeight="1">
      <c r="B768" s="99"/>
      <c r="C768" s="99"/>
      <c r="E768" s="99"/>
      <c r="F768" s="99"/>
      <c r="G768" s="99"/>
      <c r="H768" s="99"/>
      <c r="I768" s="99"/>
      <c r="J768" s="99"/>
      <c r="K768" s="99"/>
      <c r="L768" s="99"/>
      <c r="M768" s="99"/>
      <c r="N768" s="99"/>
    </row>
    <row r="769" spans="2:14" ht="15.75" hidden="1" customHeight="1">
      <c r="B769" s="99"/>
      <c r="C769" s="99"/>
      <c r="E769" s="99"/>
      <c r="F769" s="99"/>
      <c r="G769" s="99"/>
      <c r="H769" s="99"/>
      <c r="I769" s="99"/>
      <c r="J769" s="99"/>
      <c r="K769" s="99"/>
      <c r="L769" s="99"/>
      <c r="M769" s="99"/>
      <c r="N769" s="99"/>
    </row>
    <row r="770" spans="2:14" ht="15.75" hidden="1" customHeight="1">
      <c r="B770" s="99"/>
      <c r="C770" s="99"/>
      <c r="E770" s="99"/>
      <c r="F770" s="99"/>
      <c r="G770" s="99"/>
      <c r="H770" s="99"/>
      <c r="I770" s="99"/>
      <c r="J770" s="99"/>
      <c r="K770" s="99"/>
      <c r="L770" s="99"/>
      <c r="M770" s="99"/>
      <c r="N770" s="99"/>
    </row>
    <row r="771" spans="2:14" ht="15.75" hidden="1" customHeight="1">
      <c r="B771" s="99"/>
      <c r="C771" s="99"/>
      <c r="E771" s="99"/>
      <c r="F771" s="99"/>
      <c r="G771" s="99"/>
      <c r="H771" s="99"/>
      <c r="I771" s="99"/>
      <c r="J771" s="99"/>
      <c r="K771" s="99"/>
      <c r="L771" s="99"/>
      <c r="M771" s="99"/>
      <c r="N771" s="99"/>
    </row>
    <row r="772" spans="2:14" ht="15.75" hidden="1" customHeight="1">
      <c r="B772" s="99"/>
      <c r="C772" s="99"/>
      <c r="E772" s="99"/>
      <c r="F772" s="99"/>
      <c r="G772" s="99"/>
      <c r="H772" s="99"/>
      <c r="I772" s="99"/>
      <c r="J772" s="99"/>
      <c r="K772" s="99"/>
      <c r="L772" s="99"/>
      <c r="M772" s="99"/>
      <c r="N772" s="99"/>
    </row>
    <row r="773" spans="2:14" ht="15.75" hidden="1" customHeight="1">
      <c r="B773" s="99"/>
      <c r="C773" s="99"/>
      <c r="E773" s="99"/>
      <c r="F773" s="99"/>
      <c r="G773" s="99"/>
      <c r="H773" s="99"/>
      <c r="I773" s="99"/>
      <c r="J773" s="99"/>
      <c r="K773" s="99"/>
      <c r="L773" s="99"/>
      <c r="M773" s="99"/>
      <c r="N773" s="99"/>
    </row>
    <row r="774" spans="2:14" ht="15.75" hidden="1" customHeight="1">
      <c r="B774" s="99"/>
      <c r="C774" s="99"/>
      <c r="E774" s="99"/>
      <c r="F774" s="99"/>
      <c r="G774" s="99"/>
      <c r="H774" s="99"/>
      <c r="I774" s="99"/>
      <c r="J774" s="99"/>
      <c r="K774" s="99"/>
      <c r="L774" s="99"/>
      <c r="M774" s="99"/>
      <c r="N774" s="99"/>
    </row>
    <row r="775" spans="2:14" ht="15.75" hidden="1" customHeight="1">
      <c r="B775" s="99"/>
      <c r="C775" s="99"/>
      <c r="E775" s="99"/>
      <c r="F775" s="99"/>
      <c r="G775" s="99"/>
      <c r="H775" s="99"/>
      <c r="I775" s="99"/>
      <c r="J775" s="99"/>
      <c r="K775" s="99"/>
      <c r="L775" s="99"/>
      <c r="M775" s="99"/>
      <c r="N775" s="99"/>
    </row>
    <row r="776" spans="2:14" ht="15.75" hidden="1" customHeight="1">
      <c r="B776" s="99"/>
      <c r="C776" s="99"/>
      <c r="E776" s="99"/>
      <c r="F776" s="99"/>
      <c r="G776" s="99"/>
      <c r="H776" s="99"/>
      <c r="I776" s="99"/>
      <c r="J776" s="99"/>
      <c r="K776" s="99"/>
      <c r="L776" s="99"/>
      <c r="M776" s="99"/>
      <c r="N776" s="99"/>
    </row>
    <row r="777" spans="2:14" ht="15.75" hidden="1" customHeight="1">
      <c r="B777" s="99"/>
      <c r="C777" s="99"/>
      <c r="E777" s="99"/>
      <c r="F777" s="99"/>
      <c r="G777" s="99"/>
      <c r="H777" s="99"/>
      <c r="I777" s="99"/>
      <c r="J777" s="99"/>
      <c r="K777" s="99"/>
      <c r="L777" s="99"/>
      <c r="M777" s="99"/>
      <c r="N777" s="99"/>
    </row>
    <row r="778" spans="2:14" ht="15.75" hidden="1" customHeight="1">
      <c r="B778" s="99"/>
      <c r="C778" s="99"/>
      <c r="E778" s="99"/>
      <c r="F778" s="99"/>
      <c r="G778" s="99"/>
      <c r="H778" s="99"/>
      <c r="I778" s="99"/>
      <c r="J778" s="99"/>
      <c r="K778" s="99"/>
      <c r="L778" s="99"/>
      <c r="M778" s="99"/>
      <c r="N778" s="99"/>
    </row>
    <row r="779" spans="2:14" ht="15.75" hidden="1" customHeight="1">
      <c r="B779" s="99"/>
      <c r="C779" s="99"/>
      <c r="E779" s="99"/>
      <c r="F779" s="99"/>
      <c r="G779" s="99"/>
      <c r="H779" s="99"/>
      <c r="I779" s="99"/>
      <c r="J779" s="99"/>
      <c r="K779" s="99"/>
      <c r="L779" s="99"/>
      <c r="M779" s="99"/>
      <c r="N779" s="99"/>
    </row>
    <row r="780" spans="2:14" ht="15.75" hidden="1" customHeight="1">
      <c r="B780" s="99"/>
      <c r="C780" s="99"/>
      <c r="E780" s="99"/>
      <c r="F780" s="99"/>
      <c r="G780" s="99"/>
      <c r="H780" s="99"/>
      <c r="I780" s="99"/>
      <c r="J780" s="99"/>
      <c r="K780" s="99"/>
      <c r="L780" s="99"/>
      <c r="M780" s="99"/>
      <c r="N780" s="99"/>
    </row>
    <row r="781" spans="2:14" ht="15.75" hidden="1" customHeight="1">
      <c r="B781" s="99"/>
      <c r="C781" s="99"/>
      <c r="E781" s="99"/>
      <c r="F781" s="99"/>
      <c r="G781" s="99"/>
      <c r="H781" s="99"/>
      <c r="I781" s="99"/>
      <c r="J781" s="99"/>
      <c r="K781" s="99"/>
      <c r="L781" s="99"/>
      <c r="M781" s="99"/>
      <c r="N781" s="99"/>
    </row>
    <row r="782" spans="2:14" ht="15.75" hidden="1" customHeight="1">
      <c r="B782" s="99"/>
      <c r="C782" s="99"/>
      <c r="E782" s="99"/>
      <c r="F782" s="99"/>
      <c r="G782" s="99"/>
      <c r="H782" s="99"/>
      <c r="I782" s="99"/>
      <c r="J782" s="99"/>
      <c r="K782" s="99"/>
      <c r="L782" s="99"/>
      <c r="M782" s="99"/>
      <c r="N782" s="99"/>
    </row>
    <row r="783" spans="2:14" ht="15.75" hidden="1" customHeight="1">
      <c r="B783" s="99"/>
      <c r="C783" s="99"/>
      <c r="E783" s="99"/>
      <c r="F783" s="99"/>
      <c r="G783" s="99"/>
      <c r="H783" s="99"/>
      <c r="I783" s="99"/>
      <c r="J783" s="99"/>
      <c r="K783" s="99"/>
      <c r="L783" s="99"/>
      <c r="M783" s="99"/>
      <c r="N783" s="99"/>
    </row>
    <row r="784" spans="2:14" ht="15.75" hidden="1" customHeight="1">
      <c r="B784" s="99"/>
      <c r="C784" s="99"/>
      <c r="E784" s="99"/>
      <c r="F784" s="99"/>
      <c r="G784" s="99"/>
      <c r="H784" s="99"/>
      <c r="I784" s="99"/>
      <c r="J784" s="99"/>
      <c r="K784" s="99"/>
      <c r="L784" s="99"/>
      <c r="M784" s="99"/>
      <c r="N784" s="99"/>
    </row>
    <row r="785" spans="2:14" ht="15.75" hidden="1" customHeight="1">
      <c r="B785" s="99"/>
      <c r="C785" s="99"/>
      <c r="E785" s="99"/>
      <c r="F785" s="99"/>
      <c r="G785" s="99"/>
      <c r="H785" s="99"/>
      <c r="I785" s="99"/>
      <c r="J785" s="99"/>
      <c r="K785" s="99"/>
      <c r="L785" s="99"/>
      <c r="M785" s="99"/>
      <c r="N785" s="99"/>
    </row>
    <row r="786" spans="2:14" ht="15.75" hidden="1" customHeight="1">
      <c r="B786" s="99"/>
      <c r="C786" s="99"/>
      <c r="E786" s="99"/>
      <c r="F786" s="99"/>
      <c r="G786" s="99"/>
      <c r="H786" s="99"/>
      <c r="I786" s="99"/>
      <c r="J786" s="99"/>
      <c r="K786" s="99"/>
      <c r="L786" s="99"/>
      <c r="M786" s="99"/>
      <c r="N786" s="99"/>
    </row>
    <row r="787" spans="2:14" ht="15.75" hidden="1" customHeight="1">
      <c r="B787" s="99"/>
      <c r="C787" s="99"/>
      <c r="E787" s="99"/>
      <c r="F787" s="99"/>
      <c r="G787" s="99"/>
      <c r="H787" s="99"/>
      <c r="I787" s="99"/>
      <c r="J787" s="99"/>
      <c r="K787" s="99"/>
      <c r="L787" s="99"/>
      <c r="M787" s="99"/>
      <c r="N787" s="99"/>
    </row>
    <row r="788" spans="2:14" ht="15.75" hidden="1" customHeight="1">
      <c r="B788" s="99"/>
      <c r="C788" s="99"/>
      <c r="E788" s="99"/>
      <c r="F788" s="99"/>
      <c r="G788" s="99"/>
      <c r="H788" s="99"/>
      <c r="I788" s="99"/>
      <c r="J788" s="99"/>
      <c r="K788" s="99"/>
      <c r="L788" s="99"/>
      <c r="M788" s="99"/>
      <c r="N788" s="99"/>
    </row>
    <row r="789" spans="2:14" ht="15.75" hidden="1" customHeight="1">
      <c r="B789" s="99"/>
      <c r="C789" s="99"/>
      <c r="E789" s="99"/>
      <c r="F789" s="99"/>
      <c r="G789" s="99"/>
      <c r="H789" s="99"/>
      <c r="I789" s="99"/>
      <c r="J789" s="99"/>
      <c r="K789" s="99"/>
      <c r="L789" s="99"/>
      <c r="M789" s="99"/>
      <c r="N789" s="99"/>
    </row>
    <row r="790" spans="2:14" ht="15.75" hidden="1" customHeight="1">
      <c r="B790" s="99"/>
      <c r="C790" s="99"/>
      <c r="E790" s="99"/>
      <c r="F790" s="99"/>
      <c r="G790" s="99"/>
      <c r="H790" s="99"/>
      <c r="I790" s="99"/>
      <c r="J790" s="99"/>
      <c r="K790" s="99"/>
      <c r="L790" s="99"/>
      <c r="M790" s="99"/>
      <c r="N790" s="99"/>
    </row>
    <row r="791" spans="2:14" ht="15.75" hidden="1" customHeight="1">
      <c r="B791" s="99"/>
      <c r="C791" s="99"/>
      <c r="E791" s="99"/>
      <c r="F791" s="99"/>
      <c r="G791" s="99"/>
      <c r="H791" s="99"/>
      <c r="I791" s="99"/>
      <c r="J791" s="99"/>
      <c r="K791" s="99"/>
      <c r="L791" s="99"/>
      <c r="M791" s="99"/>
      <c r="N791" s="99"/>
    </row>
    <row r="792" spans="2:14" ht="15.75" hidden="1" customHeight="1">
      <c r="B792" s="99"/>
      <c r="C792" s="99"/>
      <c r="E792" s="99"/>
      <c r="F792" s="99"/>
      <c r="G792" s="99"/>
      <c r="H792" s="99"/>
      <c r="I792" s="99"/>
      <c r="J792" s="99"/>
      <c r="K792" s="99"/>
      <c r="L792" s="99"/>
      <c r="M792" s="99"/>
      <c r="N792" s="99"/>
    </row>
    <row r="793" spans="2:14" ht="15.75" hidden="1" customHeight="1">
      <c r="B793" s="99"/>
      <c r="C793" s="99"/>
      <c r="E793" s="99"/>
      <c r="F793" s="99"/>
      <c r="G793" s="99"/>
      <c r="H793" s="99"/>
      <c r="I793" s="99"/>
      <c r="J793" s="99"/>
      <c r="K793" s="99"/>
      <c r="L793" s="99"/>
      <c r="M793" s="99"/>
      <c r="N793" s="99"/>
    </row>
    <row r="794" spans="2:14" ht="15.75" hidden="1" customHeight="1">
      <c r="B794" s="99"/>
      <c r="C794" s="99"/>
      <c r="E794" s="99"/>
      <c r="F794" s="99"/>
      <c r="G794" s="99"/>
      <c r="H794" s="99"/>
      <c r="I794" s="99"/>
      <c r="J794" s="99"/>
      <c r="K794" s="99"/>
      <c r="L794" s="99"/>
      <c r="M794" s="99"/>
      <c r="N794" s="99"/>
    </row>
    <row r="795" spans="2:14" ht="15.75" hidden="1" customHeight="1">
      <c r="B795" s="99"/>
      <c r="C795" s="99"/>
      <c r="E795" s="99"/>
      <c r="F795" s="99"/>
      <c r="G795" s="99"/>
      <c r="H795" s="99"/>
      <c r="I795" s="99"/>
      <c r="J795" s="99"/>
      <c r="K795" s="99"/>
      <c r="L795" s="99"/>
      <c r="M795" s="99"/>
      <c r="N795" s="99"/>
    </row>
    <row r="796" spans="2:14" ht="15.75" hidden="1" customHeight="1">
      <c r="B796" s="99"/>
      <c r="C796" s="99"/>
      <c r="E796" s="99"/>
      <c r="F796" s="99"/>
      <c r="G796" s="99"/>
      <c r="H796" s="99"/>
      <c r="I796" s="99"/>
      <c r="J796" s="99"/>
      <c r="K796" s="99"/>
      <c r="L796" s="99"/>
      <c r="M796" s="99"/>
      <c r="N796" s="99"/>
    </row>
    <row r="797" spans="2:14" ht="15.75" hidden="1" customHeight="1">
      <c r="B797" s="99"/>
      <c r="C797" s="99"/>
      <c r="E797" s="99"/>
      <c r="F797" s="99"/>
      <c r="G797" s="99"/>
      <c r="H797" s="99"/>
      <c r="I797" s="99"/>
      <c r="J797" s="99"/>
      <c r="K797" s="99"/>
      <c r="L797" s="99"/>
      <c r="M797" s="99"/>
      <c r="N797" s="99"/>
    </row>
    <row r="798" spans="2:14" ht="15.75" hidden="1" customHeight="1">
      <c r="B798" s="99"/>
      <c r="C798" s="99"/>
      <c r="E798" s="99"/>
      <c r="F798" s="99"/>
      <c r="G798" s="99"/>
      <c r="H798" s="99"/>
      <c r="I798" s="99"/>
      <c r="J798" s="99"/>
      <c r="K798" s="99"/>
      <c r="L798" s="99"/>
      <c r="M798" s="99"/>
      <c r="N798" s="99"/>
    </row>
    <row r="799" spans="2:14" ht="15.75" hidden="1" customHeight="1">
      <c r="B799" s="99"/>
      <c r="C799" s="99"/>
      <c r="E799" s="99"/>
      <c r="F799" s="99"/>
      <c r="G799" s="99"/>
      <c r="H799" s="99"/>
      <c r="I799" s="99"/>
      <c r="J799" s="99"/>
      <c r="K799" s="99"/>
      <c r="L799" s="99"/>
      <c r="M799" s="99"/>
      <c r="N799" s="99"/>
    </row>
    <row r="800" spans="2:14" ht="15.75" hidden="1" customHeight="1">
      <c r="B800" s="99"/>
      <c r="C800" s="99"/>
      <c r="E800" s="99"/>
      <c r="F800" s="99"/>
      <c r="G800" s="99"/>
      <c r="H800" s="99"/>
      <c r="I800" s="99"/>
      <c r="J800" s="99"/>
      <c r="K800" s="99"/>
      <c r="L800" s="99"/>
      <c r="M800" s="99"/>
      <c r="N800" s="99"/>
    </row>
    <row r="801" spans="2:14" ht="15.75" hidden="1" customHeight="1">
      <c r="B801" s="99"/>
      <c r="C801" s="99"/>
      <c r="E801" s="99"/>
      <c r="F801" s="99"/>
      <c r="G801" s="99"/>
      <c r="H801" s="99"/>
      <c r="I801" s="99"/>
      <c r="J801" s="99"/>
      <c r="K801" s="99"/>
      <c r="L801" s="99"/>
      <c r="M801" s="99"/>
      <c r="N801" s="99"/>
    </row>
    <row r="802" spans="2:14" ht="15.75" hidden="1" customHeight="1">
      <c r="B802" s="99"/>
      <c r="C802" s="99"/>
      <c r="E802" s="99"/>
      <c r="F802" s="99"/>
      <c r="G802" s="99"/>
      <c r="H802" s="99"/>
      <c r="I802" s="99"/>
      <c r="J802" s="99"/>
      <c r="K802" s="99"/>
      <c r="L802" s="99"/>
      <c r="M802" s="99"/>
      <c r="N802" s="99"/>
    </row>
    <row r="803" spans="2:14" ht="15.75" hidden="1" customHeight="1">
      <c r="B803" s="99"/>
      <c r="C803" s="99"/>
      <c r="E803" s="99"/>
      <c r="F803" s="99"/>
      <c r="G803" s="99"/>
      <c r="H803" s="99"/>
      <c r="I803" s="99"/>
      <c r="J803" s="99"/>
      <c r="K803" s="99"/>
      <c r="L803" s="99"/>
      <c r="M803" s="99"/>
      <c r="N803" s="99"/>
    </row>
    <row r="804" spans="2:14" ht="15.75" hidden="1" customHeight="1">
      <c r="B804" s="99"/>
      <c r="C804" s="99"/>
      <c r="E804" s="99"/>
      <c r="F804" s="99"/>
      <c r="G804" s="99"/>
      <c r="H804" s="99"/>
      <c r="I804" s="99"/>
      <c r="J804" s="99"/>
      <c r="K804" s="99"/>
      <c r="L804" s="99"/>
      <c r="M804" s="99"/>
      <c r="N804" s="99"/>
    </row>
    <row r="805" spans="2:14" ht="15.75" hidden="1" customHeight="1">
      <c r="B805" s="99"/>
      <c r="C805" s="99"/>
      <c r="E805" s="99"/>
      <c r="F805" s="99"/>
      <c r="G805" s="99"/>
      <c r="H805" s="99"/>
      <c r="I805" s="99"/>
      <c r="J805" s="99"/>
      <c r="K805" s="99"/>
      <c r="L805" s="99"/>
      <c r="M805" s="99"/>
      <c r="N805" s="99"/>
    </row>
    <row r="806" spans="2:14" ht="15.75" hidden="1" customHeight="1">
      <c r="B806" s="99"/>
      <c r="C806" s="99"/>
      <c r="E806" s="99"/>
      <c r="F806" s="99"/>
      <c r="G806" s="99"/>
      <c r="H806" s="99"/>
      <c r="I806" s="99"/>
      <c r="J806" s="99"/>
      <c r="K806" s="99"/>
      <c r="L806" s="99"/>
      <c r="M806" s="99"/>
      <c r="N806" s="99"/>
    </row>
    <row r="807" spans="2:14" ht="15.75" hidden="1" customHeight="1">
      <c r="B807" s="99"/>
      <c r="C807" s="99"/>
      <c r="E807" s="99"/>
      <c r="F807" s="99"/>
      <c r="G807" s="99"/>
      <c r="H807" s="99"/>
      <c r="I807" s="99"/>
      <c r="J807" s="99"/>
      <c r="K807" s="99"/>
      <c r="L807" s="99"/>
      <c r="M807" s="99"/>
      <c r="N807" s="99"/>
    </row>
    <row r="808" spans="2:14" ht="15.75" hidden="1" customHeight="1">
      <c r="B808" s="99"/>
      <c r="C808" s="99"/>
      <c r="E808" s="99"/>
      <c r="F808" s="99"/>
      <c r="G808" s="99"/>
      <c r="H808" s="99"/>
      <c r="I808" s="99"/>
      <c r="J808" s="99"/>
      <c r="K808" s="99"/>
      <c r="L808" s="99"/>
      <c r="M808" s="99"/>
      <c r="N808" s="99"/>
    </row>
    <row r="809" spans="2:14" ht="15.75" hidden="1" customHeight="1">
      <c r="B809" s="99"/>
      <c r="C809" s="99"/>
      <c r="E809" s="99"/>
      <c r="F809" s="99"/>
      <c r="G809" s="99"/>
      <c r="H809" s="99"/>
      <c r="I809" s="99"/>
      <c r="J809" s="99"/>
      <c r="K809" s="99"/>
      <c r="L809" s="99"/>
      <c r="M809" s="99"/>
      <c r="N809" s="99"/>
    </row>
    <row r="810" spans="2:14" ht="15.75" hidden="1" customHeight="1">
      <c r="B810" s="99"/>
      <c r="C810" s="99"/>
      <c r="E810" s="99"/>
      <c r="F810" s="99"/>
      <c r="G810" s="99"/>
      <c r="H810" s="99"/>
      <c r="I810" s="99"/>
      <c r="J810" s="99"/>
      <c r="K810" s="99"/>
      <c r="L810" s="99"/>
      <c r="M810" s="99"/>
      <c r="N810" s="99"/>
    </row>
    <row r="811" spans="2:14" ht="15.75" hidden="1" customHeight="1">
      <c r="B811" s="99"/>
      <c r="C811" s="99"/>
      <c r="E811" s="99"/>
      <c r="F811" s="99"/>
      <c r="G811" s="99"/>
      <c r="H811" s="99"/>
      <c r="I811" s="99"/>
      <c r="J811" s="99"/>
      <c r="K811" s="99"/>
      <c r="L811" s="99"/>
      <c r="M811" s="99"/>
      <c r="N811" s="99"/>
    </row>
    <row r="812" spans="2:14" ht="15.75" hidden="1" customHeight="1">
      <c r="B812" s="99"/>
      <c r="C812" s="99"/>
      <c r="E812" s="99"/>
      <c r="F812" s="99"/>
      <c r="G812" s="99"/>
      <c r="H812" s="99"/>
      <c r="I812" s="99"/>
      <c r="J812" s="99"/>
      <c r="K812" s="99"/>
      <c r="L812" s="99"/>
      <c r="M812" s="99"/>
      <c r="N812" s="99"/>
    </row>
    <row r="813" spans="2:14" ht="15.75" hidden="1" customHeight="1">
      <c r="B813" s="99"/>
      <c r="C813" s="99"/>
      <c r="E813" s="99"/>
      <c r="F813" s="99"/>
      <c r="G813" s="99"/>
      <c r="H813" s="99"/>
      <c r="I813" s="99"/>
      <c r="J813" s="99"/>
      <c r="K813" s="99"/>
      <c r="L813" s="99"/>
      <c r="M813" s="99"/>
      <c r="N813" s="99"/>
    </row>
    <row r="814" spans="2:14" ht="15.75" hidden="1" customHeight="1">
      <c r="B814" s="99"/>
      <c r="C814" s="99"/>
      <c r="E814" s="99"/>
      <c r="F814" s="99"/>
      <c r="G814" s="99"/>
      <c r="H814" s="99"/>
      <c r="I814" s="99"/>
      <c r="J814" s="99"/>
      <c r="K814" s="99"/>
      <c r="L814" s="99"/>
      <c r="M814" s="99"/>
      <c r="N814" s="99"/>
    </row>
    <row r="815" spans="2:14" ht="15.75" hidden="1" customHeight="1">
      <c r="B815" s="99"/>
      <c r="C815" s="99"/>
      <c r="E815" s="99"/>
      <c r="F815" s="99"/>
      <c r="G815" s="99"/>
      <c r="H815" s="99"/>
      <c r="I815" s="99"/>
      <c r="J815" s="99"/>
      <c r="K815" s="99"/>
      <c r="L815" s="99"/>
      <c r="M815" s="99"/>
      <c r="N815" s="99"/>
    </row>
    <row r="816" spans="2:14" ht="15.75" hidden="1" customHeight="1">
      <c r="B816" s="99"/>
      <c r="C816" s="99"/>
      <c r="E816" s="99"/>
      <c r="F816" s="99"/>
      <c r="G816" s="99"/>
      <c r="H816" s="99"/>
      <c r="I816" s="99"/>
      <c r="J816" s="99"/>
      <c r="K816" s="99"/>
      <c r="L816" s="99"/>
      <c r="M816" s="99"/>
      <c r="N816" s="99"/>
    </row>
    <row r="817" spans="2:14" ht="15.75" hidden="1" customHeight="1">
      <c r="B817" s="99"/>
      <c r="C817" s="99"/>
      <c r="E817" s="99"/>
      <c r="F817" s="99"/>
      <c r="G817" s="99"/>
      <c r="H817" s="99"/>
      <c r="I817" s="99"/>
      <c r="J817" s="99"/>
      <c r="K817" s="99"/>
      <c r="L817" s="99"/>
      <c r="M817" s="99"/>
      <c r="N817" s="99"/>
    </row>
    <row r="818" spans="2:14" ht="15.75" hidden="1" customHeight="1">
      <c r="B818" s="99"/>
      <c r="C818" s="99"/>
      <c r="E818" s="99"/>
      <c r="F818" s="99"/>
      <c r="G818" s="99"/>
      <c r="H818" s="99"/>
      <c r="I818" s="99"/>
      <c r="J818" s="99"/>
      <c r="K818" s="99"/>
      <c r="L818" s="99"/>
      <c r="M818" s="99"/>
      <c r="N818" s="99"/>
    </row>
    <row r="819" spans="2:14" ht="15.75" hidden="1" customHeight="1">
      <c r="B819" s="99"/>
      <c r="C819" s="99"/>
      <c r="E819" s="99"/>
      <c r="F819" s="99"/>
      <c r="G819" s="99"/>
      <c r="H819" s="99"/>
      <c r="I819" s="99"/>
      <c r="J819" s="99"/>
      <c r="K819" s="99"/>
      <c r="L819" s="99"/>
      <c r="M819" s="99"/>
      <c r="N819" s="99"/>
    </row>
    <row r="820" spans="2:14" ht="15.75" hidden="1" customHeight="1">
      <c r="B820" s="99"/>
      <c r="C820" s="99"/>
      <c r="E820" s="99"/>
      <c r="F820" s="99"/>
      <c r="G820" s="99"/>
      <c r="H820" s="99"/>
      <c r="I820" s="99"/>
      <c r="J820" s="99"/>
      <c r="K820" s="99"/>
      <c r="L820" s="99"/>
      <c r="M820" s="99"/>
      <c r="N820" s="99"/>
    </row>
    <row r="821" spans="2:14" ht="15.75" hidden="1" customHeight="1">
      <c r="B821" s="99"/>
      <c r="C821" s="99"/>
      <c r="E821" s="99"/>
      <c r="F821" s="99"/>
      <c r="G821" s="99"/>
      <c r="H821" s="99"/>
      <c r="I821" s="99"/>
      <c r="J821" s="99"/>
      <c r="K821" s="99"/>
      <c r="L821" s="99"/>
      <c r="M821" s="99"/>
      <c r="N821" s="99"/>
    </row>
    <row r="822" spans="2:14" ht="15.75" hidden="1" customHeight="1">
      <c r="B822" s="99"/>
      <c r="C822" s="99"/>
      <c r="E822" s="99"/>
      <c r="F822" s="99"/>
      <c r="G822" s="99"/>
      <c r="H822" s="99"/>
      <c r="I822" s="99"/>
      <c r="J822" s="99"/>
      <c r="K822" s="99"/>
      <c r="L822" s="99"/>
      <c r="M822" s="99"/>
      <c r="N822" s="99"/>
    </row>
    <row r="823" spans="2:14" ht="15.75" hidden="1" customHeight="1">
      <c r="B823" s="99"/>
      <c r="C823" s="99"/>
      <c r="E823" s="99"/>
      <c r="F823" s="99"/>
      <c r="G823" s="99"/>
      <c r="H823" s="99"/>
      <c r="I823" s="99"/>
      <c r="J823" s="99"/>
      <c r="K823" s="99"/>
      <c r="L823" s="99"/>
      <c r="M823" s="99"/>
      <c r="N823" s="99"/>
    </row>
    <row r="824" spans="2:14" ht="15.75" hidden="1" customHeight="1">
      <c r="B824" s="99"/>
      <c r="C824" s="99"/>
      <c r="E824" s="99"/>
      <c r="F824" s="99"/>
      <c r="G824" s="99"/>
      <c r="H824" s="99"/>
      <c r="I824" s="99"/>
      <c r="J824" s="99"/>
      <c r="K824" s="99"/>
      <c r="L824" s="99"/>
      <c r="M824" s="99"/>
      <c r="N824" s="99"/>
    </row>
    <row r="825" spans="2:14" ht="15.75" hidden="1" customHeight="1">
      <c r="B825" s="99"/>
      <c r="C825" s="99"/>
      <c r="E825" s="99"/>
      <c r="F825" s="99"/>
      <c r="G825" s="99"/>
      <c r="H825" s="99"/>
      <c r="I825" s="99"/>
      <c r="J825" s="99"/>
      <c r="K825" s="99"/>
      <c r="L825" s="99"/>
      <c r="M825" s="99"/>
      <c r="N825" s="99"/>
    </row>
    <row r="826" spans="2:14" ht="15.75" hidden="1" customHeight="1">
      <c r="B826" s="99"/>
      <c r="C826" s="99"/>
      <c r="E826" s="99"/>
      <c r="F826" s="99"/>
      <c r="G826" s="99"/>
      <c r="H826" s="99"/>
      <c r="I826" s="99"/>
      <c r="J826" s="99"/>
      <c r="K826" s="99"/>
      <c r="L826" s="99"/>
      <c r="M826" s="99"/>
      <c r="N826" s="99"/>
    </row>
    <row r="827" spans="2:14" ht="15.75" hidden="1" customHeight="1">
      <c r="B827" s="99"/>
      <c r="C827" s="99"/>
      <c r="E827" s="99"/>
      <c r="F827" s="99"/>
      <c r="G827" s="99"/>
      <c r="H827" s="99"/>
      <c r="I827" s="99"/>
      <c r="J827" s="99"/>
      <c r="K827" s="99"/>
      <c r="L827" s="99"/>
      <c r="M827" s="99"/>
      <c r="N827" s="99"/>
    </row>
    <row r="828" spans="2:14" ht="15.75" hidden="1" customHeight="1">
      <c r="B828" s="99"/>
      <c r="C828" s="99"/>
      <c r="E828" s="99"/>
      <c r="F828" s="99"/>
      <c r="G828" s="99"/>
      <c r="H828" s="99"/>
      <c r="I828" s="99"/>
      <c r="J828" s="99"/>
      <c r="K828" s="99"/>
      <c r="L828" s="99"/>
      <c r="M828" s="99"/>
      <c r="N828" s="99"/>
    </row>
    <row r="829" spans="2:14" ht="15.75" hidden="1" customHeight="1">
      <c r="B829" s="99"/>
      <c r="C829" s="99"/>
      <c r="E829" s="99"/>
      <c r="F829" s="99"/>
      <c r="G829" s="99"/>
      <c r="H829" s="99"/>
      <c r="I829" s="99"/>
      <c r="J829" s="99"/>
      <c r="K829" s="99"/>
      <c r="L829" s="99"/>
      <c r="M829" s="99"/>
      <c r="N829" s="99"/>
    </row>
    <row r="830" spans="2:14" ht="15.75" hidden="1" customHeight="1">
      <c r="B830" s="99"/>
      <c r="C830" s="99"/>
      <c r="E830" s="99"/>
      <c r="F830" s="99"/>
      <c r="G830" s="99"/>
      <c r="H830" s="99"/>
      <c r="I830" s="99"/>
      <c r="J830" s="99"/>
      <c r="K830" s="99"/>
      <c r="L830" s="99"/>
      <c r="M830" s="99"/>
      <c r="N830" s="99"/>
    </row>
    <row r="831" spans="2:14" ht="15.75" hidden="1" customHeight="1">
      <c r="B831" s="99"/>
      <c r="C831" s="99"/>
      <c r="E831" s="99"/>
      <c r="F831" s="99"/>
      <c r="G831" s="99"/>
      <c r="H831" s="99"/>
      <c r="I831" s="99"/>
      <c r="J831" s="99"/>
      <c r="K831" s="99"/>
      <c r="L831" s="99"/>
      <c r="M831" s="99"/>
      <c r="N831" s="99"/>
    </row>
    <row r="832" spans="2:14" ht="15.75" hidden="1" customHeight="1">
      <c r="B832" s="99"/>
      <c r="C832" s="99"/>
      <c r="E832" s="99"/>
      <c r="F832" s="99"/>
      <c r="G832" s="99"/>
      <c r="H832" s="99"/>
      <c r="I832" s="99"/>
      <c r="J832" s="99"/>
      <c r="K832" s="99"/>
      <c r="L832" s="99"/>
      <c r="M832" s="99"/>
      <c r="N832" s="99"/>
    </row>
    <row r="833" spans="2:14" ht="15.75" hidden="1" customHeight="1">
      <c r="B833" s="99"/>
      <c r="C833" s="99"/>
      <c r="E833" s="99"/>
      <c r="F833" s="99"/>
      <c r="G833" s="99"/>
      <c r="H833" s="99"/>
      <c r="I833" s="99"/>
      <c r="J833" s="99"/>
      <c r="K833" s="99"/>
      <c r="L833" s="99"/>
      <c r="M833" s="99"/>
      <c r="N833" s="99"/>
    </row>
    <row r="834" spans="2:14" ht="15.75" hidden="1" customHeight="1">
      <c r="B834" s="99"/>
      <c r="C834" s="99"/>
      <c r="E834" s="99"/>
      <c r="F834" s="99"/>
      <c r="G834" s="99"/>
      <c r="H834" s="99"/>
      <c r="I834" s="99"/>
      <c r="J834" s="99"/>
      <c r="K834" s="99"/>
      <c r="L834" s="99"/>
      <c r="M834" s="99"/>
      <c r="N834" s="99"/>
    </row>
    <row r="835" spans="2:14" ht="15.75" hidden="1" customHeight="1">
      <c r="B835" s="99"/>
      <c r="C835" s="99"/>
      <c r="E835" s="99"/>
      <c r="F835" s="99"/>
      <c r="G835" s="99"/>
      <c r="H835" s="99"/>
      <c r="I835" s="99"/>
      <c r="J835" s="99"/>
      <c r="K835" s="99"/>
      <c r="L835" s="99"/>
      <c r="M835" s="99"/>
      <c r="N835" s="99"/>
    </row>
    <row r="836" spans="2:14" ht="15.75" hidden="1" customHeight="1">
      <c r="B836" s="99"/>
      <c r="C836" s="99"/>
      <c r="E836" s="99"/>
      <c r="F836" s="99"/>
      <c r="G836" s="99"/>
      <c r="H836" s="99"/>
      <c r="I836" s="99"/>
      <c r="J836" s="99"/>
      <c r="K836" s="99"/>
      <c r="L836" s="99"/>
      <c r="M836" s="99"/>
      <c r="N836" s="99"/>
    </row>
    <row r="837" spans="2:14" ht="15.75" hidden="1" customHeight="1">
      <c r="B837" s="99"/>
      <c r="C837" s="99"/>
      <c r="E837" s="99"/>
      <c r="F837" s="99"/>
      <c r="G837" s="99"/>
      <c r="H837" s="99"/>
      <c r="I837" s="99"/>
      <c r="J837" s="99"/>
      <c r="K837" s="99"/>
      <c r="L837" s="99"/>
      <c r="M837" s="99"/>
      <c r="N837" s="99"/>
    </row>
    <row r="838" spans="2:14" ht="15.75" hidden="1" customHeight="1">
      <c r="B838" s="99"/>
      <c r="C838" s="99"/>
      <c r="E838" s="99"/>
      <c r="F838" s="99"/>
      <c r="G838" s="99"/>
      <c r="H838" s="99"/>
      <c r="I838" s="99"/>
      <c r="J838" s="99"/>
      <c r="K838" s="99"/>
      <c r="L838" s="99"/>
      <c r="M838" s="99"/>
      <c r="N838" s="99"/>
    </row>
    <row r="839" spans="2:14" ht="15.75" hidden="1" customHeight="1">
      <c r="B839" s="99"/>
      <c r="C839" s="99"/>
      <c r="E839" s="99"/>
      <c r="F839" s="99"/>
      <c r="G839" s="99"/>
      <c r="H839" s="99"/>
      <c r="I839" s="99"/>
      <c r="J839" s="99"/>
      <c r="K839" s="99"/>
      <c r="L839" s="99"/>
      <c r="M839" s="99"/>
      <c r="N839" s="99"/>
    </row>
    <row r="840" spans="2:14" ht="15.75" hidden="1" customHeight="1">
      <c r="B840" s="99"/>
      <c r="C840" s="99"/>
      <c r="E840" s="99"/>
      <c r="F840" s="99"/>
      <c r="G840" s="99"/>
      <c r="H840" s="99"/>
      <c r="I840" s="99"/>
      <c r="J840" s="99"/>
      <c r="K840" s="99"/>
      <c r="L840" s="99"/>
      <c r="M840" s="99"/>
      <c r="N840" s="99"/>
    </row>
    <row r="841" spans="2:14" ht="15.75" hidden="1" customHeight="1">
      <c r="B841" s="99"/>
      <c r="C841" s="99"/>
      <c r="E841" s="99"/>
      <c r="F841" s="99"/>
      <c r="G841" s="99"/>
      <c r="H841" s="99"/>
      <c r="I841" s="99"/>
      <c r="J841" s="99"/>
      <c r="K841" s="99"/>
      <c r="L841" s="99"/>
      <c r="M841" s="99"/>
      <c r="N841" s="99"/>
    </row>
    <row r="842" spans="2:14" ht="15.75" hidden="1" customHeight="1">
      <c r="B842" s="99"/>
      <c r="C842" s="99"/>
      <c r="E842" s="99"/>
      <c r="F842" s="99"/>
      <c r="G842" s="99"/>
      <c r="H842" s="99"/>
      <c r="I842" s="99"/>
      <c r="J842" s="99"/>
      <c r="K842" s="99"/>
      <c r="L842" s="99"/>
      <c r="M842" s="99"/>
      <c r="N842" s="99"/>
    </row>
    <row r="843" spans="2:14" ht="15.75" hidden="1" customHeight="1">
      <c r="B843" s="99"/>
      <c r="C843" s="99"/>
      <c r="E843" s="99"/>
      <c r="F843" s="99"/>
      <c r="G843" s="99"/>
      <c r="H843" s="99"/>
      <c r="I843" s="99"/>
      <c r="J843" s="99"/>
      <c r="K843" s="99"/>
      <c r="L843" s="99"/>
      <c r="M843" s="99"/>
      <c r="N843" s="99"/>
    </row>
    <row r="844" spans="2:14" ht="15.75" hidden="1" customHeight="1">
      <c r="B844" s="99"/>
      <c r="C844" s="99"/>
      <c r="E844" s="99"/>
      <c r="F844" s="99"/>
      <c r="G844" s="99"/>
      <c r="H844" s="99"/>
      <c r="I844" s="99"/>
      <c r="J844" s="99"/>
      <c r="K844" s="99"/>
      <c r="L844" s="99"/>
      <c r="M844" s="99"/>
      <c r="N844" s="99"/>
    </row>
    <row r="845" spans="2:14" ht="15.75" hidden="1" customHeight="1">
      <c r="B845" s="99"/>
      <c r="C845" s="99"/>
      <c r="E845" s="99"/>
      <c r="F845" s="99"/>
      <c r="G845" s="99"/>
      <c r="H845" s="99"/>
      <c r="I845" s="99"/>
      <c r="J845" s="99"/>
      <c r="K845" s="99"/>
      <c r="L845" s="99"/>
      <c r="M845" s="99"/>
      <c r="N845" s="99"/>
    </row>
    <row r="846" spans="2:14" ht="15.75" hidden="1" customHeight="1">
      <c r="B846" s="99"/>
      <c r="C846" s="99"/>
      <c r="E846" s="99"/>
      <c r="F846" s="99"/>
      <c r="G846" s="99"/>
      <c r="H846" s="99"/>
      <c r="I846" s="99"/>
      <c r="J846" s="99"/>
      <c r="K846" s="99"/>
      <c r="L846" s="99"/>
      <c r="M846" s="99"/>
      <c r="N846" s="99"/>
    </row>
    <row r="847" spans="2:14" ht="15.75" hidden="1" customHeight="1">
      <c r="B847" s="99"/>
      <c r="C847" s="99"/>
      <c r="E847" s="99"/>
      <c r="F847" s="99"/>
      <c r="G847" s="99"/>
      <c r="H847" s="99"/>
      <c r="I847" s="99"/>
      <c r="J847" s="99"/>
      <c r="K847" s="99"/>
      <c r="L847" s="99"/>
      <c r="M847" s="99"/>
      <c r="N847" s="99"/>
    </row>
    <row r="848" spans="2:14" ht="15.75" hidden="1" customHeight="1">
      <c r="B848" s="99"/>
      <c r="C848" s="99"/>
      <c r="E848" s="99"/>
      <c r="F848" s="99"/>
      <c r="G848" s="99"/>
      <c r="H848" s="99"/>
      <c r="I848" s="99"/>
      <c r="J848" s="99"/>
      <c r="K848" s="99"/>
      <c r="L848" s="99"/>
      <c r="M848" s="99"/>
      <c r="N848" s="99"/>
    </row>
    <row r="849" spans="2:14" ht="15.75" hidden="1" customHeight="1">
      <c r="B849" s="99"/>
      <c r="C849" s="99"/>
      <c r="E849" s="99"/>
      <c r="F849" s="99"/>
      <c r="G849" s="99"/>
      <c r="H849" s="99"/>
      <c r="I849" s="99"/>
      <c r="J849" s="99"/>
      <c r="K849" s="99"/>
      <c r="L849" s="99"/>
      <c r="M849" s="99"/>
      <c r="N849" s="99"/>
    </row>
    <row r="850" spans="2:14" ht="15.75" hidden="1" customHeight="1">
      <c r="B850" s="99"/>
      <c r="C850" s="99"/>
      <c r="E850" s="99"/>
      <c r="F850" s="99"/>
      <c r="G850" s="99"/>
      <c r="H850" s="99"/>
      <c r="I850" s="99"/>
      <c r="J850" s="99"/>
      <c r="K850" s="99"/>
      <c r="L850" s="99"/>
      <c r="M850" s="99"/>
      <c r="N850" s="99"/>
    </row>
    <row r="851" spans="2:14" ht="15.75" hidden="1" customHeight="1">
      <c r="B851" s="99"/>
      <c r="C851" s="99"/>
      <c r="E851" s="99"/>
      <c r="F851" s="99"/>
      <c r="G851" s="99"/>
      <c r="H851" s="99"/>
      <c r="I851" s="99"/>
      <c r="J851" s="99"/>
      <c r="K851" s="99"/>
      <c r="L851" s="99"/>
      <c r="M851" s="99"/>
      <c r="N851" s="99"/>
    </row>
    <row r="852" spans="2:14" ht="15.75" hidden="1" customHeight="1">
      <c r="B852" s="99"/>
      <c r="C852" s="99"/>
      <c r="E852" s="99"/>
      <c r="F852" s="99"/>
      <c r="G852" s="99"/>
      <c r="H852" s="99"/>
      <c r="I852" s="99"/>
      <c r="J852" s="99"/>
      <c r="K852" s="99"/>
      <c r="L852" s="99"/>
      <c r="M852" s="99"/>
      <c r="N852" s="99"/>
    </row>
    <row r="853" spans="2:14" ht="15.75" hidden="1" customHeight="1">
      <c r="B853" s="99"/>
      <c r="C853" s="99"/>
      <c r="E853" s="99"/>
      <c r="F853" s="99"/>
      <c r="G853" s="99"/>
      <c r="H853" s="99"/>
      <c r="I853" s="99"/>
      <c r="J853" s="99"/>
      <c r="K853" s="99"/>
      <c r="L853" s="99"/>
      <c r="M853" s="99"/>
      <c r="N853" s="99"/>
    </row>
    <row r="854" spans="2:14" ht="15.75" hidden="1" customHeight="1">
      <c r="B854" s="99"/>
      <c r="C854" s="99"/>
      <c r="E854" s="99"/>
      <c r="F854" s="99"/>
      <c r="G854" s="99"/>
      <c r="H854" s="99"/>
      <c r="I854" s="99"/>
      <c r="J854" s="99"/>
      <c r="K854" s="99"/>
      <c r="L854" s="99"/>
      <c r="M854" s="99"/>
      <c r="N854" s="99"/>
    </row>
    <row r="855" spans="2:14" ht="15.75" hidden="1" customHeight="1">
      <c r="B855" s="99"/>
      <c r="C855" s="99"/>
      <c r="E855" s="99"/>
      <c r="F855" s="99"/>
      <c r="G855" s="99"/>
      <c r="H855" s="99"/>
      <c r="I855" s="99"/>
      <c r="J855" s="99"/>
      <c r="K855" s="99"/>
      <c r="L855" s="99"/>
      <c r="M855" s="99"/>
      <c r="N855" s="99"/>
    </row>
    <row r="856" spans="2:14" ht="15.75" hidden="1" customHeight="1">
      <c r="B856" s="99"/>
      <c r="C856" s="99"/>
      <c r="E856" s="99"/>
      <c r="F856" s="99"/>
      <c r="G856" s="99"/>
      <c r="H856" s="99"/>
      <c r="I856" s="99"/>
      <c r="J856" s="99"/>
      <c r="K856" s="99"/>
      <c r="L856" s="99"/>
      <c r="M856" s="99"/>
      <c r="N856" s="99"/>
    </row>
    <row r="857" spans="2:14" ht="15.75" hidden="1" customHeight="1">
      <c r="B857" s="99"/>
      <c r="C857" s="99"/>
      <c r="E857" s="99"/>
      <c r="F857" s="99"/>
      <c r="G857" s="99"/>
      <c r="H857" s="99"/>
      <c r="I857" s="99"/>
      <c r="J857" s="99"/>
      <c r="K857" s="99"/>
      <c r="L857" s="99"/>
      <c r="M857" s="99"/>
      <c r="N857" s="99"/>
    </row>
    <row r="858" spans="2:14" ht="15.75" hidden="1" customHeight="1">
      <c r="B858" s="99"/>
      <c r="C858" s="99"/>
      <c r="E858" s="99"/>
      <c r="F858" s="99"/>
      <c r="G858" s="99"/>
      <c r="H858" s="99"/>
      <c r="I858" s="99"/>
      <c r="J858" s="99"/>
      <c r="K858" s="99"/>
      <c r="L858" s="99"/>
      <c r="M858" s="99"/>
      <c r="N858" s="99"/>
    </row>
    <row r="859" spans="2:14" ht="15.75" hidden="1" customHeight="1">
      <c r="B859" s="99"/>
      <c r="C859" s="99"/>
      <c r="E859" s="99"/>
      <c r="F859" s="99"/>
      <c r="G859" s="99"/>
      <c r="H859" s="99"/>
      <c r="I859" s="99"/>
      <c r="J859" s="99"/>
      <c r="K859" s="99"/>
      <c r="L859" s="99"/>
      <c r="M859" s="99"/>
      <c r="N859" s="99"/>
    </row>
    <row r="860" spans="2:14" ht="15.75" hidden="1" customHeight="1">
      <c r="B860" s="99"/>
      <c r="C860" s="99"/>
      <c r="E860" s="99"/>
      <c r="F860" s="99"/>
      <c r="G860" s="99"/>
      <c r="H860" s="99"/>
      <c r="I860" s="99"/>
      <c r="J860" s="99"/>
      <c r="K860" s="99"/>
      <c r="L860" s="99"/>
      <c r="M860" s="99"/>
      <c r="N860" s="99"/>
    </row>
    <row r="861" spans="2:14" ht="15.75" hidden="1" customHeight="1">
      <c r="B861" s="99"/>
      <c r="C861" s="99"/>
      <c r="E861" s="99"/>
      <c r="F861" s="99"/>
      <c r="G861" s="99"/>
      <c r="H861" s="99"/>
      <c r="I861" s="99"/>
      <c r="J861" s="99"/>
      <c r="K861" s="99"/>
      <c r="L861" s="99"/>
      <c r="M861" s="99"/>
      <c r="N861" s="99"/>
    </row>
    <row r="862" spans="2:14" ht="15.75" hidden="1" customHeight="1">
      <c r="B862" s="99"/>
      <c r="C862" s="99"/>
      <c r="E862" s="99"/>
      <c r="F862" s="99"/>
      <c r="G862" s="99"/>
      <c r="H862" s="99"/>
      <c r="I862" s="99"/>
      <c r="J862" s="99"/>
      <c r="K862" s="99"/>
      <c r="L862" s="99"/>
      <c r="M862" s="99"/>
      <c r="N862" s="99"/>
    </row>
    <row r="863" spans="2:14" ht="15.75" hidden="1" customHeight="1">
      <c r="B863" s="99"/>
      <c r="C863" s="99"/>
      <c r="E863" s="99"/>
      <c r="F863" s="99"/>
      <c r="G863" s="99"/>
      <c r="H863" s="99"/>
      <c r="I863" s="99"/>
      <c r="J863" s="99"/>
      <c r="K863" s="99"/>
      <c r="L863" s="99"/>
      <c r="M863" s="99"/>
      <c r="N863" s="99"/>
    </row>
    <row r="864" spans="2:14" ht="15.75" hidden="1" customHeight="1">
      <c r="B864" s="99"/>
      <c r="C864" s="99"/>
      <c r="E864" s="99"/>
      <c r="F864" s="99"/>
      <c r="G864" s="99"/>
      <c r="H864" s="99"/>
      <c r="I864" s="99"/>
      <c r="J864" s="99"/>
      <c r="K864" s="99"/>
      <c r="L864" s="99"/>
      <c r="M864" s="99"/>
      <c r="N864" s="99"/>
    </row>
    <row r="865" spans="2:14" ht="15.75" hidden="1" customHeight="1">
      <c r="B865" s="99"/>
      <c r="C865" s="99"/>
      <c r="E865" s="99"/>
      <c r="F865" s="99"/>
      <c r="G865" s="99"/>
      <c r="H865" s="99"/>
      <c r="I865" s="99"/>
      <c r="J865" s="99"/>
      <c r="K865" s="99"/>
      <c r="L865" s="99"/>
      <c r="M865" s="99"/>
      <c r="N865" s="99"/>
    </row>
    <row r="866" spans="2:14" ht="15.75" hidden="1" customHeight="1">
      <c r="B866" s="99"/>
      <c r="C866" s="99"/>
      <c r="E866" s="99"/>
      <c r="F866" s="99"/>
      <c r="G866" s="99"/>
      <c r="H866" s="99"/>
      <c r="I866" s="99"/>
      <c r="J866" s="99"/>
      <c r="K866" s="99"/>
      <c r="L866" s="99"/>
      <c r="M866" s="99"/>
      <c r="N866" s="99"/>
    </row>
    <row r="867" spans="2:14" ht="15.75" hidden="1" customHeight="1">
      <c r="B867" s="99"/>
      <c r="C867" s="99"/>
      <c r="E867" s="99"/>
      <c r="F867" s="99"/>
      <c r="G867" s="99"/>
      <c r="H867" s="99"/>
      <c r="I867" s="99"/>
      <c r="J867" s="99"/>
      <c r="K867" s="99"/>
      <c r="L867" s="99"/>
      <c r="M867" s="99"/>
      <c r="N867" s="99"/>
    </row>
    <row r="868" spans="2:14" ht="15.75" hidden="1" customHeight="1">
      <c r="B868" s="99"/>
      <c r="C868" s="99"/>
      <c r="E868" s="99"/>
      <c r="F868" s="99"/>
      <c r="G868" s="99"/>
      <c r="H868" s="99"/>
      <c r="I868" s="99"/>
      <c r="J868" s="99"/>
      <c r="K868" s="99"/>
      <c r="L868" s="99"/>
      <c r="M868" s="99"/>
      <c r="N868" s="99"/>
    </row>
    <row r="869" spans="2:14" ht="15.75" hidden="1" customHeight="1">
      <c r="B869" s="99"/>
      <c r="C869" s="99"/>
      <c r="E869" s="99"/>
      <c r="F869" s="99"/>
      <c r="G869" s="99"/>
      <c r="H869" s="99"/>
      <c r="I869" s="99"/>
      <c r="J869" s="99"/>
      <c r="K869" s="99"/>
      <c r="L869" s="99"/>
      <c r="M869" s="99"/>
      <c r="N869" s="99"/>
    </row>
    <row r="870" spans="2:14" ht="15.75" hidden="1" customHeight="1">
      <c r="B870" s="99"/>
      <c r="C870" s="99"/>
      <c r="E870" s="99"/>
      <c r="F870" s="99"/>
      <c r="G870" s="99"/>
      <c r="H870" s="99"/>
      <c r="I870" s="99"/>
      <c r="J870" s="99"/>
      <c r="K870" s="99"/>
      <c r="L870" s="99"/>
      <c r="M870" s="99"/>
      <c r="N870" s="99"/>
    </row>
    <row r="871" spans="2:14" ht="15.75" hidden="1" customHeight="1">
      <c r="B871" s="99"/>
      <c r="C871" s="99"/>
      <c r="E871" s="99"/>
      <c r="F871" s="99"/>
      <c r="G871" s="99"/>
      <c r="H871" s="99"/>
      <c r="I871" s="99"/>
      <c r="J871" s="99"/>
      <c r="K871" s="99"/>
      <c r="L871" s="99"/>
      <c r="M871" s="99"/>
      <c r="N871" s="99"/>
    </row>
    <row r="872" spans="2:14" ht="15.75" hidden="1" customHeight="1">
      <c r="B872" s="99"/>
      <c r="C872" s="99"/>
      <c r="E872" s="99"/>
      <c r="F872" s="99"/>
      <c r="G872" s="99"/>
      <c r="H872" s="99"/>
      <c r="I872" s="99"/>
      <c r="J872" s="99"/>
      <c r="K872" s="99"/>
      <c r="L872" s="99"/>
      <c r="M872" s="99"/>
      <c r="N872" s="99"/>
    </row>
    <row r="873" spans="2:14" ht="15.75" hidden="1" customHeight="1">
      <c r="B873" s="99"/>
      <c r="C873" s="99"/>
      <c r="E873" s="99"/>
      <c r="F873" s="99"/>
      <c r="G873" s="99"/>
      <c r="H873" s="99"/>
      <c r="I873" s="99"/>
      <c r="J873" s="99"/>
      <c r="K873" s="99"/>
      <c r="L873" s="99"/>
      <c r="M873" s="99"/>
      <c r="N873" s="99"/>
    </row>
    <row r="874" spans="2:14" ht="15.75" hidden="1" customHeight="1">
      <c r="B874" s="99"/>
      <c r="C874" s="99"/>
      <c r="E874" s="99"/>
      <c r="F874" s="99"/>
      <c r="G874" s="99"/>
      <c r="H874" s="99"/>
      <c r="I874" s="99"/>
      <c r="J874" s="99"/>
      <c r="K874" s="99"/>
      <c r="L874" s="99"/>
      <c r="M874" s="99"/>
      <c r="N874" s="99"/>
    </row>
    <row r="875" spans="2:14" ht="15.75" hidden="1" customHeight="1">
      <c r="B875" s="99"/>
      <c r="C875" s="99"/>
      <c r="E875" s="99"/>
      <c r="F875" s="99"/>
      <c r="G875" s="99"/>
      <c r="H875" s="99"/>
      <c r="I875" s="99"/>
      <c r="J875" s="99"/>
      <c r="K875" s="99"/>
      <c r="L875" s="99"/>
      <c r="M875" s="99"/>
      <c r="N875" s="99"/>
    </row>
    <row r="876" spans="2:14" ht="15.75" hidden="1" customHeight="1">
      <c r="B876" s="99"/>
      <c r="C876" s="99"/>
      <c r="E876" s="99"/>
      <c r="F876" s="99"/>
      <c r="G876" s="99"/>
      <c r="H876" s="99"/>
      <c r="I876" s="99"/>
      <c r="J876" s="99"/>
      <c r="K876" s="99"/>
      <c r="L876" s="99"/>
      <c r="M876" s="99"/>
      <c r="N876" s="99"/>
    </row>
    <row r="877" spans="2:14" ht="15.75" hidden="1" customHeight="1">
      <c r="B877" s="99"/>
      <c r="C877" s="99"/>
      <c r="E877" s="99"/>
      <c r="F877" s="99"/>
      <c r="G877" s="99"/>
      <c r="H877" s="99"/>
      <c r="I877" s="99"/>
      <c r="J877" s="99"/>
      <c r="K877" s="99"/>
      <c r="L877" s="99"/>
      <c r="M877" s="99"/>
      <c r="N877" s="99"/>
    </row>
    <row r="878" spans="2:14" ht="15.75" hidden="1" customHeight="1">
      <c r="B878" s="99"/>
      <c r="C878" s="99"/>
      <c r="E878" s="99"/>
      <c r="F878" s="99"/>
      <c r="G878" s="99"/>
      <c r="H878" s="99"/>
      <c r="I878" s="99"/>
      <c r="J878" s="99"/>
      <c r="K878" s="99"/>
      <c r="L878" s="99"/>
      <c r="M878" s="99"/>
      <c r="N878" s="99"/>
    </row>
    <row r="879" spans="2:14" ht="15.75" hidden="1" customHeight="1">
      <c r="B879" s="99"/>
      <c r="C879" s="99"/>
      <c r="E879" s="99"/>
      <c r="F879" s="99"/>
      <c r="G879" s="99"/>
      <c r="H879" s="99"/>
      <c r="I879" s="99"/>
      <c r="J879" s="99"/>
      <c r="K879" s="99"/>
      <c r="L879" s="99"/>
      <c r="M879" s="99"/>
      <c r="N879" s="99"/>
    </row>
    <row r="880" spans="2:14" ht="15.75" hidden="1" customHeight="1">
      <c r="B880" s="99"/>
      <c r="C880" s="99"/>
      <c r="E880" s="99"/>
      <c r="F880" s="99"/>
      <c r="G880" s="99"/>
      <c r="H880" s="99"/>
      <c r="I880" s="99"/>
      <c r="J880" s="99"/>
      <c r="K880" s="99"/>
      <c r="L880" s="99"/>
      <c r="M880" s="99"/>
      <c r="N880" s="99"/>
    </row>
    <row r="881" spans="2:14" ht="15.75" hidden="1" customHeight="1">
      <c r="B881" s="99"/>
      <c r="C881" s="99"/>
      <c r="E881" s="99"/>
      <c r="F881" s="99"/>
      <c r="G881" s="99"/>
      <c r="H881" s="99"/>
      <c r="I881" s="99"/>
      <c r="J881" s="99"/>
      <c r="K881" s="99"/>
      <c r="L881" s="99"/>
      <c r="M881" s="99"/>
      <c r="N881" s="99"/>
    </row>
    <row r="882" spans="2:14" ht="15.75" hidden="1" customHeight="1">
      <c r="B882" s="99"/>
      <c r="C882" s="99"/>
      <c r="E882" s="99"/>
      <c r="F882" s="99"/>
      <c r="G882" s="99"/>
      <c r="H882" s="99"/>
      <c r="I882" s="99"/>
      <c r="J882" s="99"/>
      <c r="K882" s="99"/>
      <c r="L882" s="99"/>
      <c r="M882" s="99"/>
      <c r="N882" s="99"/>
    </row>
    <row r="883" spans="2:14" ht="15.75" hidden="1" customHeight="1">
      <c r="B883" s="99"/>
      <c r="C883" s="99"/>
      <c r="E883" s="99"/>
      <c r="F883" s="99"/>
      <c r="G883" s="99"/>
      <c r="H883" s="99"/>
      <c r="I883" s="99"/>
      <c r="J883" s="99"/>
      <c r="K883" s="99"/>
      <c r="L883" s="99"/>
      <c r="M883" s="99"/>
      <c r="N883" s="99"/>
    </row>
    <row r="884" spans="2:14" ht="15.75" hidden="1" customHeight="1">
      <c r="B884" s="99"/>
      <c r="C884" s="99"/>
      <c r="E884" s="99"/>
      <c r="F884" s="99"/>
      <c r="G884" s="99"/>
      <c r="H884" s="99"/>
      <c r="I884" s="99"/>
      <c r="J884" s="99"/>
      <c r="K884" s="99"/>
      <c r="L884" s="99"/>
      <c r="M884" s="99"/>
      <c r="N884" s="99"/>
    </row>
    <row r="885" spans="2:14" ht="15.75" hidden="1" customHeight="1">
      <c r="B885" s="99"/>
      <c r="C885" s="99"/>
      <c r="E885" s="99"/>
      <c r="F885" s="99"/>
      <c r="G885" s="99"/>
      <c r="H885" s="99"/>
      <c r="I885" s="99"/>
      <c r="J885" s="99"/>
      <c r="K885" s="99"/>
      <c r="L885" s="99"/>
      <c r="M885" s="99"/>
      <c r="N885" s="99"/>
    </row>
    <row r="886" spans="2:14" ht="15.75" hidden="1" customHeight="1">
      <c r="B886" s="99"/>
      <c r="C886" s="99"/>
      <c r="E886" s="99"/>
      <c r="F886" s="99"/>
      <c r="G886" s="99"/>
      <c r="H886" s="99"/>
      <c r="I886" s="99"/>
      <c r="J886" s="99"/>
      <c r="K886" s="99"/>
      <c r="L886" s="99"/>
      <c r="M886" s="99"/>
      <c r="N886" s="99"/>
    </row>
    <row r="887" spans="2:14" ht="15.75" hidden="1" customHeight="1">
      <c r="B887" s="99"/>
      <c r="C887" s="99"/>
      <c r="E887" s="99"/>
      <c r="F887" s="99"/>
      <c r="G887" s="99"/>
      <c r="H887" s="99"/>
      <c r="I887" s="99"/>
      <c r="J887" s="99"/>
      <c r="K887" s="99"/>
      <c r="L887" s="99"/>
      <c r="M887" s="99"/>
      <c r="N887" s="99"/>
    </row>
    <row r="888" spans="2:14" ht="15.75" hidden="1" customHeight="1">
      <c r="B888" s="99"/>
      <c r="C888" s="99"/>
      <c r="E888" s="99"/>
      <c r="F888" s="99"/>
      <c r="G888" s="99"/>
      <c r="H888" s="99"/>
      <c r="I888" s="99"/>
      <c r="J888" s="99"/>
      <c r="K888" s="99"/>
      <c r="L888" s="99"/>
      <c r="M888" s="99"/>
      <c r="N888" s="99"/>
    </row>
    <row r="889" spans="2:14" ht="15.75" hidden="1" customHeight="1">
      <c r="B889" s="99"/>
      <c r="C889" s="99"/>
      <c r="E889" s="99"/>
      <c r="F889" s="99"/>
      <c r="G889" s="99"/>
      <c r="H889" s="99"/>
      <c r="I889" s="99"/>
      <c r="J889" s="99"/>
      <c r="K889" s="99"/>
      <c r="L889" s="99"/>
      <c r="M889" s="99"/>
      <c r="N889" s="99"/>
    </row>
    <row r="890" spans="2:14" ht="15.75" hidden="1" customHeight="1">
      <c r="B890" s="99"/>
      <c r="C890" s="99"/>
      <c r="E890" s="99"/>
      <c r="F890" s="99"/>
      <c r="G890" s="99"/>
      <c r="H890" s="99"/>
      <c r="I890" s="99"/>
      <c r="J890" s="99"/>
      <c r="K890" s="99"/>
      <c r="L890" s="99"/>
      <c r="M890" s="99"/>
      <c r="N890" s="99"/>
    </row>
    <row r="891" spans="2:14" ht="15.75" hidden="1" customHeight="1">
      <c r="B891" s="99"/>
      <c r="C891" s="99"/>
      <c r="E891" s="99"/>
      <c r="F891" s="99"/>
      <c r="G891" s="99"/>
      <c r="H891" s="99"/>
      <c r="I891" s="99"/>
      <c r="J891" s="99"/>
      <c r="K891" s="99"/>
      <c r="L891" s="99"/>
      <c r="M891" s="99"/>
      <c r="N891" s="99"/>
    </row>
    <row r="892" spans="2:14" ht="15.75" hidden="1" customHeight="1">
      <c r="B892" s="99"/>
      <c r="C892" s="99"/>
      <c r="E892" s="99"/>
      <c r="F892" s="99"/>
      <c r="G892" s="99"/>
      <c r="H892" s="99"/>
      <c r="I892" s="99"/>
      <c r="J892" s="99"/>
      <c r="K892" s="99"/>
      <c r="L892" s="99"/>
      <c r="M892" s="99"/>
      <c r="N892" s="99"/>
    </row>
    <row r="893" spans="2:14" ht="15.75" hidden="1" customHeight="1">
      <c r="B893" s="99"/>
      <c r="C893" s="99"/>
      <c r="E893" s="99"/>
      <c r="F893" s="99"/>
      <c r="G893" s="99"/>
      <c r="H893" s="99"/>
      <c r="I893" s="99"/>
      <c r="J893" s="99"/>
      <c r="K893" s="99"/>
      <c r="L893" s="99"/>
      <c r="M893" s="99"/>
      <c r="N893" s="99"/>
    </row>
    <row r="894" spans="2:14" ht="15.75" hidden="1" customHeight="1">
      <c r="B894" s="99"/>
      <c r="C894" s="99"/>
      <c r="E894" s="99"/>
      <c r="F894" s="99"/>
      <c r="G894" s="99"/>
      <c r="H894" s="99"/>
      <c r="I894" s="99"/>
      <c r="J894" s="99"/>
      <c r="K894" s="99"/>
      <c r="L894" s="99"/>
      <c r="M894" s="99"/>
      <c r="N894" s="99"/>
    </row>
    <row r="895" spans="2:14" ht="15.75" hidden="1" customHeight="1">
      <c r="B895" s="99"/>
      <c r="C895" s="99"/>
      <c r="E895" s="99"/>
      <c r="F895" s="99"/>
      <c r="G895" s="99"/>
      <c r="H895" s="99"/>
      <c r="I895" s="99"/>
      <c r="J895" s="99"/>
      <c r="K895" s="99"/>
      <c r="L895" s="99"/>
      <c r="M895" s="99"/>
      <c r="N895" s="99"/>
    </row>
    <row r="896" spans="2:14" ht="15.75" hidden="1" customHeight="1">
      <c r="B896" s="99"/>
      <c r="C896" s="99"/>
      <c r="E896" s="99"/>
      <c r="F896" s="99"/>
      <c r="G896" s="99"/>
      <c r="H896" s="99"/>
      <c r="I896" s="99"/>
      <c r="J896" s="99"/>
      <c r="K896" s="99"/>
      <c r="L896" s="99"/>
      <c r="M896" s="99"/>
      <c r="N896" s="99"/>
    </row>
    <row r="897" spans="2:14" ht="15.75" hidden="1" customHeight="1">
      <c r="B897" s="99"/>
      <c r="C897" s="99"/>
      <c r="E897" s="99"/>
      <c r="F897" s="99"/>
      <c r="G897" s="99"/>
      <c r="H897" s="99"/>
      <c r="I897" s="99"/>
      <c r="J897" s="99"/>
      <c r="K897" s="99"/>
      <c r="L897" s="99"/>
      <c r="M897" s="99"/>
      <c r="N897" s="99"/>
    </row>
    <row r="898" spans="2:14" ht="15.75" hidden="1" customHeight="1">
      <c r="B898" s="99"/>
      <c r="C898" s="99"/>
      <c r="E898" s="99"/>
      <c r="F898" s="99"/>
      <c r="G898" s="99"/>
      <c r="H898" s="99"/>
      <c r="I898" s="99"/>
      <c r="J898" s="99"/>
      <c r="K898" s="99"/>
      <c r="L898" s="99"/>
      <c r="M898" s="99"/>
      <c r="N898" s="99"/>
    </row>
    <row r="899" spans="2:14" ht="15.75" hidden="1" customHeight="1">
      <c r="B899" s="99"/>
      <c r="C899" s="99"/>
      <c r="E899" s="99"/>
      <c r="F899" s="99"/>
      <c r="G899" s="99"/>
      <c r="H899" s="99"/>
      <c r="I899" s="99"/>
      <c r="J899" s="99"/>
      <c r="K899" s="99"/>
      <c r="L899" s="99"/>
      <c r="M899" s="99"/>
      <c r="N899" s="99"/>
    </row>
    <row r="900" spans="2:14" ht="15.75" hidden="1" customHeight="1">
      <c r="B900" s="99"/>
      <c r="C900" s="99"/>
      <c r="E900" s="99"/>
      <c r="F900" s="99"/>
      <c r="G900" s="99"/>
      <c r="H900" s="99"/>
      <c r="I900" s="99"/>
      <c r="J900" s="99"/>
      <c r="K900" s="99"/>
      <c r="L900" s="99"/>
      <c r="M900" s="99"/>
      <c r="N900" s="99"/>
    </row>
    <row r="901" spans="2:14" ht="15.75" hidden="1" customHeight="1">
      <c r="B901" s="99"/>
      <c r="C901" s="99"/>
      <c r="E901" s="99"/>
      <c r="F901" s="99"/>
      <c r="G901" s="99"/>
      <c r="H901" s="99"/>
      <c r="I901" s="99"/>
      <c r="J901" s="99"/>
      <c r="K901" s="99"/>
      <c r="L901" s="99"/>
      <c r="M901" s="99"/>
      <c r="N901" s="99"/>
    </row>
    <row r="902" spans="2:14" ht="15.75" hidden="1" customHeight="1">
      <c r="B902" s="99"/>
      <c r="C902" s="99"/>
      <c r="E902" s="99"/>
      <c r="F902" s="99"/>
      <c r="G902" s="99"/>
      <c r="H902" s="99"/>
      <c r="I902" s="99"/>
      <c r="J902" s="99"/>
      <c r="K902" s="99"/>
      <c r="L902" s="99"/>
      <c r="M902" s="99"/>
      <c r="N902" s="99"/>
    </row>
    <row r="903" spans="2:14" ht="15.75" hidden="1" customHeight="1">
      <c r="B903" s="99"/>
      <c r="C903" s="99"/>
      <c r="E903" s="99"/>
      <c r="F903" s="99"/>
      <c r="G903" s="99"/>
      <c r="H903" s="99"/>
      <c r="I903" s="99"/>
      <c r="J903" s="99"/>
      <c r="K903" s="99"/>
      <c r="L903" s="99"/>
      <c r="M903" s="99"/>
      <c r="N903" s="99"/>
    </row>
    <row r="904" spans="2:14" ht="15.75" hidden="1" customHeight="1">
      <c r="B904" s="99"/>
      <c r="C904" s="99"/>
      <c r="E904" s="99"/>
      <c r="F904" s="99"/>
      <c r="G904" s="99"/>
      <c r="H904" s="99"/>
      <c r="I904" s="99"/>
      <c r="J904" s="99"/>
      <c r="K904" s="99"/>
      <c r="L904" s="99"/>
      <c r="M904" s="99"/>
      <c r="N904" s="99"/>
    </row>
    <row r="905" spans="2:14" ht="15.75" hidden="1" customHeight="1">
      <c r="B905" s="99"/>
      <c r="C905" s="99"/>
      <c r="E905" s="99"/>
      <c r="F905" s="99"/>
      <c r="G905" s="99"/>
      <c r="H905" s="99"/>
      <c r="I905" s="99"/>
      <c r="J905" s="99"/>
      <c r="K905" s="99"/>
      <c r="L905" s="99"/>
      <c r="M905" s="99"/>
      <c r="N905" s="99"/>
    </row>
    <row r="906" spans="2:14" ht="15.75" hidden="1" customHeight="1">
      <c r="B906" s="99"/>
      <c r="C906" s="99"/>
      <c r="E906" s="99"/>
      <c r="F906" s="99"/>
      <c r="G906" s="99"/>
      <c r="H906" s="99"/>
      <c r="I906" s="99"/>
      <c r="J906" s="99"/>
      <c r="K906" s="99"/>
      <c r="L906" s="99"/>
      <c r="M906" s="99"/>
      <c r="N906" s="99"/>
    </row>
    <row r="907" spans="2:14" ht="15.75" hidden="1" customHeight="1">
      <c r="B907" s="99"/>
      <c r="C907" s="99"/>
      <c r="E907" s="99"/>
      <c r="F907" s="99"/>
      <c r="G907" s="99"/>
      <c r="H907" s="99"/>
      <c r="I907" s="99"/>
      <c r="J907" s="99"/>
      <c r="K907" s="99"/>
      <c r="L907" s="99"/>
      <c r="M907" s="99"/>
      <c r="N907" s="99"/>
    </row>
    <row r="908" spans="2:14" ht="15.75" hidden="1" customHeight="1">
      <c r="B908" s="99"/>
      <c r="C908" s="99"/>
      <c r="E908" s="99"/>
      <c r="F908" s="99"/>
      <c r="G908" s="99"/>
      <c r="H908" s="99"/>
      <c r="I908" s="99"/>
      <c r="J908" s="99"/>
      <c r="K908" s="99"/>
      <c r="L908" s="99"/>
      <c r="M908" s="99"/>
      <c r="N908" s="99"/>
    </row>
    <row r="909" spans="2:14" ht="15.75" hidden="1" customHeight="1">
      <c r="B909" s="99"/>
      <c r="C909" s="99"/>
      <c r="E909" s="99"/>
      <c r="F909" s="99"/>
      <c r="G909" s="99"/>
      <c r="H909" s="99"/>
      <c r="I909" s="99"/>
      <c r="J909" s="99"/>
      <c r="K909" s="99"/>
      <c r="L909" s="99"/>
      <c r="M909" s="99"/>
      <c r="N909" s="99"/>
    </row>
    <row r="910" spans="2:14" ht="15.75" hidden="1" customHeight="1">
      <c r="B910" s="99"/>
      <c r="C910" s="99"/>
      <c r="E910" s="99"/>
      <c r="F910" s="99"/>
      <c r="G910" s="99"/>
      <c r="H910" s="99"/>
      <c r="I910" s="99"/>
      <c r="J910" s="99"/>
      <c r="K910" s="99"/>
      <c r="L910" s="99"/>
      <c r="M910" s="99"/>
      <c r="N910" s="99"/>
    </row>
    <row r="911" spans="2:14" ht="15.75" hidden="1" customHeight="1">
      <c r="B911" s="99"/>
      <c r="C911" s="99"/>
      <c r="E911" s="99"/>
      <c r="F911" s="99"/>
      <c r="G911" s="99"/>
      <c r="H911" s="99"/>
      <c r="I911" s="99"/>
      <c r="J911" s="99"/>
      <c r="K911" s="99"/>
      <c r="L911" s="99"/>
      <c r="M911" s="99"/>
      <c r="N911" s="99"/>
    </row>
    <row r="912" spans="2:14" ht="15.75" hidden="1" customHeight="1">
      <c r="B912" s="99"/>
      <c r="C912" s="99"/>
      <c r="E912" s="99"/>
      <c r="F912" s="99"/>
      <c r="G912" s="99"/>
      <c r="H912" s="99"/>
      <c r="I912" s="99"/>
      <c r="J912" s="99"/>
      <c r="K912" s="99"/>
      <c r="L912" s="99"/>
      <c r="M912" s="99"/>
      <c r="N912" s="99"/>
    </row>
    <row r="913" spans="2:14" ht="15.75" hidden="1" customHeight="1">
      <c r="B913" s="99"/>
      <c r="C913" s="99"/>
      <c r="E913" s="99"/>
      <c r="F913" s="99"/>
      <c r="G913" s="99"/>
      <c r="H913" s="99"/>
      <c r="I913" s="99"/>
      <c r="J913" s="99"/>
      <c r="K913" s="99"/>
      <c r="L913" s="99"/>
      <c r="M913" s="99"/>
      <c r="N913" s="99"/>
    </row>
    <row r="914" spans="2:14" ht="15.75" hidden="1" customHeight="1">
      <c r="B914" s="99"/>
      <c r="C914" s="99"/>
      <c r="E914" s="99"/>
      <c r="F914" s="99"/>
      <c r="G914" s="99"/>
      <c r="H914" s="99"/>
      <c r="I914" s="99"/>
      <c r="J914" s="99"/>
      <c r="K914" s="99"/>
      <c r="L914" s="99"/>
      <c r="M914" s="99"/>
      <c r="N914" s="99"/>
    </row>
    <row r="915" spans="2:14" ht="15.75" hidden="1" customHeight="1">
      <c r="B915" s="99"/>
      <c r="C915" s="99"/>
      <c r="E915" s="99"/>
      <c r="F915" s="99"/>
      <c r="G915" s="99"/>
      <c r="H915" s="99"/>
      <c r="I915" s="99"/>
      <c r="J915" s="99"/>
      <c r="K915" s="99"/>
      <c r="L915" s="99"/>
      <c r="M915" s="99"/>
      <c r="N915" s="99"/>
    </row>
    <row r="916" spans="2:14" ht="15.75" hidden="1" customHeight="1">
      <c r="B916" s="99"/>
      <c r="C916" s="99"/>
      <c r="E916" s="99"/>
      <c r="F916" s="99"/>
      <c r="G916" s="99"/>
      <c r="H916" s="99"/>
      <c r="I916" s="99"/>
      <c r="J916" s="99"/>
      <c r="K916" s="99"/>
      <c r="L916" s="99"/>
      <c r="M916" s="99"/>
      <c r="N916" s="99"/>
    </row>
    <row r="917" spans="2:14" ht="15.75" hidden="1" customHeight="1">
      <c r="B917" s="99"/>
      <c r="C917" s="99"/>
      <c r="E917" s="99"/>
      <c r="F917" s="99"/>
      <c r="G917" s="99"/>
      <c r="H917" s="99"/>
      <c r="I917" s="99"/>
      <c r="J917" s="99"/>
      <c r="K917" s="99"/>
      <c r="L917" s="99"/>
      <c r="M917" s="99"/>
      <c r="N917" s="99"/>
    </row>
    <row r="918" spans="2:14" ht="15.75" hidden="1" customHeight="1">
      <c r="B918" s="99"/>
      <c r="C918" s="99"/>
      <c r="E918" s="99"/>
      <c r="F918" s="99"/>
      <c r="G918" s="99"/>
      <c r="H918" s="99"/>
      <c r="I918" s="99"/>
      <c r="J918" s="99"/>
      <c r="K918" s="99"/>
      <c r="L918" s="99"/>
      <c r="M918" s="99"/>
      <c r="N918" s="99"/>
    </row>
    <row r="919" spans="2:14" ht="15.75" hidden="1" customHeight="1">
      <c r="B919" s="99"/>
      <c r="C919" s="99"/>
      <c r="E919" s="99"/>
      <c r="F919" s="99"/>
      <c r="G919" s="99"/>
      <c r="H919" s="99"/>
      <c r="I919" s="99"/>
      <c r="J919" s="99"/>
      <c r="K919" s="99"/>
      <c r="L919" s="99"/>
      <c r="M919" s="99"/>
      <c r="N919" s="99"/>
    </row>
    <row r="920" spans="2:14" ht="15.75" hidden="1" customHeight="1">
      <c r="B920" s="99"/>
      <c r="C920" s="99"/>
      <c r="E920" s="99"/>
      <c r="F920" s="99"/>
      <c r="G920" s="99"/>
      <c r="H920" s="99"/>
      <c r="I920" s="99"/>
      <c r="J920" s="99"/>
      <c r="K920" s="99"/>
      <c r="L920" s="99"/>
      <c r="M920" s="99"/>
      <c r="N920" s="99"/>
    </row>
    <row r="921" spans="2:14" ht="15.75" hidden="1" customHeight="1">
      <c r="B921" s="99"/>
      <c r="C921" s="99"/>
      <c r="E921" s="99"/>
      <c r="F921" s="99"/>
      <c r="G921" s="99"/>
      <c r="H921" s="99"/>
      <c r="I921" s="99"/>
      <c r="J921" s="99"/>
      <c r="K921" s="99"/>
      <c r="L921" s="99"/>
      <c r="M921" s="99"/>
      <c r="N921" s="99"/>
    </row>
    <row r="922" spans="2:14" ht="15.75" hidden="1" customHeight="1">
      <c r="B922" s="99"/>
      <c r="C922" s="99"/>
      <c r="E922" s="99"/>
      <c r="F922" s="99"/>
      <c r="G922" s="99"/>
      <c r="H922" s="99"/>
      <c r="I922" s="99"/>
      <c r="J922" s="99"/>
      <c r="K922" s="99"/>
      <c r="L922" s="99"/>
      <c r="M922" s="99"/>
      <c r="N922" s="99"/>
    </row>
    <row r="923" spans="2:14" ht="15.75" hidden="1" customHeight="1">
      <c r="B923" s="99"/>
      <c r="C923" s="99"/>
      <c r="E923" s="99"/>
      <c r="F923" s="99"/>
      <c r="G923" s="99"/>
      <c r="H923" s="99"/>
      <c r="I923" s="99"/>
      <c r="J923" s="99"/>
      <c r="K923" s="99"/>
      <c r="L923" s="99"/>
      <c r="M923" s="99"/>
      <c r="N923" s="99"/>
    </row>
    <row r="924" spans="2:14" ht="15.75" hidden="1" customHeight="1">
      <c r="B924" s="99"/>
      <c r="C924" s="99"/>
      <c r="E924" s="99"/>
      <c r="F924" s="99"/>
      <c r="G924" s="99"/>
      <c r="H924" s="99"/>
      <c r="I924" s="99"/>
      <c r="J924" s="99"/>
      <c r="K924" s="99"/>
      <c r="L924" s="99"/>
      <c r="M924" s="99"/>
      <c r="N924" s="99"/>
    </row>
    <row r="925" spans="2:14" ht="15.75" hidden="1" customHeight="1">
      <c r="B925" s="99"/>
      <c r="C925" s="99"/>
      <c r="E925" s="99"/>
      <c r="F925" s="99"/>
      <c r="G925" s="99"/>
      <c r="H925" s="99"/>
      <c r="I925" s="99"/>
      <c r="J925" s="99"/>
      <c r="K925" s="99"/>
      <c r="L925" s="99"/>
      <c r="M925" s="99"/>
      <c r="N925" s="99"/>
    </row>
    <row r="926" spans="2:14" ht="15.75" hidden="1" customHeight="1">
      <c r="B926" s="99"/>
      <c r="C926" s="99"/>
      <c r="E926" s="99"/>
      <c r="F926" s="99"/>
      <c r="G926" s="99"/>
      <c r="H926" s="99"/>
      <c r="I926" s="99"/>
      <c r="J926" s="99"/>
      <c r="K926" s="99"/>
      <c r="L926" s="99"/>
      <c r="M926" s="99"/>
      <c r="N926" s="99"/>
    </row>
    <row r="927" spans="2:14" ht="15.75" hidden="1" customHeight="1">
      <c r="B927" s="99"/>
      <c r="C927" s="99"/>
      <c r="E927" s="99"/>
      <c r="F927" s="99"/>
      <c r="G927" s="99"/>
      <c r="H927" s="99"/>
      <c r="I927" s="99"/>
      <c r="J927" s="99"/>
      <c r="K927" s="99"/>
      <c r="L927" s="99"/>
      <c r="M927" s="99"/>
      <c r="N927" s="99"/>
    </row>
    <row r="928" spans="2:14" ht="15.75" hidden="1" customHeight="1">
      <c r="B928" s="99"/>
      <c r="C928" s="99"/>
      <c r="E928" s="99"/>
      <c r="F928" s="99"/>
      <c r="G928" s="99"/>
      <c r="H928" s="99"/>
      <c r="I928" s="99"/>
      <c r="J928" s="99"/>
      <c r="K928" s="99"/>
      <c r="L928" s="99"/>
      <c r="M928" s="99"/>
      <c r="N928" s="99"/>
    </row>
    <row r="929" spans="2:14" ht="15.75" hidden="1" customHeight="1">
      <c r="B929" s="99"/>
      <c r="C929" s="99"/>
      <c r="E929" s="99"/>
      <c r="F929" s="99"/>
      <c r="G929" s="99"/>
      <c r="H929" s="99"/>
      <c r="I929" s="99"/>
      <c r="J929" s="99"/>
      <c r="K929" s="99"/>
      <c r="L929" s="99"/>
      <c r="M929" s="99"/>
      <c r="N929" s="99"/>
    </row>
    <row r="930" spans="2:14" ht="15.75" hidden="1" customHeight="1">
      <c r="B930" s="99"/>
      <c r="C930" s="99"/>
      <c r="E930" s="99"/>
      <c r="F930" s="99"/>
      <c r="G930" s="99"/>
      <c r="H930" s="99"/>
      <c r="I930" s="99"/>
      <c r="J930" s="99"/>
      <c r="K930" s="99"/>
      <c r="L930" s="99"/>
      <c r="M930" s="99"/>
      <c r="N930" s="99"/>
    </row>
    <row r="931" spans="2:14" ht="15.75" hidden="1" customHeight="1">
      <c r="B931" s="99"/>
      <c r="C931" s="99"/>
      <c r="E931" s="99"/>
      <c r="F931" s="99"/>
      <c r="G931" s="99"/>
      <c r="H931" s="99"/>
      <c r="I931" s="99"/>
      <c r="J931" s="99"/>
      <c r="K931" s="99"/>
      <c r="L931" s="99"/>
      <c r="M931" s="99"/>
      <c r="N931" s="99"/>
    </row>
    <row r="932" spans="2:14" ht="15.75" hidden="1" customHeight="1">
      <c r="B932" s="99"/>
      <c r="C932" s="99"/>
      <c r="E932" s="99"/>
      <c r="F932" s="99"/>
      <c r="G932" s="99"/>
      <c r="H932" s="99"/>
      <c r="I932" s="99"/>
      <c r="J932" s="99"/>
      <c r="K932" s="99"/>
      <c r="L932" s="99"/>
      <c r="M932" s="99"/>
      <c r="N932" s="99"/>
    </row>
    <row r="933" spans="2:14" ht="15.75" hidden="1" customHeight="1">
      <c r="B933" s="99"/>
      <c r="C933" s="99"/>
      <c r="E933" s="99"/>
      <c r="F933" s="99"/>
      <c r="G933" s="99"/>
      <c r="H933" s="99"/>
      <c r="I933" s="99"/>
      <c r="J933" s="99"/>
      <c r="K933" s="99"/>
      <c r="L933" s="99"/>
      <c r="M933" s="99"/>
      <c r="N933" s="99"/>
    </row>
    <row r="934" spans="2:14" ht="15.75" hidden="1" customHeight="1">
      <c r="B934" s="99"/>
      <c r="C934" s="99"/>
      <c r="E934" s="99"/>
      <c r="F934" s="99"/>
      <c r="G934" s="99"/>
      <c r="H934" s="99"/>
      <c r="I934" s="99"/>
      <c r="J934" s="99"/>
      <c r="K934" s="99"/>
      <c r="L934" s="99"/>
      <c r="M934" s="99"/>
      <c r="N934" s="99"/>
    </row>
    <row r="935" spans="2:14" ht="15.75" hidden="1" customHeight="1">
      <c r="B935" s="99"/>
      <c r="C935" s="99"/>
      <c r="E935" s="99"/>
      <c r="F935" s="99"/>
      <c r="G935" s="99"/>
      <c r="H935" s="99"/>
      <c r="I935" s="99"/>
      <c r="J935" s="99"/>
      <c r="K935" s="99"/>
      <c r="L935" s="99"/>
      <c r="M935" s="99"/>
      <c r="N935" s="99"/>
    </row>
    <row r="936" spans="2:14" ht="15.75" hidden="1" customHeight="1">
      <c r="B936" s="99"/>
      <c r="C936" s="99"/>
      <c r="E936" s="99"/>
      <c r="F936" s="99"/>
      <c r="G936" s="99"/>
      <c r="H936" s="99"/>
      <c r="I936" s="99"/>
      <c r="J936" s="99"/>
      <c r="K936" s="99"/>
      <c r="L936" s="99"/>
      <c r="M936" s="99"/>
      <c r="N936" s="99"/>
    </row>
    <row r="937" spans="2:14" ht="15.75" hidden="1" customHeight="1">
      <c r="B937" s="99"/>
      <c r="C937" s="99"/>
      <c r="E937" s="99"/>
      <c r="F937" s="99"/>
      <c r="G937" s="99"/>
      <c r="H937" s="99"/>
      <c r="I937" s="99"/>
      <c r="J937" s="99"/>
      <c r="K937" s="99"/>
      <c r="L937" s="99"/>
      <c r="M937" s="99"/>
      <c r="N937" s="99"/>
    </row>
    <row r="938" spans="2:14" ht="15.75" hidden="1" customHeight="1">
      <c r="B938" s="99"/>
      <c r="C938" s="99"/>
      <c r="E938" s="99"/>
      <c r="F938" s="99"/>
      <c r="G938" s="99"/>
      <c r="H938" s="99"/>
      <c r="I938" s="99"/>
      <c r="J938" s="99"/>
      <c r="K938" s="99"/>
      <c r="L938" s="99"/>
      <c r="M938" s="99"/>
      <c r="N938" s="99"/>
    </row>
    <row r="939" spans="2:14" ht="15.75" hidden="1" customHeight="1">
      <c r="B939" s="99"/>
      <c r="C939" s="99"/>
      <c r="E939" s="99"/>
      <c r="F939" s="99"/>
      <c r="G939" s="99"/>
      <c r="H939" s="99"/>
      <c r="I939" s="99"/>
      <c r="J939" s="99"/>
      <c r="K939" s="99"/>
      <c r="L939" s="99"/>
      <c r="M939" s="99"/>
      <c r="N939" s="99"/>
    </row>
    <row r="940" spans="2:14" ht="15.75" hidden="1" customHeight="1">
      <c r="B940" s="99"/>
      <c r="C940" s="99"/>
      <c r="E940" s="99"/>
      <c r="F940" s="99"/>
      <c r="G940" s="99"/>
      <c r="H940" s="99"/>
      <c r="I940" s="99"/>
      <c r="J940" s="99"/>
      <c r="K940" s="99"/>
      <c r="L940" s="99"/>
      <c r="M940" s="99"/>
      <c r="N940" s="99"/>
    </row>
    <row r="941" spans="2:14" ht="15.75" hidden="1" customHeight="1">
      <c r="B941" s="99"/>
      <c r="C941" s="99"/>
      <c r="E941" s="99"/>
      <c r="F941" s="99"/>
      <c r="G941" s="99"/>
      <c r="H941" s="99"/>
      <c r="I941" s="99"/>
      <c r="J941" s="99"/>
      <c r="K941" s="99"/>
      <c r="L941" s="99"/>
      <c r="M941" s="99"/>
      <c r="N941" s="99"/>
    </row>
    <row r="942" spans="2:14" ht="15.75" hidden="1" customHeight="1">
      <c r="B942" s="99"/>
      <c r="C942" s="99"/>
      <c r="E942" s="99"/>
      <c r="F942" s="99"/>
      <c r="G942" s="99"/>
      <c r="H942" s="99"/>
      <c r="I942" s="99"/>
      <c r="J942" s="99"/>
      <c r="K942" s="99"/>
      <c r="L942" s="99"/>
      <c r="M942" s="99"/>
      <c r="N942" s="99"/>
    </row>
    <row r="943" spans="2:14" ht="15.75" hidden="1" customHeight="1">
      <c r="B943" s="99"/>
      <c r="C943" s="99"/>
      <c r="E943" s="99"/>
      <c r="F943" s="99"/>
      <c r="G943" s="99"/>
      <c r="H943" s="99"/>
      <c r="I943" s="99"/>
      <c r="J943" s="99"/>
      <c r="K943" s="99"/>
      <c r="L943" s="99"/>
      <c r="M943" s="99"/>
      <c r="N943" s="99"/>
    </row>
    <row r="944" spans="2:14" ht="15.75" hidden="1" customHeight="1">
      <c r="B944" s="99"/>
      <c r="C944" s="99"/>
      <c r="E944" s="99"/>
      <c r="F944" s="99"/>
      <c r="G944" s="99"/>
      <c r="H944" s="99"/>
      <c r="I944" s="99"/>
      <c r="J944" s="99"/>
      <c r="K944" s="99"/>
      <c r="L944" s="99"/>
      <c r="M944" s="99"/>
      <c r="N944" s="99"/>
    </row>
    <row r="945" spans="2:14" ht="15.75" hidden="1" customHeight="1">
      <c r="B945" s="99"/>
      <c r="C945" s="99"/>
      <c r="E945" s="99"/>
      <c r="F945" s="99"/>
      <c r="G945" s="99"/>
      <c r="H945" s="99"/>
      <c r="I945" s="99"/>
      <c r="J945" s="99"/>
      <c r="K945" s="99"/>
      <c r="L945" s="99"/>
      <c r="M945" s="99"/>
      <c r="N945" s="99"/>
    </row>
    <row r="946" spans="2:14" ht="15.75" hidden="1" customHeight="1">
      <c r="B946" s="99"/>
      <c r="C946" s="99"/>
      <c r="E946" s="99"/>
      <c r="F946" s="99"/>
      <c r="G946" s="99"/>
      <c r="H946" s="99"/>
      <c r="I946" s="99"/>
      <c r="J946" s="99"/>
      <c r="K946" s="99"/>
      <c r="L946" s="99"/>
      <c r="M946" s="99"/>
      <c r="N946" s="99"/>
    </row>
    <row r="947" spans="2:14" ht="15.75" hidden="1" customHeight="1">
      <c r="B947" s="99"/>
      <c r="C947" s="99"/>
      <c r="E947" s="99"/>
      <c r="F947" s="99"/>
      <c r="G947" s="99"/>
      <c r="H947" s="99"/>
      <c r="I947" s="99"/>
      <c r="J947" s="99"/>
      <c r="K947" s="99"/>
      <c r="L947" s="99"/>
      <c r="M947" s="99"/>
      <c r="N947" s="99"/>
    </row>
    <row r="948" spans="2:14" ht="15.75" hidden="1" customHeight="1">
      <c r="B948" s="99"/>
      <c r="C948" s="99"/>
      <c r="E948" s="99"/>
      <c r="F948" s="99"/>
      <c r="G948" s="99"/>
      <c r="H948" s="99"/>
      <c r="I948" s="99"/>
      <c r="J948" s="99"/>
      <c r="K948" s="99"/>
      <c r="L948" s="99"/>
      <c r="M948" s="99"/>
      <c r="N948" s="99"/>
    </row>
    <row r="949" spans="2:14" ht="15.75" hidden="1" customHeight="1">
      <c r="B949" s="99"/>
      <c r="C949" s="99"/>
      <c r="E949" s="99"/>
      <c r="F949" s="99"/>
      <c r="G949" s="99"/>
      <c r="H949" s="99"/>
      <c r="I949" s="99"/>
      <c r="J949" s="99"/>
      <c r="K949" s="99"/>
      <c r="L949" s="99"/>
      <c r="M949" s="99"/>
      <c r="N949" s="99"/>
    </row>
    <row r="950" spans="2:14" ht="15.75" hidden="1" customHeight="1">
      <c r="B950" s="99"/>
      <c r="C950" s="99"/>
      <c r="E950" s="99"/>
      <c r="F950" s="99"/>
      <c r="G950" s="99"/>
      <c r="H950" s="99"/>
      <c r="I950" s="99"/>
      <c r="J950" s="99"/>
      <c r="K950" s="99"/>
      <c r="L950" s="99"/>
      <c r="M950" s="99"/>
      <c r="N950" s="99"/>
    </row>
    <row r="951" spans="2:14" ht="15.75" hidden="1" customHeight="1">
      <c r="B951" s="99"/>
      <c r="C951" s="99"/>
      <c r="E951" s="99"/>
      <c r="F951" s="99"/>
      <c r="G951" s="99"/>
      <c r="H951" s="99"/>
      <c r="I951" s="99"/>
      <c r="J951" s="99"/>
      <c r="K951" s="99"/>
      <c r="L951" s="99"/>
      <c r="M951" s="99"/>
      <c r="N951" s="99"/>
    </row>
    <row r="952" spans="2:14" ht="15.75" hidden="1" customHeight="1">
      <c r="B952" s="99"/>
      <c r="C952" s="99"/>
      <c r="E952" s="99"/>
      <c r="F952" s="99"/>
      <c r="G952" s="99"/>
      <c r="H952" s="99"/>
      <c r="I952" s="99"/>
      <c r="J952" s="99"/>
      <c r="K952" s="99"/>
      <c r="L952" s="99"/>
      <c r="M952" s="99"/>
      <c r="N952" s="99"/>
    </row>
    <row r="953" spans="2:14" ht="15.75" hidden="1" customHeight="1">
      <c r="B953" s="99"/>
      <c r="C953" s="99"/>
      <c r="E953" s="99"/>
      <c r="F953" s="99"/>
      <c r="G953" s="99"/>
      <c r="H953" s="99"/>
      <c r="I953" s="99"/>
      <c r="J953" s="99"/>
      <c r="K953" s="99"/>
      <c r="L953" s="99"/>
      <c r="M953" s="99"/>
      <c r="N953" s="99"/>
    </row>
    <row r="954" spans="2:14" ht="15.75" hidden="1" customHeight="1">
      <c r="B954" s="99"/>
      <c r="C954" s="99"/>
      <c r="E954" s="99"/>
      <c r="F954" s="99"/>
      <c r="G954" s="99"/>
      <c r="H954" s="99"/>
      <c r="I954" s="99"/>
      <c r="J954" s="99"/>
      <c r="K954" s="99"/>
      <c r="L954" s="99"/>
      <c r="M954" s="99"/>
      <c r="N954" s="99"/>
    </row>
    <row r="955" spans="2:14" ht="15.75" hidden="1" customHeight="1">
      <c r="B955" s="99"/>
      <c r="C955" s="99"/>
      <c r="E955" s="99"/>
      <c r="F955" s="99"/>
      <c r="G955" s="99"/>
      <c r="H955" s="99"/>
      <c r="I955" s="99"/>
      <c r="J955" s="99"/>
      <c r="K955" s="99"/>
      <c r="L955" s="99"/>
      <c r="M955" s="99"/>
      <c r="N955" s="99"/>
    </row>
    <row r="956" spans="2:14" ht="15.75" hidden="1" customHeight="1">
      <c r="B956" s="99"/>
      <c r="C956" s="99"/>
      <c r="E956" s="99"/>
      <c r="F956" s="99"/>
      <c r="G956" s="99"/>
      <c r="H956" s="99"/>
      <c r="I956" s="99"/>
      <c r="J956" s="99"/>
      <c r="K956" s="99"/>
      <c r="L956" s="99"/>
      <c r="M956" s="99"/>
      <c r="N956" s="99"/>
    </row>
    <row r="957" spans="2:14" ht="15.75" hidden="1" customHeight="1">
      <c r="B957" s="99"/>
      <c r="C957" s="99"/>
      <c r="E957" s="99"/>
      <c r="F957" s="99"/>
      <c r="G957" s="99"/>
      <c r="H957" s="99"/>
      <c r="I957" s="99"/>
      <c r="J957" s="99"/>
      <c r="K957" s="99"/>
      <c r="L957" s="99"/>
      <c r="M957" s="99"/>
      <c r="N957" s="99"/>
    </row>
    <row r="958" spans="2:14" ht="15.75" hidden="1" customHeight="1">
      <c r="B958" s="99"/>
      <c r="C958" s="99"/>
      <c r="E958" s="99"/>
      <c r="F958" s="99"/>
      <c r="G958" s="99"/>
      <c r="H958" s="99"/>
      <c r="I958" s="99"/>
      <c r="J958" s="99"/>
      <c r="K958" s="99"/>
      <c r="L958" s="99"/>
      <c r="M958" s="99"/>
      <c r="N958" s="99"/>
    </row>
    <row r="959" spans="2:14" ht="15.75" hidden="1" customHeight="1">
      <c r="B959" s="99"/>
      <c r="C959" s="99"/>
      <c r="E959" s="99"/>
      <c r="F959" s="99"/>
      <c r="G959" s="99"/>
      <c r="H959" s="99"/>
      <c r="I959" s="99"/>
      <c r="J959" s="99"/>
      <c r="K959" s="99"/>
      <c r="L959" s="99"/>
      <c r="M959" s="99"/>
      <c r="N959" s="99"/>
    </row>
    <row r="960" spans="2:14" ht="15.75" hidden="1" customHeight="1">
      <c r="B960" s="99"/>
      <c r="C960" s="99"/>
      <c r="E960" s="99"/>
      <c r="F960" s="99"/>
      <c r="G960" s="99"/>
      <c r="H960" s="99"/>
      <c r="I960" s="99"/>
      <c r="J960" s="99"/>
      <c r="K960" s="99"/>
      <c r="L960" s="99"/>
      <c r="M960" s="99"/>
      <c r="N960" s="99"/>
    </row>
    <row r="961" spans="2:14" ht="15.75" hidden="1" customHeight="1">
      <c r="B961" s="99"/>
      <c r="C961" s="99"/>
      <c r="E961" s="99"/>
      <c r="F961" s="99"/>
      <c r="G961" s="99"/>
      <c r="H961" s="99"/>
      <c r="I961" s="99"/>
      <c r="J961" s="99"/>
      <c r="K961" s="99"/>
      <c r="L961" s="99"/>
      <c r="M961" s="99"/>
      <c r="N961" s="99"/>
    </row>
    <row r="962" spans="2:14" ht="15.75" hidden="1" customHeight="1">
      <c r="B962" s="99"/>
      <c r="C962" s="99"/>
      <c r="E962" s="99"/>
      <c r="F962" s="99"/>
      <c r="G962" s="99"/>
      <c r="H962" s="99"/>
      <c r="I962" s="99"/>
      <c r="J962" s="99"/>
      <c r="K962" s="99"/>
      <c r="L962" s="99"/>
      <c r="M962" s="99"/>
      <c r="N962" s="99"/>
    </row>
    <row r="963" spans="2:14" ht="15.75" hidden="1" customHeight="1">
      <c r="B963" s="99"/>
      <c r="C963" s="99"/>
      <c r="E963" s="99"/>
      <c r="F963" s="99"/>
      <c r="G963" s="99"/>
      <c r="H963" s="99"/>
      <c r="I963" s="99"/>
      <c r="J963" s="99"/>
      <c r="K963" s="99"/>
      <c r="L963" s="99"/>
      <c r="M963" s="99"/>
      <c r="N963" s="99"/>
    </row>
    <row r="964" spans="2:14" ht="15.75" hidden="1" customHeight="1">
      <c r="B964" s="99"/>
      <c r="C964" s="99"/>
      <c r="E964" s="99"/>
      <c r="F964" s="99"/>
      <c r="G964" s="99"/>
      <c r="H964" s="99"/>
      <c r="I964" s="99"/>
      <c r="J964" s="99"/>
      <c r="K964" s="99"/>
      <c r="L964" s="99"/>
      <c r="M964" s="99"/>
      <c r="N964" s="99"/>
    </row>
    <row r="965" spans="2:14" ht="15.75" hidden="1" customHeight="1">
      <c r="B965" s="99"/>
      <c r="C965" s="99"/>
      <c r="E965" s="99"/>
      <c r="F965" s="99"/>
      <c r="G965" s="99"/>
      <c r="H965" s="99"/>
      <c r="I965" s="99"/>
      <c r="J965" s="99"/>
      <c r="K965" s="99"/>
      <c r="L965" s="99"/>
      <c r="M965" s="99"/>
      <c r="N965" s="99"/>
    </row>
    <row r="966" spans="2:14" ht="15.75" hidden="1" customHeight="1">
      <c r="B966" s="99"/>
      <c r="C966" s="99"/>
      <c r="E966" s="99"/>
      <c r="F966" s="99"/>
      <c r="G966" s="99"/>
      <c r="H966" s="99"/>
      <c r="I966" s="99"/>
      <c r="J966" s="99"/>
      <c r="K966" s="99"/>
      <c r="L966" s="99"/>
      <c r="M966" s="99"/>
      <c r="N966" s="99"/>
    </row>
    <row r="967" spans="2:14" ht="15.75" hidden="1" customHeight="1">
      <c r="B967" s="99"/>
      <c r="C967" s="99"/>
      <c r="E967" s="99"/>
      <c r="F967" s="99"/>
      <c r="G967" s="99"/>
      <c r="H967" s="99"/>
      <c r="I967" s="99"/>
      <c r="J967" s="99"/>
      <c r="K967" s="99"/>
      <c r="L967" s="99"/>
      <c r="M967" s="99"/>
      <c r="N967" s="99"/>
    </row>
    <row r="968" spans="2:14" ht="15.75" hidden="1" customHeight="1">
      <c r="B968" s="99"/>
      <c r="C968" s="99"/>
      <c r="E968" s="99"/>
      <c r="F968" s="99"/>
      <c r="G968" s="99"/>
      <c r="H968" s="99"/>
      <c r="I968" s="99"/>
      <c r="J968" s="99"/>
      <c r="K968" s="99"/>
      <c r="L968" s="99"/>
      <c r="M968" s="99"/>
      <c r="N968" s="99"/>
    </row>
    <row r="969" spans="2:14" ht="15.75" hidden="1" customHeight="1">
      <c r="B969" s="99"/>
      <c r="C969" s="99"/>
      <c r="E969" s="99"/>
      <c r="F969" s="99"/>
      <c r="G969" s="99"/>
      <c r="H969" s="99"/>
      <c r="I969" s="99"/>
      <c r="J969" s="99"/>
      <c r="K969" s="99"/>
      <c r="L969" s="99"/>
      <c r="M969" s="99"/>
      <c r="N969" s="99"/>
    </row>
    <row r="970" spans="2:14" ht="15.75" hidden="1" customHeight="1">
      <c r="B970" s="99"/>
      <c r="C970" s="99"/>
      <c r="E970" s="99"/>
      <c r="F970" s="99"/>
      <c r="G970" s="99"/>
      <c r="H970" s="99"/>
      <c r="I970" s="99"/>
      <c r="J970" s="99"/>
      <c r="K970" s="99"/>
      <c r="L970" s="99"/>
      <c r="M970" s="99"/>
      <c r="N970" s="99"/>
    </row>
    <row r="971" spans="2:14" ht="15.75" hidden="1" customHeight="1">
      <c r="B971" s="99"/>
      <c r="C971" s="99"/>
      <c r="E971" s="99"/>
      <c r="F971" s="99"/>
      <c r="G971" s="99"/>
      <c r="H971" s="99"/>
      <c r="I971" s="99"/>
      <c r="J971" s="99"/>
      <c r="K971" s="99"/>
      <c r="L971" s="99"/>
      <c r="M971" s="99"/>
      <c r="N971" s="99"/>
    </row>
    <row r="972" spans="2:14" ht="15.75" hidden="1" customHeight="1">
      <c r="B972" s="99"/>
      <c r="C972" s="99"/>
      <c r="E972" s="99"/>
      <c r="F972" s="99"/>
      <c r="G972" s="99"/>
      <c r="H972" s="99"/>
      <c r="I972" s="99"/>
      <c r="J972" s="99"/>
      <c r="K972" s="99"/>
      <c r="L972" s="99"/>
      <c r="M972" s="99"/>
      <c r="N972" s="99"/>
    </row>
    <row r="973" spans="2:14" ht="15.75" hidden="1" customHeight="1">
      <c r="B973" s="99"/>
      <c r="C973" s="99"/>
      <c r="E973" s="99"/>
      <c r="F973" s="99"/>
      <c r="G973" s="99"/>
      <c r="H973" s="99"/>
      <c r="I973" s="99"/>
      <c r="J973" s="99"/>
      <c r="K973" s="99"/>
      <c r="L973" s="99"/>
      <c r="M973" s="99"/>
      <c r="N973" s="99"/>
    </row>
    <row r="974" spans="2:14" ht="15.75" hidden="1" customHeight="1">
      <c r="B974" s="99"/>
      <c r="C974" s="99"/>
      <c r="E974" s="99"/>
      <c r="F974" s="99"/>
      <c r="G974" s="99"/>
      <c r="H974" s="99"/>
      <c r="I974" s="99"/>
      <c r="J974" s="99"/>
      <c r="K974" s="99"/>
      <c r="L974" s="99"/>
      <c r="M974" s="99"/>
      <c r="N974" s="99"/>
    </row>
    <row r="975" spans="2:14" ht="15.75" hidden="1" customHeight="1">
      <c r="B975" s="99"/>
      <c r="C975" s="99"/>
      <c r="E975" s="99"/>
      <c r="F975" s="99"/>
      <c r="G975" s="99"/>
      <c r="H975" s="99"/>
      <c r="I975" s="99"/>
      <c r="J975" s="99"/>
      <c r="K975" s="99"/>
      <c r="L975" s="99"/>
      <c r="M975" s="99"/>
      <c r="N975" s="99"/>
    </row>
    <row r="976" spans="2:14" ht="15.75" hidden="1" customHeight="1">
      <c r="B976" s="99"/>
      <c r="C976" s="99"/>
      <c r="E976" s="99"/>
      <c r="F976" s="99"/>
      <c r="G976" s="99"/>
      <c r="H976" s="99"/>
      <c r="I976" s="99"/>
      <c r="J976" s="99"/>
      <c r="K976" s="99"/>
      <c r="L976" s="99"/>
      <c r="M976" s="99"/>
      <c r="N976" s="99"/>
    </row>
    <row r="977" spans="2:14" ht="15.75" hidden="1" customHeight="1">
      <c r="B977" s="99"/>
      <c r="C977" s="99"/>
      <c r="E977" s="99"/>
      <c r="F977" s="99"/>
      <c r="G977" s="99"/>
      <c r="H977" s="99"/>
      <c r="I977" s="99"/>
      <c r="J977" s="99"/>
      <c r="K977" s="99"/>
      <c r="L977" s="99"/>
      <c r="M977" s="99"/>
      <c r="N977" s="99"/>
    </row>
    <row r="978" spans="2:14" ht="15.75" hidden="1" customHeight="1">
      <c r="B978" s="99"/>
      <c r="C978" s="99"/>
      <c r="E978" s="99"/>
      <c r="F978" s="99"/>
      <c r="G978" s="99"/>
      <c r="H978" s="99"/>
      <c r="I978" s="99"/>
      <c r="J978" s="99"/>
      <c r="K978" s="99"/>
      <c r="L978" s="99"/>
      <c r="M978" s="99"/>
      <c r="N978" s="99"/>
    </row>
    <row r="979" spans="2:14" ht="15.75" hidden="1" customHeight="1">
      <c r="B979" s="99"/>
      <c r="C979" s="99"/>
      <c r="E979" s="99"/>
      <c r="F979" s="99"/>
      <c r="G979" s="99"/>
      <c r="H979" s="99"/>
      <c r="I979" s="99"/>
      <c r="J979" s="99"/>
      <c r="K979" s="99"/>
      <c r="L979" s="99"/>
      <c r="M979" s="99"/>
      <c r="N979" s="99"/>
    </row>
    <row r="980" spans="2:14" ht="15.75" hidden="1" customHeight="1">
      <c r="B980" s="99"/>
      <c r="C980" s="99"/>
      <c r="E980" s="99"/>
      <c r="F980" s="99"/>
      <c r="G980" s="99"/>
      <c r="H980" s="99"/>
      <c r="I980" s="99"/>
      <c r="J980" s="99"/>
      <c r="K980" s="99"/>
      <c r="L980" s="99"/>
      <c r="M980" s="99"/>
      <c r="N980" s="99"/>
    </row>
    <row r="981" spans="2:14" ht="15.75" hidden="1" customHeight="1">
      <c r="B981" s="99"/>
      <c r="C981" s="99"/>
      <c r="E981" s="99"/>
      <c r="F981" s="99"/>
      <c r="G981" s="99"/>
      <c r="H981" s="99"/>
      <c r="I981" s="99"/>
      <c r="J981" s="99"/>
      <c r="K981" s="99"/>
      <c r="L981" s="99"/>
      <c r="M981" s="99"/>
      <c r="N981" s="99"/>
    </row>
    <row r="982" spans="2:14" ht="15.75" hidden="1" customHeight="1">
      <c r="B982" s="99"/>
      <c r="C982" s="99"/>
      <c r="E982" s="99"/>
      <c r="F982" s="99"/>
      <c r="G982" s="99"/>
      <c r="H982" s="99"/>
      <c r="I982" s="99"/>
      <c r="J982" s="99"/>
      <c r="K982" s="99"/>
      <c r="L982" s="99"/>
      <c r="M982" s="99"/>
      <c r="N982" s="99"/>
    </row>
    <row r="983" spans="2:14" ht="15.75" hidden="1" customHeight="1">
      <c r="B983" s="99"/>
      <c r="C983" s="99"/>
      <c r="E983" s="99"/>
      <c r="F983" s="99"/>
      <c r="G983" s="99"/>
      <c r="H983" s="99"/>
      <c r="I983" s="99"/>
      <c r="J983" s="99"/>
      <c r="K983" s="99"/>
      <c r="L983" s="99"/>
      <c r="M983" s="99"/>
      <c r="N983" s="99"/>
    </row>
    <row r="984" spans="2:14" ht="15.75" hidden="1" customHeight="1">
      <c r="B984" s="99"/>
      <c r="C984" s="99"/>
      <c r="E984" s="99"/>
      <c r="F984" s="99"/>
      <c r="G984" s="99"/>
      <c r="H984" s="99"/>
      <c r="I984" s="99"/>
      <c r="J984" s="99"/>
      <c r="K984" s="99"/>
      <c r="L984" s="99"/>
      <c r="M984" s="99"/>
      <c r="N984" s="99"/>
    </row>
    <row r="985" spans="2:14" ht="15.75" hidden="1" customHeight="1">
      <c r="B985" s="99"/>
      <c r="C985" s="99"/>
      <c r="E985" s="99"/>
      <c r="F985" s="99"/>
      <c r="G985" s="99"/>
      <c r="H985" s="99"/>
      <c r="I985" s="99"/>
      <c r="J985" s="99"/>
      <c r="K985" s="99"/>
      <c r="L985" s="99"/>
      <c r="M985" s="99"/>
      <c r="N985" s="99"/>
    </row>
    <row r="986" spans="2:14" ht="15.75" hidden="1" customHeight="1">
      <c r="B986" s="99"/>
      <c r="C986" s="99"/>
      <c r="E986" s="99"/>
      <c r="F986" s="99"/>
      <c r="G986" s="99"/>
      <c r="H986" s="99"/>
      <c r="I986" s="99"/>
      <c r="J986" s="99"/>
      <c r="K986" s="99"/>
      <c r="L986" s="99"/>
      <c r="M986" s="99"/>
      <c r="N986" s="99"/>
    </row>
    <row r="987" spans="2:14" ht="15.75" hidden="1" customHeight="1">
      <c r="B987" s="99"/>
      <c r="C987" s="99"/>
      <c r="E987" s="99"/>
      <c r="F987" s="99"/>
      <c r="G987" s="99"/>
      <c r="H987" s="99"/>
      <c r="I987" s="99"/>
      <c r="J987" s="99"/>
      <c r="K987" s="99"/>
      <c r="L987" s="99"/>
      <c r="M987" s="99"/>
      <c r="N987" s="99"/>
    </row>
    <row r="988" spans="2:14" ht="15.75" hidden="1" customHeight="1">
      <c r="B988" s="99"/>
      <c r="C988" s="99"/>
      <c r="E988" s="99"/>
      <c r="F988" s="99"/>
      <c r="G988" s="99"/>
      <c r="H988" s="99"/>
      <c r="I988" s="99"/>
      <c r="J988" s="99"/>
      <c r="K988" s="99"/>
      <c r="L988" s="99"/>
      <c r="M988" s="99"/>
      <c r="N988" s="99"/>
    </row>
    <row r="989" spans="2:14" ht="15.75" hidden="1" customHeight="1">
      <c r="B989" s="99"/>
      <c r="C989" s="99"/>
      <c r="E989" s="99"/>
      <c r="F989" s="99"/>
      <c r="G989" s="99"/>
      <c r="H989" s="99"/>
      <c r="I989" s="99"/>
      <c r="J989" s="99"/>
      <c r="K989" s="99"/>
      <c r="L989" s="99"/>
      <c r="M989" s="99"/>
      <c r="N989" s="99"/>
    </row>
    <row r="990" spans="2:14" ht="15.75" hidden="1" customHeight="1">
      <c r="B990" s="99"/>
      <c r="C990" s="99"/>
      <c r="E990" s="99"/>
      <c r="F990" s="99"/>
      <c r="G990" s="99"/>
      <c r="H990" s="99"/>
      <c r="I990" s="99"/>
      <c r="J990" s="99"/>
      <c r="K990" s="99"/>
      <c r="L990" s="99"/>
      <c r="M990" s="99"/>
      <c r="N990" s="99"/>
    </row>
    <row r="991" spans="2:14" ht="15.75" hidden="1" customHeight="1">
      <c r="B991" s="99"/>
      <c r="C991" s="99"/>
      <c r="E991" s="99"/>
      <c r="F991" s="99"/>
      <c r="G991" s="99"/>
      <c r="H991" s="99"/>
      <c r="I991" s="99"/>
      <c r="J991" s="99"/>
      <c r="K991" s="99"/>
      <c r="L991" s="99"/>
      <c r="M991" s="99"/>
      <c r="N991" s="99"/>
    </row>
    <row r="992" spans="2:14" ht="15.75" hidden="1" customHeight="1">
      <c r="B992" s="99"/>
      <c r="C992" s="99"/>
      <c r="E992" s="99"/>
      <c r="F992" s="99"/>
      <c r="G992" s="99"/>
      <c r="H992" s="99"/>
      <c r="I992" s="99"/>
      <c r="J992" s="99"/>
      <c r="K992" s="99"/>
      <c r="L992" s="99"/>
      <c r="M992" s="99"/>
      <c r="N992" s="99"/>
    </row>
    <row r="993" spans="1:27" ht="15.75" hidden="1" customHeight="1">
      <c r="B993" s="99"/>
      <c r="C993" s="99"/>
      <c r="E993" s="99"/>
      <c r="F993" s="99"/>
      <c r="G993" s="99"/>
      <c r="H993" s="99"/>
      <c r="I993" s="99"/>
      <c r="J993" s="99"/>
      <c r="K993" s="99"/>
      <c r="L993" s="99"/>
      <c r="M993" s="99"/>
      <c r="N993" s="99"/>
    </row>
    <row r="994" spans="1:27" ht="15.75" hidden="1" customHeight="1">
      <c r="B994" s="99"/>
      <c r="C994" s="99"/>
      <c r="E994" s="99"/>
      <c r="F994" s="99"/>
      <c r="G994" s="99"/>
      <c r="H994" s="99"/>
      <c r="I994" s="99"/>
      <c r="J994" s="99"/>
      <c r="K994" s="99"/>
      <c r="L994" s="99"/>
      <c r="M994" s="99"/>
      <c r="N994" s="99"/>
    </row>
    <row r="995" spans="1:27" ht="15.75" hidden="1" customHeight="1">
      <c r="B995" s="99"/>
      <c r="C995" s="99"/>
      <c r="E995" s="99"/>
      <c r="F995" s="99"/>
      <c r="G995" s="99"/>
      <c r="H995" s="99"/>
      <c r="I995" s="99"/>
      <c r="J995" s="99"/>
      <c r="K995" s="99"/>
      <c r="L995" s="99"/>
      <c r="M995" s="99"/>
      <c r="N995" s="99"/>
    </row>
    <row r="996" spans="1:27" ht="15.75" hidden="1" customHeight="1">
      <c r="B996" s="99"/>
      <c r="C996" s="99"/>
      <c r="E996" s="99"/>
      <c r="F996" s="99"/>
      <c r="G996" s="99"/>
      <c r="H996" s="99"/>
      <c r="I996" s="99"/>
      <c r="J996" s="99"/>
      <c r="K996" s="99"/>
      <c r="L996" s="99"/>
      <c r="M996" s="99"/>
      <c r="N996" s="99"/>
    </row>
    <row r="997" spans="1:27" ht="15.75" hidden="1" customHeight="1">
      <c r="B997" s="99"/>
      <c r="C997" s="99"/>
      <c r="E997" s="99"/>
      <c r="F997" s="99"/>
      <c r="G997" s="99"/>
      <c r="H997" s="99"/>
      <c r="I997" s="99"/>
      <c r="J997" s="99"/>
      <c r="K997" s="99"/>
      <c r="L997" s="99"/>
      <c r="M997" s="99"/>
      <c r="N997" s="99"/>
    </row>
    <row r="998" spans="1:27" ht="15.75" hidden="1" customHeight="1">
      <c r="B998" s="99"/>
      <c r="C998" s="99"/>
      <c r="E998" s="99"/>
      <c r="F998" s="99"/>
      <c r="G998" s="99"/>
      <c r="H998" s="99"/>
      <c r="I998" s="99"/>
      <c r="J998" s="99"/>
      <c r="K998" s="99"/>
      <c r="L998" s="99"/>
      <c r="M998" s="99"/>
      <c r="N998" s="99"/>
    </row>
    <row r="999" spans="1:27" ht="15.75" hidden="1" customHeight="1">
      <c r="B999" s="99"/>
      <c r="C999" s="99"/>
      <c r="E999" s="99"/>
      <c r="F999" s="99"/>
      <c r="G999" s="99"/>
      <c r="H999" s="99"/>
      <c r="I999" s="99"/>
      <c r="J999" s="99"/>
      <c r="K999" s="99"/>
      <c r="L999" s="99"/>
      <c r="M999" s="99"/>
      <c r="N999" s="99"/>
    </row>
    <row r="1000" spans="1:27" ht="15.75" hidden="1" customHeight="1">
      <c r="B1000" s="99"/>
      <c r="C1000" s="99"/>
      <c r="E1000" s="99"/>
      <c r="F1000" s="99"/>
      <c r="G1000" s="99"/>
      <c r="H1000" s="99"/>
      <c r="I1000" s="99"/>
      <c r="J1000" s="99"/>
      <c r="K1000" s="99"/>
      <c r="L1000" s="99"/>
      <c r="M1000" s="99"/>
      <c r="N1000" s="99"/>
    </row>
    <row r="1001" spans="1:27" ht="15.75" hidden="1" customHeight="1"/>
    <row r="1002" spans="1:27" ht="15.75" hidden="1" customHeight="1"/>
    <row r="1003" spans="1:27" ht="15.75" hidden="1" customHeight="1"/>
    <row r="1004" spans="1:27" ht="15.75" hidden="1" customHeight="1"/>
    <row r="1005" spans="1:27" ht="15.75" hidden="1" customHeight="1"/>
    <row r="1006" spans="1:27" ht="15.75" hidden="1" customHeight="1"/>
    <row r="1007" spans="1:27" ht="15.75" customHeight="1"/>
    <row r="1008" spans="1:27" ht="24" customHeight="1">
      <c r="A1008" s="76"/>
      <c r="B1008" s="81" t="s">
        <v>43</v>
      </c>
      <c r="C1008" s="82"/>
      <c r="D1008" s="83"/>
      <c r="E1008" s="82"/>
      <c r="F1008" s="82"/>
      <c r="G1008" s="84">
        <f ca="1">SUM(G22:G1005)</f>
        <v>17089021000</v>
      </c>
      <c r="H1008" s="82"/>
      <c r="I1008" s="82"/>
      <c r="J1008" s="82"/>
      <c r="K1008" s="84">
        <f ca="1">SUM(K22:K1005)</f>
        <v>17089021000</v>
      </c>
      <c r="L1008" s="85"/>
      <c r="M1008" s="82"/>
      <c r="N1008" s="82"/>
      <c r="O1008" s="60"/>
      <c r="P1008" s="76"/>
      <c r="Q1008" s="76"/>
      <c r="R1008" s="76"/>
      <c r="S1008" s="76"/>
      <c r="T1008" s="76"/>
      <c r="U1008" s="76"/>
      <c r="V1008" s="76"/>
      <c r="W1008" s="76"/>
      <c r="X1008" s="76"/>
      <c r="Y1008" s="76"/>
      <c r="Z1008" s="76"/>
      <c r="AA1008" s="76"/>
    </row>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row r="1995" ht="15.75" customHeight="1"/>
    <row r="1996" ht="15.75" customHeight="1"/>
    <row r="1997" ht="15.75" customHeight="1"/>
    <row r="1998" ht="15.75" customHeight="1"/>
    <row r="1999" ht="15.75" customHeight="1"/>
    <row r="2000" ht="15.75" customHeight="1"/>
  </sheetData>
  <mergeCells count="6">
    <mergeCell ref="C17:G17"/>
    <mergeCell ref="B9:C9"/>
    <mergeCell ref="B10:C10"/>
    <mergeCell ref="B11:C11"/>
    <mergeCell ref="B12:D12"/>
    <mergeCell ref="C14:G14"/>
  </mergeCells>
  <pageMargins left="0.25" right="0.25" top="0.75" bottom="0.75" header="0.3" footer="0.3"/>
  <pageSetup paperSize="5" scale="46"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topLeftCell="A10" workbookViewId="0">
      <selection activeCell="Q131" sqref="A1:Q131"/>
    </sheetView>
  </sheetViews>
  <sheetFormatPr baseColWidth="10" defaultColWidth="12.5703125" defaultRowHeight="15" customHeight="1"/>
  <cols>
    <col min="1" max="1" width="2.140625" customWidth="1"/>
    <col min="2" max="2" width="52.7109375" customWidth="1"/>
    <col min="3" max="3" width="34.85546875" customWidth="1"/>
    <col min="4" max="4" width="27.28515625" customWidth="1"/>
    <col min="5" max="5" width="36.140625" customWidth="1"/>
    <col min="6" max="6" width="18.85546875" bestFit="1" customWidth="1"/>
    <col min="7" max="7" width="21.42578125" customWidth="1"/>
    <col min="8" max="8" width="19.7109375" customWidth="1"/>
    <col min="9" max="9" width="19.140625" customWidth="1"/>
    <col min="10" max="10" width="22.7109375" customWidth="1"/>
    <col min="11" max="11" width="11.42578125" customWidth="1"/>
    <col min="12" max="12" width="18.140625" customWidth="1"/>
    <col min="13" max="13" width="17.42578125" customWidth="1"/>
    <col min="14" max="26" width="11.42578125" customWidth="1"/>
  </cols>
  <sheetData>
    <row r="1" spans="1:26" ht="12.75" customHeight="1">
      <c r="A1" s="1"/>
      <c r="B1" s="46"/>
      <c r="C1" s="1"/>
      <c r="D1" s="1"/>
      <c r="E1" s="1"/>
      <c r="F1" s="66"/>
      <c r="G1" s="1"/>
      <c r="H1" s="1"/>
      <c r="I1" s="66"/>
      <c r="J1" s="1"/>
      <c r="K1" s="1"/>
      <c r="L1" s="1"/>
      <c r="M1" s="1"/>
      <c r="N1" s="1"/>
      <c r="O1" s="1"/>
      <c r="P1" s="1"/>
      <c r="Q1" s="1"/>
      <c r="R1" s="1"/>
      <c r="S1" s="1"/>
      <c r="T1" s="1"/>
      <c r="U1" s="1"/>
      <c r="V1" s="1"/>
      <c r="W1" s="1"/>
      <c r="X1" s="1"/>
      <c r="Y1" s="1"/>
      <c r="Z1" s="1"/>
    </row>
    <row r="2" spans="1:26" ht="12.75" customHeight="1">
      <c r="A2" s="1"/>
      <c r="B2" s="46"/>
      <c r="C2" s="1"/>
      <c r="D2" s="1"/>
      <c r="E2" s="1"/>
      <c r="F2" s="66"/>
      <c r="G2" s="1"/>
      <c r="H2" s="1"/>
      <c r="I2" s="66"/>
      <c r="J2" s="1"/>
      <c r="K2" s="1"/>
      <c r="L2" s="1"/>
      <c r="M2" s="1"/>
      <c r="N2" s="1"/>
      <c r="O2" s="1"/>
      <c r="P2" s="1"/>
      <c r="Q2" s="1"/>
      <c r="R2" s="1"/>
      <c r="S2" s="1"/>
      <c r="T2" s="1"/>
      <c r="U2" s="1"/>
      <c r="V2" s="1"/>
      <c r="W2" s="1"/>
      <c r="X2" s="1"/>
      <c r="Y2" s="1"/>
      <c r="Z2" s="1"/>
    </row>
    <row r="3" spans="1:26" ht="12.75" customHeight="1">
      <c r="A3" s="1"/>
      <c r="B3" s="46"/>
      <c r="C3" s="1"/>
      <c r="D3" s="1"/>
      <c r="E3" s="1"/>
      <c r="F3" s="66"/>
      <c r="G3" s="1"/>
      <c r="H3" s="1"/>
      <c r="I3" s="66"/>
      <c r="J3" s="1"/>
      <c r="K3" s="1"/>
      <c r="L3" s="1"/>
      <c r="M3" s="1"/>
      <c r="N3" s="1"/>
      <c r="O3" s="1"/>
      <c r="P3" s="1"/>
      <c r="Q3" s="1"/>
      <c r="R3" s="1"/>
      <c r="S3" s="1"/>
      <c r="T3" s="1"/>
      <c r="U3" s="1"/>
      <c r="V3" s="1"/>
      <c r="W3" s="1"/>
      <c r="X3" s="1"/>
      <c r="Y3" s="1"/>
      <c r="Z3" s="1"/>
    </row>
    <row r="4" spans="1:26" ht="12.75" customHeight="1">
      <c r="A4" s="1"/>
      <c r="B4" s="46"/>
      <c r="C4" s="1"/>
      <c r="D4" s="1"/>
      <c r="E4" s="1"/>
      <c r="F4" s="66"/>
      <c r="G4" s="1"/>
      <c r="H4" s="1"/>
      <c r="I4" s="66"/>
      <c r="J4" s="1"/>
      <c r="K4" s="1"/>
      <c r="L4" s="1"/>
      <c r="M4" s="1"/>
      <c r="N4" s="1"/>
      <c r="O4" s="1"/>
      <c r="P4" s="1"/>
      <c r="Q4" s="1"/>
      <c r="R4" s="1"/>
      <c r="S4" s="1"/>
      <c r="T4" s="1"/>
      <c r="U4" s="1"/>
      <c r="V4" s="1"/>
      <c r="W4" s="1"/>
      <c r="X4" s="1"/>
      <c r="Y4" s="1"/>
      <c r="Z4" s="1"/>
    </row>
    <row r="5" spans="1:26" ht="12.75" customHeight="1">
      <c r="A5" s="1"/>
      <c r="B5" s="46"/>
      <c r="C5" s="1"/>
      <c r="D5" s="1"/>
      <c r="E5" s="1"/>
      <c r="F5" s="66"/>
      <c r="G5" s="1"/>
      <c r="H5" s="1"/>
      <c r="I5" s="66"/>
      <c r="J5" s="1"/>
      <c r="K5" s="1"/>
      <c r="L5" s="1"/>
      <c r="M5" s="1"/>
      <c r="N5" s="1"/>
      <c r="O5" s="1"/>
      <c r="P5" s="1"/>
      <c r="Q5" s="1"/>
      <c r="R5" s="1"/>
      <c r="S5" s="1"/>
      <c r="T5" s="1"/>
      <c r="U5" s="1"/>
      <c r="V5" s="1"/>
      <c r="W5" s="1"/>
      <c r="X5" s="1"/>
      <c r="Y5" s="1"/>
      <c r="Z5" s="1"/>
    </row>
    <row r="6" spans="1:26" ht="12.75" customHeight="1">
      <c r="A6" s="1"/>
      <c r="B6" s="46"/>
      <c r="C6" s="1"/>
      <c r="D6" s="1"/>
      <c r="E6" s="1"/>
      <c r="F6" s="66"/>
      <c r="G6" s="1"/>
      <c r="H6" s="1"/>
      <c r="I6" s="66"/>
      <c r="J6" s="1"/>
      <c r="K6" s="1"/>
      <c r="L6" s="1"/>
      <c r="M6" s="1"/>
      <c r="N6" s="1"/>
      <c r="O6" s="1"/>
      <c r="P6" s="1"/>
      <c r="Q6" s="1"/>
      <c r="R6" s="1"/>
      <c r="S6" s="1"/>
      <c r="T6" s="1"/>
      <c r="U6" s="1"/>
      <c r="V6" s="1"/>
      <c r="W6" s="1"/>
      <c r="X6" s="1"/>
      <c r="Y6" s="1"/>
      <c r="Z6" s="1"/>
    </row>
    <row r="7" spans="1:26" ht="12.75" customHeight="1">
      <c r="A7" s="1"/>
      <c r="B7" s="46"/>
      <c r="C7" s="1"/>
      <c r="D7" s="1"/>
      <c r="E7" s="1"/>
      <c r="F7" s="66"/>
      <c r="G7" s="1"/>
      <c r="H7" s="1"/>
      <c r="I7" s="66"/>
      <c r="J7" s="1"/>
      <c r="K7" s="1"/>
      <c r="L7" s="1"/>
      <c r="M7" s="1"/>
      <c r="N7" s="1"/>
      <c r="O7" s="1"/>
      <c r="P7" s="1"/>
      <c r="Q7" s="1"/>
      <c r="R7" s="1"/>
      <c r="S7" s="1"/>
      <c r="T7" s="1"/>
      <c r="U7" s="1"/>
      <c r="V7" s="1"/>
      <c r="W7" s="1"/>
      <c r="X7" s="1"/>
      <c r="Y7" s="1"/>
      <c r="Z7" s="1"/>
    </row>
    <row r="8" spans="1:26" ht="12.75" customHeight="1">
      <c r="A8" s="1"/>
      <c r="B8" s="2" t="str">
        <f>'24.03.034'!B8</f>
        <v>4° Trimestre</v>
      </c>
      <c r="C8" s="3"/>
      <c r="D8" s="1"/>
      <c r="E8" s="1"/>
      <c r="F8" s="66"/>
      <c r="G8" s="1"/>
      <c r="H8" s="1"/>
      <c r="I8" s="66"/>
      <c r="J8" s="1"/>
      <c r="K8" s="1"/>
      <c r="L8" s="1"/>
      <c r="M8" s="1"/>
      <c r="N8" s="1"/>
      <c r="O8" s="1"/>
      <c r="P8" s="1"/>
      <c r="Q8" s="1"/>
      <c r="R8" s="1"/>
      <c r="S8" s="1"/>
      <c r="T8" s="1"/>
      <c r="U8" s="1"/>
      <c r="V8" s="1"/>
      <c r="W8" s="1"/>
      <c r="X8" s="1"/>
      <c r="Y8" s="1"/>
      <c r="Z8" s="1"/>
    </row>
    <row r="9" spans="1:26" ht="12.75" customHeight="1">
      <c r="A9" s="1"/>
      <c r="B9" s="110" t="s">
        <v>1</v>
      </c>
      <c r="C9" s="111"/>
      <c r="D9" s="1"/>
      <c r="E9" s="1"/>
      <c r="F9" s="66"/>
      <c r="G9" s="1"/>
      <c r="H9" s="1"/>
      <c r="I9" s="66"/>
      <c r="J9" s="1"/>
      <c r="K9" s="1"/>
      <c r="L9" s="1"/>
      <c r="M9" s="1"/>
      <c r="N9" s="1"/>
      <c r="O9" s="1"/>
      <c r="P9" s="1"/>
      <c r="Q9" s="1"/>
      <c r="R9" s="1"/>
      <c r="S9" s="1"/>
      <c r="T9" s="1"/>
      <c r="U9" s="1"/>
      <c r="V9" s="1"/>
      <c r="W9" s="1"/>
      <c r="X9" s="1"/>
      <c r="Y9" s="1"/>
      <c r="Z9" s="1"/>
    </row>
    <row r="10" spans="1:26" ht="12.75" customHeight="1">
      <c r="A10" s="1"/>
      <c r="B10" s="110" t="s">
        <v>2</v>
      </c>
      <c r="C10" s="111"/>
      <c r="D10" s="1"/>
      <c r="E10" s="1"/>
      <c r="F10" s="66"/>
      <c r="G10" s="1"/>
      <c r="H10" s="1"/>
      <c r="I10" s="66"/>
      <c r="J10" s="1"/>
      <c r="K10" s="1"/>
      <c r="L10" s="1"/>
      <c r="M10" s="1"/>
      <c r="N10" s="1"/>
      <c r="O10" s="1"/>
      <c r="P10" s="1"/>
      <c r="Q10" s="1"/>
      <c r="R10" s="1"/>
      <c r="S10" s="1"/>
      <c r="T10" s="1"/>
      <c r="U10" s="1"/>
      <c r="V10" s="1"/>
      <c r="W10" s="1"/>
      <c r="X10" s="1"/>
      <c r="Y10" s="1"/>
      <c r="Z10" s="1"/>
    </row>
    <row r="11" spans="1:26" ht="12.75" customHeight="1">
      <c r="A11" s="1"/>
      <c r="B11" s="6" t="s">
        <v>165</v>
      </c>
      <c r="C11" s="6"/>
      <c r="D11" s="1"/>
      <c r="E11" s="1"/>
      <c r="F11" s="66"/>
      <c r="G11" s="1"/>
      <c r="H11" s="1"/>
      <c r="I11" s="66"/>
      <c r="J11" s="1"/>
      <c r="K11" s="1"/>
      <c r="L11" s="1"/>
      <c r="M11" s="1"/>
      <c r="N11" s="1"/>
      <c r="O11" s="1"/>
      <c r="P11" s="1"/>
      <c r="Q11" s="1"/>
      <c r="R11" s="1"/>
      <c r="S11" s="1"/>
      <c r="T11" s="1"/>
      <c r="U11" s="1"/>
      <c r="V11" s="1"/>
      <c r="W11" s="1"/>
      <c r="X11" s="1"/>
      <c r="Y11" s="1"/>
      <c r="Z11" s="1"/>
    </row>
    <row r="12" spans="1:26" ht="25.5" customHeight="1">
      <c r="A12" s="1"/>
      <c r="B12" s="100" t="s">
        <v>166</v>
      </c>
      <c r="C12" s="100"/>
      <c r="D12" s="100"/>
      <c r="E12" s="1"/>
      <c r="F12" s="66"/>
      <c r="G12" s="1"/>
      <c r="H12" s="1"/>
      <c r="I12" s="66"/>
      <c r="J12" s="1"/>
      <c r="K12" s="1"/>
      <c r="L12" s="1"/>
      <c r="M12" s="1"/>
      <c r="N12" s="1"/>
      <c r="O12" s="1"/>
      <c r="P12" s="1"/>
      <c r="Q12" s="1"/>
      <c r="R12" s="1"/>
      <c r="S12" s="1"/>
      <c r="T12" s="1"/>
      <c r="U12" s="1"/>
      <c r="V12" s="1"/>
      <c r="W12" s="1"/>
      <c r="X12" s="1"/>
      <c r="Y12" s="1"/>
      <c r="Z12" s="1"/>
    </row>
    <row r="13" spans="1:26" ht="121.5" customHeight="1">
      <c r="A13" s="1"/>
      <c r="B13" s="48" t="s">
        <v>5</v>
      </c>
      <c r="C13" s="114" t="s">
        <v>6</v>
      </c>
      <c r="D13" s="115"/>
      <c r="E13" s="115"/>
      <c r="F13" s="115"/>
      <c r="G13" s="116"/>
      <c r="H13" s="1"/>
      <c r="I13" s="66"/>
      <c r="J13" s="1"/>
      <c r="K13" s="1"/>
      <c r="L13" s="1"/>
      <c r="M13" s="1"/>
      <c r="N13" s="1"/>
      <c r="O13" s="1"/>
      <c r="P13" s="1"/>
      <c r="Q13" s="1"/>
      <c r="R13" s="1"/>
      <c r="S13" s="1"/>
      <c r="T13" s="1"/>
      <c r="U13" s="1"/>
      <c r="V13" s="1"/>
      <c r="W13" s="1"/>
      <c r="X13" s="1"/>
      <c r="Y13" s="1"/>
      <c r="Z13" s="1"/>
    </row>
    <row r="14" spans="1:26" ht="12.75" customHeight="1">
      <c r="A14" s="1"/>
      <c r="B14" s="49"/>
      <c r="C14" s="5"/>
      <c r="D14" s="1"/>
      <c r="E14" s="1"/>
      <c r="F14" s="1"/>
      <c r="G14" s="1"/>
      <c r="H14" s="1"/>
      <c r="I14" s="66"/>
      <c r="J14" s="1"/>
      <c r="K14" s="1"/>
      <c r="L14" s="1"/>
      <c r="M14" s="1"/>
      <c r="N14" s="1"/>
      <c r="O14" s="1"/>
      <c r="P14" s="1"/>
      <c r="Q14" s="1"/>
      <c r="R14" s="1"/>
      <c r="S14" s="1"/>
      <c r="T14" s="1"/>
      <c r="U14" s="1"/>
      <c r="V14" s="1"/>
      <c r="W14" s="1"/>
      <c r="X14" s="1"/>
      <c r="Y14" s="1"/>
      <c r="Z14" s="1"/>
    </row>
    <row r="15" spans="1:26" ht="12.75" customHeight="1">
      <c r="A15" s="1"/>
      <c r="B15" s="49"/>
      <c r="C15" s="5"/>
      <c r="D15" s="1"/>
      <c r="E15" s="1"/>
      <c r="F15" s="1"/>
      <c r="G15" s="1"/>
      <c r="H15" s="1"/>
      <c r="I15" s="66"/>
      <c r="J15" s="1"/>
      <c r="K15" s="1"/>
      <c r="L15" s="1"/>
      <c r="M15" s="1"/>
      <c r="N15" s="1"/>
      <c r="O15" s="1"/>
      <c r="P15" s="1"/>
      <c r="Q15" s="1"/>
      <c r="R15" s="1"/>
      <c r="S15" s="1"/>
      <c r="T15" s="1"/>
      <c r="U15" s="1"/>
      <c r="V15" s="1"/>
      <c r="W15" s="1"/>
      <c r="X15" s="1"/>
      <c r="Y15" s="1"/>
      <c r="Z15" s="1"/>
    </row>
    <row r="16" spans="1:26" ht="55.5" customHeight="1">
      <c r="A16" s="1"/>
      <c r="B16" s="48" t="s">
        <v>7</v>
      </c>
      <c r="C16" s="114" t="s">
        <v>8</v>
      </c>
      <c r="D16" s="115"/>
      <c r="E16" s="115"/>
      <c r="F16" s="115"/>
      <c r="G16" s="116"/>
      <c r="H16" s="1"/>
      <c r="I16" s="66"/>
      <c r="J16" s="1"/>
      <c r="K16" s="1"/>
      <c r="L16" s="1"/>
      <c r="M16" s="1"/>
      <c r="N16" s="1"/>
      <c r="O16" s="1"/>
      <c r="P16" s="1"/>
      <c r="Q16" s="1"/>
      <c r="R16" s="1"/>
      <c r="S16" s="1"/>
      <c r="T16" s="1"/>
      <c r="U16" s="1"/>
      <c r="V16" s="1"/>
      <c r="W16" s="1"/>
      <c r="X16" s="1"/>
      <c r="Y16" s="1"/>
      <c r="Z16" s="1"/>
    </row>
    <row r="17" spans="1:26" ht="12.75" customHeight="1">
      <c r="A17" s="1"/>
      <c r="B17" s="47"/>
      <c r="C17" s="6"/>
      <c r="D17" s="1"/>
      <c r="E17" s="1"/>
      <c r="F17" s="66"/>
      <c r="G17" s="1"/>
      <c r="H17" s="1"/>
      <c r="I17" s="66"/>
      <c r="J17" s="1"/>
      <c r="K17" s="1"/>
      <c r="L17" s="1"/>
      <c r="M17" s="1"/>
      <c r="N17" s="1"/>
      <c r="O17" s="1"/>
      <c r="P17" s="1"/>
      <c r="Q17" s="1"/>
      <c r="R17" s="1"/>
      <c r="S17" s="1"/>
      <c r="T17" s="1"/>
      <c r="U17" s="1"/>
      <c r="V17" s="1"/>
      <c r="W17" s="1"/>
      <c r="X17" s="1"/>
      <c r="Y17" s="1"/>
      <c r="Z17" s="1"/>
    </row>
    <row r="18" spans="1:26" ht="12.75" customHeight="1">
      <c r="A18" s="1"/>
      <c r="B18" s="46"/>
      <c r="C18" s="1"/>
      <c r="D18" s="1"/>
      <c r="E18" s="1"/>
      <c r="F18" s="66"/>
      <c r="G18" s="1"/>
      <c r="H18" s="1"/>
      <c r="I18" s="66"/>
      <c r="J18" s="1"/>
      <c r="K18" s="1"/>
      <c r="L18" s="1"/>
      <c r="M18" s="1"/>
      <c r="N18" s="1"/>
      <c r="O18" s="1"/>
      <c r="P18" s="1"/>
      <c r="Q18" s="1"/>
      <c r="R18" s="1"/>
      <c r="S18" s="1"/>
      <c r="T18" s="1"/>
      <c r="U18" s="1"/>
      <c r="V18" s="1"/>
      <c r="W18" s="1"/>
      <c r="X18" s="1"/>
      <c r="Y18" s="1"/>
      <c r="Z18" s="1"/>
    </row>
    <row r="19" spans="1:26" ht="12.75" customHeight="1">
      <c r="A19" s="1"/>
      <c r="B19" s="101"/>
      <c r="C19" s="98"/>
      <c r="D19" s="98"/>
      <c r="E19" s="98"/>
      <c r="F19" s="102"/>
      <c r="G19" s="98"/>
      <c r="H19" s="98"/>
      <c r="I19" s="66"/>
      <c r="J19" s="1"/>
      <c r="K19" s="1"/>
      <c r="L19" s="1"/>
      <c r="M19" s="1"/>
      <c r="N19" s="1"/>
      <c r="O19" s="1"/>
      <c r="P19" s="1"/>
      <c r="Q19" s="1"/>
      <c r="R19" s="1"/>
      <c r="S19" s="1"/>
      <c r="T19" s="1"/>
      <c r="U19" s="1"/>
      <c r="V19" s="1"/>
      <c r="W19" s="1"/>
      <c r="X19" s="1"/>
      <c r="Y19" s="1"/>
      <c r="Z19" s="1"/>
    </row>
    <row r="20" spans="1:26" ht="29.25" customHeight="1">
      <c r="A20" s="79"/>
      <c r="B20" s="7" t="s">
        <v>10</v>
      </c>
      <c r="C20" s="7" t="s">
        <v>9</v>
      </c>
      <c r="D20" s="7" t="s">
        <v>11</v>
      </c>
      <c r="E20" s="7" t="s">
        <v>12</v>
      </c>
      <c r="F20" s="67" t="s">
        <v>13</v>
      </c>
      <c r="G20" s="7" t="s">
        <v>14</v>
      </c>
      <c r="H20" s="7" t="s">
        <v>15</v>
      </c>
      <c r="I20" s="8" t="s">
        <v>16</v>
      </c>
      <c r="J20" s="7" t="s">
        <v>17</v>
      </c>
      <c r="K20" s="7" t="s">
        <v>18</v>
      </c>
      <c r="L20" s="7" t="s">
        <v>19</v>
      </c>
      <c r="M20" s="7" t="s">
        <v>20</v>
      </c>
      <c r="N20" s="1"/>
      <c r="O20" s="1"/>
      <c r="P20" s="1"/>
      <c r="Q20" s="1"/>
      <c r="R20" s="1"/>
      <c r="S20" s="1"/>
      <c r="T20" s="1"/>
      <c r="U20" s="1"/>
      <c r="V20" s="1"/>
      <c r="W20" s="1"/>
      <c r="X20" s="1"/>
      <c r="Y20" s="1"/>
      <c r="Z20" s="1"/>
    </row>
    <row r="21" spans="1:26" ht="12.75" customHeight="1">
      <c r="A21" s="1"/>
      <c r="B21" s="10" t="str">
        <f ca="1">IFERROR(__xludf.DUMMYFUNCTION("IMPORTRANGE(""https://docs.google.com/spreadsheets/d/1326rdUM6oOTA_5T6U_eA-Yqy4OMk6d_RGd_Z1bKVaC8/edit#gid=1459860096"",""'33.03.111 PRBIPE'!i10:i79"")"),"DISEÑO REMODELACION EDIFICIO DAEM ADQUIRIDO POR PROGRAMA")</f>
        <v>DISEÑO REMODELACION EDIFICIO DAEM ADQUIRIDO POR PROGRAMA</v>
      </c>
      <c r="C21" s="26" t="str">
        <f t="shared" ref="C21:C90" ca="1" si="0">MID(E21,17,30)</f>
        <v xml:space="preserve"> CARTAGENA</v>
      </c>
      <c r="D21" s="10" t="str">
        <f ca="1">IFERROR(__xludf.DUMMYFUNCTION("IMPORTRANGE(""https://docs.google.com/spreadsheets/d/1326rdUM6oOTA_5T6U_eA-Yqy4OMk6d_RGd_Z1bKVaC8/edit#gid=1459860096"",""'33.03.111 PRBIPE'!k10:k79"")"),"Guía Operativa")</f>
        <v>Guía Operativa</v>
      </c>
      <c r="E21" s="26" t="str">
        <f ca="1">IFERROR(__xludf.DUMMYFUNCTION("IMPORTRANGE(""https://docs.google.com/spreadsheets/d/1326rdUM6oOTA_5T6U_eA-Yqy4OMk6d_RGd_Z1bKVaC8/edit#gid=1459860096"",""'33.03.111 PRBIPE'!f10:f79"")"),"MUNICIPALIDAD DE CARTAGENA")</f>
        <v>MUNICIPALIDAD DE CARTAGENA</v>
      </c>
      <c r="F21" s="11">
        <f ca="1">IFERROR(__xludf.DUMMYFUNCTION("IMPORTRANGE(""https://docs.google.com/spreadsheets/d/1326rdUM6oOTA_5T6U_eA-Yqy4OMk6d_RGd_Z1bKVaC8/edit#gid=1459860096"",""'33.03.111 PRBIPE'!p10:p79"")"),56000000)</f>
        <v>56000000</v>
      </c>
      <c r="G21" s="10" t="str">
        <f ca="1">IFERROR(__xludf.DUMMYFUNCTION("IMPORTRANGE(""https://docs.google.com/spreadsheets/d/1326rdUM6oOTA_5T6U_eA-Yqy4OMk6d_RGd_Z1bKVaC8/edit#gid=1459860096"",""'33.03.111 PRBIPE'!j10:j79"")"),"Resolución")</f>
        <v>Resolución</v>
      </c>
      <c r="H21" s="10" t="str">
        <f ca="1">IFERROR(__xludf.DUMMYFUNCTION("IMPORTRANGE(""https://docs.google.com/spreadsheets/d/1326rdUM6oOTA_5T6U_eA-Yqy4OMk6d_RGd_Z1bKVaC8/edit#gid=1459860096"",""'33.03.111 PRBIPE'!d10:d79"")"),"DISEÑO")</f>
        <v>DISEÑO</v>
      </c>
      <c r="I21" s="10" t="str">
        <f ca="1">IFERROR(__xludf.DUMMYFUNCTION("IMPORTRANGE(""https://docs.google.com/spreadsheets/d/1326rdUM6oOTA_5T6U_eA-Yqy4OMk6d_RGd_Z1bKVaC8/edit#gid=1459860096"",""'33.03.111 PRBIPE'!o10:o79"")"),"Cumplir con normativa y reglamentos internos del programa en base a los objetivos.")</f>
        <v>Cumplir con normativa y reglamentos internos del programa en base a los objetivos.</v>
      </c>
      <c r="J21" s="11">
        <f ca="1">IFERROR(__xludf.DUMMYFUNCTION("IMPORTRANGE(""https://docs.google.com/spreadsheets/d/1326rdUM6oOTA_5T6U_eA-Yqy4OMk6d_RGd_Z1bKVaC8/edit#gid=1459860096"",""'33.03.111 PRBIPE'!ah10:ah79"")"),5600000)</f>
        <v>5600000</v>
      </c>
      <c r="K21" s="27">
        <f ca="1">IFERROR(__xludf.DUMMYFUNCTION("IMPORTRANGE(""https://docs.google.com/spreadsheets/d/1326rdUM6oOTA_5T6U_eA-Yqy4OMk6d_RGd_Z1bKVaC8/edit#gid=1459860096"",""'33.03.111 PRBIPE'!ai10:ai79"")"),1)</f>
        <v>1</v>
      </c>
      <c r="L21" s="28" t="str">
        <f ca="1">IFERROR(__xludf.DUMMYFUNCTION("IMPORTRANGE(""https://docs.google.com/spreadsheets/d/1326rdUM6oOTA_5T6U_eA-Yqy4OMk6d_RGd_Z1bKVaC8/edit#gid=1459860096"",""'33.03.111 PRBIPE'!l10:l79"")"),"5650/2020")</f>
        <v>5650/2020</v>
      </c>
      <c r="M21" s="10" t="str">
        <f ca="1">IFERROR(__xludf.DUMMYFUNCTION("IMPORTRANGE(""https://docs.google.com/spreadsheets/d/1326rdUM6oOTA_5T6U_eA-Yqy4OMk6d_RGd_Z1bKVaC8/edit#gid=1459860096"",""'33.03.111 PRBIPE'!b10:b79"")"),"PRBIPE")</f>
        <v>PRBIPE</v>
      </c>
      <c r="N21" s="1"/>
      <c r="O21" s="1"/>
      <c r="P21" s="1"/>
      <c r="Q21" s="1"/>
      <c r="R21" s="1"/>
      <c r="S21" s="1"/>
      <c r="T21" s="1"/>
      <c r="U21" s="1"/>
      <c r="V21" s="1"/>
      <c r="W21" s="1"/>
      <c r="X21" s="1"/>
      <c r="Y21" s="1"/>
      <c r="Z21" s="1"/>
    </row>
    <row r="22" spans="1:26" ht="12.75" customHeight="1">
      <c r="A22" s="1"/>
      <c r="B22" s="10" t="str">
        <f ca="1">IFERROR(__xludf.DUMMYFUNCTION("""COMPUTED_VALUE"""),"DISEÑO PARA HABILITACIÓN DE LA CASA DE OFICIOS")</f>
        <v>DISEÑO PARA HABILITACIÓN DE LA CASA DE OFICIOS</v>
      </c>
      <c r="C22" s="26" t="str">
        <f t="shared" ca="1" si="0"/>
        <v xml:space="preserve"> CARTAGENA</v>
      </c>
      <c r="D22" s="10" t="str">
        <f ca="1">IFERROR(__xludf.DUMMYFUNCTION("""COMPUTED_VALUE"""),"Guía Operativa")</f>
        <v>Guía Operativa</v>
      </c>
      <c r="E22" s="26" t="str">
        <f ca="1">IFERROR(__xludf.DUMMYFUNCTION("""COMPUTED_VALUE"""),"MUNICIPALIDAD DE CARTAGENA")</f>
        <v>MUNICIPALIDAD DE CARTAGENA</v>
      </c>
      <c r="F22" s="11">
        <f ca="1">IFERROR(__xludf.DUMMYFUNCTION("""COMPUTED_VALUE"""),90000000)</f>
        <v>90000000</v>
      </c>
      <c r="G22" s="10" t="str">
        <f ca="1">IFERROR(__xludf.DUMMYFUNCTION("""COMPUTED_VALUE"""),"Resolución")</f>
        <v>Resolución</v>
      </c>
      <c r="H22" s="10" t="str">
        <f ca="1">IFERROR(__xludf.DUMMYFUNCTION("""COMPUTED_VALUE"""),"DISEÑO")</f>
        <v>DISEÑO</v>
      </c>
      <c r="I22" s="10" t="str">
        <f ca="1">IFERROR(__xludf.DUMMYFUNCTION("""COMPUTED_VALUE"""),"Cumplir con normativa y reglamentos internos del programa en base a los objetivos.")</f>
        <v>Cumplir con normativa y reglamentos internos del programa en base a los objetivos.</v>
      </c>
      <c r="J22" s="11">
        <f ca="1">IFERROR(__xludf.DUMMYFUNCTION("""COMPUTED_VALUE"""),8997975)</f>
        <v>8997975</v>
      </c>
      <c r="K22" s="27">
        <f ca="1">IFERROR(__xludf.DUMMYFUNCTION("""COMPUTED_VALUE"""),0.999775)</f>
        <v>0.99977499999999997</v>
      </c>
      <c r="L22" s="28" t="str">
        <f ca="1">IFERROR(__xludf.DUMMYFUNCTION("""COMPUTED_VALUE"""),"3718/2020")</f>
        <v>3718/2020</v>
      </c>
      <c r="M22" s="10" t="str">
        <f ca="1">IFERROR(__xludf.DUMMYFUNCTION("""COMPUTED_VALUE"""),"PRBIPE")</f>
        <v>PRBIPE</v>
      </c>
      <c r="N22" s="1"/>
      <c r="O22" s="1"/>
      <c r="P22" s="1"/>
      <c r="Q22" s="1"/>
      <c r="R22" s="1"/>
      <c r="S22" s="1"/>
      <c r="T22" s="1"/>
      <c r="U22" s="1"/>
      <c r="V22" s="1"/>
      <c r="W22" s="1"/>
      <c r="X22" s="1"/>
      <c r="Y22" s="1"/>
      <c r="Z22" s="1"/>
    </row>
    <row r="23" spans="1:26" ht="12.75" customHeight="1">
      <c r="A23" s="1"/>
      <c r="B23" s="10" t="str">
        <f ca="1">IFERROR(__xludf.DUMMYFUNCTION("""COMPUTED_VALUE"""),"SERVICIOS PROFESIONALES PARA DISEÑO DE PROYECTOS EN EL BARRIO HISTÓRICO Y CULTURAL DE CARTAGENA")</f>
        <v>SERVICIOS PROFESIONALES PARA DISEÑO DE PROYECTOS EN EL BARRIO HISTÓRICO Y CULTURAL DE CARTAGENA</v>
      </c>
      <c r="C23" s="26" t="str">
        <f t="shared" ca="1" si="0"/>
        <v xml:space="preserve"> CARTAGENA</v>
      </c>
      <c r="D23" s="10" t="str">
        <f ca="1">IFERROR(__xludf.DUMMYFUNCTION("""COMPUTED_VALUE"""),"Guía Operativa")</f>
        <v>Guía Operativa</v>
      </c>
      <c r="E23" s="26" t="str">
        <f ca="1">IFERROR(__xludf.DUMMYFUNCTION("""COMPUTED_VALUE"""),"MUNICIPALIDAD DE CARTAGENA")</f>
        <v>MUNICIPALIDAD DE CARTAGENA</v>
      </c>
      <c r="F23" s="11">
        <f ca="1">IFERROR(__xludf.DUMMYFUNCTION("""COMPUTED_VALUE"""),83510604)</f>
        <v>83510604</v>
      </c>
      <c r="G23" s="10" t="str">
        <f ca="1">IFERROR(__xludf.DUMMYFUNCTION("""COMPUTED_VALUE"""),"Resolución")</f>
        <v>Resolución</v>
      </c>
      <c r="H23" s="10" t="str">
        <f ca="1">IFERROR(__xludf.DUMMYFUNCTION("""COMPUTED_VALUE"""),"ASISTENCIA TÉCNICA")</f>
        <v>ASISTENCIA TÉCNICA</v>
      </c>
      <c r="I23" s="10" t="str">
        <f ca="1">IFERROR(__xludf.DUMMYFUNCTION("""COMPUTED_VALUE"""),"Cumplir con normativa y reglamentos internos del programa en base a los objetivos.")</f>
        <v>Cumplir con normativa y reglamentos internos del programa en base a los objetivos.</v>
      </c>
      <c r="J23" s="11">
        <f ca="1">IFERROR(__xludf.DUMMYFUNCTION("""COMPUTED_VALUE"""),8351060)</f>
        <v>8351060</v>
      </c>
      <c r="K23" s="27">
        <f ca="1">IFERROR(__xludf.DUMMYFUNCTION("""COMPUTED_VALUE"""),1)</f>
        <v>1</v>
      </c>
      <c r="L23" s="28" t="str">
        <f ca="1">IFERROR(__xludf.DUMMYFUNCTION("""COMPUTED_VALUE"""),"14270/2023")</f>
        <v>14270/2023</v>
      </c>
      <c r="M23" s="10" t="str">
        <f ca="1">IFERROR(__xludf.DUMMYFUNCTION("""COMPUTED_VALUE"""),"PRBIPE")</f>
        <v>PRBIPE</v>
      </c>
      <c r="N23" s="1"/>
      <c r="O23" s="1"/>
      <c r="P23" s="1"/>
      <c r="Q23" s="1"/>
      <c r="R23" s="1"/>
      <c r="S23" s="1"/>
      <c r="T23" s="1"/>
      <c r="U23" s="1"/>
      <c r="V23" s="1"/>
      <c r="W23" s="1"/>
      <c r="X23" s="1"/>
      <c r="Y23" s="1"/>
      <c r="Z23" s="1"/>
    </row>
    <row r="24" spans="1:26" ht="12.75" customHeight="1">
      <c r="A24" s="1"/>
      <c r="B24" s="10" t="str">
        <f ca="1">IFERROR(__xludf.DUMMYFUNCTION("""COMPUTED_VALUE"""),"MEJORAMIENTO ESCALERA LOS SUSPIROS")</f>
        <v>MEJORAMIENTO ESCALERA LOS SUSPIROS</v>
      </c>
      <c r="C24" s="26" t="str">
        <f t="shared" ca="1" si="0"/>
        <v xml:space="preserve"> CARTAGENA</v>
      </c>
      <c r="D24" s="10" t="str">
        <f ca="1">IFERROR(__xludf.DUMMYFUNCTION("""COMPUTED_VALUE"""),"Guía Operativa")</f>
        <v>Guía Operativa</v>
      </c>
      <c r="E24" s="26" t="str">
        <f ca="1">IFERROR(__xludf.DUMMYFUNCTION("""COMPUTED_VALUE"""),"MUNICIPALIDAD DE CARTAGENA")</f>
        <v>MUNICIPALIDAD DE CARTAGENA</v>
      </c>
      <c r="F24" s="11">
        <f ca="1">IFERROR(__xludf.DUMMYFUNCTION("""COMPUTED_VALUE"""),100515887)</f>
        <v>100515887</v>
      </c>
      <c r="G24" s="10" t="str">
        <f ca="1">IFERROR(__xludf.DUMMYFUNCTION("""COMPUTED_VALUE"""),"Resolución")</f>
        <v>Resolución</v>
      </c>
      <c r="H24" s="10" t="str">
        <f ca="1">IFERROR(__xludf.DUMMYFUNCTION("""COMPUTED_VALUE"""),"OBRA")</f>
        <v>OBRA</v>
      </c>
      <c r="I24" s="10" t="str">
        <f ca="1">IFERROR(__xludf.DUMMYFUNCTION("""COMPUTED_VALUE"""),"Cumplir con normativa y reglamentos internos del programa en base a los objetivos.")</f>
        <v>Cumplir con normativa y reglamentos internos del programa en base a los objetivos.</v>
      </c>
      <c r="J24" s="11">
        <f ca="1">IFERROR(__xludf.DUMMYFUNCTION("""COMPUTED_VALUE"""),100515887)</f>
        <v>100515887</v>
      </c>
      <c r="K24" s="27">
        <f ca="1">IFERROR(__xludf.DUMMYFUNCTION("""COMPUTED_VALUE"""),1)</f>
        <v>1</v>
      </c>
      <c r="L24" s="28" t="str">
        <f ca="1">IFERROR(__xludf.DUMMYFUNCTION("""COMPUTED_VALUE"""),"2395/2024")</f>
        <v>2395/2024</v>
      </c>
      <c r="M24" s="10" t="str">
        <f ca="1">IFERROR(__xludf.DUMMYFUNCTION("""COMPUTED_VALUE"""),"PRBIPE")</f>
        <v>PRBIPE</v>
      </c>
      <c r="N24" s="1"/>
      <c r="O24" s="1"/>
      <c r="P24" s="1"/>
      <c r="Q24" s="1"/>
      <c r="R24" s="1"/>
      <c r="S24" s="1"/>
      <c r="T24" s="1"/>
      <c r="U24" s="1"/>
      <c r="V24" s="1"/>
      <c r="W24" s="1"/>
      <c r="X24" s="1"/>
      <c r="Y24" s="1"/>
      <c r="Z24" s="1"/>
    </row>
    <row r="25" spans="1:26" ht="12.75" customHeight="1">
      <c r="A25" s="1"/>
      <c r="B25" s="10" t="str">
        <f ca="1">IFERROR(__xludf.DUMMYFUNCTION("""COMPUTED_VALUE"""),"FORTALECIMIENTO MUNICIPAL REVIVE CASTRO 2024")</f>
        <v>FORTALECIMIENTO MUNICIPAL REVIVE CASTRO 2024</v>
      </c>
      <c r="C25" s="26" t="str">
        <f t="shared" ca="1" si="0"/>
        <v xml:space="preserve"> CASTRO</v>
      </c>
      <c r="D25" s="10" t="str">
        <f ca="1">IFERROR(__xludf.DUMMYFUNCTION("""COMPUTED_VALUE"""),"Guía Operativa")</f>
        <v>Guía Operativa</v>
      </c>
      <c r="E25" s="26" t="str">
        <f ca="1">IFERROR(__xludf.DUMMYFUNCTION("""COMPUTED_VALUE"""),"MUNICIPALIDAD DE CASTRO")</f>
        <v>MUNICIPALIDAD DE CASTRO</v>
      </c>
      <c r="F25" s="11">
        <f ca="1">IFERROR(__xludf.DUMMYFUNCTION("""COMPUTED_VALUE"""),114000000)</f>
        <v>114000000</v>
      </c>
      <c r="G25" s="10" t="str">
        <f ca="1">IFERROR(__xludf.DUMMYFUNCTION("""COMPUTED_VALUE"""),"Resolución")</f>
        <v>Resolución</v>
      </c>
      <c r="H25" s="10" t="str">
        <f ca="1">IFERROR(__xludf.DUMMYFUNCTION("""COMPUTED_VALUE"""),"ASISTENCIA TÉCNICA")</f>
        <v>ASISTENCIA TÉCNICA</v>
      </c>
      <c r="I25" s="10" t="str">
        <f ca="1">IFERROR(__xludf.DUMMYFUNCTION("""COMPUTED_VALUE"""),"Cumplir con normativa y reglamentos internos del programa en base a los objetivos.")</f>
        <v>Cumplir con normativa y reglamentos internos del programa en base a los objetivos.</v>
      </c>
      <c r="J25" s="11">
        <f ca="1">IFERROR(__xludf.DUMMYFUNCTION("""COMPUTED_VALUE"""),7600000)</f>
        <v>7600000</v>
      </c>
      <c r="K25" s="27">
        <f ca="1">IFERROR(__xludf.DUMMYFUNCTION("""COMPUTED_VALUE"""),0.966666666666666)</f>
        <v>0.96666666666666601</v>
      </c>
      <c r="L25" s="28" t="str">
        <f ca="1">IFERROR(__xludf.DUMMYFUNCTION("""COMPUTED_VALUE"""),"14273/2023")</f>
        <v>14273/2023</v>
      </c>
      <c r="M25" s="10" t="str">
        <f ca="1">IFERROR(__xludf.DUMMYFUNCTION("""COMPUTED_VALUE"""),"PRBIPE")</f>
        <v>PRBIPE</v>
      </c>
      <c r="N25" s="1"/>
      <c r="O25" s="1"/>
      <c r="P25" s="1"/>
      <c r="Q25" s="1"/>
      <c r="R25" s="1"/>
      <c r="S25" s="1"/>
      <c r="T25" s="1"/>
      <c r="U25" s="1"/>
      <c r="V25" s="1"/>
      <c r="W25" s="1"/>
      <c r="X25" s="1"/>
      <c r="Y25" s="1"/>
      <c r="Z25" s="1"/>
    </row>
    <row r="26" spans="1:26" ht="12.75" customHeight="1">
      <c r="A26" s="1"/>
      <c r="B26" s="10" t="str">
        <f ca="1">IFERROR(__xludf.DUMMYFUNCTION("""COMPUTED_VALUE"""),"PROYECTOS DE INGENIERÍA Y ESPECIALIDADES PARA OBRA DE CONFIANZA: BAÑOS SUBTERRÁNEOS EN EXPLANADA DE CALLE LILLO")</f>
        <v>PROYECTOS DE INGENIERÍA Y ESPECIALIDADES PARA OBRA DE CONFIANZA: BAÑOS SUBTERRÁNEOS EN EXPLANADA DE CALLE LILLO</v>
      </c>
      <c r="C26" s="26" t="str">
        <f t="shared" ca="1" si="0"/>
        <v xml:space="preserve"> CASTRO</v>
      </c>
      <c r="D26" s="10" t="str">
        <f ca="1">IFERROR(__xludf.DUMMYFUNCTION("""COMPUTED_VALUE"""),"Guía Operativa")</f>
        <v>Guía Operativa</v>
      </c>
      <c r="E26" s="26" t="str">
        <f ca="1">IFERROR(__xludf.DUMMYFUNCTION("""COMPUTED_VALUE"""),"MUNICIPALIDAD DE CASTRO")</f>
        <v>MUNICIPALIDAD DE CASTRO</v>
      </c>
      <c r="F26" s="11">
        <f ca="1">IFERROR(__xludf.DUMMYFUNCTION("""COMPUTED_VALUE"""),12463768)</f>
        <v>12463768</v>
      </c>
      <c r="G26" s="10" t="str">
        <f ca="1">IFERROR(__xludf.DUMMYFUNCTION("""COMPUTED_VALUE"""),"Resolución")</f>
        <v>Resolución</v>
      </c>
      <c r="H26" s="10" t="str">
        <f ca="1">IFERROR(__xludf.DUMMYFUNCTION("""COMPUTED_VALUE"""),"ASISTENCIA TÉCNICA")</f>
        <v>ASISTENCIA TÉCNICA</v>
      </c>
      <c r="I26" s="10" t="str">
        <f ca="1">IFERROR(__xludf.DUMMYFUNCTION("""COMPUTED_VALUE"""),"Cumplir con normativa y reglamentos internos del programa en base a los objetivos.")</f>
        <v>Cumplir con normativa y reglamentos internos del programa en base a los objetivos.</v>
      </c>
      <c r="J26" s="11">
        <f ca="1">IFERROR(__xludf.DUMMYFUNCTION("""COMPUTED_VALUE"""),12463768)</f>
        <v>12463768</v>
      </c>
      <c r="K26" s="27">
        <f ca="1">IFERROR(__xludf.DUMMYFUNCTION("""COMPUTED_VALUE"""),1)</f>
        <v>1</v>
      </c>
      <c r="L26" s="28" t="str">
        <f ca="1">IFERROR(__xludf.DUMMYFUNCTION("""COMPUTED_VALUE"""),"2396/2024")</f>
        <v>2396/2024</v>
      </c>
      <c r="M26" s="10" t="str">
        <f ca="1">IFERROR(__xludf.DUMMYFUNCTION("""COMPUTED_VALUE"""),"PRBIPE")</f>
        <v>PRBIPE</v>
      </c>
      <c r="N26" s="1"/>
      <c r="O26" s="1"/>
      <c r="P26" s="1"/>
      <c r="Q26" s="1"/>
      <c r="R26" s="1"/>
      <c r="S26" s="1"/>
      <c r="T26" s="1"/>
      <c r="U26" s="1"/>
      <c r="V26" s="1"/>
      <c r="W26" s="1"/>
      <c r="X26" s="1"/>
      <c r="Y26" s="1"/>
      <c r="Z26" s="1"/>
    </row>
    <row r="27" spans="1:26" ht="12.75" customHeight="1">
      <c r="A27" s="1"/>
      <c r="B27" s="10" t="str">
        <f ca="1">IFERROR(__xludf.DUMMYFUNCTION("""COMPUTED_VALUE"""),"PROYECTO DE MEJORAMIENTO DE ENTORNOS URBANOS: REMODELACIÓN PLAZA DEL TREN, BARRIO COSTANERA")</f>
        <v>PROYECTO DE MEJORAMIENTO DE ENTORNOS URBANOS: REMODELACIÓN PLAZA DEL TREN, BARRIO COSTANERA</v>
      </c>
      <c r="C27" s="26" t="str">
        <f t="shared" ca="1" si="0"/>
        <v xml:space="preserve"> CASTRO</v>
      </c>
      <c r="D27" s="10" t="str">
        <f ca="1">IFERROR(__xludf.DUMMYFUNCTION("""COMPUTED_VALUE"""),"Guía Operativa")</f>
        <v>Guía Operativa</v>
      </c>
      <c r="E27" s="26" t="str">
        <f ca="1">IFERROR(__xludf.DUMMYFUNCTION("""COMPUTED_VALUE"""),"MUNICIPALIDAD DE CASTRO")</f>
        <v>MUNICIPALIDAD DE CASTRO</v>
      </c>
      <c r="F27" s="11">
        <f ca="1">IFERROR(__xludf.DUMMYFUNCTION("""COMPUTED_VALUE"""),266582143)</f>
        <v>266582143</v>
      </c>
      <c r="G27" s="10" t="str">
        <f ca="1">IFERROR(__xludf.DUMMYFUNCTION("""COMPUTED_VALUE"""),"Resolución")</f>
        <v>Resolución</v>
      </c>
      <c r="H27" s="10" t="str">
        <f ca="1">IFERROR(__xludf.DUMMYFUNCTION("""COMPUTED_VALUE"""),"OBRA")</f>
        <v>OBRA</v>
      </c>
      <c r="I27" s="10" t="str">
        <f ca="1">IFERROR(__xludf.DUMMYFUNCTION("""COMPUTED_VALUE"""),"Cumplir con normativa y reglamentos internos del programa en base a los objetivos.")</f>
        <v>Cumplir con normativa y reglamentos internos del programa en base a los objetivos.</v>
      </c>
      <c r="J27" s="11">
        <f ca="1">IFERROR(__xludf.DUMMYFUNCTION("""COMPUTED_VALUE"""),213265714)</f>
        <v>213265714</v>
      </c>
      <c r="K27" s="27">
        <f ca="1">IFERROR(__xludf.DUMMYFUNCTION("""COMPUTED_VALUE"""),0.799999998499524)</f>
        <v>0.79999999849952397</v>
      </c>
      <c r="L27" s="28" t="str">
        <f ca="1">IFERROR(__xludf.DUMMYFUNCTION("""COMPUTED_VALUE"""),"7712/2024")</f>
        <v>7712/2024</v>
      </c>
      <c r="M27" s="10" t="str">
        <f ca="1">IFERROR(__xludf.DUMMYFUNCTION("""COMPUTED_VALUE"""),"PRBIPE")</f>
        <v>PRBIPE</v>
      </c>
      <c r="N27" s="1"/>
      <c r="O27" s="1"/>
      <c r="P27" s="1"/>
      <c r="Q27" s="1"/>
      <c r="R27" s="1"/>
      <c r="S27" s="1"/>
      <c r="T27" s="1"/>
      <c r="U27" s="1"/>
      <c r="V27" s="1"/>
      <c r="W27" s="1"/>
      <c r="X27" s="1"/>
      <c r="Y27" s="1"/>
      <c r="Z27" s="1"/>
    </row>
    <row r="28" spans="1:26" ht="12.75" customHeight="1">
      <c r="A28" s="1"/>
      <c r="B28" s="10" t="str">
        <f ca="1">IFERROR(__xludf.DUMMYFUNCTION("""COMPUTED_VALUE"""),"ADQUISICIÓN EQUIPOS Y EQUIPAMIENTO PROGRAMA FORTALECIMIENTO MUNICIPAL CASTRO 2024 - BARRIO COSTANERA")</f>
        <v>ADQUISICIÓN EQUIPOS Y EQUIPAMIENTO PROGRAMA FORTALECIMIENTO MUNICIPAL CASTRO 2024 - BARRIO COSTANERA</v>
      </c>
      <c r="C28" s="26" t="str">
        <f t="shared" ca="1" si="0"/>
        <v xml:space="preserve"> CASTRO</v>
      </c>
      <c r="D28" s="10" t="str">
        <f ca="1">IFERROR(__xludf.DUMMYFUNCTION("""COMPUTED_VALUE"""),"Guía Operativa")</f>
        <v>Guía Operativa</v>
      </c>
      <c r="E28" s="26" t="str">
        <f ca="1">IFERROR(__xludf.DUMMYFUNCTION("""COMPUTED_VALUE"""),"MUNICIPALIDAD DE CASTRO")</f>
        <v>MUNICIPALIDAD DE CASTRO</v>
      </c>
      <c r="F28" s="11">
        <f ca="1">IFERROR(__xludf.DUMMYFUNCTION("""COMPUTED_VALUE"""),6640685)</f>
        <v>6640685</v>
      </c>
      <c r="G28" s="10" t="str">
        <f ca="1">IFERROR(__xludf.DUMMYFUNCTION("""COMPUTED_VALUE"""),"Resolución")</f>
        <v>Resolución</v>
      </c>
      <c r="H28" s="10" t="str">
        <f ca="1">IFERROR(__xludf.DUMMYFUNCTION("""COMPUTED_VALUE"""),"ADQUISICIÓN EQUIPAMIENTO")</f>
        <v>ADQUISICIÓN EQUIPAMIENTO</v>
      </c>
      <c r="I28" s="10" t="str">
        <f ca="1">IFERROR(__xludf.DUMMYFUNCTION("""COMPUTED_VALUE"""),"Cumplir con normativa y reglamentos internos del programa en base a los objetivos.")</f>
        <v>Cumplir con normativa y reglamentos internos del programa en base a los objetivos.</v>
      </c>
      <c r="J28" s="11">
        <f ca="1">IFERROR(__xludf.DUMMYFUNCTION("""COMPUTED_VALUE"""),6640685)</f>
        <v>6640685</v>
      </c>
      <c r="K28" s="27">
        <f ca="1">IFERROR(__xludf.DUMMYFUNCTION("""COMPUTED_VALUE"""),1)</f>
        <v>1</v>
      </c>
      <c r="L28" s="28" t="str">
        <f ca="1">IFERROR(__xludf.DUMMYFUNCTION("""COMPUTED_VALUE"""),"8571/2024")</f>
        <v>8571/2024</v>
      </c>
      <c r="M28" s="10" t="str">
        <f ca="1">IFERROR(__xludf.DUMMYFUNCTION("""COMPUTED_VALUE"""),"PRBIPE")</f>
        <v>PRBIPE</v>
      </c>
      <c r="N28" s="1"/>
      <c r="O28" s="1"/>
      <c r="P28" s="1"/>
      <c r="Q28" s="1"/>
      <c r="R28" s="1"/>
      <c r="S28" s="1"/>
      <c r="T28" s="1"/>
      <c r="U28" s="1"/>
      <c r="V28" s="1"/>
      <c r="W28" s="1"/>
      <c r="X28" s="1"/>
      <c r="Y28" s="1"/>
      <c r="Z28" s="1"/>
    </row>
    <row r="29" spans="1:26" ht="12.75" customHeight="1">
      <c r="A29" s="1"/>
      <c r="B29" s="10" t="str">
        <f ca="1">IFERROR(__xludf.DUMMYFUNCTION("""COMPUTED_VALUE"""),"MEJORAMIENTO DE ESPACIOS PÚBLICOS DEL CENTRO CÍVICO DE GUAYACÁN")</f>
        <v>MEJORAMIENTO DE ESPACIOS PÚBLICOS DEL CENTRO CÍVICO DE GUAYACÁN</v>
      </c>
      <c r="C29" s="26" t="str">
        <f t="shared" ca="1" si="0"/>
        <v xml:space="preserve"> COQUIMBO</v>
      </c>
      <c r="D29" s="10" t="str">
        <f ca="1">IFERROR(__xludf.DUMMYFUNCTION("""COMPUTED_VALUE"""),"Guía Operativa")</f>
        <v>Guía Operativa</v>
      </c>
      <c r="E29" s="26" t="str">
        <f ca="1">IFERROR(__xludf.DUMMYFUNCTION("""COMPUTED_VALUE"""),"MUNICIPALIDAD DE COQUIMBO")</f>
        <v>MUNICIPALIDAD DE COQUIMBO</v>
      </c>
      <c r="F29" s="11">
        <f ca="1">IFERROR(__xludf.DUMMYFUNCTION("""COMPUTED_VALUE"""),120264105)</f>
        <v>120264105</v>
      </c>
      <c r="G29" s="10" t="str">
        <f ca="1">IFERROR(__xludf.DUMMYFUNCTION("""COMPUTED_VALUE"""),"Resolución")</f>
        <v>Resolución</v>
      </c>
      <c r="H29" s="10" t="str">
        <f ca="1">IFERROR(__xludf.DUMMYFUNCTION("""COMPUTED_VALUE"""),"OBRA")</f>
        <v>OBRA</v>
      </c>
      <c r="I29" s="10" t="str">
        <f ca="1">IFERROR(__xludf.DUMMYFUNCTION("""COMPUTED_VALUE"""),"Cumplir con normativa y reglamentos internos del programa en base a los objetivos.")</f>
        <v>Cumplir con normativa y reglamentos internos del programa en base a los objetivos.</v>
      </c>
      <c r="J29" s="11">
        <f ca="1">IFERROR(__xludf.DUMMYFUNCTION("""COMPUTED_VALUE"""),10800000)</f>
        <v>10800000</v>
      </c>
      <c r="K29" s="27">
        <f ca="1">IFERROR(__xludf.DUMMYFUNCTION("""COMPUTED_VALUE"""),0.89802356239212)</f>
        <v>0.89802356239212</v>
      </c>
      <c r="L29" s="28" t="str">
        <f ca="1">IFERROR(__xludf.DUMMYFUNCTION("""COMPUTED_VALUE"""),"8368/2020")</f>
        <v>8368/2020</v>
      </c>
      <c r="M29" s="10" t="str">
        <f ca="1">IFERROR(__xludf.DUMMYFUNCTION("""COMPUTED_VALUE"""),"PRBIPE")</f>
        <v>PRBIPE</v>
      </c>
      <c r="N29" s="1"/>
      <c r="O29" s="1"/>
      <c r="P29" s="1"/>
      <c r="Q29" s="1"/>
      <c r="R29" s="1"/>
      <c r="S29" s="1"/>
      <c r="T29" s="1"/>
      <c r="U29" s="1"/>
      <c r="V29" s="1"/>
      <c r="W29" s="1"/>
      <c r="X29" s="1"/>
      <c r="Y29" s="1"/>
      <c r="Z29" s="1"/>
    </row>
    <row r="30" spans="1:26" ht="12.75" customHeight="1">
      <c r="A30" s="1"/>
      <c r="B30" s="10" t="str">
        <f ca="1">IFERROR(__xludf.DUMMYFUNCTION("""COMPUTED_VALUE"""),"FORTALECIMIENTO MUNICIPAL PRBIPE GUAYACAN, PERIODO ENERO – DICIEMBRE 2024")</f>
        <v>FORTALECIMIENTO MUNICIPAL PRBIPE GUAYACAN, PERIODO ENERO – DICIEMBRE 2024</v>
      </c>
      <c r="C30" s="26" t="str">
        <f t="shared" ca="1" si="0"/>
        <v xml:space="preserve"> COQUIMBO</v>
      </c>
      <c r="D30" s="10" t="str">
        <f ca="1">IFERROR(__xludf.DUMMYFUNCTION("""COMPUTED_VALUE"""),"Guía Operativa")</f>
        <v>Guía Operativa</v>
      </c>
      <c r="E30" s="26" t="str">
        <f ca="1">IFERROR(__xludf.DUMMYFUNCTION("""COMPUTED_VALUE"""),"MUNICIPALIDAD DE COQUIMBO")</f>
        <v>MUNICIPALIDAD DE COQUIMBO</v>
      </c>
      <c r="F30" s="11">
        <f ca="1">IFERROR(__xludf.DUMMYFUNCTION("""COMPUTED_VALUE"""),87486960)</f>
        <v>87486960</v>
      </c>
      <c r="G30" s="10" t="str">
        <f ca="1">IFERROR(__xludf.DUMMYFUNCTION("""COMPUTED_VALUE"""),"Resolución")</f>
        <v>Resolución</v>
      </c>
      <c r="H30" s="10" t="str">
        <f ca="1">IFERROR(__xludf.DUMMYFUNCTION("""COMPUTED_VALUE"""),"ASISTENCIA TÉCNICA")</f>
        <v>ASISTENCIA TÉCNICA</v>
      </c>
      <c r="I30" s="10" t="str">
        <f ca="1">IFERROR(__xludf.DUMMYFUNCTION("""COMPUTED_VALUE"""),"Cumplir con normativa y reglamentos internos del programa en base a los objetivos.")</f>
        <v>Cumplir con normativa y reglamentos internos del programa en base a los objetivos.</v>
      </c>
      <c r="J30" s="11">
        <f ca="1">IFERROR(__xludf.DUMMYFUNCTION("""COMPUTED_VALUE"""),3022346)</f>
        <v>3022346</v>
      </c>
      <c r="K30" s="27">
        <f ca="1">IFERROR(__xludf.DUMMYFUNCTION("""COMPUTED_VALUE"""),0.934546245520475)</f>
        <v>0.93454624552047505</v>
      </c>
      <c r="L30" s="28" t="str">
        <f ca="1">IFERROR(__xludf.DUMMYFUNCTION("""COMPUTED_VALUE"""),"14072/2023")</f>
        <v>14072/2023</v>
      </c>
      <c r="M30" s="10" t="str">
        <f ca="1">IFERROR(__xludf.DUMMYFUNCTION("""COMPUTED_VALUE"""),"PRBIPE")</f>
        <v>PRBIPE</v>
      </c>
      <c r="N30" s="1"/>
      <c r="O30" s="1"/>
      <c r="P30" s="1"/>
      <c r="Q30" s="1"/>
      <c r="R30" s="1"/>
      <c r="S30" s="1"/>
      <c r="T30" s="1"/>
      <c r="U30" s="1"/>
      <c r="V30" s="1"/>
      <c r="W30" s="1"/>
      <c r="X30" s="1"/>
      <c r="Y30" s="1"/>
      <c r="Z30" s="1"/>
    </row>
    <row r="31" spans="1:26" ht="12.75" customHeight="1">
      <c r="A31" s="1"/>
      <c r="B31" s="10" t="str">
        <f ca="1">IFERROR(__xludf.DUMMYFUNCTION("""COMPUTED_VALUE"""),"RESTAURACIÓN IGLESIA DE GUAYACÁN - PUEBLO DE GUAYACÁN")</f>
        <v>RESTAURACIÓN IGLESIA DE GUAYACÁN - PUEBLO DE GUAYACÁN</v>
      </c>
      <c r="C31" s="26" t="str">
        <f t="shared" ca="1" si="0"/>
        <v xml:space="preserve"> COQUIMBO</v>
      </c>
      <c r="D31" s="10" t="str">
        <f ca="1">IFERROR(__xludf.DUMMYFUNCTION("""COMPUTED_VALUE"""),"Guía Operativa")</f>
        <v>Guía Operativa</v>
      </c>
      <c r="E31" s="26" t="str">
        <f ca="1">IFERROR(__xludf.DUMMYFUNCTION("""COMPUTED_VALUE"""),"MUNICIPALIDAD DE COQUIMBO")</f>
        <v>MUNICIPALIDAD DE COQUIMBO</v>
      </c>
      <c r="F31" s="11">
        <f ca="1">IFERROR(__xludf.DUMMYFUNCTION("""COMPUTED_VALUE"""),1915300166)</f>
        <v>1915300166</v>
      </c>
      <c r="G31" s="10" t="str">
        <f ca="1">IFERROR(__xludf.DUMMYFUNCTION("""COMPUTED_VALUE"""),"Resolución")</f>
        <v>Resolución</v>
      </c>
      <c r="H31" s="10" t="str">
        <f ca="1">IFERROR(__xludf.DUMMYFUNCTION("""COMPUTED_VALUE"""),"OBRA")</f>
        <v>OBRA</v>
      </c>
      <c r="I31" s="10" t="str">
        <f ca="1">IFERROR(__xludf.DUMMYFUNCTION("""COMPUTED_VALUE"""),"Cumplir con normativa y reglamentos internos del programa en base a los objetivos.")</f>
        <v>Cumplir con normativa y reglamentos internos del programa en base a los objetivos.</v>
      </c>
      <c r="J31" s="11">
        <f ca="1">IFERROR(__xludf.DUMMYFUNCTION("""COMPUTED_VALUE"""),574591000)</f>
        <v>574591000</v>
      </c>
      <c r="K31" s="27">
        <f ca="1">IFERROR(__xludf.DUMMYFUNCTION("""COMPUTED_VALUE"""),0.300000496110226)</f>
        <v>0.300000496110226</v>
      </c>
      <c r="L31" s="28" t="str">
        <f ca="1">IFERROR(__xludf.DUMMYFUNCTION("""COMPUTED_VALUE"""),"17/2024")</f>
        <v>17/2024</v>
      </c>
      <c r="M31" s="10" t="str">
        <f ca="1">IFERROR(__xludf.DUMMYFUNCTION("""COMPUTED_VALUE"""),"PRBIPE")</f>
        <v>PRBIPE</v>
      </c>
      <c r="N31" s="1"/>
      <c r="O31" s="1"/>
      <c r="P31" s="1"/>
      <c r="Q31" s="1"/>
      <c r="R31" s="1"/>
      <c r="S31" s="1"/>
      <c r="T31" s="1"/>
      <c r="U31" s="1"/>
      <c r="V31" s="1"/>
      <c r="W31" s="1"/>
      <c r="X31" s="1"/>
      <c r="Y31" s="1"/>
      <c r="Z31" s="1"/>
    </row>
    <row r="32" spans="1:26" ht="12.75" customHeight="1">
      <c r="A32" s="1"/>
      <c r="B32" s="10" t="str">
        <f ca="1">IFERROR(__xludf.DUMMYFUNCTION("""COMPUTED_VALUE"""),"FORMACIÓN E IMPLEMENTACIÓN DE LA ESCUELA DE CIRCO SOCIAL PARA ADOLESCENTES EN EL POLÍGONO LOS NOGALES, COMUNA DE ESTACIÓN CENTRAL")</f>
        <v>FORMACIÓN E IMPLEMENTACIÓN DE LA ESCUELA DE CIRCO SOCIAL PARA ADOLESCENTES EN EL POLÍGONO LOS NOGALES, COMUNA DE ESTACIÓN CENTRAL</v>
      </c>
      <c r="C32" s="26" t="str">
        <f t="shared" ca="1" si="0"/>
        <v xml:space="preserve"> ESTACIÓN CENTRAL</v>
      </c>
      <c r="D32" s="10" t="str">
        <f ca="1">IFERROR(__xludf.DUMMYFUNCTION("""COMPUTED_VALUE"""),"Guía Operativa")</f>
        <v>Guía Operativa</v>
      </c>
      <c r="E32" s="26" t="str">
        <f ca="1">IFERROR(__xludf.DUMMYFUNCTION("""COMPUTED_VALUE"""),"MUNICIPALIDAD DE ESTACIÓN CENTRAL")</f>
        <v>MUNICIPALIDAD DE ESTACIÓN CENTRAL</v>
      </c>
      <c r="F32" s="11">
        <f ca="1">IFERROR(__xludf.DUMMYFUNCTION("""COMPUTED_VALUE"""),44718299)</f>
        <v>44718299</v>
      </c>
      <c r="G32" s="10" t="str">
        <f ca="1">IFERROR(__xludf.DUMMYFUNCTION("""COMPUTED_VALUE"""),"Resolución")</f>
        <v>Resolución</v>
      </c>
      <c r="H32" s="10" t="str">
        <f ca="1">IFERROR(__xludf.DUMMYFUNCTION("""COMPUTED_VALUE"""),"TALLER")</f>
        <v>TALLER</v>
      </c>
      <c r="I32" s="10" t="str">
        <f ca="1">IFERROR(__xludf.DUMMYFUNCTION("""COMPUTED_VALUE"""),"Cumplir con normativa y reglamentos internos del programa en base a los objetivos.")</f>
        <v>Cumplir con normativa y reglamentos internos del programa en base a los objetivos.</v>
      </c>
      <c r="J32" s="11">
        <f ca="1">IFERROR(__xludf.DUMMYFUNCTION("""COMPUTED_VALUE"""),2045950)</f>
        <v>2045950</v>
      </c>
      <c r="K32" s="27">
        <f ca="1">IFERROR(__xludf.DUMMYFUNCTION("""COMPUTED_VALUE"""),1)</f>
        <v>1</v>
      </c>
      <c r="L32" s="28" t="str">
        <f ca="1">IFERROR(__xludf.DUMMYFUNCTION("""COMPUTED_VALUE"""),"17198/2019")</f>
        <v>17198/2019</v>
      </c>
      <c r="M32" s="10" t="str">
        <f ca="1">IFERROR(__xludf.DUMMYFUNCTION("""COMPUTED_VALUE"""),"PRBIPE")</f>
        <v>PRBIPE</v>
      </c>
      <c r="N32" s="1"/>
      <c r="O32" s="1"/>
      <c r="P32" s="1"/>
      <c r="Q32" s="1"/>
      <c r="R32" s="1"/>
      <c r="S32" s="1"/>
      <c r="T32" s="1"/>
      <c r="U32" s="1"/>
      <c r="V32" s="1"/>
      <c r="W32" s="1"/>
      <c r="X32" s="1"/>
      <c r="Y32" s="1"/>
      <c r="Z32" s="1"/>
    </row>
    <row r="33" spans="1:26" ht="12.75" customHeight="1">
      <c r="A33" s="1"/>
      <c r="B33" s="10" t="str">
        <f ca="1">IFERROR(__xludf.DUMMYFUNCTION("""COMPUTED_VALUE"""),"FORTALECIMIENTO INSTITUCIONAL 2024, DE LA COMUNA DE ESTACIÓN CENTRAL")</f>
        <v>FORTALECIMIENTO INSTITUCIONAL 2024, DE LA COMUNA DE ESTACIÓN CENTRAL</v>
      </c>
      <c r="C33" s="26" t="str">
        <f t="shared" ca="1" si="0"/>
        <v xml:space="preserve"> ESTACIÓN CENTRAL</v>
      </c>
      <c r="D33" s="10" t="str">
        <f ca="1">IFERROR(__xludf.DUMMYFUNCTION("""COMPUTED_VALUE"""),"Guía Operativa")</f>
        <v>Guía Operativa</v>
      </c>
      <c r="E33" s="26" t="str">
        <f ca="1">IFERROR(__xludf.DUMMYFUNCTION("""COMPUTED_VALUE"""),"MUNICIPALIDAD DE ESTACIÓN CENTRAL")</f>
        <v>MUNICIPALIDAD DE ESTACIÓN CENTRAL</v>
      </c>
      <c r="F33" s="11">
        <f ca="1">IFERROR(__xludf.DUMMYFUNCTION("""COMPUTED_VALUE"""),267662440)</f>
        <v>267662440</v>
      </c>
      <c r="G33" s="10" t="str">
        <f ca="1">IFERROR(__xludf.DUMMYFUNCTION("""COMPUTED_VALUE"""),"Resolución")</f>
        <v>Resolución</v>
      </c>
      <c r="H33" s="10" t="str">
        <f ca="1">IFERROR(__xludf.DUMMYFUNCTION("""COMPUTED_VALUE"""),"ASISTENCIA TÉCNICA")</f>
        <v>ASISTENCIA TÉCNICA</v>
      </c>
      <c r="I33" s="10" t="str">
        <f ca="1">IFERROR(__xludf.DUMMYFUNCTION("""COMPUTED_VALUE"""),"Cumplir con normativa y reglamentos internos del programa en base a los objetivos.")</f>
        <v>Cumplir con normativa y reglamentos internos del programa en base a los objetivos.</v>
      </c>
      <c r="J33" s="11">
        <f ca="1">IFERROR(__xludf.DUMMYFUNCTION("""COMPUTED_VALUE"""),133831220)</f>
        <v>133831220</v>
      </c>
      <c r="K33" s="27">
        <f ca="1">IFERROR(__xludf.DUMMYFUNCTION("""COMPUTED_VALUE"""),1)</f>
        <v>1</v>
      </c>
      <c r="L33" s="28" t="str">
        <f ca="1">IFERROR(__xludf.DUMMYFUNCTION("""COMPUTED_VALUE"""),"14276/2023")</f>
        <v>14276/2023</v>
      </c>
      <c r="M33" s="10" t="str">
        <f ca="1">IFERROR(__xludf.DUMMYFUNCTION("""COMPUTED_VALUE"""),"PRBIPE")</f>
        <v>PRBIPE</v>
      </c>
      <c r="N33" s="1"/>
      <c r="O33" s="1"/>
      <c r="P33" s="1"/>
      <c r="Q33" s="1"/>
      <c r="R33" s="1"/>
      <c r="S33" s="1"/>
      <c r="T33" s="1"/>
      <c r="U33" s="1"/>
      <c r="V33" s="1"/>
      <c r="W33" s="1"/>
      <c r="X33" s="1"/>
      <c r="Y33" s="1"/>
      <c r="Z33" s="1"/>
    </row>
    <row r="34" spans="1:26" ht="12.75" customHeight="1">
      <c r="A34" s="1"/>
      <c r="B34" s="10" t="str">
        <f ca="1">IFERROR(__xludf.DUMMYFUNCTION("""COMPUTED_VALUE"""),"MEJORAMIENTO DE FACHADAS Y ESPACIO PÚBLICO AV. VÍCTOR JARA EN POLÍGONO CASCO HISTÓRICO")</f>
        <v>MEJORAMIENTO DE FACHADAS Y ESPACIO PÚBLICO AV. VÍCTOR JARA EN POLÍGONO CASCO HISTÓRICO</v>
      </c>
      <c r="C34" s="26" t="str">
        <f t="shared" ca="1" si="0"/>
        <v xml:space="preserve"> ESTACIÓN CENTRAL</v>
      </c>
      <c r="D34" s="10" t="str">
        <f ca="1">IFERROR(__xludf.DUMMYFUNCTION("""COMPUTED_VALUE"""),"Guía Operativa")</f>
        <v>Guía Operativa</v>
      </c>
      <c r="E34" s="26" t="str">
        <f ca="1">IFERROR(__xludf.DUMMYFUNCTION("""COMPUTED_VALUE"""),"MUNICIPALIDAD DE ESTACIÓN CENTRAL")</f>
        <v>MUNICIPALIDAD DE ESTACIÓN CENTRAL</v>
      </c>
      <c r="F34" s="11">
        <f ca="1">IFERROR(__xludf.DUMMYFUNCTION("""COMPUTED_VALUE"""),308230561)</f>
        <v>308230561</v>
      </c>
      <c r="G34" s="10" t="str">
        <f ca="1">IFERROR(__xludf.DUMMYFUNCTION("""COMPUTED_VALUE"""),"Resolución")</f>
        <v>Resolución</v>
      </c>
      <c r="H34" s="10" t="str">
        <f ca="1">IFERROR(__xludf.DUMMYFUNCTION("""COMPUTED_VALUE"""),"OBRA")</f>
        <v>OBRA</v>
      </c>
      <c r="I34" s="10" t="str">
        <f ca="1">IFERROR(__xludf.DUMMYFUNCTION("""COMPUTED_VALUE"""),"Cumplir con normativa y reglamentos internos del programa en base a los objetivos.")</f>
        <v>Cumplir con normativa y reglamentos internos del programa en base a los objetivos.</v>
      </c>
      <c r="J34" s="11">
        <f ca="1">IFERROR(__xludf.DUMMYFUNCTION("""COMPUTED_VALUE"""),246584449)</f>
        <v>246584449</v>
      </c>
      <c r="K34" s="27">
        <f ca="1">IFERROR(__xludf.DUMMYFUNCTION("""COMPUTED_VALUE"""),0.800000000648864)</f>
        <v>0.80000000064886401</v>
      </c>
      <c r="L34" s="28" t="str">
        <f ca="1">IFERROR(__xludf.DUMMYFUNCTION("""COMPUTED_VALUE"""),"3053/2024")</f>
        <v>3053/2024</v>
      </c>
      <c r="M34" s="10" t="str">
        <f ca="1">IFERROR(__xludf.DUMMYFUNCTION("""COMPUTED_VALUE"""),"PRBIPE")</f>
        <v>PRBIPE</v>
      </c>
      <c r="N34" s="1"/>
      <c r="O34" s="1"/>
      <c r="P34" s="1"/>
      <c r="Q34" s="1"/>
      <c r="R34" s="1"/>
      <c r="S34" s="1"/>
      <c r="T34" s="1"/>
      <c r="U34" s="1"/>
      <c r="V34" s="1"/>
      <c r="W34" s="1"/>
      <c r="X34" s="1"/>
      <c r="Y34" s="1"/>
      <c r="Z34" s="1"/>
    </row>
    <row r="35" spans="1:26" ht="12.75" customHeight="1">
      <c r="A35" s="1"/>
      <c r="B35" s="10" t="str">
        <f ca="1">IFERROR(__xludf.DUMMYFUNCTION("""COMPUTED_VALUE"""),"REPOSICIÓN DE VEREDAS EN UV Nº4, POLÍGONO CASCO HISTÓRICO")</f>
        <v>REPOSICIÓN DE VEREDAS EN UV Nº4, POLÍGONO CASCO HISTÓRICO</v>
      </c>
      <c r="C35" s="26" t="str">
        <f t="shared" ca="1" si="0"/>
        <v xml:space="preserve"> ESTACIÓN CENTRAL</v>
      </c>
      <c r="D35" s="10" t="str">
        <f ca="1">IFERROR(__xludf.DUMMYFUNCTION("""COMPUTED_VALUE"""),"Guía Operativa")</f>
        <v>Guía Operativa</v>
      </c>
      <c r="E35" s="26" t="str">
        <f ca="1">IFERROR(__xludf.DUMMYFUNCTION("""COMPUTED_VALUE"""),"MUNICIPALIDAD DE ESTACIÓN CENTRAL")</f>
        <v>MUNICIPALIDAD DE ESTACIÓN CENTRAL</v>
      </c>
      <c r="F35" s="11">
        <f ca="1">IFERROR(__xludf.DUMMYFUNCTION("""COMPUTED_VALUE"""),251343531)</f>
        <v>251343531</v>
      </c>
      <c r="G35" s="10" t="str">
        <f ca="1">IFERROR(__xludf.DUMMYFUNCTION("""COMPUTED_VALUE"""),"Resolución")</f>
        <v>Resolución</v>
      </c>
      <c r="H35" s="10" t="str">
        <f ca="1">IFERROR(__xludf.DUMMYFUNCTION("""COMPUTED_VALUE"""),"OBRA")</f>
        <v>OBRA</v>
      </c>
      <c r="I35" s="10" t="str">
        <f ca="1">IFERROR(__xludf.DUMMYFUNCTION("""COMPUTED_VALUE"""),"Cumplir con normativa y reglamentos internos del programa en base a los objetivos.")</f>
        <v>Cumplir con normativa y reglamentos internos del programa en base a los objetivos.</v>
      </c>
      <c r="J35" s="11">
        <f ca="1">IFERROR(__xludf.DUMMYFUNCTION("""COMPUTED_VALUE"""),201074825)</f>
        <v>201074825</v>
      </c>
      <c r="K35" s="27">
        <f ca="1">IFERROR(__xludf.DUMMYFUNCTION("""COMPUTED_VALUE"""),0.800000000795723)</f>
        <v>0.80000000079572298</v>
      </c>
      <c r="L35" s="28" t="str">
        <f ca="1">IFERROR(__xludf.DUMMYFUNCTION("""COMPUTED_VALUE"""),"3401/2024")</f>
        <v>3401/2024</v>
      </c>
      <c r="M35" s="10" t="str">
        <f ca="1">IFERROR(__xludf.DUMMYFUNCTION("""COMPUTED_VALUE"""),"PRBIPE")</f>
        <v>PRBIPE</v>
      </c>
      <c r="N35" s="1"/>
      <c r="O35" s="1"/>
      <c r="P35" s="1"/>
      <c r="Q35" s="1"/>
      <c r="R35" s="1"/>
      <c r="S35" s="1"/>
      <c r="T35" s="1"/>
      <c r="U35" s="1"/>
      <c r="V35" s="1"/>
      <c r="W35" s="1"/>
      <c r="X35" s="1"/>
      <c r="Y35" s="1"/>
      <c r="Z35" s="1"/>
    </row>
    <row r="36" spans="1:26" ht="12.75" customHeight="1">
      <c r="A36" s="1"/>
      <c r="B36" s="10" t="str">
        <f ca="1">IFERROR(__xludf.DUMMYFUNCTION("""COMPUTED_VALUE"""),"MEJORAMIENTO INTEGRAL EN CALLE 8 DE ENERO, POLÍGONO LOS NOGALES")</f>
        <v>MEJORAMIENTO INTEGRAL EN CALLE 8 DE ENERO, POLÍGONO LOS NOGALES</v>
      </c>
      <c r="C36" s="26" t="str">
        <f t="shared" ca="1" si="0"/>
        <v xml:space="preserve"> ESTACIÓN CENTRAL</v>
      </c>
      <c r="D36" s="10" t="str">
        <f ca="1">IFERROR(__xludf.DUMMYFUNCTION("""COMPUTED_VALUE"""),"Guía Operativa")</f>
        <v>Guía Operativa</v>
      </c>
      <c r="E36" s="26" t="str">
        <f ca="1">IFERROR(__xludf.DUMMYFUNCTION("""COMPUTED_VALUE"""),"MUNICIPALIDAD DE ESTACIÓN CENTRAL")</f>
        <v>MUNICIPALIDAD DE ESTACIÓN CENTRAL</v>
      </c>
      <c r="F36" s="11">
        <f ca="1">IFERROR(__xludf.DUMMYFUNCTION("""COMPUTED_VALUE"""),308414501)</f>
        <v>308414501</v>
      </c>
      <c r="G36" s="10" t="str">
        <f ca="1">IFERROR(__xludf.DUMMYFUNCTION("""COMPUTED_VALUE"""),"Resolución")</f>
        <v>Resolución</v>
      </c>
      <c r="H36" s="10" t="str">
        <f ca="1">IFERROR(__xludf.DUMMYFUNCTION("""COMPUTED_VALUE"""),"OBRA")</f>
        <v>OBRA</v>
      </c>
      <c r="I36" s="10" t="str">
        <f ca="1">IFERROR(__xludf.DUMMYFUNCTION("""COMPUTED_VALUE"""),"Cumplir con normativa y reglamentos internos del programa en base a los objetivos.")</f>
        <v>Cumplir con normativa y reglamentos internos del programa en base a los objetivos.</v>
      </c>
      <c r="J36" s="11">
        <f ca="1">IFERROR(__xludf.DUMMYFUNCTION("""COMPUTED_VALUE"""),246731601)</f>
        <v>246731601</v>
      </c>
      <c r="K36" s="27">
        <f ca="1">IFERROR(__xludf.DUMMYFUNCTION("""COMPUTED_VALUE"""),0.800000000648478)</f>
        <v>0.80000000064847798</v>
      </c>
      <c r="L36" s="28" t="str">
        <f ca="1">IFERROR(__xludf.DUMMYFUNCTION("""COMPUTED_VALUE"""),"4377/2024")</f>
        <v>4377/2024</v>
      </c>
      <c r="M36" s="10" t="str">
        <f ca="1">IFERROR(__xludf.DUMMYFUNCTION("""COMPUTED_VALUE"""),"PRBIPE")</f>
        <v>PRBIPE</v>
      </c>
      <c r="N36" s="1"/>
      <c r="O36" s="1"/>
      <c r="P36" s="1"/>
      <c r="Q36" s="1"/>
      <c r="R36" s="1"/>
      <c r="S36" s="1"/>
      <c r="T36" s="1"/>
      <c r="U36" s="1"/>
      <c r="V36" s="1"/>
      <c r="W36" s="1"/>
      <c r="X36" s="1"/>
      <c r="Y36" s="1"/>
      <c r="Z36" s="1"/>
    </row>
    <row r="37" spans="1:26" ht="12.75" customHeight="1">
      <c r="A37" s="1"/>
      <c r="B37" s="10" t="str">
        <f ca="1">IFERROR(__xludf.DUMMYFUNCTION("""COMPUTED_VALUE"""),"ESTUDIO MEJORAMIENTO CASA DE LA CULTURA LOTA ALTO")</f>
        <v>ESTUDIO MEJORAMIENTO CASA DE LA CULTURA LOTA ALTO</v>
      </c>
      <c r="C37" s="26" t="str">
        <f t="shared" ca="1" si="0"/>
        <v xml:space="preserve"> LOTA</v>
      </c>
      <c r="D37" s="10" t="str">
        <f ca="1">IFERROR(__xludf.DUMMYFUNCTION("""COMPUTED_VALUE"""),"Guía Operativa")</f>
        <v>Guía Operativa</v>
      </c>
      <c r="E37" s="26" t="str">
        <f ca="1">IFERROR(__xludf.DUMMYFUNCTION("""COMPUTED_VALUE"""),"MUNICIPALIDAD DE LOTA")</f>
        <v>MUNICIPALIDAD DE LOTA</v>
      </c>
      <c r="F37" s="11">
        <f ca="1">IFERROR(__xludf.DUMMYFUNCTION("""COMPUTED_VALUE"""),99955000)</f>
        <v>99955000</v>
      </c>
      <c r="G37" s="10" t="str">
        <f ca="1">IFERROR(__xludf.DUMMYFUNCTION("""COMPUTED_VALUE"""),"Resolución")</f>
        <v>Resolución</v>
      </c>
      <c r="H37" s="10" t="str">
        <f ca="1">IFERROR(__xludf.DUMMYFUNCTION("""COMPUTED_VALUE"""),"ESTUDIO")</f>
        <v>ESTUDIO</v>
      </c>
      <c r="I37" s="10" t="str">
        <f ca="1">IFERROR(__xludf.DUMMYFUNCTION("""COMPUTED_VALUE"""),"Cumplir con normativa y reglamentos internos del programa en base a los objetivos.")</f>
        <v>Cumplir con normativa y reglamentos internos del programa en base a los objetivos.</v>
      </c>
      <c r="J37" s="11">
        <f ca="1">IFERROR(__xludf.DUMMYFUNCTION("""COMPUTED_VALUE"""),9672000)</f>
        <v>9672000</v>
      </c>
      <c r="K37" s="27">
        <f ca="1">IFERROR(__xludf.DUMMYFUNCTION("""COMPUTED_VALUE"""),0.967635435946175)</f>
        <v>0.96763543594617496</v>
      </c>
      <c r="L37" s="28" t="str">
        <f ca="1">IFERROR(__xludf.DUMMYFUNCTION("""COMPUTED_VALUE"""),"9483/2017")</f>
        <v>9483/2017</v>
      </c>
      <c r="M37" s="10" t="str">
        <f ca="1">IFERROR(__xludf.DUMMYFUNCTION("""COMPUTED_VALUE"""),"PRBIPE")</f>
        <v>PRBIPE</v>
      </c>
      <c r="N37" s="1"/>
      <c r="O37" s="1"/>
      <c r="P37" s="1"/>
      <c r="Q37" s="1"/>
      <c r="R37" s="1"/>
      <c r="S37" s="1"/>
      <c r="T37" s="1"/>
      <c r="U37" s="1"/>
      <c r="V37" s="1"/>
      <c r="W37" s="1"/>
      <c r="X37" s="1"/>
      <c r="Y37" s="1"/>
      <c r="Z37" s="1"/>
    </row>
    <row r="38" spans="1:26" ht="12.75" customHeight="1">
      <c r="A38" s="1"/>
      <c r="B38" s="10" t="str">
        <f ca="1">IFERROR(__xludf.DUMMYFUNCTION("""COMPUTED_VALUE"""),"ASISTENCIA TECNICA EQUIPO COMUNAL REVIVE ÑUÑOA 2024")</f>
        <v>ASISTENCIA TECNICA EQUIPO COMUNAL REVIVE ÑUÑOA 2024</v>
      </c>
      <c r="C38" s="26" t="str">
        <f t="shared" ca="1" si="0"/>
        <v xml:space="preserve"> ÑUÑOA</v>
      </c>
      <c r="D38" s="10" t="str">
        <f ca="1">IFERROR(__xludf.DUMMYFUNCTION("""COMPUTED_VALUE"""),"Guía Operativa")</f>
        <v>Guía Operativa</v>
      </c>
      <c r="E38" s="26" t="str">
        <f ca="1">IFERROR(__xludf.DUMMYFUNCTION("""COMPUTED_VALUE"""),"MUNICIPALIDAD DE ÑUÑOA")</f>
        <v>MUNICIPALIDAD DE ÑUÑOA</v>
      </c>
      <c r="F38" s="11">
        <f ca="1">IFERROR(__xludf.DUMMYFUNCTION("""COMPUTED_VALUE"""),263792926)</f>
        <v>263792926</v>
      </c>
      <c r="G38" s="10" t="str">
        <f ca="1">IFERROR(__xludf.DUMMYFUNCTION("""COMPUTED_VALUE"""),"Resolución")</f>
        <v>Resolución</v>
      </c>
      <c r="H38" s="10" t="str">
        <f ca="1">IFERROR(__xludf.DUMMYFUNCTION("""COMPUTED_VALUE"""),"ASISTENCIA TÉCNICA")</f>
        <v>ASISTENCIA TÉCNICA</v>
      </c>
      <c r="I38" s="10" t="str">
        <f ca="1">IFERROR(__xludf.DUMMYFUNCTION("""COMPUTED_VALUE"""),"Cumplir con normativa y reglamentos internos del programa en base a los objetivos.")</f>
        <v>Cumplir con normativa y reglamentos internos del programa en base a los objetivos.</v>
      </c>
      <c r="J38" s="11">
        <f ca="1">IFERROR(__xludf.DUMMYFUNCTION("""COMPUTED_VALUE"""),18347854)</f>
        <v>18347854</v>
      </c>
      <c r="K38" s="27">
        <f ca="1">IFERROR(__xludf.DUMMYFUNCTION("""COMPUTED_VALUE"""),0.969554001611097)</f>
        <v>0.96955400161109695</v>
      </c>
      <c r="L38" s="28" t="str">
        <f ca="1">IFERROR(__xludf.DUMMYFUNCTION("""COMPUTED_VALUE"""),"14266/2023")</f>
        <v>14266/2023</v>
      </c>
      <c r="M38" s="10" t="str">
        <f ca="1">IFERROR(__xludf.DUMMYFUNCTION("""COMPUTED_VALUE"""),"PRBIPE")</f>
        <v>PRBIPE</v>
      </c>
      <c r="N38" s="1"/>
      <c r="O38" s="1"/>
      <c r="P38" s="1"/>
      <c r="Q38" s="1"/>
      <c r="R38" s="1"/>
      <c r="S38" s="1"/>
      <c r="T38" s="1"/>
      <c r="U38" s="1"/>
      <c r="V38" s="1"/>
      <c r="W38" s="1"/>
      <c r="X38" s="1"/>
      <c r="Y38" s="1"/>
      <c r="Z38" s="1"/>
    </row>
    <row r="39" spans="1:26" ht="12.75" customHeight="1">
      <c r="A39" s="1"/>
      <c r="B39" s="10" t="str">
        <f ca="1">IFERROR(__xludf.DUMMYFUNCTION("""COMPUTED_VALUE"""),"ASISTENCIA TÉCNICA PARA LA EJECUCIÓN DEL PLAN DE COMUNICACIONES Y VINCULACIÓN COMUNITARIA 2024")</f>
        <v>ASISTENCIA TÉCNICA PARA LA EJECUCIÓN DEL PLAN DE COMUNICACIONES Y VINCULACIÓN COMUNITARIA 2024</v>
      </c>
      <c r="C39" s="26" t="str">
        <f t="shared" ca="1" si="0"/>
        <v xml:space="preserve"> ÑUÑOA</v>
      </c>
      <c r="D39" s="10" t="str">
        <f ca="1">IFERROR(__xludf.DUMMYFUNCTION("""COMPUTED_VALUE"""),"Guía Operativa")</f>
        <v>Guía Operativa</v>
      </c>
      <c r="E39" s="26" t="str">
        <f ca="1">IFERROR(__xludf.DUMMYFUNCTION("""COMPUTED_VALUE"""),"MUNICIPALIDAD DE ÑUÑOA")</f>
        <v>MUNICIPALIDAD DE ÑUÑOA</v>
      </c>
      <c r="F39" s="11">
        <f ca="1">IFERROR(__xludf.DUMMYFUNCTION("""COMPUTED_VALUE"""),41091952)</f>
        <v>41091952</v>
      </c>
      <c r="G39" s="10" t="str">
        <f ca="1">IFERROR(__xludf.DUMMYFUNCTION("""COMPUTED_VALUE"""),"Resolución")</f>
        <v>Resolución</v>
      </c>
      <c r="H39" s="10" t="str">
        <f ca="1">IFERROR(__xludf.DUMMYFUNCTION("""COMPUTED_VALUE"""),"ASISTENCIA TÉCNICA")</f>
        <v>ASISTENCIA TÉCNICA</v>
      </c>
      <c r="I39" s="10" t="str">
        <f ca="1">IFERROR(__xludf.DUMMYFUNCTION("""COMPUTED_VALUE"""),"Cumplir con normativa y reglamentos internos del programa en base a los objetivos.")</f>
        <v>Cumplir con normativa y reglamentos internos del programa en base a los objetivos.</v>
      </c>
      <c r="J39" s="11">
        <f ca="1">IFERROR(__xludf.DUMMYFUNCTION("""COMPUTED_VALUE"""),41091952)</f>
        <v>41091952</v>
      </c>
      <c r="K39" s="27">
        <f ca="1">IFERROR(__xludf.DUMMYFUNCTION("""COMPUTED_VALUE"""),1)</f>
        <v>1</v>
      </c>
      <c r="L39" s="28" t="str">
        <f ca="1">IFERROR(__xludf.DUMMYFUNCTION("""COMPUTED_VALUE"""),"1069/2024")</f>
        <v>1069/2024</v>
      </c>
      <c r="M39" s="10" t="str">
        <f ca="1">IFERROR(__xludf.DUMMYFUNCTION("""COMPUTED_VALUE"""),"PRBIPE")</f>
        <v>PRBIPE</v>
      </c>
      <c r="N39" s="1"/>
      <c r="O39" s="1"/>
      <c r="P39" s="1"/>
      <c r="Q39" s="1"/>
      <c r="R39" s="1"/>
      <c r="S39" s="1"/>
      <c r="T39" s="1"/>
      <c r="U39" s="1"/>
      <c r="V39" s="1"/>
      <c r="W39" s="1"/>
      <c r="X39" s="1"/>
      <c r="Y39" s="1"/>
      <c r="Z39" s="1"/>
    </row>
    <row r="40" spans="1:26" ht="12.75" customHeight="1">
      <c r="A40" s="1"/>
      <c r="B40" s="10" t="str">
        <f ca="1">IFERROR(__xludf.DUMMYFUNCTION("""COMPUTED_VALUE"""),"MURALES PASO BAJO NIVEL ÑUBLE")</f>
        <v>MURALES PASO BAJO NIVEL ÑUBLE</v>
      </c>
      <c r="C40" s="26" t="str">
        <f t="shared" ca="1" si="0"/>
        <v xml:space="preserve"> ÑUÑOA</v>
      </c>
      <c r="D40" s="10" t="str">
        <f ca="1">IFERROR(__xludf.DUMMYFUNCTION("""COMPUTED_VALUE"""),"Guía Operativa")</f>
        <v>Guía Operativa</v>
      </c>
      <c r="E40" s="26" t="str">
        <f ca="1">IFERROR(__xludf.DUMMYFUNCTION("""COMPUTED_VALUE"""),"MUNICIPALIDAD DE ÑUÑOA")</f>
        <v>MUNICIPALIDAD DE ÑUÑOA</v>
      </c>
      <c r="F40" s="11">
        <f ca="1">IFERROR(__xludf.DUMMYFUNCTION("""COMPUTED_VALUE"""),300330000)</f>
        <v>300330000</v>
      </c>
      <c r="G40" s="10" t="str">
        <f ca="1">IFERROR(__xludf.DUMMYFUNCTION("""COMPUTED_VALUE"""),"Resolución")</f>
        <v>Resolución</v>
      </c>
      <c r="H40" s="10" t="str">
        <f ca="1">IFERROR(__xludf.DUMMYFUNCTION("""COMPUTED_VALUE"""),"OBRA")</f>
        <v>OBRA</v>
      </c>
      <c r="I40" s="10" t="str">
        <f ca="1">IFERROR(__xludf.DUMMYFUNCTION("""COMPUTED_VALUE"""),"Cumplir con normativa y reglamentos internos del programa en base a los objetivos.")</f>
        <v>Cumplir con normativa y reglamentos internos del programa en base a los objetivos.</v>
      </c>
      <c r="J40" s="11">
        <f ca="1">IFERROR(__xludf.DUMMYFUNCTION("""COMPUTED_VALUE"""),240264000)</f>
        <v>240264000</v>
      </c>
      <c r="K40" s="27">
        <f ca="1">IFERROR(__xludf.DUMMYFUNCTION("""COMPUTED_VALUE"""),0.8)</f>
        <v>0.8</v>
      </c>
      <c r="L40" s="28" t="str">
        <f ca="1">IFERROR(__xludf.DUMMYFUNCTION("""COMPUTED_VALUE"""),"2771/2024")</f>
        <v>2771/2024</v>
      </c>
      <c r="M40" s="10" t="str">
        <f ca="1">IFERROR(__xludf.DUMMYFUNCTION("""COMPUTED_VALUE"""),"PRBIPE")</f>
        <v>PRBIPE</v>
      </c>
      <c r="N40" s="1"/>
      <c r="O40" s="1"/>
      <c r="P40" s="1"/>
      <c r="Q40" s="1"/>
      <c r="R40" s="1"/>
      <c r="S40" s="1"/>
      <c r="T40" s="1"/>
      <c r="U40" s="1"/>
      <c r="V40" s="1"/>
      <c r="W40" s="1"/>
      <c r="X40" s="1"/>
      <c r="Y40" s="1"/>
      <c r="Z40" s="1"/>
    </row>
    <row r="41" spans="1:26" ht="12.75" customHeight="1">
      <c r="A41" s="1"/>
      <c r="B41" s="10" t="str">
        <f ca="1">IFERROR(__xludf.DUMMYFUNCTION("""COMPUTED_VALUE"""),"MEJORAMIENTO DE FACHADAS Y CARTELES DE LOCALES COMERCIALES DE VILLA FREI"", COMUNA DE ÑUÑOA")</f>
        <v>MEJORAMIENTO DE FACHADAS Y CARTELES DE LOCALES COMERCIALES DE VILLA FREI", COMUNA DE ÑUÑOA</v>
      </c>
      <c r="C41" s="26" t="str">
        <f t="shared" ca="1" si="0"/>
        <v xml:space="preserve"> ÑUÑOA</v>
      </c>
      <c r="D41" s="10" t="str">
        <f ca="1">IFERROR(__xludf.DUMMYFUNCTION("""COMPUTED_VALUE"""),"Guía Operativa")</f>
        <v>Guía Operativa</v>
      </c>
      <c r="E41" s="26" t="str">
        <f ca="1">IFERROR(__xludf.DUMMYFUNCTION("""COMPUTED_VALUE"""),"MUNICIPALIDAD DE ÑUÑOA")</f>
        <v>MUNICIPALIDAD DE ÑUÑOA</v>
      </c>
      <c r="F41" s="11">
        <f ca="1">IFERROR(__xludf.DUMMYFUNCTION("""COMPUTED_VALUE"""),287956490)</f>
        <v>287956490</v>
      </c>
      <c r="G41" s="10" t="str">
        <f ca="1">IFERROR(__xludf.DUMMYFUNCTION("""COMPUTED_VALUE"""),"Resolución")</f>
        <v>Resolución</v>
      </c>
      <c r="H41" s="10" t="str">
        <f ca="1">IFERROR(__xludf.DUMMYFUNCTION("""COMPUTED_VALUE"""),"OBRA")</f>
        <v>OBRA</v>
      </c>
      <c r="I41" s="10" t="str">
        <f ca="1">IFERROR(__xludf.DUMMYFUNCTION("""COMPUTED_VALUE"""),"Cumplir con normativa y reglamentos internos del programa en base a los objetivos.")</f>
        <v>Cumplir con normativa y reglamentos internos del programa en base a los objetivos.</v>
      </c>
      <c r="J41" s="11">
        <f ca="1">IFERROR(__xludf.DUMMYFUNCTION("""COMPUTED_VALUE"""),230365192)</f>
        <v>230365192</v>
      </c>
      <c r="K41" s="27">
        <f ca="1">IFERROR(__xludf.DUMMYFUNCTION("""COMPUTED_VALUE"""),0.8)</f>
        <v>0.8</v>
      </c>
      <c r="L41" s="28" t="str">
        <f ca="1">IFERROR(__xludf.DUMMYFUNCTION("""COMPUTED_VALUE"""),"3054/2024")</f>
        <v>3054/2024</v>
      </c>
      <c r="M41" s="10" t="str">
        <f ca="1">IFERROR(__xludf.DUMMYFUNCTION("""COMPUTED_VALUE"""),"PRBIPE")</f>
        <v>PRBIPE</v>
      </c>
      <c r="N41" s="1"/>
      <c r="O41" s="1"/>
      <c r="P41" s="1"/>
      <c r="Q41" s="1"/>
      <c r="R41" s="1"/>
      <c r="S41" s="1"/>
      <c r="T41" s="1"/>
      <c r="U41" s="1"/>
      <c r="V41" s="1"/>
      <c r="W41" s="1"/>
      <c r="X41" s="1"/>
      <c r="Y41" s="1"/>
      <c r="Z41" s="1"/>
    </row>
    <row r="42" spans="1:26" ht="12.75" customHeight="1">
      <c r="A42" s="1"/>
      <c r="B42" s="10" t="str">
        <f ca="1">IFERROR(__xludf.DUMMYFUNCTION("""COMPUTED_VALUE"""),"PLAN DE EMERGENCIA Y SEGURIDAD COMUNITARIA VILLA FREI")</f>
        <v>PLAN DE EMERGENCIA Y SEGURIDAD COMUNITARIA VILLA FREI</v>
      </c>
      <c r="C42" s="26" t="str">
        <f t="shared" ca="1" si="0"/>
        <v xml:space="preserve"> ÑUÑOA</v>
      </c>
      <c r="D42" s="10" t="str">
        <f ca="1">IFERROR(__xludf.DUMMYFUNCTION("""COMPUTED_VALUE"""),"Guía Operativa")</f>
        <v>Guía Operativa</v>
      </c>
      <c r="E42" s="26" t="str">
        <f ca="1">IFERROR(__xludf.DUMMYFUNCTION("""COMPUTED_VALUE"""),"MUNICIPALIDAD DE ÑUÑOA")</f>
        <v>MUNICIPALIDAD DE ÑUÑOA</v>
      </c>
      <c r="F42" s="11">
        <f ca="1">IFERROR(__xludf.DUMMYFUNCTION("""COMPUTED_VALUE"""),130000000)</f>
        <v>130000000</v>
      </c>
      <c r="G42" s="10" t="str">
        <f ca="1">IFERROR(__xludf.DUMMYFUNCTION("""COMPUTED_VALUE"""),"Resolución")</f>
        <v>Resolución</v>
      </c>
      <c r="H42" s="10" t="str">
        <f ca="1">IFERROR(__xludf.DUMMYFUNCTION("""COMPUTED_VALUE"""),"PLAN")</f>
        <v>PLAN</v>
      </c>
      <c r="I42" s="10" t="str">
        <f ca="1">IFERROR(__xludf.DUMMYFUNCTION("""COMPUTED_VALUE"""),"Cumplir con normativa y reglamentos internos del programa en base a los objetivos.")</f>
        <v>Cumplir con normativa y reglamentos internos del programa en base a los objetivos.</v>
      </c>
      <c r="J42" s="11">
        <f ca="1">IFERROR(__xludf.DUMMYFUNCTION("""COMPUTED_VALUE"""),65000000)</f>
        <v>65000000</v>
      </c>
      <c r="K42" s="27">
        <f ca="1">IFERROR(__xludf.DUMMYFUNCTION("""COMPUTED_VALUE"""),0.5)</f>
        <v>0.5</v>
      </c>
      <c r="L42" s="28" t="str">
        <f ca="1">IFERROR(__xludf.DUMMYFUNCTION("""COMPUTED_VALUE"""),"4932/2024")</f>
        <v>4932/2024</v>
      </c>
      <c r="M42" s="10" t="str">
        <f ca="1">IFERROR(__xludf.DUMMYFUNCTION("""COMPUTED_VALUE"""),"PRBIPE")</f>
        <v>PRBIPE</v>
      </c>
      <c r="N42" s="1"/>
      <c r="O42" s="1"/>
      <c r="P42" s="1"/>
      <c r="Q42" s="1"/>
      <c r="R42" s="1"/>
      <c r="S42" s="1"/>
      <c r="T42" s="1"/>
      <c r="U42" s="1"/>
      <c r="V42" s="1"/>
      <c r="W42" s="1"/>
      <c r="X42" s="1"/>
      <c r="Y42" s="1"/>
      <c r="Z42" s="1"/>
    </row>
    <row r="43" spans="1:26" ht="12.75" customHeight="1">
      <c r="A43" s="1"/>
      <c r="B43" s="10" t="str">
        <f ca="1">IFERROR(__xludf.DUMMYFUNCTION("""COMPUTED_VALUE"""),"MEJORAMIENTO DE FACHADAS BLOQUES 4 Y 21 VILLA FREI SECTOR 1")</f>
        <v>MEJORAMIENTO DE FACHADAS BLOQUES 4 Y 21 VILLA FREI SECTOR 1</v>
      </c>
      <c r="C43" s="26" t="str">
        <f t="shared" ca="1" si="0"/>
        <v xml:space="preserve"> ÑUÑOA</v>
      </c>
      <c r="D43" s="10" t="str">
        <f ca="1">IFERROR(__xludf.DUMMYFUNCTION("""COMPUTED_VALUE"""),"Guía Operativa")</f>
        <v>Guía Operativa</v>
      </c>
      <c r="E43" s="26" t="str">
        <f ca="1">IFERROR(__xludf.DUMMYFUNCTION("""COMPUTED_VALUE"""),"MUNICIPALIDAD DE ÑUÑOA")</f>
        <v>MUNICIPALIDAD DE ÑUÑOA</v>
      </c>
      <c r="F43" s="11">
        <f ca="1">IFERROR(__xludf.DUMMYFUNCTION("""COMPUTED_VALUE"""),284430081)</f>
        <v>284430081</v>
      </c>
      <c r="G43" s="10" t="str">
        <f ca="1">IFERROR(__xludf.DUMMYFUNCTION("""COMPUTED_VALUE"""),"Resolución")</f>
        <v>Resolución</v>
      </c>
      <c r="H43" s="10" t="str">
        <f ca="1">IFERROR(__xludf.DUMMYFUNCTION("""COMPUTED_VALUE"""),"OBRA")</f>
        <v>OBRA</v>
      </c>
      <c r="I43" s="10" t="str">
        <f ca="1">IFERROR(__xludf.DUMMYFUNCTION("""COMPUTED_VALUE"""),"Cumplir con normativa y reglamentos internos del programa en base a los objetivos.")</f>
        <v>Cumplir con normativa y reglamentos internos del programa en base a los objetivos.</v>
      </c>
      <c r="J43" s="11">
        <f ca="1">IFERROR(__xludf.DUMMYFUNCTION("""COMPUTED_VALUE"""),142215041)</f>
        <v>142215041</v>
      </c>
      <c r="K43" s="27">
        <f ca="1">IFERROR(__xludf.DUMMYFUNCTION("""COMPUTED_VALUE"""),0.500000001757901)</f>
        <v>0.50000000175790105</v>
      </c>
      <c r="L43" s="28" t="str">
        <f ca="1">IFERROR(__xludf.DUMMYFUNCTION("""COMPUTED_VALUE"""),"4933/2024")</f>
        <v>4933/2024</v>
      </c>
      <c r="M43" s="10" t="str">
        <f ca="1">IFERROR(__xludf.DUMMYFUNCTION("""COMPUTED_VALUE"""),"PRBIPE")</f>
        <v>PRBIPE</v>
      </c>
      <c r="N43" s="1"/>
      <c r="O43" s="1"/>
      <c r="P43" s="1"/>
      <c r="Q43" s="1"/>
      <c r="R43" s="1"/>
      <c r="S43" s="1"/>
      <c r="T43" s="1"/>
      <c r="U43" s="1"/>
      <c r="V43" s="1"/>
      <c r="W43" s="1"/>
      <c r="X43" s="1"/>
      <c r="Y43" s="1"/>
      <c r="Z43" s="1"/>
    </row>
    <row r="44" spans="1:26" ht="12.75" customHeight="1">
      <c r="A44" s="1"/>
      <c r="B44" s="10" t="str">
        <f ca="1">IFERROR(__xludf.DUMMYFUNCTION("""COMPUTED_VALUE"""),"MEJORAMIENTO BAJO NIVEL ÑUBLE")</f>
        <v>MEJORAMIENTO BAJO NIVEL ÑUBLE</v>
      </c>
      <c r="C44" s="26" t="str">
        <f t="shared" ca="1" si="0"/>
        <v xml:space="preserve"> ÑUÑOA</v>
      </c>
      <c r="D44" s="10" t="str">
        <f ca="1">IFERROR(__xludf.DUMMYFUNCTION("""COMPUTED_VALUE"""),"Guía Operativa")</f>
        <v>Guía Operativa</v>
      </c>
      <c r="E44" s="26" t="str">
        <f ca="1">IFERROR(__xludf.DUMMYFUNCTION("""COMPUTED_VALUE"""),"MUNICIPALIDAD DE ÑUÑOA")</f>
        <v>MUNICIPALIDAD DE ÑUÑOA</v>
      </c>
      <c r="F44" s="11">
        <f ca="1">IFERROR(__xludf.DUMMYFUNCTION("""COMPUTED_VALUE"""),175621937)</f>
        <v>175621937</v>
      </c>
      <c r="G44" s="10" t="str">
        <f ca="1">IFERROR(__xludf.DUMMYFUNCTION("""COMPUTED_VALUE"""),"Resolución")</f>
        <v>Resolución</v>
      </c>
      <c r="H44" s="10" t="str">
        <f ca="1">IFERROR(__xludf.DUMMYFUNCTION("""COMPUTED_VALUE"""),"OBRA")</f>
        <v>OBRA</v>
      </c>
      <c r="I44" s="10" t="str">
        <f ca="1">IFERROR(__xludf.DUMMYFUNCTION("""COMPUTED_VALUE"""),"Cumplir con normativa y reglamentos internos del programa en base a los objetivos.")</f>
        <v>Cumplir con normativa y reglamentos internos del programa en base a los objetivos.</v>
      </c>
      <c r="J44" s="11">
        <f ca="1">IFERROR(__xludf.DUMMYFUNCTION("""COMPUTED_VALUE"""),175621937)</f>
        <v>175621937</v>
      </c>
      <c r="K44" s="27">
        <f ca="1">IFERROR(__xludf.DUMMYFUNCTION("""COMPUTED_VALUE"""),1)</f>
        <v>1</v>
      </c>
      <c r="L44" s="28" t="str">
        <f ca="1">IFERROR(__xludf.DUMMYFUNCTION("""COMPUTED_VALUE"""),"4931/2024")</f>
        <v>4931/2024</v>
      </c>
      <c r="M44" s="10" t="str">
        <f ca="1">IFERROR(__xludf.DUMMYFUNCTION("""COMPUTED_VALUE"""),"PRBIPE")</f>
        <v>PRBIPE</v>
      </c>
      <c r="N44" s="1"/>
      <c r="O44" s="1"/>
      <c r="P44" s="1"/>
      <c r="Q44" s="1"/>
      <c r="R44" s="1"/>
      <c r="S44" s="1"/>
      <c r="T44" s="1"/>
      <c r="U44" s="1"/>
      <c r="V44" s="1"/>
      <c r="W44" s="1"/>
      <c r="X44" s="1"/>
      <c r="Y44" s="1"/>
      <c r="Z44" s="1"/>
    </row>
    <row r="45" spans="1:26" ht="12.75" customHeight="1">
      <c r="A45" s="1"/>
      <c r="B45" s="10" t="str">
        <f ca="1">IFERROR(__xludf.DUMMYFUNCTION("""COMPUTED_VALUE"""),"MEJORAMIENTO PASEO ÑUBLE - COMUNA DE ÑUÑOA")</f>
        <v>MEJORAMIENTO PASEO ÑUBLE - COMUNA DE ÑUÑOA</v>
      </c>
      <c r="C45" s="26" t="str">
        <f t="shared" ca="1" si="0"/>
        <v xml:space="preserve"> ÑUÑOA</v>
      </c>
      <c r="D45" s="10" t="str">
        <f ca="1">IFERROR(__xludf.DUMMYFUNCTION("""COMPUTED_VALUE"""),"Guía Operativa")</f>
        <v>Guía Operativa</v>
      </c>
      <c r="E45" s="26" t="str">
        <f ca="1">IFERROR(__xludf.DUMMYFUNCTION("""COMPUTED_VALUE"""),"MUNICIPALIDAD DE ÑUÑOA")</f>
        <v>MUNICIPALIDAD DE ÑUÑOA</v>
      </c>
      <c r="F45" s="11">
        <f ca="1">IFERROR(__xludf.DUMMYFUNCTION("""COMPUTED_VALUE"""),222477165)</f>
        <v>222477165</v>
      </c>
      <c r="G45" s="10" t="str">
        <f ca="1">IFERROR(__xludf.DUMMYFUNCTION("""COMPUTED_VALUE"""),"Resolución")</f>
        <v>Resolución</v>
      </c>
      <c r="H45" s="10" t="str">
        <f ca="1">IFERROR(__xludf.DUMMYFUNCTION("""COMPUTED_VALUE"""),"OBRA")</f>
        <v>OBRA</v>
      </c>
      <c r="I45" s="10" t="str">
        <f ca="1">IFERROR(__xludf.DUMMYFUNCTION("""COMPUTED_VALUE"""),"Cumplir con normativa y reglamentos internos del programa en base a los objetivos.")</f>
        <v>Cumplir con normativa y reglamentos internos del programa en base a los objetivos.</v>
      </c>
      <c r="J45" s="11">
        <f ca="1">IFERROR(__xludf.DUMMYFUNCTION("""COMPUTED_VALUE"""),222477165)</f>
        <v>222477165</v>
      </c>
      <c r="K45" s="27">
        <f ca="1">IFERROR(__xludf.DUMMYFUNCTION("""COMPUTED_VALUE"""),1)</f>
        <v>1</v>
      </c>
      <c r="L45" s="28" t="str">
        <f ca="1">IFERROR(__xludf.DUMMYFUNCTION("""COMPUTED_VALUE"""),"5007/2024")</f>
        <v>5007/2024</v>
      </c>
      <c r="M45" s="10" t="str">
        <f ca="1">IFERROR(__xludf.DUMMYFUNCTION("""COMPUTED_VALUE"""),"PRBIPE")</f>
        <v>PRBIPE</v>
      </c>
      <c r="N45" s="1"/>
      <c r="O45" s="1"/>
      <c r="P45" s="1"/>
      <c r="Q45" s="1"/>
      <c r="R45" s="1"/>
      <c r="S45" s="1"/>
      <c r="T45" s="1"/>
      <c r="U45" s="1"/>
      <c r="V45" s="1"/>
      <c r="W45" s="1"/>
      <c r="X45" s="1"/>
      <c r="Y45" s="1"/>
      <c r="Z45" s="1"/>
    </row>
    <row r="46" spans="1:26" ht="12.75" customHeight="1">
      <c r="A46" s="1"/>
      <c r="B46" s="10" t="str">
        <f ca="1">IFERROR(__xludf.DUMMYFUNCTION("""COMPUTED_VALUE"""),"EJECUCIÓN ""MEJORAMIENTO SANTA ISABEL ENTRE B. VICUÑA MACKENNA Y GENERAL BUSTAMANTE, PROVIDENCIA""")</f>
        <v>EJECUCIÓN "MEJORAMIENTO SANTA ISABEL ENTRE B. VICUÑA MACKENNA Y GENERAL BUSTAMANTE, PROVIDENCIA"</v>
      </c>
      <c r="C46" s="26" t="str">
        <f t="shared" ca="1" si="0"/>
        <v xml:space="preserve"> PROVIDENCIA</v>
      </c>
      <c r="D46" s="10" t="str">
        <f ca="1">IFERROR(__xludf.DUMMYFUNCTION("""COMPUTED_VALUE"""),"Guía Operativa")</f>
        <v>Guía Operativa</v>
      </c>
      <c r="E46" s="26" t="str">
        <f ca="1">IFERROR(__xludf.DUMMYFUNCTION("""COMPUTED_VALUE"""),"MUNICIPALIDAD DE PROVIDENCIA")</f>
        <v>MUNICIPALIDAD DE PROVIDENCIA</v>
      </c>
      <c r="F46" s="11">
        <f ca="1">IFERROR(__xludf.DUMMYFUNCTION("""COMPUTED_VALUE"""),753708969)</f>
        <v>753708969</v>
      </c>
      <c r="G46" s="10" t="str">
        <f ca="1">IFERROR(__xludf.DUMMYFUNCTION("""COMPUTED_VALUE"""),"Resolución")</f>
        <v>Resolución</v>
      </c>
      <c r="H46" s="10" t="str">
        <f ca="1">IFERROR(__xludf.DUMMYFUNCTION("""COMPUTED_VALUE"""),"OBRA")</f>
        <v>OBRA</v>
      </c>
      <c r="I46" s="10" t="str">
        <f ca="1">IFERROR(__xludf.DUMMYFUNCTION("""COMPUTED_VALUE"""),"Cumplir con normativa y reglamentos internos del programa en base a los objetivos.")</f>
        <v>Cumplir con normativa y reglamentos internos del programa en base a los objetivos.</v>
      </c>
      <c r="J46" s="11">
        <f ca="1">IFERROR(__xludf.DUMMYFUNCTION("""COMPUTED_VALUE"""),271155247)</f>
        <v>271155247</v>
      </c>
      <c r="K46" s="27">
        <f ca="1">IFERROR(__xludf.DUMMYFUNCTION("""COMPUTED_VALUE"""),0.891642000614165)</f>
        <v>0.89164200061416499</v>
      </c>
      <c r="L46" s="28" t="str">
        <f ca="1">IFERROR(__xludf.DUMMYFUNCTION("""COMPUTED_VALUE"""),"2063/2022")</f>
        <v>2063/2022</v>
      </c>
      <c r="M46" s="10" t="str">
        <f ca="1">IFERROR(__xludf.DUMMYFUNCTION("""COMPUTED_VALUE"""),"PRBIPE")</f>
        <v>PRBIPE</v>
      </c>
      <c r="N46" s="1"/>
      <c r="O46" s="1"/>
      <c r="P46" s="1"/>
      <c r="Q46" s="1"/>
      <c r="R46" s="1"/>
      <c r="S46" s="1"/>
      <c r="T46" s="1"/>
      <c r="U46" s="1"/>
      <c r="V46" s="1"/>
      <c r="W46" s="1"/>
      <c r="X46" s="1"/>
      <c r="Y46" s="1"/>
      <c r="Z46" s="1"/>
    </row>
    <row r="47" spans="1:26" ht="12.75" customHeight="1">
      <c r="A47" s="1"/>
      <c r="B47" s="10" t="str">
        <f ca="1">IFERROR(__xludf.DUMMYFUNCTION("""COMPUTED_VALUE"""),"TERRAZAS PRO: BELLAVISTA")</f>
        <v>TERRAZAS PRO: BELLAVISTA</v>
      </c>
      <c r="C47" s="26" t="str">
        <f t="shared" ca="1" si="0"/>
        <v xml:space="preserve"> PROVIDENCIA</v>
      </c>
      <c r="D47" s="10" t="str">
        <f ca="1">IFERROR(__xludf.DUMMYFUNCTION("""COMPUTED_VALUE"""),"Guía Operativa")</f>
        <v>Guía Operativa</v>
      </c>
      <c r="E47" s="26" t="str">
        <f ca="1">IFERROR(__xludf.DUMMYFUNCTION("""COMPUTED_VALUE"""),"MUNICIPALIDAD DE PROVIDENCIA")</f>
        <v>MUNICIPALIDAD DE PROVIDENCIA</v>
      </c>
      <c r="F47" s="11">
        <f ca="1">IFERROR(__xludf.DUMMYFUNCTION("""COMPUTED_VALUE"""),138463938)</f>
        <v>138463938</v>
      </c>
      <c r="G47" s="10" t="str">
        <f ca="1">IFERROR(__xludf.DUMMYFUNCTION("""COMPUTED_VALUE"""),"Resolución")</f>
        <v>Resolución</v>
      </c>
      <c r="H47" s="10" t="str">
        <f ca="1">IFERROR(__xludf.DUMMYFUNCTION("""COMPUTED_VALUE"""),"FOMENTO PRODUCTIVO")</f>
        <v>FOMENTO PRODUCTIVO</v>
      </c>
      <c r="I47" s="10" t="str">
        <f ca="1">IFERROR(__xludf.DUMMYFUNCTION("""COMPUTED_VALUE"""),"Cumplir con normativa y reglamentos internos del programa en base a los objetivos.")</f>
        <v>Cumplir con normativa y reglamentos internos del programa en base a los objetivos.</v>
      </c>
      <c r="J47" s="11">
        <f ca="1">IFERROR(__xludf.DUMMYFUNCTION("""COMPUTED_VALUE"""),45927843)</f>
        <v>45927843</v>
      </c>
      <c r="K47" s="27">
        <f ca="1">IFERROR(__xludf.DUMMYFUNCTION("""COMPUTED_VALUE"""),1)</f>
        <v>1</v>
      </c>
      <c r="L47" s="28" t="str">
        <f ca="1">IFERROR(__xludf.DUMMYFUNCTION("""COMPUTED_VALUE"""),"9867/2021")</f>
        <v>9867/2021</v>
      </c>
      <c r="M47" s="10" t="str">
        <f ca="1">IFERROR(__xludf.DUMMYFUNCTION("""COMPUTED_VALUE"""),"PRBIPE")</f>
        <v>PRBIPE</v>
      </c>
      <c r="N47" s="1"/>
      <c r="O47" s="1"/>
      <c r="P47" s="1"/>
      <c r="Q47" s="1"/>
      <c r="R47" s="1"/>
      <c r="S47" s="1"/>
      <c r="T47" s="1"/>
      <c r="U47" s="1"/>
      <c r="V47" s="1"/>
      <c r="W47" s="1"/>
      <c r="X47" s="1"/>
      <c r="Y47" s="1"/>
      <c r="Z47" s="1"/>
    </row>
    <row r="48" spans="1:26" ht="12.75" customHeight="1">
      <c r="A48" s="1"/>
      <c r="B48" s="10" t="str">
        <f ca="1">IFERROR(__xludf.DUMMYFUNCTION("""COMPUTED_VALUE"""),"DISEÑO Y ESPECIALIDADES DEL PROYECTO “MEJORAMIENTO INTEGRAL CALLE MANUEL MONTT”")</f>
        <v>DISEÑO Y ESPECIALIDADES DEL PROYECTO “MEJORAMIENTO INTEGRAL CALLE MANUEL MONTT”</v>
      </c>
      <c r="C48" s="26" t="str">
        <f t="shared" ca="1" si="0"/>
        <v xml:space="preserve"> PROVIDENCIA</v>
      </c>
      <c r="D48" s="10" t="str">
        <f ca="1">IFERROR(__xludf.DUMMYFUNCTION("""COMPUTED_VALUE"""),"Guía Operativa")</f>
        <v>Guía Operativa</v>
      </c>
      <c r="E48" s="26" t="str">
        <f ca="1">IFERROR(__xludf.DUMMYFUNCTION("""COMPUTED_VALUE"""),"MUNICIPALIDAD DE PROVIDENCIA")</f>
        <v>MUNICIPALIDAD DE PROVIDENCIA</v>
      </c>
      <c r="F48" s="11">
        <f ca="1">IFERROR(__xludf.DUMMYFUNCTION("""COMPUTED_VALUE"""),151012956)</f>
        <v>151012956</v>
      </c>
      <c r="G48" s="10" t="str">
        <f ca="1">IFERROR(__xludf.DUMMYFUNCTION("""COMPUTED_VALUE"""),"Resolución")</f>
        <v>Resolución</v>
      </c>
      <c r="H48" s="10" t="str">
        <f ca="1">IFERROR(__xludf.DUMMYFUNCTION("""COMPUTED_VALUE"""),"DISEÑO")</f>
        <v>DISEÑO</v>
      </c>
      <c r="I48" s="10" t="str">
        <f ca="1">IFERROR(__xludf.DUMMYFUNCTION("""COMPUTED_VALUE"""),"Cumplir con normativa y reglamentos internos del programa en base a los objetivos.")</f>
        <v>Cumplir con normativa y reglamentos internos del programa en base a los objetivos.</v>
      </c>
      <c r="J48" s="11">
        <f ca="1">IFERROR(__xludf.DUMMYFUNCTION("""COMPUTED_VALUE"""),9971446)</f>
        <v>9971446</v>
      </c>
      <c r="K48" s="27">
        <f ca="1">IFERROR(__xludf.DUMMYFUNCTION("""COMPUTED_VALUE"""),0.660304007293255)</f>
        <v>0.660304007293255</v>
      </c>
      <c r="L48" s="28" t="str">
        <f ca="1">IFERROR(__xludf.DUMMYFUNCTION("""COMPUTED_VALUE"""),"13855/2019")</f>
        <v>13855/2019</v>
      </c>
      <c r="M48" s="10" t="str">
        <f ca="1">IFERROR(__xludf.DUMMYFUNCTION("""COMPUTED_VALUE"""),"PRBIPE")</f>
        <v>PRBIPE</v>
      </c>
      <c r="N48" s="1"/>
      <c r="O48" s="1"/>
      <c r="P48" s="1"/>
      <c r="Q48" s="1"/>
      <c r="R48" s="1"/>
      <c r="S48" s="1"/>
      <c r="T48" s="1"/>
      <c r="U48" s="1"/>
      <c r="V48" s="1"/>
      <c r="W48" s="1"/>
      <c r="X48" s="1"/>
      <c r="Y48" s="1"/>
      <c r="Z48" s="1"/>
    </row>
    <row r="49" spans="1:26" ht="12.75" customHeight="1">
      <c r="A49" s="1"/>
      <c r="B49" s="10" t="str">
        <f ca="1">IFERROR(__xludf.DUMMYFUNCTION("""COMPUTED_VALUE"""),"DISEÑO Y ESPECIALIDADES DEL PARQUE BUSTAMANTE")</f>
        <v>DISEÑO Y ESPECIALIDADES DEL PARQUE BUSTAMANTE</v>
      </c>
      <c r="C49" s="26" t="str">
        <f t="shared" ca="1" si="0"/>
        <v xml:space="preserve"> PROVIDENCIA</v>
      </c>
      <c r="D49" s="10" t="str">
        <f ca="1">IFERROR(__xludf.DUMMYFUNCTION("""COMPUTED_VALUE"""),"Guía Operativa")</f>
        <v>Guía Operativa</v>
      </c>
      <c r="E49" s="26" t="str">
        <f ca="1">IFERROR(__xludf.DUMMYFUNCTION("""COMPUTED_VALUE"""),"MUNICIPALIDAD DE PROVIDENCIA")</f>
        <v>MUNICIPALIDAD DE PROVIDENCIA</v>
      </c>
      <c r="F49" s="11">
        <f ca="1">IFERROR(__xludf.DUMMYFUNCTION("""COMPUTED_VALUE"""),214253956)</f>
        <v>214253956</v>
      </c>
      <c r="G49" s="10" t="str">
        <f ca="1">IFERROR(__xludf.DUMMYFUNCTION("""COMPUTED_VALUE"""),"Resolución")</f>
        <v>Resolución</v>
      </c>
      <c r="H49" s="10" t="str">
        <f ca="1">IFERROR(__xludf.DUMMYFUNCTION("""COMPUTED_VALUE"""),"DISEÑO")</f>
        <v>DISEÑO</v>
      </c>
      <c r="I49" s="10" t="str">
        <f ca="1">IFERROR(__xludf.DUMMYFUNCTION("""COMPUTED_VALUE"""),"Cumplir con normativa y reglamentos internos del programa en base a los objetivos.")</f>
        <v>Cumplir con normativa y reglamentos internos del programa en base a los objetivos.</v>
      </c>
      <c r="J49" s="11">
        <f ca="1">IFERROR(__xludf.DUMMYFUNCTION("""COMPUTED_VALUE"""),14610000)</f>
        <v>14610000</v>
      </c>
      <c r="K49" s="27">
        <f ca="1">IFERROR(__xludf.DUMMYFUNCTION("""COMPUTED_VALUE"""),0.816452345925411)</f>
        <v>0.81645234592541105</v>
      </c>
      <c r="L49" s="28" t="str">
        <f ca="1">IFERROR(__xludf.DUMMYFUNCTION("""COMPUTED_VALUE"""),"6407/2020")</f>
        <v>6407/2020</v>
      </c>
      <c r="M49" s="10" t="str">
        <f ca="1">IFERROR(__xludf.DUMMYFUNCTION("""COMPUTED_VALUE"""),"PRBIPE")</f>
        <v>PRBIPE</v>
      </c>
      <c r="N49" s="1"/>
      <c r="O49" s="1"/>
      <c r="P49" s="1"/>
      <c r="Q49" s="1"/>
      <c r="R49" s="1"/>
      <c r="S49" s="1"/>
      <c r="T49" s="1"/>
      <c r="U49" s="1"/>
      <c r="V49" s="1"/>
      <c r="W49" s="1"/>
      <c r="X49" s="1"/>
      <c r="Y49" s="1"/>
      <c r="Z49" s="1"/>
    </row>
    <row r="50" spans="1:26" ht="12.75" customHeight="1">
      <c r="A50" s="1"/>
      <c r="B50" s="10" t="str">
        <f ca="1">IFERROR(__xludf.DUMMYFUNCTION("""COMPUTED_VALUE"""),"“ESPACIOS COMUNES” EN BARRIO PARQUES BUSTAMANTE – BALMACEDA")</f>
        <v>“ESPACIOS COMUNES” EN BARRIO PARQUES BUSTAMANTE – BALMACEDA</v>
      </c>
      <c r="C50" s="26" t="str">
        <f t="shared" ca="1" si="0"/>
        <v xml:space="preserve"> PROVIDENCIA</v>
      </c>
      <c r="D50" s="10" t="str">
        <f ca="1">IFERROR(__xludf.DUMMYFUNCTION("""COMPUTED_VALUE"""),"Guía Operativa")</f>
        <v>Guía Operativa</v>
      </c>
      <c r="E50" s="26" t="str">
        <f ca="1">IFERROR(__xludf.DUMMYFUNCTION("""COMPUTED_VALUE"""),"MUNICIPALIDAD DE PROVIDENCIA")</f>
        <v>MUNICIPALIDAD DE PROVIDENCIA</v>
      </c>
      <c r="F50" s="11">
        <f ca="1">IFERROR(__xludf.DUMMYFUNCTION("""COMPUTED_VALUE"""),47581110)</f>
        <v>47581110</v>
      </c>
      <c r="G50" s="10" t="str">
        <f ca="1">IFERROR(__xludf.DUMMYFUNCTION("""COMPUTED_VALUE"""),"Resolución")</f>
        <v>Resolución</v>
      </c>
      <c r="H50" s="10" t="str">
        <f ca="1">IFERROR(__xludf.DUMMYFUNCTION("""COMPUTED_VALUE"""),"FOMENTO PRODUCTIVO")</f>
        <v>FOMENTO PRODUCTIVO</v>
      </c>
      <c r="I50" s="10" t="str">
        <f ca="1">IFERROR(__xludf.DUMMYFUNCTION("""COMPUTED_VALUE"""),"Cumplir con normativa y reglamentos internos del programa en base a los objetivos.")</f>
        <v>Cumplir con normativa y reglamentos internos del programa en base a los objetivos.</v>
      </c>
      <c r="J50" s="11">
        <f ca="1">IFERROR(__xludf.DUMMYFUNCTION("""COMPUTED_VALUE"""),32143100)</f>
        <v>32143100</v>
      </c>
      <c r="K50" s="27">
        <f ca="1">IFERROR(__xludf.DUMMYFUNCTION("""COMPUTED_VALUE"""),0.991541706362041)</f>
        <v>0.99154170636204098</v>
      </c>
      <c r="L50" s="28" t="str">
        <f ca="1">IFERROR(__xludf.DUMMYFUNCTION("""COMPUTED_VALUE"""),"9572/2020")</f>
        <v>9572/2020</v>
      </c>
      <c r="M50" s="10" t="str">
        <f ca="1">IFERROR(__xludf.DUMMYFUNCTION("""COMPUTED_VALUE"""),"PRBIPE")</f>
        <v>PRBIPE</v>
      </c>
      <c r="N50" s="1"/>
      <c r="O50" s="1"/>
      <c r="P50" s="1"/>
      <c r="Q50" s="1"/>
      <c r="R50" s="1"/>
      <c r="S50" s="1"/>
      <c r="T50" s="1"/>
      <c r="U50" s="1"/>
      <c r="V50" s="1"/>
      <c r="W50" s="1"/>
      <c r="X50" s="1"/>
      <c r="Y50" s="1"/>
      <c r="Z50" s="1"/>
    </row>
    <row r="51" spans="1:26" ht="12.75" customHeight="1">
      <c r="A51" s="1"/>
      <c r="B51" s="10" t="str">
        <f ca="1">IFERROR(__xludf.DUMMYFUNCTION("""COMPUTED_VALUE"""),"PROYECTO EQUIPO PRBIPE COMUNAL 2024")</f>
        <v>PROYECTO EQUIPO PRBIPE COMUNAL 2024</v>
      </c>
      <c r="C51" s="26" t="str">
        <f t="shared" ca="1" si="0"/>
        <v xml:space="preserve"> PROVIDENCIA</v>
      </c>
      <c r="D51" s="10" t="str">
        <f ca="1">IFERROR(__xludf.DUMMYFUNCTION("""COMPUTED_VALUE"""),"Guía Operativa")</f>
        <v>Guía Operativa</v>
      </c>
      <c r="E51" s="26" t="str">
        <f ca="1">IFERROR(__xludf.DUMMYFUNCTION("""COMPUTED_VALUE"""),"MUNICIPALIDAD DE PROVIDENCIA")</f>
        <v>MUNICIPALIDAD DE PROVIDENCIA</v>
      </c>
      <c r="F51" s="11">
        <f ca="1">IFERROR(__xludf.DUMMYFUNCTION("""COMPUTED_VALUE"""),249134400)</f>
        <v>249134400</v>
      </c>
      <c r="G51" s="10" t="str">
        <f ca="1">IFERROR(__xludf.DUMMYFUNCTION("""COMPUTED_VALUE"""),"Resolución")</f>
        <v>Resolución</v>
      </c>
      <c r="H51" s="10" t="str">
        <f ca="1">IFERROR(__xludf.DUMMYFUNCTION("""COMPUTED_VALUE"""),"ASISTENCIA TÉCNICA")</f>
        <v>ASISTENCIA TÉCNICA</v>
      </c>
      <c r="I51" s="10" t="str">
        <f ca="1">IFERROR(__xludf.DUMMYFUNCTION("""COMPUTED_VALUE"""),"Cumplir con normativa y reglamentos internos del programa en base a los objetivos.")</f>
        <v>Cumplir con normativa y reglamentos internos del programa en base a los objetivos.</v>
      </c>
      <c r="J51" s="11">
        <f ca="1">IFERROR(__xludf.DUMMYFUNCTION("""COMPUTED_VALUE"""),20512240)</f>
        <v>20512240</v>
      </c>
      <c r="K51" s="27">
        <f ca="1">IFERROR(__xludf.DUMMYFUNCTION("""COMPUTED_VALUE"""),0.982334033357095)</f>
        <v>0.98233403335709502</v>
      </c>
      <c r="L51" s="28" t="str">
        <f ca="1">IFERROR(__xludf.DUMMYFUNCTION("""COMPUTED_VALUE"""),"14070/2023")</f>
        <v>14070/2023</v>
      </c>
      <c r="M51" s="10" t="str">
        <f ca="1">IFERROR(__xludf.DUMMYFUNCTION("""COMPUTED_VALUE"""),"PRBIPE")</f>
        <v>PRBIPE</v>
      </c>
      <c r="N51" s="1"/>
      <c r="O51" s="1"/>
      <c r="P51" s="1"/>
      <c r="Q51" s="1"/>
      <c r="R51" s="1"/>
      <c r="S51" s="1"/>
      <c r="T51" s="1"/>
      <c r="U51" s="1"/>
      <c r="V51" s="1"/>
      <c r="W51" s="1"/>
      <c r="X51" s="1"/>
      <c r="Y51" s="1"/>
      <c r="Z51" s="1"/>
    </row>
    <row r="52" spans="1:26" ht="12.75" customHeight="1">
      <c r="A52" s="1"/>
      <c r="B52" s="10" t="str">
        <f ca="1">IFERROR(__xludf.DUMMYFUNCTION("""COMPUTED_VALUE"""),"MEJORAMIENTO PLACA COMERCIAL UNIDAD VECINAL PROVIDENCIA, COMUNA DE PROVIDENCIA")</f>
        <v>MEJORAMIENTO PLACA COMERCIAL UNIDAD VECINAL PROVIDENCIA, COMUNA DE PROVIDENCIA</v>
      </c>
      <c r="C52" s="26" t="str">
        <f t="shared" ca="1" si="0"/>
        <v xml:space="preserve"> PROVIDENCIA</v>
      </c>
      <c r="D52" s="10" t="str">
        <f ca="1">IFERROR(__xludf.DUMMYFUNCTION("""COMPUTED_VALUE"""),"Guía Operativa")</f>
        <v>Guía Operativa</v>
      </c>
      <c r="E52" s="26" t="str">
        <f ca="1">IFERROR(__xludf.DUMMYFUNCTION("""COMPUTED_VALUE"""),"MUNICIPALIDAD DE PROVIDENCIA")</f>
        <v>MUNICIPALIDAD DE PROVIDENCIA</v>
      </c>
      <c r="F52" s="11">
        <f ca="1">IFERROR(__xludf.DUMMYFUNCTION("""COMPUTED_VALUE"""),767519129)</f>
        <v>767519129</v>
      </c>
      <c r="G52" s="10" t="str">
        <f ca="1">IFERROR(__xludf.DUMMYFUNCTION("""COMPUTED_VALUE"""),"Resolución")</f>
        <v>Resolución</v>
      </c>
      <c r="H52" s="10" t="str">
        <f ca="1">IFERROR(__xludf.DUMMYFUNCTION("""COMPUTED_VALUE"""),"OBRA")</f>
        <v>OBRA</v>
      </c>
      <c r="I52" s="10" t="str">
        <f ca="1">IFERROR(__xludf.DUMMYFUNCTION("""COMPUTED_VALUE"""),"Cumplir con normativa y reglamentos internos del programa en base a los objetivos.")</f>
        <v>Cumplir con normativa y reglamentos internos del programa en base a los objetivos.</v>
      </c>
      <c r="J52" s="11">
        <f ca="1">IFERROR(__xludf.DUMMYFUNCTION("""COMPUTED_VALUE"""),383759565)</f>
        <v>383759565</v>
      </c>
      <c r="K52" s="27">
        <f ca="1">IFERROR(__xludf.DUMMYFUNCTION("""COMPUTED_VALUE"""),0.500000000651449)</f>
        <v>0.50000000065144901</v>
      </c>
      <c r="L52" s="28" t="str">
        <f ca="1">IFERROR(__xludf.DUMMYFUNCTION("""COMPUTED_VALUE"""),"3225/2024")</f>
        <v>3225/2024</v>
      </c>
      <c r="M52" s="10" t="str">
        <f ca="1">IFERROR(__xludf.DUMMYFUNCTION("""COMPUTED_VALUE"""),"PRBIPE")</f>
        <v>PRBIPE</v>
      </c>
      <c r="N52" s="1"/>
      <c r="O52" s="1"/>
      <c r="P52" s="1"/>
      <c r="Q52" s="1"/>
      <c r="R52" s="1"/>
      <c r="S52" s="1"/>
      <c r="T52" s="1"/>
      <c r="U52" s="1"/>
      <c r="V52" s="1"/>
      <c r="W52" s="1"/>
      <c r="X52" s="1"/>
      <c r="Y52" s="1"/>
      <c r="Z52" s="1"/>
    </row>
    <row r="53" spans="1:26" ht="12.75" customHeight="1">
      <c r="A53" s="1"/>
      <c r="B53" s="10" t="str">
        <f ca="1">IFERROR(__xludf.DUMMYFUNCTION("""COMPUTED_VALUE"""),"MEJORAMIENTO PASEO PEATONAL LOURDES, COMUNA DE QUINTA NORMAL")</f>
        <v>MEJORAMIENTO PASEO PEATONAL LOURDES, COMUNA DE QUINTA NORMAL</v>
      </c>
      <c r="C53" s="26" t="str">
        <f t="shared" ca="1" si="0"/>
        <v xml:space="preserve"> QUINTA NORMAL</v>
      </c>
      <c r="D53" s="10" t="str">
        <f ca="1">IFERROR(__xludf.DUMMYFUNCTION("""COMPUTED_VALUE"""),"Guía Operativa")</f>
        <v>Guía Operativa</v>
      </c>
      <c r="E53" s="26" t="str">
        <f ca="1">IFERROR(__xludf.DUMMYFUNCTION("""COMPUTED_VALUE"""),"MUNICIPALIDAD DE QUINTA NORMAL")</f>
        <v>MUNICIPALIDAD DE QUINTA NORMAL</v>
      </c>
      <c r="F53" s="11">
        <f ca="1">IFERROR(__xludf.DUMMYFUNCTION("""COMPUTED_VALUE"""),311653995)</f>
        <v>311653995</v>
      </c>
      <c r="G53" s="10" t="str">
        <f ca="1">IFERROR(__xludf.DUMMYFUNCTION("""COMPUTED_VALUE"""),"Resolución")</f>
        <v>Resolución</v>
      </c>
      <c r="H53" s="10" t="str">
        <f ca="1">IFERROR(__xludf.DUMMYFUNCTION("""COMPUTED_VALUE"""),"OBRA")</f>
        <v>OBRA</v>
      </c>
      <c r="I53" s="10" t="str">
        <f ca="1">IFERROR(__xludf.DUMMYFUNCTION("""COMPUTED_VALUE"""),"Cumplir con normativa y reglamentos internos del programa en base a los objetivos.")</f>
        <v>Cumplir con normativa y reglamentos internos del programa en base a los objetivos.</v>
      </c>
      <c r="J53" s="11">
        <f ca="1">IFERROR(__xludf.DUMMYFUNCTION("""COMPUTED_VALUE"""),155826998)</f>
        <v>155826998</v>
      </c>
      <c r="K53" s="27">
        <f ca="1">IFERROR(__xludf.DUMMYFUNCTION("""COMPUTED_VALUE"""),0.500000001604343)</f>
        <v>0.50000000160434299</v>
      </c>
      <c r="L53" s="28" t="str">
        <f ca="1">IFERROR(__xludf.DUMMYFUNCTION("""COMPUTED_VALUE"""),"4142/2024")</f>
        <v>4142/2024</v>
      </c>
      <c r="M53" s="10" t="str">
        <f ca="1">IFERROR(__xludf.DUMMYFUNCTION("""COMPUTED_VALUE"""),"PRBIPE")</f>
        <v>PRBIPE</v>
      </c>
      <c r="N53" s="1"/>
      <c r="O53" s="1"/>
      <c r="P53" s="1"/>
      <c r="Q53" s="1"/>
      <c r="R53" s="1"/>
      <c r="S53" s="1"/>
      <c r="T53" s="1"/>
      <c r="U53" s="1"/>
      <c r="V53" s="1"/>
      <c r="W53" s="1"/>
      <c r="X53" s="1"/>
      <c r="Y53" s="1"/>
      <c r="Z53" s="1"/>
    </row>
    <row r="54" spans="1:26" ht="12.75" customHeight="1">
      <c r="A54" s="1"/>
      <c r="B54" s="10" t="str">
        <f ca="1">IFERROR(__xludf.DUMMYFUNCTION("""COMPUTED_VALUE"""),"FONDO CONCURSABLE FORTALECIMIENTO PEQUEÑOS LOCALES COMERCIALES BARRIO MATUCANA-LOURDES")</f>
        <v>FONDO CONCURSABLE FORTALECIMIENTO PEQUEÑOS LOCALES COMERCIALES BARRIO MATUCANA-LOURDES</v>
      </c>
      <c r="C54" s="26" t="str">
        <f t="shared" ca="1" si="0"/>
        <v xml:space="preserve"> QUINTA NORMAL</v>
      </c>
      <c r="D54" s="10" t="str">
        <f ca="1">IFERROR(__xludf.DUMMYFUNCTION("""COMPUTED_VALUE"""),"Guía Operativa")</f>
        <v>Guía Operativa</v>
      </c>
      <c r="E54" s="26" t="str">
        <f ca="1">IFERROR(__xludf.DUMMYFUNCTION("""COMPUTED_VALUE"""),"MUNICIPALIDAD DE QUINTA NORMAL")</f>
        <v>MUNICIPALIDAD DE QUINTA NORMAL</v>
      </c>
      <c r="F54" s="11">
        <f ca="1">IFERROR(__xludf.DUMMYFUNCTION("""COMPUTED_VALUE"""),268749705)</f>
        <v>268749705</v>
      </c>
      <c r="G54" s="10" t="str">
        <f ca="1">IFERROR(__xludf.DUMMYFUNCTION("""COMPUTED_VALUE"""),"Resolución")</f>
        <v>Resolución</v>
      </c>
      <c r="H54" s="10" t="str">
        <f ca="1">IFERROR(__xludf.DUMMYFUNCTION("""COMPUTED_VALUE"""),"FOMENTO PRODUCTIVO")</f>
        <v>FOMENTO PRODUCTIVO</v>
      </c>
      <c r="I54" s="10" t="str">
        <f ca="1">IFERROR(__xludf.DUMMYFUNCTION("""COMPUTED_VALUE"""),"Cumplir con normativa y reglamentos internos del programa en base a los objetivos.")</f>
        <v>Cumplir con normativa y reglamentos internos del programa en base a los objetivos.</v>
      </c>
      <c r="J54" s="11">
        <f ca="1">IFERROR(__xludf.DUMMYFUNCTION("""COMPUTED_VALUE"""),268749705)</f>
        <v>268749705</v>
      </c>
      <c r="K54" s="27">
        <f ca="1">IFERROR(__xludf.DUMMYFUNCTION("""COMPUTED_VALUE"""),1)</f>
        <v>1</v>
      </c>
      <c r="L54" s="28" t="str">
        <f ca="1">IFERROR(__xludf.DUMMYFUNCTION("""COMPUTED_VALUE"""),"8572/2024")</f>
        <v>8572/2024</v>
      </c>
      <c r="M54" s="10" t="str">
        <f ca="1">IFERROR(__xludf.DUMMYFUNCTION("""COMPUTED_VALUE"""),"PRBIPE")</f>
        <v>PRBIPE</v>
      </c>
      <c r="N54" s="1"/>
      <c r="O54" s="1"/>
      <c r="P54" s="1"/>
      <c r="Q54" s="1"/>
      <c r="R54" s="1"/>
      <c r="S54" s="1"/>
      <c r="T54" s="1"/>
      <c r="U54" s="1"/>
      <c r="V54" s="1"/>
      <c r="W54" s="1"/>
      <c r="X54" s="1"/>
      <c r="Y54" s="1"/>
      <c r="Z54" s="1"/>
    </row>
    <row r="55" spans="1:26" ht="12.75" customHeight="1">
      <c r="A55" s="1"/>
      <c r="B55" s="10" t="str">
        <f ca="1">IFERROR(__xludf.DUMMYFUNCTION("""COMPUTED_VALUE"""),"FORTALECIMIENTO MUNICIPAL EQUIPO REVIVE SAN ROSENDO 2024")</f>
        <v>FORTALECIMIENTO MUNICIPAL EQUIPO REVIVE SAN ROSENDO 2024</v>
      </c>
      <c r="C55" s="26" t="str">
        <f t="shared" ca="1" si="0"/>
        <v xml:space="preserve"> SAN ROSENDO</v>
      </c>
      <c r="D55" s="10" t="str">
        <f ca="1">IFERROR(__xludf.DUMMYFUNCTION("""COMPUTED_VALUE"""),"Guía Operativa")</f>
        <v>Guía Operativa</v>
      </c>
      <c r="E55" s="26" t="str">
        <f ca="1">IFERROR(__xludf.DUMMYFUNCTION("""COMPUTED_VALUE"""),"MUNICIPALIDAD DE SAN ROSENDO")</f>
        <v>MUNICIPALIDAD DE SAN ROSENDO</v>
      </c>
      <c r="F55" s="11">
        <f ca="1">IFERROR(__xludf.DUMMYFUNCTION("""COMPUTED_VALUE"""),115200000)</f>
        <v>115200000</v>
      </c>
      <c r="G55" s="10" t="str">
        <f ca="1">IFERROR(__xludf.DUMMYFUNCTION("""COMPUTED_VALUE"""),"Resolución")</f>
        <v>Resolución</v>
      </c>
      <c r="H55" s="10" t="str">
        <f ca="1">IFERROR(__xludf.DUMMYFUNCTION("""COMPUTED_VALUE"""),"ASISTENCIA TÉCNICA")</f>
        <v>ASISTENCIA TÉCNICA</v>
      </c>
      <c r="I55" s="10" t="str">
        <f ca="1">IFERROR(__xludf.DUMMYFUNCTION("""COMPUTED_VALUE"""),"Cumplir con normativa y reglamentos internos del programa en base a los objetivos.")</f>
        <v>Cumplir con normativa y reglamentos internos del programa en base a los objetivos.</v>
      </c>
      <c r="J55" s="11">
        <f ca="1">IFERROR(__xludf.DUMMYFUNCTION("""COMPUTED_VALUE"""),11520000)</f>
        <v>11520000</v>
      </c>
      <c r="K55" s="27">
        <f ca="1">IFERROR(__xludf.DUMMYFUNCTION("""COMPUTED_VALUE"""),1)</f>
        <v>1</v>
      </c>
      <c r="L55" s="28" t="str">
        <f ca="1">IFERROR(__xludf.DUMMYFUNCTION("""COMPUTED_VALUE"""),"14269/2023")</f>
        <v>14269/2023</v>
      </c>
      <c r="M55" s="10" t="str">
        <f ca="1">IFERROR(__xludf.DUMMYFUNCTION("""COMPUTED_VALUE"""),"PRBIPE")</f>
        <v>PRBIPE</v>
      </c>
      <c r="N55" s="1"/>
      <c r="O55" s="1"/>
      <c r="P55" s="1"/>
      <c r="Q55" s="1"/>
      <c r="R55" s="1"/>
      <c r="S55" s="1"/>
      <c r="T55" s="1"/>
      <c r="U55" s="1"/>
      <c r="V55" s="1"/>
      <c r="W55" s="1"/>
      <c r="X55" s="1"/>
      <c r="Y55" s="1"/>
      <c r="Z55" s="1"/>
    </row>
    <row r="56" spans="1:26" ht="12.75" customHeight="1">
      <c r="A56" s="1"/>
      <c r="B56" s="10" t="str">
        <f ca="1">IFERROR(__xludf.DUMMYFUNCTION("""COMPUTED_VALUE"""),"CONMEMORACIÓN DÍA DE LOS PATRIMONIOS REVIVE SAN ROSENDO")</f>
        <v>CONMEMORACIÓN DÍA DE LOS PATRIMONIOS REVIVE SAN ROSENDO</v>
      </c>
      <c r="C56" s="26" t="str">
        <f t="shared" ca="1" si="0"/>
        <v xml:space="preserve"> SAN ROSENDO</v>
      </c>
      <c r="D56" s="10" t="str">
        <f ca="1">IFERROR(__xludf.DUMMYFUNCTION("""COMPUTED_VALUE"""),"Guía Operativa")</f>
        <v>Guía Operativa</v>
      </c>
      <c r="E56" s="26" t="str">
        <f ca="1">IFERROR(__xludf.DUMMYFUNCTION("""COMPUTED_VALUE"""),"MUNICIPALIDAD DE SAN ROSENDO")</f>
        <v>MUNICIPALIDAD DE SAN ROSENDO</v>
      </c>
      <c r="F56" s="11">
        <f ca="1">IFERROR(__xludf.DUMMYFUNCTION("""COMPUTED_VALUE"""),50200000)</f>
        <v>50200000</v>
      </c>
      <c r="G56" s="10" t="str">
        <f ca="1">IFERROR(__xludf.DUMMYFUNCTION("""COMPUTED_VALUE"""),"Resolución")</f>
        <v>Resolución</v>
      </c>
      <c r="H56" s="10" t="str">
        <f ca="1">IFERROR(__xludf.DUMMYFUNCTION("""COMPUTED_VALUE"""),"FOMENTO CULTURAL")</f>
        <v>FOMENTO CULTURAL</v>
      </c>
      <c r="I56" s="10" t="str">
        <f ca="1">IFERROR(__xludf.DUMMYFUNCTION("""COMPUTED_VALUE"""),"Cumplir con normativa y reglamentos internos del programa en base a los objetivos.")</f>
        <v>Cumplir con normativa y reglamentos internos del programa en base a los objetivos.</v>
      </c>
      <c r="J56" s="11">
        <f ca="1">IFERROR(__xludf.DUMMYFUNCTION("""COMPUTED_VALUE"""),50200000)</f>
        <v>50200000</v>
      </c>
      <c r="K56" s="27">
        <f ca="1">IFERROR(__xludf.DUMMYFUNCTION("""COMPUTED_VALUE"""),1)</f>
        <v>1</v>
      </c>
      <c r="L56" s="28" t="str">
        <f ca="1">IFERROR(__xludf.DUMMYFUNCTION("""COMPUTED_VALUE"""),"4141/2024")</f>
        <v>4141/2024</v>
      </c>
      <c r="M56" s="10" t="str">
        <f ca="1">IFERROR(__xludf.DUMMYFUNCTION("""COMPUTED_VALUE"""),"PRBIPE")</f>
        <v>PRBIPE</v>
      </c>
      <c r="N56" s="1"/>
      <c r="O56" s="1"/>
      <c r="P56" s="1"/>
      <c r="Q56" s="1"/>
      <c r="R56" s="1"/>
      <c r="S56" s="1"/>
      <c r="T56" s="1"/>
      <c r="U56" s="1"/>
      <c r="V56" s="1"/>
      <c r="W56" s="1"/>
      <c r="X56" s="1"/>
      <c r="Y56" s="1"/>
      <c r="Z56" s="1"/>
    </row>
    <row r="57" spans="1:26" ht="12.75" customHeight="1">
      <c r="A57" s="1"/>
      <c r="B57" s="10" t="str">
        <f ca="1">IFERROR(__xludf.DUMMYFUNCTION("""COMPUTED_VALUE"""),"FORTALECIMIENTO MUNICIPAL PROGRAMA DE REVITALIZACIÓN DE BARRIOS E INFRAESTRUCTURA PATRIMONIAL EMBLEMÁTICA SANTIAGO 2022")</f>
        <v>FORTALECIMIENTO MUNICIPAL PROGRAMA DE REVITALIZACIÓN DE BARRIOS E INFRAESTRUCTURA PATRIMONIAL EMBLEMÁTICA SANTIAGO 2022</v>
      </c>
      <c r="C57" s="26" t="str">
        <f t="shared" ca="1" si="0"/>
        <v xml:space="preserve"> SANTIAGO</v>
      </c>
      <c r="D57" s="10" t="str">
        <f ca="1">IFERROR(__xludf.DUMMYFUNCTION("""COMPUTED_VALUE"""),"Guía Operativa")</f>
        <v>Guía Operativa</v>
      </c>
      <c r="E57" s="26" t="str">
        <f ca="1">IFERROR(__xludf.DUMMYFUNCTION("""COMPUTED_VALUE"""),"MUNICIPALIDAD DE SANTIAGO")</f>
        <v>MUNICIPALIDAD DE SANTIAGO</v>
      </c>
      <c r="F57" s="11">
        <f ca="1">IFERROR(__xludf.DUMMYFUNCTION("""COMPUTED_VALUE"""),213000000)</f>
        <v>213000000</v>
      </c>
      <c r="G57" s="10" t="str">
        <f ca="1">IFERROR(__xludf.DUMMYFUNCTION("""COMPUTED_VALUE"""),"Resolución")</f>
        <v>Resolución</v>
      </c>
      <c r="H57" s="10" t="str">
        <f ca="1">IFERROR(__xludf.DUMMYFUNCTION("""COMPUTED_VALUE"""),"ASISTENCIA TÉCNICA")</f>
        <v>ASISTENCIA TÉCNICA</v>
      </c>
      <c r="I57" s="10" t="str">
        <f ca="1">IFERROR(__xludf.DUMMYFUNCTION("""COMPUTED_VALUE"""),"Cumplir con normativa y reglamentos internos del programa en base a los objetivos.")</f>
        <v>Cumplir con normativa y reglamentos internos del programa en base a los objetivos.</v>
      </c>
      <c r="J57" s="11">
        <f ca="1">IFERROR(__xludf.DUMMYFUNCTION("""COMPUTED_VALUE"""),11511500)</f>
        <v>11511500</v>
      </c>
      <c r="K57" s="27">
        <f ca="1">IFERROR(__xludf.DUMMYFUNCTION("""COMPUTED_VALUE"""),0.960108849765258)</f>
        <v>0.96010884976525801</v>
      </c>
      <c r="L57" s="28" t="str">
        <f ca="1">IFERROR(__xludf.DUMMYFUNCTION("""COMPUTED_VALUE"""),"10416/2021")</f>
        <v>10416/2021</v>
      </c>
      <c r="M57" s="10" t="str">
        <f ca="1">IFERROR(__xludf.DUMMYFUNCTION("""COMPUTED_VALUE"""),"PRBIPE")</f>
        <v>PRBIPE</v>
      </c>
      <c r="N57" s="1"/>
      <c r="O57" s="1"/>
      <c r="P57" s="1"/>
      <c r="Q57" s="1"/>
      <c r="R57" s="1"/>
      <c r="S57" s="1"/>
      <c r="T57" s="1"/>
      <c r="U57" s="1"/>
      <c r="V57" s="1"/>
      <c r="W57" s="1"/>
      <c r="X57" s="1"/>
      <c r="Y57" s="1"/>
      <c r="Z57" s="1"/>
    </row>
    <row r="58" spans="1:26" ht="12.75" customHeight="1">
      <c r="A58" s="1"/>
      <c r="B58" s="10" t="str">
        <f ca="1">IFERROR(__xludf.DUMMYFUNCTION("""COMPUTED_VALUE"""),"FORTALECIMIENTO MUNICIPAL PROGRAMA DE REVITALIZACIÓN DE BARRIOS E INFRAESTRUCTURA PATRIMONIAL EMBLEMÁTICA STGO 2024")</f>
        <v>FORTALECIMIENTO MUNICIPAL PROGRAMA DE REVITALIZACIÓN DE BARRIOS E INFRAESTRUCTURA PATRIMONIAL EMBLEMÁTICA STGO 2024</v>
      </c>
      <c r="C58" s="26" t="str">
        <f t="shared" ca="1" si="0"/>
        <v xml:space="preserve"> SANTIAGO</v>
      </c>
      <c r="D58" s="10" t="str">
        <f ca="1">IFERROR(__xludf.DUMMYFUNCTION("""COMPUTED_VALUE"""),"Guía Operativa")</f>
        <v>Guía Operativa</v>
      </c>
      <c r="E58" s="26" t="str">
        <f ca="1">IFERROR(__xludf.DUMMYFUNCTION("""COMPUTED_VALUE"""),"MUNICIPALIDAD DE SANTIAGO")</f>
        <v>MUNICIPALIDAD DE SANTIAGO</v>
      </c>
      <c r="F58" s="11">
        <f ca="1">IFERROR(__xludf.DUMMYFUNCTION("""COMPUTED_VALUE"""),273203376)</f>
        <v>273203376</v>
      </c>
      <c r="G58" s="10" t="str">
        <f ca="1">IFERROR(__xludf.DUMMYFUNCTION("""COMPUTED_VALUE"""),"Resolución")</f>
        <v>Resolución</v>
      </c>
      <c r="H58" s="10" t="str">
        <f ca="1">IFERROR(__xludf.DUMMYFUNCTION("""COMPUTED_VALUE"""),"ASISTENCIA TÉCNICA")</f>
        <v>ASISTENCIA TÉCNICA</v>
      </c>
      <c r="I58" s="10" t="str">
        <f ca="1">IFERROR(__xludf.DUMMYFUNCTION("""COMPUTED_VALUE"""),"Cumplir con normativa y reglamentos internos del programa en base a los objetivos.")</f>
        <v>Cumplir con normativa y reglamentos internos del programa en base a los objetivos.</v>
      </c>
      <c r="J58" s="11">
        <f ca="1">IFERROR(__xludf.DUMMYFUNCTION("""COMPUTED_VALUE"""),27320338)</f>
        <v>27320338</v>
      </c>
      <c r="K58" s="27">
        <f ca="1">IFERROR(__xludf.DUMMYFUNCTION("""COMPUTED_VALUE"""),1)</f>
        <v>1</v>
      </c>
      <c r="L58" s="28" t="str">
        <f ca="1">IFERROR(__xludf.DUMMYFUNCTION("""COMPUTED_VALUE"""),"14069/2023")</f>
        <v>14069/2023</v>
      </c>
      <c r="M58" s="10" t="str">
        <f ca="1">IFERROR(__xludf.DUMMYFUNCTION("""COMPUTED_VALUE"""),"PRBIPE")</f>
        <v>PRBIPE</v>
      </c>
      <c r="N58" s="1"/>
      <c r="O58" s="1"/>
      <c r="P58" s="1"/>
      <c r="Q58" s="1"/>
      <c r="R58" s="1"/>
      <c r="S58" s="1"/>
      <c r="T58" s="1"/>
      <c r="U58" s="1"/>
      <c r="V58" s="1"/>
      <c r="W58" s="1"/>
      <c r="X58" s="1"/>
      <c r="Y58" s="1"/>
      <c r="Z58" s="1"/>
    </row>
    <row r="59" spans="1:26" ht="12.75" customHeight="1">
      <c r="A59" s="1"/>
      <c r="B59" s="10" t="str">
        <f ca="1">IFERROR(__xludf.DUMMYFUNCTION("""COMPUTED_VALUE"""),"MEJORAMIENTO PARQUE PORTALES, COMUNA DE SANTIAGO")</f>
        <v>MEJORAMIENTO PARQUE PORTALES, COMUNA DE SANTIAGO</v>
      </c>
      <c r="C59" s="26" t="str">
        <f t="shared" ca="1" si="0"/>
        <v xml:space="preserve"> SANTIAGO</v>
      </c>
      <c r="D59" s="10" t="str">
        <f ca="1">IFERROR(__xludf.DUMMYFUNCTION("""COMPUTED_VALUE"""),"Guía Operativa")</f>
        <v>Guía Operativa</v>
      </c>
      <c r="E59" s="26" t="str">
        <f ca="1">IFERROR(__xludf.DUMMYFUNCTION("""COMPUTED_VALUE"""),"MUNICIPALIDAD DE SANTIAGO")</f>
        <v>MUNICIPALIDAD DE SANTIAGO</v>
      </c>
      <c r="F59" s="11">
        <f ca="1">IFERROR(__xludf.DUMMYFUNCTION("""COMPUTED_VALUE"""),4601701000)</f>
        <v>4601701000</v>
      </c>
      <c r="G59" s="10" t="str">
        <f ca="1">IFERROR(__xludf.DUMMYFUNCTION("""COMPUTED_VALUE"""),"Resolución")</f>
        <v>Resolución</v>
      </c>
      <c r="H59" s="10" t="str">
        <f ca="1">IFERROR(__xludf.DUMMYFUNCTION("""COMPUTED_VALUE"""),"OBRA")</f>
        <v>OBRA</v>
      </c>
      <c r="I59" s="10" t="str">
        <f ca="1">IFERROR(__xludf.DUMMYFUNCTION("""COMPUTED_VALUE"""),"Cumplir con normativa y reglamentos internos del programa en base a los objetivos.")</f>
        <v>Cumplir con normativa y reglamentos internos del programa en base a los objetivos.</v>
      </c>
      <c r="J59" s="11">
        <f ca="1">IFERROR(__xludf.DUMMYFUNCTION("""COMPUTED_VALUE"""),920339000)</f>
        <v>920339000</v>
      </c>
      <c r="K59" s="27">
        <f ca="1">IFERROR(__xludf.DUMMYFUNCTION("""COMPUTED_VALUE"""),0.199999739226864)</f>
        <v>0.19999973922686401</v>
      </c>
      <c r="L59" s="28" t="str">
        <f ca="1">IFERROR(__xludf.DUMMYFUNCTION("""COMPUTED_VALUE"""),"16/2024")</f>
        <v>16/2024</v>
      </c>
      <c r="M59" s="10" t="str">
        <f ca="1">IFERROR(__xludf.DUMMYFUNCTION("""COMPUTED_VALUE"""),"PRBIPE")</f>
        <v>PRBIPE</v>
      </c>
      <c r="N59" s="1"/>
      <c r="O59" s="1"/>
      <c r="P59" s="1"/>
      <c r="Q59" s="1"/>
      <c r="R59" s="1"/>
      <c r="S59" s="1"/>
      <c r="T59" s="1"/>
      <c r="U59" s="1"/>
      <c r="V59" s="1"/>
      <c r="W59" s="1"/>
      <c r="X59" s="1"/>
      <c r="Y59" s="1"/>
      <c r="Z59" s="1"/>
    </row>
    <row r="60" spans="1:26" ht="12.75" customHeight="1">
      <c r="A60" s="1"/>
      <c r="B60" s="10" t="str">
        <f ca="1">IFERROR(__xludf.DUMMYFUNCTION("""COMPUTED_VALUE"""),"FORTALECIMIENTO MUNICIPAL PRBIPE TEMUCO, AÑO 2024")</f>
        <v>FORTALECIMIENTO MUNICIPAL PRBIPE TEMUCO, AÑO 2024</v>
      </c>
      <c r="C60" s="26" t="str">
        <f t="shared" ca="1" si="0"/>
        <v xml:space="preserve"> TEMUCO</v>
      </c>
      <c r="D60" s="10" t="str">
        <f ca="1">IFERROR(__xludf.DUMMYFUNCTION("""COMPUTED_VALUE"""),"Guía Operativa")</f>
        <v>Guía Operativa</v>
      </c>
      <c r="E60" s="26" t="str">
        <f ca="1">IFERROR(__xludf.DUMMYFUNCTION("""COMPUTED_VALUE"""),"MUNICIPALIDAD DE TEMUCO")</f>
        <v>MUNICIPALIDAD DE TEMUCO</v>
      </c>
      <c r="F60" s="11">
        <f ca="1">IFERROR(__xludf.DUMMYFUNCTION("""COMPUTED_VALUE"""),96800000)</f>
        <v>96800000</v>
      </c>
      <c r="G60" s="10" t="str">
        <f ca="1">IFERROR(__xludf.DUMMYFUNCTION("""COMPUTED_VALUE"""),"Resolución")</f>
        <v>Resolución</v>
      </c>
      <c r="H60" s="10" t="str">
        <f ca="1">IFERROR(__xludf.DUMMYFUNCTION("""COMPUTED_VALUE"""),"ASISTENCIA TÉCNICA")</f>
        <v>ASISTENCIA TÉCNICA</v>
      </c>
      <c r="I60" s="10" t="str">
        <f ca="1">IFERROR(__xludf.DUMMYFUNCTION("""COMPUTED_VALUE"""),"Cumplir con normativa y reglamentos internos del programa en base a los objetivos.")</f>
        <v>Cumplir con normativa y reglamentos internos del programa en base a los objetivos.</v>
      </c>
      <c r="J60" s="11">
        <f ca="1">IFERROR(__xludf.DUMMYFUNCTION("""COMPUTED_VALUE"""),96800000)</f>
        <v>96800000</v>
      </c>
      <c r="K60" s="27">
        <f ca="1">IFERROR(__xludf.DUMMYFUNCTION("""COMPUTED_VALUE"""),1)</f>
        <v>1</v>
      </c>
      <c r="L60" s="28" t="str">
        <f ca="1">IFERROR(__xludf.DUMMYFUNCTION("""COMPUTED_VALUE"""),"10685/2024")</f>
        <v>10685/2024</v>
      </c>
      <c r="M60" s="10" t="str">
        <f ca="1">IFERROR(__xludf.DUMMYFUNCTION("""COMPUTED_VALUE"""),"PRBIPE")</f>
        <v>PRBIPE</v>
      </c>
      <c r="N60" s="1"/>
      <c r="O60" s="1"/>
      <c r="P60" s="1"/>
      <c r="Q60" s="1"/>
      <c r="R60" s="1"/>
      <c r="S60" s="1"/>
      <c r="T60" s="1"/>
      <c r="U60" s="1"/>
      <c r="V60" s="1"/>
      <c r="W60" s="1"/>
      <c r="X60" s="1"/>
      <c r="Y60" s="1"/>
      <c r="Z60" s="1"/>
    </row>
    <row r="61" spans="1:26" ht="12.75" customHeight="1">
      <c r="A61" s="1"/>
      <c r="B61" s="10" t="str">
        <f ca="1">IFERROR(__xludf.DUMMYFUNCTION("""COMPUTED_VALUE"""),"REPOSICIÓN DE SEÑALETICA Y ESCAÑOS DEL POLÍGONO CASCO HISTORICO, TEMUCO")</f>
        <v>REPOSICIÓN DE SEÑALETICA Y ESCAÑOS DEL POLÍGONO CASCO HISTORICO, TEMUCO</v>
      </c>
      <c r="C61" s="26" t="str">
        <f t="shared" ca="1" si="0"/>
        <v xml:space="preserve"> TEMUCO</v>
      </c>
      <c r="D61" s="10" t="str">
        <f ca="1">IFERROR(__xludf.DUMMYFUNCTION("""COMPUTED_VALUE"""),"Guía Operativa")</f>
        <v>Guía Operativa</v>
      </c>
      <c r="E61" s="26" t="str">
        <f ca="1">IFERROR(__xludf.DUMMYFUNCTION("""COMPUTED_VALUE"""),"MUNICIPALIDAD DE TEMUCO")</f>
        <v>MUNICIPALIDAD DE TEMUCO</v>
      </c>
      <c r="F61" s="11">
        <f ca="1">IFERROR(__xludf.DUMMYFUNCTION("""COMPUTED_VALUE"""),230184363)</f>
        <v>230184363</v>
      </c>
      <c r="G61" s="10" t="str">
        <f ca="1">IFERROR(__xludf.DUMMYFUNCTION("""COMPUTED_VALUE"""),"Resolución")</f>
        <v>Resolución</v>
      </c>
      <c r="H61" s="10" t="str">
        <f ca="1">IFERROR(__xludf.DUMMYFUNCTION("""COMPUTED_VALUE"""),"OBRA")</f>
        <v>OBRA</v>
      </c>
      <c r="I61" s="10" t="str">
        <f ca="1">IFERROR(__xludf.DUMMYFUNCTION("""COMPUTED_VALUE"""),"Cumplir con normativa y reglamentos internos del programa en base a los objetivos.")</f>
        <v>Cumplir con normativa y reglamentos internos del programa en base a los objetivos.</v>
      </c>
      <c r="J61" s="11">
        <f ca="1">IFERROR(__xludf.DUMMYFUNCTION("""COMPUTED_VALUE"""),184147490)</f>
        <v>184147490</v>
      </c>
      <c r="K61" s="27">
        <f ca="1">IFERROR(__xludf.DUMMYFUNCTION("""COMPUTED_VALUE"""),0.799999998262262)</f>
        <v>0.79999999826226198</v>
      </c>
      <c r="L61" s="28" t="str">
        <f ca="1">IFERROR(__xludf.DUMMYFUNCTION("""COMPUTED_VALUE"""),"8573/2024")</f>
        <v>8573/2024</v>
      </c>
      <c r="M61" s="10" t="str">
        <f ca="1">IFERROR(__xludf.DUMMYFUNCTION("""COMPUTED_VALUE"""),"PRBIPE")</f>
        <v>PRBIPE</v>
      </c>
      <c r="N61" s="1"/>
      <c r="O61" s="1"/>
      <c r="P61" s="1"/>
      <c r="Q61" s="1"/>
      <c r="R61" s="1"/>
      <c r="S61" s="1"/>
      <c r="T61" s="1"/>
      <c r="U61" s="1"/>
      <c r="V61" s="1"/>
      <c r="W61" s="1"/>
      <c r="X61" s="1"/>
      <c r="Y61" s="1"/>
      <c r="Z61" s="1"/>
    </row>
    <row r="62" spans="1:26" ht="12.75" customHeight="1">
      <c r="A62" s="1"/>
      <c r="B62" s="10" t="str">
        <f ca="1">IFERROR(__xludf.DUMMYFUNCTION("""COMPUTED_VALUE"""),"ADQUISICION DE BARREDORAS PARA LIMPIEZA POLÍGONO CASCO HISTÓRICO DE TEMUCO")</f>
        <v>ADQUISICION DE BARREDORAS PARA LIMPIEZA POLÍGONO CASCO HISTÓRICO DE TEMUCO</v>
      </c>
      <c r="C62" s="26" t="str">
        <f t="shared" ca="1" si="0"/>
        <v xml:space="preserve"> TEMUCO</v>
      </c>
      <c r="D62" s="10" t="str">
        <f ca="1">IFERROR(__xludf.DUMMYFUNCTION("""COMPUTED_VALUE"""),"Guía Operativa")</f>
        <v>Guía Operativa</v>
      </c>
      <c r="E62" s="26" t="str">
        <f ca="1">IFERROR(__xludf.DUMMYFUNCTION("""COMPUTED_VALUE"""),"MUNICIPALIDAD DE TEMUCO")</f>
        <v>MUNICIPALIDAD DE TEMUCO</v>
      </c>
      <c r="F62" s="11">
        <f ca="1">IFERROR(__xludf.DUMMYFUNCTION("""COMPUTED_VALUE"""),293930000)</f>
        <v>293930000</v>
      </c>
      <c r="G62" s="10" t="str">
        <f ca="1">IFERROR(__xludf.DUMMYFUNCTION("""COMPUTED_VALUE"""),"Resolución")</f>
        <v>Resolución</v>
      </c>
      <c r="H62" s="10" t="str">
        <f ca="1">IFERROR(__xludf.DUMMYFUNCTION("""COMPUTED_VALUE"""),"ADQUISICIÓN EQUIPAMIENTO")</f>
        <v>ADQUISICIÓN EQUIPAMIENTO</v>
      </c>
      <c r="I62" s="10" t="str">
        <f ca="1">IFERROR(__xludf.DUMMYFUNCTION("""COMPUTED_VALUE"""),"Cumplir con normativa y reglamentos internos del programa en base a los objetivos.")</f>
        <v>Cumplir con normativa y reglamentos internos del programa en base a los objetivos.</v>
      </c>
      <c r="J62" s="11">
        <f ca="1">IFERROR(__xludf.DUMMYFUNCTION("""COMPUTED_VALUE"""),293930000)</f>
        <v>293930000</v>
      </c>
      <c r="K62" s="27">
        <f ca="1">IFERROR(__xludf.DUMMYFUNCTION("""COMPUTED_VALUE"""),1)</f>
        <v>1</v>
      </c>
      <c r="L62" s="28" t="str">
        <f ca="1">IFERROR(__xludf.DUMMYFUNCTION("""COMPUTED_VALUE"""),"8574/2024")</f>
        <v>8574/2024</v>
      </c>
      <c r="M62" s="10" t="str">
        <f ca="1">IFERROR(__xludf.DUMMYFUNCTION("""COMPUTED_VALUE"""),"PRBIPE")</f>
        <v>PRBIPE</v>
      </c>
      <c r="N62" s="1"/>
      <c r="O62" s="1"/>
      <c r="P62" s="1"/>
      <c r="Q62" s="1"/>
      <c r="R62" s="1"/>
      <c r="S62" s="1"/>
      <c r="T62" s="1"/>
      <c r="U62" s="1"/>
      <c r="V62" s="1"/>
      <c r="W62" s="1"/>
      <c r="X62" s="1"/>
      <c r="Y62" s="1"/>
      <c r="Z62" s="1"/>
    </row>
    <row r="63" spans="1:26" ht="12.75" customHeight="1">
      <c r="A63" s="1"/>
      <c r="B63" s="10" t="str">
        <f ca="1">IFERROR(__xludf.DUMMYFUNCTION("""COMPUTED_VALUE"""),"CONSTRUCCIÓN PLAZA LÚDICA FAMILIAR")</f>
        <v>CONSTRUCCIÓN PLAZA LÚDICA FAMILIAR</v>
      </c>
      <c r="C63" s="26" t="str">
        <f t="shared" ca="1" si="0"/>
        <v xml:space="preserve"> VIÑA DEL MAR</v>
      </c>
      <c r="D63" s="10" t="str">
        <f ca="1">IFERROR(__xludf.DUMMYFUNCTION("""COMPUTED_VALUE"""),"Guía Operativa")</f>
        <v>Guía Operativa</v>
      </c>
      <c r="E63" s="26" t="str">
        <f ca="1">IFERROR(__xludf.DUMMYFUNCTION("""COMPUTED_VALUE"""),"MUNICIPALIDAD DE VIÑA DEL MAR")</f>
        <v>MUNICIPALIDAD DE VIÑA DEL MAR</v>
      </c>
      <c r="F63" s="11">
        <f ca="1">IFERROR(__xludf.DUMMYFUNCTION("""COMPUTED_VALUE"""),230375853)</f>
        <v>230375853</v>
      </c>
      <c r="G63" s="10" t="str">
        <f ca="1">IFERROR(__xludf.DUMMYFUNCTION("""COMPUTED_VALUE"""),"Resolución")</f>
        <v>Resolución</v>
      </c>
      <c r="H63" s="10" t="str">
        <f ca="1">IFERROR(__xludf.DUMMYFUNCTION("""COMPUTED_VALUE"""),"OBRA")</f>
        <v>OBRA</v>
      </c>
      <c r="I63" s="10" t="str">
        <f ca="1">IFERROR(__xludf.DUMMYFUNCTION("""COMPUTED_VALUE"""),"Cumplir con normativa y reglamentos internos del programa en base a los objetivos.")</f>
        <v>Cumplir con normativa y reglamentos internos del programa en base a los objetivos.</v>
      </c>
      <c r="J63" s="11">
        <f ca="1">IFERROR(__xludf.DUMMYFUNCTION("""COMPUTED_VALUE"""),71938940)</f>
        <v>71938940</v>
      </c>
      <c r="K63" s="27">
        <f ca="1">IFERROR(__xludf.DUMMYFUNCTION("""COMPUTED_VALUE"""),0.898266625191833)</f>
        <v>0.89826662519183298</v>
      </c>
      <c r="L63" s="28" t="str">
        <f ca="1">IFERROR(__xludf.DUMMYFUNCTION("""COMPUTED_VALUE"""),"11765/2021")</f>
        <v>11765/2021</v>
      </c>
      <c r="M63" s="10" t="str">
        <f ca="1">IFERROR(__xludf.DUMMYFUNCTION("""COMPUTED_VALUE"""),"PRBIPE")</f>
        <v>PRBIPE</v>
      </c>
      <c r="N63" s="1"/>
      <c r="O63" s="1"/>
      <c r="P63" s="1"/>
      <c r="Q63" s="1"/>
      <c r="R63" s="1"/>
      <c r="S63" s="1"/>
      <c r="T63" s="1"/>
      <c r="U63" s="1"/>
      <c r="V63" s="1"/>
      <c r="W63" s="1"/>
      <c r="X63" s="1"/>
      <c r="Y63" s="1"/>
      <c r="Z63" s="1"/>
    </row>
    <row r="64" spans="1:26" ht="12.75" customHeight="1">
      <c r="A64" s="1"/>
      <c r="B64" s="10" t="str">
        <f ca="1">IFERROR(__xludf.DUMMYFUNCTION("""COMPUTED_VALUE"""),"CONSTRUCCIÓN PLAZA ESTACIÓN VIÑA DEL MAR")</f>
        <v>CONSTRUCCIÓN PLAZA ESTACIÓN VIÑA DEL MAR</v>
      </c>
      <c r="C64" s="26" t="str">
        <f t="shared" ca="1" si="0"/>
        <v xml:space="preserve"> VIÑA DEL MAR</v>
      </c>
      <c r="D64" s="10" t="str">
        <f ca="1">IFERROR(__xludf.DUMMYFUNCTION("""COMPUTED_VALUE"""),"Guía Operativa")</f>
        <v>Guía Operativa</v>
      </c>
      <c r="E64" s="26" t="str">
        <f ca="1">IFERROR(__xludf.DUMMYFUNCTION("""COMPUTED_VALUE"""),"MUNICIPALIDAD DE VIÑA DEL MAR")</f>
        <v>MUNICIPALIDAD DE VIÑA DEL MAR</v>
      </c>
      <c r="F64" s="11">
        <f ca="1">IFERROR(__xludf.DUMMYFUNCTION("""COMPUTED_VALUE"""),249310306)</f>
        <v>249310306</v>
      </c>
      <c r="G64" s="10" t="str">
        <f ca="1">IFERROR(__xludf.DUMMYFUNCTION("""COMPUTED_VALUE"""),"Resolución")</f>
        <v>Resolución</v>
      </c>
      <c r="H64" s="10" t="str">
        <f ca="1">IFERROR(__xludf.DUMMYFUNCTION("""COMPUTED_VALUE"""),"OBRA")</f>
        <v>OBRA</v>
      </c>
      <c r="I64" s="10" t="str">
        <f ca="1">IFERROR(__xludf.DUMMYFUNCTION("""COMPUTED_VALUE"""),"Cumplir con normativa y reglamentos internos del programa en base a los objetivos.")</f>
        <v>Cumplir con normativa y reglamentos internos del programa en base a los objetivos.</v>
      </c>
      <c r="J64" s="11">
        <f ca="1">IFERROR(__xludf.DUMMYFUNCTION("""COMPUTED_VALUE"""),84346634)</f>
        <v>84346634</v>
      </c>
      <c r="K64" s="27">
        <f ca="1">IFERROR(__xludf.DUMMYFUNCTION("""COMPUTED_VALUE"""),0.879813745044298)</f>
        <v>0.87981374504429799</v>
      </c>
      <c r="L64" s="28" t="str">
        <f ca="1">IFERROR(__xludf.DUMMYFUNCTION("""COMPUTED_VALUE"""),"11830/2021")</f>
        <v>11830/2021</v>
      </c>
      <c r="M64" s="10" t="str">
        <f ca="1">IFERROR(__xludf.DUMMYFUNCTION("""COMPUTED_VALUE"""),"PRBIPE")</f>
        <v>PRBIPE</v>
      </c>
      <c r="N64" s="1"/>
      <c r="O64" s="1"/>
      <c r="P64" s="1"/>
      <c r="Q64" s="1"/>
      <c r="R64" s="1"/>
      <c r="S64" s="1"/>
      <c r="T64" s="1"/>
      <c r="U64" s="1"/>
      <c r="V64" s="1"/>
      <c r="W64" s="1"/>
      <c r="X64" s="1"/>
      <c r="Y64" s="1"/>
      <c r="Z64" s="1"/>
    </row>
    <row r="65" spans="1:26" ht="12.75" customHeight="1">
      <c r="A65" s="1"/>
      <c r="B65" s="10" t="str">
        <f ca="1">IFERROR(__xludf.DUMMYFUNCTION("""COMPUTED_VALUE"""),"CONSTRUCCIÓN PLAZA DEL ENCUENTRO Y LA INFANCIA")</f>
        <v>CONSTRUCCIÓN PLAZA DEL ENCUENTRO Y LA INFANCIA</v>
      </c>
      <c r="C65" s="26" t="str">
        <f t="shared" ca="1" si="0"/>
        <v xml:space="preserve"> VIÑA DEL MAR</v>
      </c>
      <c r="D65" s="10" t="str">
        <f ca="1">IFERROR(__xludf.DUMMYFUNCTION("""COMPUTED_VALUE"""),"Guía Operativa")</f>
        <v>Guía Operativa</v>
      </c>
      <c r="E65" s="26" t="str">
        <f ca="1">IFERROR(__xludf.DUMMYFUNCTION("""COMPUTED_VALUE"""),"MUNICIPALIDAD DE VIÑA DEL MAR")</f>
        <v>MUNICIPALIDAD DE VIÑA DEL MAR</v>
      </c>
      <c r="F65" s="11">
        <f ca="1">IFERROR(__xludf.DUMMYFUNCTION("""COMPUTED_VALUE"""),201224140)</f>
        <v>201224140</v>
      </c>
      <c r="G65" s="10" t="str">
        <f ca="1">IFERROR(__xludf.DUMMYFUNCTION("""COMPUTED_VALUE"""),"Resolución")</f>
        <v>Resolución</v>
      </c>
      <c r="H65" s="10" t="str">
        <f ca="1">IFERROR(__xludf.DUMMYFUNCTION("""COMPUTED_VALUE"""),"OBRA")</f>
        <v>OBRA</v>
      </c>
      <c r="I65" s="10" t="str">
        <f ca="1">IFERROR(__xludf.DUMMYFUNCTION("""COMPUTED_VALUE"""),"Cumplir con normativa y reglamentos internos del programa en base a los objetivos.")</f>
        <v>Cumplir con normativa y reglamentos internos del programa en base a los objetivos.</v>
      </c>
      <c r="J65" s="11">
        <f ca="1">IFERROR(__xludf.DUMMYFUNCTION("""COMPUTED_VALUE"""),45275550)</f>
        <v>45275550</v>
      </c>
      <c r="K65" s="27">
        <f ca="1">IFERROR(__xludf.DUMMYFUNCTION("""COMPUTED_VALUE"""),0.895894250063635)</f>
        <v>0.89589425006363499</v>
      </c>
      <c r="L65" s="28" t="str">
        <f ca="1">IFERROR(__xludf.DUMMYFUNCTION("""COMPUTED_VALUE"""),"11818/2021")</f>
        <v>11818/2021</v>
      </c>
      <c r="M65" s="10" t="str">
        <f ca="1">IFERROR(__xludf.DUMMYFUNCTION("""COMPUTED_VALUE"""),"PRBIPE")</f>
        <v>PRBIPE</v>
      </c>
      <c r="N65" s="1"/>
      <c r="O65" s="1"/>
      <c r="P65" s="1"/>
      <c r="Q65" s="1"/>
      <c r="R65" s="1"/>
      <c r="S65" s="1"/>
      <c r="T65" s="1"/>
      <c r="U65" s="1"/>
      <c r="V65" s="1"/>
      <c r="W65" s="1"/>
      <c r="X65" s="1"/>
      <c r="Y65" s="1"/>
      <c r="Z65" s="1"/>
    </row>
    <row r="66" spans="1:26" ht="12.75" customHeight="1">
      <c r="A66" s="1"/>
      <c r="B66" s="10" t="str">
        <f ca="1">IFERROR(__xludf.DUMMYFUNCTION("""COMPUTED_VALUE"""),"CONSTRUCCIÓN PLAZA DE INTERACCIÓN MEDIOAMBIENTAL")</f>
        <v>CONSTRUCCIÓN PLAZA DE INTERACCIÓN MEDIOAMBIENTAL</v>
      </c>
      <c r="C66" s="26" t="str">
        <f t="shared" ca="1" si="0"/>
        <v xml:space="preserve"> VIÑA DEL MAR</v>
      </c>
      <c r="D66" s="10" t="str">
        <f ca="1">IFERROR(__xludf.DUMMYFUNCTION("""COMPUTED_VALUE"""),"Guía Operativa")</f>
        <v>Guía Operativa</v>
      </c>
      <c r="E66" s="26" t="str">
        <f ca="1">IFERROR(__xludf.DUMMYFUNCTION("""COMPUTED_VALUE"""),"MUNICIPALIDAD DE VIÑA DEL MAR")</f>
        <v>MUNICIPALIDAD DE VIÑA DEL MAR</v>
      </c>
      <c r="F66" s="11">
        <f ca="1">IFERROR(__xludf.DUMMYFUNCTION("""COMPUTED_VALUE"""),207946864)</f>
        <v>207946864</v>
      </c>
      <c r="G66" s="10" t="str">
        <f ca="1">IFERROR(__xludf.DUMMYFUNCTION("""COMPUTED_VALUE"""),"Resolución")</f>
        <v>Resolución</v>
      </c>
      <c r="H66" s="10" t="str">
        <f ca="1">IFERROR(__xludf.DUMMYFUNCTION("""COMPUTED_VALUE"""),"OBRA")</f>
        <v>OBRA</v>
      </c>
      <c r="I66" s="10" t="str">
        <f ca="1">IFERROR(__xludf.DUMMYFUNCTION("""COMPUTED_VALUE"""),"Cumplir con normativa y reglamentos internos del programa en base a los objetivos.")</f>
        <v>Cumplir con normativa y reglamentos internos del programa en base a los objetivos.</v>
      </c>
      <c r="J66" s="11">
        <f ca="1">IFERROR(__xludf.DUMMYFUNCTION("""COMPUTED_VALUE"""),51382697)</f>
        <v>51382697</v>
      </c>
      <c r="K66" s="27">
        <f ca="1">IFERROR(__xludf.DUMMYFUNCTION("""COMPUTED_VALUE"""),0.896299628735925)</f>
        <v>0.89629962873592495</v>
      </c>
      <c r="L66" s="28" t="str">
        <f ca="1">IFERROR(__xludf.DUMMYFUNCTION("""COMPUTED_VALUE"""),"11827/2021")</f>
        <v>11827/2021</v>
      </c>
      <c r="M66" s="10" t="str">
        <f ca="1">IFERROR(__xludf.DUMMYFUNCTION("""COMPUTED_VALUE"""),"PRBIPE")</f>
        <v>PRBIPE</v>
      </c>
      <c r="N66" s="1"/>
      <c r="O66" s="1"/>
      <c r="P66" s="1"/>
      <c r="Q66" s="1"/>
      <c r="R66" s="1"/>
      <c r="S66" s="1"/>
      <c r="T66" s="1"/>
      <c r="U66" s="1"/>
      <c r="V66" s="1"/>
      <c r="W66" s="1"/>
      <c r="X66" s="1"/>
      <c r="Y66" s="1"/>
      <c r="Z66" s="1"/>
    </row>
    <row r="67" spans="1:26" ht="12.75" customHeight="1">
      <c r="A67" s="1"/>
      <c r="B67" s="10" t="str">
        <f ca="1">IFERROR(__xludf.DUMMYFUNCTION("""COMPUTED_VALUE"""),"EQUIPO TÉCNICO PARA LA EJECUCIÓN DEL PRB VIÑA DEL MAR AÑO 2024")</f>
        <v>EQUIPO TÉCNICO PARA LA EJECUCIÓN DEL PRB VIÑA DEL MAR AÑO 2024</v>
      </c>
      <c r="C67" s="26" t="str">
        <f t="shared" ca="1" si="0"/>
        <v xml:space="preserve"> VIÑA DEL MAR</v>
      </c>
      <c r="D67" s="10" t="str">
        <f ca="1">IFERROR(__xludf.DUMMYFUNCTION("""COMPUTED_VALUE"""),"Guía Operativa")</f>
        <v>Guía Operativa</v>
      </c>
      <c r="E67" s="26" t="str">
        <f ca="1">IFERROR(__xludf.DUMMYFUNCTION("""COMPUTED_VALUE"""),"MUNICIPALIDAD DE VIÑA DEL MAR")</f>
        <v>MUNICIPALIDAD DE VIÑA DEL MAR</v>
      </c>
      <c r="F67" s="11">
        <f ca="1">IFERROR(__xludf.DUMMYFUNCTION("""COMPUTED_VALUE"""),181470000)</f>
        <v>181470000</v>
      </c>
      <c r="G67" s="10" t="str">
        <f ca="1">IFERROR(__xludf.DUMMYFUNCTION("""COMPUTED_VALUE"""),"Resolución")</f>
        <v>Resolución</v>
      </c>
      <c r="H67" s="10" t="str">
        <f ca="1">IFERROR(__xludf.DUMMYFUNCTION("""COMPUTED_VALUE"""),"ASISTENCIA TÉCNICA")</f>
        <v>ASISTENCIA TÉCNICA</v>
      </c>
      <c r="I67" s="10" t="str">
        <f ca="1">IFERROR(__xludf.DUMMYFUNCTION("""COMPUTED_VALUE"""),"Cumplir con normativa y reglamentos internos del programa en base a los objetivos.")</f>
        <v>Cumplir con normativa y reglamentos internos del programa en base a los objetivos.</v>
      </c>
      <c r="J67" s="11">
        <f ca="1">IFERROR(__xludf.DUMMYFUNCTION("""COMPUTED_VALUE"""),17346667)</f>
        <v>17346667</v>
      </c>
      <c r="K67" s="27">
        <f ca="1">IFERROR(__xludf.DUMMYFUNCTION("""COMPUTED_VALUE"""),0.995589722819198)</f>
        <v>0.995589722819198</v>
      </c>
      <c r="L67" s="28" t="str">
        <f ca="1">IFERROR(__xludf.DUMMYFUNCTION("""COMPUTED_VALUE"""),"14267/2023")</f>
        <v>14267/2023</v>
      </c>
      <c r="M67" s="10" t="str">
        <f ca="1">IFERROR(__xludf.DUMMYFUNCTION("""COMPUTED_VALUE"""),"PRBIPE")</f>
        <v>PRBIPE</v>
      </c>
      <c r="N67" s="1"/>
      <c r="O67" s="1"/>
      <c r="P67" s="1"/>
      <c r="Q67" s="1"/>
      <c r="R67" s="1"/>
      <c r="S67" s="1"/>
      <c r="T67" s="1"/>
      <c r="U67" s="1"/>
      <c r="V67" s="1"/>
      <c r="W67" s="1"/>
      <c r="X67" s="1"/>
      <c r="Y67" s="1"/>
      <c r="Z67" s="1"/>
    </row>
    <row r="68" spans="1:26" ht="12.75" customHeight="1">
      <c r="A68" s="1"/>
      <c r="B68" s="10" t="str">
        <f ca="1">IFERROR(__xludf.DUMMYFUNCTION("""COMPUTED_VALUE"""),"CONSTRUCCION PLAZA MIRADOR, PARQUE QUINTA VERGARA")</f>
        <v>CONSTRUCCION PLAZA MIRADOR, PARQUE QUINTA VERGARA</v>
      </c>
      <c r="C68" s="26" t="str">
        <f t="shared" ca="1" si="0"/>
        <v xml:space="preserve"> VIÑA DEL MAR</v>
      </c>
      <c r="D68" s="10" t="str">
        <f ca="1">IFERROR(__xludf.DUMMYFUNCTION("""COMPUTED_VALUE"""),"Guía Operativa")</f>
        <v>Guía Operativa</v>
      </c>
      <c r="E68" s="26" t="str">
        <f ca="1">IFERROR(__xludf.DUMMYFUNCTION("""COMPUTED_VALUE"""),"MUNICIPALIDAD DE VIÑA DEL MAR")</f>
        <v>MUNICIPALIDAD DE VIÑA DEL MAR</v>
      </c>
      <c r="F68" s="11">
        <f ca="1">IFERROR(__xludf.DUMMYFUNCTION("""COMPUTED_VALUE"""),677856341)</f>
        <v>677856341</v>
      </c>
      <c r="G68" s="10" t="str">
        <f ca="1">IFERROR(__xludf.DUMMYFUNCTION("""COMPUTED_VALUE"""),"Resolución")</f>
        <v>Resolución</v>
      </c>
      <c r="H68" s="10" t="str">
        <f ca="1">IFERROR(__xludf.DUMMYFUNCTION("""COMPUTED_VALUE"""),"OBRA")</f>
        <v>OBRA</v>
      </c>
      <c r="I68" s="10" t="str">
        <f ca="1">IFERROR(__xludf.DUMMYFUNCTION("""COMPUTED_VALUE"""),"Cumplir con normativa y reglamentos internos del programa en base a los objetivos.")</f>
        <v>Cumplir con normativa y reglamentos internos del programa en base a los objetivos.</v>
      </c>
      <c r="J68" s="11">
        <f ca="1">IFERROR(__xludf.DUMMYFUNCTION("""COMPUTED_VALUE"""),338928171)</f>
        <v>338928171</v>
      </c>
      <c r="K68" s="27">
        <f ca="1">IFERROR(__xludf.DUMMYFUNCTION("""COMPUTED_VALUE"""),0.500000000737619)</f>
        <v>0.50000000073761897</v>
      </c>
      <c r="L68" s="28" t="str">
        <f ca="1">IFERROR(__xludf.DUMMYFUNCTION("""COMPUTED_VALUE"""),"4143/2024")</f>
        <v>4143/2024</v>
      </c>
      <c r="M68" s="10" t="str">
        <f ca="1">IFERROR(__xludf.DUMMYFUNCTION("""COMPUTED_VALUE"""),"PRBIPE")</f>
        <v>PRBIPE</v>
      </c>
      <c r="N68" s="1"/>
      <c r="O68" s="1"/>
      <c r="P68" s="1"/>
      <c r="Q68" s="1"/>
      <c r="R68" s="1"/>
      <c r="S68" s="1"/>
      <c r="T68" s="1"/>
      <c r="U68" s="1"/>
      <c r="V68" s="1"/>
      <c r="W68" s="1"/>
      <c r="X68" s="1"/>
      <c r="Y68" s="1"/>
      <c r="Z68" s="1"/>
    </row>
    <row r="69" spans="1:26" ht="12.75" customHeight="1">
      <c r="A69" s="1"/>
      <c r="B69" s="10" t="str">
        <f ca="1">IFERROR(__xludf.DUMMYFUNCTION("""COMPUTED_VALUE"""),"INSTALACION DE REFUGIOS PEATONALES")</f>
        <v>INSTALACION DE REFUGIOS PEATONALES</v>
      </c>
      <c r="C69" s="26" t="str">
        <f t="shared" ca="1" si="0"/>
        <v xml:space="preserve"> VIÑA DEL MAR</v>
      </c>
      <c r="D69" s="10" t="str">
        <f ca="1">IFERROR(__xludf.DUMMYFUNCTION("""COMPUTED_VALUE"""),"Guía Operativa")</f>
        <v>Guía Operativa</v>
      </c>
      <c r="E69" s="26" t="str">
        <f ca="1">IFERROR(__xludf.DUMMYFUNCTION("""COMPUTED_VALUE"""),"MUNICIPALIDAD DE VIÑA DEL MAR")</f>
        <v>MUNICIPALIDAD DE VIÑA DEL MAR</v>
      </c>
      <c r="F69" s="11">
        <f ca="1">IFERROR(__xludf.DUMMYFUNCTION("""COMPUTED_VALUE"""),319540568)</f>
        <v>319540568</v>
      </c>
      <c r="G69" s="10" t="str">
        <f ca="1">IFERROR(__xludf.DUMMYFUNCTION("""COMPUTED_VALUE"""),"Resolución")</f>
        <v>Resolución</v>
      </c>
      <c r="H69" s="10" t="str">
        <f ca="1">IFERROR(__xludf.DUMMYFUNCTION("""COMPUTED_VALUE"""),"OBRA")</f>
        <v>OBRA</v>
      </c>
      <c r="I69" s="10" t="str">
        <f ca="1">IFERROR(__xludf.DUMMYFUNCTION("""COMPUTED_VALUE"""),"Cumplir con normativa y reglamentos internos del programa en base a los objetivos.")</f>
        <v>Cumplir con normativa y reglamentos internos del programa en base a los objetivos.</v>
      </c>
      <c r="J69" s="11">
        <f ca="1">IFERROR(__xludf.DUMMYFUNCTION("""COMPUTED_VALUE"""),255632454)</f>
        <v>255632454</v>
      </c>
      <c r="K69" s="27">
        <f ca="1">IFERROR(__xludf.DUMMYFUNCTION("""COMPUTED_VALUE"""),0.799999998748202)</f>
        <v>0.79999999874820205</v>
      </c>
      <c r="L69" s="28" t="str">
        <f ca="1">IFERROR(__xludf.DUMMYFUNCTION("""COMPUTED_VALUE"""),"7717/2024")</f>
        <v>7717/2024</v>
      </c>
      <c r="M69" s="10" t="str">
        <f ca="1">IFERROR(__xludf.DUMMYFUNCTION("""COMPUTED_VALUE"""),"PRBIPE")</f>
        <v>PRBIPE</v>
      </c>
      <c r="N69" s="1"/>
      <c r="O69" s="1"/>
      <c r="P69" s="1"/>
      <c r="Q69" s="1"/>
      <c r="R69" s="1"/>
      <c r="S69" s="1"/>
      <c r="T69" s="1"/>
      <c r="U69" s="1"/>
      <c r="V69" s="1"/>
      <c r="W69" s="1"/>
      <c r="X69" s="1"/>
      <c r="Y69" s="1"/>
      <c r="Z69" s="1"/>
    </row>
    <row r="70" spans="1:26" ht="12.75" customHeight="1">
      <c r="A70" s="1"/>
      <c r="B70" s="10" t="str">
        <f ca="1">IFERROR(__xludf.DUMMYFUNCTION("""COMPUTED_VALUE"""),"CAPACITACIÓN DE FUNCIONARIOS MUNICIPALES EN GESTIÓN DE PROYECTOS TURÍSTICOS DE BASE PATRIMONIAL: DIALOGOS DESDE LA SUSTENTABILIDAD")</f>
        <v>CAPACITACIÓN DE FUNCIONARIOS MUNICIPALES EN GESTIÓN DE PROYECTOS TURÍSTICOS DE BASE PATRIMONIAL: DIALOGOS DESDE LA SUSTENTABILIDAD</v>
      </c>
      <c r="C70" s="26" t="str">
        <f t="shared" ca="1" si="0"/>
        <v xml:space="preserve"> VIÑA DEL MAR</v>
      </c>
      <c r="D70" s="10" t="str">
        <f ca="1">IFERROR(__xludf.DUMMYFUNCTION("""COMPUTED_VALUE"""),"Guía Operativa")</f>
        <v>Guía Operativa</v>
      </c>
      <c r="E70" s="26" t="str">
        <f ca="1">IFERROR(__xludf.DUMMYFUNCTION("""COMPUTED_VALUE"""),"MUNICIPALIDAD DE VIÑA DEL MAR")</f>
        <v>MUNICIPALIDAD DE VIÑA DEL MAR</v>
      </c>
      <c r="F70" s="11">
        <f ca="1">IFERROR(__xludf.DUMMYFUNCTION("""COMPUTED_VALUE"""),15394634)</f>
        <v>15394634</v>
      </c>
      <c r="G70" s="10" t="str">
        <f ca="1">IFERROR(__xludf.DUMMYFUNCTION("""COMPUTED_VALUE"""),"Resolución")</f>
        <v>Resolución</v>
      </c>
      <c r="H70" s="10" t="str">
        <f ca="1">IFERROR(__xludf.DUMMYFUNCTION("""COMPUTED_VALUE"""),"TALLER")</f>
        <v>TALLER</v>
      </c>
      <c r="I70" s="10" t="str">
        <f ca="1">IFERROR(__xludf.DUMMYFUNCTION("""COMPUTED_VALUE"""),"Cumplir con normativa y reglamentos internos del programa en base a los objetivos.")</f>
        <v>Cumplir con normativa y reglamentos internos del programa en base a los objetivos.</v>
      </c>
      <c r="J70" s="11">
        <f ca="1">IFERROR(__xludf.DUMMYFUNCTION("""COMPUTED_VALUE"""),15394634)</f>
        <v>15394634</v>
      </c>
      <c r="K70" s="27">
        <f ca="1">IFERROR(__xludf.DUMMYFUNCTION("""COMPUTED_VALUE"""),1)</f>
        <v>1</v>
      </c>
      <c r="L70" s="28" t="str">
        <f ca="1">IFERROR(__xludf.DUMMYFUNCTION("""COMPUTED_VALUE"""),"12238/2024")</f>
        <v>12238/2024</v>
      </c>
      <c r="M70" s="10" t="str">
        <f ca="1">IFERROR(__xludf.DUMMYFUNCTION("""COMPUTED_VALUE"""),"PRBIPE")</f>
        <v>PRBIPE</v>
      </c>
      <c r="N70" s="1"/>
      <c r="O70" s="1"/>
      <c r="P70" s="1"/>
      <c r="Q70" s="1"/>
      <c r="R70" s="1"/>
      <c r="S70" s="1"/>
      <c r="T70" s="1"/>
      <c r="U70" s="1"/>
      <c r="V70" s="1"/>
      <c r="W70" s="1"/>
      <c r="X70" s="1"/>
      <c r="Y70" s="1"/>
      <c r="Z70" s="1"/>
    </row>
    <row r="71" spans="1:26" ht="12.75" customHeight="1">
      <c r="A71" s="1"/>
      <c r="B71" s="10" t="str">
        <f ca="1">IFERROR(__xludf.DUMMYFUNCTION("""COMPUTED_VALUE"""),"PLAN DE REVITALIZACION DEL RUBRO SUPLEMENTERO A TRAVES DE UN VUELCO TURISTICO")</f>
        <v>PLAN DE REVITALIZACION DEL RUBRO SUPLEMENTERO A TRAVES DE UN VUELCO TURISTICO</v>
      </c>
      <c r="C71" s="26" t="str">
        <f t="shared" ca="1" si="0"/>
        <v xml:space="preserve"> VIÑA DEL MAR</v>
      </c>
      <c r="D71" s="10" t="str">
        <f ca="1">IFERROR(__xludf.DUMMYFUNCTION("""COMPUTED_VALUE"""),"Guía Operativa")</f>
        <v>Guía Operativa</v>
      </c>
      <c r="E71" s="26" t="str">
        <f ca="1">IFERROR(__xludf.DUMMYFUNCTION("""COMPUTED_VALUE"""),"MUNICIPALIDAD DE VIÑA DEL MAR")</f>
        <v>MUNICIPALIDAD DE VIÑA DEL MAR</v>
      </c>
      <c r="F71" s="11">
        <f ca="1">IFERROR(__xludf.DUMMYFUNCTION("""COMPUTED_VALUE"""),210652015)</f>
        <v>210652015</v>
      </c>
      <c r="G71" s="10" t="str">
        <f ca="1">IFERROR(__xludf.DUMMYFUNCTION("""COMPUTED_VALUE"""),"Resolución")</f>
        <v>Resolución</v>
      </c>
      <c r="H71" s="10" t="str">
        <f ca="1">IFERROR(__xludf.DUMMYFUNCTION("""COMPUTED_VALUE"""),"OBRA")</f>
        <v>OBRA</v>
      </c>
      <c r="I71" s="10" t="str">
        <f ca="1">IFERROR(__xludf.DUMMYFUNCTION("""COMPUTED_VALUE"""),"Cumplir con normativa y reglamentos internos del programa en base a los objetivos.")</f>
        <v>Cumplir con normativa y reglamentos internos del programa en base a los objetivos.</v>
      </c>
      <c r="J71" s="11">
        <f ca="1">IFERROR(__xludf.DUMMYFUNCTION("""COMPUTED_VALUE"""),105326008)</f>
        <v>105326008</v>
      </c>
      <c r="K71" s="27">
        <f ca="1">IFERROR(__xludf.DUMMYFUNCTION("""COMPUTED_VALUE"""),0.500000002373582)</f>
        <v>0.500000002373582</v>
      </c>
      <c r="L71" s="28" t="str">
        <f ca="1">IFERROR(__xludf.DUMMYFUNCTION("""COMPUTED_VALUE"""),"12206/2024")</f>
        <v>12206/2024</v>
      </c>
      <c r="M71" s="10" t="str">
        <f ca="1">IFERROR(__xludf.DUMMYFUNCTION("""COMPUTED_VALUE"""),"PRBIPE")</f>
        <v>PRBIPE</v>
      </c>
      <c r="N71" s="1"/>
      <c r="O71" s="1"/>
      <c r="P71" s="1"/>
      <c r="Q71" s="1"/>
      <c r="R71" s="1"/>
      <c r="S71" s="1"/>
      <c r="T71" s="1"/>
      <c r="U71" s="1"/>
      <c r="V71" s="1"/>
      <c r="W71" s="1"/>
      <c r="X71" s="1"/>
      <c r="Y71" s="1"/>
      <c r="Z71" s="1"/>
    </row>
    <row r="72" spans="1:26" ht="12.75" customHeight="1">
      <c r="A72" s="1"/>
      <c r="B72" s="10" t="str">
        <f ca="1">IFERROR(__xludf.DUMMYFUNCTION("""COMPUTED_VALUE"""),"ADQUISICIÓN INMUEBLE ARLEGUI N°758 AL 764, PARA IMPLEMENTAR LA CASA DE LAS CULTURAS, LAS ARTES Y EL PATRIMONIO")</f>
        <v>ADQUISICIÓN INMUEBLE ARLEGUI N°758 AL 764, PARA IMPLEMENTAR LA CASA DE LAS CULTURAS, LAS ARTES Y EL PATRIMONIO</v>
      </c>
      <c r="C72" s="26" t="str">
        <f t="shared" ca="1" si="0"/>
        <v xml:space="preserve"> VIÑA DEL MAR</v>
      </c>
      <c r="D72" s="10" t="str">
        <f ca="1">IFERROR(__xludf.DUMMYFUNCTION("""COMPUTED_VALUE"""),"Guía Operativa")</f>
        <v>Guía Operativa</v>
      </c>
      <c r="E72" s="26" t="str">
        <f ca="1">IFERROR(__xludf.DUMMYFUNCTION("""COMPUTED_VALUE"""),"MUNICIPALIDAD DE VIÑA DEL MAR")</f>
        <v>MUNICIPALIDAD DE VIÑA DEL MAR</v>
      </c>
      <c r="F72" s="11">
        <f ca="1">IFERROR(__xludf.DUMMYFUNCTION("""COMPUTED_VALUE"""),671600000)</f>
        <v>671600000</v>
      </c>
      <c r="G72" s="10" t="str">
        <f ca="1">IFERROR(__xludf.DUMMYFUNCTION("""COMPUTED_VALUE"""),"Resolución")</f>
        <v>Resolución</v>
      </c>
      <c r="H72" s="10" t="str">
        <f ca="1">IFERROR(__xludf.DUMMYFUNCTION("""COMPUTED_VALUE"""),"ADQUISICIÓN INMUEBLE")</f>
        <v>ADQUISICIÓN INMUEBLE</v>
      </c>
      <c r="I72" s="10" t="str">
        <f ca="1">IFERROR(__xludf.DUMMYFUNCTION("""COMPUTED_VALUE"""),"Cumplir con normativa y reglamentos internos del programa en base a los objetivos.")</f>
        <v>Cumplir con normativa y reglamentos internos del programa en base a los objetivos.</v>
      </c>
      <c r="J72" s="11">
        <f ca="1">IFERROR(__xludf.DUMMYFUNCTION("""COMPUTED_VALUE"""),671600000)</f>
        <v>671600000</v>
      </c>
      <c r="K72" s="27">
        <f ca="1">IFERROR(__xludf.DUMMYFUNCTION("""COMPUTED_VALUE"""),1)</f>
        <v>1</v>
      </c>
      <c r="L72" s="28" t="str">
        <f ca="1">IFERROR(__xludf.DUMMYFUNCTION("""COMPUTED_VALUE"""),"12208/2024")</f>
        <v>12208/2024</v>
      </c>
      <c r="M72" s="10" t="str">
        <f ca="1">IFERROR(__xludf.DUMMYFUNCTION("""COMPUTED_VALUE"""),"PRBIPE")</f>
        <v>PRBIPE</v>
      </c>
      <c r="N72" s="1"/>
      <c r="O72" s="1"/>
      <c r="P72" s="1"/>
      <c r="Q72" s="1"/>
      <c r="R72" s="1"/>
      <c r="S72" s="1"/>
      <c r="T72" s="1"/>
      <c r="U72" s="1"/>
      <c r="V72" s="1"/>
      <c r="W72" s="1"/>
      <c r="X72" s="1"/>
      <c r="Y72" s="1"/>
      <c r="Z72" s="1"/>
    </row>
    <row r="73" spans="1:26" ht="12.75" customHeight="1">
      <c r="A73" s="1"/>
      <c r="B73" s="10" t="str">
        <f ca="1">IFERROR(__xludf.DUMMYFUNCTION("""COMPUTED_VALUE"""),"MEJORAMIENTO ESPACIO PÚBLICO  PLAZA WHEELWRIGHT, VALPARAÍSO")</f>
        <v>MEJORAMIENTO ESPACIO PÚBLICO  PLAZA WHEELWRIGHT, VALPARAÍSO</v>
      </c>
      <c r="C73" s="26" t="str">
        <f t="shared" ca="1" si="0"/>
        <v xml:space="preserve"> VALPARAÍSO</v>
      </c>
      <c r="D73" s="10" t="str">
        <f ca="1">IFERROR(__xludf.DUMMYFUNCTION("""COMPUTED_VALUE"""),"Guía Operativa")</f>
        <v>Guía Operativa</v>
      </c>
      <c r="E73" s="26" t="str">
        <f ca="1">IFERROR(__xludf.DUMMYFUNCTION("""COMPUTED_VALUE"""),"MUNICIPALIDAD DE VALPARAÍSO")</f>
        <v>MUNICIPALIDAD DE VALPARAÍSO</v>
      </c>
      <c r="F73" s="11">
        <f ca="1">IFERROR(__xludf.DUMMYFUNCTION("""COMPUTED_VALUE"""),132414000)</f>
        <v>132414000</v>
      </c>
      <c r="G73" s="10" t="str">
        <f ca="1">IFERROR(__xludf.DUMMYFUNCTION("""COMPUTED_VALUE"""),"Resolución")</f>
        <v>Resolución</v>
      </c>
      <c r="H73" s="10" t="str">
        <f ca="1">IFERROR(__xludf.DUMMYFUNCTION("""COMPUTED_VALUE"""),"OBRA")</f>
        <v>OBRA</v>
      </c>
      <c r="I73" s="10" t="str">
        <f ca="1">IFERROR(__xludf.DUMMYFUNCTION("""COMPUTED_VALUE"""),"Cumplir con normativa y reglamentos internos del programa en base a los objetivos.")</f>
        <v>Cumplir con normativa y reglamentos internos del programa en base a los objetivos.</v>
      </c>
      <c r="J73" s="11">
        <f ca="1">IFERROR(__xludf.DUMMYFUNCTION("""COMPUTED_VALUE"""),66207000)</f>
        <v>66207000</v>
      </c>
      <c r="K73" s="27">
        <f ca="1">IFERROR(__xludf.DUMMYFUNCTION("""COMPUTED_VALUE"""),0.5)</f>
        <v>0.5</v>
      </c>
      <c r="L73" s="28" t="str">
        <f ca="1">IFERROR(__xludf.DUMMYFUNCTION("""COMPUTED_VALUE"""),"12373/2024")</f>
        <v>12373/2024</v>
      </c>
      <c r="M73" s="10" t="str">
        <f ca="1">IFERROR(__xludf.DUMMYFUNCTION("""COMPUTED_VALUE"""),"PRBIPE")</f>
        <v>PRBIPE</v>
      </c>
      <c r="N73" s="1"/>
      <c r="O73" s="1"/>
      <c r="P73" s="1"/>
      <c r="Q73" s="1"/>
      <c r="R73" s="1"/>
      <c r="S73" s="1"/>
      <c r="T73" s="1"/>
      <c r="U73" s="1"/>
      <c r="V73" s="1"/>
      <c r="W73" s="1"/>
      <c r="X73" s="1"/>
      <c r="Y73" s="1"/>
      <c r="Z73" s="1"/>
    </row>
    <row r="74" spans="1:26" ht="12.75" customHeight="1">
      <c r="A74" s="1"/>
      <c r="B74" s="10" t="str">
        <f ca="1">IFERROR(__xludf.DUMMYFUNCTION("""COMPUTED_VALUE"""),"MEJORAMIENTO ESCALERA Y PASAJE RAMON ANGEL JARA, CERRO CORDILLERA")</f>
        <v>MEJORAMIENTO ESCALERA Y PASAJE RAMON ANGEL JARA, CERRO CORDILLERA</v>
      </c>
      <c r="C74" s="26" t="str">
        <f t="shared" ca="1" si="0"/>
        <v xml:space="preserve"> VALPARAÍSO</v>
      </c>
      <c r="D74" s="10" t="str">
        <f ca="1">IFERROR(__xludf.DUMMYFUNCTION("""COMPUTED_VALUE"""),"Guía Operativa")</f>
        <v>Guía Operativa</v>
      </c>
      <c r="E74" s="26" t="str">
        <f ca="1">IFERROR(__xludf.DUMMYFUNCTION("""COMPUTED_VALUE"""),"MUNICIPALIDAD DE VALPARAÍSO")</f>
        <v>MUNICIPALIDAD DE VALPARAÍSO</v>
      </c>
      <c r="F74" s="11">
        <f ca="1">IFERROR(__xludf.DUMMYFUNCTION("""COMPUTED_VALUE"""),404638001)</f>
        <v>404638001</v>
      </c>
      <c r="G74" s="10" t="str">
        <f ca="1">IFERROR(__xludf.DUMMYFUNCTION("""COMPUTED_VALUE"""),"Resolución")</f>
        <v>Resolución</v>
      </c>
      <c r="H74" s="10" t="str">
        <f ca="1">IFERROR(__xludf.DUMMYFUNCTION("""COMPUTED_VALUE"""),"OBRA")</f>
        <v>OBRA</v>
      </c>
      <c r="I74" s="10" t="str">
        <f ca="1">IFERROR(__xludf.DUMMYFUNCTION("""COMPUTED_VALUE"""),"Cumplir con normativa y reglamentos internos del programa en base a los objetivos.")</f>
        <v>Cumplir con normativa y reglamentos internos del programa en base a los objetivos.</v>
      </c>
      <c r="J74" s="11">
        <f ca="1">IFERROR(__xludf.DUMMYFUNCTION("""COMPUTED_VALUE"""),202319001)</f>
        <v>202319001</v>
      </c>
      <c r="K74" s="27">
        <f ca="1">IFERROR(__xludf.DUMMYFUNCTION("""COMPUTED_VALUE"""),0.500000001235672)</f>
        <v>0.50000000123567201</v>
      </c>
      <c r="L74" s="28" t="str">
        <f ca="1">IFERROR(__xludf.DUMMYFUNCTION("""COMPUTED_VALUE"""),"12360/2024")</f>
        <v>12360/2024</v>
      </c>
      <c r="M74" s="10" t="str">
        <f ca="1">IFERROR(__xludf.DUMMYFUNCTION("""COMPUTED_VALUE"""),"PRBIPE")</f>
        <v>PRBIPE</v>
      </c>
      <c r="N74" s="1"/>
      <c r="O74" s="1"/>
      <c r="P74" s="1"/>
      <c r="Q74" s="1"/>
      <c r="R74" s="1"/>
      <c r="S74" s="1"/>
      <c r="T74" s="1"/>
      <c r="U74" s="1"/>
      <c r="V74" s="1"/>
      <c r="W74" s="1"/>
      <c r="X74" s="1"/>
      <c r="Y74" s="1"/>
      <c r="Z74" s="1"/>
    </row>
    <row r="75" spans="1:26" ht="12.75" customHeight="1">
      <c r="A75" s="1"/>
      <c r="B75" s="10" t="str">
        <f ca="1">IFERROR(__xludf.DUMMYFUNCTION("""COMPUTED_VALUE"""),"OBRAS DE RESGUARDO INICIAL CASA DE MÁQUINAS MONUMENTO HISTÓRICO PLANTA HIDROELÉCTRICA CHIVILINGO")</f>
        <v>OBRAS DE RESGUARDO INICIAL CASA DE MÁQUINAS MONUMENTO HISTÓRICO PLANTA HIDROELÉCTRICA CHIVILINGO</v>
      </c>
      <c r="C75" s="26" t="str">
        <f t="shared" ca="1" si="0"/>
        <v xml:space="preserve"> LOTA</v>
      </c>
      <c r="D75" s="10" t="str">
        <f ca="1">IFERROR(__xludf.DUMMYFUNCTION("""COMPUTED_VALUE"""),"Guía Operativa")</f>
        <v>Guía Operativa</v>
      </c>
      <c r="E75" s="26" t="str">
        <f ca="1">IFERROR(__xludf.DUMMYFUNCTION("""COMPUTED_VALUE"""),"MUNICIPALIDAD DE LOTA")</f>
        <v>MUNICIPALIDAD DE LOTA</v>
      </c>
      <c r="F75" s="11">
        <f ca="1">IFERROR(__xludf.DUMMYFUNCTION("""COMPUTED_VALUE"""),169025282)</f>
        <v>169025282</v>
      </c>
      <c r="G75" s="10" t="str">
        <f ca="1">IFERROR(__xludf.DUMMYFUNCTION("""COMPUTED_VALUE"""),"Resolución")</f>
        <v>Resolución</v>
      </c>
      <c r="H75" s="10" t="str">
        <f ca="1">IFERROR(__xludf.DUMMYFUNCTION("""COMPUTED_VALUE"""),"OBRA")</f>
        <v>OBRA</v>
      </c>
      <c r="I75" s="10" t="str">
        <f ca="1">IFERROR(__xludf.DUMMYFUNCTION("""COMPUTED_VALUE"""),"Cumplir con normativa y reglamentos internos del programa en base a los objetivos.")</f>
        <v>Cumplir con normativa y reglamentos internos del programa en base a los objetivos.</v>
      </c>
      <c r="J75" s="11">
        <f ca="1">IFERROR(__xludf.DUMMYFUNCTION("""COMPUTED_VALUE"""),50707585)</f>
        <v>50707585</v>
      </c>
      <c r="K75" s="27">
        <f ca="1">IFERROR(__xludf.DUMMYFUNCTION("""COMPUTED_VALUE"""),0.300000002366509)</f>
        <v>0.30000000236650898</v>
      </c>
      <c r="L75" s="28" t="str">
        <f ca="1">IFERROR(__xludf.DUMMYFUNCTION("""COMPUTED_VALUE"""),"12199/2024")</f>
        <v>12199/2024</v>
      </c>
      <c r="M75" s="10" t="str">
        <f ca="1">IFERROR(__xludf.DUMMYFUNCTION("""COMPUTED_VALUE"""),"PRBIPE")</f>
        <v>PRBIPE</v>
      </c>
      <c r="N75" s="1"/>
      <c r="O75" s="1"/>
      <c r="P75" s="1"/>
      <c r="Q75" s="1"/>
      <c r="R75" s="1"/>
      <c r="S75" s="1"/>
      <c r="T75" s="1"/>
      <c r="U75" s="1"/>
      <c r="V75" s="1"/>
      <c r="W75" s="1"/>
      <c r="X75" s="1"/>
      <c r="Y75" s="1"/>
      <c r="Z75" s="1"/>
    </row>
    <row r="76" spans="1:26" ht="12.75" customHeight="1">
      <c r="A76" s="1"/>
      <c r="B76" s="10" t="str">
        <f ca="1">IFERROR(__xludf.DUMMYFUNCTION("""COMPUTED_VALUE"""),"OBRAS DE SEGURIDAD INMUEBLE COPIAPÓ Nº345 Y ENTORNO INMEDIATO")</f>
        <v>OBRAS DE SEGURIDAD INMUEBLE COPIAPÓ Nº345 Y ENTORNO INMEDIATO</v>
      </c>
      <c r="C76" s="26" t="str">
        <f t="shared" ca="1" si="0"/>
        <v xml:space="preserve"> SANTIAGO</v>
      </c>
      <c r="D76" s="10" t="str">
        <f ca="1">IFERROR(__xludf.DUMMYFUNCTION("""COMPUTED_VALUE"""),"Guía Operativa")</f>
        <v>Guía Operativa</v>
      </c>
      <c r="E76" s="26" t="str">
        <f ca="1">IFERROR(__xludf.DUMMYFUNCTION("""COMPUTED_VALUE"""),"MUNICIPALIDAD DE SANTIAGO")</f>
        <v>MUNICIPALIDAD DE SANTIAGO</v>
      </c>
      <c r="F76" s="11">
        <f ca="1">IFERROR(__xludf.DUMMYFUNCTION("""COMPUTED_VALUE"""),134311340)</f>
        <v>134311340</v>
      </c>
      <c r="G76" s="10" t="str">
        <f ca="1">IFERROR(__xludf.DUMMYFUNCTION("""COMPUTED_VALUE"""),"Resolución")</f>
        <v>Resolución</v>
      </c>
      <c r="H76" s="10" t="str">
        <f ca="1">IFERROR(__xludf.DUMMYFUNCTION("""COMPUTED_VALUE"""),"OBRA")</f>
        <v>OBRA</v>
      </c>
      <c r="I76" s="10" t="str">
        <f ca="1">IFERROR(__xludf.DUMMYFUNCTION("""COMPUTED_VALUE"""),"Cumplir con normativa y reglamentos internos del programa en base a los objetivos.")</f>
        <v>Cumplir con normativa y reglamentos internos del programa en base a los objetivos.</v>
      </c>
      <c r="J76" s="11">
        <f ca="1">IFERROR(__xludf.DUMMYFUNCTION("""COMPUTED_VALUE"""),40293402)</f>
        <v>40293402</v>
      </c>
      <c r="K76" s="27">
        <f ca="1">IFERROR(__xludf.DUMMYFUNCTION("""COMPUTED_VALUE"""),0.3)</f>
        <v>0.3</v>
      </c>
      <c r="L76" s="28" t="str">
        <f ca="1">IFERROR(__xludf.DUMMYFUNCTION("""COMPUTED_VALUE"""),"12197/2024")</f>
        <v>12197/2024</v>
      </c>
      <c r="M76" s="10" t="str">
        <f ca="1">IFERROR(__xludf.DUMMYFUNCTION("""COMPUTED_VALUE"""),"PRBIPE")</f>
        <v>PRBIPE</v>
      </c>
      <c r="N76" s="1"/>
      <c r="O76" s="1"/>
      <c r="P76" s="1"/>
      <c r="Q76" s="1"/>
      <c r="R76" s="1"/>
      <c r="S76" s="1"/>
      <c r="T76" s="1"/>
      <c r="U76" s="1"/>
      <c r="V76" s="1"/>
      <c r="W76" s="1"/>
      <c r="X76" s="1"/>
      <c r="Y76" s="1"/>
      <c r="Z76" s="1"/>
    </row>
    <row r="77" spans="1:26" ht="12.75" customHeight="1">
      <c r="A77" s="1"/>
      <c r="B77" s="10" t="str">
        <f ca="1">IFERROR(__xludf.DUMMYFUNCTION("""COMPUTED_VALUE"""),"SERVICIOS PROFESIONALES PARA EL DISEÑO DE PROYECTOS EN EL BARRIO HISTÓRICO Y CULTURAL DE CARTAGENA")</f>
        <v>SERVICIOS PROFESIONALES PARA EL DISEÑO DE PROYECTOS EN EL BARRIO HISTÓRICO Y CULTURAL DE CARTAGENA</v>
      </c>
      <c r="C77" s="26" t="str">
        <f t="shared" ca="1" si="0"/>
        <v xml:space="preserve"> CARTAGENA</v>
      </c>
      <c r="D77" s="10" t="str">
        <f ca="1">IFERROR(__xludf.DUMMYFUNCTION("""COMPUTED_VALUE"""),"Guía Operativa")</f>
        <v>Guía Operativa</v>
      </c>
      <c r="E77" s="26" t="str">
        <f ca="1">IFERROR(__xludf.DUMMYFUNCTION("""COMPUTED_VALUE"""),"MUNICIPALIDAD DE CARTAGENA")</f>
        <v>MUNICIPALIDAD DE CARTAGENA</v>
      </c>
      <c r="F77" s="11">
        <f ca="1">IFERROR(__xludf.DUMMYFUNCTION("""COMPUTED_VALUE"""),86832000)</f>
        <v>86832000</v>
      </c>
      <c r="G77" s="10" t="str">
        <f ca="1">IFERROR(__xludf.DUMMYFUNCTION("""COMPUTED_VALUE"""),"Resolución")</f>
        <v>Resolución</v>
      </c>
      <c r="H77" s="10" t="str">
        <f ca="1">IFERROR(__xludf.DUMMYFUNCTION("""COMPUTED_VALUE"""),"ASISTENCIA TÉCNICA")</f>
        <v>ASISTENCIA TÉCNICA</v>
      </c>
      <c r="I77" s="10" t="str">
        <f ca="1">IFERROR(__xludf.DUMMYFUNCTION("""COMPUTED_VALUE"""),"Cumplir con normativa y reglamentos internos del programa en base a los objetivos.")</f>
        <v>Cumplir con normativa y reglamentos internos del programa en base a los objetivos.</v>
      </c>
      <c r="J77" s="11">
        <f ca="1">IFERROR(__xludf.DUMMYFUNCTION("""COMPUTED_VALUE"""),43416000)</f>
        <v>43416000</v>
      </c>
      <c r="K77" s="27">
        <f ca="1">IFERROR(__xludf.DUMMYFUNCTION("""COMPUTED_VALUE"""),0.5)</f>
        <v>0.5</v>
      </c>
      <c r="L77" s="28" t="str">
        <f ca="1">IFERROR(__xludf.DUMMYFUNCTION("""COMPUTED_VALUE"""),"12204/2024")</f>
        <v>12204/2024</v>
      </c>
      <c r="M77" s="10" t="str">
        <f ca="1">IFERROR(__xludf.DUMMYFUNCTION("""COMPUTED_VALUE"""),"PRBIPE")</f>
        <v>PRBIPE</v>
      </c>
      <c r="N77" s="1"/>
      <c r="O77" s="1"/>
      <c r="P77" s="1"/>
      <c r="Q77" s="1"/>
      <c r="R77" s="1"/>
      <c r="S77" s="1"/>
      <c r="T77" s="1"/>
      <c r="U77" s="1"/>
      <c r="V77" s="1"/>
      <c r="W77" s="1"/>
      <c r="X77" s="1"/>
      <c r="Y77" s="1"/>
      <c r="Z77" s="1"/>
    </row>
    <row r="78" spans="1:26" ht="12.75" customHeight="1">
      <c r="A78" s="1"/>
      <c r="B78" s="10" t="str">
        <f ca="1">IFERROR(__xludf.DUMMYFUNCTION("""COMPUTED_VALUE"""),"FORTALECIMIENTO MUNICIPAL PRBIPE TEMUCO, AÑO 2025")</f>
        <v>FORTALECIMIENTO MUNICIPAL PRBIPE TEMUCO, AÑO 2025</v>
      </c>
      <c r="C78" s="26" t="str">
        <f t="shared" ca="1" si="0"/>
        <v xml:space="preserve"> TEMUCO</v>
      </c>
      <c r="D78" s="10" t="str">
        <f ca="1">IFERROR(__xludf.DUMMYFUNCTION("""COMPUTED_VALUE"""),"Guía Operativa")</f>
        <v>Guía Operativa</v>
      </c>
      <c r="E78" s="26" t="str">
        <f ca="1">IFERROR(__xludf.DUMMYFUNCTION("""COMPUTED_VALUE"""),"MUNICIPALIDAD DE TEMUCO")</f>
        <v>MUNICIPALIDAD DE TEMUCO</v>
      </c>
      <c r="F78" s="11">
        <f ca="1">IFERROR(__xludf.DUMMYFUNCTION("""COMPUTED_VALUE"""),130800000)</f>
        <v>130800000</v>
      </c>
      <c r="G78" s="10" t="str">
        <f ca="1">IFERROR(__xludf.DUMMYFUNCTION("""COMPUTED_VALUE"""),"Resolución")</f>
        <v>Resolución</v>
      </c>
      <c r="H78" s="10" t="str">
        <f ca="1">IFERROR(__xludf.DUMMYFUNCTION("""COMPUTED_VALUE"""),"ASISTENCIA TÉCNICA")</f>
        <v>ASISTENCIA TÉCNICA</v>
      </c>
      <c r="I78" s="10" t="str">
        <f ca="1">IFERROR(__xludf.DUMMYFUNCTION("""COMPUTED_VALUE"""),"Cumplir con normativa y reglamentos internos del programa en base a los objetivos.")</f>
        <v>Cumplir con normativa y reglamentos internos del programa en base a los objetivos.</v>
      </c>
      <c r="J78" s="11">
        <f ca="1">IFERROR(__xludf.DUMMYFUNCTION("""COMPUTED_VALUE"""),65400000)</f>
        <v>65400000</v>
      </c>
      <c r="K78" s="27">
        <f ca="1">IFERROR(__xludf.DUMMYFUNCTION("""COMPUTED_VALUE"""),0.5)</f>
        <v>0.5</v>
      </c>
      <c r="L78" s="28" t="str">
        <f ca="1">IFERROR(__xludf.DUMMYFUNCTION("""COMPUTED_VALUE"""),"12205/2024")</f>
        <v>12205/2024</v>
      </c>
      <c r="M78" s="10" t="str">
        <f ca="1">IFERROR(__xludf.DUMMYFUNCTION("""COMPUTED_VALUE"""),"PRBIPE")</f>
        <v>PRBIPE</v>
      </c>
      <c r="N78" s="1"/>
      <c r="O78" s="1"/>
      <c r="P78" s="1"/>
      <c r="Q78" s="1"/>
      <c r="R78" s="1"/>
      <c r="S78" s="1"/>
      <c r="T78" s="1"/>
      <c r="U78" s="1"/>
      <c r="V78" s="1"/>
      <c r="W78" s="1"/>
      <c r="X78" s="1"/>
      <c r="Y78" s="1"/>
      <c r="Z78" s="1"/>
    </row>
    <row r="79" spans="1:26" ht="12.75" customHeight="1">
      <c r="A79" s="1"/>
      <c r="B79" s="10" t="str">
        <f ca="1">IFERROR(__xludf.DUMMYFUNCTION("""COMPUTED_VALUE"""),"FORTALECIMIENTO MUNICIPAL EQUIPO REVIVE SAN ROSENDO 2025")</f>
        <v>FORTALECIMIENTO MUNICIPAL EQUIPO REVIVE SAN ROSENDO 2025</v>
      </c>
      <c r="C79" s="26" t="str">
        <f t="shared" ca="1" si="0"/>
        <v xml:space="preserve"> SAN ROSENDO</v>
      </c>
      <c r="D79" s="10" t="str">
        <f ca="1">IFERROR(__xludf.DUMMYFUNCTION("""COMPUTED_VALUE"""),"Guía Operativa")</f>
        <v>Guía Operativa</v>
      </c>
      <c r="E79" s="26" t="str">
        <f ca="1">IFERROR(__xludf.DUMMYFUNCTION("""COMPUTED_VALUE"""),"MUNICIPALIDAD DE SAN ROSENDO")</f>
        <v>MUNICIPALIDAD DE SAN ROSENDO</v>
      </c>
      <c r="F79" s="11">
        <f ca="1">IFERROR(__xludf.DUMMYFUNCTION("""COMPUTED_VALUE"""),111670000)</f>
        <v>111670000</v>
      </c>
      <c r="G79" s="10" t="str">
        <f ca="1">IFERROR(__xludf.DUMMYFUNCTION("""COMPUTED_VALUE"""),"Resolución")</f>
        <v>Resolución</v>
      </c>
      <c r="H79" s="10" t="str">
        <f ca="1">IFERROR(__xludf.DUMMYFUNCTION("""COMPUTED_VALUE"""),"ASISTENCIA TÉCNICA")</f>
        <v>ASISTENCIA TÉCNICA</v>
      </c>
      <c r="I79" s="10" t="str">
        <f ca="1">IFERROR(__xludf.DUMMYFUNCTION("""COMPUTED_VALUE"""),"Cumplir con normativa y reglamentos internos del programa en base a los objetivos.")</f>
        <v>Cumplir con normativa y reglamentos internos del programa en base a los objetivos.</v>
      </c>
      <c r="J79" s="11">
        <f ca="1">IFERROR(__xludf.DUMMYFUNCTION("""COMPUTED_VALUE"""),55835000)</f>
        <v>55835000</v>
      </c>
      <c r="K79" s="27">
        <f ca="1">IFERROR(__xludf.DUMMYFUNCTION("""COMPUTED_VALUE"""),0.5)</f>
        <v>0.5</v>
      </c>
      <c r="L79" s="28" t="str">
        <f ca="1">IFERROR(__xludf.DUMMYFUNCTION("""COMPUTED_VALUE"""),"12202/2024")</f>
        <v>12202/2024</v>
      </c>
      <c r="M79" s="10" t="str">
        <f ca="1">IFERROR(__xludf.DUMMYFUNCTION("""COMPUTED_VALUE"""),"PRBIPE")</f>
        <v>PRBIPE</v>
      </c>
      <c r="N79" s="1"/>
      <c r="O79" s="1"/>
      <c r="P79" s="1"/>
      <c r="Q79" s="1"/>
      <c r="R79" s="1"/>
      <c r="S79" s="1"/>
      <c r="T79" s="1"/>
      <c r="U79" s="1"/>
      <c r="V79" s="1"/>
      <c r="W79" s="1"/>
      <c r="X79" s="1"/>
      <c r="Y79" s="1"/>
      <c r="Z79" s="1"/>
    </row>
    <row r="80" spans="1:26" ht="12.75" customHeight="1">
      <c r="A80" s="1"/>
      <c r="B80" s="10" t="str">
        <f ca="1">IFERROR(__xludf.DUMMYFUNCTION("""COMPUTED_VALUE"""),"FORTALECIMIENTO MUNICIPAL 2025 - EQUIPO PRBIPE")</f>
        <v>FORTALECIMIENTO MUNICIPAL 2025 - EQUIPO PRBIPE</v>
      </c>
      <c r="C80" s="26" t="str">
        <f t="shared" ca="1" si="0"/>
        <v xml:space="preserve"> CASTRO</v>
      </c>
      <c r="D80" s="10" t="str">
        <f ca="1">IFERROR(__xludf.DUMMYFUNCTION("""COMPUTED_VALUE"""),"Guía Operativa")</f>
        <v>Guía Operativa</v>
      </c>
      <c r="E80" s="26" t="str">
        <f ca="1">IFERROR(__xludf.DUMMYFUNCTION("""COMPUTED_VALUE"""),"MUNICIPALIDAD DE CASTRO")</f>
        <v>MUNICIPALIDAD DE CASTRO</v>
      </c>
      <c r="F80" s="11">
        <f ca="1">IFERROR(__xludf.DUMMYFUNCTION("""COMPUTED_VALUE"""),118560000)</f>
        <v>118560000</v>
      </c>
      <c r="G80" s="10" t="str">
        <f ca="1">IFERROR(__xludf.DUMMYFUNCTION("""COMPUTED_VALUE"""),"Resolución")</f>
        <v>Resolución</v>
      </c>
      <c r="H80" s="10" t="str">
        <f ca="1">IFERROR(__xludf.DUMMYFUNCTION("""COMPUTED_VALUE"""),"ASISTENCIA TÉCNICA")</f>
        <v>ASISTENCIA TÉCNICA</v>
      </c>
      <c r="I80" s="10" t="str">
        <f ca="1">IFERROR(__xludf.DUMMYFUNCTION("""COMPUTED_VALUE"""),"Cumplir con normativa y reglamentos internos del programa en base a los objetivos.")</f>
        <v>Cumplir con normativa y reglamentos internos del programa en base a los objetivos.</v>
      </c>
      <c r="J80" s="11">
        <f ca="1">IFERROR(__xludf.DUMMYFUNCTION("""COMPUTED_VALUE"""),59280000)</f>
        <v>59280000</v>
      </c>
      <c r="K80" s="27">
        <f ca="1">IFERROR(__xludf.DUMMYFUNCTION("""COMPUTED_VALUE"""),0.5)</f>
        <v>0.5</v>
      </c>
      <c r="L80" s="28" t="str">
        <f ca="1">IFERROR(__xludf.DUMMYFUNCTION("""COMPUTED_VALUE"""),"12353/2024")</f>
        <v>12353/2024</v>
      </c>
      <c r="M80" s="10" t="str">
        <f ca="1">IFERROR(__xludf.DUMMYFUNCTION("""COMPUTED_VALUE"""),"PRBIPE")</f>
        <v>PRBIPE</v>
      </c>
      <c r="N80" s="1"/>
      <c r="O80" s="1"/>
      <c r="P80" s="1"/>
      <c r="Q80" s="1"/>
      <c r="R80" s="1"/>
      <c r="S80" s="1"/>
      <c r="T80" s="1"/>
      <c r="U80" s="1"/>
      <c r="V80" s="1"/>
      <c r="W80" s="1"/>
      <c r="X80" s="1"/>
      <c r="Y80" s="1"/>
      <c r="Z80" s="1"/>
    </row>
    <row r="81" spans="1:26" ht="12.75" customHeight="1">
      <c r="A81" s="1"/>
      <c r="B81" s="10" t="str">
        <f ca="1">IFERROR(__xludf.DUMMYFUNCTION("""COMPUTED_VALUE"""),"FORTALECIMIENTO MUNICIPAL PROGRAMA DE REVITALIZACIÓN DE BARRIOS E INFRAESTRUCTURA PATRIMONIAL EMBLEMÁTICA ARICA 2025")</f>
        <v>FORTALECIMIENTO MUNICIPAL PROGRAMA DE REVITALIZACIÓN DE BARRIOS E INFRAESTRUCTURA PATRIMONIAL EMBLEMÁTICA ARICA 2025</v>
      </c>
      <c r="C81" s="26" t="str">
        <f t="shared" ca="1" si="0"/>
        <v xml:space="preserve"> ARICA</v>
      </c>
      <c r="D81" s="10" t="str">
        <f ca="1">IFERROR(__xludf.DUMMYFUNCTION("""COMPUTED_VALUE"""),"Guía Operativa")</f>
        <v>Guía Operativa</v>
      </c>
      <c r="E81" s="26" t="str">
        <f ca="1">IFERROR(__xludf.DUMMYFUNCTION("""COMPUTED_VALUE"""),"MUNICIPALIDAD DE ARICA")</f>
        <v>MUNICIPALIDAD DE ARICA</v>
      </c>
      <c r="F81" s="11">
        <f ca="1">IFERROR(__xludf.DUMMYFUNCTION("""COMPUTED_VALUE"""),80331024)</f>
        <v>80331024</v>
      </c>
      <c r="G81" s="10" t="str">
        <f ca="1">IFERROR(__xludf.DUMMYFUNCTION("""COMPUTED_VALUE"""),"Resolución")</f>
        <v>Resolución</v>
      </c>
      <c r="H81" s="10" t="str">
        <f ca="1">IFERROR(__xludf.DUMMYFUNCTION("""COMPUTED_VALUE"""),"ASISTENCIA TÉCNICA")</f>
        <v>ASISTENCIA TÉCNICA</v>
      </c>
      <c r="I81" s="10" t="str">
        <f ca="1">IFERROR(__xludf.DUMMYFUNCTION("""COMPUTED_VALUE"""),"Cumplir con normativa y reglamentos internos del programa en base a los objetivos.")</f>
        <v>Cumplir con normativa y reglamentos internos del programa en base a los objetivos.</v>
      </c>
      <c r="J81" s="11">
        <f ca="1">IFERROR(__xludf.DUMMYFUNCTION("""COMPUTED_VALUE"""),40165512)</f>
        <v>40165512</v>
      </c>
      <c r="K81" s="27">
        <f ca="1">IFERROR(__xludf.DUMMYFUNCTION("""COMPUTED_VALUE"""),0.5)</f>
        <v>0.5</v>
      </c>
      <c r="L81" s="28" t="str">
        <f ca="1">IFERROR(__xludf.DUMMYFUNCTION("""COMPUTED_VALUE"""),"12195/2024")</f>
        <v>12195/2024</v>
      </c>
      <c r="M81" s="10" t="str">
        <f ca="1">IFERROR(__xludf.DUMMYFUNCTION("""COMPUTED_VALUE"""),"PRBIPE")</f>
        <v>PRBIPE</v>
      </c>
      <c r="N81" s="1"/>
      <c r="O81" s="1"/>
      <c r="P81" s="1"/>
      <c r="Q81" s="1"/>
      <c r="R81" s="1"/>
      <c r="S81" s="1"/>
      <c r="T81" s="1"/>
      <c r="U81" s="1"/>
      <c r="V81" s="1"/>
      <c r="W81" s="1"/>
      <c r="X81" s="1"/>
      <c r="Y81" s="1"/>
      <c r="Z81" s="1"/>
    </row>
    <row r="82" spans="1:26" ht="12.75" customHeight="1">
      <c r="A82" s="1"/>
      <c r="B82" s="10" t="str">
        <f ca="1">IFERROR(__xludf.DUMMYFUNCTION("""COMPUTED_VALUE"""),"FORTALECIMIENTO MUNICIPAL REVIVE – GUAYACÁN 2025")</f>
        <v>FORTALECIMIENTO MUNICIPAL REVIVE – GUAYACÁN 2025</v>
      </c>
      <c r="C82" s="26" t="str">
        <f t="shared" ca="1" si="0"/>
        <v xml:space="preserve"> COQUIMBO</v>
      </c>
      <c r="D82" s="10" t="str">
        <f ca="1">IFERROR(__xludf.DUMMYFUNCTION("""COMPUTED_VALUE"""),"Guía Operativa")</f>
        <v>Guía Operativa</v>
      </c>
      <c r="E82" s="26" t="str">
        <f ca="1">IFERROR(__xludf.DUMMYFUNCTION("""COMPUTED_VALUE"""),"MUNICIPALIDAD DE COQUIMBO")</f>
        <v>MUNICIPALIDAD DE COQUIMBO</v>
      </c>
      <c r="F82" s="11">
        <f ca="1">IFERROR(__xludf.DUMMYFUNCTION("""COMPUTED_VALUE"""),101984093)</f>
        <v>101984093</v>
      </c>
      <c r="G82" s="10" t="str">
        <f ca="1">IFERROR(__xludf.DUMMYFUNCTION("""COMPUTED_VALUE"""),"Resolución")</f>
        <v>Resolución</v>
      </c>
      <c r="H82" s="10" t="str">
        <f ca="1">IFERROR(__xludf.DUMMYFUNCTION("""COMPUTED_VALUE"""),"ASISTENCIA TÉCNICA")</f>
        <v>ASISTENCIA TÉCNICA</v>
      </c>
      <c r="I82" s="10" t="str">
        <f ca="1">IFERROR(__xludf.DUMMYFUNCTION("""COMPUTED_VALUE"""),"Cumplir con normativa y reglamentos internos del programa en base a los objetivos.")</f>
        <v>Cumplir con normativa y reglamentos internos del programa en base a los objetivos.</v>
      </c>
      <c r="J82" s="11">
        <f ca="1">IFERROR(__xludf.DUMMYFUNCTION("""COMPUTED_VALUE"""),101984093)</f>
        <v>101984093</v>
      </c>
      <c r="K82" s="27">
        <f ca="1">IFERROR(__xludf.DUMMYFUNCTION("""COMPUTED_VALUE"""),1)</f>
        <v>1</v>
      </c>
      <c r="L82" s="28" t="str">
        <f ca="1">IFERROR(__xludf.DUMMYFUNCTION("""COMPUTED_VALUE"""),"12352/2024")</f>
        <v>12352/2024</v>
      </c>
      <c r="M82" s="10" t="str">
        <f ca="1">IFERROR(__xludf.DUMMYFUNCTION("""COMPUTED_VALUE"""),"PRBIPE")</f>
        <v>PRBIPE</v>
      </c>
      <c r="N82" s="1"/>
      <c r="O82" s="1"/>
      <c r="P82" s="1"/>
      <c r="Q82" s="1"/>
      <c r="R82" s="1"/>
      <c r="S82" s="1"/>
      <c r="T82" s="1"/>
      <c r="U82" s="1"/>
      <c r="V82" s="1"/>
      <c r="W82" s="1"/>
      <c r="X82" s="1"/>
      <c r="Y82" s="1"/>
      <c r="Z82" s="1"/>
    </row>
    <row r="83" spans="1:26" ht="12.75" customHeight="1">
      <c r="A83" s="1"/>
      <c r="B83" s="10" t="str">
        <f ca="1">IFERROR(__xludf.DUMMYFUNCTION("""COMPUTED_VALUE"""),"FORTALECIMIENTO INSTITUCIONAL 2025, DE LA COMUNA DE ESTACIÓN CENTRAL")</f>
        <v>FORTALECIMIENTO INSTITUCIONAL 2025, DE LA COMUNA DE ESTACIÓN CENTRAL</v>
      </c>
      <c r="C83" s="26" t="str">
        <f t="shared" ca="1" si="0"/>
        <v xml:space="preserve"> ESTACIÓN CENTRAL</v>
      </c>
      <c r="D83" s="10" t="str">
        <f ca="1">IFERROR(__xludf.DUMMYFUNCTION("""COMPUTED_VALUE"""),"Guía Operativa")</f>
        <v>Guía Operativa</v>
      </c>
      <c r="E83" s="26" t="str">
        <f ca="1">IFERROR(__xludf.DUMMYFUNCTION("""COMPUTED_VALUE"""),"MUNICIPALIDAD DE ESTACIÓN CENTRAL")</f>
        <v>MUNICIPALIDAD DE ESTACIÓN CENTRAL</v>
      </c>
      <c r="F83" s="11">
        <f ca="1">IFERROR(__xludf.DUMMYFUNCTION("""COMPUTED_VALUE"""),288270492)</f>
        <v>288270492</v>
      </c>
      <c r="G83" s="10" t="str">
        <f ca="1">IFERROR(__xludf.DUMMYFUNCTION("""COMPUTED_VALUE"""),"Resolución")</f>
        <v>Resolución</v>
      </c>
      <c r="H83" s="10" t="str">
        <f ca="1">IFERROR(__xludf.DUMMYFUNCTION("""COMPUTED_VALUE"""),"ASISTENCIA TÉCNICA")</f>
        <v>ASISTENCIA TÉCNICA</v>
      </c>
      <c r="I83" s="10" t="str">
        <f ca="1">IFERROR(__xludf.DUMMYFUNCTION("""COMPUTED_VALUE"""),"Cumplir con normativa y reglamentos internos del programa en base a los objetivos.")</f>
        <v>Cumplir con normativa y reglamentos internos del programa en base a los objetivos.</v>
      </c>
      <c r="J83" s="11">
        <f ca="1">IFERROR(__xludf.DUMMYFUNCTION("""COMPUTED_VALUE"""),144135246)</f>
        <v>144135246</v>
      </c>
      <c r="K83" s="27">
        <f ca="1">IFERROR(__xludf.DUMMYFUNCTION("""COMPUTED_VALUE"""),0.5)</f>
        <v>0.5</v>
      </c>
      <c r="L83" s="28" t="str">
        <f ca="1">IFERROR(__xludf.DUMMYFUNCTION("""COMPUTED_VALUE"""),"12198/2024")</f>
        <v>12198/2024</v>
      </c>
      <c r="M83" s="10" t="str">
        <f ca="1">IFERROR(__xludf.DUMMYFUNCTION("""COMPUTED_VALUE"""),"PRBIPE")</f>
        <v>PRBIPE</v>
      </c>
      <c r="N83" s="1"/>
      <c r="O83" s="1"/>
      <c r="P83" s="1"/>
      <c r="Q83" s="1"/>
      <c r="R83" s="1"/>
      <c r="S83" s="1"/>
      <c r="T83" s="1"/>
      <c r="U83" s="1"/>
      <c r="V83" s="1"/>
      <c r="W83" s="1"/>
      <c r="X83" s="1"/>
      <c r="Y83" s="1"/>
      <c r="Z83" s="1"/>
    </row>
    <row r="84" spans="1:26" ht="12.75" customHeight="1">
      <c r="A84" s="1"/>
      <c r="B84" s="10" t="str">
        <f ca="1">IFERROR(__xludf.DUMMYFUNCTION("""COMPUTED_VALUE"""),"FORTALECIMIENTO 2025")</f>
        <v>FORTALECIMIENTO 2025</v>
      </c>
      <c r="C84" s="26" t="str">
        <f t="shared" ca="1" si="0"/>
        <v xml:space="preserve"> LOTA</v>
      </c>
      <c r="D84" s="10" t="str">
        <f ca="1">IFERROR(__xludf.DUMMYFUNCTION("""COMPUTED_VALUE"""),"Guía Operativa")</f>
        <v>Guía Operativa</v>
      </c>
      <c r="E84" s="26" t="str">
        <f ca="1">IFERROR(__xludf.DUMMYFUNCTION("""COMPUTED_VALUE"""),"MUNICIPALIDAD DE LOTA")</f>
        <v>MUNICIPALIDAD DE LOTA</v>
      </c>
      <c r="F84" s="11">
        <f ca="1">IFERROR(__xludf.DUMMYFUNCTION("""COMPUTED_VALUE"""),130700254)</f>
        <v>130700254</v>
      </c>
      <c r="G84" s="10" t="str">
        <f ca="1">IFERROR(__xludf.DUMMYFUNCTION("""COMPUTED_VALUE"""),"Resolución")</f>
        <v>Resolución</v>
      </c>
      <c r="H84" s="10" t="str">
        <f ca="1">IFERROR(__xludf.DUMMYFUNCTION("""COMPUTED_VALUE"""),"ASISTENCIA TÉCNICA")</f>
        <v>ASISTENCIA TÉCNICA</v>
      </c>
      <c r="I84" s="10" t="str">
        <f ca="1">IFERROR(__xludf.DUMMYFUNCTION("""COMPUTED_VALUE"""),"Cumplir con normativa y reglamentos internos del programa en base a los objetivos.")</f>
        <v>Cumplir con normativa y reglamentos internos del programa en base a los objetivos.</v>
      </c>
      <c r="J84" s="11">
        <f ca="1">IFERROR(__xludf.DUMMYFUNCTION("""COMPUTED_VALUE"""),75466433)</f>
        <v>75466433</v>
      </c>
      <c r="K84" s="27">
        <f ca="1">IFERROR(__xludf.DUMMYFUNCTION("""COMPUTED_VALUE"""),0.577400813620454)</f>
        <v>0.57740081362045403</v>
      </c>
      <c r="L84" s="28" t="str">
        <f ca="1">IFERROR(__xludf.DUMMYFUNCTION("""COMPUTED_VALUE"""),"12508/2024")</f>
        <v>12508/2024</v>
      </c>
      <c r="M84" s="10" t="str">
        <f ca="1">IFERROR(__xludf.DUMMYFUNCTION("""COMPUTED_VALUE"""),"PRBIPE")</f>
        <v>PRBIPE</v>
      </c>
      <c r="N84" s="1"/>
      <c r="O84" s="1"/>
      <c r="P84" s="1"/>
      <c r="Q84" s="1"/>
      <c r="R84" s="1"/>
      <c r="S84" s="1"/>
      <c r="T84" s="1"/>
      <c r="U84" s="1"/>
      <c r="V84" s="1"/>
      <c r="W84" s="1"/>
      <c r="X84" s="1"/>
      <c r="Y84" s="1"/>
      <c r="Z84" s="1"/>
    </row>
    <row r="85" spans="1:26" ht="12.75" customHeight="1">
      <c r="A85" s="1"/>
      <c r="B85" s="10" t="str">
        <f ca="1">IFERROR(__xludf.DUMMYFUNCTION("""COMPUTED_VALUE"""),"ASISTENCIA TÉCNICA EQUIPO COMUNAL REVIVE ÑUÑOA 2025")</f>
        <v>ASISTENCIA TÉCNICA EQUIPO COMUNAL REVIVE ÑUÑOA 2025</v>
      </c>
      <c r="C85" s="26" t="str">
        <f t="shared" ca="1" si="0"/>
        <v xml:space="preserve"> ÑUÑOA</v>
      </c>
      <c r="D85" s="10" t="str">
        <f ca="1">IFERROR(__xludf.DUMMYFUNCTION("""COMPUTED_VALUE"""),"Guía Operativa")</f>
        <v>Guía Operativa</v>
      </c>
      <c r="E85" s="26" t="str">
        <f ca="1">IFERROR(__xludf.DUMMYFUNCTION("""COMPUTED_VALUE"""),"MUNICIPALIDAD DE ÑUÑOA")</f>
        <v>MUNICIPALIDAD DE ÑUÑOA</v>
      </c>
      <c r="F85" s="11">
        <f ca="1">IFERROR(__xludf.DUMMYFUNCTION("""COMPUTED_VALUE"""),288220608)</f>
        <v>288220608</v>
      </c>
      <c r="G85" s="10" t="str">
        <f ca="1">IFERROR(__xludf.DUMMYFUNCTION("""COMPUTED_VALUE"""),"Resolución")</f>
        <v>Resolución</v>
      </c>
      <c r="H85" s="10" t="str">
        <f ca="1">IFERROR(__xludf.DUMMYFUNCTION("""COMPUTED_VALUE"""),"ASISTENCIA TÉCNICA")</f>
        <v>ASISTENCIA TÉCNICA</v>
      </c>
      <c r="I85" s="10" t="str">
        <f ca="1">IFERROR(__xludf.DUMMYFUNCTION("""COMPUTED_VALUE"""),"Cumplir con normativa y reglamentos internos del programa en base a los objetivos.")</f>
        <v>Cumplir con normativa y reglamentos internos del programa en base a los objetivos.</v>
      </c>
      <c r="J85" s="11">
        <f ca="1">IFERROR(__xludf.DUMMYFUNCTION("""COMPUTED_VALUE"""),144110304)</f>
        <v>144110304</v>
      </c>
      <c r="K85" s="27">
        <f ca="1">IFERROR(__xludf.DUMMYFUNCTION("""COMPUTED_VALUE"""),0.5)</f>
        <v>0.5</v>
      </c>
      <c r="L85" s="28" t="str">
        <f ca="1">IFERROR(__xludf.DUMMYFUNCTION("""COMPUTED_VALUE"""),"12207/2024")</f>
        <v>12207/2024</v>
      </c>
      <c r="M85" s="10" t="str">
        <f ca="1">IFERROR(__xludf.DUMMYFUNCTION("""COMPUTED_VALUE"""),"PRBIPE")</f>
        <v>PRBIPE</v>
      </c>
      <c r="N85" s="1"/>
      <c r="O85" s="1"/>
      <c r="P85" s="1"/>
      <c r="Q85" s="1"/>
      <c r="R85" s="1"/>
      <c r="S85" s="1"/>
      <c r="T85" s="1"/>
      <c r="U85" s="1"/>
      <c r="V85" s="1"/>
      <c r="W85" s="1"/>
      <c r="X85" s="1"/>
      <c r="Y85" s="1"/>
      <c r="Z85" s="1"/>
    </row>
    <row r="86" spans="1:26" ht="12.75" customHeight="1">
      <c r="A86" s="1"/>
      <c r="B86" s="10" t="str">
        <f ca="1">IFERROR(__xludf.DUMMYFUNCTION("""COMPUTED_VALUE"""),"PROYECTO EQUIPO PRBIPE COMUNAL 2025	")</f>
        <v xml:space="preserve">PROYECTO EQUIPO PRBIPE COMUNAL 2025	</v>
      </c>
      <c r="C86" s="26" t="str">
        <f t="shared" ca="1" si="0"/>
        <v xml:space="preserve"> PROVIDENCIA</v>
      </c>
      <c r="D86" s="10" t="str">
        <f ca="1">IFERROR(__xludf.DUMMYFUNCTION("""COMPUTED_VALUE"""),"Guía Operativa")</f>
        <v>Guía Operativa</v>
      </c>
      <c r="E86" s="26" t="str">
        <f ca="1">IFERROR(__xludf.DUMMYFUNCTION("""COMPUTED_VALUE"""),"MUNICIPALIDAD DE PROVIDENCIA")</f>
        <v>MUNICIPALIDAD DE PROVIDENCIA</v>
      </c>
      <c r="F86" s="11">
        <f ca="1">IFERROR(__xludf.DUMMYFUNCTION("""COMPUTED_VALUE"""),248055600)</f>
        <v>248055600</v>
      </c>
      <c r="G86" s="10" t="str">
        <f ca="1">IFERROR(__xludf.DUMMYFUNCTION("""COMPUTED_VALUE"""),"Resolución")</f>
        <v>Resolución</v>
      </c>
      <c r="H86" s="10" t="str">
        <f ca="1">IFERROR(__xludf.DUMMYFUNCTION("""COMPUTED_VALUE"""),"ASISTENCIA TÉCNICA")</f>
        <v>ASISTENCIA TÉCNICA</v>
      </c>
      <c r="I86" s="10" t="str">
        <f ca="1">IFERROR(__xludf.DUMMYFUNCTION("""COMPUTED_VALUE"""),"Cumplir con normativa y reglamentos internos del programa en base a los objetivos.")</f>
        <v>Cumplir con normativa y reglamentos internos del programa en base a los objetivos.</v>
      </c>
      <c r="J86" s="11">
        <f ca="1">IFERROR(__xludf.DUMMYFUNCTION("""COMPUTED_VALUE"""),124027800)</f>
        <v>124027800</v>
      </c>
      <c r="K86" s="27">
        <f ca="1">IFERROR(__xludf.DUMMYFUNCTION("""COMPUTED_VALUE"""),0.5)</f>
        <v>0.5</v>
      </c>
      <c r="L86" s="28" t="str">
        <f ca="1">IFERROR(__xludf.DUMMYFUNCTION("""COMPUTED_VALUE"""),"12194/2024")</f>
        <v>12194/2024</v>
      </c>
      <c r="M86" s="10" t="str">
        <f ca="1">IFERROR(__xludf.DUMMYFUNCTION("""COMPUTED_VALUE"""),"PRBIPE")</f>
        <v>PRBIPE</v>
      </c>
      <c r="N86" s="1"/>
      <c r="O86" s="1"/>
      <c r="P86" s="1"/>
      <c r="Q86" s="1"/>
      <c r="R86" s="1"/>
      <c r="S86" s="1"/>
      <c r="T86" s="1"/>
      <c r="U86" s="1"/>
      <c r="V86" s="1"/>
      <c r="W86" s="1"/>
      <c r="X86" s="1"/>
      <c r="Y86" s="1"/>
      <c r="Z86" s="1"/>
    </row>
    <row r="87" spans="1:26" ht="12.75" customHeight="1">
      <c r="A87" s="1"/>
      <c r="B87" s="10" t="str">
        <f ca="1">IFERROR(__xludf.DUMMYFUNCTION("""COMPUTED_VALUE"""),"FORTALECIMIENTO MUNICIPAL REVIVE QUINTA NORMAL 2025")</f>
        <v>FORTALECIMIENTO MUNICIPAL REVIVE QUINTA NORMAL 2025</v>
      </c>
      <c r="C87" s="26" t="str">
        <f t="shared" ca="1" si="0"/>
        <v xml:space="preserve"> QUINTA NORMAL</v>
      </c>
      <c r="D87" s="10" t="str">
        <f ca="1">IFERROR(__xludf.DUMMYFUNCTION("""COMPUTED_VALUE"""),"Guía Operativa")</f>
        <v>Guía Operativa</v>
      </c>
      <c r="E87" s="26" t="str">
        <f ca="1">IFERROR(__xludf.DUMMYFUNCTION("""COMPUTED_VALUE"""),"MUNICIPALIDAD DE QUINTA NORMAL")</f>
        <v>MUNICIPALIDAD DE QUINTA NORMAL</v>
      </c>
      <c r="F87" s="11">
        <f ca="1">IFERROR(__xludf.DUMMYFUNCTION("""COMPUTED_VALUE"""),142272000)</f>
        <v>142272000</v>
      </c>
      <c r="G87" s="10" t="str">
        <f ca="1">IFERROR(__xludf.DUMMYFUNCTION("""COMPUTED_VALUE"""),"Resolución")</f>
        <v>Resolución</v>
      </c>
      <c r="H87" s="10" t="str">
        <f ca="1">IFERROR(__xludf.DUMMYFUNCTION("""COMPUTED_VALUE"""),"ASISTENCIA TÉCNICA")</f>
        <v>ASISTENCIA TÉCNICA</v>
      </c>
      <c r="I87" s="10" t="str">
        <f ca="1">IFERROR(__xludf.DUMMYFUNCTION("""COMPUTED_VALUE"""),"Cumplir con normativa y reglamentos internos del programa en base a los objetivos.")</f>
        <v>Cumplir con normativa y reglamentos internos del programa en base a los objetivos.</v>
      </c>
      <c r="J87" s="11">
        <f ca="1">IFERROR(__xludf.DUMMYFUNCTION("""COMPUTED_VALUE"""),68400000)</f>
        <v>68400000</v>
      </c>
      <c r="K87" s="27">
        <f ca="1">IFERROR(__xludf.DUMMYFUNCTION("""COMPUTED_VALUE"""),0.48076923076923)</f>
        <v>0.48076923076923</v>
      </c>
      <c r="L87" s="28" t="str">
        <f ca="1">IFERROR(__xludf.DUMMYFUNCTION("""COMPUTED_VALUE"""),"12374/2024")</f>
        <v>12374/2024</v>
      </c>
      <c r="M87" s="10" t="str">
        <f ca="1">IFERROR(__xludf.DUMMYFUNCTION("""COMPUTED_VALUE"""),"PRBIPE")</f>
        <v>PRBIPE</v>
      </c>
      <c r="N87" s="1"/>
      <c r="O87" s="1"/>
      <c r="P87" s="1"/>
      <c r="Q87" s="1"/>
      <c r="R87" s="1"/>
      <c r="S87" s="1"/>
      <c r="T87" s="1"/>
      <c r="U87" s="1"/>
      <c r="V87" s="1"/>
      <c r="W87" s="1"/>
      <c r="X87" s="1"/>
      <c r="Y87" s="1"/>
      <c r="Z87" s="1"/>
    </row>
    <row r="88" spans="1:26" ht="12.75" customHeight="1">
      <c r="A88" s="1"/>
      <c r="B88" s="10" t="str">
        <f ca="1">IFERROR(__xludf.DUMMYFUNCTION("""COMPUTED_VALUE"""),"FORTALECIMIENTO MUNICIPAL PROGRAMA DE REVITALIZACIÓN DE BARRIOS E INFRAESTRUCTURA PATRIMONIAL EMBLEMÁTICA STGO 2025")</f>
        <v>FORTALECIMIENTO MUNICIPAL PROGRAMA DE REVITALIZACIÓN DE BARRIOS E INFRAESTRUCTURA PATRIMONIAL EMBLEMÁTICA STGO 2025</v>
      </c>
      <c r="C88" s="26" t="str">
        <f t="shared" ca="1" si="0"/>
        <v xml:space="preserve"> SANTIAGO</v>
      </c>
      <c r="D88" s="10" t="str">
        <f ca="1">IFERROR(__xludf.DUMMYFUNCTION("""COMPUTED_VALUE"""),"Guía Operativa")</f>
        <v>Guía Operativa</v>
      </c>
      <c r="E88" s="26" t="str">
        <f ca="1">IFERROR(__xludf.DUMMYFUNCTION("""COMPUTED_VALUE"""),"MUNICIPALIDAD DE SANTIAGO")</f>
        <v>MUNICIPALIDAD DE SANTIAGO</v>
      </c>
      <c r="F88" s="11">
        <f ca="1">IFERROR(__xludf.DUMMYFUNCTION("""COMPUTED_VALUE"""),289581552)</f>
        <v>289581552</v>
      </c>
      <c r="G88" s="10" t="str">
        <f ca="1">IFERROR(__xludf.DUMMYFUNCTION("""COMPUTED_VALUE"""),"Resolución")</f>
        <v>Resolución</v>
      </c>
      <c r="H88" s="10" t="str">
        <f ca="1">IFERROR(__xludf.DUMMYFUNCTION("""COMPUTED_VALUE"""),"ASISTENCIA TÉCNICA")</f>
        <v>ASISTENCIA TÉCNICA</v>
      </c>
      <c r="I88" s="10" t="str">
        <f ca="1">IFERROR(__xludf.DUMMYFUNCTION("""COMPUTED_VALUE"""),"Cumplir con normativa y reglamentos internos del programa en base a los objetivos.")</f>
        <v>Cumplir con normativa y reglamentos internos del programa en base a los objetivos.</v>
      </c>
      <c r="J88" s="11">
        <f ca="1">IFERROR(__xludf.DUMMYFUNCTION("""COMPUTED_VALUE"""),144790776)</f>
        <v>144790776</v>
      </c>
      <c r="K88" s="27">
        <f ca="1">IFERROR(__xludf.DUMMYFUNCTION("""COMPUTED_VALUE"""),0.5)</f>
        <v>0.5</v>
      </c>
      <c r="L88" s="28" t="str">
        <f ca="1">IFERROR(__xludf.DUMMYFUNCTION("""COMPUTED_VALUE"""),"12193/2024")</f>
        <v>12193/2024</v>
      </c>
      <c r="M88" s="10" t="str">
        <f ca="1">IFERROR(__xludf.DUMMYFUNCTION("""COMPUTED_VALUE"""),"PRBIPE")</f>
        <v>PRBIPE</v>
      </c>
      <c r="N88" s="1"/>
      <c r="O88" s="1"/>
      <c r="P88" s="1"/>
      <c r="Q88" s="1"/>
      <c r="R88" s="1"/>
      <c r="S88" s="1"/>
      <c r="T88" s="1"/>
      <c r="U88" s="1"/>
      <c r="V88" s="1"/>
      <c r="W88" s="1"/>
      <c r="X88" s="1"/>
      <c r="Y88" s="1"/>
      <c r="Z88" s="1"/>
    </row>
    <row r="89" spans="1:26" ht="12.75" customHeight="1">
      <c r="A89" s="1"/>
      <c r="B89" s="10" t="str">
        <f ca="1">IFERROR(__xludf.DUMMYFUNCTION("""COMPUTED_VALUE"""),"FORTALECIMIENTO MUNICIPAL 2025")</f>
        <v>FORTALECIMIENTO MUNICIPAL 2025</v>
      </c>
      <c r="C89" s="26" t="str">
        <f t="shared" ca="1" si="0"/>
        <v xml:space="preserve"> VALPARAÍSO</v>
      </c>
      <c r="D89" s="10" t="str">
        <f ca="1">IFERROR(__xludf.DUMMYFUNCTION("""COMPUTED_VALUE"""),"Guía Operativa")</f>
        <v>Guía Operativa</v>
      </c>
      <c r="E89" s="26" t="str">
        <f ca="1">IFERROR(__xludf.DUMMYFUNCTION("""COMPUTED_VALUE"""),"MUNICIPALIDAD DE VALPARAÍSO")</f>
        <v>MUNICIPALIDAD DE VALPARAÍSO</v>
      </c>
      <c r="F89" s="11">
        <f ca="1">IFERROR(__xludf.DUMMYFUNCTION("""COMPUTED_VALUE"""),119808000)</f>
        <v>119808000</v>
      </c>
      <c r="G89" s="10" t="str">
        <f ca="1">IFERROR(__xludf.DUMMYFUNCTION("""COMPUTED_VALUE"""),"Resolución")</f>
        <v>Resolución</v>
      </c>
      <c r="H89" s="10" t="str">
        <f ca="1">IFERROR(__xludf.DUMMYFUNCTION("""COMPUTED_VALUE"""),"ASISTENCIA TÉCNICA")</f>
        <v>ASISTENCIA TÉCNICA</v>
      </c>
      <c r="I89" s="10" t="str">
        <f ca="1">IFERROR(__xludf.DUMMYFUNCTION("""COMPUTED_VALUE"""),"Cumplir con normativa y reglamentos internos del programa en base a los objetivos.")</f>
        <v>Cumplir con normativa y reglamentos internos del programa en base a los objetivos.</v>
      </c>
      <c r="J89" s="11">
        <f ca="1">IFERROR(__xludf.DUMMYFUNCTION("""COMPUTED_VALUE"""),59904000)</f>
        <v>59904000</v>
      </c>
      <c r="K89" s="27">
        <f ca="1">IFERROR(__xludf.DUMMYFUNCTION("""COMPUTED_VALUE"""),0.5)</f>
        <v>0.5</v>
      </c>
      <c r="L89" s="28" t="str">
        <f ca="1">IFERROR(__xludf.DUMMYFUNCTION("""COMPUTED_VALUE"""),"12196/2024")</f>
        <v>12196/2024</v>
      </c>
      <c r="M89" s="10" t="str">
        <f ca="1">IFERROR(__xludf.DUMMYFUNCTION("""COMPUTED_VALUE"""),"PRBIPE")</f>
        <v>PRBIPE</v>
      </c>
      <c r="N89" s="1"/>
      <c r="O89" s="1"/>
      <c r="P89" s="1"/>
      <c r="Q89" s="1"/>
      <c r="R89" s="1"/>
      <c r="S89" s="1"/>
      <c r="T89" s="1"/>
      <c r="U89" s="1"/>
      <c r="V89" s="1"/>
      <c r="W89" s="1"/>
      <c r="X89" s="1"/>
      <c r="Y89" s="1"/>
      <c r="Z89" s="1"/>
    </row>
    <row r="90" spans="1:26" ht="12.75" customHeight="1">
      <c r="A90" s="1"/>
      <c r="B90" s="10" t="str">
        <f ca="1">IFERROR(__xludf.DUMMYFUNCTION("""COMPUTED_VALUE"""),"EQUIPO TECNICO PARA EJECUCION DEL PRB AÑO 2025")</f>
        <v>EQUIPO TECNICO PARA EJECUCION DEL PRB AÑO 2025</v>
      </c>
      <c r="C90" s="26" t="str">
        <f t="shared" ca="1" si="0"/>
        <v xml:space="preserve"> VIÑA DEL MAR</v>
      </c>
      <c r="D90" s="10" t="str">
        <f ca="1">IFERROR(__xludf.DUMMYFUNCTION("""COMPUTED_VALUE"""),"Guía Operativa")</f>
        <v>Guía Operativa</v>
      </c>
      <c r="E90" s="26" t="str">
        <f ca="1">IFERROR(__xludf.DUMMYFUNCTION("""COMPUTED_VALUE"""),"MUNICIPALIDAD DE VIÑA DEL MAR")</f>
        <v>MUNICIPALIDAD DE VIÑA DEL MAR</v>
      </c>
      <c r="F90" s="11">
        <f ca="1">IFERROR(__xludf.DUMMYFUNCTION("""COMPUTED_VALUE"""),136674000)</f>
        <v>136674000</v>
      </c>
      <c r="G90" s="10" t="str">
        <f ca="1">IFERROR(__xludf.DUMMYFUNCTION("""COMPUTED_VALUE"""),"Resolución")</f>
        <v>Resolución</v>
      </c>
      <c r="H90" s="10" t="str">
        <f ca="1">IFERROR(__xludf.DUMMYFUNCTION("""COMPUTED_VALUE"""),"ASISTENCIA TÉCNICA")</f>
        <v>ASISTENCIA TÉCNICA</v>
      </c>
      <c r="I90" s="10" t="str">
        <f ca="1">IFERROR(__xludf.DUMMYFUNCTION("""COMPUTED_VALUE"""),"Cumplir con normativa y reglamentos internos del programa en base a los objetivos.")</f>
        <v>Cumplir con normativa y reglamentos internos del programa en base a los objetivos.</v>
      </c>
      <c r="J90" s="11">
        <f ca="1">IFERROR(__xludf.DUMMYFUNCTION("""COMPUTED_VALUE"""),68337000)</f>
        <v>68337000</v>
      </c>
      <c r="K90" s="27">
        <f ca="1">IFERROR(__xludf.DUMMYFUNCTION("""COMPUTED_VALUE"""),0.5)</f>
        <v>0.5</v>
      </c>
      <c r="L90" s="28" t="str">
        <f ca="1">IFERROR(__xludf.DUMMYFUNCTION("""COMPUTED_VALUE"""),"12200/2024")</f>
        <v>12200/2024</v>
      </c>
      <c r="M90" s="10" t="str">
        <f ca="1">IFERROR(__xludf.DUMMYFUNCTION("""COMPUTED_VALUE"""),"PRBIPE")</f>
        <v>PRBIPE</v>
      </c>
      <c r="N90" s="1"/>
      <c r="O90" s="1"/>
      <c r="P90" s="1"/>
      <c r="Q90" s="1"/>
      <c r="R90" s="1"/>
      <c r="S90" s="1"/>
      <c r="T90" s="1"/>
      <c r="U90" s="1"/>
      <c r="V90" s="1"/>
      <c r="W90" s="1"/>
      <c r="X90" s="1"/>
      <c r="Y90" s="1"/>
      <c r="Z90" s="1"/>
    </row>
    <row r="91" spans="1:26" ht="12.75" customHeight="1">
      <c r="A91" s="1"/>
      <c r="B91" s="10"/>
      <c r="C91" s="26"/>
      <c r="D91" s="10"/>
      <c r="E91" s="26"/>
      <c r="F91" s="11"/>
      <c r="G91" s="10"/>
      <c r="H91" s="10"/>
      <c r="I91" s="10"/>
      <c r="J91" s="11"/>
      <c r="K91" s="27"/>
      <c r="L91" s="28"/>
      <c r="M91" s="10"/>
      <c r="N91" s="1"/>
      <c r="O91" s="1"/>
      <c r="P91" s="1"/>
      <c r="Q91" s="1"/>
      <c r="R91" s="1"/>
      <c r="S91" s="1"/>
      <c r="T91" s="1"/>
      <c r="U91" s="1"/>
      <c r="V91" s="1"/>
      <c r="W91" s="1"/>
      <c r="X91" s="1"/>
      <c r="Y91" s="1"/>
      <c r="Z91" s="1"/>
    </row>
    <row r="92" spans="1:26" ht="12.75" customHeight="1">
      <c r="A92" s="1"/>
      <c r="B92" s="10"/>
      <c r="C92" s="26"/>
      <c r="D92" s="10"/>
      <c r="E92" s="26"/>
      <c r="F92" s="11"/>
      <c r="G92" s="10"/>
      <c r="H92" s="10"/>
      <c r="I92" s="10"/>
      <c r="J92" s="11"/>
      <c r="K92" s="27"/>
      <c r="L92" s="28"/>
      <c r="M92" s="10"/>
      <c r="N92" s="1"/>
      <c r="O92" s="1"/>
      <c r="P92" s="1"/>
      <c r="Q92" s="1"/>
      <c r="R92" s="1"/>
      <c r="S92" s="1"/>
      <c r="T92" s="1"/>
      <c r="U92" s="1"/>
      <c r="V92" s="1"/>
      <c r="W92" s="1"/>
      <c r="X92" s="1"/>
      <c r="Y92" s="1"/>
      <c r="Z92" s="1"/>
    </row>
    <row r="93" spans="1:26" ht="12.75" hidden="1" customHeight="1">
      <c r="A93" s="1"/>
      <c r="B93" s="10"/>
      <c r="C93" s="26"/>
      <c r="D93" s="10"/>
      <c r="E93" s="26"/>
      <c r="F93" s="11"/>
      <c r="G93" s="10"/>
      <c r="H93" s="10"/>
      <c r="I93" s="10"/>
      <c r="J93" s="11"/>
      <c r="K93" s="27"/>
      <c r="L93" s="28"/>
      <c r="M93" s="10"/>
      <c r="N93" s="1"/>
      <c r="O93" s="1"/>
      <c r="P93" s="1"/>
      <c r="Q93" s="1"/>
      <c r="R93" s="1"/>
      <c r="S93" s="1"/>
      <c r="T93" s="1"/>
      <c r="U93" s="1"/>
      <c r="V93" s="1"/>
      <c r="W93" s="1"/>
      <c r="X93" s="1"/>
      <c r="Y93" s="1"/>
      <c r="Z93" s="1"/>
    </row>
    <row r="94" spans="1:26" ht="12.75" hidden="1" customHeight="1">
      <c r="A94" s="1"/>
      <c r="B94" s="10"/>
      <c r="C94" s="26"/>
      <c r="D94" s="10"/>
      <c r="E94" s="26"/>
      <c r="F94" s="11"/>
      <c r="G94" s="10"/>
      <c r="H94" s="10"/>
      <c r="I94" s="10"/>
      <c r="J94" s="11"/>
      <c r="K94" s="27"/>
      <c r="L94" s="28"/>
      <c r="M94" s="10"/>
      <c r="N94" s="1"/>
      <c r="O94" s="1"/>
      <c r="P94" s="1"/>
      <c r="Q94" s="1"/>
      <c r="R94" s="1"/>
      <c r="S94" s="1"/>
      <c r="T94" s="1"/>
      <c r="U94" s="1"/>
      <c r="V94" s="1"/>
      <c r="W94" s="1"/>
      <c r="X94" s="1"/>
      <c r="Y94" s="1"/>
      <c r="Z94" s="1"/>
    </row>
    <row r="95" spans="1:26" ht="12.75" hidden="1" customHeight="1">
      <c r="A95" s="1"/>
      <c r="B95" s="10"/>
      <c r="C95" s="26"/>
      <c r="D95" s="10"/>
      <c r="E95" s="26"/>
      <c r="F95" s="11"/>
      <c r="G95" s="10"/>
      <c r="H95" s="10"/>
      <c r="I95" s="10"/>
      <c r="J95" s="11"/>
      <c r="K95" s="27"/>
      <c r="L95" s="28"/>
      <c r="M95" s="10"/>
      <c r="N95" s="1"/>
      <c r="O95" s="1"/>
      <c r="P95" s="1"/>
      <c r="Q95" s="1"/>
      <c r="R95" s="1"/>
      <c r="S95" s="1"/>
      <c r="T95" s="1"/>
      <c r="U95" s="1"/>
      <c r="V95" s="1"/>
      <c r="W95" s="1"/>
      <c r="X95" s="1"/>
      <c r="Y95" s="1"/>
      <c r="Z95" s="1"/>
    </row>
    <row r="96" spans="1:26" ht="12.75" hidden="1" customHeight="1">
      <c r="A96" s="1"/>
      <c r="B96" s="10"/>
      <c r="C96" s="26"/>
      <c r="D96" s="10"/>
      <c r="E96" s="26"/>
      <c r="F96" s="11"/>
      <c r="G96" s="10"/>
      <c r="H96" s="10"/>
      <c r="I96" s="10"/>
      <c r="J96" s="11"/>
      <c r="K96" s="27"/>
      <c r="L96" s="28"/>
      <c r="M96" s="10"/>
      <c r="N96" s="1"/>
      <c r="O96" s="1"/>
      <c r="P96" s="1"/>
      <c r="Q96" s="1"/>
      <c r="R96" s="1"/>
      <c r="S96" s="1"/>
      <c r="T96" s="1"/>
      <c r="U96" s="1"/>
      <c r="V96" s="1"/>
      <c r="W96" s="1"/>
      <c r="X96" s="1"/>
      <c r="Y96" s="1"/>
      <c r="Z96" s="1"/>
    </row>
    <row r="97" spans="1:26" ht="12.75" hidden="1" customHeight="1">
      <c r="A97" s="1"/>
      <c r="B97" s="10"/>
      <c r="C97" s="26"/>
      <c r="D97" s="10"/>
      <c r="E97" s="26"/>
      <c r="F97" s="11"/>
      <c r="G97" s="10"/>
      <c r="H97" s="10"/>
      <c r="I97" s="10"/>
      <c r="J97" s="11"/>
      <c r="K97" s="27"/>
      <c r="L97" s="28"/>
      <c r="M97" s="10"/>
      <c r="N97" s="1"/>
      <c r="O97" s="1"/>
      <c r="P97" s="1"/>
      <c r="Q97" s="1"/>
      <c r="R97" s="1"/>
      <c r="S97" s="1"/>
      <c r="T97" s="1"/>
      <c r="U97" s="1"/>
      <c r="V97" s="1"/>
      <c r="W97" s="1"/>
      <c r="X97" s="1"/>
      <c r="Y97" s="1"/>
      <c r="Z97" s="1"/>
    </row>
    <row r="98" spans="1:26" ht="12.75" hidden="1" customHeight="1">
      <c r="A98" s="1"/>
      <c r="B98" s="10"/>
      <c r="C98" s="26"/>
      <c r="D98" s="10"/>
      <c r="E98" s="26"/>
      <c r="F98" s="11"/>
      <c r="G98" s="10"/>
      <c r="H98" s="10"/>
      <c r="I98" s="10"/>
      <c r="J98" s="11"/>
      <c r="K98" s="27"/>
      <c r="L98" s="28"/>
      <c r="M98" s="10"/>
      <c r="N98" s="1"/>
      <c r="O98" s="1"/>
      <c r="P98" s="1"/>
      <c r="Q98" s="1"/>
      <c r="R98" s="1"/>
      <c r="S98" s="1"/>
      <c r="T98" s="1"/>
      <c r="U98" s="1"/>
      <c r="V98" s="1"/>
      <c r="W98" s="1"/>
      <c r="X98" s="1"/>
      <c r="Y98" s="1"/>
      <c r="Z98" s="1"/>
    </row>
    <row r="99" spans="1:26" ht="12.75" hidden="1" customHeight="1">
      <c r="A99" s="1"/>
      <c r="B99" s="10"/>
      <c r="C99" s="26"/>
      <c r="D99" s="10"/>
      <c r="E99" s="26"/>
      <c r="F99" s="11"/>
      <c r="G99" s="10"/>
      <c r="H99" s="10"/>
      <c r="I99" s="10"/>
      <c r="J99" s="11"/>
      <c r="K99" s="27"/>
      <c r="L99" s="28"/>
      <c r="M99" s="10"/>
      <c r="N99" s="1"/>
      <c r="O99" s="1"/>
      <c r="P99" s="1"/>
      <c r="Q99" s="1"/>
      <c r="R99" s="1"/>
      <c r="S99" s="1"/>
      <c r="T99" s="1"/>
      <c r="U99" s="1"/>
      <c r="V99" s="1"/>
      <c r="W99" s="1"/>
      <c r="X99" s="1"/>
      <c r="Y99" s="1"/>
      <c r="Z99" s="1"/>
    </row>
    <row r="100" spans="1:26" ht="12.75" hidden="1" customHeight="1">
      <c r="A100" s="1"/>
      <c r="B100" s="10"/>
      <c r="C100" s="26"/>
      <c r="D100" s="10"/>
      <c r="E100" s="26"/>
      <c r="F100" s="11"/>
      <c r="G100" s="10"/>
      <c r="H100" s="10"/>
      <c r="I100" s="10"/>
      <c r="J100" s="11"/>
      <c r="K100" s="27"/>
      <c r="L100" s="28"/>
      <c r="M100" s="10"/>
      <c r="N100" s="1"/>
      <c r="O100" s="1"/>
      <c r="P100" s="1"/>
      <c r="Q100" s="1"/>
      <c r="R100" s="1"/>
      <c r="S100" s="1"/>
      <c r="T100" s="1"/>
      <c r="U100" s="1"/>
      <c r="V100" s="1"/>
      <c r="W100" s="1"/>
      <c r="X100" s="1"/>
      <c r="Y100" s="1"/>
      <c r="Z100" s="1"/>
    </row>
    <row r="101" spans="1:26" ht="12.75" hidden="1" customHeight="1">
      <c r="A101" s="1"/>
      <c r="B101" s="10"/>
      <c r="C101" s="26"/>
      <c r="D101" s="10"/>
      <c r="E101" s="26"/>
      <c r="F101" s="11"/>
      <c r="G101" s="10"/>
      <c r="H101" s="10"/>
      <c r="I101" s="10"/>
      <c r="J101" s="11"/>
      <c r="K101" s="27"/>
      <c r="L101" s="28"/>
      <c r="M101" s="10"/>
      <c r="N101" s="1"/>
      <c r="O101" s="1"/>
      <c r="P101" s="1"/>
      <c r="Q101" s="1"/>
      <c r="R101" s="1"/>
      <c r="S101" s="1"/>
      <c r="T101" s="1"/>
      <c r="U101" s="1"/>
      <c r="V101" s="1"/>
      <c r="W101" s="1"/>
      <c r="X101" s="1"/>
      <c r="Y101" s="1"/>
      <c r="Z101" s="1"/>
    </row>
    <row r="102" spans="1:26" ht="12.75" hidden="1" customHeight="1">
      <c r="A102" s="1"/>
      <c r="B102" s="10"/>
      <c r="C102" s="26"/>
      <c r="D102" s="10"/>
      <c r="E102" s="26"/>
      <c r="F102" s="11"/>
      <c r="G102" s="10"/>
      <c r="H102" s="10"/>
      <c r="I102" s="10"/>
      <c r="J102" s="11"/>
      <c r="K102" s="27"/>
      <c r="L102" s="28"/>
      <c r="M102" s="10"/>
      <c r="N102" s="1"/>
      <c r="O102" s="1"/>
      <c r="P102" s="1"/>
      <c r="Q102" s="1"/>
      <c r="R102" s="1"/>
      <c r="S102" s="1"/>
      <c r="T102" s="1"/>
      <c r="U102" s="1"/>
      <c r="V102" s="1"/>
      <c r="W102" s="1"/>
      <c r="X102" s="1"/>
      <c r="Y102" s="1"/>
      <c r="Z102" s="1"/>
    </row>
    <row r="103" spans="1:26" ht="12.75" hidden="1" customHeight="1">
      <c r="A103" s="1"/>
      <c r="B103" s="10"/>
      <c r="C103" s="26"/>
      <c r="D103" s="10"/>
      <c r="E103" s="26"/>
      <c r="F103" s="11"/>
      <c r="G103" s="10"/>
      <c r="H103" s="10"/>
      <c r="I103" s="10"/>
      <c r="J103" s="11"/>
      <c r="K103" s="27"/>
      <c r="L103" s="28"/>
      <c r="M103" s="10"/>
      <c r="N103" s="1"/>
      <c r="O103" s="1"/>
      <c r="P103" s="1"/>
      <c r="Q103" s="1"/>
      <c r="R103" s="1"/>
      <c r="S103" s="1"/>
      <c r="T103" s="1"/>
      <c r="U103" s="1"/>
      <c r="V103" s="1"/>
      <c r="W103" s="1"/>
      <c r="X103" s="1"/>
      <c r="Y103" s="1"/>
      <c r="Z103" s="1"/>
    </row>
    <row r="104" spans="1:26" ht="12.75" hidden="1" customHeight="1">
      <c r="A104" s="1"/>
      <c r="B104" s="10"/>
      <c r="C104" s="26"/>
      <c r="D104" s="10"/>
      <c r="E104" s="26"/>
      <c r="F104" s="11"/>
      <c r="G104" s="10"/>
      <c r="H104" s="10"/>
      <c r="I104" s="10"/>
      <c r="J104" s="11"/>
      <c r="K104" s="27"/>
      <c r="L104" s="28"/>
      <c r="M104" s="10"/>
      <c r="N104" s="1"/>
      <c r="O104" s="1"/>
      <c r="P104" s="1"/>
      <c r="Q104" s="1"/>
      <c r="R104" s="1"/>
      <c r="S104" s="1"/>
      <c r="T104" s="1"/>
      <c r="U104" s="1"/>
      <c r="V104" s="1"/>
      <c r="W104" s="1"/>
      <c r="X104" s="1"/>
      <c r="Y104" s="1"/>
      <c r="Z104" s="1"/>
    </row>
    <row r="105" spans="1:26" ht="12.75" hidden="1" customHeight="1">
      <c r="A105" s="1"/>
      <c r="B105" s="10"/>
      <c r="C105" s="26"/>
      <c r="D105" s="10"/>
      <c r="E105" s="26"/>
      <c r="F105" s="11"/>
      <c r="G105" s="10"/>
      <c r="H105" s="10"/>
      <c r="I105" s="10"/>
      <c r="J105" s="11"/>
      <c r="K105" s="27"/>
      <c r="L105" s="28"/>
      <c r="M105" s="10"/>
      <c r="N105" s="1"/>
      <c r="O105" s="1"/>
      <c r="P105" s="1"/>
      <c r="Q105" s="1"/>
      <c r="R105" s="1"/>
      <c r="S105" s="1"/>
      <c r="T105" s="1"/>
      <c r="U105" s="1"/>
      <c r="V105" s="1"/>
      <c r="W105" s="1"/>
      <c r="X105" s="1"/>
      <c r="Y105" s="1"/>
      <c r="Z105" s="1"/>
    </row>
    <row r="106" spans="1:26" ht="12.75" hidden="1" customHeight="1">
      <c r="A106" s="1"/>
      <c r="B106" s="10"/>
      <c r="C106" s="26"/>
      <c r="D106" s="10"/>
      <c r="E106" s="26"/>
      <c r="F106" s="11"/>
      <c r="G106" s="10"/>
      <c r="H106" s="10"/>
      <c r="I106" s="10"/>
      <c r="J106" s="11"/>
      <c r="K106" s="27"/>
      <c r="L106" s="28"/>
      <c r="M106" s="10"/>
      <c r="N106" s="1"/>
      <c r="O106" s="1"/>
      <c r="P106" s="1"/>
      <c r="Q106" s="1"/>
      <c r="R106" s="1"/>
      <c r="S106" s="1"/>
      <c r="T106" s="1"/>
      <c r="U106" s="1"/>
      <c r="V106" s="1"/>
      <c r="W106" s="1"/>
      <c r="X106" s="1"/>
      <c r="Y106" s="1"/>
      <c r="Z106" s="1"/>
    </row>
    <row r="107" spans="1:26" ht="12.75" hidden="1" customHeight="1">
      <c r="A107" s="1"/>
      <c r="B107" s="10"/>
      <c r="C107" s="26"/>
      <c r="D107" s="10"/>
      <c r="E107" s="26"/>
      <c r="F107" s="11"/>
      <c r="G107" s="10"/>
      <c r="H107" s="10"/>
      <c r="I107" s="10"/>
      <c r="J107" s="11"/>
      <c r="K107" s="27"/>
      <c r="L107" s="28"/>
      <c r="M107" s="10"/>
      <c r="N107" s="1"/>
      <c r="O107" s="1"/>
      <c r="P107" s="1"/>
      <c r="Q107" s="1"/>
      <c r="R107" s="1"/>
      <c r="S107" s="1"/>
      <c r="T107" s="1"/>
      <c r="U107" s="1"/>
      <c r="V107" s="1"/>
      <c r="W107" s="1"/>
      <c r="X107" s="1"/>
      <c r="Y107" s="1"/>
      <c r="Z107" s="1"/>
    </row>
    <row r="108" spans="1:26" ht="12.75" hidden="1" customHeight="1">
      <c r="A108" s="1"/>
      <c r="B108" s="10"/>
      <c r="C108" s="26"/>
      <c r="D108" s="10"/>
      <c r="E108" s="26"/>
      <c r="F108" s="11"/>
      <c r="G108" s="10"/>
      <c r="H108" s="10"/>
      <c r="I108" s="10"/>
      <c r="J108" s="11"/>
      <c r="K108" s="27"/>
      <c r="L108" s="28"/>
      <c r="M108" s="10"/>
      <c r="N108" s="1"/>
      <c r="O108" s="1"/>
      <c r="P108" s="1"/>
      <c r="Q108" s="1"/>
      <c r="R108" s="1"/>
      <c r="S108" s="1"/>
      <c r="T108" s="1"/>
      <c r="U108" s="1"/>
      <c r="V108" s="1"/>
      <c r="W108" s="1"/>
      <c r="X108" s="1"/>
      <c r="Y108" s="1"/>
      <c r="Z108" s="1"/>
    </row>
    <row r="109" spans="1:26" ht="12.75" hidden="1" customHeight="1">
      <c r="A109" s="1"/>
      <c r="B109" s="10"/>
      <c r="C109" s="26"/>
      <c r="D109" s="10"/>
      <c r="E109" s="26"/>
      <c r="F109" s="11"/>
      <c r="G109" s="10"/>
      <c r="H109" s="10"/>
      <c r="I109" s="10"/>
      <c r="J109" s="11"/>
      <c r="K109" s="27"/>
      <c r="L109" s="28"/>
      <c r="M109" s="10"/>
      <c r="N109" s="1"/>
      <c r="O109" s="1"/>
      <c r="P109" s="1"/>
      <c r="Q109" s="1"/>
      <c r="R109" s="1"/>
      <c r="S109" s="1"/>
      <c r="T109" s="1"/>
      <c r="U109" s="1"/>
      <c r="V109" s="1"/>
      <c r="W109" s="1"/>
      <c r="X109" s="1"/>
      <c r="Y109" s="1"/>
      <c r="Z109" s="1"/>
    </row>
    <row r="110" spans="1:26" ht="12.75" hidden="1" customHeight="1">
      <c r="A110" s="1"/>
      <c r="B110" s="10"/>
      <c r="C110" s="26"/>
      <c r="D110" s="10"/>
      <c r="E110" s="26"/>
      <c r="F110" s="11"/>
      <c r="G110" s="10"/>
      <c r="H110" s="10"/>
      <c r="I110" s="10"/>
      <c r="J110" s="11"/>
      <c r="K110" s="27"/>
      <c r="L110" s="28"/>
      <c r="M110" s="10"/>
      <c r="N110" s="1"/>
      <c r="O110" s="1"/>
      <c r="P110" s="1"/>
      <c r="Q110" s="1"/>
      <c r="R110" s="1"/>
      <c r="S110" s="1"/>
      <c r="T110" s="1"/>
      <c r="U110" s="1"/>
      <c r="V110" s="1"/>
      <c r="W110" s="1"/>
      <c r="X110" s="1"/>
      <c r="Y110" s="1"/>
      <c r="Z110" s="1"/>
    </row>
    <row r="111" spans="1:26" ht="12.75" hidden="1" customHeight="1">
      <c r="A111" s="1"/>
      <c r="B111" s="10"/>
      <c r="C111" s="26"/>
      <c r="D111" s="10"/>
      <c r="E111" s="26"/>
      <c r="F111" s="11"/>
      <c r="G111" s="10"/>
      <c r="H111" s="10"/>
      <c r="I111" s="10"/>
      <c r="J111" s="11"/>
      <c r="K111" s="27"/>
      <c r="L111" s="28"/>
      <c r="M111" s="10"/>
      <c r="N111" s="1"/>
      <c r="O111" s="1"/>
      <c r="P111" s="1"/>
      <c r="Q111" s="1"/>
      <c r="R111" s="1"/>
      <c r="S111" s="1"/>
      <c r="T111" s="1"/>
      <c r="U111" s="1"/>
      <c r="V111" s="1"/>
      <c r="W111" s="1"/>
      <c r="X111" s="1"/>
      <c r="Y111" s="1"/>
      <c r="Z111" s="1"/>
    </row>
    <row r="112" spans="1:26" ht="12.75" hidden="1" customHeight="1">
      <c r="A112" s="1"/>
      <c r="B112" s="10"/>
      <c r="C112" s="26"/>
      <c r="D112" s="10"/>
      <c r="E112" s="26"/>
      <c r="F112" s="11"/>
      <c r="G112" s="10"/>
      <c r="H112" s="10"/>
      <c r="I112" s="10"/>
      <c r="J112" s="11"/>
      <c r="K112" s="27"/>
      <c r="L112" s="28"/>
      <c r="M112" s="10"/>
      <c r="N112" s="1"/>
      <c r="O112" s="1"/>
      <c r="P112" s="1"/>
      <c r="Q112" s="1"/>
      <c r="R112" s="1"/>
      <c r="S112" s="1"/>
      <c r="T112" s="1"/>
      <c r="U112" s="1"/>
      <c r="V112" s="1"/>
      <c r="W112" s="1"/>
      <c r="X112" s="1"/>
      <c r="Y112" s="1"/>
      <c r="Z112" s="1"/>
    </row>
    <row r="113" spans="1:26" ht="12.75" hidden="1" customHeight="1">
      <c r="A113" s="1"/>
      <c r="B113" s="10"/>
      <c r="C113" s="26"/>
      <c r="D113" s="10"/>
      <c r="E113" s="26"/>
      <c r="F113" s="11"/>
      <c r="G113" s="10"/>
      <c r="H113" s="10"/>
      <c r="I113" s="10"/>
      <c r="J113" s="11"/>
      <c r="K113" s="27"/>
      <c r="L113" s="28"/>
      <c r="M113" s="10"/>
      <c r="N113" s="1"/>
      <c r="O113" s="1"/>
      <c r="P113" s="1"/>
      <c r="Q113" s="1"/>
      <c r="R113" s="1"/>
      <c r="S113" s="1"/>
      <c r="T113" s="1"/>
      <c r="U113" s="1"/>
      <c r="V113" s="1"/>
      <c r="W113" s="1"/>
      <c r="X113" s="1"/>
      <c r="Y113" s="1"/>
      <c r="Z113" s="1"/>
    </row>
    <row r="114" spans="1:26" ht="12.75" hidden="1" customHeight="1">
      <c r="A114" s="1"/>
      <c r="B114" s="10"/>
      <c r="C114" s="26"/>
      <c r="D114" s="10"/>
      <c r="E114" s="26"/>
      <c r="F114" s="11"/>
      <c r="G114" s="10"/>
      <c r="H114" s="10"/>
      <c r="I114" s="10"/>
      <c r="J114" s="11"/>
      <c r="K114" s="27"/>
      <c r="L114" s="28"/>
      <c r="M114" s="10"/>
      <c r="N114" s="1"/>
      <c r="O114" s="1"/>
      <c r="P114" s="1"/>
      <c r="Q114" s="1"/>
      <c r="R114" s="1"/>
      <c r="S114" s="1"/>
      <c r="T114" s="1"/>
      <c r="U114" s="1"/>
      <c r="V114" s="1"/>
      <c r="W114" s="1"/>
      <c r="X114" s="1"/>
      <c r="Y114" s="1"/>
      <c r="Z114" s="1"/>
    </row>
    <row r="115" spans="1:26" ht="12.75" hidden="1" customHeight="1">
      <c r="A115" s="1"/>
      <c r="B115" s="10"/>
      <c r="C115" s="26"/>
      <c r="D115" s="10"/>
      <c r="E115" s="26"/>
      <c r="F115" s="11"/>
      <c r="G115" s="10"/>
      <c r="H115" s="10"/>
      <c r="I115" s="10"/>
      <c r="J115" s="11"/>
      <c r="K115" s="27"/>
      <c r="L115" s="28"/>
      <c r="M115" s="10"/>
      <c r="N115" s="1"/>
      <c r="O115" s="1"/>
      <c r="P115" s="1"/>
      <c r="Q115" s="1"/>
      <c r="R115" s="1"/>
      <c r="S115" s="1"/>
      <c r="T115" s="1"/>
      <c r="U115" s="1"/>
      <c r="V115" s="1"/>
      <c r="W115" s="1"/>
      <c r="X115" s="1"/>
      <c r="Y115" s="1"/>
      <c r="Z115" s="1"/>
    </row>
    <row r="116" spans="1:26" ht="12.75" hidden="1" customHeight="1">
      <c r="A116" s="1"/>
      <c r="B116" s="10"/>
      <c r="C116" s="26"/>
      <c r="D116" s="10"/>
      <c r="E116" s="26"/>
      <c r="F116" s="11"/>
      <c r="G116" s="10"/>
      <c r="H116" s="10"/>
      <c r="I116" s="10"/>
      <c r="J116" s="11"/>
      <c r="K116" s="27"/>
      <c r="L116" s="28"/>
      <c r="M116" s="10"/>
      <c r="N116" s="1"/>
      <c r="O116" s="1"/>
      <c r="P116" s="1"/>
      <c r="Q116" s="1"/>
      <c r="R116" s="1"/>
      <c r="S116" s="1"/>
      <c r="T116" s="1"/>
      <c r="U116" s="1"/>
      <c r="V116" s="1"/>
      <c r="W116" s="1"/>
      <c r="X116" s="1"/>
      <c r="Y116" s="1"/>
      <c r="Z116" s="1"/>
    </row>
    <row r="117" spans="1:26" ht="12.75" hidden="1" customHeight="1">
      <c r="A117" s="1"/>
      <c r="B117" s="10"/>
      <c r="C117" s="26"/>
      <c r="D117" s="10"/>
      <c r="E117" s="26"/>
      <c r="F117" s="11"/>
      <c r="G117" s="10"/>
      <c r="H117" s="10"/>
      <c r="I117" s="10"/>
      <c r="J117" s="11"/>
      <c r="K117" s="27"/>
      <c r="L117" s="28"/>
      <c r="M117" s="10"/>
      <c r="N117" s="1"/>
      <c r="O117" s="1"/>
      <c r="P117" s="1"/>
      <c r="Q117" s="1"/>
      <c r="R117" s="1"/>
      <c r="S117" s="1"/>
      <c r="T117" s="1"/>
      <c r="U117" s="1"/>
      <c r="V117" s="1"/>
      <c r="W117" s="1"/>
      <c r="X117" s="1"/>
      <c r="Y117" s="1"/>
      <c r="Z117" s="1"/>
    </row>
    <row r="118" spans="1:26" ht="12.75" hidden="1" customHeight="1">
      <c r="A118" s="1"/>
      <c r="B118" s="10"/>
      <c r="C118" s="26"/>
      <c r="D118" s="10"/>
      <c r="E118" s="26"/>
      <c r="F118" s="11"/>
      <c r="G118" s="10"/>
      <c r="H118" s="10"/>
      <c r="I118" s="10"/>
      <c r="J118" s="11"/>
      <c r="K118" s="27"/>
      <c r="L118" s="28"/>
      <c r="M118" s="10"/>
      <c r="N118" s="1"/>
      <c r="O118" s="1"/>
      <c r="P118" s="1"/>
      <c r="Q118" s="1"/>
      <c r="R118" s="1"/>
      <c r="S118" s="1"/>
      <c r="T118" s="1"/>
      <c r="U118" s="1"/>
      <c r="V118" s="1"/>
      <c r="W118" s="1"/>
      <c r="X118" s="1"/>
      <c r="Y118" s="1"/>
      <c r="Z118" s="1"/>
    </row>
    <row r="119" spans="1:26" ht="12.75" hidden="1" customHeight="1">
      <c r="A119" s="1"/>
      <c r="B119" s="10"/>
      <c r="C119" s="26"/>
      <c r="D119" s="10"/>
      <c r="E119" s="26"/>
      <c r="F119" s="11"/>
      <c r="G119" s="10"/>
      <c r="H119" s="10"/>
      <c r="I119" s="10"/>
      <c r="J119" s="11"/>
      <c r="K119" s="27"/>
      <c r="L119" s="28"/>
      <c r="M119" s="10"/>
      <c r="N119" s="1"/>
      <c r="O119" s="1"/>
      <c r="P119" s="1"/>
      <c r="Q119" s="1"/>
      <c r="R119" s="1"/>
      <c r="S119" s="1"/>
      <c r="T119" s="1"/>
      <c r="U119" s="1"/>
      <c r="V119" s="1"/>
      <c r="W119" s="1"/>
      <c r="X119" s="1"/>
      <c r="Y119" s="1"/>
      <c r="Z119" s="1"/>
    </row>
    <row r="120" spans="1:26" ht="12.75" hidden="1" customHeight="1">
      <c r="A120" s="1"/>
      <c r="B120" s="10"/>
      <c r="C120" s="26"/>
      <c r="D120" s="10"/>
      <c r="E120" s="26"/>
      <c r="F120" s="11"/>
      <c r="G120" s="10"/>
      <c r="H120" s="10"/>
      <c r="I120" s="10"/>
      <c r="J120" s="11"/>
      <c r="K120" s="27"/>
      <c r="L120" s="28"/>
      <c r="M120" s="10"/>
      <c r="N120" s="1"/>
      <c r="O120" s="1"/>
      <c r="P120" s="1"/>
      <c r="Q120" s="1"/>
      <c r="R120" s="1"/>
      <c r="S120" s="1"/>
      <c r="T120" s="1"/>
      <c r="U120" s="1"/>
      <c r="V120" s="1"/>
      <c r="W120" s="1"/>
      <c r="X120" s="1"/>
      <c r="Y120" s="1"/>
      <c r="Z120" s="1"/>
    </row>
    <row r="121" spans="1:26" ht="12.75" hidden="1" customHeight="1">
      <c r="A121" s="1"/>
      <c r="B121" s="10"/>
      <c r="C121" s="26"/>
      <c r="D121" s="10"/>
      <c r="E121" s="26"/>
      <c r="F121" s="11"/>
      <c r="G121" s="10"/>
      <c r="H121" s="10"/>
      <c r="I121" s="10"/>
      <c r="J121" s="11"/>
      <c r="K121" s="27"/>
      <c r="L121" s="28"/>
      <c r="M121" s="10"/>
      <c r="N121" s="1"/>
      <c r="O121" s="1"/>
      <c r="P121" s="1"/>
      <c r="Q121" s="1"/>
      <c r="R121" s="1"/>
      <c r="S121" s="1"/>
      <c r="T121" s="1"/>
      <c r="U121" s="1"/>
      <c r="V121" s="1"/>
      <c r="W121" s="1"/>
      <c r="X121" s="1"/>
      <c r="Y121" s="1"/>
      <c r="Z121" s="1"/>
    </row>
    <row r="122" spans="1:26" ht="12.75" customHeight="1">
      <c r="A122" s="1"/>
      <c r="B122" s="46"/>
      <c r="C122" s="1"/>
      <c r="D122" s="1"/>
      <c r="E122" s="1"/>
      <c r="F122" s="66"/>
      <c r="G122" s="1"/>
      <c r="H122" s="1"/>
      <c r="I122" s="66"/>
      <c r="J122" s="1"/>
      <c r="K122" s="1"/>
      <c r="L122" s="1"/>
      <c r="M122" s="1"/>
      <c r="N122" s="1"/>
      <c r="O122" s="1"/>
      <c r="P122" s="1"/>
      <c r="Q122" s="1"/>
      <c r="R122" s="1"/>
      <c r="S122" s="1"/>
      <c r="T122" s="1"/>
      <c r="U122" s="1"/>
      <c r="V122" s="1"/>
      <c r="W122" s="1"/>
      <c r="X122" s="1"/>
      <c r="Y122" s="1"/>
      <c r="Z122" s="1"/>
    </row>
    <row r="123" spans="1:26" ht="12.75" customHeight="1">
      <c r="A123" s="1"/>
      <c r="B123" s="46"/>
      <c r="C123" s="1"/>
      <c r="D123" s="1"/>
      <c r="E123" s="1"/>
      <c r="F123" s="66"/>
      <c r="G123" s="1"/>
      <c r="H123" s="1"/>
      <c r="I123" s="66"/>
      <c r="J123" s="1"/>
      <c r="K123" s="1"/>
      <c r="L123" s="1"/>
      <c r="M123" s="1"/>
      <c r="N123" s="1"/>
      <c r="O123" s="1"/>
      <c r="P123" s="1"/>
      <c r="Q123" s="1"/>
      <c r="R123" s="1"/>
      <c r="S123" s="1"/>
      <c r="T123" s="1"/>
      <c r="U123" s="1"/>
      <c r="V123" s="1"/>
      <c r="W123" s="1"/>
      <c r="X123" s="1"/>
      <c r="Y123" s="1"/>
      <c r="Z123" s="1"/>
    </row>
    <row r="124" spans="1:26" ht="21.75" customHeight="1">
      <c r="A124" s="3"/>
      <c r="B124" s="51" t="s">
        <v>43</v>
      </c>
      <c r="C124" s="52"/>
      <c r="D124" s="52"/>
      <c r="E124" s="52"/>
      <c r="F124" s="53">
        <f ca="1">SUM(F21:F121)</f>
        <v>20694605065</v>
      </c>
      <c r="G124" s="52"/>
      <c r="H124" s="52"/>
      <c r="I124" s="53"/>
      <c r="J124" s="53">
        <f ca="1">SUM(J21:J121)</f>
        <v>8937547000</v>
      </c>
      <c r="K124" s="52"/>
      <c r="L124" s="52"/>
      <c r="M124" s="52"/>
      <c r="N124" s="3"/>
      <c r="O124" s="3"/>
      <c r="P124" s="3"/>
      <c r="Q124" s="3"/>
      <c r="R124" s="3"/>
      <c r="S124" s="3"/>
      <c r="T124" s="3"/>
      <c r="U124" s="3"/>
      <c r="V124" s="3"/>
      <c r="W124" s="3"/>
      <c r="X124" s="3"/>
      <c r="Y124" s="3"/>
      <c r="Z124" s="3"/>
    </row>
    <row r="125" spans="1:26" ht="12.75" customHeight="1">
      <c r="A125" s="1"/>
      <c r="B125" s="46"/>
      <c r="C125" s="1"/>
      <c r="D125" s="1"/>
      <c r="E125" s="1"/>
      <c r="F125" s="66"/>
      <c r="G125" s="1"/>
      <c r="H125" s="1"/>
      <c r="I125" s="66"/>
      <c r="J125" s="1"/>
      <c r="K125" s="1"/>
      <c r="L125" s="1"/>
      <c r="M125" s="1"/>
      <c r="N125" s="1"/>
      <c r="O125" s="1"/>
      <c r="P125" s="1"/>
      <c r="Q125" s="1"/>
      <c r="R125" s="1"/>
      <c r="S125" s="1"/>
      <c r="T125" s="1"/>
      <c r="U125" s="1"/>
      <c r="V125" s="1"/>
      <c r="W125" s="1"/>
      <c r="X125" s="1"/>
      <c r="Y125" s="1"/>
      <c r="Z125" s="1"/>
    </row>
    <row r="126" spans="1:26" ht="12.75" customHeight="1">
      <c r="A126" s="1"/>
      <c r="B126" s="46"/>
      <c r="C126" s="1"/>
      <c r="D126" s="1"/>
      <c r="E126" s="1"/>
      <c r="F126" s="66"/>
      <c r="G126" s="1"/>
      <c r="H126" s="1"/>
      <c r="I126" s="66"/>
      <c r="J126" s="1"/>
      <c r="K126" s="1"/>
      <c r="L126" s="1"/>
      <c r="M126" s="1"/>
      <c r="N126" s="1"/>
      <c r="O126" s="1"/>
      <c r="P126" s="1"/>
      <c r="Q126" s="1"/>
      <c r="R126" s="1"/>
      <c r="S126" s="1"/>
      <c r="T126" s="1"/>
      <c r="U126" s="1"/>
      <c r="V126" s="1"/>
      <c r="W126" s="1"/>
      <c r="X126" s="1"/>
      <c r="Y126" s="1"/>
      <c r="Z126" s="1"/>
    </row>
    <row r="127" spans="1:26" ht="12.75" customHeight="1">
      <c r="A127" s="1"/>
      <c r="B127" s="65" t="s">
        <v>41</v>
      </c>
      <c r="C127" s="15" t="s">
        <v>167</v>
      </c>
      <c r="D127" s="1"/>
      <c r="E127" s="1"/>
      <c r="F127" s="66"/>
      <c r="G127" s="1"/>
      <c r="H127" s="1"/>
      <c r="I127" s="66"/>
      <c r="J127" s="1"/>
      <c r="K127" s="1"/>
      <c r="L127" s="1"/>
      <c r="M127" s="1"/>
      <c r="N127" s="1"/>
      <c r="O127" s="1"/>
      <c r="P127" s="1"/>
      <c r="Q127" s="1"/>
      <c r="R127" s="1"/>
      <c r="S127" s="1"/>
      <c r="T127" s="1"/>
      <c r="U127" s="1"/>
      <c r="V127" s="1"/>
      <c r="W127" s="1"/>
      <c r="X127" s="1"/>
      <c r="Y127" s="1"/>
      <c r="Z127" s="1"/>
    </row>
    <row r="128" spans="1:26" ht="12.75" customHeight="1">
      <c r="A128" s="1"/>
      <c r="B128" s="46"/>
      <c r="C128" s="1"/>
      <c r="D128" s="1"/>
      <c r="E128" s="1"/>
      <c r="F128" s="66"/>
      <c r="G128" s="1"/>
      <c r="H128" s="1"/>
      <c r="I128" s="66"/>
      <c r="J128" s="1"/>
      <c r="K128" s="1"/>
      <c r="L128" s="1"/>
      <c r="M128" s="1"/>
      <c r="N128" s="1"/>
      <c r="O128" s="1"/>
      <c r="P128" s="1"/>
      <c r="Q128" s="1"/>
      <c r="R128" s="1"/>
      <c r="S128" s="1"/>
      <c r="T128" s="1"/>
      <c r="U128" s="1"/>
      <c r="V128" s="1"/>
      <c r="W128" s="1"/>
      <c r="X128" s="1"/>
      <c r="Y128" s="1"/>
      <c r="Z128" s="1"/>
    </row>
    <row r="129" spans="1:26" ht="12.75" customHeight="1">
      <c r="A129" s="1"/>
      <c r="B129" s="46"/>
      <c r="C129" s="1"/>
      <c r="D129" s="1"/>
      <c r="E129" s="1"/>
      <c r="F129" s="66"/>
      <c r="G129" s="1"/>
      <c r="H129" s="1"/>
      <c r="I129" s="66"/>
      <c r="J129" s="1"/>
      <c r="K129" s="1"/>
      <c r="L129" s="1"/>
      <c r="M129" s="1"/>
      <c r="N129" s="1"/>
      <c r="O129" s="1"/>
      <c r="P129" s="1"/>
      <c r="Q129" s="1"/>
      <c r="R129" s="1"/>
      <c r="S129" s="1"/>
      <c r="T129" s="1"/>
      <c r="U129" s="1"/>
      <c r="V129" s="1"/>
      <c r="W129" s="1"/>
      <c r="X129" s="1"/>
      <c r="Y129" s="1"/>
      <c r="Z129" s="1"/>
    </row>
    <row r="130" spans="1:26" ht="12.75" customHeight="1">
      <c r="A130" s="1"/>
      <c r="B130" s="46"/>
      <c r="C130" s="1"/>
      <c r="D130" s="1"/>
      <c r="E130" s="1"/>
      <c r="F130" s="66"/>
      <c r="G130" s="1"/>
      <c r="H130" s="1"/>
      <c r="I130" s="66"/>
      <c r="J130" s="1"/>
      <c r="K130" s="1"/>
      <c r="L130" s="1"/>
      <c r="M130" s="1"/>
      <c r="N130" s="1"/>
      <c r="O130" s="1"/>
      <c r="P130" s="1"/>
      <c r="Q130" s="1"/>
      <c r="R130" s="1"/>
      <c r="S130" s="1"/>
      <c r="T130" s="1"/>
      <c r="U130" s="1"/>
      <c r="V130" s="1"/>
      <c r="W130" s="1"/>
      <c r="X130" s="1"/>
      <c r="Y130" s="1"/>
      <c r="Z130" s="1"/>
    </row>
    <row r="131" spans="1:26" ht="12.75" customHeight="1">
      <c r="A131" s="1"/>
      <c r="B131" s="46"/>
      <c r="C131" s="1"/>
      <c r="D131" s="1"/>
      <c r="E131" s="1"/>
      <c r="F131" s="66"/>
      <c r="G131" s="1"/>
      <c r="H131" s="1"/>
      <c r="I131" s="66"/>
      <c r="J131" s="1"/>
      <c r="K131" s="1"/>
      <c r="L131" s="1"/>
      <c r="M131" s="1"/>
      <c r="N131" s="1"/>
      <c r="O131" s="1"/>
      <c r="P131" s="1"/>
      <c r="Q131" s="1"/>
      <c r="R131" s="1"/>
      <c r="S131" s="1"/>
      <c r="T131" s="1"/>
      <c r="U131" s="1"/>
      <c r="V131" s="1"/>
      <c r="W131" s="1"/>
      <c r="X131" s="1"/>
      <c r="Y131" s="1"/>
      <c r="Z131" s="1"/>
    </row>
    <row r="132" spans="1:26" ht="12.75" customHeight="1">
      <c r="A132" s="1"/>
      <c r="B132" s="46"/>
      <c r="C132" s="1"/>
      <c r="D132" s="1"/>
      <c r="E132" s="1"/>
      <c r="F132" s="66"/>
      <c r="G132" s="1"/>
      <c r="H132" s="1"/>
      <c r="I132" s="66"/>
      <c r="J132" s="1"/>
      <c r="K132" s="1"/>
      <c r="L132" s="1"/>
      <c r="M132" s="1"/>
      <c r="N132" s="1"/>
      <c r="O132" s="1"/>
      <c r="P132" s="1"/>
      <c r="Q132" s="1"/>
      <c r="R132" s="1"/>
      <c r="S132" s="1"/>
      <c r="T132" s="1"/>
      <c r="U132" s="1"/>
      <c r="V132" s="1"/>
      <c r="W132" s="1"/>
      <c r="X132" s="1"/>
      <c r="Y132" s="1"/>
      <c r="Z132" s="1"/>
    </row>
    <row r="133" spans="1:26" ht="12.75" customHeight="1">
      <c r="A133" s="1"/>
      <c r="B133" s="46"/>
      <c r="C133" s="1"/>
      <c r="D133" s="1"/>
      <c r="E133" s="1"/>
      <c r="F133" s="66"/>
      <c r="G133" s="1"/>
      <c r="H133" s="1"/>
      <c r="I133" s="66"/>
      <c r="J133" s="1"/>
      <c r="K133" s="1"/>
      <c r="L133" s="1"/>
      <c r="M133" s="1"/>
      <c r="N133" s="1"/>
      <c r="O133" s="1"/>
      <c r="P133" s="1"/>
      <c r="Q133" s="1"/>
      <c r="R133" s="1"/>
      <c r="S133" s="1"/>
      <c r="T133" s="1"/>
      <c r="U133" s="1"/>
      <c r="V133" s="1"/>
      <c r="W133" s="1"/>
      <c r="X133" s="1"/>
      <c r="Y133" s="1"/>
      <c r="Z133" s="1"/>
    </row>
    <row r="134" spans="1:26" ht="12.75" customHeight="1">
      <c r="A134" s="1"/>
      <c r="B134" s="46"/>
      <c r="C134" s="1"/>
      <c r="D134" s="1"/>
      <c r="E134" s="1"/>
      <c r="F134" s="66"/>
      <c r="G134" s="1"/>
      <c r="H134" s="1"/>
      <c r="I134" s="66"/>
      <c r="J134" s="1"/>
      <c r="K134" s="1"/>
      <c r="L134" s="1"/>
      <c r="M134" s="1"/>
      <c r="N134" s="1"/>
      <c r="O134" s="1"/>
      <c r="P134" s="1"/>
      <c r="Q134" s="1"/>
      <c r="R134" s="1"/>
      <c r="S134" s="1"/>
      <c r="T134" s="1"/>
      <c r="U134" s="1"/>
      <c r="V134" s="1"/>
      <c r="W134" s="1"/>
      <c r="X134" s="1"/>
      <c r="Y134" s="1"/>
      <c r="Z134" s="1"/>
    </row>
    <row r="135" spans="1:26" ht="12.75" customHeight="1">
      <c r="A135" s="1"/>
      <c r="B135" s="46"/>
      <c r="C135" s="1"/>
      <c r="D135" s="1"/>
      <c r="E135" s="1"/>
      <c r="F135" s="66"/>
      <c r="G135" s="1"/>
      <c r="H135" s="1"/>
      <c r="I135" s="66"/>
      <c r="J135" s="1"/>
      <c r="K135" s="1"/>
      <c r="L135" s="1"/>
      <c r="M135" s="1"/>
      <c r="N135" s="1"/>
      <c r="O135" s="1"/>
      <c r="P135" s="1"/>
      <c r="Q135" s="1"/>
      <c r="R135" s="1"/>
      <c r="S135" s="1"/>
      <c r="T135" s="1"/>
      <c r="U135" s="1"/>
      <c r="V135" s="1"/>
      <c r="W135" s="1"/>
      <c r="X135" s="1"/>
      <c r="Y135" s="1"/>
      <c r="Z135" s="1"/>
    </row>
    <row r="136" spans="1:26" ht="12.75" customHeight="1">
      <c r="A136" s="1"/>
      <c r="B136" s="46"/>
      <c r="C136" s="1"/>
      <c r="D136" s="1"/>
      <c r="E136" s="1"/>
      <c r="F136" s="66"/>
      <c r="G136" s="1"/>
      <c r="H136" s="1"/>
      <c r="I136" s="66"/>
      <c r="J136" s="1"/>
      <c r="K136" s="1"/>
      <c r="L136" s="1"/>
      <c r="M136" s="1"/>
      <c r="N136" s="1"/>
      <c r="O136" s="1"/>
      <c r="P136" s="1"/>
      <c r="Q136" s="1"/>
      <c r="R136" s="1"/>
      <c r="S136" s="1"/>
      <c r="T136" s="1"/>
      <c r="U136" s="1"/>
      <c r="V136" s="1"/>
      <c r="W136" s="1"/>
      <c r="X136" s="1"/>
      <c r="Y136" s="1"/>
      <c r="Z136" s="1"/>
    </row>
    <row r="137" spans="1:26" ht="12.75" customHeight="1">
      <c r="A137" s="1"/>
      <c r="B137" s="46"/>
      <c r="C137" s="1"/>
      <c r="D137" s="1"/>
      <c r="E137" s="1"/>
      <c r="F137" s="66"/>
      <c r="G137" s="1"/>
      <c r="H137" s="1"/>
      <c r="I137" s="66"/>
      <c r="J137" s="1"/>
      <c r="K137" s="1"/>
      <c r="L137" s="1"/>
      <c r="M137" s="1"/>
      <c r="N137" s="1"/>
      <c r="O137" s="1"/>
      <c r="P137" s="1"/>
      <c r="Q137" s="1"/>
      <c r="R137" s="1"/>
      <c r="S137" s="1"/>
      <c r="T137" s="1"/>
      <c r="U137" s="1"/>
      <c r="V137" s="1"/>
      <c r="W137" s="1"/>
      <c r="X137" s="1"/>
      <c r="Y137" s="1"/>
      <c r="Z137" s="1"/>
    </row>
    <row r="138" spans="1:26" ht="12.75" customHeight="1">
      <c r="A138" s="1"/>
      <c r="B138" s="46"/>
      <c r="C138" s="1"/>
      <c r="D138" s="1"/>
      <c r="E138" s="1"/>
      <c r="F138" s="66"/>
      <c r="G138" s="1"/>
      <c r="H138" s="1"/>
      <c r="I138" s="66"/>
      <c r="J138" s="1"/>
      <c r="K138" s="1"/>
      <c r="L138" s="1"/>
      <c r="M138" s="1"/>
      <c r="N138" s="1"/>
      <c r="O138" s="1"/>
      <c r="P138" s="1"/>
      <c r="Q138" s="1"/>
      <c r="R138" s="1"/>
      <c r="S138" s="1"/>
      <c r="T138" s="1"/>
      <c r="U138" s="1"/>
      <c r="V138" s="1"/>
      <c r="W138" s="1"/>
      <c r="X138" s="1"/>
      <c r="Y138" s="1"/>
      <c r="Z138" s="1"/>
    </row>
    <row r="139" spans="1:26" ht="12.75" customHeight="1">
      <c r="A139" s="1"/>
      <c r="B139" s="46"/>
      <c r="C139" s="1"/>
      <c r="D139" s="1"/>
      <c r="E139" s="1"/>
      <c r="F139" s="66"/>
      <c r="G139" s="1"/>
      <c r="H139" s="1"/>
      <c r="I139" s="66"/>
      <c r="J139" s="1"/>
      <c r="K139" s="1"/>
      <c r="L139" s="1"/>
      <c r="M139" s="1"/>
      <c r="N139" s="1"/>
      <c r="O139" s="1"/>
      <c r="P139" s="1"/>
      <c r="Q139" s="1"/>
      <c r="R139" s="1"/>
      <c r="S139" s="1"/>
      <c r="T139" s="1"/>
      <c r="U139" s="1"/>
      <c r="V139" s="1"/>
      <c r="W139" s="1"/>
      <c r="X139" s="1"/>
      <c r="Y139" s="1"/>
      <c r="Z139" s="1"/>
    </row>
    <row r="140" spans="1:26" ht="12.75" customHeight="1">
      <c r="A140" s="1"/>
      <c r="B140" s="46"/>
      <c r="C140" s="1"/>
      <c r="D140" s="1"/>
      <c r="E140" s="1"/>
      <c r="F140" s="66"/>
      <c r="G140" s="1"/>
      <c r="H140" s="1"/>
      <c r="I140" s="66"/>
      <c r="J140" s="1"/>
      <c r="K140" s="1"/>
      <c r="L140" s="1"/>
      <c r="M140" s="1"/>
      <c r="N140" s="1"/>
      <c r="O140" s="1"/>
      <c r="P140" s="1"/>
      <c r="Q140" s="1"/>
      <c r="R140" s="1"/>
      <c r="S140" s="1"/>
      <c r="T140" s="1"/>
      <c r="U140" s="1"/>
      <c r="V140" s="1"/>
      <c r="W140" s="1"/>
      <c r="X140" s="1"/>
      <c r="Y140" s="1"/>
      <c r="Z140" s="1"/>
    </row>
    <row r="141" spans="1:26" ht="12.75" customHeight="1">
      <c r="A141" s="1"/>
      <c r="B141" s="46"/>
      <c r="C141" s="1"/>
      <c r="D141" s="1"/>
      <c r="E141" s="1"/>
      <c r="F141" s="66"/>
      <c r="G141" s="1"/>
      <c r="H141" s="1"/>
      <c r="I141" s="66"/>
      <c r="J141" s="1"/>
      <c r="K141" s="1"/>
      <c r="L141" s="1"/>
      <c r="M141" s="1"/>
      <c r="N141" s="1"/>
      <c r="O141" s="1"/>
      <c r="P141" s="1"/>
      <c r="Q141" s="1"/>
      <c r="R141" s="1"/>
      <c r="S141" s="1"/>
      <c r="T141" s="1"/>
      <c r="U141" s="1"/>
      <c r="V141" s="1"/>
      <c r="W141" s="1"/>
      <c r="X141" s="1"/>
      <c r="Y141" s="1"/>
      <c r="Z141" s="1"/>
    </row>
    <row r="142" spans="1:26" ht="12.75" customHeight="1">
      <c r="A142" s="1"/>
      <c r="B142" s="46"/>
      <c r="C142" s="1"/>
      <c r="D142" s="1"/>
      <c r="E142" s="1"/>
      <c r="F142" s="66"/>
      <c r="G142" s="1"/>
      <c r="H142" s="1"/>
      <c r="I142" s="66"/>
      <c r="J142" s="1"/>
      <c r="K142" s="1"/>
      <c r="L142" s="1"/>
      <c r="M142" s="1"/>
      <c r="N142" s="1"/>
      <c r="O142" s="1"/>
      <c r="P142" s="1"/>
      <c r="Q142" s="1"/>
      <c r="R142" s="1"/>
      <c r="S142" s="1"/>
      <c r="T142" s="1"/>
      <c r="U142" s="1"/>
      <c r="V142" s="1"/>
      <c r="W142" s="1"/>
      <c r="X142" s="1"/>
      <c r="Y142" s="1"/>
      <c r="Z142" s="1"/>
    </row>
    <row r="143" spans="1:26" ht="12.75" customHeight="1">
      <c r="A143" s="1"/>
      <c r="B143" s="46"/>
      <c r="C143" s="1"/>
      <c r="D143" s="1"/>
      <c r="E143" s="1"/>
      <c r="F143" s="66"/>
      <c r="G143" s="1"/>
      <c r="H143" s="1"/>
      <c r="I143" s="66"/>
      <c r="J143" s="1"/>
      <c r="K143" s="1"/>
      <c r="L143" s="1"/>
      <c r="M143" s="1"/>
      <c r="N143" s="1"/>
      <c r="O143" s="1"/>
      <c r="P143" s="1"/>
      <c r="Q143" s="1"/>
      <c r="R143" s="1"/>
      <c r="S143" s="1"/>
      <c r="T143" s="1"/>
      <c r="U143" s="1"/>
      <c r="V143" s="1"/>
      <c r="W143" s="1"/>
      <c r="X143" s="1"/>
      <c r="Y143" s="1"/>
      <c r="Z143" s="1"/>
    </row>
    <row r="144" spans="1:26" ht="12.75" customHeight="1">
      <c r="A144" s="1"/>
      <c r="B144" s="46"/>
      <c r="C144" s="1"/>
      <c r="D144" s="1"/>
      <c r="E144" s="1"/>
      <c r="F144" s="66"/>
      <c r="G144" s="1"/>
      <c r="H144" s="1"/>
      <c r="I144" s="66"/>
      <c r="J144" s="1"/>
      <c r="K144" s="1"/>
      <c r="L144" s="1"/>
      <c r="M144" s="1"/>
      <c r="N144" s="1"/>
      <c r="O144" s="1"/>
      <c r="P144" s="1"/>
      <c r="Q144" s="1"/>
      <c r="R144" s="1"/>
      <c r="S144" s="1"/>
      <c r="T144" s="1"/>
      <c r="U144" s="1"/>
      <c r="V144" s="1"/>
      <c r="W144" s="1"/>
      <c r="X144" s="1"/>
      <c r="Y144" s="1"/>
      <c r="Z144" s="1"/>
    </row>
    <row r="145" spans="1:26" ht="12.75" customHeight="1">
      <c r="A145" s="1"/>
      <c r="B145" s="46"/>
      <c r="C145" s="1"/>
      <c r="D145" s="1"/>
      <c r="E145" s="1"/>
      <c r="F145" s="66"/>
      <c r="G145" s="1"/>
      <c r="H145" s="1"/>
      <c r="I145" s="66"/>
      <c r="J145" s="1"/>
      <c r="K145" s="1"/>
      <c r="L145" s="1"/>
      <c r="M145" s="1"/>
      <c r="N145" s="1"/>
      <c r="O145" s="1"/>
      <c r="P145" s="1"/>
      <c r="Q145" s="1"/>
      <c r="R145" s="1"/>
      <c r="S145" s="1"/>
      <c r="T145" s="1"/>
      <c r="U145" s="1"/>
      <c r="V145" s="1"/>
      <c r="W145" s="1"/>
      <c r="X145" s="1"/>
      <c r="Y145" s="1"/>
      <c r="Z145" s="1"/>
    </row>
    <row r="146" spans="1:26" ht="12.75" customHeight="1">
      <c r="A146" s="1"/>
      <c r="B146" s="46"/>
      <c r="C146" s="1"/>
      <c r="D146" s="1"/>
      <c r="E146" s="1"/>
      <c r="F146" s="66"/>
      <c r="G146" s="1"/>
      <c r="H146" s="1"/>
      <c r="I146" s="66"/>
      <c r="J146" s="1"/>
      <c r="K146" s="1"/>
      <c r="L146" s="1"/>
      <c r="M146" s="1"/>
      <c r="N146" s="1"/>
      <c r="O146" s="1"/>
      <c r="P146" s="1"/>
      <c r="Q146" s="1"/>
      <c r="R146" s="1"/>
      <c r="S146" s="1"/>
      <c r="T146" s="1"/>
      <c r="U146" s="1"/>
      <c r="V146" s="1"/>
      <c r="W146" s="1"/>
      <c r="X146" s="1"/>
      <c r="Y146" s="1"/>
      <c r="Z146" s="1"/>
    </row>
    <row r="147" spans="1:26" ht="12.75" customHeight="1">
      <c r="A147" s="1"/>
      <c r="B147" s="46"/>
      <c r="C147" s="1"/>
      <c r="D147" s="1"/>
      <c r="E147" s="1"/>
      <c r="F147" s="66"/>
      <c r="G147" s="1"/>
      <c r="H147" s="1"/>
      <c r="I147" s="66"/>
      <c r="J147" s="1"/>
      <c r="K147" s="1"/>
      <c r="L147" s="1"/>
      <c r="M147" s="1"/>
      <c r="N147" s="1"/>
      <c r="O147" s="1"/>
      <c r="P147" s="1"/>
      <c r="Q147" s="1"/>
      <c r="R147" s="1"/>
      <c r="S147" s="1"/>
      <c r="T147" s="1"/>
      <c r="U147" s="1"/>
      <c r="V147" s="1"/>
      <c r="W147" s="1"/>
      <c r="X147" s="1"/>
      <c r="Y147" s="1"/>
      <c r="Z147" s="1"/>
    </row>
    <row r="148" spans="1:26" ht="12.75" customHeight="1">
      <c r="A148" s="1"/>
      <c r="B148" s="46"/>
      <c r="C148" s="1"/>
      <c r="D148" s="1"/>
      <c r="E148" s="1"/>
      <c r="F148" s="66"/>
      <c r="G148" s="1"/>
      <c r="H148" s="1"/>
      <c r="I148" s="66"/>
      <c r="J148" s="1"/>
      <c r="K148" s="1"/>
      <c r="L148" s="1"/>
      <c r="M148" s="1"/>
      <c r="N148" s="1"/>
      <c r="O148" s="1"/>
      <c r="P148" s="1"/>
      <c r="Q148" s="1"/>
      <c r="R148" s="1"/>
      <c r="S148" s="1"/>
      <c r="T148" s="1"/>
      <c r="U148" s="1"/>
      <c r="V148" s="1"/>
      <c r="W148" s="1"/>
      <c r="X148" s="1"/>
      <c r="Y148" s="1"/>
      <c r="Z148" s="1"/>
    </row>
    <row r="149" spans="1:26" ht="12.75" customHeight="1">
      <c r="A149" s="1"/>
      <c r="B149" s="46"/>
      <c r="C149" s="1"/>
      <c r="D149" s="1"/>
      <c r="E149" s="1"/>
      <c r="F149" s="66"/>
      <c r="G149" s="1"/>
      <c r="H149" s="1"/>
      <c r="I149" s="66"/>
      <c r="J149" s="1"/>
      <c r="K149" s="1"/>
      <c r="L149" s="1"/>
      <c r="M149" s="1"/>
      <c r="N149" s="1"/>
      <c r="O149" s="1"/>
      <c r="P149" s="1"/>
      <c r="Q149" s="1"/>
      <c r="R149" s="1"/>
      <c r="S149" s="1"/>
      <c r="T149" s="1"/>
      <c r="U149" s="1"/>
      <c r="V149" s="1"/>
      <c r="W149" s="1"/>
      <c r="X149" s="1"/>
      <c r="Y149" s="1"/>
      <c r="Z149" s="1"/>
    </row>
    <row r="150" spans="1:26" ht="12.75" customHeight="1">
      <c r="A150" s="1"/>
      <c r="B150" s="46"/>
      <c r="C150" s="1"/>
      <c r="D150" s="1"/>
      <c r="E150" s="1"/>
      <c r="F150" s="66"/>
      <c r="G150" s="1"/>
      <c r="H150" s="1"/>
      <c r="I150" s="66"/>
      <c r="J150" s="1"/>
      <c r="K150" s="1"/>
      <c r="L150" s="1"/>
      <c r="M150" s="1"/>
      <c r="N150" s="1"/>
      <c r="O150" s="1"/>
      <c r="P150" s="1"/>
      <c r="Q150" s="1"/>
      <c r="R150" s="1"/>
      <c r="S150" s="1"/>
      <c r="T150" s="1"/>
      <c r="U150" s="1"/>
      <c r="V150" s="1"/>
      <c r="W150" s="1"/>
      <c r="X150" s="1"/>
      <c r="Y150" s="1"/>
      <c r="Z150" s="1"/>
    </row>
    <row r="151" spans="1:26" ht="12.75" customHeight="1">
      <c r="A151" s="1"/>
      <c r="B151" s="46"/>
      <c r="C151" s="1"/>
      <c r="D151" s="1"/>
      <c r="E151" s="1"/>
      <c r="F151" s="66"/>
      <c r="G151" s="1"/>
      <c r="H151" s="1"/>
      <c r="I151" s="66"/>
      <c r="J151" s="1"/>
      <c r="K151" s="1"/>
      <c r="L151" s="1"/>
      <c r="M151" s="1"/>
      <c r="N151" s="1"/>
      <c r="O151" s="1"/>
      <c r="P151" s="1"/>
      <c r="Q151" s="1"/>
      <c r="R151" s="1"/>
      <c r="S151" s="1"/>
      <c r="T151" s="1"/>
      <c r="U151" s="1"/>
      <c r="V151" s="1"/>
      <c r="W151" s="1"/>
      <c r="X151" s="1"/>
      <c r="Y151" s="1"/>
      <c r="Z151" s="1"/>
    </row>
    <row r="152" spans="1:26" ht="12.75" customHeight="1">
      <c r="A152" s="1"/>
      <c r="B152" s="46"/>
      <c r="C152" s="1"/>
      <c r="D152" s="1"/>
      <c r="E152" s="1"/>
      <c r="F152" s="66"/>
      <c r="G152" s="1"/>
      <c r="H152" s="1"/>
      <c r="I152" s="66"/>
      <c r="J152" s="1"/>
      <c r="K152" s="1"/>
      <c r="L152" s="1"/>
      <c r="M152" s="1"/>
      <c r="N152" s="1"/>
      <c r="O152" s="1"/>
      <c r="P152" s="1"/>
      <c r="Q152" s="1"/>
      <c r="R152" s="1"/>
      <c r="S152" s="1"/>
      <c r="T152" s="1"/>
      <c r="U152" s="1"/>
      <c r="V152" s="1"/>
      <c r="W152" s="1"/>
      <c r="X152" s="1"/>
      <c r="Y152" s="1"/>
      <c r="Z152" s="1"/>
    </row>
    <row r="153" spans="1:26" ht="12.75" customHeight="1">
      <c r="A153" s="1"/>
      <c r="B153" s="46"/>
      <c r="C153" s="1"/>
      <c r="D153" s="1"/>
      <c r="E153" s="1"/>
      <c r="F153" s="66"/>
      <c r="G153" s="1"/>
      <c r="H153" s="1"/>
      <c r="I153" s="66"/>
      <c r="J153" s="1"/>
      <c r="K153" s="1"/>
      <c r="L153" s="1"/>
      <c r="M153" s="1"/>
      <c r="N153" s="1"/>
      <c r="O153" s="1"/>
      <c r="P153" s="1"/>
      <c r="Q153" s="1"/>
      <c r="R153" s="1"/>
      <c r="S153" s="1"/>
      <c r="T153" s="1"/>
      <c r="U153" s="1"/>
      <c r="V153" s="1"/>
      <c r="W153" s="1"/>
      <c r="X153" s="1"/>
      <c r="Y153" s="1"/>
      <c r="Z153" s="1"/>
    </row>
    <row r="154" spans="1:26" ht="12.75" customHeight="1">
      <c r="A154" s="1"/>
      <c r="B154" s="46"/>
      <c r="C154" s="1"/>
      <c r="D154" s="1"/>
      <c r="E154" s="1"/>
      <c r="F154" s="66"/>
      <c r="G154" s="1"/>
      <c r="H154" s="1"/>
      <c r="I154" s="66"/>
      <c r="J154" s="1"/>
      <c r="K154" s="1"/>
      <c r="L154" s="1"/>
      <c r="M154" s="1"/>
      <c r="N154" s="1"/>
      <c r="O154" s="1"/>
      <c r="P154" s="1"/>
      <c r="Q154" s="1"/>
      <c r="R154" s="1"/>
      <c r="S154" s="1"/>
      <c r="T154" s="1"/>
      <c r="U154" s="1"/>
      <c r="V154" s="1"/>
      <c r="W154" s="1"/>
      <c r="X154" s="1"/>
      <c r="Y154" s="1"/>
      <c r="Z154" s="1"/>
    </row>
    <row r="155" spans="1:26" ht="12.75" customHeight="1">
      <c r="A155" s="1"/>
      <c r="B155" s="46"/>
      <c r="C155" s="1"/>
      <c r="D155" s="1"/>
      <c r="E155" s="1"/>
      <c r="F155" s="66"/>
      <c r="G155" s="1"/>
      <c r="H155" s="1"/>
      <c r="I155" s="66"/>
      <c r="J155" s="1"/>
      <c r="K155" s="1"/>
      <c r="L155" s="1"/>
      <c r="M155" s="1"/>
      <c r="N155" s="1"/>
      <c r="O155" s="1"/>
      <c r="P155" s="1"/>
      <c r="Q155" s="1"/>
      <c r="R155" s="1"/>
      <c r="S155" s="1"/>
      <c r="T155" s="1"/>
      <c r="U155" s="1"/>
      <c r="V155" s="1"/>
      <c r="W155" s="1"/>
      <c r="X155" s="1"/>
      <c r="Y155" s="1"/>
      <c r="Z155" s="1"/>
    </row>
    <row r="156" spans="1:26" ht="12.75" customHeight="1">
      <c r="A156" s="1"/>
      <c r="B156" s="46"/>
      <c r="C156" s="1"/>
      <c r="D156" s="1"/>
      <c r="E156" s="1"/>
      <c r="F156" s="66"/>
      <c r="G156" s="1"/>
      <c r="H156" s="1"/>
      <c r="I156" s="66"/>
      <c r="J156" s="1"/>
      <c r="K156" s="1"/>
      <c r="L156" s="1"/>
      <c r="M156" s="1"/>
      <c r="N156" s="1"/>
      <c r="O156" s="1"/>
      <c r="P156" s="1"/>
      <c r="Q156" s="1"/>
      <c r="R156" s="1"/>
      <c r="S156" s="1"/>
      <c r="T156" s="1"/>
      <c r="U156" s="1"/>
      <c r="V156" s="1"/>
      <c r="W156" s="1"/>
      <c r="X156" s="1"/>
      <c r="Y156" s="1"/>
      <c r="Z156" s="1"/>
    </row>
    <row r="157" spans="1:26" ht="12.75" customHeight="1">
      <c r="A157" s="1"/>
      <c r="B157" s="46"/>
      <c r="C157" s="1"/>
      <c r="D157" s="1"/>
      <c r="E157" s="1"/>
      <c r="F157" s="66"/>
      <c r="G157" s="1"/>
      <c r="H157" s="1"/>
      <c r="I157" s="66"/>
      <c r="J157" s="1"/>
      <c r="K157" s="1"/>
      <c r="L157" s="1"/>
      <c r="M157" s="1"/>
      <c r="N157" s="1"/>
      <c r="O157" s="1"/>
      <c r="P157" s="1"/>
      <c r="Q157" s="1"/>
      <c r="R157" s="1"/>
      <c r="S157" s="1"/>
      <c r="T157" s="1"/>
      <c r="U157" s="1"/>
      <c r="V157" s="1"/>
      <c r="W157" s="1"/>
      <c r="X157" s="1"/>
      <c r="Y157" s="1"/>
      <c r="Z157" s="1"/>
    </row>
    <row r="158" spans="1:26" ht="12.75" customHeight="1">
      <c r="A158" s="1"/>
      <c r="B158" s="46"/>
      <c r="C158" s="1"/>
      <c r="D158" s="1"/>
      <c r="E158" s="1"/>
      <c r="F158" s="66"/>
      <c r="G158" s="1"/>
      <c r="H158" s="1"/>
      <c r="I158" s="66"/>
      <c r="J158" s="1"/>
      <c r="K158" s="1"/>
      <c r="L158" s="1"/>
      <c r="M158" s="1"/>
      <c r="N158" s="1"/>
      <c r="O158" s="1"/>
      <c r="P158" s="1"/>
      <c r="Q158" s="1"/>
      <c r="R158" s="1"/>
      <c r="S158" s="1"/>
      <c r="T158" s="1"/>
      <c r="U158" s="1"/>
      <c r="V158" s="1"/>
      <c r="W158" s="1"/>
      <c r="X158" s="1"/>
      <c r="Y158" s="1"/>
      <c r="Z158" s="1"/>
    </row>
    <row r="159" spans="1:26" ht="12.75" customHeight="1">
      <c r="A159" s="1"/>
      <c r="B159" s="46"/>
      <c r="C159" s="1"/>
      <c r="D159" s="1"/>
      <c r="E159" s="1"/>
      <c r="F159" s="66"/>
      <c r="G159" s="1"/>
      <c r="H159" s="1"/>
      <c r="I159" s="66"/>
      <c r="J159" s="1"/>
      <c r="K159" s="1"/>
      <c r="L159" s="1"/>
      <c r="M159" s="1"/>
      <c r="N159" s="1"/>
      <c r="O159" s="1"/>
      <c r="P159" s="1"/>
      <c r="Q159" s="1"/>
      <c r="R159" s="1"/>
      <c r="S159" s="1"/>
      <c r="T159" s="1"/>
      <c r="U159" s="1"/>
      <c r="V159" s="1"/>
      <c r="W159" s="1"/>
      <c r="X159" s="1"/>
      <c r="Y159" s="1"/>
      <c r="Z159" s="1"/>
    </row>
    <row r="160" spans="1:26" ht="12.75" customHeight="1">
      <c r="A160" s="1"/>
      <c r="B160" s="46"/>
      <c r="C160" s="1"/>
      <c r="D160" s="1"/>
      <c r="E160" s="1"/>
      <c r="F160" s="66"/>
      <c r="G160" s="1"/>
      <c r="H160" s="1"/>
      <c r="I160" s="66"/>
      <c r="J160" s="1"/>
      <c r="K160" s="1"/>
      <c r="L160" s="1"/>
      <c r="M160" s="1"/>
      <c r="N160" s="1"/>
      <c r="O160" s="1"/>
      <c r="P160" s="1"/>
      <c r="Q160" s="1"/>
      <c r="R160" s="1"/>
      <c r="S160" s="1"/>
      <c r="T160" s="1"/>
      <c r="U160" s="1"/>
      <c r="V160" s="1"/>
      <c r="W160" s="1"/>
      <c r="X160" s="1"/>
      <c r="Y160" s="1"/>
      <c r="Z160" s="1"/>
    </row>
    <row r="161" spans="1:26" ht="12.75" customHeight="1">
      <c r="A161" s="1"/>
      <c r="B161" s="46"/>
      <c r="C161" s="1"/>
      <c r="D161" s="1"/>
      <c r="E161" s="1"/>
      <c r="F161" s="66"/>
      <c r="G161" s="1"/>
      <c r="H161" s="1"/>
      <c r="I161" s="66"/>
      <c r="J161" s="1"/>
      <c r="K161" s="1"/>
      <c r="L161" s="1"/>
      <c r="M161" s="1"/>
      <c r="N161" s="1"/>
      <c r="O161" s="1"/>
      <c r="P161" s="1"/>
      <c r="Q161" s="1"/>
      <c r="R161" s="1"/>
      <c r="S161" s="1"/>
      <c r="T161" s="1"/>
      <c r="U161" s="1"/>
      <c r="V161" s="1"/>
      <c r="W161" s="1"/>
      <c r="X161" s="1"/>
      <c r="Y161" s="1"/>
      <c r="Z161" s="1"/>
    </row>
    <row r="162" spans="1:26" ht="12.75" customHeight="1">
      <c r="A162" s="1"/>
      <c r="B162" s="46"/>
      <c r="C162" s="1"/>
      <c r="D162" s="1"/>
      <c r="E162" s="1"/>
      <c r="F162" s="66"/>
      <c r="G162" s="1"/>
      <c r="H162" s="1"/>
      <c r="I162" s="66"/>
      <c r="J162" s="1"/>
      <c r="K162" s="1"/>
      <c r="L162" s="1"/>
      <c r="M162" s="1"/>
      <c r="N162" s="1"/>
      <c r="O162" s="1"/>
      <c r="P162" s="1"/>
      <c r="Q162" s="1"/>
      <c r="R162" s="1"/>
      <c r="S162" s="1"/>
      <c r="T162" s="1"/>
      <c r="U162" s="1"/>
      <c r="V162" s="1"/>
      <c r="W162" s="1"/>
      <c r="X162" s="1"/>
      <c r="Y162" s="1"/>
      <c r="Z162" s="1"/>
    </row>
    <row r="163" spans="1:26" ht="12.75" customHeight="1">
      <c r="A163" s="1"/>
      <c r="B163" s="46"/>
      <c r="C163" s="1"/>
      <c r="D163" s="1"/>
      <c r="E163" s="1"/>
      <c r="F163" s="66"/>
      <c r="G163" s="1"/>
      <c r="H163" s="1"/>
      <c r="I163" s="66"/>
      <c r="J163" s="1"/>
      <c r="K163" s="1"/>
      <c r="L163" s="1"/>
      <c r="M163" s="1"/>
      <c r="N163" s="1"/>
      <c r="O163" s="1"/>
      <c r="P163" s="1"/>
      <c r="Q163" s="1"/>
      <c r="R163" s="1"/>
      <c r="S163" s="1"/>
      <c r="T163" s="1"/>
      <c r="U163" s="1"/>
      <c r="V163" s="1"/>
      <c r="W163" s="1"/>
      <c r="X163" s="1"/>
      <c r="Y163" s="1"/>
      <c r="Z163" s="1"/>
    </row>
    <row r="164" spans="1:26" ht="12.75" customHeight="1">
      <c r="A164" s="1"/>
      <c r="B164" s="46"/>
      <c r="C164" s="1"/>
      <c r="D164" s="1"/>
      <c r="E164" s="1"/>
      <c r="F164" s="66"/>
      <c r="G164" s="1"/>
      <c r="H164" s="1"/>
      <c r="I164" s="66"/>
      <c r="J164" s="1"/>
      <c r="K164" s="1"/>
      <c r="L164" s="1"/>
      <c r="M164" s="1"/>
      <c r="N164" s="1"/>
      <c r="O164" s="1"/>
      <c r="P164" s="1"/>
      <c r="Q164" s="1"/>
      <c r="R164" s="1"/>
      <c r="S164" s="1"/>
      <c r="T164" s="1"/>
      <c r="U164" s="1"/>
      <c r="V164" s="1"/>
      <c r="W164" s="1"/>
      <c r="X164" s="1"/>
      <c r="Y164" s="1"/>
      <c r="Z164" s="1"/>
    </row>
    <row r="165" spans="1:26" ht="12.75" customHeight="1">
      <c r="A165" s="1"/>
      <c r="B165" s="46"/>
      <c r="C165" s="1"/>
      <c r="D165" s="1"/>
      <c r="E165" s="1"/>
      <c r="F165" s="66"/>
      <c r="G165" s="1"/>
      <c r="H165" s="1"/>
      <c r="I165" s="66"/>
      <c r="J165" s="1"/>
      <c r="K165" s="1"/>
      <c r="L165" s="1"/>
      <c r="M165" s="1"/>
      <c r="N165" s="1"/>
      <c r="O165" s="1"/>
      <c r="P165" s="1"/>
      <c r="Q165" s="1"/>
      <c r="R165" s="1"/>
      <c r="S165" s="1"/>
      <c r="T165" s="1"/>
      <c r="U165" s="1"/>
      <c r="V165" s="1"/>
      <c r="W165" s="1"/>
      <c r="X165" s="1"/>
      <c r="Y165" s="1"/>
      <c r="Z165" s="1"/>
    </row>
    <row r="166" spans="1:26" ht="12.75" customHeight="1">
      <c r="A166" s="1"/>
      <c r="B166" s="46"/>
      <c r="C166" s="1"/>
      <c r="D166" s="1"/>
      <c r="E166" s="1"/>
      <c r="F166" s="66"/>
      <c r="G166" s="1"/>
      <c r="H166" s="1"/>
      <c r="I166" s="66"/>
      <c r="J166" s="1"/>
      <c r="K166" s="1"/>
      <c r="L166" s="1"/>
      <c r="M166" s="1"/>
      <c r="N166" s="1"/>
      <c r="O166" s="1"/>
      <c r="P166" s="1"/>
      <c r="Q166" s="1"/>
      <c r="R166" s="1"/>
      <c r="S166" s="1"/>
      <c r="T166" s="1"/>
      <c r="U166" s="1"/>
      <c r="V166" s="1"/>
      <c r="W166" s="1"/>
      <c r="X166" s="1"/>
      <c r="Y166" s="1"/>
      <c r="Z166" s="1"/>
    </row>
    <row r="167" spans="1:26" ht="12.75" customHeight="1">
      <c r="A167" s="1"/>
      <c r="B167" s="46"/>
      <c r="C167" s="1"/>
      <c r="D167" s="1"/>
      <c r="E167" s="1"/>
      <c r="F167" s="66"/>
      <c r="G167" s="1"/>
      <c r="H167" s="1"/>
      <c r="I167" s="66"/>
      <c r="J167" s="1"/>
      <c r="K167" s="1"/>
      <c r="L167" s="1"/>
      <c r="M167" s="1"/>
      <c r="N167" s="1"/>
      <c r="O167" s="1"/>
      <c r="P167" s="1"/>
      <c r="Q167" s="1"/>
      <c r="R167" s="1"/>
      <c r="S167" s="1"/>
      <c r="T167" s="1"/>
      <c r="U167" s="1"/>
      <c r="V167" s="1"/>
      <c r="W167" s="1"/>
      <c r="X167" s="1"/>
      <c r="Y167" s="1"/>
      <c r="Z167" s="1"/>
    </row>
    <row r="168" spans="1:26" ht="12.75" customHeight="1">
      <c r="A168" s="1"/>
      <c r="B168" s="46"/>
      <c r="C168" s="1"/>
      <c r="D168" s="1"/>
      <c r="E168" s="1"/>
      <c r="F168" s="66"/>
      <c r="G168" s="1"/>
      <c r="H168" s="1"/>
      <c r="I168" s="66"/>
      <c r="J168" s="1"/>
      <c r="K168" s="1"/>
      <c r="L168" s="1"/>
      <c r="M168" s="1"/>
      <c r="N168" s="1"/>
      <c r="O168" s="1"/>
      <c r="P168" s="1"/>
      <c r="Q168" s="1"/>
      <c r="R168" s="1"/>
      <c r="S168" s="1"/>
      <c r="T168" s="1"/>
      <c r="U168" s="1"/>
      <c r="V168" s="1"/>
      <c r="W168" s="1"/>
      <c r="X168" s="1"/>
      <c r="Y168" s="1"/>
      <c r="Z168" s="1"/>
    </row>
    <row r="169" spans="1:26" ht="12.75" customHeight="1">
      <c r="A169" s="1"/>
      <c r="B169" s="46"/>
      <c r="C169" s="1"/>
      <c r="D169" s="1"/>
      <c r="E169" s="1"/>
      <c r="F169" s="66"/>
      <c r="G169" s="1"/>
      <c r="H169" s="1"/>
      <c r="I169" s="66"/>
      <c r="J169" s="1"/>
      <c r="K169" s="1"/>
      <c r="L169" s="1"/>
      <c r="M169" s="1"/>
      <c r="N169" s="1"/>
      <c r="O169" s="1"/>
      <c r="P169" s="1"/>
      <c r="Q169" s="1"/>
      <c r="R169" s="1"/>
      <c r="S169" s="1"/>
      <c r="T169" s="1"/>
      <c r="U169" s="1"/>
      <c r="V169" s="1"/>
      <c r="W169" s="1"/>
      <c r="X169" s="1"/>
      <c r="Y169" s="1"/>
      <c r="Z169" s="1"/>
    </row>
    <row r="170" spans="1:26" ht="12.75" customHeight="1">
      <c r="A170" s="1"/>
      <c r="B170" s="46"/>
      <c r="C170" s="1"/>
      <c r="D170" s="1"/>
      <c r="E170" s="1"/>
      <c r="F170" s="66"/>
      <c r="G170" s="1"/>
      <c r="H170" s="1"/>
      <c r="I170" s="66"/>
      <c r="J170" s="1"/>
      <c r="K170" s="1"/>
      <c r="L170" s="1"/>
      <c r="M170" s="1"/>
      <c r="N170" s="1"/>
      <c r="O170" s="1"/>
      <c r="P170" s="1"/>
      <c r="Q170" s="1"/>
      <c r="R170" s="1"/>
      <c r="S170" s="1"/>
      <c r="T170" s="1"/>
      <c r="U170" s="1"/>
      <c r="V170" s="1"/>
      <c r="W170" s="1"/>
      <c r="X170" s="1"/>
      <c r="Y170" s="1"/>
      <c r="Z170" s="1"/>
    </row>
    <row r="171" spans="1:26" ht="12.75" customHeight="1">
      <c r="A171" s="1"/>
      <c r="B171" s="46"/>
      <c r="C171" s="1"/>
      <c r="D171" s="1"/>
      <c r="E171" s="1"/>
      <c r="F171" s="66"/>
      <c r="G171" s="1"/>
      <c r="H171" s="1"/>
      <c r="I171" s="66"/>
      <c r="J171" s="1"/>
      <c r="K171" s="1"/>
      <c r="L171" s="1"/>
      <c r="M171" s="1"/>
      <c r="N171" s="1"/>
      <c r="O171" s="1"/>
      <c r="P171" s="1"/>
      <c r="Q171" s="1"/>
      <c r="R171" s="1"/>
      <c r="S171" s="1"/>
      <c r="T171" s="1"/>
      <c r="U171" s="1"/>
      <c r="V171" s="1"/>
      <c r="W171" s="1"/>
      <c r="X171" s="1"/>
      <c r="Y171" s="1"/>
      <c r="Z171" s="1"/>
    </row>
    <row r="172" spans="1:26" ht="12.75" customHeight="1">
      <c r="A172" s="1"/>
      <c r="B172" s="46"/>
      <c r="C172" s="1"/>
      <c r="D172" s="1"/>
      <c r="E172" s="1"/>
      <c r="F172" s="66"/>
      <c r="G172" s="1"/>
      <c r="H172" s="1"/>
      <c r="I172" s="66"/>
      <c r="J172" s="1"/>
      <c r="K172" s="1"/>
      <c r="L172" s="1"/>
      <c r="M172" s="1"/>
      <c r="N172" s="1"/>
      <c r="O172" s="1"/>
      <c r="P172" s="1"/>
      <c r="Q172" s="1"/>
      <c r="R172" s="1"/>
      <c r="S172" s="1"/>
      <c r="T172" s="1"/>
      <c r="U172" s="1"/>
      <c r="V172" s="1"/>
      <c r="W172" s="1"/>
      <c r="X172" s="1"/>
      <c r="Y172" s="1"/>
      <c r="Z172" s="1"/>
    </row>
    <row r="173" spans="1:26" ht="12.75" customHeight="1">
      <c r="A173" s="1"/>
      <c r="B173" s="46"/>
      <c r="C173" s="1"/>
      <c r="D173" s="1"/>
      <c r="E173" s="1"/>
      <c r="F173" s="66"/>
      <c r="G173" s="1"/>
      <c r="H173" s="1"/>
      <c r="I173" s="66"/>
      <c r="J173" s="1"/>
      <c r="K173" s="1"/>
      <c r="L173" s="1"/>
      <c r="M173" s="1"/>
      <c r="N173" s="1"/>
      <c r="O173" s="1"/>
      <c r="P173" s="1"/>
      <c r="Q173" s="1"/>
      <c r="R173" s="1"/>
      <c r="S173" s="1"/>
      <c r="T173" s="1"/>
      <c r="U173" s="1"/>
      <c r="V173" s="1"/>
      <c r="W173" s="1"/>
      <c r="X173" s="1"/>
      <c r="Y173" s="1"/>
      <c r="Z173" s="1"/>
    </row>
    <row r="174" spans="1:26" ht="12.75" customHeight="1">
      <c r="A174" s="1"/>
      <c r="B174" s="46"/>
      <c r="C174" s="1"/>
      <c r="D174" s="1"/>
      <c r="E174" s="1"/>
      <c r="F174" s="66"/>
      <c r="G174" s="1"/>
      <c r="H174" s="1"/>
      <c r="I174" s="66"/>
      <c r="J174" s="1"/>
      <c r="K174" s="1"/>
      <c r="L174" s="1"/>
      <c r="M174" s="1"/>
      <c r="N174" s="1"/>
      <c r="O174" s="1"/>
      <c r="P174" s="1"/>
      <c r="Q174" s="1"/>
      <c r="R174" s="1"/>
      <c r="S174" s="1"/>
      <c r="T174" s="1"/>
      <c r="U174" s="1"/>
      <c r="V174" s="1"/>
      <c r="W174" s="1"/>
      <c r="X174" s="1"/>
      <c r="Y174" s="1"/>
      <c r="Z174" s="1"/>
    </row>
    <row r="175" spans="1:26" ht="12.75" customHeight="1">
      <c r="A175" s="1"/>
      <c r="B175" s="46"/>
      <c r="C175" s="1"/>
      <c r="D175" s="1"/>
      <c r="E175" s="1"/>
      <c r="F175" s="66"/>
      <c r="G175" s="1"/>
      <c r="H175" s="1"/>
      <c r="I175" s="66"/>
      <c r="J175" s="1"/>
      <c r="K175" s="1"/>
      <c r="L175" s="1"/>
      <c r="M175" s="1"/>
      <c r="N175" s="1"/>
      <c r="O175" s="1"/>
      <c r="P175" s="1"/>
      <c r="Q175" s="1"/>
      <c r="R175" s="1"/>
      <c r="S175" s="1"/>
      <c r="T175" s="1"/>
      <c r="U175" s="1"/>
      <c r="V175" s="1"/>
      <c r="W175" s="1"/>
      <c r="X175" s="1"/>
      <c r="Y175" s="1"/>
      <c r="Z175" s="1"/>
    </row>
    <row r="176" spans="1:26" ht="12.75" customHeight="1">
      <c r="A176" s="1"/>
      <c r="B176" s="46"/>
      <c r="C176" s="1"/>
      <c r="D176" s="1"/>
      <c r="E176" s="1"/>
      <c r="F176" s="66"/>
      <c r="G176" s="1"/>
      <c r="H176" s="1"/>
      <c r="I176" s="66"/>
      <c r="J176" s="1"/>
      <c r="K176" s="1"/>
      <c r="L176" s="1"/>
      <c r="M176" s="1"/>
      <c r="N176" s="1"/>
      <c r="O176" s="1"/>
      <c r="P176" s="1"/>
      <c r="Q176" s="1"/>
      <c r="R176" s="1"/>
      <c r="S176" s="1"/>
      <c r="T176" s="1"/>
      <c r="U176" s="1"/>
      <c r="V176" s="1"/>
      <c r="W176" s="1"/>
      <c r="X176" s="1"/>
      <c r="Y176" s="1"/>
      <c r="Z176" s="1"/>
    </row>
    <row r="177" spans="1:26" ht="12.75" customHeight="1">
      <c r="A177" s="1"/>
      <c r="B177" s="46"/>
      <c r="C177" s="1"/>
      <c r="D177" s="1"/>
      <c r="E177" s="1"/>
      <c r="F177" s="66"/>
      <c r="G177" s="1"/>
      <c r="H177" s="1"/>
      <c r="I177" s="66"/>
      <c r="J177" s="1"/>
      <c r="K177" s="1"/>
      <c r="L177" s="1"/>
      <c r="M177" s="1"/>
      <c r="N177" s="1"/>
      <c r="O177" s="1"/>
      <c r="P177" s="1"/>
      <c r="Q177" s="1"/>
      <c r="R177" s="1"/>
      <c r="S177" s="1"/>
      <c r="T177" s="1"/>
      <c r="U177" s="1"/>
      <c r="V177" s="1"/>
      <c r="W177" s="1"/>
      <c r="X177" s="1"/>
      <c r="Y177" s="1"/>
      <c r="Z177" s="1"/>
    </row>
    <row r="178" spans="1:26" ht="12.75" customHeight="1">
      <c r="A178" s="1"/>
      <c r="B178" s="46"/>
      <c r="C178" s="1"/>
      <c r="D178" s="1"/>
      <c r="E178" s="1"/>
      <c r="F178" s="66"/>
      <c r="G178" s="1"/>
      <c r="H178" s="1"/>
      <c r="I178" s="66"/>
      <c r="J178" s="1"/>
      <c r="K178" s="1"/>
      <c r="L178" s="1"/>
      <c r="M178" s="1"/>
      <c r="N178" s="1"/>
      <c r="O178" s="1"/>
      <c r="P178" s="1"/>
      <c r="Q178" s="1"/>
      <c r="R178" s="1"/>
      <c r="S178" s="1"/>
      <c r="T178" s="1"/>
      <c r="U178" s="1"/>
      <c r="V178" s="1"/>
      <c r="W178" s="1"/>
      <c r="X178" s="1"/>
      <c r="Y178" s="1"/>
      <c r="Z178" s="1"/>
    </row>
    <row r="179" spans="1:26" ht="12.75" customHeight="1">
      <c r="A179" s="1"/>
      <c r="B179" s="46"/>
      <c r="C179" s="1"/>
      <c r="D179" s="1"/>
      <c r="E179" s="1"/>
      <c r="F179" s="66"/>
      <c r="G179" s="1"/>
      <c r="H179" s="1"/>
      <c r="I179" s="66"/>
      <c r="J179" s="1"/>
      <c r="K179" s="1"/>
      <c r="L179" s="1"/>
      <c r="M179" s="1"/>
      <c r="N179" s="1"/>
      <c r="O179" s="1"/>
      <c r="P179" s="1"/>
      <c r="Q179" s="1"/>
      <c r="R179" s="1"/>
      <c r="S179" s="1"/>
      <c r="T179" s="1"/>
      <c r="U179" s="1"/>
      <c r="V179" s="1"/>
      <c r="W179" s="1"/>
      <c r="X179" s="1"/>
      <c r="Y179" s="1"/>
      <c r="Z179" s="1"/>
    </row>
    <row r="180" spans="1:26" ht="12.75" customHeight="1">
      <c r="A180" s="1"/>
      <c r="B180" s="46"/>
      <c r="C180" s="1"/>
      <c r="D180" s="1"/>
      <c r="E180" s="1"/>
      <c r="F180" s="66"/>
      <c r="G180" s="1"/>
      <c r="H180" s="1"/>
      <c r="I180" s="66"/>
      <c r="J180" s="1"/>
      <c r="K180" s="1"/>
      <c r="L180" s="1"/>
      <c r="M180" s="1"/>
      <c r="N180" s="1"/>
      <c r="O180" s="1"/>
      <c r="P180" s="1"/>
      <c r="Q180" s="1"/>
      <c r="R180" s="1"/>
      <c r="S180" s="1"/>
      <c r="T180" s="1"/>
      <c r="U180" s="1"/>
      <c r="V180" s="1"/>
      <c r="W180" s="1"/>
      <c r="X180" s="1"/>
      <c r="Y180" s="1"/>
      <c r="Z180" s="1"/>
    </row>
    <row r="181" spans="1:26" ht="12.75" customHeight="1">
      <c r="A181" s="1"/>
      <c r="B181" s="46"/>
      <c r="C181" s="1"/>
      <c r="D181" s="1"/>
      <c r="E181" s="1"/>
      <c r="F181" s="66"/>
      <c r="G181" s="1"/>
      <c r="H181" s="1"/>
      <c r="I181" s="66"/>
      <c r="J181" s="1"/>
      <c r="K181" s="1"/>
      <c r="L181" s="1"/>
      <c r="M181" s="1"/>
      <c r="N181" s="1"/>
      <c r="O181" s="1"/>
      <c r="P181" s="1"/>
      <c r="Q181" s="1"/>
      <c r="R181" s="1"/>
      <c r="S181" s="1"/>
      <c r="T181" s="1"/>
      <c r="U181" s="1"/>
      <c r="V181" s="1"/>
      <c r="W181" s="1"/>
      <c r="X181" s="1"/>
      <c r="Y181" s="1"/>
      <c r="Z181" s="1"/>
    </row>
    <row r="182" spans="1:26" ht="12.75" customHeight="1">
      <c r="A182" s="1"/>
      <c r="B182" s="46"/>
      <c r="C182" s="1"/>
      <c r="D182" s="1"/>
      <c r="E182" s="1"/>
      <c r="F182" s="66"/>
      <c r="G182" s="1"/>
      <c r="H182" s="1"/>
      <c r="I182" s="66"/>
      <c r="J182" s="1"/>
      <c r="K182" s="1"/>
      <c r="L182" s="1"/>
      <c r="M182" s="1"/>
      <c r="N182" s="1"/>
      <c r="O182" s="1"/>
      <c r="P182" s="1"/>
      <c r="Q182" s="1"/>
      <c r="R182" s="1"/>
      <c r="S182" s="1"/>
      <c r="T182" s="1"/>
      <c r="U182" s="1"/>
      <c r="V182" s="1"/>
      <c r="W182" s="1"/>
      <c r="X182" s="1"/>
      <c r="Y182" s="1"/>
      <c r="Z182" s="1"/>
    </row>
    <row r="183" spans="1:26" ht="12.75" customHeight="1">
      <c r="A183" s="1"/>
      <c r="B183" s="46"/>
      <c r="C183" s="1"/>
      <c r="D183" s="1"/>
      <c r="E183" s="1"/>
      <c r="F183" s="66"/>
      <c r="G183" s="1"/>
      <c r="H183" s="1"/>
      <c r="I183" s="66"/>
      <c r="J183" s="1"/>
      <c r="K183" s="1"/>
      <c r="L183" s="1"/>
      <c r="M183" s="1"/>
      <c r="N183" s="1"/>
      <c r="O183" s="1"/>
      <c r="P183" s="1"/>
      <c r="Q183" s="1"/>
      <c r="R183" s="1"/>
      <c r="S183" s="1"/>
      <c r="T183" s="1"/>
      <c r="U183" s="1"/>
      <c r="V183" s="1"/>
      <c r="W183" s="1"/>
      <c r="X183" s="1"/>
      <c r="Y183" s="1"/>
      <c r="Z183" s="1"/>
    </row>
    <row r="184" spans="1:26" ht="12.75" customHeight="1">
      <c r="A184" s="1"/>
      <c r="B184" s="46"/>
      <c r="C184" s="1"/>
      <c r="D184" s="1"/>
      <c r="E184" s="1"/>
      <c r="F184" s="66"/>
      <c r="G184" s="1"/>
      <c r="H184" s="1"/>
      <c r="I184" s="66"/>
      <c r="J184" s="1"/>
      <c r="K184" s="1"/>
      <c r="L184" s="1"/>
      <c r="M184" s="1"/>
      <c r="N184" s="1"/>
      <c r="O184" s="1"/>
      <c r="P184" s="1"/>
      <c r="Q184" s="1"/>
      <c r="R184" s="1"/>
      <c r="S184" s="1"/>
      <c r="T184" s="1"/>
      <c r="U184" s="1"/>
      <c r="V184" s="1"/>
      <c r="W184" s="1"/>
      <c r="X184" s="1"/>
      <c r="Y184" s="1"/>
      <c r="Z184" s="1"/>
    </row>
    <row r="185" spans="1:26" ht="12.75" customHeight="1">
      <c r="A185" s="1"/>
      <c r="B185" s="46"/>
      <c r="C185" s="1"/>
      <c r="D185" s="1"/>
      <c r="E185" s="1"/>
      <c r="F185" s="66"/>
      <c r="G185" s="1"/>
      <c r="H185" s="1"/>
      <c r="I185" s="66"/>
      <c r="J185" s="1"/>
      <c r="K185" s="1"/>
      <c r="L185" s="1"/>
      <c r="M185" s="1"/>
      <c r="N185" s="1"/>
      <c r="O185" s="1"/>
      <c r="P185" s="1"/>
      <c r="Q185" s="1"/>
      <c r="R185" s="1"/>
      <c r="S185" s="1"/>
      <c r="T185" s="1"/>
      <c r="U185" s="1"/>
      <c r="V185" s="1"/>
      <c r="W185" s="1"/>
      <c r="X185" s="1"/>
      <c r="Y185" s="1"/>
      <c r="Z185" s="1"/>
    </row>
    <row r="186" spans="1:26" ht="12.75" customHeight="1">
      <c r="A186" s="1"/>
      <c r="B186" s="46"/>
      <c r="C186" s="1"/>
      <c r="D186" s="1"/>
      <c r="E186" s="1"/>
      <c r="F186" s="66"/>
      <c r="G186" s="1"/>
      <c r="H186" s="1"/>
      <c r="I186" s="66"/>
      <c r="J186" s="1"/>
      <c r="K186" s="1"/>
      <c r="L186" s="1"/>
      <c r="M186" s="1"/>
      <c r="N186" s="1"/>
      <c r="O186" s="1"/>
      <c r="P186" s="1"/>
      <c r="Q186" s="1"/>
      <c r="R186" s="1"/>
      <c r="S186" s="1"/>
      <c r="T186" s="1"/>
      <c r="U186" s="1"/>
      <c r="V186" s="1"/>
      <c r="W186" s="1"/>
      <c r="X186" s="1"/>
      <c r="Y186" s="1"/>
      <c r="Z186" s="1"/>
    </row>
    <row r="187" spans="1:26" ht="12.75" customHeight="1">
      <c r="A187" s="1"/>
      <c r="B187" s="46"/>
      <c r="C187" s="1"/>
      <c r="D187" s="1"/>
      <c r="E187" s="1"/>
      <c r="F187" s="66"/>
      <c r="G187" s="1"/>
      <c r="H187" s="1"/>
      <c r="I187" s="66"/>
      <c r="J187" s="1"/>
      <c r="K187" s="1"/>
      <c r="L187" s="1"/>
      <c r="M187" s="1"/>
      <c r="N187" s="1"/>
      <c r="O187" s="1"/>
      <c r="P187" s="1"/>
      <c r="Q187" s="1"/>
      <c r="R187" s="1"/>
      <c r="S187" s="1"/>
      <c r="T187" s="1"/>
      <c r="U187" s="1"/>
      <c r="V187" s="1"/>
      <c r="W187" s="1"/>
      <c r="X187" s="1"/>
      <c r="Y187" s="1"/>
      <c r="Z187" s="1"/>
    </row>
    <row r="188" spans="1:26" ht="12.75" customHeight="1">
      <c r="A188" s="1"/>
      <c r="B188" s="46"/>
      <c r="C188" s="1"/>
      <c r="D188" s="1"/>
      <c r="E188" s="1"/>
      <c r="F188" s="66"/>
      <c r="G188" s="1"/>
      <c r="H188" s="1"/>
      <c r="I188" s="66"/>
      <c r="J188" s="1"/>
      <c r="K188" s="1"/>
      <c r="L188" s="1"/>
      <c r="M188" s="1"/>
      <c r="N188" s="1"/>
      <c r="O188" s="1"/>
      <c r="P188" s="1"/>
      <c r="Q188" s="1"/>
      <c r="R188" s="1"/>
      <c r="S188" s="1"/>
      <c r="T188" s="1"/>
      <c r="U188" s="1"/>
      <c r="V188" s="1"/>
      <c r="W188" s="1"/>
      <c r="X188" s="1"/>
      <c r="Y188" s="1"/>
      <c r="Z188" s="1"/>
    </row>
    <row r="189" spans="1:26" ht="12.75" customHeight="1">
      <c r="A189" s="1"/>
      <c r="B189" s="46"/>
      <c r="C189" s="1"/>
      <c r="D189" s="1"/>
      <c r="E189" s="1"/>
      <c r="F189" s="66"/>
      <c r="G189" s="1"/>
      <c r="H189" s="1"/>
      <c r="I189" s="66"/>
      <c r="J189" s="1"/>
      <c r="K189" s="1"/>
      <c r="L189" s="1"/>
      <c r="M189" s="1"/>
      <c r="N189" s="1"/>
      <c r="O189" s="1"/>
      <c r="P189" s="1"/>
      <c r="Q189" s="1"/>
      <c r="R189" s="1"/>
      <c r="S189" s="1"/>
      <c r="T189" s="1"/>
      <c r="U189" s="1"/>
      <c r="V189" s="1"/>
      <c r="W189" s="1"/>
      <c r="X189" s="1"/>
      <c r="Y189" s="1"/>
      <c r="Z189" s="1"/>
    </row>
    <row r="190" spans="1:26" ht="12.75" customHeight="1">
      <c r="A190" s="1"/>
      <c r="B190" s="46"/>
      <c r="C190" s="1"/>
      <c r="D190" s="1"/>
      <c r="E190" s="1"/>
      <c r="F190" s="66"/>
      <c r="G190" s="1"/>
      <c r="H190" s="1"/>
      <c r="I190" s="66"/>
      <c r="J190" s="1"/>
      <c r="K190" s="1"/>
      <c r="L190" s="1"/>
      <c r="M190" s="1"/>
      <c r="N190" s="1"/>
      <c r="O190" s="1"/>
      <c r="P190" s="1"/>
      <c r="Q190" s="1"/>
      <c r="R190" s="1"/>
      <c r="S190" s="1"/>
      <c r="T190" s="1"/>
      <c r="U190" s="1"/>
      <c r="V190" s="1"/>
      <c r="W190" s="1"/>
      <c r="X190" s="1"/>
      <c r="Y190" s="1"/>
      <c r="Z190" s="1"/>
    </row>
    <row r="191" spans="1:26" ht="12.75" customHeight="1">
      <c r="A191" s="1"/>
      <c r="B191" s="46"/>
      <c r="C191" s="1"/>
      <c r="D191" s="1"/>
      <c r="E191" s="1"/>
      <c r="F191" s="66"/>
      <c r="G191" s="1"/>
      <c r="H191" s="1"/>
      <c r="I191" s="66"/>
      <c r="J191" s="1"/>
      <c r="K191" s="1"/>
      <c r="L191" s="1"/>
      <c r="M191" s="1"/>
      <c r="N191" s="1"/>
      <c r="O191" s="1"/>
      <c r="P191" s="1"/>
      <c r="Q191" s="1"/>
      <c r="R191" s="1"/>
      <c r="S191" s="1"/>
      <c r="T191" s="1"/>
      <c r="U191" s="1"/>
      <c r="V191" s="1"/>
      <c r="W191" s="1"/>
      <c r="X191" s="1"/>
      <c r="Y191" s="1"/>
      <c r="Z191" s="1"/>
    </row>
    <row r="192" spans="1:26" ht="12.75" customHeight="1">
      <c r="A192" s="1"/>
      <c r="B192" s="46"/>
      <c r="C192" s="1"/>
      <c r="D192" s="1"/>
      <c r="E192" s="1"/>
      <c r="F192" s="66"/>
      <c r="G192" s="1"/>
      <c r="H192" s="1"/>
      <c r="I192" s="66"/>
      <c r="J192" s="1"/>
      <c r="K192" s="1"/>
      <c r="L192" s="1"/>
      <c r="M192" s="1"/>
      <c r="N192" s="1"/>
      <c r="O192" s="1"/>
      <c r="P192" s="1"/>
      <c r="Q192" s="1"/>
      <c r="R192" s="1"/>
      <c r="S192" s="1"/>
      <c r="T192" s="1"/>
      <c r="U192" s="1"/>
      <c r="V192" s="1"/>
      <c r="W192" s="1"/>
      <c r="X192" s="1"/>
      <c r="Y192" s="1"/>
      <c r="Z192" s="1"/>
    </row>
    <row r="193" spans="1:26" ht="12.75" customHeight="1">
      <c r="A193" s="1"/>
      <c r="B193" s="46"/>
      <c r="C193" s="1"/>
      <c r="D193" s="1"/>
      <c r="E193" s="1"/>
      <c r="F193" s="66"/>
      <c r="G193" s="1"/>
      <c r="H193" s="1"/>
      <c r="I193" s="66"/>
      <c r="J193" s="1"/>
      <c r="K193" s="1"/>
      <c r="L193" s="1"/>
      <c r="M193" s="1"/>
      <c r="N193" s="1"/>
      <c r="O193" s="1"/>
      <c r="P193" s="1"/>
      <c r="Q193" s="1"/>
      <c r="R193" s="1"/>
      <c r="S193" s="1"/>
      <c r="T193" s="1"/>
      <c r="U193" s="1"/>
      <c r="V193" s="1"/>
      <c r="W193" s="1"/>
      <c r="X193" s="1"/>
      <c r="Y193" s="1"/>
      <c r="Z193" s="1"/>
    </row>
    <row r="194" spans="1:26" ht="12.75" customHeight="1">
      <c r="A194" s="1"/>
      <c r="B194" s="46"/>
      <c r="C194" s="1"/>
      <c r="D194" s="1"/>
      <c r="E194" s="1"/>
      <c r="F194" s="66"/>
      <c r="G194" s="1"/>
      <c r="H194" s="1"/>
      <c r="I194" s="66"/>
      <c r="J194" s="1"/>
      <c r="K194" s="1"/>
      <c r="L194" s="1"/>
      <c r="M194" s="1"/>
      <c r="N194" s="1"/>
      <c r="O194" s="1"/>
      <c r="P194" s="1"/>
      <c r="Q194" s="1"/>
      <c r="R194" s="1"/>
      <c r="S194" s="1"/>
      <c r="T194" s="1"/>
      <c r="U194" s="1"/>
      <c r="V194" s="1"/>
      <c r="W194" s="1"/>
      <c r="X194" s="1"/>
      <c r="Y194" s="1"/>
      <c r="Z194" s="1"/>
    </row>
    <row r="195" spans="1:26" ht="12.75" customHeight="1">
      <c r="A195" s="1"/>
      <c r="B195" s="46"/>
      <c r="C195" s="1"/>
      <c r="D195" s="1"/>
      <c r="E195" s="1"/>
      <c r="F195" s="66"/>
      <c r="G195" s="1"/>
      <c r="H195" s="1"/>
      <c r="I195" s="66"/>
      <c r="J195" s="1"/>
      <c r="K195" s="1"/>
      <c r="L195" s="1"/>
      <c r="M195" s="1"/>
      <c r="N195" s="1"/>
      <c r="O195" s="1"/>
      <c r="P195" s="1"/>
      <c r="Q195" s="1"/>
      <c r="R195" s="1"/>
      <c r="S195" s="1"/>
      <c r="T195" s="1"/>
      <c r="U195" s="1"/>
      <c r="V195" s="1"/>
      <c r="W195" s="1"/>
      <c r="X195" s="1"/>
      <c r="Y195" s="1"/>
      <c r="Z195" s="1"/>
    </row>
    <row r="196" spans="1:26" ht="12.75" customHeight="1">
      <c r="A196" s="1"/>
      <c r="B196" s="46"/>
      <c r="C196" s="1"/>
      <c r="D196" s="1"/>
      <c r="E196" s="1"/>
      <c r="F196" s="66"/>
      <c r="G196" s="1"/>
      <c r="H196" s="1"/>
      <c r="I196" s="66"/>
      <c r="J196" s="1"/>
      <c r="K196" s="1"/>
      <c r="L196" s="1"/>
      <c r="M196" s="1"/>
      <c r="N196" s="1"/>
      <c r="O196" s="1"/>
      <c r="P196" s="1"/>
      <c r="Q196" s="1"/>
      <c r="R196" s="1"/>
      <c r="S196" s="1"/>
      <c r="T196" s="1"/>
      <c r="U196" s="1"/>
      <c r="V196" s="1"/>
      <c r="W196" s="1"/>
      <c r="X196" s="1"/>
      <c r="Y196" s="1"/>
      <c r="Z196" s="1"/>
    </row>
    <row r="197" spans="1:26" ht="12.75" customHeight="1">
      <c r="A197" s="1"/>
      <c r="B197" s="46"/>
      <c r="C197" s="1"/>
      <c r="D197" s="1"/>
      <c r="E197" s="1"/>
      <c r="F197" s="66"/>
      <c r="G197" s="1"/>
      <c r="H197" s="1"/>
      <c r="I197" s="66"/>
      <c r="J197" s="1"/>
      <c r="K197" s="1"/>
      <c r="L197" s="1"/>
      <c r="M197" s="1"/>
      <c r="N197" s="1"/>
      <c r="O197" s="1"/>
      <c r="P197" s="1"/>
      <c r="Q197" s="1"/>
      <c r="R197" s="1"/>
      <c r="S197" s="1"/>
      <c r="T197" s="1"/>
      <c r="U197" s="1"/>
      <c r="V197" s="1"/>
      <c r="W197" s="1"/>
      <c r="X197" s="1"/>
      <c r="Y197" s="1"/>
      <c r="Z197" s="1"/>
    </row>
    <row r="198" spans="1:26" ht="12.75" customHeight="1">
      <c r="A198" s="1"/>
      <c r="B198" s="46"/>
      <c r="C198" s="1"/>
      <c r="D198" s="1"/>
      <c r="E198" s="1"/>
      <c r="F198" s="66"/>
      <c r="G198" s="1"/>
      <c r="H198" s="1"/>
      <c r="I198" s="66"/>
      <c r="J198" s="1"/>
      <c r="K198" s="1"/>
      <c r="L198" s="1"/>
      <c r="M198" s="1"/>
      <c r="N198" s="1"/>
      <c r="O198" s="1"/>
      <c r="P198" s="1"/>
      <c r="Q198" s="1"/>
      <c r="R198" s="1"/>
      <c r="S198" s="1"/>
      <c r="T198" s="1"/>
      <c r="U198" s="1"/>
      <c r="V198" s="1"/>
      <c r="W198" s="1"/>
      <c r="X198" s="1"/>
      <c r="Y198" s="1"/>
      <c r="Z198" s="1"/>
    </row>
    <row r="199" spans="1:26" ht="12.75" customHeight="1">
      <c r="A199" s="1"/>
      <c r="B199" s="46"/>
      <c r="C199" s="1"/>
      <c r="D199" s="1"/>
      <c r="E199" s="1"/>
      <c r="F199" s="66"/>
      <c r="G199" s="1"/>
      <c r="H199" s="1"/>
      <c r="I199" s="66"/>
      <c r="J199" s="1"/>
      <c r="K199" s="1"/>
      <c r="L199" s="1"/>
      <c r="M199" s="1"/>
      <c r="N199" s="1"/>
      <c r="O199" s="1"/>
      <c r="P199" s="1"/>
      <c r="Q199" s="1"/>
      <c r="R199" s="1"/>
      <c r="S199" s="1"/>
      <c r="T199" s="1"/>
      <c r="U199" s="1"/>
      <c r="V199" s="1"/>
      <c r="W199" s="1"/>
      <c r="X199" s="1"/>
      <c r="Y199" s="1"/>
      <c r="Z199" s="1"/>
    </row>
    <row r="200" spans="1:26" ht="12.75" customHeight="1">
      <c r="A200" s="1"/>
      <c r="B200" s="46"/>
      <c r="C200" s="1"/>
      <c r="D200" s="1"/>
      <c r="E200" s="1"/>
      <c r="F200" s="66"/>
      <c r="G200" s="1"/>
      <c r="H200" s="1"/>
      <c r="I200" s="66"/>
      <c r="J200" s="1"/>
      <c r="K200" s="1"/>
      <c r="L200" s="1"/>
      <c r="M200" s="1"/>
      <c r="N200" s="1"/>
      <c r="O200" s="1"/>
      <c r="P200" s="1"/>
      <c r="Q200" s="1"/>
      <c r="R200" s="1"/>
      <c r="S200" s="1"/>
      <c r="T200" s="1"/>
      <c r="U200" s="1"/>
      <c r="V200" s="1"/>
      <c r="W200" s="1"/>
      <c r="X200" s="1"/>
      <c r="Y200" s="1"/>
      <c r="Z200" s="1"/>
    </row>
    <row r="201" spans="1:26" ht="12.75" customHeight="1">
      <c r="A201" s="1"/>
      <c r="B201" s="46"/>
      <c r="C201" s="1"/>
      <c r="D201" s="1"/>
      <c r="E201" s="1"/>
      <c r="F201" s="66"/>
      <c r="G201" s="1"/>
      <c r="H201" s="1"/>
      <c r="I201" s="66"/>
      <c r="J201" s="1"/>
      <c r="K201" s="1"/>
      <c r="L201" s="1"/>
      <c r="M201" s="1"/>
      <c r="N201" s="1"/>
      <c r="O201" s="1"/>
      <c r="P201" s="1"/>
      <c r="Q201" s="1"/>
      <c r="R201" s="1"/>
      <c r="S201" s="1"/>
      <c r="T201" s="1"/>
      <c r="U201" s="1"/>
      <c r="V201" s="1"/>
      <c r="W201" s="1"/>
      <c r="X201" s="1"/>
      <c r="Y201" s="1"/>
      <c r="Z201" s="1"/>
    </row>
    <row r="202" spans="1:26" ht="12.75" customHeight="1">
      <c r="A202" s="1"/>
      <c r="B202" s="46"/>
      <c r="C202" s="1"/>
      <c r="D202" s="1"/>
      <c r="E202" s="1"/>
      <c r="F202" s="66"/>
      <c r="G202" s="1"/>
      <c r="H202" s="1"/>
      <c r="I202" s="66"/>
      <c r="J202" s="1"/>
      <c r="K202" s="1"/>
      <c r="L202" s="1"/>
      <c r="M202" s="1"/>
      <c r="N202" s="1"/>
      <c r="O202" s="1"/>
      <c r="P202" s="1"/>
      <c r="Q202" s="1"/>
      <c r="R202" s="1"/>
      <c r="S202" s="1"/>
      <c r="T202" s="1"/>
      <c r="U202" s="1"/>
      <c r="V202" s="1"/>
      <c r="W202" s="1"/>
      <c r="X202" s="1"/>
      <c r="Y202" s="1"/>
      <c r="Z202" s="1"/>
    </row>
    <row r="203" spans="1:26" ht="12.75" customHeight="1">
      <c r="A203" s="1"/>
      <c r="B203" s="46"/>
      <c r="C203" s="1"/>
      <c r="D203" s="1"/>
      <c r="E203" s="1"/>
      <c r="F203" s="66"/>
      <c r="G203" s="1"/>
      <c r="H203" s="1"/>
      <c r="I203" s="66"/>
      <c r="J203" s="1"/>
      <c r="K203" s="1"/>
      <c r="L203" s="1"/>
      <c r="M203" s="1"/>
      <c r="N203" s="1"/>
      <c r="O203" s="1"/>
      <c r="P203" s="1"/>
      <c r="Q203" s="1"/>
      <c r="R203" s="1"/>
      <c r="S203" s="1"/>
      <c r="T203" s="1"/>
      <c r="U203" s="1"/>
      <c r="V203" s="1"/>
      <c r="W203" s="1"/>
      <c r="X203" s="1"/>
      <c r="Y203" s="1"/>
      <c r="Z203" s="1"/>
    </row>
    <row r="204" spans="1:26" ht="12.75" customHeight="1">
      <c r="A204" s="1"/>
      <c r="B204" s="46"/>
      <c r="C204" s="1"/>
      <c r="D204" s="1"/>
      <c r="E204" s="1"/>
      <c r="F204" s="66"/>
      <c r="G204" s="1"/>
      <c r="H204" s="1"/>
      <c r="I204" s="66"/>
      <c r="J204" s="1"/>
      <c r="K204" s="1"/>
      <c r="L204" s="1"/>
      <c r="M204" s="1"/>
      <c r="N204" s="1"/>
      <c r="O204" s="1"/>
      <c r="P204" s="1"/>
      <c r="Q204" s="1"/>
      <c r="R204" s="1"/>
      <c r="S204" s="1"/>
      <c r="T204" s="1"/>
      <c r="U204" s="1"/>
      <c r="V204" s="1"/>
      <c r="W204" s="1"/>
      <c r="X204" s="1"/>
      <c r="Y204" s="1"/>
      <c r="Z204" s="1"/>
    </row>
    <row r="205" spans="1:26" ht="12.75" customHeight="1">
      <c r="A205" s="1"/>
      <c r="B205" s="46"/>
      <c r="C205" s="1"/>
      <c r="D205" s="1"/>
      <c r="E205" s="1"/>
      <c r="F205" s="66"/>
      <c r="G205" s="1"/>
      <c r="H205" s="1"/>
      <c r="I205" s="66"/>
      <c r="J205" s="1"/>
      <c r="K205" s="1"/>
      <c r="L205" s="1"/>
      <c r="M205" s="1"/>
      <c r="N205" s="1"/>
      <c r="O205" s="1"/>
      <c r="P205" s="1"/>
      <c r="Q205" s="1"/>
      <c r="R205" s="1"/>
      <c r="S205" s="1"/>
      <c r="T205" s="1"/>
      <c r="U205" s="1"/>
      <c r="V205" s="1"/>
      <c r="W205" s="1"/>
      <c r="X205" s="1"/>
      <c r="Y205" s="1"/>
      <c r="Z205" s="1"/>
    </row>
    <row r="206" spans="1:26" ht="12.75" customHeight="1">
      <c r="A206" s="1"/>
      <c r="B206" s="46"/>
      <c r="C206" s="1"/>
      <c r="D206" s="1"/>
      <c r="E206" s="1"/>
      <c r="F206" s="66"/>
      <c r="G206" s="1"/>
      <c r="H206" s="1"/>
      <c r="I206" s="66"/>
      <c r="J206" s="1"/>
      <c r="K206" s="1"/>
      <c r="L206" s="1"/>
      <c r="M206" s="1"/>
      <c r="N206" s="1"/>
      <c r="O206" s="1"/>
      <c r="P206" s="1"/>
      <c r="Q206" s="1"/>
      <c r="R206" s="1"/>
      <c r="S206" s="1"/>
      <c r="T206" s="1"/>
      <c r="U206" s="1"/>
      <c r="V206" s="1"/>
      <c r="W206" s="1"/>
      <c r="X206" s="1"/>
      <c r="Y206" s="1"/>
      <c r="Z206" s="1"/>
    </row>
    <row r="207" spans="1:26" ht="12.75" customHeight="1">
      <c r="A207" s="1"/>
      <c r="B207" s="46"/>
      <c r="C207" s="1"/>
      <c r="D207" s="1"/>
      <c r="E207" s="1"/>
      <c r="F207" s="66"/>
      <c r="G207" s="1"/>
      <c r="H207" s="1"/>
      <c r="I207" s="66"/>
      <c r="J207" s="1"/>
      <c r="K207" s="1"/>
      <c r="L207" s="1"/>
      <c r="M207" s="1"/>
      <c r="N207" s="1"/>
      <c r="O207" s="1"/>
      <c r="P207" s="1"/>
      <c r="Q207" s="1"/>
      <c r="R207" s="1"/>
      <c r="S207" s="1"/>
      <c r="T207" s="1"/>
      <c r="U207" s="1"/>
      <c r="V207" s="1"/>
      <c r="W207" s="1"/>
      <c r="X207" s="1"/>
      <c r="Y207" s="1"/>
      <c r="Z207" s="1"/>
    </row>
    <row r="208" spans="1:26" ht="12.75" customHeight="1">
      <c r="A208" s="1"/>
      <c r="B208" s="46"/>
      <c r="C208" s="1"/>
      <c r="D208" s="1"/>
      <c r="E208" s="1"/>
      <c r="F208" s="66"/>
      <c r="G208" s="1"/>
      <c r="H208" s="1"/>
      <c r="I208" s="66"/>
      <c r="J208" s="1"/>
      <c r="K208" s="1"/>
      <c r="L208" s="1"/>
      <c r="M208" s="1"/>
      <c r="N208" s="1"/>
      <c r="O208" s="1"/>
      <c r="P208" s="1"/>
      <c r="Q208" s="1"/>
      <c r="R208" s="1"/>
      <c r="S208" s="1"/>
      <c r="T208" s="1"/>
      <c r="U208" s="1"/>
      <c r="V208" s="1"/>
      <c r="W208" s="1"/>
      <c r="X208" s="1"/>
      <c r="Y208" s="1"/>
      <c r="Z208" s="1"/>
    </row>
    <row r="209" spans="1:26" ht="12.75" customHeight="1">
      <c r="A209" s="1"/>
      <c r="B209" s="46"/>
      <c r="C209" s="1"/>
      <c r="D209" s="1"/>
      <c r="E209" s="1"/>
      <c r="F209" s="66"/>
      <c r="G209" s="1"/>
      <c r="H209" s="1"/>
      <c r="I209" s="66"/>
      <c r="J209" s="1"/>
      <c r="K209" s="1"/>
      <c r="L209" s="1"/>
      <c r="M209" s="1"/>
      <c r="N209" s="1"/>
      <c r="O209" s="1"/>
      <c r="P209" s="1"/>
      <c r="Q209" s="1"/>
      <c r="R209" s="1"/>
      <c r="S209" s="1"/>
      <c r="T209" s="1"/>
      <c r="U209" s="1"/>
      <c r="V209" s="1"/>
      <c r="W209" s="1"/>
      <c r="X209" s="1"/>
      <c r="Y209" s="1"/>
      <c r="Z209" s="1"/>
    </row>
    <row r="210" spans="1:26" ht="12.75" customHeight="1">
      <c r="A210" s="1"/>
      <c r="B210" s="46"/>
      <c r="C210" s="1"/>
      <c r="D210" s="1"/>
      <c r="E210" s="1"/>
      <c r="F210" s="66"/>
      <c r="G210" s="1"/>
      <c r="H210" s="1"/>
      <c r="I210" s="66"/>
      <c r="J210" s="1"/>
      <c r="K210" s="1"/>
      <c r="L210" s="1"/>
      <c r="M210" s="1"/>
      <c r="N210" s="1"/>
      <c r="O210" s="1"/>
      <c r="P210" s="1"/>
      <c r="Q210" s="1"/>
      <c r="R210" s="1"/>
      <c r="S210" s="1"/>
      <c r="T210" s="1"/>
      <c r="U210" s="1"/>
      <c r="V210" s="1"/>
      <c r="W210" s="1"/>
      <c r="X210" s="1"/>
      <c r="Y210" s="1"/>
      <c r="Z210" s="1"/>
    </row>
    <row r="211" spans="1:26" ht="12.75" customHeight="1">
      <c r="A211" s="1"/>
      <c r="B211" s="46"/>
      <c r="C211" s="1"/>
      <c r="D211" s="1"/>
      <c r="E211" s="1"/>
      <c r="F211" s="66"/>
      <c r="G211" s="1"/>
      <c r="H211" s="1"/>
      <c r="I211" s="66"/>
      <c r="J211" s="1"/>
      <c r="K211" s="1"/>
      <c r="L211" s="1"/>
      <c r="M211" s="1"/>
      <c r="N211" s="1"/>
      <c r="O211" s="1"/>
      <c r="P211" s="1"/>
      <c r="Q211" s="1"/>
      <c r="R211" s="1"/>
      <c r="S211" s="1"/>
      <c r="T211" s="1"/>
      <c r="U211" s="1"/>
      <c r="V211" s="1"/>
      <c r="W211" s="1"/>
      <c r="X211" s="1"/>
      <c r="Y211" s="1"/>
      <c r="Z211" s="1"/>
    </row>
    <row r="212" spans="1:26" ht="12.75" customHeight="1">
      <c r="A212" s="1"/>
      <c r="B212" s="46"/>
      <c r="C212" s="1"/>
      <c r="D212" s="1"/>
      <c r="E212" s="1"/>
      <c r="F212" s="66"/>
      <c r="G212" s="1"/>
      <c r="H212" s="1"/>
      <c r="I212" s="66"/>
      <c r="J212" s="1"/>
      <c r="K212" s="1"/>
      <c r="L212" s="1"/>
      <c r="M212" s="1"/>
      <c r="N212" s="1"/>
      <c r="O212" s="1"/>
      <c r="P212" s="1"/>
      <c r="Q212" s="1"/>
      <c r="R212" s="1"/>
      <c r="S212" s="1"/>
      <c r="T212" s="1"/>
      <c r="U212" s="1"/>
      <c r="V212" s="1"/>
      <c r="W212" s="1"/>
      <c r="X212" s="1"/>
      <c r="Y212" s="1"/>
      <c r="Z212" s="1"/>
    </row>
    <row r="213" spans="1:26" ht="12.75" customHeight="1">
      <c r="A213" s="1"/>
      <c r="B213" s="46"/>
      <c r="C213" s="1"/>
      <c r="D213" s="1"/>
      <c r="E213" s="1"/>
      <c r="F213" s="66"/>
      <c r="G213" s="1"/>
      <c r="H213" s="1"/>
      <c r="I213" s="66"/>
      <c r="J213" s="1"/>
      <c r="K213" s="1"/>
      <c r="L213" s="1"/>
      <c r="M213" s="1"/>
      <c r="N213" s="1"/>
      <c r="O213" s="1"/>
      <c r="P213" s="1"/>
      <c r="Q213" s="1"/>
      <c r="R213" s="1"/>
      <c r="S213" s="1"/>
      <c r="T213" s="1"/>
      <c r="U213" s="1"/>
      <c r="V213" s="1"/>
      <c r="W213" s="1"/>
      <c r="X213" s="1"/>
      <c r="Y213" s="1"/>
      <c r="Z213" s="1"/>
    </row>
    <row r="214" spans="1:26" ht="12.75" customHeight="1">
      <c r="A214" s="1"/>
      <c r="B214" s="46"/>
      <c r="C214" s="1"/>
      <c r="D214" s="1"/>
      <c r="E214" s="1"/>
      <c r="F214" s="66"/>
      <c r="G214" s="1"/>
      <c r="H214" s="1"/>
      <c r="I214" s="66"/>
      <c r="J214" s="1"/>
      <c r="K214" s="1"/>
      <c r="L214" s="1"/>
      <c r="M214" s="1"/>
      <c r="N214" s="1"/>
      <c r="O214" s="1"/>
      <c r="P214" s="1"/>
      <c r="Q214" s="1"/>
      <c r="R214" s="1"/>
      <c r="S214" s="1"/>
      <c r="T214" s="1"/>
      <c r="U214" s="1"/>
      <c r="V214" s="1"/>
      <c r="W214" s="1"/>
      <c r="X214" s="1"/>
      <c r="Y214" s="1"/>
      <c r="Z214" s="1"/>
    </row>
    <row r="215" spans="1:26" ht="12.75" customHeight="1">
      <c r="A215" s="1"/>
      <c r="B215" s="46"/>
      <c r="C215" s="1"/>
      <c r="D215" s="1"/>
      <c r="E215" s="1"/>
      <c r="F215" s="66"/>
      <c r="G215" s="1"/>
      <c r="H215" s="1"/>
      <c r="I215" s="66"/>
      <c r="J215" s="1"/>
      <c r="K215" s="1"/>
      <c r="L215" s="1"/>
      <c r="M215" s="1"/>
      <c r="N215" s="1"/>
      <c r="O215" s="1"/>
      <c r="P215" s="1"/>
      <c r="Q215" s="1"/>
      <c r="R215" s="1"/>
      <c r="S215" s="1"/>
      <c r="T215" s="1"/>
      <c r="U215" s="1"/>
      <c r="V215" s="1"/>
      <c r="W215" s="1"/>
      <c r="X215" s="1"/>
      <c r="Y215" s="1"/>
      <c r="Z215" s="1"/>
    </row>
    <row r="216" spans="1:26" ht="12.75" customHeight="1">
      <c r="A216" s="1"/>
      <c r="B216" s="46"/>
      <c r="C216" s="1"/>
      <c r="D216" s="1"/>
      <c r="E216" s="1"/>
      <c r="F216" s="66"/>
      <c r="G216" s="1"/>
      <c r="H216" s="1"/>
      <c r="I216" s="66"/>
      <c r="J216" s="1"/>
      <c r="K216" s="1"/>
      <c r="L216" s="1"/>
      <c r="M216" s="1"/>
      <c r="N216" s="1"/>
      <c r="O216" s="1"/>
      <c r="P216" s="1"/>
      <c r="Q216" s="1"/>
      <c r="R216" s="1"/>
      <c r="S216" s="1"/>
      <c r="T216" s="1"/>
      <c r="U216" s="1"/>
      <c r="V216" s="1"/>
      <c r="W216" s="1"/>
      <c r="X216" s="1"/>
      <c r="Y216" s="1"/>
      <c r="Z216" s="1"/>
    </row>
    <row r="217" spans="1:26" ht="12.75" customHeight="1">
      <c r="A217" s="1"/>
      <c r="B217" s="46"/>
      <c r="C217" s="1"/>
      <c r="D217" s="1"/>
      <c r="E217" s="1"/>
      <c r="F217" s="66"/>
      <c r="G217" s="1"/>
      <c r="H217" s="1"/>
      <c r="I217" s="66"/>
      <c r="J217" s="1"/>
      <c r="K217" s="1"/>
      <c r="L217" s="1"/>
      <c r="M217" s="1"/>
      <c r="N217" s="1"/>
      <c r="O217" s="1"/>
      <c r="P217" s="1"/>
      <c r="Q217" s="1"/>
      <c r="R217" s="1"/>
      <c r="S217" s="1"/>
      <c r="T217" s="1"/>
      <c r="U217" s="1"/>
      <c r="V217" s="1"/>
      <c r="W217" s="1"/>
      <c r="X217" s="1"/>
      <c r="Y217" s="1"/>
      <c r="Z217" s="1"/>
    </row>
    <row r="218" spans="1:26" ht="12.75" customHeight="1">
      <c r="A218" s="1"/>
      <c r="B218" s="46"/>
      <c r="C218" s="1"/>
      <c r="D218" s="1"/>
      <c r="E218" s="1"/>
      <c r="F218" s="66"/>
      <c r="G218" s="1"/>
      <c r="H218" s="1"/>
      <c r="I218" s="66"/>
      <c r="J218" s="1"/>
      <c r="K218" s="1"/>
      <c r="L218" s="1"/>
      <c r="M218" s="1"/>
      <c r="N218" s="1"/>
      <c r="O218" s="1"/>
      <c r="P218" s="1"/>
      <c r="Q218" s="1"/>
      <c r="R218" s="1"/>
      <c r="S218" s="1"/>
      <c r="T218" s="1"/>
      <c r="U218" s="1"/>
      <c r="V218" s="1"/>
      <c r="W218" s="1"/>
      <c r="X218" s="1"/>
      <c r="Y218" s="1"/>
      <c r="Z218" s="1"/>
    </row>
    <row r="219" spans="1:26" ht="12.75" customHeight="1">
      <c r="A219" s="1"/>
      <c r="B219" s="46"/>
      <c r="C219" s="1"/>
      <c r="D219" s="1"/>
      <c r="E219" s="1"/>
      <c r="F219" s="66"/>
      <c r="G219" s="1"/>
      <c r="H219" s="1"/>
      <c r="I219" s="66"/>
      <c r="J219" s="1"/>
      <c r="K219" s="1"/>
      <c r="L219" s="1"/>
      <c r="M219" s="1"/>
      <c r="N219" s="1"/>
      <c r="O219" s="1"/>
      <c r="P219" s="1"/>
      <c r="Q219" s="1"/>
      <c r="R219" s="1"/>
      <c r="S219" s="1"/>
      <c r="T219" s="1"/>
      <c r="U219" s="1"/>
      <c r="V219" s="1"/>
      <c r="W219" s="1"/>
      <c r="X219" s="1"/>
      <c r="Y219" s="1"/>
      <c r="Z219" s="1"/>
    </row>
    <row r="220" spans="1:26" ht="12.75" customHeight="1">
      <c r="A220" s="1"/>
      <c r="B220" s="46"/>
      <c r="C220" s="1"/>
      <c r="D220" s="1"/>
      <c r="E220" s="1"/>
      <c r="F220" s="66"/>
      <c r="G220" s="1"/>
      <c r="H220" s="1"/>
      <c r="I220" s="66"/>
      <c r="J220" s="1"/>
      <c r="K220" s="1"/>
      <c r="L220" s="1"/>
      <c r="M220" s="1"/>
      <c r="N220" s="1"/>
      <c r="O220" s="1"/>
      <c r="P220" s="1"/>
      <c r="Q220" s="1"/>
      <c r="R220" s="1"/>
      <c r="S220" s="1"/>
      <c r="T220" s="1"/>
      <c r="U220" s="1"/>
      <c r="V220" s="1"/>
      <c r="W220" s="1"/>
      <c r="X220" s="1"/>
      <c r="Y220" s="1"/>
      <c r="Z220" s="1"/>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9:C9"/>
    <mergeCell ref="B10:C10"/>
    <mergeCell ref="C13:G13"/>
    <mergeCell ref="C16:G16"/>
  </mergeCells>
  <pageMargins left="0.25" right="0.25" top="0.75" bottom="0.75" header="0.3" footer="0.3"/>
  <pageSetup paperSize="5" scale="5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10"/>
  <sheetViews>
    <sheetView tabSelected="1" workbookViewId="0">
      <selection activeCell="T46" sqref="A1:T46"/>
    </sheetView>
  </sheetViews>
  <sheetFormatPr baseColWidth="10" defaultColWidth="12.5703125" defaultRowHeight="15" customHeight="1"/>
  <cols>
    <col min="1" max="1" width="2.140625" customWidth="1"/>
    <col min="2" max="2" width="52.7109375" customWidth="1"/>
    <col min="3" max="3" width="34.85546875" customWidth="1"/>
    <col min="4" max="4" width="27.28515625" customWidth="1"/>
    <col min="5" max="5" width="36.140625" customWidth="1"/>
    <col min="6" max="6" width="17.85546875" customWidth="1"/>
    <col min="7" max="7" width="21.42578125" customWidth="1"/>
    <col min="8" max="8" width="19.7109375" customWidth="1"/>
    <col min="9" max="9" width="19.140625" customWidth="1"/>
    <col min="10" max="10" width="22.7109375" customWidth="1"/>
    <col min="11" max="11" width="11.42578125" customWidth="1"/>
    <col min="12" max="12" width="18.140625" customWidth="1"/>
    <col min="13" max="13" width="17.42578125" customWidth="1"/>
    <col min="14" max="26" width="11.42578125" customWidth="1"/>
  </cols>
  <sheetData>
    <row r="1" spans="1:26" ht="12.75" customHeight="1">
      <c r="A1" s="1"/>
      <c r="B1" s="46"/>
      <c r="C1" s="1"/>
      <c r="D1" s="1"/>
      <c r="E1" s="1"/>
      <c r="F1" s="66"/>
      <c r="G1" s="1"/>
      <c r="H1" s="1"/>
      <c r="I1" s="66"/>
      <c r="J1" s="1"/>
      <c r="K1" s="1"/>
      <c r="L1" s="1"/>
      <c r="M1" s="1"/>
      <c r="N1" s="1"/>
      <c r="O1" s="1"/>
      <c r="P1" s="1"/>
      <c r="Q1" s="1"/>
      <c r="R1" s="1"/>
      <c r="S1" s="1"/>
      <c r="T1" s="1"/>
      <c r="U1" s="1"/>
      <c r="V1" s="1"/>
      <c r="W1" s="1"/>
      <c r="X1" s="1"/>
      <c r="Y1" s="1"/>
      <c r="Z1" s="1"/>
    </row>
    <row r="2" spans="1:26" ht="12.75" customHeight="1">
      <c r="A2" s="1"/>
      <c r="B2" s="46"/>
      <c r="C2" s="1"/>
      <c r="D2" s="1"/>
      <c r="E2" s="1"/>
      <c r="F2" s="66"/>
      <c r="G2" s="1"/>
      <c r="H2" s="1"/>
      <c r="I2" s="66"/>
      <c r="J2" s="1"/>
      <c r="K2" s="1"/>
      <c r="L2" s="1"/>
      <c r="M2" s="1"/>
      <c r="N2" s="1"/>
      <c r="O2" s="1"/>
      <c r="P2" s="1"/>
      <c r="Q2" s="1"/>
      <c r="R2" s="1"/>
      <c r="S2" s="1"/>
      <c r="T2" s="1"/>
      <c r="U2" s="1"/>
      <c r="V2" s="1"/>
      <c r="W2" s="1"/>
      <c r="X2" s="1"/>
      <c r="Y2" s="1"/>
      <c r="Z2" s="1"/>
    </row>
    <row r="3" spans="1:26" ht="12.75" customHeight="1">
      <c r="A3" s="1"/>
      <c r="B3" s="46"/>
      <c r="C3" s="1"/>
      <c r="D3" s="1"/>
      <c r="E3" s="1"/>
      <c r="F3" s="66"/>
      <c r="G3" s="1"/>
      <c r="H3" s="1"/>
      <c r="I3" s="66"/>
      <c r="J3" s="1"/>
      <c r="K3" s="1"/>
      <c r="L3" s="1"/>
      <c r="M3" s="1"/>
      <c r="N3" s="1"/>
      <c r="O3" s="1"/>
      <c r="P3" s="1"/>
      <c r="Q3" s="1"/>
      <c r="R3" s="1"/>
      <c r="S3" s="1"/>
      <c r="T3" s="1"/>
      <c r="U3" s="1"/>
      <c r="V3" s="1"/>
      <c r="W3" s="1"/>
      <c r="X3" s="1"/>
      <c r="Y3" s="1"/>
      <c r="Z3" s="1"/>
    </row>
    <row r="4" spans="1:26" ht="12.75" customHeight="1">
      <c r="A4" s="1"/>
      <c r="B4" s="46"/>
      <c r="C4" s="1"/>
      <c r="D4" s="1"/>
      <c r="E4" s="1"/>
      <c r="F4" s="66"/>
      <c r="G4" s="1"/>
      <c r="H4" s="1"/>
      <c r="I4" s="66"/>
      <c r="J4" s="1"/>
      <c r="K4" s="1"/>
      <c r="L4" s="1"/>
      <c r="M4" s="1"/>
      <c r="N4" s="1"/>
      <c r="O4" s="1"/>
      <c r="P4" s="1"/>
      <c r="Q4" s="1"/>
      <c r="R4" s="1"/>
      <c r="S4" s="1"/>
      <c r="T4" s="1"/>
      <c r="U4" s="1"/>
      <c r="V4" s="1"/>
      <c r="W4" s="1"/>
      <c r="X4" s="1"/>
      <c r="Y4" s="1"/>
      <c r="Z4" s="1"/>
    </row>
    <row r="5" spans="1:26" ht="12.75" customHeight="1">
      <c r="A5" s="1"/>
      <c r="B5" s="46"/>
      <c r="C5" s="1"/>
      <c r="D5" s="1"/>
      <c r="E5" s="1"/>
      <c r="F5" s="66"/>
      <c r="G5" s="1"/>
      <c r="H5" s="1"/>
      <c r="I5" s="66"/>
      <c r="J5" s="1"/>
      <c r="K5" s="1"/>
      <c r="L5" s="1"/>
      <c r="M5" s="1"/>
      <c r="N5" s="1"/>
      <c r="O5" s="1"/>
      <c r="P5" s="1"/>
      <c r="Q5" s="1"/>
      <c r="R5" s="1"/>
      <c r="S5" s="1"/>
      <c r="T5" s="1"/>
      <c r="U5" s="1"/>
      <c r="V5" s="1"/>
      <c r="W5" s="1"/>
      <c r="X5" s="1"/>
      <c r="Y5" s="1"/>
      <c r="Z5" s="1"/>
    </row>
    <row r="6" spans="1:26" ht="12.75" customHeight="1">
      <c r="A6" s="1"/>
      <c r="B6" s="46"/>
      <c r="C6" s="1"/>
      <c r="D6" s="1"/>
      <c r="E6" s="1"/>
      <c r="F6" s="66"/>
      <c r="G6" s="1"/>
      <c r="H6" s="1"/>
      <c r="I6" s="66"/>
      <c r="J6" s="1"/>
      <c r="K6" s="1"/>
      <c r="L6" s="1"/>
      <c r="M6" s="1"/>
      <c r="N6" s="1"/>
      <c r="O6" s="1"/>
      <c r="P6" s="1"/>
      <c r="Q6" s="1"/>
      <c r="R6" s="1"/>
      <c r="S6" s="1"/>
      <c r="T6" s="1"/>
      <c r="U6" s="1"/>
      <c r="V6" s="1"/>
      <c r="W6" s="1"/>
      <c r="X6" s="1"/>
      <c r="Y6" s="1"/>
      <c r="Z6" s="1"/>
    </row>
    <row r="7" spans="1:26" ht="12.75" customHeight="1">
      <c r="A7" s="1"/>
      <c r="B7" s="46"/>
      <c r="C7" s="1"/>
      <c r="D7" s="1"/>
      <c r="E7" s="1"/>
      <c r="F7" s="66"/>
      <c r="G7" s="1"/>
      <c r="H7" s="1"/>
      <c r="I7" s="66"/>
      <c r="J7" s="1"/>
      <c r="K7" s="1"/>
      <c r="L7" s="1"/>
      <c r="M7" s="1"/>
      <c r="N7" s="1"/>
      <c r="O7" s="1"/>
      <c r="P7" s="1"/>
      <c r="Q7" s="1"/>
      <c r="R7" s="1"/>
      <c r="S7" s="1"/>
      <c r="T7" s="1"/>
      <c r="U7" s="1"/>
      <c r="V7" s="1"/>
      <c r="W7" s="1"/>
      <c r="X7" s="1"/>
      <c r="Y7" s="1"/>
      <c r="Z7" s="1"/>
    </row>
    <row r="8" spans="1:26" ht="12.75" customHeight="1">
      <c r="A8" s="1"/>
      <c r="B8" s="2" t="str">
        <f>'24.03.034'!B8</f>
        <v>4° Trimestre</v>
      </c>
      <c r="C8" s="3"/>
      <c r="D8" s="1"/>
      <c r="E8" s="1"/>
      <c r="F8" s="66"/>
      <c r="G8" s="1"/>
      <c r="H8" s="1"/>
      <c r="I8" s="66"/>
      <c r="J8" s="1"/>
      <c r="K8" s="1"/>
      <c r="L8" s="1"/>
      <c r="M8" s="1"/>
      <c r="N8" s="1"/>
      <c r="O8" s="1"/>
      <c r="P8" s="1"/>
      <c r="Q8" s="1"/>
      <c r="R8" s="1"/>
      <c r="S8" s="1"/>
      <c r="T8" s="1"/>
      <c r="U8" s="1"/>
      <c r="V8" s="1"/>
      <c r="W8" s="1"/>
      <c r="X8" s="1"/>
      <c r="Y8" s="1"/>
      <c r="Z8" s="1"/>
    </row>
    <row r="9" spans="1:26" ht="12.75" customHeight="1">
      <c r="A9" s="1"/>
      <c r="B9" s="110" t="s">
        <v>1</v>
      </c>
      <c r="C9" s="111"/>
      <c r="D9" s="1"/>
      <c r="E9" s="1"/>
      <c r="F9" s="66"/>
      <c r="G9" s="1"/>
      <c r="H9" s="1"/>
      <c r="I9" s="66"/>
      <c r="J9" s="1"/>
      <c r="K9" s="1"/>
      <c r="L9" s="1"/>
      <c r="M9" s="1"/>
      <c r="N9" s="1"/>
      <c r="O9" s="1"/>
      <c r="P9" s="1"/>
      <c r="Q9" s="1"/>
      <c r="R9" s="1"/>
      <c r="S9" s="1"/>
      <c r="T9" s="1"/>
      <c r="U9" s="1"/>
      <c r="V9" s="1"/>
      <c r="W9" s="1"/>
      <c r="X9" s="1"/>
      <c r="Y9" s="1"/>
      <c r="Z9" s="1"/>
    </row>
    <row r="10" spans="1:26" ht="12.75" customHeight="1">
      <c r="A10" s="1"/>
      <c r="B10" s="110" t="s">
        <v>2</v>
      </c>
      <c r="C10" s="111"/>
      <c r="D10" s="1"/>
      <c r="E10" s="1"/>
      <c r="F10" s="66"/>
      <c r="G10" s="1"/>
      <c r="H10" s="1"/>
      <c r="I10" s="66"/>
      <c r="J10" s="1"/>
      <c r="K10" s="1"/>
      <c r="L10" s="1"/>
      <c r="M10" s="1"/>
      <c r="N10" s="1"/>
      <c r="O10" s="1"/>
      <c r="P10" s="1"/>
      <c r="Q10" s="1"/>
      <c r="R10" s="1"/>
      <c r="S10" s="1"/>
      <c r="T10" s="1"/>
      <c r="U10" s="1"/>
      <c r="V10" s="1"/>
      <c r="W10" s="1"/>
      <c r="X10" s="1"/>
      <c r="Y10" s="1"/>
      <c r="Z10" s="1"/>
    </row>
    <row r="11" spans="1:26" ht="12.75" customHeight="1">
      <c r="A11" s="1"/>
      <c r="B11" s="103" t="s">
        <v>168</v>
      </c>
      <c r="C11" s="6"/>
      <c r="D11" s="1"/>
      <c r="E11" s="1"/>
      <c r="F11" s="66"/>
      <c r="G11" s="1"/>
      <c r="H11" s="1"/>
      <c r="I11" s="66"/>
      <c r="J11" s="1"/>
      <c r="K11" s="1"/>
      <c r="L11" s="1"/>
      <c r="M11" s="1"/>
      <c r="N11" s="1"/>
      <c r="O11" s="1"/>
      <c r="P11" s="1"/>
      <c r="Q11" s="1"/>
      <c r="R11" s="1"/>
      <c r="S11" s="1"/>
      <c r="T11" s="1"/>
      <c r="U11" s="1"/>
      <c r="V11" s="1"/>
      <c r="W11" s="1"/>
      <c r="X11" s="1"/>
      <c r="Y11" s="1"/>
      <c r="Z11" s="1"/>
    </row>
    <row r="12" spans="1:26" ht="25.5" customHeight="1">
      <c r="A12" s="1"/>
      <c r="B12" s="104" t="s">
        <v>169</v>
      </c>
      <c r="C12" s="100"/>
      <c r="D12" s="100"/>
      <c r="E12" s="1"/>
      <c r="F12" s="66"/>
      <c r="G12" s="1"/>
      <c r="H12" s="1"/>
      <c r="I12" s="66"/>
      <c r="J12" s="1"/>
      <c r="K12" s="1"/>
      <c r="L12" s="1"/>
      <c r="M12" s="1"/>
      <c r="N12" s="1"/>
      <c r="O12" s="1"/>
      <c r="P12" s="1"/>
      <c r="Q12" s="1"/>
      <c r="R12" s="1"/>
      <c r="S12" s="1"/>
      <c r="T12" s="1"/>
      <c r="U12" s="1"/>
      <c r="V12" s="1"/>
      <c r="W12" s="1"/>
      <c r="X12" s="1"/>
      <c r="Y12" s="1"/>
      <c r="Z12" s="1"/>
    </row>
    <row r="13" spans="1:26" ht="121.5" customHeight="1">
      <c r="A13" s="1"/>
      <c r="B13" s="48" t="s">
        <v>5</v>
      </c>
      <c r="C13" s="114" t="s">
        <v>6</v>
      </c>
      <c r="D13" s="115"/>
      <c r="E13" s="115"/>
      <c r="F13" s="115"/>
      <c r="G13" s="116"/>
      <c r="H13" s="1"/>
      <c r="I13" s="66"/>
      <c r="J13" s="1"/>
      <c r="K13" s="1"/>
      <c r="L13" s="1"/>
      <c r="M13" s="1"/>
      <c r="N13" s="1"/>
      <c r="O13" s="1"/>
      <c r="P13" s="1"/>
      <c r="Q13" s="1"/>
      <c r="R13" s="1"/>
      <c r="S13" s="1"/>
      <c r="T13" s="1"/>
      <c r="U13" s="1"/>
      <c r="V13" s="1"/>
      <c r="W13" s="1"/>
      <c r="X13" s="1"/>
      <c r="Y13" s="1"/>
      <c r="Z13" s="1"/>
    </row>
    <row r="14" spans="1:26" ht="12.75" customHeight="1">
      <c r="A14" s="1"/>
      <c r="B14" s="49"/>
      <c r="C14" s="5"/>
      <c r="D14" s="1"/>
      <c r="E14" s="1"/>
      <c r="F14" s="1"/>
      <c r="G14" s="1"/>
      <c r="H14" s="1"/>
      <c r="I14" s="66"/>
      <c r="J14" s="1"/>
      <c r="K14" s="1"/>
      <c r="L14" s="1"/>
      <c r="M14" s="1"/>
      <c r="N14" s="1"/>
      <c r="O14" s="1"/>
      <c r="P14" s="1"/>
      <c r="Q14" s="1"/>
      <c r="R14" s="1"/>
      <c r="S14" s="1"/>
      <c r="T14" s="1"/>
      <c r="U14" s="1"/>
      <c r="V14" s="1"/>
      <c r="W14" s="1"/>
      <c r="X14" s="1"/>
      <c r="Y14" s="1"/>
      <c r="Z14" s="1"/>
    </row>
    <row r="15" spans="1:26" ht="12.75" customHeight="1">
      <c r="A15" s="1"/>
      <c r="B15" s="49"/>
      <c r="C15" s="5"/>
      <c r="D15" s="1"/>
      <c r="E15" s="1"/>
      <c r="F15" s="1"/>
      <c r="G15" s="1"/>
      <c r="H15" s="1"/>
      <c r="I15" s="66"/>
      <c r="J15" s="1"/>
      <c r="K15" s="1"/>
      <c r="L15" s="1"/>
      <c r="M15" s="1"/>
      <c r="N15" s="1"/>
      <c r="O15" s="1"/>
      <c r="P15" s="1"/>
      <c r="Q15" s="1"/>
      <c r="R15" s="1"/>
      <c r="S15" s="1"/>
      <c r="T15" s="1"/>
      <c r="U15" s="1"/>
      <c r="V15" s="1"/>
      <c r="W15" s="1"/>
      <c r="X15" s="1"/>
      <c r="Y15" s="1"/>
      <c r="Z15" s="1"/>
    </row>
    <row r="16" spans="1:26" ht="55.5" customHeight="1">
      <c r="A16" s="1"/>
      <c r="B16" s="48" t="s">
        <v>7</v>
      </c>
      <c r="C16" s="114" t="s">
        <v>8</v>
      </c>
      <c r="D16" s="115"/>
      <c r="E16" s="115"/>
      <c r="F16" s="115"/>
      <c r="G16" s="116"/>
      <c r="H16" s="1"/>
      <c r="I16" s="66"/>
      <c r="J16" s="1"/>
      <c r="K16" s="1"/>
      <c r="L16" s="1"/>
      <c r="M16" s="1"/>
      <c r="N16" s="1"/>
      <c r="O16" s="1"/>
      <c r="P16" s="1"/>
      <c r="Q16" s="1"/>
      <c r="R16" s="1"/>
      <c r="S16" s="1"/>
      <c r="T16" s="1"/>
      <c r="U16" s="1"/>
      <c r="V16" s="1"/>
      <c r="W16" s="1"/>
      <c r="X16" s="1"/>
      <c r="Y16" s="1"/>
      <c r="Z16" s="1"/>
    </row>
    <row r="17" spans="1:26" ht="12.75" customHeight="1">
      <c r="A17" s="1"/>
      <c r="B17" s="47"/>
      <c r="C17" s="6"/>
      <c r="D17" s="1"/>
      <c r="E17" s="1"/>
      <c r="F17" s="66"/>
      <c r="G17" s="1"/>
      <c r="H17" s="1"/>
      <c r="I17" s="66"/>
      <c r="J17" s="1"/>
      <c r="K17" s="1"/>
      <c r="L17" s="1"/>
      <c r="M17" s="1"/>
      <c r="N17" s="1"/>
      <c r="O17" s="1"/>
      <c r="P17" s="1"/>
      <c r="Q17" s="1"/>
      <c r="R17" s="1"/>
      <c r="S17" s="1"/>
      <c r="T17" s="1"/>
      <c r="U17" s="1"/>
      <c r="V17" s="1"/>
      <c r="W17" s="1"/>
      <c r="X17" s="1"/>
      <c r="Y17" s="1"/>
      <c r="Z17" s="1"/>
    </row>
    <row r="18" spans="1:26" ht="12.75" customHeight="1">
      <c r="A18" s="1"/>
      <c r="B18" s="46"/>
      <c r="C18" s="1"/>
      <c r="D18" s="1"/>
      <c r="E18" s="1"/>
      <c r="F18" s="66"/>
      <c r="G18" s="1"/>
      <c r="H18" s="1"/>
      <c r="I18" s="66"/>
      <c r="J18" s="1"/>
      <c r="K18" s="1"/>
      <c r="L18" s="1"/>
      <c r="M18" s="1"/>
      <c r="N18" s="1"/>
      <c r="O18" s="1"/>
      <c r="P18" s="1"/>
      <c r="Q18" s="1"/>
      <c r="R18" s="1"/>
      <c r="S18" s="1"/>
      <c r="T18" s="1"/>
      <c r="U18" s="1"/>
      <c r="V18" s="1"/>
      <c r="W18" s="1"/>
      <c r="X18" s="1"/>
      <c r="Y18" s="1"/>
      <c r="Z18" s="1"/>
    </row>
    <row r="19" spans="1:26" ht="12.75" customHeight="1">
      <c r="A19" s="1"/>
      <c r="B19" s="101"/>
      <c r="C19" s="98"/>
      <c r="D19" s="98"/>
      <c r="E19" s="98"/>
      <c r="F19" s="102"/>
      <c r="G19" s="98"/>
      <c r="H19" s="98"/>
      <c r="I19" s="102"/>
      <c r="J19" s="1"/>
      <c r="K19" s="1"/>
      <c r="L19" s="1"/>
      <c r="M19" s="1"/>
      <c r="N19" s="1"/>
      <c r="O19" s="1"/>
      <c r="P19" s="1"/>
      <c r="Q19" s="1"/>
      <c r="R19" s="1"/>
      <c r="S19" s="1"/>
      <c r="T19" s="1"/>
      <c r="U19" s="1"/>
      <c r="V19" s="1"/>
      <c r="W19" s="1"/>
      <c r="X19" s="1"/>
      <c r="Y19" s="1"/>
      <c r="Z19" s="1"/>
    </row>
    <row r="20" spans="1:26" ht="29.25" customHeight="1">
      <c r="A20" s="79"/>
      <c r="B20" s="7" t="s">
        <v>10</v>
      </c>
      <c r="C20" s="7" t="s">
        <v>9</v>
      </c>
      <c r="D20" s="7" t="s">
        <v>11</v>
      </c>
      <c r="E20" s="7" t="s">
        <v>12</v>
      </c>
      <c r="F20" s="67" t="s">
        <v>13</v>
      </c>
      <c r="G20" s="7" t="s">
        <v>14</v>
      </c>
      <c r="H20" s="7" t="s">
        <v>15</v>
      </c>
      <c r="I20" s="8" t="s">
        <v>16</v>
      </c>
      <c r="J20" s="7" t="s">
        <v>17</v>
      </c>
      <c r="K20" s="7" t="s">
        <v>18</v>
      </c>
      <c r="L20" s="7" t="s">
        <v>19</v>
      </c>
      <c r="M20" s="7" t="s">
        <v>20</v>
      </c>
      <c r="N20" s="1"/>
      <c r="O20" s="1"/>
      <c r="P20" s="1"/>
      <c r="Q20" s="1"/>
      <c r="R20" s="1"/>
      <c r="S20" s="1"/>
      <c r="T20" s="1"/>
      <c r="U20" s="1"/>
      <c r="V20" s="1"/>
      <c r="W20" s="1"/>
      <c r="X20" s="1"/>
      <c r="Y20" s="1"/>
      <c r="Z20" s="1"/>
    </row>
    <row r="21" spans="1:26" ht="12.75" customHeight="1">
      <c r="A21" s="1"/>
      <c r="B21" s="87" t="s">
        <v>170</v>
      </c>
      <c r="C21" s="105" t="s">
        <v>171</v>
      </c>
      <c r="D21" s="105" t="s">
        <v>172</v>
      </c>
      <c r="E21" s="105" t="str">
        <f t="shared" ref="E21:E27" si="0">"MUNICIPALIDAD DE "&amp;C21</f>
        <v>MUNICIPALIDAD DE CONCEPCIÓN</v>
      </c>
      <c r="F21" s="106">
        <v>1241981000</v>
      </c>
      <c r="G21" s="105" t="s">
        <v>129</v>
      </c>
      <c r="H21" s="105" t="s">
        <v>173</v>
      </c>
      <c r="I21" s="86" t="s">
        <v>131</v>
      </c>
      <c r="J21" s="107">
        <v>620990500</v>
      </c>
      <c r="K21" s="108">
        <v>0.5</v>
      </c>
      <c r="L21" s="109" t="s">
        <v>174</v>
      </c>
      <c r="M21" s="86" t="s">
        <v>175</v>
      </c>
      <c r="N21" s="1"/>
      <c r="O21" s="1"/>
      <c r="P21" s="1"/>
      <c r="Q21" s="1"/>
      <c r="R21" s="1"/>
      <c r="S21" s="1"/>
      <c r="T21" s="1"/>
      <c r="U21" s="1"/>
      <c r="V21" s="1"/>
      <c r="W21" s="1"/>
      <c r="X21" s="1"/>
      <c r="Y21" s="1"/>
      <c r="Z21" s="1"/>
    </row>
    <row r="22" spans="1:26" ht="12.75" customHeight="1">
      <c r="A22" s="1"/>
      <c r="B22" s="87" t="s">
        <v>176</v>
      </c>
      <c r="C22" s="105" t="s">
        <v>177</v>
      </c>
      <c r="D22" s="105" t="s">
        <v>172</v>
      </c>
      <c r="E22" s="105" t="str">
        <f t="shared" si="0"/>
        <v>MUNICIPALIDAD DE CORONEL</v>
      </c>
      <c r="F22" s="106">
        <v>1199992289</v>
      </c>
      <c r="G22" s="105" t="s">
        <v>129</v>
      </c>
      <c r="H22" s="105" t="s">
        <v>173</v>
      </c>
      <c r="I22" s="86" t="s">
        <v>131</v>
      </c>
      <c r="J22" s="107">
        <v>620993500</v>
      </c>
      <c r="K22" s="108">
        <v>0.51749999999999996</v>
      </c>
      <c r="L22" s="109" t="s">
        <v>178</v>
      </c>
      <c r="M22" s="86" t="s">
        <v>175</v>
      </c>
      <c r="N22" s="1"/>
      <c r="O22" s="1"/>
      <c r="P22" s="1"/>
      <c r="Q22" s="1"/>
      <c r="R22" s="1"/>
      <c r="S22" s="1"/>
      <c r="T22" s="1"/>
      <c r="U22" s="1"/>
      <c r="V22" s="1"/>
      <c r="W22" s="1"/>
      <c r="X22" s="1"/>
      <c r="Y22" s="1"/>
      <c r="Z22" s="1"/>
    </row>
    <row r="23" spans="1:26" ht="12.75" customHeight="1">
      <c r="A23" s="1"/>
      <c r="B23" s="87" t="s">
        <v>179</v>
      </c>
      <c r="C23" s="105" t="s">
        <v>180</v>
      </c>
      <c r="D23" s="105" t="s">
        <v>172</v>
      </c>
      <c r="E23" s="105" t="str">
        <f t="shared" si="0"/>
        <v>MUNICIPALIDAD DE LA SERENA</v>
      </c>
      <c r="F23" s="106">
        <v>345827643</v>
      </c>
      <c r="G23" s="105" t="s">
        <v>129</v>
      </c>
      <c r="H23" s="105" t="s">
        <v>173</v>
      </c>
      <c r="I23" s="86" t="s">
        <v>131</v>
      </c>
      <c r="J23" s="107">
        <v>345827643</v>
      </c>
      <c r="K23" s="108">
        <v>1</v>
      </c>
      <c r="L23" s="109" t="s">
        <v>181</v>
      </c>
      <c r="M23" s="86" t="s">
        <v>175</v>
      </c>
      <c r="N23" s="1"/>
      <c r="O23" s="1"/>
      <c r="P23" s="1"/>
      <c r="Q23" s="1"/>
      <c r="R23" s="1"/>
      <c r="S23" s="1"/>
      <c r="T23" s="1"/>
      <c r="U23" s="1"/>
      <c r="V23" s="1"/>
      <c r="W23" s="1"/>
      <c r="X23" s="1"/>
      <c r="Y23" s="1"/>
      <c r="Z23" s="1"/>
    </row>
    <row r="24" spans="1:26" ht="12.75" customHeight="1">
      <c r="A24" s="1"/>
      <c r="B24" s="87" t="s">
        <v>182</v>
      </c>
      <c r="C24" s="105" t="s">
        <v>183</v>
      </c>
      <c r="D24" s="105" t="s">
        <v>172</v>
      </c>
      <c r="E24" s="105" t="str">
        <f t="shared" si="0"/>
        <v>MUNICIPALIDAD DE SANTIAGO</v>
      </c>
      <c r="F24" s="106">
        <v>1128800000</v>
      </c>
      <c r="G24" s="105" t="s">
        <v>129</v>
      </c>
      <c r="H24" s="105" t="s">
        <v>173</v>
      </c>
      <c r="I24" s="86" t="s">
        <v>131</v>
      </c>
      <c r="J24" s="107">
        <v>1128800000</v>
      </c>
      <c r="K24" s="108">
        <v>1</v>
      </c>
      <c r="L24" s="109" t="s">
        <v>184</v>
      </c>
      <c r="M24" s="86" t="s">
        <v>175</v>
      </c>
      <c r="N24" s="1"/>
      <c r="O24" s="1"/>
      <c r="P24" s="1"/>
      <c r="Q24" s="1"/>
      <c r="R24" s="1"/>
      <c r="S24" s="1"/>
      <c r="T24" s="1"/>
      <c r="U24" s="1"/>
      <c r="V24" s="1"/>
      <c r="W24" s="1"/>
      <c r="X24" s="1"/>
      <c r="Y24" s="1"/>
      <c r="Z24" s="1"/>
    </row>
    <row r="25" spans="1:26" ht="12.75" customHeight="1">
      <c r="A25" s="1"/>
      <c r="B25" s="87" t="s">
        <v>185</v>
      </c>
      <c r="C25" s="105" t="s">
        <v>180</v>
      </c>
      <c r="D25" s="105" t="s">
        <v>172</v>
      </c>
      <c r="E25" s="105" t="str">
        <f t="shared" si="0"/>
        <v>MUNICIPALIDAD DE LA SERENA</v>
      </c>
      <c r="F25" s="106">
        <v>198315681</v>
      </c>
      <c r="G25" s="105" t="s">
        <v>129</v>
      </c>
      <c r="H25" s="105" t="s">
        <v>173</v>
      </c>
      <c r="I25" s="86" t="s">
        <v>131</v>
      </c>
      <c r="J25" s="107">
        <v>198315681</v>
      </c>
      <c r="K25" s="108">
        <v>1</v>
      </c>
      <c r="L25" s="109" t="s">
        <v>186</v>
      </c>
      <c r="M25" s="86" t="s">
        <v>175</v>
      </c>
      <c r="N25" s="1"/>
      <c r="O25" s="1"/>
      <c r="P25" s="1"/>
      <c r="Q25" s="1"/>
      <c r="R25" s="1"/>
      <c r="S25" s="1"/>
      <c r="T25" s="1"/>
      <c r="U25" s="1"/>
      <c r="V25" s="1"/>
      <c r="W25" s="1"/>
      <c r="X25" s="1"/>
      <c r="Y25" s="1"/>
      <c r="Z25" s="1"/>
    </row>
    <row r="26" spans="1:26" ht="12.75" customHeight="1">
      <c r="A26" s="1"/>
      <c r="B26" s="87" t="s">
        <v>187</v>
      </c>
      <c r="C26" s="105" t="s">
        <v>188</v>
      </c>
      <c r="D26" s="105" t="s">
        <v>172</v>
      </c>
      <c r="E26" s="105" t="str">
        <f t="shared" si="0"/>
        <v>MUNICIPALIDAD DE VALPARAÍSO</v>
      </c>
      <c r="F26" s="106">
        <v>772232000</v>
      </c>
      <c r="G26" s="105" t="s">
        <v>129</v>
      </c>
      <c r="H26" s="105" t="s">
        <v>173</v>
      </c>
      <c r="I26" s="86" t="s">
        <v>131</v>
      </c>
      <c r="J26" s="107">
        <v>772232000</v>
      </c>
      <c r="K26" s="108">
        <v>1</v>
      </c>
      <c r="L26" s="109" t="s">
        <v>189</v>
      </c>
      <c r="M26" s="86" t="s">
        <v>175</v>
      </c>
      <c r="N26" s="1"/>
      <c r="O26" s="1"/>
      <c r="P26" s="1"/>
      <c r="Q26" s="1"/>
      <c r="R26" s="1"/>
      <c r="S26" s="1"/>
      <c r="T26" s="1"/>
      <c r="U26" s="1"/>
      <c r="V26" s="1"/>
      <c r="W26" s="1"/>
      <c r="X26" s="1"/>
      <c r="Y26" s="1"/>
      <c r="Z26" s="1"/>
    </row>
    <row r="27" spans="1:26" ht="12.75" customHeight="1">
      <c r="A27" s="1"/>
      <c r="B27" s="87" t="s">
        <v>190</v>
      </c>
      <c r="C27" s="105" t="s">
        <v>188</v>
      </c>
      <c r="D27" s="105" t="s">
        <v>172</v>
      </c>
      <c r="E27" s="105" t="str">
        <f t="shared" si="0"/>
        <v>MUNICIPALIDAD DE VALPARAÍSO</v>
      </c>
      <c r="F27" s="106">
        <v>169970439</v>
      </c>
      <c r="G27" s="105" t="s">
        <v>129</v>
      </c>
      <c r="H27" s="105" t="s">
        <v>173</v>
      </c>
      <c r="I27" s="86" t="s">
        <v>131</v>
      </c>
      <c r="J27" s="107">
        <v>169970439</v>
      </c>
      <c r="K27" s="108">
        <v>1</v>
      </c>
      <c r="L27" s="109" t="s">
        <v>191</v>
      </c>
      <c r="M27" s="86" t="s">
        <v>175</v>
      </c>
      <c r="N27" s="1"/>
      <c r="O27" s="1"/>
      <c r="P27" s="1"/>
      <c r="Q27" s="1"/>
      <c r="R27" s="1"/>
      <c r="S27" s="1"/>
      <c r="T27" s="1"/>
      <c r="U27" s="1"/>
      <c r="V27" s="1"/>
      <c r="W27" s="1"/>
      <c r="X27" s="1"/>
      <c r="Y27" s="1"/>
      <c r="Z27" s="1"/>
    </row>
    <row r="28" spans="1:26" ht="12.75" customHeight="1">
      <c r="A28" s="1"/>
      <c r="B28" s="87"/>
      <c r="C28" s="105"/>
      <c r="D28" s="105"/>
      <c r="E28" s="105"/>
      <c r="F28" s="106"/>
      <c r="G28" s="105"/>
      <c r="H28" s="105"/>
      <c r="I28" s="86"/>
      <c r="J28" s="107"/>
      <c r="K28" s="108"/>
      <c r="L28" s="109"/>
      <c r="M28" s="86"/>
      <c r="N28" s="1"/>
      <c r="O28" s="1"/>
      <c r="P28" s="1"/>
      <c r="Q28" s="1"/>
      <c r="R28" s="1"/>
      <c r="S28" s="1"/>
      <c r="T28" s="1"/>
      <c r="U28" s="1"/>
      <c r="V28" s="1"/>
      <c r="W28" s="1"/>
      <c r="X28" s="1"/>
      <c r="Y28" s="1"/>
      <c r="Z28" s="1"/>
    </row>
    <row r="29" spans="1:26" ht="12.75" customHeight="1">
      <c r="A29" s="1"/>
      <c r="B29" s="87"/>
      <c r="C29" s="105"/>
      <c r="D29" s="105"/>
      <c r="E29" s="105"/>
      <c r="F29" s="106"/>
      <c r="G29" s="105"/>
      <c r="H29" s="105"/>
      <c r="I29" s="86"/>
      <c r="J29" s="107"/>
      <c r="K29" s="108"/>
      <c r="L29" s="109"/>
      <c r="M29" s="86"/>
      <c r="N29" s="1"/>
      <c r="O29" s="1"/>
      <c r="P29" s="1"/>
      <c r="Q29" s="1"/>
      <c r="R29" s="1"/>
      <c r="S29" s="1"/>
      <c r="T29" s="1"/>
      <c r="U29" s="1"/>
      <c r="V29" s="1"/>
      <c r="W29" s="1"/>
      <c r="X29" s="1"/>
      <c r="Y29" s="1"/>
      <c r="Z29" s="1"/>
    </row>
    <row r="30" spans="1:26" ht="12.75" hidden="1" customHeight="1">
      <c r="A30" s="1"/>
      <c r="B30" s="87"/>
      <c r="C30" s="105"/>
      <c r="D30" s="105"/>
      <c r="E30" s="105"/>
      <c r="F30" s="106"/>
      <c r="G30" s="105"/>
      <c r="H30" s="105"/>
      <c r="I30" s="86"/>
      <c r="J30" s="107"/>
      <c r="K30" s="108"/>
      <c r="L30" s="109"/>
      <c r="M30" s="86"/>
      <c r="N30" s="1"/>
      <c r="O30" s="1"/>
      <c r="P30" s="1"/>
      <c r="Q30" s="1"/>
      <c r="R30" s="1"/>
      <c r="S30" s="1"/>
      <c r="T30" s="1"/>
      <c r="U30" s="1"/>
      <c r="V30" s="1"/>
      <c r="W30" s="1"/>
      <c r="X30" s="1"/>
      <c r="Y30" s="1"/>
      <c r="Z30" s="1"/>
    </row>
    <row r="31" spans="1:26" ht="12.75" hidden="1" customHeight="1">
      <c r="A31" s="1"/>
      <c r="B31" s="87"/>
      <c r="C31" s="105"/>
      <c r="D31" s="105"/>
      <c r="E31" s="105"/>
      <c r="F31" s="106"/>
      <c r="G31" s="105"/>
      <c r="H31" s="105"/>
      <c r="I31" s="86"/>
      <c r="J31" s="107"/>
      <c r="K31" s="108"/>
      <c r="L31" s="109"/>
      <c r="M31" s="86"/>
      <c r="N31" s="1"/>
      <c r="O31" s="1"/>
      <c r="P31" s="1"/>
      <c r="Q31" s="1"/>
      <c r="R31" s="1"/>
      <c r="S31" s="1"/>
      <c r="T31" s="1"/>
      <c r="U31" s="1"/>
      <c r="V31" s="1"/>
      <c r="W31" s="1"/>
      <c r="X31" s="1"/>
      <c r="Y31" s="1"/>
      <c r="Z31" s="1"/>
    </row>
    <row r="32" spans="1:26" ht="12.75" hidden="1" customHeight="1">
      <c r="A32" s="1"/>
      <c r="B32" s="87"/>
      <c r="C32" s="105"/>
      <c r="D32" s="105"/>
      <c r="E32" s="105"/>
      <c r="F32" s="106"/>
      <c r="G32" s="105"/>
      <c r="H32" s="105"/>
      <c r="I32" s="86"/>
      <c r="J32" s="107"/>
      <c r="K32" s="108"/>
      <c r="L32" s="109"/>
      <c r="M32" s="86"/>
      <c r="N32" s="1"/>
      <c r="O32" s="1"/>
      <c r="P32" s="1"/>
      <c r="Q32" s="1"/>
      <c r="R32" s="1"/>
      <c r="S32" s="1"/>
      <c r="T32" s="1"/>
      <c r="U32" s="1"/>
      <c r="V32" s="1"/>
      <c r="W32" s="1"/>
      <c r="X32" s="1"/>
      <c r="Y32" s="1"/>
      <c r="Z32" s="1"/>
    </row>
    <row r="33" spans="1:26" ht="12.75" customHeight="1">
      <c r="A33" s="1"/>
      <c r="B33" s="46"/>
      <c r="C33" s="1"/>
      <c r="D33" s="1"/>
      <c r="E33" s="1"/>
      <c r="F33" s="66"/>
      <c r="G33" s="1"/>
      <c r="H33" s="1"/>
      <c r="I33" s="66"/>
      <c r="J33" s="1"/>
      <c r="K33" s="1"/>
      <c r="L33" s="1"/>
      <c r="M33" s="1"/>
      <c r="N33" s="1"/>
      <c r="O33" s="1"/>
      <c r="P33" s="1"/>
      <c r="Q33" s="1"/>
      <c r="R33" s="1"/>
      <c r="S33" s="1"/>
      <c r="T33" s="1"/>
      <c r="U33" s="1"/>
      <c r="V33" s="1"/>
      <c r="W33" s="1"/>
      <c r="X33" s="1"/>
      <c r="Y33" s="1"/>
      <c r="Z33" s="1"/>
    </row>
    <row r="34" spans="1:26" ht="21.75" customHeight="1">
      <c r="A34" s="3"/>
      <c r="B34" s="51" t="s">
        <v>43</v>
      </c>
      <c r="C34" s="52"/>
      <c r="D34" s="52"/>
      <c r="E34" s="52"/>
      <c r="F34" s="53">
        <f>SUM(F21:F32)</f>
        <v>5057119052</v>
      </c>
      <c r="G34" s="52"/>
      <c r="H34" s="52"/>
      <c r="I34" s="53"/>
      <c r="J34" s="53">
        <f>SUM(J21:J32)</f>
        <v>3857129763</v>
      </c>
      <c r="K34" s="52"/>
      <c r="L34" s="52"/>
      <c r="M34" s="52"/>
      <c r="N34" s="3"/>
      <c r="O34" s="3"/>
      <c r="P34" s="3"/>
      <c r="Q34" s="3"/>
      <c r="R34" s="3"/>
      <c r="S34" s="3"/>
      <c r="T34" s="3"/>
      <c r="U34" s="3"/>
      <c r="V34" s="3"/>
      <c r="W34" s="3"/>
      <c r="X34" s="3"/>
      <c r="Y34" s="3"/>
      <c r="Z34" s="3"/>
    </row>
    <row r="35" spans="1:26" ht="12.75" customHeight="1">
      <c r="A35" s="1"/>
      <c r="B35" s="14"/>
      <c r="C35" s="1"/>
      <c r="D35" s="1"/>
      <c r="E35" s="1"/>
      <c r="F35" s="66"/>
      <c r="G35" s="1"/>
      <c r="H35" s="1"/>
      <c r="I35" s="66"/>
      <c r="J35" s="1"/>
      <c r="K35" s="1"/>
      <c r="L35" s="1"/>
      <c r="M35" s="1"/>
      <c r="N35" s="1"/>
      <c r="O35" s="1"/>
      <c r="P35" s="1"/>
      <c r="Q35" s="1"/>
      <c r="R35" s="1"/>
      <c r="S35" s="1"/>
      <c r="T35" s="1"/>
      <c r="U35" s="1"/>
      <c r="V35" s="1"/>
      <c r="W35" s="1"/>
      <c r="X35" s="1"/>
      <c r="Y35" s="1"/>
      <c r="Z35" s="1"/>
    </row>
    <row r="36" spans="1:26" ht="12.75" customHeight="1">
      <c r="A36" s="1"/>
      <c r="B36" s="46"/>
      <c r="C36" s="1"/>
      <c r="D36" s="1"/>
      <c r="E36" s="1"/>
      <c r="F36" s="66"/>
      <c r="G36" s="1"/>
      <c r="H36" s="1"/>
      <c r="I36" s="66"/>
      <c r="J36" s="1"/>
      <c r="K36" s="1"/>
      <c r="L36" s="1"/>
      <c r="M36" s="1"/>
      <c r="N36" s="1"/>
      <c r="O36" s="1"/>
      <c r="P36" s="1"/>
      <c r="Q36" s="1"/>
      <c r="R36" s="1"/>
      <c r="S36" s="1"/>
      <c r="T36" s="1"/>
      <c r="U36" s="1"/>
      <c r="V36" s="1"/>
      <c r="W36" s="1"/>
      <c r="X36" s="1"/>
      <c r="Y36" s="1"/>
      <c r="Z36" s="1"/>
    </row>
    <row r="37" spans="1:26" ht="12.75" customHeight="1">
      <c r="A37" s="1"/>
      <c r="B37" s="46"/>
      <c r="C37" s="1"/>
      <c r="D37" s="1"/>
      <c r="E37" s="1"/>
      <c r="F37" s="66"/>
      <c r="G37" s="1"/>
      <c r="H37" s="1"/>
      <c r="I37" s="66"/>
      <c r="J37" s="1"/>
      <c r="K37" s="1"/>
      <c r="L37" s="1"/>
      <c r="M37" s="1"/>
      <c r="N37" s="1"/>
      <c r="O37" s="1"/>
      <c r="P37" s="1"/>
      <c r="Q37" s="1"/>
      <c r="R37" s="1"/>
      <c r="S37" s="1"/>
      <c r="T37" s="1"/>
      <c r="U37" s="1"/>
      <c r="V37" s="1"/>
      <c r="W37" s="1"/>
      <c r="X37" s="1"/>
      <c r="Y37" s="1"/>
      <c r="Z37" s="1"/>
    </row>
    <row r="38" spans="1:26" ht="12.75" customHeight="1">
      <c r="A38" s="1"/>
      <c r="B38" s="46"/>
      <c r="C38" s="1"/>
      <c r="D38" s="1"/>
      <c r="E38" s="1"/>
      <c r="F38" s="66"/>
      <c r="G38" s="1"/>
      <c r="H38" s="1"/>
      <c r="I38" s="66"/>
      <c r="J38" s="1"/>
      <c r="K38" s="1"/>
      <c r="L38" s="1"/>
      <c r="M38" s="1"/>
      <c r="N38" s="1"/>
      <c r="O38" s="1"/>
      <c r="P38" s="1"/>
      <c r="Q38" s="1"/>
      <c r="R38" s="1"/>
      <c r="S38" s="1"/>
      <c r="T38" s="1"/>
      <c r="U38" s="1"/>
      <c r="V38" s="1"/>
      <c r="W38" s="1"/>
      <c r="X38" s="1"/>
      <c r="Y38" s="1"/>
      <c r="Z38" s="1"/>
    </row>
    <row r="39" spans="1:26" ht="12.75" customHeight="1">
      <c r="A39" s="1"/>
      <c r="B39" s="46"/>
      <c r="C39" s="1"/>
      <c r="D39" s="1"/>
      <c r="E39" s="1"/>
      <c r="F39" s="66"/>
      <c r="G39" s="1"/>
      <c r="H39" s="1"/>
      <c r="I39" s="66"/>
      <c r="J39" s="1"/>
      <c r="K39" s="1"/>
      <c r="L39" s="1"/>
      <c r="M39" s="1"/>
      <c r="N39" s="1"/>
      <c r="O39" s="1"/>
      <c r="P39" s="1"/>
      <c r="Q39" s="1"/>
      <c r="R39" s="1"/>
      <c r="S39" s="1"/>
      <c r="T39" s="1"/>
      <c r="U39" s="1"/>
      <c r="V39" s="1"/>
      <c r="W39" s="1"/>
      <c r="X39" s="1"/>
      <c r="Y39" s="1"/>
      <c r="Z39" s="1"/>
    </row>
    <row r="40" spans="1:26" ht="12.75" customHeight="1">
      <c r="A40" s="1"/>
      <c r="B40" s="46"/>
      <c r="C40" s="1"/>
      <c r="D40" s="1"/>
      <c r="E40" s="1"/>
      <c r="F40" s="66"/>
      <c r="G40" s="1"/>
      <c r="H40" s="1"/>
      <c r="I40" s="66"/>
      <c r="J40" s="1"/>
      <c r="K40" s="1"/>
      <c r="L40" s="1"/>
      <c r="M40" s="1"/>
      <c r="N40" s="1"/>
      <c r="O40" s="1"/>
      <c r="P40" s="1"/>
      <c r="Q40" s="1"/>
      <c r="R40" s="1"/>
      <c r="S40" s="1"/>
      <c r="T40" s="1"/>
      <c r="U40" s="1"/>
      <c r="V40" s="1"/>
      <c r="W40" s="1"/>
      <c r="X40" s="1"/>
      <c r="Y40" s="1"/>
      <c r="Z40" s="1"/>
    </row>
    <row r="41" spans="1:26" ht="12.75" customHeight="1">
      <c r="A41" s="1"/>
      <c r="B41" s="46"/>
      <c r="C41" s="1"/>
      <c r="D41" s="1"/>
      <c r="E41" s="1"/>
      <c r="F41" s="66"/>
      <c r="G41" s="1"/>
      <c r="H41" s="1"/>
      <c r="I41" s="66"/>
      <c r="J41" s="1"/>
      <c r="K41" s="1"/>
      <c r="L41" s="1"/>
      <c r="M41" s="1"/>
      <c r="N41" s="1"/>
      <c r="O41" s="1"/>
      <c r="P41" s="1"/>
      <c r="Q41" s="1"/>
      <c r="R41" s="1"/>
      <c r="S41" s="1"/>
      <c r="T41" s="1"/>
      <c r="U41" s="1"/>
      <c r="V41" s="1"/>
      <c r="W41" s="1"/>
      <c r="X41" s="1"/>
      <c r="Y41" s="1"/>
      <c r="Z41" s="1"/>
    </row>
    <row r="42" spans="1:26" ht="12.75" customHeight="1">
      <c r="A42" s="1"/>
      <c r="B42" s="46"/>
      <c r="C42" s="1"/>
      <c r="D42" s="1"/>
      <c r="E42" s="1"/>
      <c r="F42" s="66"/>
      <c r="G42" s="1"/>
      <c r="H42" s="1"/>
      <c r="I42" s="66"/>
      <c r="J42" s="1"/>
      <c r="K42" s="1"/>
      <c r="L42" s="1"/>
      <c r="M42" s="1"/>
      <c r="N42" s="1"/>
      <c r="O42" s="1"/>
      <c r="P42" s="1"/>
      <c r="Q42" s="1"/>
      <c r="R42" s="1"/>
      <c r="S42" s="1"/>
      <c r="T42" s="1"/>
      <c r="U42" s="1"/>
      <c r="V42" s="1"/>
      <c r="W42" s="1"/>
      <c r="X42" s="1"/>
      <c r="Y42" s="1"/>
      <c r="Z42" s="1"/>
    </row>
    <row r="43" spans="1:26" ht="12.75" customHeight="1">
      <c r="A43" s="1"/>
      <c r="B43" s="46"/>
      <c r="C43" s="1"/>
      <c r="D43" s="1"/>
      <c r="E43" s="1"/>
      <c r="F43" s="66"/>
      <c r="G43" s="1"/>
      <c r="H43" s="1"/>
      <c r="I43" s="66"/>
      <c r="J43" s="1"/>
      <c r="K43" s="1"/>
      <c r="L43" s="1"/>
      <c r="M43" s="1"/>
      <c r="N43" s="1"/>
      <c r="O43" s="1"/>
      <c r="P43" s="1"/>
      <c r="Q43" s="1"/>
      <c r="R43" s="1"/>
      <c r="S43" s="1"/>
      <c r="T43" s="1"/>
      <c r="U43" s="1"/>
      <c r="V43" s="1"/>
      <c r="W43" s="1"/>
      <c r="X43" s="1"/>
      <c r="Y43" s="1"/>
      <c r="Z43" s="1"/>
    </row>
    <row r="44" spans="1:26" ht="12.75" customHeight="1">
      <c r="A44" s="1"/>
      <c r="B44" s="46"/>
      <c r="C44" s="1"/>
      <c r="D44" s="1"/>
      <c r="E44" s="1"/>
      <c r="F44" s="66"/>
      <c r="G44" s="1"/>
      <c r="H44" s="1"/>
      <c r="I44" s="66"/>
      <c r="J44" s="1"/>
      <c r="K44" s="1"/>
      <c r="L44" s="1"/>
      <c r="M44" s="1"/>
      <c r="N44" s="1"/>
      <c r="O44" s="1"/>
      <c r="P44" s="1"/>
      <c r="Q44" s="1"/>
      <c r="R44" s="1"/>
      <c r="S44" s="1"/>
      <c r="T44" s="1"/>
      <c r="U44" s="1"/>
      <c r="V44" s="1"/>
      <c r="W44" s="1"/>
      <c r="X44" s="1"/>
      <c r="Y44" s="1"/>
      <c r="Z44" s="1"/>
    </row>
    <row r="45" spans="1:26" ht="12.75" customHeight="1">
      <c r="A45" s="1"/>
      <c r="B45" s="46"/>
      <c r="C45" s="1"/>
      <c r="D45" s="1"/>
      <c r="E45" s="1"/>
      <c r="F45" s="66"/>
      <c r="G45" s="1"/>
      <c r="H45" s="1"/>
      <c r="I45" s="66"/>
      <c r="J45" s="1"/>
      <c r="K45" s="1"/>
      <c r="L45" s="1"/>
      <c r="M45" s="1"/>
      <c r="N45" s="1"/>
      <c r="O45" s="1"/>
      <c r="P45" s="1"/>
      <c r="Q45" s="1"/>
      <c r="R45" s="1"/>
      <c r="S45" s="1"/>
      <c r="T45" s="1"/>
      <c r="U45" s="1"/>
      <c r="V45" s="1"/>
      <c r="W45" s="1"/>
      <c r="X45" s="1"/>
      <c r="Y45" s="1"/>
      <c r="Z45" s="1"/>
    </row>
    <row r="46" spans="1:26" ht="12.75" customHeight="1">
      <c r="A46" s="1"/>
      <c r="B46" s="46"/>
      <c r="C46" s="1"/>
      <c r="D46" s="1"/>
      <c r="E46" s="1"/>
      <c r="F46" s="66"/>
      <c r="G46" s="1"/>
      <c r="H46" s="1"/>
      <c r="I46" s="66"/>
      <c r="J46" s="1"/>
      <c r="K46" s="1"/>
      <c r="L46" s="1"/>
      <c r="M46" s="1"/>
      <c r="N46" s="1"/>
      <c r="O46" s="1"/>
      <c r="P46" s="1"/>
      <c r="Q46" s="1"/>
      <c r="R46" s="1"/>
      <c r="S46" s="1"/>
      <c r="T46" s="1"/>
      <c r="U46" s="1"/>
      <c r="V46" s="1"/>
      <c r="W46" s="1"/>
      <c r="X46" s="1"/>
      <c r="Y46" s="1"/>
      <c r="Z46" s="1"/>
    </row>
    <row r="47" spans="1:26" ht="12.75" customHeight="1">
      <c r="A47" s="1"/>
      <c r="B47" s="46"/>
      <c r="C47" s="1"/>
      <c r="D47" s="1"/>
      <c r="E47" s="1"/>
      <c r="F47" s="66"/>
      <c r="G47" s="1"/>
      <c r="H47" s="1"/>
      <c r="I47" s="66"/>
      <c r="J47" s="1"/>
      <c r="K47" s="1"/>
      <c r="L47" s="1"/>
      <c r="M47" s="1"/>
      <c r="N47" s="1"/>
      <c r="O47" s="1"/>
      <c r="P47" s="1"/>
      <c r="Q47" s="1"/>
      <c r="R47" s="1"/>
      <c r="S47" s="1"/>
      <c r="T47" s="1"/>
      <c r="U47" s="1"/>
      <c r="V47" s="1"/>
      <c r="W47" s="1"/>
      <c r="X47" s="1"/>
      <c r="Y47" s="1"/>
      <c r="Z47" s="1"/>
    </row>
    <row r="48" spans="1:26" ht="12.75" customHeight="1">
      <c r="A48" s="1"/>
      <c r="B48" s="46"/>
      <c r="C48" s="1"/>
      <c r="D48" s="1"/>
      <c r="E48" s="1"/>
      <c r="F48" s="66"/>
      <c r="G48" s="1"/>
      <c r="H48" s="1"/>
      <c r="I48" s="66"/>
      <c r="J48" s="1"/>
      <c r="K48" s="1"/>
      <c r="L48" s="1"/>
      <c r="M48" s="1"/>
      <c r="N48" s="1"/>
      <c r="O48" s="1"/>
      <c r="P48" s="1"/>
      <c r="Q48" s="1"/>
      <c r="R48" s="1"/>
      <c r="S48" s="1"/>
      <c r="T48" s="1"/>
      <c r="U48" s="1"/>
      <c r="V48" s="1"/>
      <c r="W48" s="1"/>
      <c r="X48" s="1"/>
      <c r="Y48" s="1"/>
      <c r="Z48" s="1"/>
    </row>
    <row r="49" spans="1:26" ht="12.75" customHeight="1">
      <c r="A49" s="1"/>
      <c r="B49" s="46"/>
      <c r="C49" s="1"/>
      <c r="D49" s="1"/>
      <c r="E49" s="1"/>
      <c r="F49" s="66"/>
      <c r="G49" s="1"/>
      <c r="H49" s="1"/>
      <c r="I49" s="66"/>
      <c r="J49" s="1"/>
      <c r="K49" s="1"/>
      <c r="L49" s="1"/>
      <c r="M49" s="1"/>
      <c r="N49" s="1"/>
      <c r="O49" s="1"/>
      <c r="P49" s="1"/>
      <c r="Q49" s="1"/>
      <c r="R49" s="1"/>
      <c r="S49" s="1"/>
      <c r="T49" s="1"/>
      <c r="U49" s="1"/>
      <c r="V49" s="1"/>
      <c r="W49" s="1"/>
      <c r="X49" s="1"/>
      <c r="Y49" s="1"/>
      <c r="Z49" s="1"/>
    </row>
    <row r="50" spans="1:26" ht="12.75" customHeight="1">
      <c r="A50" s="1"/>
      <c r="B50" s="46"/>
      <c r="C50" s="1"/>
      <c r="D50" s="1"/>
      <c r="E50" s="1"/>
      <c r="F50" s="66"/>
      <c r="G50" s="1"/>
      <c r="H50" s="1"/>
      <c r="I50" s="66"/>
      <c r="J50" s="1"/>
      <c r="K50" s="1"/>
      <c r="L50" s="1"/>
      <c r="M50" s="1"/>
      <c r="N50" s="1"/>
      <c r="O50" s="1"/>
      <c r="P50" s="1"/>
      <c r="Q50" s="1"/>
      <c r="R50" s="1"/>
      <c r="S50" s="1"/>
      <c r="T50" s="1"/>
      <c r="U50" s="1"/>
      <c r="V50" s="1"/>
      <c r="W50" s="1"/>
      <c r="X50" s="1"/>
      <c r="Y50" s="1"/>
      <c r="Z50" s="1"/>
    </row>
    <row r="51" spans="1:26" ht="12.75" customHeight="1">
      <c r="A51" s="1"/>
      <c r="B51" s="46"/>
      <c r="C51" s="1"/>
      <c r="D51" s="1"/>
      <c r="E51" s="1"/>
      <c r="F51" s="66"/>
      <c r="G51" s="1"/>
      <c r="H51" s="1"/>
      <c r="I51" s="66"/>
      <c r="J51" s="1"/>
      <c r="K51" s="1"/>
      <c r="L51" s="1"/>
      <c r="M51" s="1"/>
      <c r="N51" s="1"/>
      <c r="O51" s="1"/>
      <c r="P51" s="1"/>
      <c r="Q51" s="1"/>
      <c r="R51" s="1"/>
      <c r="S51" s="1"/>
      <c r="T51" s="1"/>
      <c r="U51" s="1"/>
      <c r="V51" s="1"/>
      <c r="W51" s="1"/>
      <c r="X51" s="1"/>
      <c r="Y51" s="1"/>
      <c r="Z51" s="1"/>
    </row>
    <row r="52" spans="1:26" ht="12.75" customHeight="1">
      <c r="A52" s="1"/>
      <c r="B52" s="46"/>
      <c r="C52" s="1"/>
      <c r="D52" s="1"/>
      <c r="E52" s="1"/>
      <c r="F52" s="66"/>
      <c r="G52" s="1"/>
      <c r="H52" s="1"/>
      <c r="I52" s="66"/>
      <c r="J52" s="1"/>
      <c r="K52" s="1"/>
      <c r="L52" s="1"/>
      <c r="M52" s="1"/>
      <c r="N52" s="1"/>
      <c r="O52" s="1"/>
      <c r="P52" s="1"/>
      <c r="Q52" s="1"/>
      <c r="R52" s="1"/>
      <c r="S52" s="1"/>
      <c r="T52" s="1"/>
      <c r="U52" s="1"/>
      <c r="V52" s="1"/>
      <c r="W52" s="1"/>
      <c r="X52" s="1"/>
      <c r="Y52" s="1"/>
      <c r="Z52" s="1"/>
    </row>
    <row r="53" spans="1:26" ht="12.75" customHeight="1">
      <c r="A53" s="1"/>
      <c r="B53" s="46"/>
      <c r="C53" s="1"/>
      <c r="D53" s="1"/>
      <c r="E53" s="1"/>
      <c r="F53" s="66"/>
      <c r="G53" s="1"/>
      <c r="H53" s="1"/>
      <c r="I53" s="66"/>
      <c r="J53" s="1"/>
      <c r="K53" s="1"/>
      <c r="L53" s="1"/>
      <c r="M53" s="1"/>
      <c r="N53" s="1"/>
      <c r="O53" s="1"/>
      <c r="P53" s="1"/>
      <c r="Q53" s="1"/>
      <c r="R53" s="1"/>
      <c r="S53" s="1"/>
      <c r="T53" s="1"/>
      <c r="U53" s="1"/>
      <c r="V53" s="1"/>
      <c r="W53" s="1"/>
      <c r="X53" s="1"/>
      <c r="Y53" s="1"/>
      <c r="Z53" s="1"/>
    </row>
    <row r="54" spans="1:26" ht="12.75" customHeight="1">
      <c r="A54" s="1"/>
      <c r="B54" s="46"/>
      <c r="C54" s="1"/>
      <c r="D54" s="1"/>
      <c r="E54" s="1"/>
      <c r="F54" s="66"/>
      <c r="G54" s="1"/>
      <c r="H54" s="1"/>
      <c r="I54" s="66"/>
      <c r="J54" s="1"/>
      <c r="K54" s="1"/>
      <c r="L54" s="1"/>
      <c r="M54" s="1"/>
      <c r="N54" s="1"/>
      <c r="O54" s="1"/>
      <c r="P54" s="1"/>
      <c r="Q54" s="1"/>
      <c r="R54" s="1"/>
      <c r="S54" s="1"/>
      <c r="T54" s="1"/>
      <c r="U54" s="1"/>
      <c r="V54" s="1"/>
      <c r="W54" s="1"/>
      <c r="X54" s="1"/>
      <c r="Y54" s="1"/>
      <c r="Z54" s="1"/>
    </row>
    <row r="55" spans="1:26" ht="12.75" customHeight="1">
      <c r="A55" s="1"/>
      <c r="B55" s="46"/>
      <c r="C55" s="1"/>
      <c r="D55" s="1"/>
      <c r="E55" s="1"/>
      <c r="F55" s="66"/>
      <c r="G55" s="1"/>
      <c r="H55" s="1"/>
      <c r="I55" s="66"/>
      <c r="J55" s="1"/>
      <c r="K55" s="1"/>
      <c r="L55" s="1"/>
      <c r="M55" s="1"/>
      <c r="N55" s="1"/>
      <c r="O55" s="1"/>
      <c r="P55" s="1"/>
      <c r="Q55" s="1"/>
      <c r="R55" s="1"/>
      <c r="S55" s="1"/>
      <c r="T55" s="1"/>
      <c r="U55" s="1"/>
      <c r="V55" s="1"/>
      <c r="W55" s="1"/>
      <c r="X55" s="1"/>
      <c r="Y55" s="1"/>
      <c r="Z55" s="1"/>
    </row>
    <row r="56" spans="1:26" ht="12.75" customHeight="1">
      <c r="A56" s="1"/>
      <c r="B56" s="46"/>
      <c r="C56" s="1"/>
      <c r="D56" s="1"/>
      <c r="E56" s="1"/>
      <c r="F56" s="66"/>
      <c r="G56" s="1"/>
      <c r="H56" s="1"/>
      <c r="I56" s="66"/>
      <c r="J56" s="1"/>
      <c r="K56" s="1"/>
      <c r="L56" s="1"/>
      <c r="M56" s="1"/>
      <c r="N56" s="1"/>
      <c r="O56" s="1"/>
      <c r="P56" s="1"/>
      <c r="Q56" s="1"/>
      <c r="R56" s="1"/>
      <c r="S56" s="1"/>
      <c r="T56" s="1"/>
      <c r="U56" s="1"/>
      <c r="V56" s="1"/>
      <c r="W56" s="1"/>
      <c r="X56" s="1"/>
      <c r="Y56" s="1"/>
      <c r="Z56" s="1"/>
    </row>
    <row r="57" spans="1:26" ht="12.75" customHeight="1">
      <c r="A57" s="1"/>
      <c r="B57" s="46"/>
      <c r="C57" s="1"/>
      <c r="D57" s="1"/>
      <c r="E57" s="1"/>
      <c r="F57" s="66"/>
      <c r="G57" s="1"/>
      <c r="H57" s="1"/>
      <c r="I57" s="66"/>
      <c r="J57" s="1"/>
      <c r="K57" s="1"/>
      <c r="L57" s="1"/>
      <c r="M57" s="1"/>
      <c r="N57" s="1"/>
      <c r="O57" s="1"/>
      <c r="P57" s="1"/>
      <c r="Q57" s="1"/>
      <c r="R57" s="1"/>
      <c r="S57" s="1"/>
      <c r="T57" s="1"/>
      <c r="U57" s="1"/>
      <c r="V57" s="1"/>
      <c r="W57" s="1"/>
      <c r="X57" s="1"/>
      <c r="Y57" s="1"/>
      <c r="Z57" s="1"/>
    </row>
    <row r="58" spans="1:26" ht="12.75" customHeight="1">
      <c r="A58" s="1"/>
      <c r="B58" s="46"/>
      <c r="C58" s="1"/>
      <c r="D58" s="1"/>
      <c r="E58" s="1"/>
      <c r="F58" s="66"/>
      <c r="G58" s="1"/>
      <c r="H58" s="1"/>
      <c r="I58" s="66"/>
      <c r="J58" s="1"/>
      <c r="K58" s="1"/>
      <c r="L58" s="1"/>
      <c r="M58" s="1"/>
      <c r="N58" s="1"/>
      <c r="O58" s="1"/>
      <c r="P58" s="1"/>
      <c r="Q58" s="1"/>
      <c r="R58" s="1"/>
      <c r="S58" s="1"/>
      <c r="T58" s="1"/>
      <c r="U58" s="1"/>
      <c r="V58" s="1"/>
      <c r="W58" s="1"/>
      <c r="X58" s="1"/>
      <c r="Y58" s="1"/>
      <c r="Z58" s="1"/>
    </row>
    <row r="59" spans="1:26" ht="12.75" customHeight="1">
      <c r="A59" s="1"/>
      <c r="B59" s="46"/>
      <c r="C59" s="1"/>
      <c r="D59" s="1"/>
      <c r="E59" s="1"/>
      <c r="F59" s="66"/>
      <c r="G59" s="1"/>
      <c r="H59" s="1"/>
      <c r="I59" s="66"/>
      <c r="J59" s="1"/>
      <c r="K59" s="1"/>
      <c r="L59" s="1"/>
      <c r="M59" s="1"/>
      <c r="N59" s="1"/>
      <c r="O59" s="1"/>
      <c r="P59" s="1"/>
      <c r="Q59" s="1"/>
      <c r="R59" s="1"/>
      <c r="S59" s="1"/>
      <c r="T59" s="1"/>
      <c r="U59" s="1"/>
      <c r="V59" s="1"/>
      <c r="W59" s="1"/>
      <c r="X59" s="1"/>
      <c r="Y59" s="1"/>
      <c r="Z59" s="1"/>
    </row>
    <row r="60" spans="1:26" ht="12.75" customHeight="1">
      <c r="A60" s="1"/>
      <c r="B60" s="46"/>
      <c r="C60" s="1"/>
      <c r="D60" s="1"/>
      <c r="E60" s="1"/>
      <c r="F60" s="66"/>
      <c r="G60" s="1"/>
      <c r="H60" s="1"/>
      <c r="I60" s="66"/>
      <c r="J60" s="1"/>
      <c r="K60" s="1"/>
      <c r="L60" s="1"/>
      <c r="M60" s="1"/>
      <c r="N60" s="1"/>
      <c r="O60" s="1"/>
      <c r="P60" s="1"/>
      <c r="Q60" s="1"/>
      <c r="R60" s="1"/>
      <c r="S60" s="1"/>
      <c r="T60" s="1"/>
      <c r="U60" s="1"/>
      <c r="V60" s="1"/>
      <c r="W60" s="1"/>
      <c r="X60" s="1"/>
      <c r="Y60" s="1"/>
      <c r="Z60" s="1"/>
    </row>
    <row r="61" spans="1:26" ht="12.75" customHeight="1">
      <c r="A61" s="1"/>
      <c r="B61" s="46"/>
      <c r="C61" s="1"/>
      <c r="D61" s="1"/>
      <c r="E61" s="1"/>
      <c r="F61" s="66"/>
      <c r="G61" s="1"/>
      <c r="H61" s="1"/>
      <c r="I61" s="66"/>
      <c r="J61" s="1"/>
      <c r="K61" s="1"/>
      <c r="L61" s="1"/>
      <c r="M61" s="1"/>
      <c r="N61" s="1"/>
      <c r="O61" s="1"/>
      <c r="P61" s="1"/>
      <c r="Q61" s="1"/>
      <c r="R61" s="1"/>
      <c r="S61" s="1"/>
      <c r="T61" s="1"/>
      <c r="U61" s="1"/>
      <c r="V61" s="1"/>
      <c r="W61" s="1"/>
      <c r="X61" s="1"/>
      <c r="Y61" s="1"/>
      <c r="Z61" s="1"/>
    </row>
    <row r="62" spans="1:26" ht="12.75" customHeight="1">
      <c r="A62" s="1"/>
      <c r="B62" s="46"/>
      <c r="C62" s="1"/>
      <c r="D62" s="1"/>
      <c r="E62" s="1"/>
      <c r="F62" s="66"/>
      <c r="G62" s="1"/>
      <c r="H62" s="1"/>
      <c r="I62" s="66"/>
      <c r="J62" s="1"/>
      <c r="K62" s="1"/>
      <c r="L62" s="1"/>
      <c r="M62" s="1"/>
      <c r="N62" s="1"/>
      <c r="O62" s="1"/>
      <c r="P62" s="1"/>
      <c r="Q62" s="1"/>
      <c r="R62" s="1"/>
      <c r="S62" s="1"/>
      <c r="T62" s="1"/>
      <c r="U62" s="1"/>
      <c r="V62" s="1"/>
      <c r="W62" s="1"/>
      <c r="X62" s="1"/>
      <c r="Y62" s="1"/>
      <c r="Z62" s="1"/>
    </row>
    <row r="63" spans="1:26" ht="12.75" customHeight="1">
      <c r="A63" s="1"/>
      <c r="B63" s="46"/>
      <c r="C63" s="1"/>
      <c r="D63" s="1"/>
      <c r="E63" s="1"/>
      <c r="F63" s="66"/>
      <c r="G63" s="1"/>
      <c r="H63" s="1"/>
      <c r="I63" s="66"/>
      <c r="J63" s="1"/>
      <c r="K63" s="1"/>
      <c r="L63" s="1"/>
      <c r="M63" s="1"/>
      <c r="N63" s="1"/>
      <c r="O63" s="1"/>
      <c r="P63" s="1"/>
      <c r="Q63" s="1"/>
      <c r="R63" s="1"/>
      <c r="S63" s="1"/>
      <c r="T63" s="1"/>
      <c r="U63" s="1"/>
      <c r="V63" s="1"/>
      <c r="W63" s="1"/>
      <c r="X63" s="1"/>
      <c r="Y63" s="1"/>
      <c r="Z63" s="1"/>
    </row>
    <row r="64" spans="1:26" ht="12.75" customHeight="1">
      <c r="A64" s="1"/>
      <c r="B64" s="46"/>
      <c r="C64" s="1"/>
      <c r="D64" s="1"/>
      <c r="E64" s="1"/>
      <c r="F64" s="66"/>
      <c r="G64" s="1"/>
      <c r="H64" s="1"/>
      <c r="I64" s="66"/>
      <c r="J64" s="1"/>
      <c r="K64" s="1"/>
      <c r="L64" s="1"/>
      <c r="M64" s="1"/>
      <c r="N64" s="1"/>
      <c r="O64" s="1"/>
      <c r="P64" s="1"/>
      <c r="Q64" s="1"/>
      <c r="R64" s="1"/>
      <c r="S64" s="1"/>
      <c r="T64" s="1"/>
      <c r="U64" s="1"/>
      <c r="V64" s="1"/>
      <c r="W64" s="1"/>
      <c r="X64" s="1"/>
      <c r="Y64" s="1"/>
      <c r="Z64" s="1"/>
    </row>
    <row r="65" spans="1:26" ht="12.75" customHeight="1">
      <c r="A65" s="1"/>
      <c r="B65" s="46"/>
      <c r="C65" s="1"/>
      <c r="D65" s="1"/>
      <c r="E65" s="1"/>
      <c r="F65" s="66"/>
      <c r="G65" s="1"/>
      <c r="H65" s="1"/>
      <c r="I65" s="66"/>
      <c r="J65" s="1"/>
      <c r="K65" s="1"/>
      <c r="L65" s="1"/>
      <c r="M65" s="1"/>
      <c r="N65" s="1"/>
      <c r="O65" s="1"/>
      <c r="P65" s="1"/>
      <c r="Q65" s="1"/>
      <c r="R65" s="1"/>
      <c r="S65" s="1"/>
      <c r="T65" s="1"/>
      <c r="U65" s="1"/>
      <c r="V65" s="1"/>
      <c r="W65" s="1"/>
      <c r="X65" s="1"/>
      <c r="Y65" s="1"/>
      <c r="Z65" s="1"/>
    </row>
    <row r="66" spans="1:26" ht="12.75" customHeight="1">
      <c r="A66" s="1"/>
      <c r="B66" s="46"/>
      <c r="C66" s="1"/>
      <c r="D66" s="1"/>
      <c r="E66" s="1"/>
      <c r="F66" s="66"/>
      <c r="G66" s="1"/>
      <c r="H66" s="1"/>
      <c r="I66" s="66"/>
      <c r="J66" s="1"/>
      <c r="K66" s="1"/>
      <c r="L66" s="1"/>
      <c r="M66" s="1"/>
      <c r="N66" s="1"/>
      <c r="O66" s="1"/>
      <c r="P66" s="1"/>
      <c r="Q66" s="1"/>
      <c r="R66" s="1"/>
      <c r="S66" s="1"/>
      <c r="T66" s="1"/>
      <c r="U66" s="1"/>
      <c r="V66" s="1"/>
      <c r="W66" s="1"/>
      <c r="X66" s="1"/>
      <c r="Y66" s="1"/>
      <c r="Z66" s="1"/>
    </row>
    <row r="67" spans="1:26" ht="12.75" customHeight="1">
      <c r="A67" s="1"/>
      <c r="B67" s="46"/>
      <c r="C67" s="1"/>
      <c r="D67" s="1"/>
      <c r="E67" s="1"/>
      <c r="F67" s="66"/>
      <c r="G67" s="1"/>
      <c r="H67" s="1"/>
      <c r="I67" s="66"/>
      <c r="J67" s="1"/>
      <c r="K67" s="1"/>
      <c r="L67" s="1"/>
      <c r="M67" s="1"/>
      <c r="N67" s="1"/>
      <c r="O67" s="1"/>
      <c r="P67" s="1"/>
      <c r="Q67" s="1"/>
      <c r="R67" s="1"/>
      <c r="S67" s="1"/>
      <c r="T67" s="1"/>
      <c r="U67" s="1"/>
      <c r="V67" s="1"/>
      <c r="W67" s="1"/>
      <c r="X67" s="1"/>
      <c r="Y67" s="1"/>
      <c r="Z67" s="1"/>
    </row>
    <row r="68" spans="1:26" ht="12.75" customHeight="1">
      <c r="A68" s="1"/>
      <c r="B68" s="46"/>
      <c r="C68" s="1"/>
      <c r="D68" s="1"/>
      <c r="E68" s="1"/>
      <c r="F68" s="66"/>
      <c r="G68" s="1"/>
      <c r="H68" s="1"/>
      <c r="I68" s="66"/>
      <c r="J68" s="1"/>
      <c r="K68" s="1"/>
      <c r="L68" s="1"/>
      <c r="M68" s="1"/>
      <c r="N68" s="1"/>
      <c r="O68" s="1"/>
      <c r="P68" s="1"/>
      <c r="Q68" s="1"/>
      <c r="R68" s="1"/>
      <c r="S68" s="1"/>
      <c r="T68" s="1"/>
      <c r="U68" s="1"/>
      <c r="V68" s="1"/>
      <c r="W68" s="1"/>
      <c r="X68" s="1"/>
      <c r="Y68" s="1"/>
      <c r="Z68" s="1"/>
    </row>
    <row r="69" spans="1:26" ht="12.75" customHeight="1">
      <c r="A69" s="1"/>
      <c r="B69" s="46"/>
      <c r="C69" s="1"/>
      <c r="D69" s="1"/>
      <c r="E69" s="1"/>
      <c r="F69" s="66"/>
      <c r="G69" s="1"/>
      <c r="H69" s="1"/>
      <c r="I69" s="66"/>
      <c r="J69" s="1"/>
      <c r="K69" s="1"/>
      <c r="L69" s="1"/>
      <c r="M69" s="1"/>
      <c r="N69" s="1"/>
      <c r="O69" s="1"/>
      <c r="P69" s="1"/>
      <c r="Q69" s="1"/>
      <c r="R69" s="1"/>
      <c r="S69" s="1"/>
      <c r="T69" s="1"/>
      <c r="U69" s="1"/>
      <c r="V69" s="1"/>
      <c r="W69" s="1"/>
      <c r="X69" s="1"/>
      <c r="Y69" s="1"/>
      <c r="Z69" s="1"/>
    </row>
    <row r="70" spans="1:26" ht="12.75" customHeight="1">
      <c r="A70" s="1"/>
      <c r="B70" s="46"/>
      <c r="C70" s="1"/>
      <c r="D70" s="1"/>
      <c r="E70" s="1"/>
      <c r="F70" s="66"/>
      <c r="G70" s="1"/>
      <c r="H70" s="1"/>
      <c r="I70" s="66"/>
      <c r="J70" s="1"/>
      <c r="K70" s="1"/>
      <c r="L70" s="1"/>
      <c r="M70" s="1"/>
      <c r="N70" s="1"/>
      <c r="O70" s="1"/>
      <c r="P70" s="1"/>
      <c r="Q70" s="1"/>
      <c r="R70" s="1"/>
      <c r="S70" s="1"/>
      <c r="T70" s="1"/>
      <c r="U70" s="1"/>
      <c r="V70" s="1"/>
      <c r="W70" s="1"/>
      <c r="X70" s="1"/>
      <c r="Y70" s="1"/>
      <c r="Z70" s="1"/>
    </row>
    <row r="71" spans="1:26" ht="12.75" customHeight="1">
      <c r="A71" s="1"/>
      <c r="B71" s="46"/>
      <c r="C71" s="1"/>
      <c r="D71" s="1"/>
      <c r="E71" s="1"/>
      <c r="F71" s="66"/>
      <c r="G71" s="1"/>
      <c r="H71" s="1"/>
      <c r="I71" s="66"/>
      <c r="J71" s="1"/>
      <c r="K71" s="1"/>
      <c r="L71" s="1"/>
      <c r="M71" s="1"/>
      <c r="N71" s="1"/>
      <c r="O71" s="1"/>
      <c r="P71" s="1"/>
      <c r="Q71" s="1"/>
      <c r="R71" s="1"/>
      <c r="S71" s="1"/>
      <c r="T71" s="1"/>
      <c r="U71" s="1"/>
      <c r="V71" s="1"/>
      <c r="W71" s="1"/>
      <c r="X71" s="1"/>
      <c r="Y71" s="1"/>
      <c r="Z71" s="1"/>
    </row>
    <row r="72" spans="1:26" ht="12.75" customHeight="1">
      <c r="A72" s="1"/>
      <c r="B72" s="46"/>
      <c r="C72" s="1"/>
      <c r="D72" s="1"/>
      <c r="E72" s="1"/>
      <c r="F72" s="66"/>
      <c r="G72" s="1"/>
      <c r="H72" s="1"/>
      <c r="I72" s="66"/>
      <c r="J72" s="1"/>
      <c r="K72" s="1"/>
      <c r="L72" s="1"/>
      <c r="M72" s="1"/>
      <c r="N72" s="1"/>
      <c r="O72" s="1"/>
      <c r="P72" s="1"/>
      <c r="Q72" s="1"/>
      <c r="R72" s="1"/>
      <c r="S72" s="1"/>
      <c r="T72" s="1"/>
      <c r="U72" s="1"/>
      <c r="V72" s="1"/>
      <c r="W72" s="1"/>
      <c r="X72" s="1"/>
      <c r="Y72" s="1"/>
      <c r="Z72" s="1"/>
    </row>
    <row r="73" spans="1:26" ht="12.75" customHeight="1">
      <c r="A73" s="1"/>
      <c r="B73" s="46"/>
      <c r="C73" s="1"/>
      <c r="D73" s="1"/>
      <c r="E73" s="1"/>
      <c r="F73" s="66"/>
      <c r="G73" s="1"/>
      <c r="H73" s="1"/>
      <c r="I73" s="66"/>
      <c r="J73" s="1"/>
      <c r="K73" s="1"/>
      <c r="L73" s="1"/>
      <c r="M73" s="1"/>
      <c r="N73" s="1"/>
      <c r="O73" s="1"/>
      <c r="P73" s="1"/>
      <c r="Q73" s="1"/>
      <c r="R73" s="1"/>
      <c r="S73" s="1"/>
      <c r="T73" s="1"/>
      <c r="U73" s="1"/>
      <c r="V73" s="1"/>
      <c r="W73" s="1"/>
      <c r="X73" s="1"/>
      <c r="Y73" s="1"/>
      <c r="Z73" s="1"/>
    </row>
    <row r="74" spans="1:26" ht="12.75" customHeight="1">
      <c r="A74" s="1"/>
      <c r="B74" s="46"/>
      <c r="C74" s="1"/>
      <c r="D74" s="1"/>
      <c r="E74" s="1"/>
      <c r="F74" s="66"/>
      <c r="G74" s="1"/>
      <c r="H74" s="1"/>
      <c r="I74" s="66"/>
      <c r="J74" s="1"/>
      <c r="K74" s="1"/>
      <c r="L74" s="1"/>
      <c r="M74" s="1"/>
      <c r="N74" s="1"/>
      <c r="O74" s="1"/>
      <c r="P74" s="1"/>
      <c r="Q74" s="1"/>
      <c r="R74" s="1"/>
      <c r="S74" s="1"/>
      <c r="T74" s="1"/>
      <c r="U74" s="1"/>
      <c r="V74" s="1"/>
      <c r="W74" s="1"/>
      <c r="X74" s="1"/>
      <c r="Y74" s="1"/>
      <c r="Z74" s="1"/>
    </row>
    <row r="75" spans="1:26" ht="12.75" customHeight="1">
      <c r="A75" s="1"/>
      <c r="B75" s="46"/>
      <c r="C75" s="1"/>
      <c r="D75" s="1"/>
      <c r="E75" s="1"/>
      <c r="F75" s="66"/>
      <c r="G75" s="1"/>
      <c r="H75" s="1"/>
      <c r="I75" s="66"/>
      <c r="J75" s="1"/>
      <c r="K75" s="1"/>
      <c r="L75" s="1"/>
      <c r="M75" s="1"/>
      <c r="N75" s="1"/>
      <c r="O75" s="1"/>
      <c r="P75" s="1"/>
      <c r="Q75" s="1"/>
      <c r="R75" s="1"/>
      <c r="S75" s="1"/>
      <c r="T75" s="1"/>
      <c r="U75" s="1"/>
      <c r="V75" s="1"/>
      <c r="W75" s="1"/>
      <c r="X75" s="1"/>
      <c r="Y75" s="1"/>
      <c r="Z75" s="1"/>
    </row>
    <row r="76" spans="1:26" ht="12.75" customHeight="1">
      <c r="A76" s="1"/>
      <c r="B76" s="46"/>
      <c r="C76" s="1"/>
      <c r="D76" s="1"/>
      <c r="E76" s="1"/>
      <c r="F76" s="66"/>
      <c r="G76" s="1"/>
      <c r="H76" s="1"/>
      <c r="I76" s="66"/>
      <c r="J76" s="1"/>
      <c r="K76" s="1"/>
      <c r="L76" s="1"/>
      <c r="M76" s="1"/>
      <c r="N76" s="1"/>
      <c r="O76" s="1"/>
      <c r="P76" s="1"/>
      <c r="Q76" s="1"/>
      <c r="R76" s="1"/>
      <c r="S76" s="1"/>
      <c r="T76" s="1"/>
      <c r="U76" s="1"/>
      <c r="V76" s="1"/>
      <c r="W76" s="1"/>
      <c r="X76" s="1"/>
      <c r="Y76" s="1"/>
      <c r="Z76" s="1"/>
    </row>
    <row r="77" spans="1:26" ht="12.75" customHeight="1">
      <c r="A77" s="1"/>
      <c r="B77" s="46"/>
      <c r="C77" s="1"/>
      <c r="D77" s="1"/>
      <c r="E77" s="1"/>
      <c r="F77" s="66"/>
      <c r="G77" s="1"/>
      <c r="H77" s="1"/>
      <c r="I77" s="66"/>
      <c r="J77" s="1"/>
      <c r="K77" s="1"/>
      <c r="L77" s="1"/>
      <c r="M77" s="1"/>
      <c r="N77" s="1"/>
      <c r="O77" s="1"/>
      <c r="P77" s="1"/>
      <c r="Q77" s="1"/>
      <c r="R77" s="1"/>
      <c r="S77" s="1"/>
      <c r="T77" s="1"/>
      <c r="U77" s="1"/>
      <c r="V77" s="1"/>
      <c r="W77" s="1"/>
      <c r="X77" s="1"/>
      <c r="Y77" s="1"/>
      <c r="Z77" s="1"/>
    </row>
    <row r="78" spans="1:26" ht="12.75" customHeight="1">
      <c r="A78" s="1"/>
      <c r="B78" s="46"/>
      <c r="C78" s="1"/>
      <c r="D78" s="1"/>
      <c r="E78" s="1"/>
      <c r="F78" s="66"/>
      <c r="G78" s="1"/>
      <c r="H78" s="1"/>
      <c r="I78" s="66"/>
      <c r="J78" s="1"/>
      <c r="K78" s="1"/>
      <c r="L78" s="1"/>
      <c r="M78" s="1"/>
      <c r="N78" s="1"/>
      <c r="O78" s="1"/>
      <c r="P78" s="1"/>
      <c r="Q78" s="1"/>
      <c r="R78" s="1"/>
      <c r="S78" s="1"/>
      <c r="T78" s="1"/>
      <c r="U78" s="1"/>
      <c r="V78" s="1"/>
      <c r="W78" s="1"/>
      <c r="X78" s="1"/>
      <c r="Y78" s="1"/>
      <c r="Z78" s="1"/>
    </row>
    <row r="79" spans="1:26" ht="12.75" customHeight="1">
      <c r="A79" s="1"/>
      <c r="B79" s="46"/>
      <c r="C79" s="1"/>
      <c r="D79" s="1"/>
      <c r="E79" s="1"/>
      <c r="F79" s="66"/>
      <c r="G79" s="1"/>
      <c r="H79" s="1"/>
      <c r="I79" s="66"/>
      <c r="J79" s="1"/>
      <c r="K79" s="1"/>
      <c r="L79" s="1"/>
      <c r="M79" s="1"/>
      <c r="N79" s="1"/>
      <c r="O79" s="1"/>
      <c r="P79" s="1"/>
      <c r="Q79" s="1"/>
      <c r="R79" s="1"/>
      <c r="S79" s="1"/>
      <c r="T79" s="1"/>
      <c r="U79" s="1"/>
      <c r="V79" s="1"/>
      <c r="W79" s="1"/>
      <c r="X79" s="1"/>
      <c r="Y79" s="1"/>
      <c r="Z79" s="1"/>
    </row>
    <row r="80" spans="1:26" ht="12.75" customHeight="1">
      <c r="A80" s="1"/>
      <c r="B80" s="46"/>
      <c r="C80" s="1"/>
      <c r="D80" s="1"/>
      <c r="E80" s="1"/>
      <c r="F80" s="66"/>
      <c r="G80" s="1"/>
      <c r="H80" s="1"/>
      <c r="I80" s="66"/>
      <c r="J80" s="1"/>
      <c r="K80" s="1"/>
      <c r="L80" s="1"/>
      <c r="M80" s="1"/>
      <c r="N80" s="1"/>
      <c r="O80" s="1"/>
      <c r="P80" s="1"/>
      <c r="Q80" s="1"/>
      <c r="R80" s="1"/>
      <c r="S80" s="1"/>
      <c r="T80" s="1"/>
      <c r="U80" s="1"/>
      <c r="V80" s="1"/>
      <c r="W80" s="1"/>
      <c r="X80" s="1"/>
      <c r="Y80" s="1"/>
      <c r="Z80" s="1"/>
    </row>
    <row r="81" spans="1:26" ht="12.75" customHeight="1">
      <c r="A81" s="1"/>
      <c r="B81" s="46"/>
      <c r="C81" s="1"/>
      <c r="D81" s="1"/>
      <c r="E81" s="1"/>
      <c r="F81" s="66"/>
      <c r="G81" s="1"/>
      <c r="H81" s="1"/>
      <c r="I81" s="66"/>
      <c r="J81" s="1"/>
      <c r="K81" s="1"/>
      <c r="L81" s="1"/>
      <c r="M81" s="1"/>
      <c r="N81" s="1"/>
      <c r="O81" s="1"/>
      <c r="P81" s="1"/>
      <c r="Q81" s="1"/>
      <c r="R81" s="1"/>
      <c r="S81" s="1"/>
      <c r="T81" s="1"/>
      <c r="U81" s="1"/>
      <c r="V81" s="1"/>
      <c r="W81" s="1"/>
      <c r="X81" s="1"/>
      <c r="Y81" s="1"/>
      <c r="Z81" s="1"/>
    </row>
    <row r="82" spans="1:26" ht="12.75" customHeight="1">
      <c r="A82" s="1"/>
      <c r="B82" s="46"/>
      <c r="C82" s="1"/>
      <c r="D82" s="1"/>
      <c r="E82" s="1"/>
      <c r="F82" s="66"/>
      <c r="G82" s="1"/>
      <c r="H82" s="1"/>
      <c r="I82" s="66"/>
      <c r="J82" s="1"/>
      <c r="K82" s="1"/>
      <c r="L82" s="1"/>
      <c r="M82" s="1"/>
      <c r="N82" s="1"/>
      <c r="O82" s="1"/>
      <c r="P82" s="1"/>
      <c r="Q82" s="1"/>
      <c r="R82" s="1"/>
      <c r="S82" s="1"/>
      <c r="T82" s="1"/>
      <c r="U82" s="1"/>
      <c r="V82" s="1"/>
      <c r="W82" s="1"/>
      <c r="X82" s="1"/>
      <c r="Y82" s="1"/>
      <c r="Z82" s="1"/>
    </row>
    <row r="83" spans="1:26" ht="12.75" customHeight="1">
      <c r="A83" s="1"/>
      <c r="B83" s="46"/>
      <c r="C83" s="1"/>
      <c r="D83" s="1"/>
      <c r="E83" s="1"/>
      <c r="F83" s="66"/>
      <c r="G83" s="1"/>
      <c r="H83" s="1"/>
      <c r="I83" s="66"/>
      <c r="J83" s="1"/>
      <c r="K83" s="1"/>
      <c r="L83" s="1"/>
      <c r="M83" s="1"/>
      <c r="N83" s="1"/>
      <c r="O83" s="1"/>
      <c r="P83" s="1"/>
      <c r="Q83" s="1"/>
      <c r="R83" s="1"/>
      <c r="S83" s="1"/>
      <c r="T83" s="1"/>
      <c r="U83" s="1"/>
      <c r="V83" s="1"/>
      <c r="W83" s="1"/>
      <c r="X83" s="1"/>
      <c r="Y83" s="1"/>
      <c r="Z83" s="1"/>
    </row>
    <row r="84" spans="1:26" ht="12.75" customHeight="1">
      <c r="A84" s="1"/>
      <c r="B84" s="46"/>
      <c r="C84" s="1"/>
      <c r="D84" s="1"/>
      <c r="E84" s="1"/>
      <c r="F84" s="66"/>
      <c r="G84" s="1"/>
      <c r="H84" s="1"/>
      <c r="I84" s="66"/>
      <c r="J84" s="1"/>
      <c r="K84" s="1"/>
      <c r="L84" s="1"/>
      <c r="M84" s="1"/>
      <c r="N84" s="1"/>
      <c r="O84" s="1"/>
      <c r="P84" s="1"/>
      <c r="Q84" s="1"/>
      <c r="R84" s="1"/>
      <c r="S84" s="1"/>
      <c r="T84" s="1"/>
      <c r="U84" s="1"/>
      <c r="V84" s="1"/>
      <c r="W84" s="1"/>
      <c r="X84" s="1"/>
      <c r="Y84" s="1"/>
      <c r="Z84" s="1"/>
    </row>
    <row r="85" spans="1:26" ht="12.75" customHeight="1">
      <c r="A85" s="1"/>
      <c r="B85" s="46"/>
      <c r="C85" s="1"/>
      <c r="D85" s="1"/>
      <c r="E85" s="1"/>
      <c r="F85" s="66"/>
      <c r="G85" s="1"/>
      <c r="H85" s="1"/>
      <c r="I85" s="66"/>
      <c r="J85" s="1"/>
      <c r="K85" s="1"/>
      <c r="L85" s="1"/>
      <c r="M85" s="1"/>
      <c r="N85" s="1"/>
      <c r="O85" s="1"/>
      <c r="P85" s="1"/>
      <c r="Q85" s="1"/>
      <c r="R85" s="1"/>
      <c r="S85" s="1"/>
      <c r="T85" s="1"/>
      <c r="U85" s="1"/>
      <c r="V85" s="1"/>
      <c r="W85" s="1"/>
      <c r="X85" s="1"/>
      <c r="Y85" s="1"/>
      <c r="Z85" s="1"/>
    </row>
    <row r="86" spans="1:26" ht="12.75" customHeight="1">
      <c r="A86" s="1"/>
      <c r="B86" s="46"/>
      <c r="C86" s="1"/>
      <c r="D86" s="1"/>
      <c r="E86" s="1"/>
      <c r="F86" s="66"/>
      <c r="G86" s="1"/>
      <c r="H86" s="1"/>
      <c r="I86" s="66"/>
      <c r="J86" s="1"/>
      <c r="K86" s="1"/>
      <c r="L86" s="1"/>
      <c r="M86" s="1"/>
      <c r="N86" s="1"/>
      <c r="O86" s="1"/>
      <c r="P86" s="1"/>
      <c r="Q86" s="1"/>
      <c r="R86" s="1"/>
      <c r="S86" s="1"/>
      <c r="T86" s="1"/>
      <c r="U86" s="1"/>
      <c r="V86" s="1"/>
      <c r="W86" s="1"/>
      <c r="X86" s="1"/>
      <c r="Y86" s="1"/>
      <c r="Z86" s="1"/>
    </row>
    <row r="87" spans="1:26" ht="12.75" customHeight="1">
      <c r="A87" s="1"/>
      <c r="B87" s="46"/>
      <c r="C87" s="1"/>
      <c r="D87" s="1"/>
      <c r="E87" s="1"/>
      <c r="F87" s="66"/>
      <c r="G87" s="1"/>
      <c r="H87" s="1"/>
      <c r="I87" s="66"/>
      <c r="J87" s="1"/>
      <c r="K87" s="1"/>
      <c r="L87" s="1"/>
      <c r="M87" s="1"/>
      <c r="N87" s="1"/>
      <c r="O87" s="1"/>
      <c r="P87" s="1"/>
      <c r="Q87" s="1"/>
      <c r="R87" s="1"/>
      <c r="S87" s="1"/>
      <c r="T87" s="1"/>
      <c r="U87" s="1"/>
      <c r="V87" s="1"/>
      <c r="W87" s="1"/>
      <c r="X87" s="1"/>
      <c r="Y87" s="1"/>
      <c r="Z87" s="1"/>
    </row>
    <row r="88" spans="1:26" ht="12.75" customHeight="1">
      <c r="A88" s="1"/>
      <c r="B88" s="46"/>
      <c r="C88" s="1"/>
      <c r="D88" s="1"/>
      <c r="E88" s="1"/>
      <c r="F88" s="66"/>
      <c r="G88" s="1"/>
      <c r="H88" s="1"/>
      <c r="I88" s="66"/>
      <c r="J88" s="1"/>
      <c r="K88" s="1"/>
      <c r="L88" s="1"/>
      <c r="M88" s="1"/>
      <c r="N88" s="1"/>
      <c r="O88" s="1"/>
      <c r="P88" s="1"/>
      <c r="Q88" s="1"/>
      <c r="R88" s="1"/>
      <c r="S88" s="1"/>
      <c r="T88" s="1"/>
      <c r="U88" s="1"/>
      <c r="V88" s="1"/>
      <c r="W88" s="1"/>
      <c r="X88" s="1"/>
      <c r="Y88" s="1"/>
      <c r="Z88" s="1"/>
    </row>
    <row r="89" spans="1:26" ht="12.75" customHeight="1">
      <c r="A89" s="1"/>
      <c r="B89" s="46"/>
      <c r="C89" s="1"/>
      <c r="D89" s="1"/>
      <c r="E89" s="1"/>
      <c r="F89" s="66"/>
      <c r="G89" s="1"/>
      <c r="H89" s="1"/>
      <c r="I89" s="66"/>
      <c r="J89" s="1"/>
      <c r="K89" s="1"/>
      <c r="L89" s="1"/>
      <c r="M89" s="1"/>
      <c r="N89" s="1"/>
      <c r="O89" s="1"/>
      <c r="P89" s="1"/>
      <c r="Q89" s="1"/>
      <c r="R89" s="1"/>
      <c r="S89" s="1"/>
      <c r="T89" s="1"/>
      <c r="U89" s="1"/>
      <c r="V89" s="1"/>
      <c r="W89" s="1"/>
      <c r="X89" s="1"/>
      <c r="Y89" s="1"/>
      <c r="Z89" s="1"/>
    </row>
    <row r="90" spans="1:26" ht="12.75" customHeight="1">
      <c r="A90" s="1"/>
      <c r="B90" s="46"/>
      <c r="C90" s="1"/>
      <c r="D90" s="1"/>
      <c r="E90" s="1"/>
      <c r="F90" s="66"/>
      <c r="G90" s="1"/>
      <c r="H90" s="1"/>
      <c r="I90" s="66"/>
      <c r="J90" s="1"/>
      <c r="K90" s="1"/>
      <c r="L90" s="1"/>
      <c r="M90" s="1"/>
      <c r="N90" s="1"/>
      <c r="O90" s="1"/>
      <c r="P90" s="1"/>
      <c r="Q90" s="1"/>
      <c r="R90" s="1"/>
      <c r="S90" s="1"/>
      <c r="T90" s="1"/>
      <c r="U90" s="1"/>
      <c r="V90" s="1"/>
      <c r="W90" s="1"/>
      <c r="X90" s="1"/>
      <c r="Y90" s="1"/>
      <c r="Z90" s="1"/>
    </row>
    <row r="91" spans="1:26" ht="12.75" customHeight="1">
      <c r="A91" s="1"/>
      <c r="B91" s="46"/>
      <c r="C91" s="1"/>
      <c r="D91" s="1"/>
      <c r="E91" s="1"/>
      <c r="F91" s="66"/>
      <c r="G91" s="1"/>
      <c r="H91" s="1"/>
      <c r="I91" s="66"/>
      <c r="J91" s="1"/>
      <c r="K91" s="1"/>
      <c r="L91" s="1"/>
      <c r="M91" s="1"/>
      <c r="N91" s="1"/>
      <c r="O91" s="1"/>
      <c r="P91" s="1"/>
      <c r="Q91" s="1"/>
      <c r="R91" s="1"/>
      <c r="S91" s="1"/>
      <c r="T91" s="1"/>
      <c r="U91" s="1"/>
      <c r="V91" s="1"/>
      <c r="W91" s="1"/>
      <c r="X91" s="1"/>
      <c r="Y91" s="1"/>
      <c r="Z91" s="1"/>
    </row>
    <row r="92" spans="1:26" ht="12.75" customHeight="1">
      <c r="A92" s="1"/>
      <c r="B92" s="46"/>
      <c r="C92" s="1"/>
      <c r="D92" s="1"/>
      <c r="E92" s="1"/>
      <c r="F92" s="66"/>
      <c r="G92" s="1"/>
      <c r="H92" s="1"/>
      <c r="I92" s="66"/>
      <c r="J92" s="1"/>
      <c r="K92" s="1"/>
      <c r="L92" s="1"/>
      <c r="M92" s="1"/>
      <c r="N92" s="1"/>
      <c r="O92" s="1"/>
      <c r="P92" s="1"/>
      <c r="Q92" s="1"/>
      <c r="R92" s="1"/>
      <c r="S92" s="1"/>
      <c r="T92" s="1"/>
      <c r="U92" s="1"/>
      <c r="V92" s="1"/>
      <c r="W92" s="1"/>
      <c r="X92" s="1"/>
      <c r="Y92" s="1"/>
      <c r="Z92" s="1"/>
    </row>
    <row r="93" spans="1:26" ht="12.75" customHeight="1">
      <c r="A93" s="1"/>
      <c r="B93" s="46"/>
      <c r="C93" s="1"/>
      <c r="D93" s="1"/>
      <c r="E93" s="1"/>
      <c r="F93" s="66"/>
      <c r="G93" s="1"/>
      <c r="H93" s="1"/>
      <c r="I93" s="66"/>
      <c r="J93" s="1"/>
      <c r="K93" s="1"/>
      <c r="L93" s="1"/>
      <c r="M93" s="1"/>
      <c r="N93" s="1"/>
      <c r="O93" s="1"/>
      <c r="P93" s="1"/>
      <c r="Q93" s="1"/>
      <c r="R93" s="1"/>
      <c r="S93" s="1"/>
      <c r="T93" s="1"/>
      <c r="U93" s="1"/>
      <c r="V93" s="1"/>
      <c r="W93" s="1"/>
      <c r="X93" s="1"/>
      <c r="Y93" s="1"/>
      <c r="Z93" s="1"/>
    </row>
    <row r="94" spans="1:26" ht="12.75" customHeight="1">
      <c r="A94" s="1"/>
      <c r="B94" s="46"/>
      <c r="C94" s="1"/>
      <c r="D94" s="1"/>
      <c r="E94" s="1"/>
      <c r="F94" s="66"/>
      <c r="G94" s="1"/>
      <c r="H94" s="1"/>
      <c r="I94" s="66"/>
      <c r="J94" s="1"/>
      <c r="K94" s="1"/>
      <c r="L94" s="1"/>
      <c r="M94" s="1"/>
      <c r="N94" s="1"/>
      <c r="O94" s="1"/>
      <c r="P94" s="1"/>
      <c r="Q94" s="1"/>
      <c r="R94" s="1"/>
      <c r="S94" s="1"/>
      <c r="T94" s="1"/>
      <c r="U94" s="1"/>
      <c r="V94" s="1"/>
      <c r="W94" s="1"/>
      <c r="X94" s="1"/>
      <c r="Y94" s="1"/>
      <c r="Z94" s="1"/>
    </row>
    <row r="95" spans="1:26" ht="12.75" customHeight="1">
      <c r="A95" s="1"/>
      <c r="B95" s="46"/>
      <c r="C95" s="1"/>
      <c r="D95" s="1"/>
      <c r="E95" s="1"/>
      <c r="F95" s="66"/>
      <c r="G95" s="1"/>
      <c r="H95" s="1"/>
      <c r="I95" s="66"/>
      <c r="J95" s="1"/>
      <c r="K95" s="1"/>
      <c r="L95" s="1"/>
      <c r="M95" s="1"/>
      <c r="N95" s="1"/>
      <c r="O95" s="1"/>
      <c r="P95" s="1"/>
      <c r="Q95" s="1"/>
      <c r="R95" s="1"/>
      <c r="S95" s="1"/>
      <c r="T95" s="1"/>
      <c r="U95" s="1"/>
      <c r="V95" s="1"/>
      <c r="W95" s="1"/>
      <c r="X95" s="1"/>
      <c r="Y95" s="1"/>
      <c r="Z95" s="1"/>
    </row>
    <row r="96" spans="1:26" ht="12.75" customHeight="1">
      <c r="A96" s="1"/>
      <c r="B96" s="46"/>
      <c r="C96" s="1"/>
      <c r="D96" s="1"/>
      <c r="E96" s="1"/>
      <c r="F96" s="66"/>
      <c r="G96" s="1"/>
      <c r="H96" s="1"/>
      <c r="I96" s="66"/>
      <c r="J96" s="1"/>
      <c r="K96" s="1"/>
      <c r="L96" s="1"/>
      <c r="M96" s="1"/>
      <c r="N96" s="1"/>
      <c r="O96" s="1"/>
      <c r="P96" s="1"/>
      <c r="Q96" s="1"/>
      <c r="R96" s="1"/>
      <c r="S96" s="1"/>
      <c r="T96" s="1"/>
      <c r="U96" s="1"/>
      <c r="V96" s="1"/>
      <c r="W96" s="1"/>
      <c r="X96" s="1"/>
      <c r="Y96" s="1"/>
      <c r="Z96" s="1"/>
    </row>
    <row r="97" spans="1:26" ht="12.75" customHeight="1">
      <c r="A97" s="1"/>
      <c r="B97" s="46"/>
      <c r="C97" s="1"/>
      <c r="D97" s="1"/>
      <c r="E97" s="1"/>
      <c r="F97" s="66"/>
      <c r="G97" s="1"/>
      <c r="H97" s="1"/>
      <c r="I97" s="66"/>
      <c r="J97" s="1"/>
      <c r="K97" s="1"/>
      <c r="L97" s="1"/>
      <c r="M97" s="1"/>
      <c r="N97" s="1"/>
      <c r="O97" s="1"/>
      <c r="P97" s="1"/>
      <c r="Q97" s="1"/>
      <c r="R97" s="1"/>
      <c r="S97" s="1"/>
      <c r="T97" s="1"/>
      <c r="U97" s="1"/>
      <c r="V97" s="1"/>
      <c r="W97" s="1"/>
      <c r="X97" s="1"/>
      <c r="Y97" s="1"/>
      <c r="Z97" s="1"/>
    </row>
    <row r="98" spans="1:26" ht="12.75" customHeight="1">
      <c r="A98" s="1"/>
      <c r="B98" s="46"/>
      <c r="C98" s="1"/>
      <c r="D98" s="1"/>
      <c r="E98" s="1"/>
      <c r="F98" s="66"/>
      <c r="G98" s="1"/>
      <c r="H98" s="1"/>
      <c r="I98" s="66"/>
      <c r="J98" s="1"/>
      <c r="K98" s="1"/>
      <c r="L98" s="1"/>
      <c r="M98" s="1"/>
      <c r="N98" s="1"/>
      <c r="O98" s="1"/>
      <c r="P98" s="1"/>
      <c r="Q98" s="1"/>
      <c r="R98" s="1"/>
      <c r="S98" s="1"/>
      <c r="T98" s="1"/>
      <c r="U98" s="1"/>
      <c r="V98" s="1"/>
      <c r="W98" s="1"/>
      <c r="X98" s="1"/>
      <c r="Y98" s="1"/>
      <c r="Z98" s="1"/>
    </row>
    <row r="99" spans="1:26" ht="12.75" customHeight="1">
      <c r="A99" s="1"/>
      <c r="B99" s="46"/>
      <c r="C99" s="1"/>
      <c r="D99" s="1"/>
      <c r="E99" s="1"/>
      <c r="F99" s="66"/>
      <c r="G99" s="1"/>
      <c r="H99" s="1"/>
      <c r="I99" s="66"/>
      <c r="J99" s="1"/>
      <c r="K99" s="1"/>
      <c r="L99" s="1"/>
      <c r="M99" s="1"/>
      <c r="N99" s="1"/>
      <c r="O99" s="1"/>
      <c r="P99" s="1"/>
      <c r="Q99" s="1"/>
      <c r="R99" s="1"/>
      <c r="S99" s="1"/>
      <c r="T99" s="1"/>
      <c r="U99" s="1"/>
      <c r="V99" s="1"/>
      <c r="W99" s="1"/>
      <c r="X99" s="1"/>
      <c r="Y99" s="1"/>
      <c r="Z99" s="1"/>
    </row>
    <row r="100" spans="1:26" ht="12.75" customHeight="1">
      <c r="A100" s="1"/>
      <c r="B100" s="46"/>
      <c r="C100" s="1"/>
      <c r="D100" s="1"/>
      <c r="E100" s="1"/>
      <c r="F100" s="66"/>
      <c r="G100" s="1"/>
      <c r="H100" s="1"/>
      <c r="I100" s="66"/>
      <c r="J100" s="1"/>
      <c r="K100" s="1"/>
      <c r="L100" s="1"/>
      <c r="M100" s="1"/>
      <c r="N100" s="1"/>
      <c r="O100" s="1"/>
      <c r="P100" s="1"/>
      <c r="Q100" s="1"/>
      <c r="R100" s="1"/>
      <c r="S100" s="1"/>
      <c r="T100" s="1"/>
      <c r="U100" s="1"/>
      <c r="V100" s="1"/>
      <c r="W100" s="1"/>
      <c r="X100" s="1"/>
      <c r="Y100" s="1"/>
      <c r="Z100" s="1"/>
    </row>
    <row r="101" spans="1:26" ht="12.75" customHeight="1">
      <c r="A101" s="1"/>
      <c r="B101" s="46"/>
      <c r="C101" s="1"/>
      <c r="D101" s="1"/>
      <c r="E101" s="1"/>
      <c r="F101" s="66"/>
      <c r="G101" s="1"/>
      <c r="H101" s="1"/>
      <c r="I101" s="66"/>
      <c r="J101" s="1"/>
      <c r="K101" s="1"/>
      <c r="L101" s="1"/>
      <c r="M101" s="1"/>
      <c r="N101" s="1"/>
      <c r="O101" s="1"/>
      <c r="P101" s="1"/>
      <c r="Q101" s="1"/>
      <c r="R101" s="1"/>
      <c r="S101" s="1"/>
      <c r="T101" s="1"/>
      <c r="U101" s="1"/>
      <c r="V101" s="1"/>
      <c r="W101" s="1"/>
      <c r="X101" s="1"/>
      <c r="Y101" s="1"/>
      <c r="Z101" s="1"/>
    </row>
    <row r="102" spans="1:26" ht="12.75" customHeight="1">
      <c r="A102" s="1"/>
      <c r="B102" s="46"/>
      <c r="C102" s="1"/>
      <c r="D102" s="1"/>
      <c r="E102" s="1"/>
      <c r="F102" s="66"/>
      <c r="G102" s="1"/>
      <c r="H102" s="1"/>
      <c r="I102" s="66"/>
      <c r="J102" s="1"/>
      <c r="K102" s="1"/>
      <c r="L102" s="1"/>
      <c r="M102" s="1"/>
      <c r="N102" s="1"/>
      <c r="O102" s="1"/>
      <c r="P102" s="1"/>
      <c r="Q102" s="1"/>
      <c r="R102" s="1"/>
      <c r="S102" s="1"/>
      <c r="T102" s="1"/>
      <c r="U102" s="1"/>
      <c r="V102" s="1"/>
      <c r="W102" s="1"/>
      <c r="X102" s="1"/>
      <c r="Y102" s="1"/>
      <c r="Z102" s="1"/>
    </row>
    <row r="103" spans="1:26" ht="12.75" customHeight="1">
      <c r="A103" s="1"/>
      <c r="B103" s="46"/>
      <c r="C103" s="1"/>
      <c r="D103" s="1"/>
      <c r="E103" s="1"/>
      <c r="F103" s="66"/>
      <c r="G103" s="1"/>
      <c r="H103" s="1"/>
      <c r="I103" s="66"/>
      <c r="J103" s="1"/>
      <c r="K103" s="1"/>
      <c r="L103" s="1"/>
      <c r="M103" s="1"/>
      <c r="N103" s="1"/>
      <c r="O103" s="1"/>
      <c r="P103" s="1"/>
      <c r="Q103" s="1"/>
      <c r="R103" s="1"/>
      <c r="S103" s="1"/>
      <c r="T103" s="1"/>
      <c r="U103" s="1"/>
      <c r="V103" s="1"/>
      <c r="W103" s="1"/>
      <c r="X103" s="1"/>
      <c r="Y103" s="1"/>
      <c r="Z103" s="1"/>
    </row>
    <row r="104" spans="1:26" ht="12.75" customHeight="1">
      <c r="A104" s="1"/>
      <c r="B104" s="46"/>
      <c r="C104" s="1"/>
      <c r="D104" s="1"/>
      <c r="E104" s="1"/>
      <c r="F104" s="66"/>
      <c r="G104" s="1"/>
      <c r="H104" s="1"/>
      <c r="I104" s="66"/>
      <c r="J104" s="1"/>
      <c r="K104" s="1"/>
      <c r="L104" s="1"/>
      <c r="M104" s="1"/>
      <c r="N104" s="1"/>
      <c r="O104" s="1"/>
      <c r="P104" s="1"/>
      <c r="Q104" s="1"/>
      <c r="R104" s="1"/>
      <c r="S104" s="1"/>
      <c r="T104" s="1"/>
      <c r="U104" s="1"/>
      <c r="V104" s="1"/>
      <c r="W104" s="1"/>
      <c r="X104" s="1"/>
      <c r="Y104" s="1"/>
      <c r="Z104" s="1"/>
    </row>
    <row r="105" spans="1:26" ht="12.75" customHeight="1">
      <c r="A105" s="1"/>
      <c r="B105" s="46"/>
      <c r="C105" s="1"/>
      <c r="D105" s="1"/>
      <c r="E105" s="1"/>
      <c r="F105" s="66"/>
      <c r="G105" s="1"/>
      <c r="H105" s="1"/>
      <c r="I105" s="66"/>
      <c r="J105" s="1"/>
      <c r="K105" s="1"/>
      <c r="L105" s="1"/>
      <c r="M105" s="1"/>
      <c r="N105" s="1"/>
      <c r="O105" s="1"/>
      <c r="P105" s="1"/>
      <c r="Q105" s="1"/>
      <c r="R105" s="1"/>
      <c r="S105" s="1"/>
      <c r="T105" s="1"/>
      <c r="U105" s="1"/>
      <c r="V105" s="1"/>
      <c r="W105" s="1"/>
      <c r="X105" s="1"/>
      <c r="Y105" s="1"/>
      <c r="Z105" s="1"/>
    </row>
    <row r="106" spans="1:26" ht="12.75" customHeight="1">
      <c r="A106" s="1"/>
      <c r="B106" s="46"/>
      <c r="C106" s="1"/>
      <c r="D106" s="1"/>
      <c r="E106" s="1"/>
      <c r="F106" s="66"/>
      <c r="G106" s="1"/>
      <c r="H106" s="1"/>
      <c r="I106" s="66"/>
      <c r="J106" s="1"/>
      <c r="K106" s="1"/>
      <c r="L106" s="1"/>
      <c r="M106" s="1"/>
      <c r="N106" s="1"/>
      <c r="O106" s="1"/>
      <c r="P106" s="1"/>
      <c r="Q106" s="1"/>
      <c r="R106" s="1"/>
      <c r="S106" s="1"/>
      <c r="T106" s="1"/>
      <c r="U106" s="1"/>
      <c r="V106" s="1"/>
      <c r="W106" s="1"/>
      <c r="X106" s="1"/>
      <c r="Y106" s="1"/>
      <c r="Z106" s="1"/>
    </row>
    <row r="107" spans="1:26" ht="12.75" customHeight="1">
      <c r="A107" s="1"/>
      <c r="B107" s="46"/>
      <c r="C107" s="1"/>
      <c r="D107" s="1"/>
      <c r="E107" s="1"/>
      <c r="F107" s="66"/>
      <c r="G107" s="1"/>
      <c r="H107" s="1"/>
      <c r="I107" s="66"/>
      <c r="J107" s="1"/>
      <c r="K107" s="1"/>
      <c r="L107" s="1"/>
      <c r="M107" s="1"/>
      <c r="N107" s="1"/>
      <c r="O107" s="1"/>
      <c r="P107" s="1"/>
      <c r="Q107" s="1"/>
      <c r="R107" s="1"/>
      <c r="S107" s="1"/>
      <c r="T107" s="1"/>
      <c r="U107" s="1"/>
      <c r="V107" s="1"/>
      <c r="W107" s="1"/>
      <c r="X107" s="1"/>
      <c r="Y107" s="1"/>
      <c r="Z107" s="1"/>
    </row>
    <row r="108" spans="1:26" ht="12.75" customHeight="1">
      <c r="A108" s="1"/>
      <c r="B108" s="46"/>
      <c r="C108" s="1"/>
      <c r="D108" s="1"/>
      <c r="E108" s="1"/>
      <c r="F108" s="66"/>
      <c r="G108" s="1"/>
      <c r="H108" s="1"/>
      <c r="I108" s="66"/>
      <c r="J108" s="1"/>
      <c r="K108" s="1"/>
      <c r="L108" s="1"/>
      <c r="M108" s="1"/>
      <c r="N108" s="1"/>
      <c r="O108" s="1"/>
      <c r="P108" s="1"/>
      <c r="Q108" s="1"/>
      <c r="R108" s="1"/>
      <c r="S108" s="1"/>
      <c r="T108" s="1"/>
      <c r="U108" s="1"/>
      <c r="V108" s="1"/>
      <c r="W108" s="1"/>
      <c r="X108" s="1"/>
      <c r="Y108" s="1"/>
      <c r="Z108" s="1"/>
    </row>
    <row r="109" spans="1:26" ht="12.75" customHeight="1">
      <c r="A109" s="1"/>
      <c r="B109" s="46"/>
      <c r="C109" s="1"/>
      <c r="D109" s="1"/>
      <c r="E109" s="1"/>
      <c r="F109" s="66"/>
      <c r="G109" s="1"/>
      <c r="H109" s="1"/>
      <c r="I109" s="66"/>
      <c r="J109" s="1"/>
      <c r="K109" s="1"/>
      <c r="L109" s="1"/>
      <c r="M109" s="1"/>
      <c r="N109" s="1"/>
      <c r="O109" s="1"/>
      <c r="P109" s="1"/>
      <c r="Q109" s="1"/>
      <c r="R109" s="1"/>
      <c r="S109" s="1"/>
      <c r="T109" s="1"/>
      <c r="U109" s="1"/>
      <c r="V109" s="1"/>
      <c r="W109" s="1"/>
      <c r="X109" s="1"/>
      <c r="Y109" s="1"/>
      <c r="Z109" s="1"/>
    </row>
    <row r="110" spans="1:26" ht="12.75" customHeight="1">
      <c r="A110" s="1"/>
      <c r="B110" s="46"/>
      <c r="C110" s="1"/>
      <c r="D110" s="1"/>
      <c r="E110" s="1"/>
      <c r="F110" s="66"/>
      <c r="G110" s="1"/>
      <c r="H110" s="1"/>
      <c r="I110" s="66"/>
      <c r="J110" s="1"/>
      <c r="K110" s="1"/>
      <c r="L110" s="1"/>
      <c r="M110" s="1"/>
      <c r="N110" s="1"/>
      <c r="O110" s="1"/>
      <c r="P110" s="1"/>
      <c r="Q110" s="1"/>
      <c r="R110" s="1"/>
      <c r="S110" s="1"/>
      <c r="T110" s="1"/>
      <c r="U110" s="1"/>
      <c r="V110" s="1"/>
      <c r="W110" s="1"/>
      <c r="X110" s="1"/>
      <c r="Y110" s="1"/>
      <c r="Z110" s="1"/>
    </row>
    <row r="111" spans="1:26" ht="12.75" customHeight="1">
      <c r="A111" s="1"/>
      <c r="B111" s="46"/>
      <c r="C111" s="1"/>
      <c r="D111" s="1"/>
      <c r="E111" s="1"/>
      <c r="F111" s="66"/>
      <c r="G111" s="1"/>
      <c r="H111" s="1"/>
      <c r="I111" s="66"/>
      <c r="J111" s="1"/>
      <c r="K111" s="1"/>
      <c r="L111" s="1"/>
      <c r="M111" s="1"/>
      <c r="N111" s="1"/>
      <c r="O111" s="1"/>
      <c r="P111" s="1"/>
      <c r="Q111" s="1"/>
      <c r="R111" s="1"/>
      <c r="S111" s="1"/>
      <c r="T111" s="1"/>
      <c r="U111" s="1"/>
      <c r="V111" s="1"/>
      <c r="W111" s="1"/>
      <c r="X111" s="1"/>
      <c r="Y111" s="1"/>
      <c r="Z111" s="1"/>
    </row>
    <row r="112" spans="1:26" ht="12.75" customHeight="1">
      <c r="A112" s="1"/>
      <c r="B112" s="46"/>
      <c r="C112" s="1"/>
      <c r="D112" s="1"/>
      <c r="E112" s="1"/>
      <c r="F112" s="66"/>
      <c r="G112" s="1"/>
      <c r="H112" s="1"/>
      <c r="I112" s="66"/>
      <c r="J112" s="1"/>
      <c r="K112" s="1"/>
      <c r="L112" s="1"/>
      <c r="M112" s="1"/>
      <c r="N112" s="1"/>
      <c r="O112" s="1"/>
      <c r="P112" s="1"/>
      <c r="Q112" s="1"/>
      <c r="R112" s="1"/>
      <c r="S112" s="1"/>
      <c r="T112" s="1"/>
      <c r="U112" s="1"/>
      <c r="V112" s="1"/>
      <c r="W112" s="1"/>
      <c r="X112" s="1"/>
      <c r="Y112" s="1"/>
      <c r="Z112" s="1"/>
    </row>
    <row r="113" spans="1:26" ht="12.75" customHeight="1">
      <c r="A113" s="1"/>
      <c r="B113" s="46"/>
      <c r="C113" s="1"/>
      <c r="D113" s="1"/>
      <c r="E113" s="1"/>
      <c r="F113" s="66"/>
      <c r="G113" s="1"/>
      <c r="H113" s="1"/>
      <c r="I113" s="66"/>
      <c r="J113" s="1"/>
      <c r="K113" s="1"/>
      <c r="L113" s="1"/>
      <c r="M113" s="1"/>
      <c r="N113" s="1"/>
      <c r="O113" s="1"/>
      <c r="P113" s="1"/>
      <c r="Q113" s="1"/>
      <c r="R113" s="1"/>
      <c r="S113" s="1"/>
      <c r="T113" s="1"/>
      <c r="U113" s="1"/>
      <c r="V113" s="1"/>
      <c r="W113" s="1"/>
      <c r="X113" s="1"/>
      <c r="Y113" s="1"/>
      <c r="Z113" s="1"/>
    </row>
    <row r="114" spans="1:26" ht="12.75" customHeight="1">
      <c r="A114" s="1"/>
      <c r="B114" s="46"/>
      <c r="C114" s="1"/>
      <c r="D114" s="1"/>
      <c r="E114" s="1"/>
      <c r="F114" s="66"/>
      <c r="G114" s="1"/>
      <c r="H114" s="1"/>
      <c r="I114" s="66"/>
      <c r="J114" s="1"/>
      <c r="K114" s="1"/>
      <c r="L114" s="1"/>
      <c r="M114" s="1"/>
      <c r="N114" s="1"/>
      <c r="O114" s="1"/>
      <c r="P114" s="1"/>
      <c r="Q114" s="1"/>
      <c r="R114" s="1"/>
      <c r="S114" s="1"/>
      <c r="T114" s="1"/>
      <c r="U114" s="1"/>
      <c r="V114" s="1"/>
      <c r="W114" s="1"/>
      <c r="X114" s="1"/>
      <c r="Y114" s="1"/>
      <c r="Z114" s="1"/>
    </row>
    <row r="115" spans="1:26" ht="12.75" customHeight="1">
      <c r="A115" s="1"/>
      <c r="B115" s="46"/>
      <c r="C115" s="1"/>
      <c r="D115" s="1"/>
      <c r="E115" s="1"/>
      <c r="F115" s="66"/>
      <c r="G115" s="1"/>
      <c r="H115" s="1"/>
      <c r="I115" s="66"/>
      <c r="J115" s="1"/>
      <c r="K115" s="1"/>
      <c r="L115" s="1"/>
      <c r="M115" s="1"/>
      <c r="N115" s="1"/>
      <c r="O115" s="1"/>
      <c r="P115" s="1"/>
      <c r="Q115" s="1"/>
      <c r="R115" s="1"/>
      <c r="S115" s="1"/>
      <c r="T115" s="1"/>
      <c r="U115" s="1"/>
      <c r="V115" s="1"/>
      <c r="W115" s="1"/>
      <c r="X115" s="1"/>
      <c r="Y115" s="1"/>
      <c r="Z115" s="1"/>
    </row>
    <row r="116" spans="1:26" ht="12.75" customHeight="1">
      <c r="A116" s="1"/>
      <c r="B116" s="46"/>
      <c r="C116" s="1"/>
      <c r="D116" s="1"/>
      <c r="E116" s="1"/>
      <c r="F116" s="66"/>
      <c r="G116" s="1"/>
      <c r="H116" s="1"/>
      <c r="I116" s="66"/>
      <c r="J116" s="1"/>
      <c r="K116" s="1"/>
      <c r="L116" s="1"/>
      <c r="M116" s="1"/>
      <c r="N116" s="1"/>
      <c r="O116" s="1"/>
      <c r="P116" s="1"/>
      <c r="Q116" s="1"/>
      <c r="R116" s="1"/>
      <c r="S116" s="1"/>
      <c r="T116" s="1"/>
      <c r="U116" s="1"/>
      <c r="V116" s="1"/>
      <c r="W116" s="1"/>
      <c r="X116" s="1"/>
      <c r="Y116" s="1"/>
      <c r="Z116" s="1"/>
    </row>
    <row r="117" spans="1:26" ht="12.75" customHeight="1">
      <c r="A117" s="1"/>
      <c r="B117" s="46"/>
      <c r="C117" s="1"/>
      <c r="D117" s="1"/>
      <c r="E117" s="1"/>
      <c r="F117" s="66"/>
      <c r="G117" s="1"/>
      <c r="H117" s="1"/>
      <c r="I117" s="66"/>
      <c r="J117" s="1"/>
      <c r="K117" s="1"/>
      <c r="L117" s="1"/>
      <c r="M117" s="1"/>
      <c r="N117" s="1"/>
      <c r="O117" s="1"/>
      <c r="P117" s="1"/>
      <c r="Q117" s="1"/>
      <c r="R117" s="1"/>
      <c r="S117" s="1"/>
      <c r="T117" s="1"/>
      <c r="U117" s="1"/>
      <c r="V117" s="1"/>
      <c r="W117" s="1"/>
      <c r="X117" s="1"/>
      <c r="Y117" s="1"/>
      <c r="Z117" s="1"/>
    </row>
    <row r="118" spans="1:26" ht="12.75" customHeight="1">
      <c r="A118" s="1"/>
      <c r="B118" s="46"/>
      <c r="C118" s="1"/>
      <c r="D118" s="1"/>
      <c r="E118" s="1"/>
      <c r="F118" s="66"/>
      <c r="G118" s="1"/>
      <c r="H118" s="1"/>
      <c r="I118" s="66"/>
      <c r="J118" s="1"/>
      <c r="K118" s="1"/>
      <c r="L118" s="1"/>
      <c r="M118" s="1"/>
      <c r="N118" s="1"/>
      <c r="O118" s="1"/>
      <c r="P118" s="1"/>
      <c r="Q118" s="1"/>
      <c r="R118" s="1"/>
      <c r="S118" s="1"/>
      <c r="T118" s="1"/>
      <c r="U118" s="1"/>
      <c r="V118" s="1"/>
      <c r="W118" s="1"/>
      <c r="X118" s="1"/>
      <c r="Y118" s="1"/>
      <c r="Z118" s="1"/>
    </row>
    <row r="119" spans="1:26" ht="12.75" customHeight="1">
      <c r="A119" s="1"/>
      <c r="B119" s="46"/>
      <c r="C119" s="1"/>
      <c r="D119" s="1"/>
      <c r="E119" s="1"/>
      <c r="F119" s="66"/>
      <c r="G119" s="1"/>
      <c r="H119" s="1"/>
      <c r="I119" s="66"/>
      <c r="J119" s="1"/>
      <c r="K119" s="1"/>
      <c r="L119" s="1"/>
      <c r="M119" s="1"/>
      <c r="N119" s="1"/>
      <c r="O119" s="1"/>
      <c r="P119" s="1"/>
      <c r="Q119" s="1"/>
      <c r="R119" s="1"/>
      <c r="S119" s="1"/>
      <c r="T119" s="1"/>
      <c r="U119" s="1"/>
      <c r="V119" s="1"/>
      <c r="W119" s="1"/>
      <c r="X119" s="1"/>
      <c r="Y119" s="1"/>
      <c r="Z119" s="1"/>
    </row>
    <row r="120" spans="1:26" ht="12.75" customHeight="1">
      <c r="A120" s="1"/>
      <c r="B120" s="46"/>
      <c r="C120" s="1"/>
      <c r="D120" s="1"/>
      <c r="E120" s="1"/>
      <c r="F120" s="66"/>
      <c r="G120" s="1"/>
      <c r="H120" s="1"/>
      <c r="I120" s="66"/>
      <c r="J120" s="1"/>
      <c r="K120" s="1"/>
      <c r="L120" s="1"/>
      <c r="M120" s="1"/>
      <c r="N120" s="1"/>
      <c r="O120" s="1"/>
      <c r="P120" s="1"/>
      <c r="Q120" s="1"/>
      <c r="R120" s="1"/>
      <c r="S120" s="1"/>
      <c r="T120" s="1"/>
      <c r="U120" s="1"/>
      <c r="V120" s="1"/>
      <c r="W120" s="1"/>
      <c r="X120" s="1"/>
      <c r="Y120" s="1"/>
      <c r="Z120" s="1"/>
    </row>
    <row r="121" spans="1:26" ht="12.75" customHeight="1">
      <c r="A121" s="1"/>
      <c r="B121" s="46"/>
      <c r="C121" s="1"/>
      <c r="D121" s="1"/>
      <c r="E121" s="1"/>
      <c r="F121" s="66"/>
      <c r="G121" s="1"/>
      <c r="H121" s="1"/>
      <c r="I121" s="66"/>
      <c r="J121" s="1"/>
      <c r="K121" s="1"/>
      <c r="L121" s="1"/>
      <c r="M121" s="1"/>
      <c r="N121" s="1"/>
      <c r="O121" s="1"/>
      <c r="P121" s="1"/>
      <c r="Q121" s="1"/>
      <c r="R121" s="1"/>
      <c r="S121" s="1"/>
      <c r="T121" s="1"/>
      <c r="U121" s="1"/>
      <c r="V121" s="1"/>
      <c r="W121" s="1"/>
      <c r="X121" s="1"/>
      <c r="Y121" s="1"/>
      <c r="Z121" s="1"/>
    </row>
    <row r="122" spans="1:26" ht="12.75" customHeight="1">
      <c r="A122" s="1"/>
      <c r="B122" s="46"/>
      <c r="C122" s="1"/>
      <c r="D122" s="1"/>
      <c r="E122" s="1"/>
      <c r="F122" s="66"/>
      <c r="G122" s="1"/>
      <c r="H122" s="1"/>
      <c r="I122" s="66"/>
      <c r="J122" s="1"/>
      <c r="K122" s="1"/>
      <c r="L122" s="1"/>
      <c r="M122" s="1"/>
      <c r="N122" s="1"/>
      <c r="O122" s="1"/>
      <c r="P122" s="1"/>
      <c r="Q122" s="1"/>
      <c r="R122" s="1"/>
      <c r="S122" s="1"/>
      <c r="T122" s="1"/>
      <c r="U122" s="1"/>
      <c r="V122" s="1"/>
      <c r="W122" s="1"/>
      <c r="X122" s="1"/>
      <c r="Y122" s="1"/>
      <c r="Z122" s="1"/>
    </row>
    <row r="123" spans="1:26" ht="12.75" customHeight="1">
      <c r="A123" s="1"/>
      <c r="B123" s="46"/>
      <c r="C123" s="1"/>
      <c r="D123" s="1"/>
      <c r="E123" s="1"/>
      <c r="F123" s="66"/>
      <c r="G123" s="1"/>
      <c r="H123" s="1"/>
      <c r="I123" s="66"/>
      <c r="J123" s="1"/>
      <c r="K123" s="1"/>
      <c r="L123" s="1"/>
      <c r="M123" s="1"/>
      <c r="N123" s="1"/>
      <c r="O123" s="1"/>
      <c r="P123" s="1"/>
      <c r="Q123" s="1"/>
      <c r="R123" s="1"/>
      <c r="S123" s="1"/>
      <c r="T123" s="1"/>
      <c r="U123" s="1"/>
      <c r="V123" s="1"/>
      <c r="W123" s="1"/>
      <c r="X123" s="1"/>
      <c r="Y123" s="1"/>
      <c r="Z123" s="1"/>
    </row>
    <row r="124" spans="1:26" ht="12.75" customHeight="1">
      <c r="A124" s="1"/>
      <c r="B124" s="46"/>
      <c r="C124" s="1"/>
      <c r="D124" s="1"/>
      <c r="E124" s="1"/>
      <c r="F124" s="66"/>
      <c r="G124" s="1"/>
      <c r="H124" s="1"/>
      <c r="I124" s="66"/>
      <c r="J124" s="1"/>
      <c r="K124" s="1"/>
      <c r="L124" s="1"/>
      <c r="M124" s="1"/>
      <c r="N124" s="1"/>
      <c r="O124" s="1"/>
      <c r="P124" s="1"/>
      <c r="Q124" s="1"/>
      <c r="R124" s="1"/>
      <c r="S124" s="1"/>
      <c r="T124" s="1"/>
      <c r="U124" s="1"/>
      <c r="V124" s="1"/>
      <c r="W124" s="1"/>
      <c r="X124" s="1"/>
      <c r="Y124" s="1"/>
      <c r="Z124" s="1"/>
    </row>
    <row r="125" spans="1:26" ht="12.75" customHeight="1">
      <c r="A125" s="1"/>
      <c r="B125" s="46"/>
      <c r="C125" s="1"/>
      <c r="D125" s="1"/>
      <c r="E125" s="1"/>
      <c r="F125" s="66"/>
      <c r="G125" s="1"/>
      <c r="H125" s="1"/>
      <c r="I125" s="66"/>
      <c r="J125" s="1"/>
      <c r="K125" s="1"/>
      <c r="L125" s="1"/>
      <c r="M125" s="1"/>
      <c r="N125" s="1"/>
      <c r="O125" s="1"/>
      <c r="P125" s="1"/>
      <c r="Q125" s="1"/>
      <c r="R125" s="1"/>
      <c r="S125" s="1"/>
      <c r="T125" s="1"/>
      <c r="U125" s="1"/>
      <c r="V125" s="1"/>
      <c r="W125" s="1"/>
      <c r="X125" s="1"/>
      <c r="Y125" s="1"/>
      <c r="Z125" s="1"/>
    </row>
    <row r="126" spans="1:26" ht="12.75" customHeight="1">
      <c r="A126" s="1"/>
      <c r="B126" s="46"/>
      <c r="C126" s="1"/>
      <c r="D126" s="1"/>
      <c r="E126" s="1"/>
      <c r="F126" s="66"/>
      <c r="G126" s="1"/>
      <c r="H126" s="1"/>
      <c r="I126" s="66"/>
      <c r="J126" s="1"/>
      <c r="K126" s="1"/>
      <c r="L126" s="1"/>
      <c r="M126" s="1"/>
      <c r="N126" s="1"/>
      <c r="O126" s="1"/>
      <c r="P126" s="1"/>
      <c r="Q126" s="1"/>
      <c r="R126" s="1"/>
      <c r="S126" s="1"/>
      <c r="T126" s="1"/>
      <c r="U126" s="1"/>
      <c r="V126" s="1"/>
      <c r="W126" s="1"/>
      <c r="X126" s="1"/>
      <c r="Y126" s="1"/>
      <c r="Z126" s="1"/>
    </row>
    <row r="127" spans="1:26" ht="12.75" customHeight="1">
      <c r="A127" s="1"/>
      <c r="B127" s="46"/>
      <c r="C127" s="1"/>
      <c r="D127" s="1"/>
      <c r="E127" s="1"/>
      <c r="F127" s="66"/>
      <c r="G127" s="1"/>
      <c r="H127" s="1"/>
      <c r="I127" s="66"/>
      <c r="J127" s="1"/>
      <c r="K127" s="1"/>
      <c r="L127" s="1"/>
      <c r="M127" s="1"/>
      <c r="N127" s="1"/>
      <c r="O127" s="1"/>
      <c r="P127" s="1"/>
      <c r="Q127" s="1"/>
      <c r="R127" s="1"/>
      <c r="S127" s="1"/>
      <c r="T127" s="1"/>
      <c r="U127" s="1"/>
      <c r="V127" s="1"/>
      <c r="W127" s="1"/>
      <c r="X127" s="1"/>
      <c r="Y127" s="1"/>
      <c r="Z127" s="1"/>
    </row>
    <row r="128" spans="1:26" ht="12.75" customHeight="1">
      <c r="A128" s="1"/>
      <c r="B128" s="46"/>
      <c r="C128" s="1"/>
      <c r="D128" s="1"/>
      <c r="E128" s="1"/>
      <c r="F128" s="66"/>
      <c r="G128" s="1"/>
      <c r="H128" s="1"/>
      <c r="I128" s="66"/>
      <c r="J128" s="1"/>
      <c r="K128" s="1"/>
      <c r="L128" s="1"/>
      <c r="M128" s="1"/>
      <c r="N128" s="1"/>
      <c r="O128" s="1"/>
      <c r="P128" s="1"/>
      <c r="Q128" s="1"/>
      <c r="R128" s="1"/>
      <c r="S128" s="1"/>
      <c r="T128" s="1"/>
      <c r="U128" s="1"/>
      <c r="V128" s="1"/>
      <c r="W128" s="1"/>
      <c r="X128" s="1"/>
      <c r="Y128" s="1"/>
      <c r="Z128" s="1"/>
    </row>
    <row r="129" spans="1:26" ht="12.75" customHeight="1">
      <c r="A129" s="1"/>
      <c r="B129" s="46"/>
      <c r="C129" s="1"/>
      <c r="D129" s="1"/>
      <c r="E129" s="1"/>
      <c r="F129" s="66"/>
      <c r="G129" s="1"/>
      <c r="H129" s="1"/>
      <c r="I129" s="66"/>
      <c r="J129" s="1"/>
      <c r="K129" s="1"/>
      <c r="L129" s="1"/>
      <c r="M129" s="1"/>
      <c r="N129" s="1"/>
      <c r="O129" s="1"/>
      <c r="P129" s="1"/>
      <c r="Q129" s="1"/>
      <c r="R129" s="1"/>
      <c r="S129" s="1"/>
      <c r="T129" s="1"/>
      <c r="U129" s="1"/>
      <c r="V129" s="1"/>
      <c r="W129" s="1"/>
      <c r="X129" s="1"/>
      <c r="Y129" s="1"/>
      <c r="Z129" s="1"/>
    </row>
    <row r="130" spans="1:26" ht="12.75" customHeight="1">
      <c r="A130" s="1"/>
      <c r="B130" s="46"/>
      <c r="C130" s="1"/>
      <c r="D130" s="1"/>
      <c r="E130" s="1"/>
      <c r="F130" s="66"/>
      <c r="G130" s="1"/>
      <c r="H130" s="1"/>
      <c r="I130" s="66"/>
      <c r="J130" s="1"/>
      <c r="K130" s="1"/>
      <c r="L130" s="1"/>
      <c r="M130" s="1"/>
      <c r="N130" s="1"/>
      <c r="O130" s="1"/>
      <c r="P130" s="1"/>
      <c r="Q130" s="1"/>
      <c r="R130" s="1"/>
      <c r="S130" s="1"/>
      <c r="T130" s="1"/>
      <c r="U130" s="1"/>
      <c r="V130" s="1"/>
      <c r="W130" s="1"/>
      <c r="X130" s="1"/>
      <c r="Y130" s="1"/>
      <c r="Z130" s="1"/>
    </row>
    <row r="131" spans="1:26" ht="12.75" customHeight="1">
      <c r="A131" s="1"/>
      <c r="B131" s="46"/>
      <c r="C131" s="1"/>
      <c r="D131" s="1"/>
      <c r="E131" s="1"/>
      <c r="F131" s="66"/>
      <c r="G131" s="1"/>
      <c r="H131" s="1"/>
      <c r="I131" s="66"/>
      <c r="J131" s="1"/>
      <c r="K131" s="1"/>
      <c r="L131" s="1"/>
      <c r="M131" s="1"/>
      <c r="N131" s="1"/>
      <c r="O131" s="1"/>
      <c r="P131" s="1"/>
      <c r="Q131" s="1"/>
      <c r="R131" s="1"/>
      <c r="S131" s="1"/>
      <c r="T131" s="1"/>
      <c r="U131" s="1"/>
      <c r="V131" s="1"/>
      <c r="W131" s="1"/>
      <c r="X131" s="1"/>
      <c r="Y131" s="1"/>
      <c r="Z131" s="1"/>
    </row>
    <row r="132" spans="1:26" ht="12.75" customHeight="1">
      <c r="A132" s="1"/>
      <c r="B132" s="46"/>
      <c r="C132" s="1"/>
      <c r="D132" s="1"/>
      <c r="E132" s="1"/>
      <c r="F132" s="66"/>
      <c r="G132" s="1"/>
      <c r="H132" s="1"/>
      <c r="I132" s="66"/>
      <c r="J132" s="1"/>
      <c r="K132" s="1"/>
      <c r="L132" s="1"/>
      <c r="M132" s="1"/>
      <c r="N132" s="1"/>
      <c r="O132" s="1"/>
      <c r="P132" s="1"/>
      <c r="Q132" s="1"/>
      <c r="R132" s="1"/>
      <c r="S132" s="1"/>
      <c r="T132" s="1"/>
      <c r="U132" s="1"/>
      <c r="V132" s="1"/>
      <c r="W132" s="1"/>
      <c r="X132" s="1"/>
      <c r="Y132" s="1"/>
      <c r="Z132" s="1"/>
    </row>
    <row r="133" spans="1:26" ht="12.75" customHeight="1">
      <c r="A133" s="1"/>
      <c r="B133" s="46"/>
      <c r="C133" s="1"/>
      <c r="D133" s="1"/>
      <c r="E133" s="1"/>
      <c r="F133" s="66"/>
      <c r="G133" s="1"/>
      <c r="H133" s="1"/>
      <c r="I133" s="66"/>
      <c r="J133" s="1"/>
      <c r="K133" s="1"/>
      <c r="L133" s="1"/>
      <c r="M133" s="1"/>
      <c r="N133" s="1"/>
      <c r="O133" s="1"/>
      <c r="P133" s="1"/>
      <c r="Q133" s="1"/>
      <c r="R133" s="1"/>
      <c r="S133" s="1"/>
      <c r="T133" s="1"/>
      <c r="U133" s="1"/>
      <c r="V133" s="1"/>
      <c r="W133" s="1"/>
      <c r="X133" s="1"/>
      <c r="Y133" s="1"/>
      <c r="Z133" s="1"/>
    </row>
    <row r="134" spans="1:26" ht="12.75" customHeight="1">
      <c r="A134" s="1"/>
      <c r="B134" s="46"/>
      <c r="C134" s="1"/>
      <c r="D134" s="1"/>
      <c r="E134" s="1"/>
      <c r="F134" s="66"/>
      <c r="G134" s="1"/>
      <c r="H134" s="1"/>
      <c r="I134" s="66"/>
      <c r="J134" s="1"/>
      <c r="K134" s="1"/>
      <c r="L134" s="1"/>
      <c r="M134" s="1"/>
      <c r="N134" s="1"/>
      <c r="O134" s="1"/>
      <c r="P134" s="1"/>
      <c r="Q134" s="1"/>
      <c r="R134" s="1"/>
      <c r="S134" s="1"/>
      <c r="T134" s="1"/>
      <c r="U134" s="1"/>
      <c r="V134" s="1"/>
      <c r="W134" s="1"/>
      <c r="X134" s="1"/>
      <c r="Y134" s="1"/>
      <c r="Z134" s="1"/>
    </row>
    <row r="135" spans="1:26" ht="12.75" customHeight="1">
      <c r="A135" s="1"/>
      <c r="B135" s="46"/>
      <c r="C135" s="1"/>
      <c r="D135" s="1"/>
      <c r="E135" s="1"/>
      <c r="F135" s="66"/>
      <c r="G135" s="1"/>
      <c r="H135" s="1"/>
      <c r="I135" s="66"/>
      <c r="J135" s="1"/>
      <c r="K135" s="1"/>
      <c r="L135" s="1"/>
      <c r="M135" s="1"/>
      <c r="N135" s="1"/>
      <c r="O135" s="1"/>
      <c r="P135" s="1"/>
      <c r="Q135" s="1"/>
      <c r="R135" s="1"/>
      <c r="S135" s="1"/>
      <c r="T135" s="1"/>
      <c r="U135" s="1"/>
      <c r="V135" s="1"/>
      <c r="W135" s="1"/>
      <c r="X135" s="1"/>
      <c r="Y135" s="1"/>
      <c r="Z135" s="1"/>
    </row>
    <row r="136" spans="1:26" ht="12.75" customHeight="1">
      <c r="A136" s="1"/>
      <c r="B136" s="46"/>
      <c r="C136" s="1"/>
      <c r="D136" s="1"/>
      <c r="E136" s="1"/>
      <c r="F136" s="66"/>
      <c r="G136" s="1"/>
      <c r="H136" s="1"/>
      <c r="I136" s="66"/>
      <c r="J136" s="1"/>
      <c r="K136" s="1"/>
      <c r="L136" s="1"/>
      <c r="M136" s="1"/>
      <c r="N136" s="1"/>
      <c r="O136" s="1"/>
      <c r="P136" s="1"/>
      <c r="Q136" s="1"/>
      <c r="R136" s="1"/>
      <c r="S136" s="1"/>
      <c r="T136" s="1"/>
      <c r="U136" s="1"/>
      <c r="V136" s="1"/>
      <c r="W136" s="1"/>
      <c r="X136" s="1"/>
      <c r="Y136" s="1"/>
      <c r="Z136" s="1"/>
    </row>
    <row r="137" spans="1:26" ht="12.75" customHeight="1">
      <c r="A137" s="1"/>
      <c r="B137" s="46"/>
      <c r="C137" s="1"/>
      <c r="D137" s="1"/>
      <c r="E137" s="1"/>
      <c r="F137" s="66"/>
      <c r="G137" s="1"/>
      <c r="H137" s="1"/>
      <c r="I137" s="66"/>
      <c r="J137" s="1"/>
      <c r="K137" s="1"/>
      <c r="L137" s="1"/>
      <c r="M137" s="1"/>
      <c r="N137" s="1"/>
      <c r="O137" s="1"/>
      <c r="P137" s="1"/>
      <c r="Q137" s="1"/>
      <c r="R137" s="1"/>
      <c r="S137" s="1"/>
      <c r="T137" s="1"/>
      <c r="U137" s="1"/>
      <c r="V137" s="1"/>
      <c r="W137" s="1"/>
      <c r="X137" s="1"/>
      <c r="Y137" s="1"/>
      <c r="Z137" s="1"/>
    </row>
    <row r="138" spans="1:26" ht="12.75" customHeight="1">
      <c r="A138" s="1"/>
      <c r="B138" s="46"/>
      <c r="C138" s="1"/>
      <c r="D138" s="1"/>
      <c r="E138" s="1"/>
      <c r="F138" s="66"/>
      <c r="G138" s="1"/>
      <c r="H138" s="1"/>
      <c r="I138" s="66"/>
      <c r="J138" s="1"/>
      <c r="K138" s="1"/>
      <c r="L138" s="1"/>
      <c r="M138" s="1"/>
      <c r="N138" s="1"/>
      <c r="O138" s="1"/>
      <c r="P138" s="1"/>
      <c r="Q138" s="1"/>
      <c r="R138" s="1"/>
      <c r="S138" s="1"/>
      <c r="T138" s="1"/>
      <c r="U138" s="1"/>
      <c r="V138" s="1"/>
      <c r="W138" s="1"/>
      <c r="X138" s="1"/>
      <c r="Y138" s="1"/>
      <c r="Z138" s="1"/>
    </row>
    <row r="139" spans="1:26" ht="12.75" customHeight="1">
      <c r="A139" s="1"/>
      <c r="B139" s="46"/>
      <c r="C139" s="1"/>
      <c r="D139" s="1"/>
      <c r="E139" s="1"/>
      <c r="F139" s="66"/>
      <c r="G139" s="1"/>
      <c r="H139" s="1"/>
      <c r="I139" s="66"/>
      <c r="J139" s="1"/>
      <c r="K139" s="1"/>
      <c r="L139" s="1"/>
      <c r="M139" s="1"/>
      <c r="N139" s="1"/>
      <c r="O139" s="1"/>
      <c r="P139" s="1"/>
      <c r="Q139" s="1"/>
      <c r="R139" s="1"/>
      <c r="S139" s="1"/>
      <c r="T139" s="1"/>
      <c r="U139" s="1"/>
      <c r="V139" s="1"/>
      <c r="W139" s="1"/>
      <c r="X139" s="1"/>
      <c r="Y139" s="1"/>
      <c r="Z139" s="1"/>
    </row>
    <row r="140" spans="1:26" ht="12.75" customHeight="1">
      <c r="A140" s="1"/>
      <c r="B140" s="46"/>
      <c r="C140" s="1"/>
      <c r="D140" s="1"/>
      <c r="E140" s="1"/>
      <c r="F140" s="66"/>
      <c r="G140" s="1"/>
      <c r="H140" s="1"/>
      <c r="I140" s="66"/>
      <c r="J140" s="1"/>
      <c r="K140" s="1"/>
      <c r="L140" s="1"/>
      <c r="M140" s="1"/>
      <c r="N140" s="1"/>
      <c r="O140" s="1"/>
      <c r="P140" s="1"/>
      <c r="Q140" s="1"/>
      <c r="R140" s="1"/>
      <c r="S140" s="1"/>
      <c r="T140" s="1"/>
      <c r="U140" s="1"/>
      <c r="V140" s="1"/>
      <c r="W140" s="1"/>
      <c r="X140" s="1"/>
      <c r="Y140" s="1"/>
      <c r="Z140" s="1"/>
    </row>
    <row r="141" spans="1:26" ht="12.75" customHeight="1">
      <c r="A141" s="1"/>
      <c r="B141" s="46"/>
      <c r="C141" s="1"/>
      <c r="D141" s="1"/>
      <c r="E141" s="1"/>
      <c r="F141" s="66"/>
      <c r="G141" s="1"/>
      <c r="H141" s="1"/>
      <c r="I141" s="66"/>
      <c r="J141" s="1"/>
      <c r="K141" s="1"/>
      <c r="L141" s="1"/>
      <c r="M141" s="1"/>
      <c r="N141" s="1"/>
      <c r="O141" s="1"/>
      <c r="P141" s="1"/>
      <c r="Q141" s="1"/>
      <c r="R141" s="1"/>
      <c r="S141" s="1"/>
      <c r="T141" s="1"/>
      <c r="U141" s="1"/>
      <c r="V141" s="1"/>
      <c r="W141" s="1"/>
      <c r="X141" s="1"/>
      <c r="Y141" s="1"/>
      <c r="Z141" s="1"/>
    </row>
    <row r="142" spans="1:26" ht="12.75" customHeight="1">
      <c r="A142" s="1"/>
      <c r="B142" s="46"/>
      <c r="C142" s="1"/>
      <c r="D142" s="1"/>
      <c r="E142" s="1"/>
      <c r="F142" s="66"/>
      <c r="G142" s="1"/>
      <c r="H142" s="1"/>
      <c r="I142" s="66"/>
      <c r="J142" s="1"/>
      <c r="K142" s="1"/>
      <c r="L142" s="1"/>
      <c r="M142" s="1"/>
      <c r="N142" s="1"/>
      <c r="O142" s="1"/>
      <c r="P142" s="1"/>
      <c r="Q142" s="1"/>
      <c r="R142" s="1"/>
      <c r="S142" s="1"/>
      <c r="T142" s="1"/>
      <c r="U142" s="1"/>
      <c r="V142" s="1"/>
      <c r="W142" s="1"/>
      <c r="X142" s="1"/>
      <c r="Y142" s="1"/>
      <c r="Z142" s="1"/>
    </row>
    <row r="143" spans="1:26" ht="12.75" customHeight="1">
      <c r="A143" s="1"/>
      <c r="B143" s="46"/>
      <c r="C143" s="1"/>
      <c r="D143" s="1"/>
      <c r="E143" s="1"/>
      <c r="F143" s="66"/>
      <c r="G143" s="1"/>
      <c r="H143" s="1"/>
      <c r="I143" s="66"/>
      <c r="J143" s="1"/>
      <c r="K143" s="1"/>
      <c r="L143" s="1"/>
      <c r="M143" s="1"/>
      <c r="N143" s="1"/>
      <c r="O143" s="1"/>
      <c r="P143" s="1"/>
      <c r="Q143" s="1"/>
      <c r="R143" s="1"/>
      <c r="S143" s="1"/>
      <c r="T143" s="1"/>
      <c r="U143" s="1"/>
      <c r="V143" s="1"/>
      <c r="W143" s="1"/>
      <c r="X143" s="1"/>
      <c r="Y143" s="1"/>
      <c r="Z143" s="1"/>
    </row>
    <row r="144" spans="1:26" ht="12.75" customHeight="1">
      <c r="A144" s="1"/>
      <c r="B144" s="46"/>
      <c r="C144" s="1"/>
      <c r="D144" s="1"/>
      <c r="E144" s="1"/>
      <c r="F144" s="66"/>
      <c r="G144" s="1"/>
      <c r="H144" s="1"/>
      <c r="I144" s="66"/>
      <c r="J144" s="1"/>
      <c r="K144" s="1"/>
      <c r="L144" s="1"/>
      <c r="M144" s="1"/>
      <c r="N144" s="1"/>
      <c r="O144" s="1"/>
      <c r="P144" s="1"/>
      <c r="Q144" s="1"/>
      <c r="R144" s="1"/>
      <c r="S144" s="1"/>
      <c r="T144" s="1"/>
      <c r="U144" s="1"/>
      <c r="V144" s="1"/>
      <c r="W144" s="1"/>
      <c r="X144" s="1"/>
      <c r="Y144" s="1"/>
      <c r="Z144" s="1"/>
    </row>
    <row r="145" spans="1:26" ht="12.75" customHeight="1">
      <c r="A145" s="1"/>
      <c r="B145" s="46"/>
      <c r="C145" s="1"/>
      <c r="D145" s="1"/>
      <c r="E145" s="1"/>
      <c r="F145" s="66"/>
      <c r="G145" s="1"/>
      <c r="H145" s="1"/>
      <c r="I145" s="66"/>
      <c r="J145" s="1"/>
      <c r="K145" s="1"/>
      <c r="L145" s="1"/>
      <c r="M145" s="1"/>
      <c r="N145" s="1"/>
      <c r="O145" s="1"/>
      <c r="P145" s="1"/>
      <c r="Q145" s="1"/>
      <c r="R145" s="1"/>
      <c r="S145" s="1"/>
      <c r="T145" s="1"/>
      <c r="U145" s="1"/>
      <c r="V145" s="1"/>
      <c r="W145" s="1"/>
      <c r="X145" s="1"/>
      <c r="Y145" s="1"/>
      <c r="Z145" s="1"/>
    </row>
    <row r="146" spans="1:26" ht="12.75" customHeight="1">
      <c r="A146" s="1"/>
      <c r="B146" s="46"/>
      <c r="C146" s="1"/>
      <c r="D146" s="1"/>
      <c r="E146" s="1"/>
      <c r="F146" s="66"/>
      <c r="G146" s="1"/>
      <c r="H146" s="1"/>
      <c r="I146" s="66"/>
      <c r="J146" s="1"/>
      <c r="K146" s="1"/>
      <c r="L146" s="1"/>
      <c r="M146" s="1"/>
      <c r="N146" s="1"/>
      <c r="O146" s="1"/>
      <c r="P146" s="1"/>
      <c r="Q146" s="1"/>
      <c r="R146" s="1"/>
      <c r="S146" s="1"/>
      <c r="T146" s="1"/>
      <c r="U146" s="1"/>
      <c r="V146" s="1"/>
      <c r="W146" s="1"/>
      <c r="X146" s="1"/>
      <c r="Y146" s="1"/>
      <c r="Z146" s="1"/>
    </row>
    <row r="147" spans="1:26" ht="12.75" customHeight="1">
      <c r="A147" s="1"/>
      <c r="B147" s="46"/>
      <c r="C147" s="1"/>
      <c r="D147" s="1"/>
      <c r="E147" s="1"/>
      <c r="F147" s="66"/>
      <c r="G147" s="1"/>
      <c r="H147" s="1"/>
      <c r="I147" s="66"/>
      <c r="J147" s="1"/>
      <c r="K147" s="1"/>
      <c r="L147" s="1"/>
      <c r="M147" s="1"/>
      <c r="N147" s="1"/>
      <c r="O147" s="1"/>
      <c r="P147" s="1"/>
      <c r="Q147" s="1"/>
      <c r="R147" s="1"/>
      <c r="S147" s="1"/>
      <c r="T147" s="1"/>
      <c r="U147" s="1"/>
      <c r="V147" s="1"/>
      <c r="W147" s="1"/>
      <c r="X147" s="1"/>
      <c r="Y147" s="1"/>
      <c r="Z147" s="1"/>
    </row>
    <row r="148" spans="1:26" ht="12.75" customHeight="1">
      <c r="A148" s="1"/>
      <c r="B148" s="46"/>
      <c r="C148" s="1"/>
      <c r="D148" s="1"/>
      <c r="E148" s="1"/>
      <c r="F148" s="66"/>
      <c r="G148" s="1"/>
      <c r="H148" s="1"/>
      <c r="I148" s="66"/>
      <c r="J148" s="1"/>
      <c r="K148" s="1"/>
      <c r="L148" s="1"/>
      <c r="M148" s="1"/>
      <c r="N148" s="1"/>
      <c r="O148" s="1"/>
      <c r="P148" s="1"/>
      <c r="Q148" s="1"/>
      <c r="R148" s="1"/>
      <c r="S148" s="1"/>
      <c r="T148" s="1"/>
      <c r="U148" s="1"/>
      <c r="V148" s="1"/>
      <c r="W148" s="1"/>
      <c r="X148" s="1"/>
      <c r="Y148" s="1"/>
      <c r="Z148" s="1"/>
    </row>
    <row r="149" spans="1:26" ht="12.75" customHeight="1">
      <c r="A149" s="1"/>
      <c r="B149" s="46"/>
      <c r="C149" s="1"/>
      <c r="D149" s="1"/>
      <c r="E149" s="1"/>
      <c r="F149" s="66"/>
      <c r="G149" s="1"/>
      <c r="H149" s="1"/>
      <c r="I149" s="66"/>
      <c r="J149" s="1"/>
      <c r="K149" s="1"/>
      <c r="L149" s="1"/>
      <c r="M149" s="1"/>
      <c r="N149" s="1"/>
      <c r="O149" s="1"/>
      <c r="P149" s="1"/>
      <c r="Q149" s="1"/>
      <c r="R149" s="1"/>
      <c r="S149" s="1"/>
      <c r="T149" s="1"/>
      <c r="U149" s="1"/>
      <c r="V149" s="1"/>
      <c r="W149" s="1"/>
      <c r="X149" s="1"/>
      <c r="Y149" s="1"/>
      <c r="Z149" s="1"/>
    </row>
    <row r="150" spans="1:26" ht="12.75" customHeight="1">
      <c r="A150" s="1"/>
      <c r="B150" s="46"/>
      <c r="C150" s="1"/>
      <c r="D150" s="1"/>
      <c r="E150" s="1"/>
      <c r="F150" s="66"/>
      <c r="G150" s="1"/>
      <c r="H150" s="1"/>
      <c r="I150" s="66"/>
      <c r="J150" s="1"/>
      <c r="K150" s="1"/>
      <c r="L150" s="1"/>
      <c r="M150" s="1"/>
      <c r="N150" s="1"/>
      <c r="O150" s="1"/>
      <c r="P150" s="1"/>
      <c r="Q150" s="1"/>
      <c r="R150" s="1"/>
      <c r="S150" s="1"/>
      <c r="T150" s="1"/>
      <c r="U150" s="1"/>
      <c r="V150" s="1"/>
      <c r="W150" s="1"/>
      <c r="X150" s="1"/>
      <c r="Y150" s="1"/>
      <c r="Z150" s="1"/>
    </row>
    <row r="151" spans="1:26" ht="12.75" customHeight="1">
      <c r="A151" s="1"/>
      <c r="B151" s="46"/>
      <c r="C151" s="1"/>
      <c r="D151" s="1"/>
      <c r="E151" s="1"/>
      <c r="F151" s="66"/>
      <c r="G151" s="1"/>
      <c r="H151" s="1"/>
      <c r="I151" s="66"/>
      <c r="J151" s="1"/>
      <c r="K151" s="1"/>
      <c r="L151" s="1"/>
      <c r="M151" s="1"/>
      <c r="N151" s="1"/>
      <c r="O151" s="1"/>
      <c r="P151" s="1"/>
      <c r="Q151" s="1"/>
      <c r="R151" s="1"/>
      <c r="S151" s="1"/>
      <c r="T151" s="1"/>
      <c r="U151" s="1"/>
      <c r="V151" s="1"/>
      <c r="W151" s="1"/>
      <c r="X151" s="1"/>
      <c r="Y151" s="1"/>
      <c r="Z151" s="1"/>
    </row>
    <row r="152" spans="1:26" ht="12.75" customHeight="1">
      <c r="A152" s="1"/>
      <c r="B152" s="46"/>
      <c r="C152" s="1"/>
      <c r="D152" s="1"/>
      <c r="E152" s="1"/>
      <c r="F152" s="66"/>
      <c r="G152" s="1"/>
      <c r="H152" s="1"/>
      <c r="I152" s="66"/>
      <c r="J152" s="1"/>
      <c r="K152" s="1"/>
      <c r="L152" s="1"/>
      <c r="M152" s="1"/>
      <c r="N152" s="1"/>
      <c r="O152" s="1"/>
      <c r="P152" s="1"/>
      <c r="Q152" s="1"/>
      <c r="R152" s="1"/>
      <c r="S152" s="1"/>
      <c r="T152" s="1"/>
      <c r="U152" s="1"/>
      <c r="V152" s="1"/>
      <c r="W152" s="1"/>
      <c r="X152" s="1"/>
      <c r="Y152" s="1"/>
      <c r="Z152" s="1"/>
    </row>
    <row r="153" spans="1:26" ht="12.75" customHeight="1">
      <c r="A153" s="1"/>
      <c r="B153" s="46"/>
      <c r="C153" s="1"/>
      <c r="D153" s="1"/>
      <c r="E153" s="1"/>
      <c r="F153" s="66"/>
      <c r="G153" s="1"/>
      <c r="H153" s="1"/>
      <c r="I153" s="66"/>
      <c r="J153" s="1"/>
      <c r="K153" s="1"/>
      <c r="L153" s="1"/>
      <c r="M153" s="1"/>
      <c r="N153" s="1"/>
      <c r="O153" s="1"/>
      <c r="P153" s="1"/>
      <c r="Q153" s="1"/>
      <c r="R153" s="1"/>
      <c r="S153" s="1"/>
      <c r="T153" s="1"/>
      <c r="U153" s="1"/>
      <c r="V153" s="1"/>
      <c r="W153" s="1"/>
      <c r="X153" s="1"/>
      <c r="Y153" s="1"/>
      <c r="Z153" s="1"/>
    </row>
    <row r="154" spans="1:26" ht="12.75" customHeight="1">
      <c r="A154" s="1"/>
      <c r="B154" s="46"/>
      <c r="C154" s="1"/>
      <c r="D154" s="1"/>
      <c r="E154" s="1"/>
      <c r="F154" s="66"/>
      <c r="G154" s="1"/>
      <c r="H154" s="1"/>
      <c r="I154" s="66"/>
      <c r="J154" s="1"/>
      <c r="K154" s="1"/>
      <c r="L154" s="1"/>
      <c r="M154" s="1"/>
      <c r="N154" s="1"/>
      <c r="O154" s="1"/>
      <c r="P154" s="1"/>
      <c r="Q154" s="1"/>
      <c r="R154" s="1"/>
      <c r="S154" s="1"/>
      <c r="T154" s="1"/>
      <c r="U154" s="1"/>
      <c r="V154" s="1"/>
      <c r="W154" s="1"/>
      <c r="X154" s="1"/>
      <c r="Y154" s="1"/>
      <c r="Z154" s="1"/>
    </row>
    <row r="155" spans="1:26" ht="12.75" customHeight="1">
      <c r="A155" s="1"/>
      <c r="B155" s="46"/>
      <c r="C155" s="1"/>
      <c r="D155" s="1"/>
      <c r="E155" s="1"/>
      <c r="F155" s="66"/>
      <c r="G155" s="1"/>
      <c r="H155" s="1"/>
      <c r="I155" s="66"/>
      <c r="J155" s="1"/>
      <c r="K155" s="1"/>
      <c r="L155" s="1"/>
      <c r="M155" s="1"/>
      <c r="N155" s="1"/>
      <c r="O155" s="1"/>
      <c r="P155" s="1"/>
      <c r="Q155" s="1"/>
      <c r="R155" s="1"/>
      <c r="S155" s="1"/>
      <c r="T155" s="1"/>
      <c r="U155" s="1"/>
      <c r="V155" s="1"/>
      <c r="W155" s="1"/>
      <c r="X155" s="1"/>
      <c r="Y155" s="1"/>
      <c r="Z155" s="1"/>
    </row>
    <row r="156" spans="1:26" ht="12.75" customHeight="1">
      <c r="A156" s="1"/>
      <c r="B156" s="46"/>
      <c r="C156" s="1"/>
      <c r="D156" s="1"/>
      <c r="E156" s="1"/>
      <c r="F156" s="66"/>
      <c r="G156" s="1"/>
      <c r="H156" s="1"/>
      <c r="I156" s="66"/>
      <c r="J156" s="1"/>
      <c r="K156" s="1"/>
      <c r="L156" s="1"/>
      <c r="M156" s="1"/>
      <c r="N156" s="1"/>
      <c r="O156" s="1"/>
      <c r="P156" s="1"/>
      <c r="Q156" s="1"/>
      <c r="R156" s="1"/>
      <c r="S156" s="1"/>
      <c r="T156" s="1"/>
      <c r="U156" s="1"/>
      <c r="V156" s="1"/>
      <c r="W156" s="1"/>
      <c r="X156" s="1"/>
      <c r="Y156" s="1"/>
      <c r="Z156" s="1"/>
    </row>
    <row r="157" spans="1:26" ht="12.75" customHeight="1">
      <c r="A157" s="1"/>
      <c r="B157" s="46"/>
      <c r="C157" s="1"/>
      <c r="D157" s="1"/>
      <c r="E157" s="1"/>
      <c r="F157" s="66"/>
      <c r="G157" s="1"/>
      <c r="H157" s="1"/>
      <c r="I157" s="66"/>
      <c r="J157" s="1"/>
      <c r="K157" s="1"/>
      <c r="L157" s="1"/>
      <c r="M157" s="1"/>
      <c r="N157" s="1"/>
      <c r="O157" s="1"/>
      <c r="P157" s="1"/>
      <c r="Q157" s="1"/>
      <c r="R157" s="1"/>
      <c r="S157" s="1"/>
      <c r="T157" s="1"/>
      <c r="U157" s="1"/>
      <c r="V157" s="1"/>
      <c r="W157" s="1"/>
      <c r="X157" s="1"/>
      <c r="Y157" s="1"/>
      <c r="Z157" s="1"/>
    </row>
    <row r="158" spans="1:26" ht="12.75" customHeight="1">
      <c r="A158" s="1"/>
      <c r="B158" s="46"/>
      <c r="C158" s="1"/>
      <c r="D158" s="1"/>
      <c r="E158" s="1"/>
      <c r="F158" s="66"/>
      <c r="G158" s="1"/>
      <c r="H158" s="1"/>
      <c r="I158" s="66"/>
      <c r="J158" s="1"/>
      <c r="K158" s="1"/>
      <c r="L158" s="1"/>
      <c r="M158" s="1"/>
      <c r="N158" s="1"/>
      <c r="O158" s="1"/>
      <c r="P158" s="1"/>
      <c r="Q158" s="1"/>
      <c r="R158" s="1"/>
      <c r="S158" s="1"/>
      <c r="T158" s="1"/>
      <c r="U158" s="1"/>
      <c r="V158" s="1"/>
      <c r="W158" s="1"/>
      <c r="X158" s="1"/>
      <c r="Y158" s="1"/>
      <c r="Z158" s="1"/>
    </row>
    <row r="159" spans="1:26" ht="12.75" customHeight="1">
      <c r="A159" s="1"/>
      <c r="B159" s="46"/>
      <c r="C159" s="1"/>
      <c r="D159" s="1"/>
      <c r="E159" s="1"/>
      <c r="F159" s="66"/>
      <c r="G159" s="1"/>
      <c r="H159" s="1"/>
      <c r="I159" s="66"/>
      <c r="J159" s="1"/>
      <c r="K159" s="1"/>
      <c r="L159" s="1"/>
      <c r="M159" s="1"/>
      <c r="N159" s="1"/>
      <c r="O159" s="1"/>
      <c r="P159" s="1"/>
      <c r="Q159" s="1"/>
      <c r="R159" s="1"/>
      <c r="S159" s="1"/>
      <c r="T159" s="1"/>
      <c r="U159" s="1"/>
      <c r="V159" s="1"/>
      <c r="W159" s="1"/>
      <c r="X159" s="1"/>
      <c r="Y159" s="1"/>
      <c r="Z159" s="1"/>
    </row>
    <row r="160" spans="1:26" ht="12.75" customHeight="1">
      <c r="A160" s="1"/>
      <c r="B160" s="46"/>
      <c r="C160" s="1"/>
      <c r="D160" s="1"/>
      <c r="E160" s="1"/>
      <c r="F160" s="66"/>
      <c r="G160" s="1"/>
      <c r="H160" s="1"/>
      <c r="I160" s="66"/>
      <c r="J160" s="1"/>
      <c r="K160" s="1"/>
      <c r="L160" s="1"/>
      <c r="M160" s="1"/>
      <c r="N160" s="1"/>
      <c r="O160" s="1"/>
      <c r="P160" s="1"/>
      <c r="Q160" s="1"/>
      <c r="R160" s="1"/>
      <c r="S160" s="1"/>
      <c r="T160" s="1"/>
      <c r="U160" s="1"/>
      <c r="V160" s="1"/>
      <c r="W160" s="1"/>
      <c r="X160" s="1"/>
      <c r="Y160" s="1"/>
      <c r="Z160" s="1"/>
    </row>
    <row r="161" spans="1:26" ht="12.75" customHeight="1">
      <c r="A161" s="1"/>
      <c r="B161" s="46"/>
      <c r="C161" s="1"/>
      <c r="D161" s="1"/>
      <c r="E161" s="1"/>
      <c r="F161" s="66"/>
      <c r="G161" s="1"/>
      <c r="H161" s="1"/>
      <c r="I161" s="66"/>
      <c r="J161" s="1"/>
      <c r="K161" s="1"/>
      <c r="L161" s="1"/>
      <c r="M161" s="1"/>
      <c r="N161" s="1"/>
      <c r="O161" s="1"/>
      <c r="P161" s="1"/>
      <c r="Q161" s="1"/>
      <c r="R161" s="1"/>
      <c r="S161" s="1"/>
      <c r="T161" s="1"/>
      <c r="U161" s="1"/>
      <c r="V161" s="1"/>
      <c r="W161" s="1"/>
      <c r="X161" s="1"/>
      <c r="Y161" s="1"/>
      <c r="Z161" s="1"/>
    </row>
    <row r="162" spans="1:26" ht="12.75" customHeight="1">
      <c r="A162" s="1"/>
      <c r="B162" s="46"/>
      <c r="C162" s="1"/>
      <c r="D162" s="1"/>
      <c r="E162" s="1"/>
      <c r="F162" s="66"/>
      <c r="G162" s="1"/>
      <c r="H162" s="1"/>
      <c r="I162" s="66"/>
      <c r="J162" s="1"/>
      <c r="K162" s="1"/>
      <c r="L162" s="1"/>
      <c r="M162" s="1"/>
      <c r="N162" s="1"/>
      <c r="O162" s="1"/>
      <c r="P162" s="1"/>
      <c r="Q162" s="1"/>
      <c r="R162" s="1"/>
      <c r="S162" s="1"/>
      <c r="T162" s="1"/>
      <c r="U162" s="1"/>
      <c r="V162" s="1"/>
      <c r="W162" s="1"/>
      <c r="X162" s="1"/>
      <c r="Y162" s="1"/>
      <c r="Z162" s="1"/>
    </row>
    <row r="163" spans="1:26" ht="12.75" customHeight="1">
      <c r="A163" s="1"/>
      <c r="B163" s="46"/>
      <c r="C163" s="1"/>
      <c r="D163" s="1"/>
      <c r="E163" s="1"/>
      <c r="F163" s="66"/>
      <c r="G163" s="1"/>
      <c r="H163" s="1"/>
      <c r="I163" s="66"/>
      <c r="J163" s="1"/>
      <c r="K163" s="1"/>
      <c r="L163" s="1"/>
      <c r="M163" s="1"/>
      <c r="N163" s="1"/>
      <c r="O163" s="1"/>
      <c r="P163" s="1"/>
      <c r="Q163" s="1"/>
      <c r="R163" s="1"/>
      <c r="S163" s="1"/>
      <c r="T163" s="1"/>
      <c r="U163" s="1"/>
      <c r="V163" s="1"/>
      <c r="W163" s="1"/>
      <c r="X163" s="1"/>
      <c r="Y163" s="1"/>
      <c r="Z163" s="1"/>
    </row>
    <row r="164" spans="1:26" ht="12.75" customHeight="1">
      <c r="A164" s="1"/>
      <c r="B164" s="46"/>
      <c r="C164" s="1"/>
      <c r="D164" s="1"/>
      <c r="E164" s="1"/>
      <c r="F164" s="66"/>
      <c r="G164" s="1"/>
      <c r="H164" s="1"/>
      <c r="I164" s="66"/>
      <c r="J164" s="1"/>
      <c r="K164" s="1"/>
      <c r="L164" s="1"/>
      <c r="M164" s="1"/>
      <c r="N164" s="1"/>
      <c r="O164" s="1"/>
      <c r="P164" s="1"/>
      <c r="Q164" s="1"/>
      <c r="R164" s="1"/>
      <c r="S164" s="1"/>
      <c r="T164" s="1"/>
      <c r="U164" s="1"/>
      <c r="V164" s="1"/>
      <c r="W164" s="1"/>
      <c r="X164" s="1"/>
      <c r="Y164" s="1"/>
      <c r="Z164" s="1"/>
    </row>
    <row r="165" spans="1:26" ht="12.75" customHeight="1">
      <c r="A165" s="1"/>
      <c r="B165" s="46"/>
      <c r="C165" s="1"/>
      <c r="D165" s="1"/>
      <c r="E165" s="1"/>
      <c r="F165" s="66"/>
      <c r="G165" s="1"/>
      <c r="H165" s="1"/>
      <c r="I165" s="66"/>
      <c r="J165" s="1"/>
      <c r="K165" s="1"/>
      <c r="L165" s="1"/>
      <c r="M165" s="1"/>
      <c r="N165" s="1"/>
      <c r="O165" s="1"/>
      <c r="P165" s="1"/>
      <c r="Q165" s="1"/>
      <c r="R165" s="1"/>
      <c r="S165" s="1"/>
      <c r="T165" s="1"/>
      <c r="U165" s="1"/>
      <c r="V165" s="1"/>
      <c r="W165" s="1"/>
      <c r="X165" s="1"/>
      <c r="Y165" s="1"/>
      <c r="Z165" s="1"/>
    </row>
    <row r="166" spans="1:26" ht="12.75" customHeight="1">
      <c r="A166" s="1"/>
      <c r="B166" s="46"/>
      <c r="C166" s="1"/>
      <c r="D166" s="1"/>
      <c r="E166" s="1"/>
      <c r="F166" s="66"/>
      <c r="G166" s="1"/>
      <c r="H166" s="1"/>
      <c r="I166" s="66"/>
      <c r="J166" s="1"/>
      <c r="K166" s="1"/>
      <c r="L166" s="1"/>
      <c r="M166" s="1"/>
      <c r="N166" s="1"/>
      <c r="O166" s="1"/>
      <c r="P166" s="1"/>
      <c r="Q166" s="1"/>
      <c r="R166" s="1"/>
      <c r="S166" s="1"/>
      <c r="T166" s="1"/>
      <c r="U166" s="1"/>
      <c r="V166" s="1"/>
      <c r="W166" s="1"/>
      <c r="X166" s="1"/>
      <c r="Y166" s="1"/>
      <c r="Z166" s="1"/>
    </row>
    <row r="167" spans="1:26" ht="12.75" customHeight="1">
      <c r="A167" s="1"/>
      <c r="B167" s="46"/>
      <c r="C167" s="1"/>
      <c r="D167" s="1"/>
      <c r="E167" s="1"/>
      <c r="F167" s="66"/>
      <c r="G167" s="1"/>
      <c r="H167" s="1"/>
      <c r="I167" s="66"/>
      <c r="J167" s="1"/>
      <c r="K167" s="1"/>
      <c r="L167" s="1"/>
      <c r="M167" s="1"/>
      <c r="N167" s="1"/>
      <c r="O167" s="1"/>
      <c r="P167" s="1"/>
      <c r="Q167" s="1"/>
      <c r="R167" s="1"/>
      <c r="S167" s="1"/>
      <c r="T167" s="1"/>
      <c r="U167" s="1"/>
      <c r="V167" s="1"/>
      <c r="W167" s="1"/>
      <c r="X167" s="1"/>
      <c r="Y167" s="1"/>
      <c r="Z167" s="1"/>
    </row>
    <row r="168" spans="1:26" ht="12.75" customHeight="1">
      <c r="A168" s="1"/>
      <c r="B168" s="46"/>
      <c r="C168" s="1"/>
      <c r="D168" s="1"/>
      <c r="E168" s="1"/>
      <c r="F168" s="66"/>
      <c r="G168" s="1"/>
      <c r="H168" s="1"/>
      <c r="I168" s="66"/>
      <c r="J168" s="1"/>
      <c r="K168" s="1"/>
      <c r="L168" s="1"/>
      <c r="M168" s="1"/>
      <c r="N168" s="1"/>
      <c r="O168" s="1"/>
      <c r="P168" s="1"/>
      <c r="Q168" s="1"/>
      <c r="R168" s="1"/>
      <c r="S168" s="1"/>
      <c r="T168" s="1"/>
      <c r="U168" s="1"/>
      <c r="V168" s="1"/>
      <c r="W168" s="1"/>
      <c r="X168" s="1"/>
      <c r="Y168" s="1"/>
      <c r="Z168" s="1"/>
    </row>
    <row r="169" spans="1:26" ht="12.75" customHeight="1">
      <c r="A169" s="1"/>
      <c r="B169" s="46"/>
      <c r="C169" s="1"/>
      <c r="D169" s="1"/>
      <c r="E169" s="1"/>
      <c r="F169" s="66"/>
      <c r="G169" s="1"/>
      <c r="H169" s="1"/>
      <c r="I169" s="66"/>
      <c r="J169" s="1"/>
      <c r="K169" s="1"/>
      <c r="L169" s="1"/>
      <c r="M169" s="1"/>
      <c r="N169" s="1"/>
      <c r="O169" s="1"/>
      <c r="P169" s="1"/>
      <c r="Q169" s="1"/>
      <c r="R169" s="1"/>
      <c r="S169" s="1"/>
      <c r="T169" s="1"/>
      <c r="U169" s="1"/>
      <c r="V169" s="1"/>
      <c r="W169" s="1"/>
      <c r="X169" s="1"/>
      <c r="Y169" s="1"/>
      <c r="Z169" s="1"/>
    </row>
    <row r="170" spans="1:26" ht="12.75" customHeight="1">
      <c r="A170" s="1"/>
      <c r="B170" s="46"/>
      <c r="C170" s="1"/>
      <c r="D170" s="1"/>
      <c r="E170" s="1"/>
      <c r="F170" s="66"/>
      <c r="G170" s="1"/>
      <c r="H170" s="1"/>
      <c r="I170" s="66"/>
      <c r="J170" s="1"/>
      <c r="K170" s="1"/>
      <c r="L170" s="1"/>
      <c r="M170" s="1"/>
      <c r="N170" s="1"/>
      <c r="O170" s="1"/>
      <c r="P170" s="1"/>
      <c r="Q170" s="1"/>
      <c r="R170" s="1"/>
      <c r="S170" s="1"/>
      <c r="T170" s="1"/>
      <c r="U170" s="1"/>
      <c r="V170" s="1"/>
      <c r="W170" s="1"/>
      <c r="X170" s="1"/>
      <c r="Y170" s="1"/>
      <c r="Z170" s="1"/>
    </row>
    <row r="171" spans="1:26" ht="12.75" customHeight="1">
      <c r="A171" s="1"/>
      <c r="B171" s="46"/>
      <c r="C171" s="1"/>
      <c r="D171" s="1"/>
      <c r="E171" s="1"/>
      <c r="F171" s="66"/>
      <c r="G171" s="1"/>
      <c r="H171" s="1"/>
      <c r="I171" s="66"/>
      <c r="J171" s="1"/>
      <c r="K171" s="1"/>
      <c r="L171" s="1"/>
      <c r="M171" s="1"/>
      <c r="N171" s="1"/>
      <c r="O171" s="1"/>
      <c r="P171" s="1"/>
      <c r="Q171" s="1"/>
      <c r="R171" s="1"/>
      <c r="S171" s="1"/>
      <c r="T171" s="1"/>
      <c r="U171" s="1"/>
      <c r="V171" s="1"/>
      <c r="W171" s="1"/>
      <c r="X171" s="1"/>
      <c r="Y171" s="1"/>
      <c r="Z171" s="1"/>
    </row>
    <row r="172" spans="1:26" ht="12.75" customHeight="1">
      <c r="A172" s="1"/>
      <c r="B172" s="46"/>
      <c r="C172" s="1"/>
      <c r="D172" s="1"/>
      <c r="E172" s="1"/>
      <c r="F172" s="66"/>
      <c r="G172" s="1"/>
      <c r="H172" s="1"/>
      <c r="I172" s="66"/>
      <c r="J172" s="1"/>
      <c r="K172" s="1"/>
      <c r="L172" s="1"/>
      <c r="M172" s="1"/>
      <c r="N172" s="1"/>
      <c r="O172" s="1"/>
      <c r="P172" s="1"/>
      <c r="Q172" s="1"/>
      <c r="R172" s="1"/>
      <c r="S172" s="1"/>
      <c r="T172" s="1"/>
      <c r="U172" s="1"/>
      <c r="V172" s="1"/>
      <c r="W172" s="1"/>
      <c r="X172" s="1"/>
      <c r="Y172" s="1"/>
      <c r="Z172" s="1"/>
    </row>
    <row r="173" spans="1:26" ht="12.75" customHeight="1">
      <c r="A173" s="1"/>
      <c r="B173" s="46"/>
      <c r="C173" s="1"/>
      <c r="D173" s="1"/>
      <c r="E173" s="1"/>
      <c r="F173" s="66"/>
      <c r="G173" s="1"/>
      <c r="H173" s="1"/>
      <c r="I173" s="66"/>
      <c r="J173" s="1"/>
      <c r="K173" s="1"/>
      <c r="L173" s="1"/>
      <c r="M173" s="1"/>
      <c r="N173" s="1"/>
      <c r="O173" s="1"/>
      <c r="P173" s="1"/>
      <c r="Q173" s="1"/>
      <c r="R173" s="1"/>
      <c r="S173" s="1"/>
      <c r="T173" s="1"/>
      <c r="U173" s="1"/>
      <c r="V173" s="1"/>
      <c r="W173" s="1"/>
      <c r="X173" s="1"/>
      <c r="Y173" s="1"/>
      <c r="Z173" s="1"/>
    </row>
    <row r="174" spans="1:26" ht="12.75" customHeight="1">
      <c r="A174" s="1"/>
      <c r="B174" s="46"/>
      <c r="C174" s="1"/>
      <c r="D174" s="1"/>
      <c r="E174" s="1"/>
      <c r="F174" s="66"/>
      <c r="G174" s="1"/>
      <c r="H174" s="1"/>
      <c r="I174" s="66"/>
      <c r="J174" s="1"/>
      <c r="K174" s="1"/>
      <c r="L174" s="1"/>
      <c r="M174" s="1"/>
      <c r="N174" s="1"/>
      <c r="O174" s="1"/>
      <c r="P174" s="1"/>
      <c r="Q174" s="1"/>
      <c r="R174" s="1"/>
      <c r="S174" s="1"/>
      <c r="T174" s="1"/>
      <c r="U174" s="1"/>
      <c r="V174" s="1"/>
      <c r="W174" s="1"/>
      <c r="X174" s="1"/>
      <c r="Y174" s="1"/>
      <c r="Z174" s="1"/>
    </row>
    <row r="175" spans="1:26" ht="12.75" customHeight="1">
      <c r="A175" s="1"/>
      <c r="B175" s="46"/>
      <c r="C175" s="1"/>
      <c r="D175" s="1"/>
      <c r="E175" s="1"/>
      <c r="F175" s="66"/>
      <c r="G175" s="1"/>
      <c r="H175" s="1"/>
      <c r="I175" s="66"/>
      <c r="J175" s="1"/>
      <c r="K175" s="1"/>
      <c r="L175" s="1"/>
      <c r="M175" s="1"/>
      <c r="N175" s="1"/>
      <c r="O175" s="1"/>
      <c r="P175" s="1"/>
      <c r="Q175" s="1"/>
      <c r="R175" s="1"/>
      <c r="S175" s="1"/>
      <c r="T175" s="1"/>
      <c r="U175" s="1"/>
      <c r="V175" s="1"/>
      <c r="W175" s="1"/>
      <c r="X175" s="1"/>
      <c r="Y175" s="1"/>
      <c r="Z175" s="1"/>
    </row>
    <row r="176" spans="1:26" ht="12.75" customHeight="1">
      <c r="A176" s="1"/>
      <c r="B176" s="46"/>
      <c r="C176" s="1"/>
      <c r="D176" s="1"/>
      <c r="E176" s="1"/>
      <c r="F176" s="66"/>
      <c r="G176" s="1"/>
      <c r="H176" s="1"/>
      <c r="I176" s="66"/>
      <c r="J176" s="1"/>
      <c r="K176" s="1"/>
      <c r="L176" s="1"/>
      <c r="M176" s="1"/>
      <c r="N176" s="1"/>
      <c r="O176" s="1"/>
      <c r="P176" s="1"/>
      <c r="Q176" s="1"/>
      <c r="R176" s="1"/>
      <c r="S176" s="1"/>
      <c r="T176" s="1"/>
      <c r="U176" s="1"/>
      <c r="V176" s="1"/>
      <c r="W176" s="1"/>
      <c r="X176" s="1"/>
      <c r="Y176" s="1"/>
      <c r="Z176" s="1"/>
    </row>
    <row r="177" spans="1:26" ht="12.75" customHeight="1">
      <c r="A177" s="1"/>
      <c r="B177" s="46"/>
      <c r="C177" s="1"/>
      <c r="D177" s="1"/>
      <c r="E177" s="1"/>
      <c r="F177" s="66"/>
      <c r="G177" s="1"/>
      <c r="H177" s="1"/>
      <c r="I177" s="66"/>
      <c r="J177" s="1"/>
      <c r="K177" s="1"/>
      <c r="L177" s="1"/>
      <c r="M177" s="1"/>
      <c r="N177" s="1"/>
      <c r="O177" s="1"/>
      <c r="P177" s="1"/>
      <c r="Q177" s="1"/>
      <c r="R177" s="1"/>
      <c r="S177" s="1"/>
      <c r="T177" s="1"/>
      <c r="U177" s="1"/>
      <c r="V177" s="1"/>
      <c r="W177" s="1"/>
      <c r="X177" s="1"/>
      <c r="Y177" s="1"/>
      <c r="Z177" s="1"/>
    </row>
    <row r="178" spans="1:26" ht="12.75" customHeight="1">
      <c r="A178" s="1"/>
      <c r="B178" s="46"/>
      <c r="C178" s="1"/>
      <c r="D178" s="1"/>
      <c r="E178" s="1"/>
      <c r="F178" s="66"/>
      <c r="G178" s="1"/>
      <c r="H178" s="1"/>
      <c r="I178" s="66"/>
      <c r="J178" s="1"/>
      <c r="K178" s="1"/>
      <c r="L178" s="1"/>
      <c r="M178" s="1"/>
      <c r="N178" s="1"/>
      <c r="O178" s="1"/>
      <c r="P178" s="1"/>
      <c r="Q178" s="1"/>
      <c r="R178" s="1"/>
      <c r="S178" s="1"/>
      <c r="T178" s="1"/>
      <c r="U178" s="1"/>
      <c r="V178" s="1"/>
      <c r="W178" s="1"/>
      <c r="X178" s="1"/>
      <c r="Y178" s="1"/>
      <c r="Z178" s="1"/>
    </row>
    <row r="179" spans="1:26" ht="12.75" customHeight="1">
      <c r="A179" s="1"/>
      <c r="B179" s="46"/>
      <c r="C179" s="1"/>
      <c r="D179" s="1"/>
      <c r="E179" s="1"/>
      <c r="F179" s="66"/>
      <c r="G179" s="1"/>
      <c r="H179" s="1"/>
      <c r="I179" s="66"/>
      <c r="J179" s="1"/>
      <c r="K179" s="1"/>
      <c r="L179" s="1"/>
      <c r="M179" s="1"/>
      <c r="N179" s="1"/>
      <c r="O179" s="1"/>
      <c r="P179" s="1"/>
      <c r="Q179" s="1"/>
      <c r="R179" s="1"/>
      <c r="S179" s="1"/>
      <c r="T179" s="1"/>
      <c r="U179" s="1"/>
      <c r="V179" s="1"/>
      <c r="W179" s="1"/>
      <c r="X179" s="1"/>
      <c r="Y179" s="1"/>
      <c r="Z179" s="1"/>
    </row>
    <row r="180" spans="1:26" ht="12.75" customHeight="1">
      <c r="A180" s="1"/>
      <c r="B180" s="46"/>
      <c r="C180" s="1"/>
      <c r="D180" s="1"/>
      <c r="E180" s="1"/>
      <c r="F180" s="66"/>
      <c r="G180" s="1"/>
      <c r="H180" s="1"/>
      <c r="I180" s="66"/>
      <c r="J180" s="1"/>
      <c r="K180" s="1"/>
      <c r="L180" s="1"/>
      <c r="M180" s="1"/>
      <c r="N180" s="1"/>
      <c r="O180" s="1"/>
      <c r="P180" s="1"/>
      <c r="Q180" s="1"/>
      <c r="R180" s="1"/>
      <c r="S180" s="1"/>
      <c r="T180" s="1"/>
      <c r="U180" s="1"/>
      <c r="V180" s="1"/>
      <c r="W180" s="1"/>
      <c r="X180" s="1"/>
      <c r="Y180" s="1"/>
      <c r="Z180" s="1"/>
    </row>
    <row r="181" spans="1:26" ht="12.75" customHeight="1">
      <c r="A181" s="1"/>
      <c r="B181" s="46"/>
      <c r="C181" s="1"/>
      <c r="D181" s="1"/>
      <c r="E181" s="1"/>
      <c r="F181" s="66"/>
      <c r="G181" s="1"/>
      <c r="H181" s="1"/>
      <c r="I181" s="66"/>
      <c r="J181" s="1"/>
      <c r="K181" s="1"/>
      <c r="L181" s="1"/>
      <c r="M181" s="1"/>
      <c r="N181" s="1"/>
      <c r="O181" s="1"/>
      <c r="P181" s="1"/>
      <c r="Q181" s="1"/>
      <c r="R181" s="1"/>
      <c r="S181" s="1"/>
      <c r="T181" s="1"/>
      <c r="U181" s="1"/>
      <c r="V181" s="1"/>
      <c r="W181" s="1"/>
      <c r="X181" s="1"/>
      <c r="Y181" s="1"/>
      <c r="Z181" s="1"/>
    </row>
    <row r="182" spans="1:26" ht="12.75" customHeight="1">
      <c r="A182" s="1"/>
      <c r="B182" s="46"/>
      <c r="C182" s="1"/>
      <c r="D182" s="1"/>
      <c r="E182" s="1"/>
      <c r="F182" s="66"/>
      <c r="G182" s="1"/>
      <c r="H182" s="1"/>
      <c r="I182" s="66"/>
      <c r="J182" s="1"/>
      <c r="K182" s="1"/>
      <c r="L182" s="1"/>
      <c r="M182" s="1"/>
      <c r="N182" s="1"/>
      <c r="O182" s="1"/>
      <c r="P182" s="1"/>
      <c r="Q182" s="1"/>
      <c r="R182" s="1"/>
      <c r="S182" s="1"/>
      <c r="T182" s="1"/>
      <c r="U182" s="1"/>
      <c r="V182" s="1"/>
      <c r="W182" s="1"/>
      <c r="X182" s="1"/>
      <c r="Y182" s="1"/>
      <c r="Z182" s="1"/>
    </row>
    <row r="183" spans="1:26" ht="12.75" customHeight="1">
      <c r="A183" s="1"/>
      <c r="B183" s="46"/>
      <c r="C183" s="1"/>
      <c r="D183" s="1"/>
      <c r="E183" s="1"/>
      <c r="F183" s="66"/>
      <c r="G183" s="1"/>
      <c r="H183" s="1"/>
      <c r="I183" s="66"/>
      <c r="J183" s="1"/>
      <c r="K183" s="1"/>
      <c r="L183" s="1"/>
      <c r="M183" s="1"/>
      <c r="N183" s="1"/>
      <c r="O183" s="1"/>
      <c r="P183" s="1"/>
      <c r="Q183" s="1"/>
      <c r="R183" s="1"/>
      <c r="S183" s="1"/>
      <c r="T183" s="1"/>
      <c r="U183" s="1"/>
      <c r="V183" s="1"/>
      <c r="W183" s="1"/>
      <c r="X183" s="1"/>
      <c r="Y183" s="1"/>
      <c r="Z183" s="1"/>
    </row>
    <row r="184" spans="1:26" ht="12.75" customHeight="1">
      <c r="A184" s="1"/>
      <c r="B184" s="46"/>
      <c r="C184" s="1"/>
      <c r="D184" s="1"/>
      <c r="E184" s="1"/>
      <c r="F184" s="66"/>
      <c r="G184" s="1"/>
      <c r="H184" s="1"/>
      <c r="I184" s="66"/>
      <c r="J184" s="1"/>
      <c r="K184" s="1"/>
      <c r="L184" s="1"/>
      <c r="M184" s="1"/>
      <c r="N184" s="1"/>
      <c r="O184" s="1"/>
      <c r="P184" s="1"/>
      <c r="Q184" s="1"/>
      <c r="R184" s="1"/>
      <c r="S184" s="1"/>
      <c r="T184" s="1"/>
      <c r="U184" s="1"/>
      <c r="V184" s="1"/>
      <c r="W184" s="1"/>
      <c r="X184" s="1"/>
      <c r="Y184" s="1"/>
      <c r="Z184" s="1"/>
    </row>
    <row r="185" spans="1:26" ht="12.75" customHeight="1">
      <c r="A185" s="1"/>
      <c r="B185" s="46"/>
      <c r="C185" s="1"/>
      <c r="D185" s="1"/>
      <c r="E185" s="1"/>
      <c r="F185" s="66"/>
      <c r="G185" s="1"/>
      <c r="H185" s="1"/>
      <c r="I185" s="66"/>
      <c r="J185" s="1"/>
      <c r="K185" s="1"/>
      <c r="L185" s="1"/>
      <c r="M185" s="1"/>
      <c r="N185" s="1"/>
      <c r="O185" s="1"/>
      <c r="P185" s="1"/>
      <c r="Q185" s="1"/>
      <c r="R185" s="1"/>
      <c r="S185" s="1"/>
      <c r="T185" s="1"/>
      <c r="U185" s="1"/>
      <c r="V185" s="1"/>
      <c r="W185" s="1"/>
      <c r="X185" s="1"/>
      <c r="Y185" s="1"/>
      <c r="Z185" s="1"/>
    </row>
    <row r="186" spans="1:26" ht="12.75" customHeight="1">
      <c r="A186" s="1"/>
      <c r="B186" s="46"/>
      <c r="C186" s="1"/>
      <c r="D186" s="1"/>
      <c r="E186" s="1"/>
      <c r="F186" s="66"/>
      <c r="G186" s="1"/>
      <c r="H186" s="1"/>
      <c r="I186" s="66"/>
      <c r="J186" s="1"/>
      <c r="K186" s="1"/>
      <c r="L186" s="1"/>
      <c r="M186" s="1"/>
      <c r="N186" s="1"/>
      <c r="O186" s="1"/>
      <c r="P186" s="1"/>
      <c r="Q186" s="1"/>
      <c r="R186" s="1"/>
      <c r="S186" s="1"/>
      <c r="T186" s="1"/>
      <c r="U186" s="1"/>
      <c r="V186" s="1"/>
      <c r="W186" s="1"/>
      <c r="X186" s="1"/>
      <c r="Y186" s="1"/>
      <c r="Z186" s="1"/>
    </row>
    <row r="187" spans="1:26" ht="12.75" customHeight="1">
      <c r="A187" s="1"/>
      <c r="B187" s="46"/>
      <c r="C187" s="1"/>
      <c r="D187" s="1"/>
      <c r="E187" s="1"/>
      <c r="F187" s="66"/>
      <c r="G187" s="1"/>
      <c r="H187" s="1"/>
      <c r="I187" s="66"/>
      <c r="J187" s="1"/>
      <c r="K187" s="1"/>
      <c r="L187" s="1"/>
      <c r="M187" s="1"/>
      <c r="N187" s="1"/>
      <c r="O187" s="1"/>
      <c r="P187" s="1"/>
      <c r="Q187" s="1"/>
      <c r="R187" s="1"/>
      <c r="S187" s="1"/>
      <c r="T187" s="1"/>
      <c r="U187" s="1"/>
      <c r="V187" s="1"/>
      <c r="W187" s="1"/>
      <c r="X187" s="1"/>
      <c r="Y187" s="1"/>
      <c r="Z187" s="1"/>
    </row>
    <row r="188" spans="1:26" ht="12.75" customHeight="1">
      <c r="A188" s="1"/>
      <c r="B188" s="46"/>
      <c r="C188" s="1"/>
      <c r="D188" s="1"/>
      <c r="E188" s="1"/>
      <c r="F188" s="66"/>
      <c r="G188" s="1"/>
      <c r="H188" s="1"/>
      <c r="I188" s="66"/>
      <c r="J188" s="1"/>
      <c r="K188" s="1"/>
      <c r="L188" s="1"/>
      <c r="M188" s="1"/>
      <c r="N188" s="1"/>
      <c r="O188" s="1"/>
      <c r="P188" s="1"/>
      <c r="Q188" s="1"/>
      <c r="R188" s="1"/>
      <c r="S188" s="1"/>
      <c r="T188" s="1"/>
      <c r="U188" s="1"/>
      <c r="V188" s="1"/>
      <c r="W188" s="1"/>
      <c r="X188" s="1"/>
      <c r="Y188" s="1"/>
      <c r="Z188" s="1"/>
    </row>
    <row r="189" spans="1:26" ht="12.75" customHeight="1">
      <c r="A189" s="1"/>
      <c r="B189" s="46"/>
      <c r="C189" s="1"/>
      <c r="D189" s="1"/>
      <c r="E189" s="1"/>
      <c r="F189" s="66"/>
      <c r="G189" s="1"/>
      <c r="H189" s="1"/>
      <c r="I189" s="66"/>
      <c r="J189" s="1"/>
      <c r="K189" s="1"/>
      <c r="L189" s="1"/>
      <c r="M189" s="1"/>
      <c r="N189" s="1"/>
      <c r="O189" s="1"/>
      <c r="P189" s="1"/>
      <c r="Q189" s="1"/>
      <c r="R189" s="1"/>
      <c r="S189" s="1"/>
      <c r="T189" s="1"/>
      <c r="U189" s="1"/>
      <c r="V189" s="1"/>
      <c r="W189" s="1"/>
      <c r="X189" s="1"/>
      <c r="Y189" s="1"/>
      <c r="Z189" s="1"/>
    </row>
    <row r="190" spans="1:26" ht="12.75" customHeight="1">
      <c r="A190" s="1"/>
      <c r="B190" s="46"/>
      <c r="C190" s="1"/>
      <c r="D190" s="1"/>
      <c r="E190" s="1"/>
      <c r="F190" s="66"/>
      <c r="G190" s="1"/>
      <c r="H190" s="1"/>
      <c r="I190" s="66"/>
      <c r="J190" s="1"/>
      <c r="K190" s="1"/>
      <c r="L190" s="1"/>
      <c r="M190" s="1"/>
      <c r="N190" s="1"/>
      <c r="O190" s="1"/>
      <c r="P190" s="1"/>
      <c r="Q190" s="1"/>
      <c r="R190" s="1"/>
      <c r="S190" s="1"/>
      <c r="T190" s="1"/>
      <c r="U190" s="1"/>
      <c r="V190" s="1"/>
      <c r="W190" s="1"/>
      <c r="X190" s="1"/>
      <c r="Y190" s="1"/>
      <c r="Z190" s="1"/>
    </row>
    <row r="191" spans="1:26" ht="12.75" customHeight="1">
      <c r="A191" s="1"/>
      <c r="B191" s="46"/>
      <c r="C191" s="1"/>
      <c r="D191" s="1"/>
      <c r="E191" s="1"/>
      <c r="F191" s="66"/>
      <c r="G191" s="1"/>
      <c r="H191" s="1"/>
      <c r="I191" s="66"/>
      <c r="J191" s="1"/>
      <c r="K191" s="1"/>
      <c r="L191" s="1"/>
      <c r="M191" s="1"/>
      <c r="N191" s="1"/>
      <c r="O191" s="1"/>
      <c r="P191" s="1"/>
      <c r="Q191" s="1"/>
      <c r="R191" s="1"/>
      <c r="S191" s="1"/>
      <c r="T191" s="1"/>
      <c r="U191" s="1"/>
      <c r="V191" s="1"/>
      <c r="W191" s="1"/>
      <c r="X191" s="1"/>
      <c r="Y191" s="1"/>
      <c r="Z191" s="1"/>
    </row>
    <row r="192" spans="1:26" ht="12.75" customHeight="1">
      <c r="A192" s="1"/>
      <c r="B192" s="46"/>
      <c r="C192" s="1"/>
      <c r="D192" s="1"/>
      <c r="E192" s="1"/>
      <c r="F192" s="66"/>
      <c r="G192" s="1"/>
      <c r="H192" s="1"/>
      <c r="I192" s="66"/>
      <c r="J192" s="1"/>
      <c r="K192" s="1"/>
      <c r="L192" s="1"/>
      <c r="M192" s="1"/>
      <c r="N192" s="1"/>
      <c r="O192" s="1"/>
      <c r="P192" s="1"/>
      <c r="Q192" s="1"/>
      <c r="R192" s="1"/>
      <c r="S192" s="1"/>
      <c r="T192" s="1"/>
      <c r="U192" s="1"/>
      <c r="V192" s="1"/>
      <c r="W192" s="1"/>
      <c r="X192" s="1"/>
      <c r="Y192" s="1"/>
      <c r="Z192" s="1"/>
    </row>
    <row r="193" spans="1:26" ht="12.75" customHeight="1">
      <c r="A193" s="1"/>
      <c r="B193" s="46"/>
      <c r="C193" s="1"/>
      <c r="D193" s="1"/>
      <c r="E193" s="1"/>
      <c r="F193" s="66"/>
      <c r="G193" s="1"/>
      <c r="H193" s="1"/>
      <c r="I193" s="66"/>
      <c r="J193" s="1"/>
      <c r="K193" s="1"/>
      <c r="L193" s="1"/>
      <c r="M193" s="1"/>
      <c r="N193" s="1"/>
      <c r="O193" s="1"/>
      <c r="P193" s="1"/>
      <c r="Q193" s="1"/>
      <c r="R193" s="1"/>
      <c r="S193" s="1"/>
      <c r="T193" s="1"/>
      <c r="U193" s="1"/>
      <c r="V193" s="1"/>
      <c r="W193" s="1"/>
      <c r="X193" s="1"/>
      <c r="Y193" s="1"/>
      <c r="Z193" s="1"/>
    </row>
    <row r="194" spans="1:26" ht="12.75" customHeight="1">
      <c r="A194" s="1"/>
      <c r="B194" s="46"/>
      <c r="C194" s="1"/>
      <c r="D194" s="1"/>
      <c r="E194" s="1"/>
      <c r="F194" s="66"/>
      <c r="G194" s="1"/>
      <c r="H194" s="1"/>
      <c r="I194" s="66"/>
      <c r="J194" s="1"/>
      <c r="K194" s="1"/>
      <c r="L194" s="1"/>
      <c r="M194" s="1"/>
      <c r="N194" s="1"/>
      <c r="O194" s="1"/>
      <c r="P194" s="1"/>
      <c r="Q194" s="1"/>
      <c r="R194" s="1"/>
      <c r="S194" s="1"/>
      <c r="T194" s="1"/>
      <c r="U194" s="1"/>
      <c r="V194" s="1"/>
      <c r="W194" s="1"/>
      <c r="X194" s="1"/>
      <c r="Y194" s="1"/>
      <c r="Z194" s="1"/>
    </row>
    <row r="195" spans="1:26" ht="12.75" customHeight="1">
      <c r="A195" s="1"/>
      <c r="B195" s="46"/>
      <c r="C195" s="1"/>
      <c r="D195" s="1"/>
      <c r="E195" s="1"/>
      <c r="F195" s="66"/>
      <c r="G195" s="1"/>
      <c r="H195" s="1"/>
      <c r="I195" s="66"/>
      <c r="J195" s="1"/>
      <c r="K195" s="1"/>
      <c r="L195" s="1"/>
      <c r="M195" s="1"/>
      <c r="N195" s="1"/>
      <c r="O195" s="1"/>
      <c r="P195" s="1"/>
      <c r="Q195" s="1"/>
      <c r="R195" s="1"/>
      <c r="S195" s="1"/>
      <c r="T195" s="1"/>
      <c r="U195" s="1"/>
      <c r="V195" s="1"/>
      <c r="W195" s="1"/>
      <c r="X195" s="1"/>
      <c r="Y195" s="1"/>
      <c r="Z195" s="1"/>
    </row>
    <row r="196" spans="1:26" ht="12.75" customHeight="1">
      <c r="A196" s="1"/>
      <c r="B196" s="46"/>
      <c r="C196" s="1"/>
      <c r="D196" s="1"/>
      <c r="E196" s="1"/>
      <c r="F196" s="66"/>
      <c r="G196" s="1"/>
      <c r="H196" s="1"/>
      <c r="I196" s="66"/>
      <c r="J196" s="1"/>
      <c r="K196" s="1"/>
      <c r="L196" s="1"/>
      <c r="M196" s="1"/>
      <c r="N196" s="1"/>
      <c r="O196" s="1"/>
      <c r="P196" s="1"/>
      <c r="Q196" s="1"/>
      <c r="R196" s="1"/>
      <c r="S196" s="1"/>
      <c r="T196" s="1"/>
      <c r="U196" s="1"/>
      <c r="V196" s="1"/>
      <c r="W196" s="1"/>
      <c r="X196" s="1"/>
      <c r="Y196" s="1"/>
      <c r="Z196" s="1"/>
    </row>
    <row r="197" spans="1:26" ht="12.75" customHeight="1">
      <c r="A197" s="1"/>
      <c r="B197" s="46"/>
      <c r="C197" s="1"/>
      <c r="D197" s="1"/>
      <c r="E197" s="1"/>
      <c r="F197" s="66"/>
      <c r="G197" s="1"/>
      <c r="H197" s="1"/>
      <c r="I197" s="66"/>
      <c r="J197" s="1"/>
      <c r="K197" s="1"/>
      <c r="L197" s="1"/>
      <c r="M197" s="1"/>
      <c r="N197" s="1"/>
      <c r="O197" s="1"/>
      <c r="P197" s="1"/>
      <c r="Q197" s="1"/>
      <c r="R197" s="1"/>
      <c r="S197" s="1"/>
      <c r="T197" s="1"/>
      <c r="U197" s="1"/>
      <c r="V197" s="1"/>
      <c r="W197" s="1"/>
      <c r="X197" s="1"/>
      <c r="Y197" s="1"/>
      <c r="Z197" s="1"/>
    </row>
    <row r="198" spans="1:26" ht="12.75" customHeight="1">
      <c r="A198" s="1"/>
      <c r="B198" s="46"/>
      <c r="C198" s="1"/>
      <c r="D198" s="1"/>
      <c r="E198" s="1"/>
      <c r="F198" s="66"/>
      <c r="G198" s="1"/>
      <c r="H198" s="1"/>
      <c r="I198" s="66"/>
      <c r="J198" s="1"/>
      <c r="K198" s="1"/>
      <c r="L198" s="1"/>
      <c r="M198" s="1"/>
      <c r="N198" s="1"/>
      <c r="O198" s="1"/>
      <c r="P198" s="1"/>
      <c r="Q198" s="1"/>
      <c r="R198" s="1"/>
      <c r="S198" s="1"/>
      <c r="T198" s="1"/>
      <c r="U198" s="1"/>
      <c r="V198" s="1"/>
      <c r="W198" s="1"/>
      <c r="X198" s="1"/>
      <c r="Y198" s="1"/>
      <c r="Z198" s="1"/>
    </row>
    <row r="199" spans="1:26" ht="12.75" customHeight="1">
      <c r="A199" s="1"/>
      <c r="B199" s="46"/>
      <c r="C199" s="1"/>
      <c r="D199" s="1"/>
      <c r="E199" s="1"/>
      <c r="F199" s="66"/>
      <c r="G199" s="1"/>
      <c r="H199" s="1"/>
      <c r="I199" s="66"/>
      <c r="J199" s="1"/>
      <c r="K199" s="1"/>
      <c r="L199" s="1"/>
      <c r="M199" s="1"/>
      <c r="N199" s="1"/>
      <c r="O199" s="1"/>
      <c r="P199" s="1"/>
      <c r="Q199" s="1"/>
      <c r="R199" s="1"/>
      <c r="S199" s="1"/>
      <c r="T199" s="1"/>
      <c r="U199" s="1"/>
      <c r="V199" s="1"/>
      <c r="W199" s="1"/>
      <c r="X199" s="1"/>
      <c r="Y199" s="1"/>
      <c r="Z199" s="1"/>
    </row>
    <row r="200" spans="1:26" ht="12.75" customHeight="1">
      <c r="A200" s="1"/>
      <c r="B200" s="46"/>
      <c r="C200" s="1"/>
      <c r="D200" s="1"/>
      <c r="E200" s="1"/>
      <c r="F200" s="66"/>
      <c r="G200" s="1"/>
      <c r="H200" s="1"/>
      <c r="I200" s="66"/>
      <c r="J200" s="1"/>
      <c r="K200" s="1"/>
      <c r="L200" s="1"/>
      <c r="M200" s="1"/>
      <c r="N200" s="1"/>
      <c r="O200" s="1"/>
      <c r="P200" s="1"/>
      <c r="Q200" s="1"/>
      <c r="R200" s="1"/>
      <c r="S200" s="1"/>
      <c r="T200" s="1"/>
      <c r="U200" s="1"/>
      <c r="V200" s="1"/>
      <c r="W200" s="1"/>
      <c r="X200" s="1"/>
      <c r="Y200" s="1"/>
      <c r="Z200" s="1"/>
    </row>
    <row r="201" spans="1:26" ht="12.75" customHeight="1">
      <c r="A201" s="1"/>
      <c r="B201" s="46"/>
      <c r="C201" s="1"/>
      <c r="D201" s="1"/>
      <c r="E201" s="1"/>
      <c r="F201" s="66"/>
      <c r="G201" s="1"/>
      <c r="H201" s="1"/>
      <c r="I201" s="66"/>
      <c r="J201" s="1"/>
      <c r="K201" s="1"/>
      <c r="L201" s="1"/>
      <c r="M201" s="1"/>
      <c r="N201" s="1"/>
      <c r="O201" s="1"/>
      <c r="P201" s="1"/>
      <c r="Q201" s="1"/>
      <c r="R201" s="1"/>
      <c r="S201" s="1"/>
      <c r="T201" s="1"/>
      <c r="U201" s="1"/>
      <c r="V201" s="1"/>
      <c r="W201" s="1"/>
      <c r="X201" s="1"/>
      <c r="Y201" s="1"/>
      <c r="Z201" s="1"/>
    </row>
    <row r="202" spans="1:26" ht="12.75" customHeight="1">
      <c r="A202" s="1"/>
      <c r="B202" s="46"/>
      <c r="C202" s="1"/>
      <c r="D202" s="1"/>
      <c r="E202" s="1"/>
      <c r="F202" s="66"/>
      <c r="G202" s="1"/>
      <c r="H202" s="1"/>
      <c r="I202" s="66"/>
      <c r="J202" s="1"/>
      <c r="K202" s="1"/>
      <c r="L202" s="1"/>
      <c r="M202" s="1"/>
      <c r="N202" s="1"/>
      <c r="O202" s="1"/>
      <c r="P202" s="1"/>
      <c r="Q202" s="1"/>
      <c r="R202" s="1"/>
      <c r="S202" s="1"/>
      <c r="T202" s="1"/>
      <c r="U202" s="1"/>
      <c r="V202" s="1"/>
      <c r="W202" s="1"/>
      <c r="X202" s="1"/>
      <c r="Y202" s="1"/>
      <c r="Z202" s="1"/>
    </row>
    <row r="203" spans="1:26" ht="12.75" customHeight="1">
      <c r="A203" s="1"/>
      <c r="B203" s="46"/>
      <c r="C203" s="1"/>
      <c r="D203" s="1"/>
      <c r="E203" s="1"/>
      <c r="F203" s="66"/>
      <c r="G203" s="1"/>
      <c r="H203" s="1"/>
      <c r="I203" s="66"/>
      <c r="J203" s="1"/>
      <c r="K203" s="1"/>
      <c r="L203" s="1"/>
      <c r="M203" s="1"/>
      <c r="N203" s="1"/>
      <c r="O203" s="1"/>
      <c r="P203" s="1"/>
      <c r="Q203" s="1"/>
      <c r="R203" s="1"/>
      <c r="S203" s="1"/>
      <c r="T203" s="1"/>
      <c r="U203" s="1"/>
      <c r="V203" s="1"/>
      <c r="W203" s="1"/>
      <c r="X203" s="1"/>
      <c r="Y203" s="1"/>
      <c r="Z203" s="1"/>
    </row>
    <row r="204" spans="1:26" ht="12.75" customHeight="1">
      <c r="A204" s="1"/>
      <c r="B204" s="46"/>
      <c r="C204" s="1"/>
      <c r="D204" s="1"/>
      <c r="E204" s="1"/>
      <c r="F204" s="66"/>
      <c r="G204" s="1"/>
      <c r="H204" s="1"/>
      <c r="I204" s="66"/>
      <c r="J204" s="1"/>
      <c r="K204" s="1"/>
      <c r="L204" s="1"/>
      <c r="M204" s="1"/>
      <c r="N204" s="1"/>
      <c r="O204" s="1"/>
      <c r="P204" s="1"/>
      <c r="Q204" s="1"/>
      <c r="R204" s="1"/>
      <c r="S204" s="1"/>
      <c r="T204" s="1"/>
      <c r="U204" s="1"/>
      <c r="V204" s="1"/>
      <c r="W204" s="1"/>
      <c r="X204" s="1"/>
      <c r="Y204" s="1"/>
      <c r="Z204" s="1"/>
    </row>
    <row r="205" spans="1:26" ht="12.75" customHeight="1">
      <c r="A205" s="1"/>
      <c r="B205" s="46"/>
      <c r="C205" s="1"/>
      <c r="D205" s="1"/>
      <c r="E205" s="1"/>
      <c r="F205" s="66"/>
      <c r="G205" s="1"/>
      <c r="H205" s="1"/>
      <c r="I205" s="66"/>
      <c r="J205" s="1"/>
      <c r="K205" s="1"/>
      <c r="L205" s="1"/>
      <c r="M205" s="1"/>
      <c r="N205" s="1"/>
      <c r="O205" s="1"/>
      <c r="P205" s="1"/>
      <c r="Q205" s="1"/>
      <c r="R205" s="1"/>
      <c r="S205" s="1"/>
      <c r="T205" s="1"/>
      <c r="U205" s="1"/>
      <c r="V205" s="1"/>
      <c r="W205" s="1"/>
      <c r="X205" s="1"/>
      <c r="Y205" s="1"/>
      <c r="Z205" s="1"/>
    </row>
    <row r="206" spans="1:26" ht="12.75" customHeight="1">
      <c r="A206" s="1"/>
      <c r="B206" s="46"/>
      <c r="C206" s="1"/>
      <c r="D206" s="1"/>
      <c r="E206" s="1"/>
      <c r="F206" s="66"/>
      <c r="G206" s="1"/>
      <c r="H206" s="1"/>
      <c r="I206" s="66"/>
      <c r="J206" s="1"/>
      <c r="K206" s="1"/>
      <c r="L206" s="1"/>
      <c r="M206" s="1"/>
      <c r="N206" s="1"/>
      <c r="O206" s="1"/>
      <c r="P206" s="1"/>
      <c r="Q206" s="1"/>
      <c r="R206" s="1"/>
      <c r="S206" s="1"/>
      <c r="T206" s="1"/>
      <c r="U206" s="1"/>
      <c r="V206" s="1"/>
      <c r="W206" s="1"/>
      <c r="X206" s="1"/>
      <c r="Y206" s="1"/>
      <c r="Z206" s="1"/>
    </row>
    <row r="207" spans="1:26" ht="12.75" customHeight="1">
      <c r="A207" s="1"/>
      <c r="B207" s="46"/>
      <c r="C207" s="1"/>
      <c r="D207" s="1"/>
      <c r="E207" s="1"/>
      <c r="F207" s="66"/>
      <c r="G207" s="1"/>
      <c r="H207" s="1"/>
      <c r="I207" s="66"/>
      <c r="J207" s="1"/>
      <c r="K207" s="1"/>
      <c r="L207" s="1"/>
      <c r="M207" s="1"/>
      <c r="N207" s="1"/>
      <c r="O207" s="1"/>
      <c r="P207" s="1"/>
      <c r="Q207" s="1"/>
      <c r="R207" s="1"/>
      <c r="S207" s="1"/>
      <c r="T207" s="1"/>
      <c r="U207" s="1"/>
      <c r="V207" s="1"/>
      <c r="W207" s="1"/>
      <c r="X207" s="1"/>
      <c r="Y207" s="1"/>
      <c r="Z207" s="1"/>
    </row>
    <row r="208" spans="1:26" ht="12.75" customHeight="1">
      <c r="A208" s="1"/>
      <c r="B208" s="46"/>
      <c r="C208" s="1"/>
      <c r="D208" s="1"/>
      <c r="E208" s="1"/>
      <c r="F208" s="66"/>
      <c r="G208" s="1"/>
      <c r="H208" s="1"/>
      <c r="I208" s="66"/>
      <c r="J208" s="1"/>
      <c r="K208" s="1"/>
      <c r="L208" s="1"/>
      <c r="M208" s="1"/>
      <c r="N208" s="1"/>
      <c r="O208" s="1"/>
      <c r="P208" s="1"/>
      <c r="Q208" s="1"/>
      <c r="R208" s="1"/>
      <c r="S208" s="1"/>
      <c r="T208" s="1"/>
      <c r="U208" s="1"/>
      <c r="V208" s="1"/>
      <c r="W208" s="1"/>
      <c r="X208" s="1"/>
      <c r="Y208" s="1"/>
      <c r="Z208" s="1"/>
    </row>
    <row r="209" spans="1:26" ht="12.75" customHeight="1">
      <c r="A209" s="1"/>
      <c r="B209" s="46"/>
      <c r="C209" s="1"/>
      <c r="D209" s="1"/>
      <c r="E209" s="1"/>
      <c r="F209" s="66"/>
      <c r="G209" s="1"/>
      <c r="H209" s="1"/>
      <c r="I209" s="66"/>
      <c r="J209" s="1"/>
      <c r="K209" s="1"/>
      <c r="L209" s="1"/>
      <c r="M209" s="1"/>
      <c r="N209" s="1"/>
      <c r="O209" s="1"/>
      <c r="P209" s="1"/>
      <c r="Q209" s="1"/>
      <c r="R209" s="1"/>
      <c r="S209" s="1"/>
      <c r="T209" s="1"/>
      <c r="U209" s="1"/>
      <c r="V209" s="1"/>
      <c r="W209" s="1"/>
      <c r="X209" s="1"/>
      <c r="Y209" s="1"/>
      <c r="Z209" s="1"/>
    </row>
    <row r="210" spans="1:26" ht="12.75" customHeight="1">
      <c r="A210" s="1"/>
      <c r="B210" s="46"/>
      <c r="C210" s="1"/>
      <c r="D210" s="1"/>
      <c r="E210" s="1"/>
      <c r="F210" s="66"/>
      <c r="G210" s="1"/>
      <c r="H210" s="1"/>
      <c r="I210" s="66"/>
      <c r="J210" s="1"/>
      <c r="K210" s="1"/>
      <c r="L210" s="1"/>
      <c r="M210" s="1"/>
      <c r="N210" s="1"/>
      <c r="O210" s="1"/>
      <c r="P210" s="1"/>
      <c r="Q210" s="1"/>
      <c r="R210" s="1"/>
      <c r="S210" s="1"/>
      <c r="T210" s="1"/>
      <c r="U210" s="1"/>
      <c r="V210" s="1"/>
      <c r="W210" s="1"/>
      <c r="X210" s="1"/>
      <c r="Y210" s="1"/>
      <c r="Z210" s="1"/>
    </row>
    <row r="211" spans="1:26" ht="12.75" customHeight="1">
      <c r="A211" s="1"/>
      <c r="B211" s="46"/>
      <c r="C211" s="1"/>
      <c r="D211" s="1"/>
      <c r="E211" s="1"/>
      <c r="F211" s="66"/>
      <c r="G211" s="1"/>
      <c r="H211" s="1"/>
      <c r="I211" s="66"/>
      <c r="J211" s="1"/>
      <c r="K211" s="1"/>
      <c r="L211" s="1"/>
      <c r="M211" s="1"/>
      <c r="N211" s="1"/>
      <c r="O211" s="1"/>
      <c r="P211" s="1"/>
      <c r="Q211" s="1"/>
      <c r="R211" s="1"/>
      <c r="S211" s="1"/>
      <c r="T211" s="1"/>
      <c r="U211" s="1"/>
      <c r="V211" s="1"/>
      <c r="W211" s="1"/>
      <c r="X211" s="1"/>
      <c r="Y211" s="1"/>
      <c r="Z211" s="1"/>
    </row>
    <row r="212" spans="1:26" ht="12.75" customHeight="1">
      <c r="A212" s="1"/>
      <c r="B212" s="46"/>
      <c r="C212" s="1"/>
      <c r="D212" s="1"/>
      <c r="E212" s="1"/>
      <c r="F212" s="66"/>
      <c r="G212" s="1"/>
      <c r="H212" s="1"/>
      <c r="I212" s="66"/>
      <c r="J212" s="1"/>
      <c r="K212" s="1"/>
      <c r="L212" s="1"/>
      <c r="M212" s="1"/>
      <c r="N212" s="1"/>
      <c r="O212" s="1"/>
      <c r="P212" s="1"/>
      <c r="Q212" s="1"/>
      <c r="R212" s="1"/>
      <c r="S212" s="1"/>
      <c r="T212" s="1"/>
      <c r="U212" s="1"/>
      <c r="V212" s="1"/>
      <c r="W212" s="1"/>
      <c r="X212" s="1"/>
      <c r="Y212" s="1"/>
      <c r="Z212" s="1"/>
    </row>
    <row r="213" spans="1:26" ht="12.75" customHeight="1">
      <c r="A213" s="1"/>
      <c r="B213" s="46"/>
      <c r="C213" s="1"/>
      <c r="D213" s="1"/>
      <c r="E213" s="1"/>
      <c r="F213" s="66"/>
      <c r="G213" s="1"/>
      <c r="H213" s="1"/>
      <c r="I213" s="66"/>
      <c r="J213" s="1"/>
      <c r="K213" s="1"/>
      <c r="L213" s="1"/>
      <c r="M213" s="1"/>
      <c r="N213" s="1"/>
      <c r="O213" s="1"/>
      <c r="P213" s="1"/>
      <c r="Q213" s="1"/>
      <c r="R213" s="1"/>
      <c r="S213" s="1"/>
      <c r="T213" s="1"/>
      <c r="U213" s="1"/>
      <c r="V213" s="1"/>
      <c r="W213" s="1"/>
      <c r="X213" s="1"/>
      <c r="Y213" s="1"/>
      <c r="Z213" s="1"/>
    </row>
    <row r="214" spans="1:26" ht="12.75" customHeight="1">
      <c r="A214" s="1"/>
      <c r="B214" s="46"/>
      <c r="C214" s="1"/>
      <c r="D214" s="1"/>
      <c r="E214" s="1"/>
      <c r="F214" s="66"/>
      <c r="G214" s="1"/>
      <c r="H214" s="1"/>
      <c r="I214" s="66"/>
      <c r="J214" s="1"/>
      <c r="K214" s="1"/>
      <c r="L214" s="1"/>
      <c r="M214" s="1"/>
      <c r="N214" s="1"/>
      <c r="O214" s="1"/>
      <c r="P214" s="1"/>
      <c r="Q214" s="1"/>
      <c r="R214" s="1"/>
      <c r="S214" s="1"/>
      <c r="T214" s="1"/>
      <c r="U214" s="1"/>
      <c r="V214" s="1"/>
      <c r="W214" s="1"/>
      <c r="X214" s="1"/>
      <c r="Y214" s="1"/>
      <c r="Z214" s="1"/>
    </row>
    <row r="215" spans="1:26" ht="12.75" customHeight="1">
      <c r="A215" s="1"/>
      <c r="B215" s="46"/>
      <c r="C215" s="1"/>
      <c r="D215" s="1"/>
      <c r="E215" s="1"/>
      <c r="F215" s="66"/>
      <c r="G215" s="1"/>
      <c r="H215" s="1"/>
      <c r="I215" s="66"/>
      <c r="J215" s="1"/>
      <c r="K215" s="1"/>
      <c r="L215" s="1"/>
      <c r="M215" s="1"/>
      <c r="N215" s="1"/>
      <c r="O215" s="1"/>
      <c r="P215" s="1"/>
      <c r="Q215" s="1"/>
      <c r="R215" s="1"/>
      <c r="S215" s="1"/>
      <c r="T215" s="1"/>
      <c r="U215" s="1"/>
      <c r="V215" s="1"/>
      <c r="W215" s="1"/>
      <c r="X215" s="1"/>
      <c r="Y215" s="1"/>
      <c r="Z215" s="1"/>
    </row>
    <row r="216" spans="1:26" ht="12.75" customHeight="1">
      <c r="A216" s="1"/>
      <c r="B216" s="46"/>
      <c r="C216" s="1"/>
      <c r="D216" s="1"/>
      <c r="E216" s="1"/>
      <c r="F216" s="66"/>
      <c r="G216" s="1"/>
      <c r="H216" s="1"/>
      <c r="I216" s="66"/>
      <c r="J216" s="1"/>
      <c r="K216" s="1"/>
      <c r="L216" s="1"/>
      <c r="M216" s="1"/>
      <c r="N216" s="1"/>
      <c r="O216" s="1"/>
      <c r="P216" s="1"/>
      <c r="Q216" s="1"/>
      <c r="R216" s="1"/>
      <c r="S216" s="1"/>
      <c r="T216" s="1"/>
      <c r="U216" s="1"/>
      <c r="V216" s="1"/>
      <c r="W216" s="1"/>
      <c r="X216" s="1"/>
      <c r="Y216" s="1"/>
      <c r="Z216" s="1"/>
    </row>
    <row r="217" spans="1:26" ht="12.75" customHeight="1">
      <c r="A217" s="1"/>
      <c r="B217" s="46"/>
      <c r="C217" s="1"/>
      <c r="D217" s="1"/>
      <c r="E217" s="1"/>
      <c r="F217" s="66"/>
      <c r="G217" s="1"/>
      <c r="H217" s="1"/>
      <c r="I217" s="66"/>
      <c r="J217" s="1"/>
      <c r="K217" s="1"/>
      <c r="L217" s="1"/>
      <c r="M217" s="1"/>
      <c r="N217" s="1"/>
      <c r="O217" s="1"/>
      <c r="P217" s="1"/>
      <c r="Q217" s="1"/>
      <c r="R217" s="1"/>
      <c r="S217" s="1"/>
      <c r="T217" s="1"/>
      <c r="U217" s="1"/>
      <c r="V217" s="1"/>
      <c r="W217" s="1"/>
      <c r="X217" s="1"/>
      <c r="Y217" s="1"/>
      <c r="Z217" s="1"/>
    </row>
    <row r="218" spans="1:26" ht="12.75" customHeight="1">
      <c r="A218" s="1"/>
      <c r="B218" s="46"/>
      <c r="C218" s="1"/>
      <c r="D218" s="1"/>
      <c r="E218" s="1"/>
      <c r="F218" s="66"/>
      <c r="G218" s="1"/>
      <c r="H218" s="1"/>
      <c r="I218" s="66"/>
      <c r="J218" s="1"/>
      <c r="K218" s="1"/>
      <c r="L218" s="1"/>
      <c r="M218" s="1"/>
      <c r="N218" s="1"/>
      <c r="O218" s="1"/>
      <c r="P218" s="1"/>
      <c r="Q218" s="1"/>
      <c r="R218" s="1"/>
      <c r="S218" s="1"/>
      <c r="T218" s="1"/>
      <c r="U218" s="1"/>
      <c r="V218" s="1"/>
      <c r="W218" s="1"/>
      <c r="X218" s="1"/>
      <c r="Y218" s="1"/>
      <c r="Z218" s="1"/>
    </row>
    <row r="219" spans="1:26" ht="12.75" customHeight="1">
      <c r="A219" s="1"/>
      <c r="B219" s="46"/>
      <c r="C219" s="1"/>
      <c r="D219" s="1"/>
      <c r="E219" s="1"/>
      <c r="F219" s="66"/>
      <c r="G219" s="1"/>
      <c r="H219" s="1"/>
      <c r="I219" s="66"/>
      <c r="J219" s="1"/>
      <c r="K219" s="1"/>
      <c r="L219" s="1"/>
      <c r="M219" s="1"/>
      <c r="N219" s="1"/>
      <c r="O219" s="1"/>
      <c r="P219" s="1"/>
      <c r="Q219" s="1"/>
      <c r="R219" s="1"/>
      <c r="S219" s="1"/>
      <c r="T219" s="1"/>
      <c r="U219" s="1"/>
      <c r="V219" s="1"/>
      <c r="W219" s="1"/>
      <c r="X219" s="1"/>
      <c r="Y219" s="1"/>
      <c r="Z219" s="1"/>
    </row>
    <row r="220" spans="1:26" ht="12.75" customHeight="1">
      <c r="A220" s="1"/>
      <c r="B220" s="46"/>
      <c r="C220" s="1"/>
      <c r="D220" s="1"/>
      <c r="E220" s="1"/>
      <c r="F220" s="66"/>
      <c r="G220" s="1"/>
      <c r="H220" s="1"/>
      <c r="I220" s="66"/>
      <c r="J220" s="1"/>
      <c r="K220" s="1"/>
      <c r="L220" s="1"/>
      <c r="M220" s="1"/>
      <c r="N220" s="1"/>
      <c r="O220" s="1"/>
      <c r="P220" s="1"/>
      <c r="Q220" s="1"/>
      <c r="R220" s="1"/>
      <c r="S220" s="1"/>
      <c r="T220" s="1"/>
      <c r="U220" s="1"/>
      <c r="V220" s="1"/>
      <c r="W220" s="1"/>
      <c r="X220" s="1"/>
      <c r="Y220" s="1"/>
      <c r="Z220" s="1"/>
    </row>
    <row r="221" spans="1:26" ht="12.75" customHeight="1">
      <c r="A221" s="1"/>
      <c r="B221" s="46"/>
      <c r="C221" s="1"/>
      <c r="D221" s="1"/>
      <c r="E221" s="1"/>
      <c r="F221" s="66"/>
      <c r="G221" s="1"/>
      <c r="H221" s="1"/>
      <c r="I221" s="66"/>
      <c r="J221" s="1"/>
      <c r="K221" s="1"/>
      <c r="L221" s="1"/>
      <c r="M221" s="1"/>
      <c r="N221" s="1"/>
      <c r="O221" s="1"/>
      <c r="P221" s="1"/>
      <c r="Q221" s="1"/>
      <c r="R221" s="1"/>
      <c r="S221" s="1"/>
      <c r="T221" s="1"/>
      <c r="U221" s="1"/>
      <c r="V221" s="1"/>
      <c r="W221" s="1"/>
      <c r="X221" s="1"/>
      <c r="Y221" s="1"/>
      <c r="Z221" s="1"/>
    </row>
    <row r="222" spans="1:26" ht="12.75" customHeight="1">
      <c r="A222" s="1"/>
      <c r="B222" s="46"/>
      <c r="C222" s="1"/>
      <c r="D222" s="1"/>
      <c r="E222" s="1"/>
      <c r="F222" s="66"/>
      <c r="G222" s="1"/>
      <c r="H222" s="1"/>
      <c r="I222" s="66"/>
      <c r="J222" s="1"/>
      <c r="K222" s="1"/>
      <c r="L222" s="1"/>
      <c r="M222" s="1"/>
      <c r="N222" s="1"/>
      <c r="O222" s="1"/>
      <c r="P222" s="1"/>
      <c r="Q222" s="1"/>
      <c r="R222" s="1"/>
      <c r="S222" s="1"/>
      <c r="T222" s="1"/>
      <c r="U222" s="1"/>
      <c r="V222" s="1"/>
      <c r="W222" s="1"/>
      <c r="X222" s="1"/>
      <c r="Y222" s="1"/>
      <c r="Z222" s="1"/>
    </row>
    <row r="223" spans="1:26" ht="12.75" customHeight="1">
      <c r="A223" s="1"/>
      <c r="B223" s="46"/>
      <c r="C223" s="1"/>
      <c r="D223" s="1"/>
      <c r="E223" s="1"/>
      <c r="F223" s="66"/>
      <c r="G223" s="1"/>
      <c r="H223" s="1"/>
      <c r="I223" s="66"/>
      <c r="J223" s="1"/>
      <c r="K223" s="1"/>
      <c r="L223" s="1"/>
      <c r="M223" s="1"/>
      <c r="N223" s="1"/>
      <c r="O223" s="1"/>
      <c r="P223" s="1"/>
      <c r="Q223" s="1"/>
      <c r="R223" s="1"/>
      <c r="S223" s="1"/>
      <c r="T223" s="1"/>
      <c r="U223" s="1"/>
      <c r="V223" s="1"/>
      <c r="W223" s="1"/>
      <c r="X223" s="1"/>
      <c r="Y223" s="1"/>
      <c r="Z223" s="1"/>
    </row>
    <row r="224" spans="1:26" ht="12.75" customHeight="1">
      <c r="A224" s="1"/>
      <c r="B224" s="46"/>
      <c r="C224" s="1"/>
      <c r="D224" s="1"/>
      <c r="E224" s="1"/>
      <c r="F224" s="66"/>
      <c r="G224" s="1"/>
      <c r="H224" s="1"/>
      <c r="I224" s="66"/>
      <c r="J224" s="1"/>
      <c r="K224" s="1"/>
      <c r="L224" s="1"/>
      <c r="M224" s="1"/>
      <c r="N224" s="1"/>
      <c r="O224" s="1"/>
      <c r="P224" s="1"/>
      <c r="Q224" s="1"/>
      <c r="R224" s="1"/>
      <c r="S224" s="1"/>
      <c r="T224" s="1"/>
      <c r="U224" s="1"/>
      <c r="V224" s="1"/>
      <c r="W224" s="1"/>
      <c r="X224" s="1"/>
      <c r="Y224" s="1"/>
      <c r="Z224" s="1"/>
    </row>
    <row r="225" spans="1:26" ht="12.75" customHeight="1">
      <c r="A225" s="1"/>
      <c r="B225" s="46"/>
      <c r="C225" s="1"/>
      <c r="D225" s="1"/>
      <c r="E225" s="1"/>
      <c r="F225" s="66"/>
      <c r="G225" s="1"/>
      <c r="H225" s="1"/>
      <c r="I225" s="66"/>
      <c r="J225" s="1"/>
      <c r="K225" s="1"/>
      <c r="L225" s="1"/>
      <c r="M225" s="1"/>
      <c r="N225" s="1"/>
      <c r="O225" s="1"/>
      <c r="P225" s="1"/>
      <c r="Q225" s="1"/>
      <c r="R225" s="1"/>
      <c r="S225" s="1"/>
      <c r="T225" s="1"/>
      <c r="U225" s="1"/>
      <c r="V225" s="1"/>
      <c r="W225" s="1"/>
      <c r="X225" s="1"/>
      <c r="Y225" s="1"/>
      <c r="Z225" s="1"/>
    </row>
    <row r="226" spans="1:26" ht="12.75" customHeight="1">
      <c r="A226" s="1"/>
      <c r="B226" s="46"/>
      <c r="C226" s="1"/>
      <c r="D226" s="1"/>
      <c r="E226" s="1"/>
      <c r="F226" s="66"/>
      <c r="G226" s="1"/>
      <c r="H226" s="1"/>
      <c r="I226" s="66"/>
      <c r="J226" s="1"/>
      <c r="K226" s="1"/>
      <c r="L226" s="1"/>
      <c r="M226" s="1"/>
      <c r="N226" s="1"/>
      <c r="O226" s="1"/>
      <c r="P226" s="1"/>
      <c r="Q226" s="1"/>
      <c r="R226" s="1"/>
      <c r="S226" s="1"/>
      <c r="T226" s="1"/>
      <c r="U226" s="1"/>
      <c r="V226" s="1"/>
      <c r="W226" s="1"/>
      <c r="X226" s="1"/>
      <c r="Y226" s="1"/>
      <c r="Z226" s="1"/>
    </row>
    <row r="227" spans="1:26" ht="12.75" customHeight="1">
      <c r="A227" s="1"/>
      <c r="B227" s="46"/>
      <c r="C227" s="1"/>
      <c r="D227" s="1"/>
      <c r="E227" s="1"/>
      <c r="F227" s="66"/>
      <c r="G227" s="1"/>
      <c r="H227" s="1"/>
      <c r="I227" s="66"/>
      <c r="J227" s="1"/>
      <c r="K227" s="1"/>
      <c r="L227" s="1"/>
      <c r="M227" s="1"/>
      <c r="N227" s="1"/>
      <c r="O227" s="1"/>
      <c r="P227" s="1"/>
      <c r="Q227" s="1"/>
      <c r="R227" s="1"/>
      <c r="S227" s="1"/>
      <c r="T227" s="1"/>
      <c r="U227" s="1"/>
      <c r="V227" s="1"/>
      <c r="W227" s="1"/>
      <c r="X227" s="1"/>
      <c r="Y227" s="1"/>
      <c r="Z227" s="1"/>
    </row>
    <row r="228" spans="1:26" ht="12.75" customHeight="1">
      <c r="A228" s="1"/>
      <c r="B228" s="46"/>
      <c r="C228" s="1"/>
      <c r="D228" s="1"/>
      <c r="E228" s="1"/>
      <c r="F228" s="66"/>
      <c r="G228" s="1"/>
      <c r="H228" s="1"/>
      <c r="I228" s="66"/>
      <c r="J228" s="1"/>
      <c r="K228" s="1"/>
      <c r="L228" s="1"/>
      <c r="M228" s="1"/>
      <c r="N228" s="1"/>
      <c r="O228" s="1"/>
      <c r="P228" s="1"/>
      <c r="Q228" s="1"/>
      <c r="R228" s="1"/>
      <c r="S228" s="1"/>
      <c r="T228" s="1"/>
      <c r="U228" s="1"/>
      <c r="V228" s="1"/>
      <c r="W228" s="1"/>
      <c r="X228" s="1"/>
      <c r="Y228" s="1"/>
      <c r="Z228" s="1"/>
    </row>
    <row r="229" spans="1:26" ht="12.75" customHeight="1">
      <c r="A229" s="1"/>
      <c r="B229" s="46"/>
      <c r="C229" s="1"/>
      <c r="D229" s="1"/>
      <c r="E229" s="1"/>
      <c r="F229" s="66"/>
      <c r="G229" s="1"/>
      <c r="H229" s="1"/>
      <c r="I229" s="66"/>
      <c r="J229" s="1"/>
      <c r="K229" s="1"/>
      <c r="L229" s="1"/>
      <c r="M229" s="1"/>
      <c r="N229" s="1"/>
      <c r="O229" s="1"/>
      <c r="P229" s="1"/>
      <c r="Q229" s="1"/>
      <c r="R229" s="1"/>
      <c r="S229" s="1"/>
      <c r="T229" s="1"/>
      <c r="U229" s="1"/>
      <c r="V229" s="1"/>
      <c r="W229" s="1"/>
      <c r="X229" s="1"/>
      <c r="Y229" s="1"/>
      <c r="Z229" s="1"/>
    </row>
    <row r="230" spans="1:26" ht="12.75" customHeight="1">
      <c r="A230" s="1"/>
      <c r="B230" s="46"/>
      <c r="C230" s="1"/>
      <c r="D230" s="1"/>
      <c r="E230" s="1"/>
      <c r="F230" s="66"/>
      <c r="G230" s="1"/>
      <c r="H230" s="1"/>
      <c r="I230" s="66"/>
      <c r="J230" s="1"/>
      <c r="K230" s="1"/>
      <c r="L230" s="1"/>
      <c r="M230" s="1"/>
      <c r="N230" s="1"/>
      <c r="O230" s="1"/>
      <c r="P230" s="1"/>
      <c r="Q230" s="1"/>
      <c r="R230" s="1"/>
      <c r="S230" s="1"/>
      <c r="T230" s="1"/>
      <c r="U230" s="1"/>
      <c r="V230" s="1"/>
      <c r="W230" s="1"/>
      <c r="X230" s="1"/>
      <c r="Y230" s="1"/>
      <c r="Z230" s="1"/>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4">
    <mergeCell ref="B9:C9"/>
    <mergeCell ref="B10:C10"/>
    <mergeCell ref="C13:G13"/>
    <mergeCell ref="C16:G16"/>
  </mergeCells>
  <pageMargins left="0.25" right="0.25" top="0.75" bottom="0.75" header="0.3" footer="0.3"/>
  <pageSetup paperSize="5" scale="46"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showGridLines="0" workbookViewId="0">
      <selection activeCell="O136" sqref="A1:O136"/>
    </sheetView>
  </sheetViews>
  <sheetFormatPr baseColWidth="10" defaultColWidth="12.5703125" defaultRowHeight="15" customHeight="1"/>
  <cols>
    <col min="1" max="1" width="2.140625" customWidth="1"/>
    <col min="2" max="2" width="34.140625" customWidth="1"/>
    <col min="3" max="3" width="46.140625" customWidth="1"/>
    <col min="4" max="4" width="26.28515625" customWidth="1"/>
    <col min="5" max="5" width="61.42578125" customWidth="1"/>
    <col min="6" max="6" width="27" customWidth="1"/>
    <col min="7" max="9" width="27.140625" customWidth="1"/>
    <col min="10" max="11" width="19.42578125" customWidth="1"/>
    <col min="12" max="12" width="18.7109375" customWidth="1"/>
    <col min="13" max="13" width="24" customWidth="1"/>
    <col min="14" max="26" width="11.42578125" customWidth="1"/>
  </cols>
  <sheetData>
    <row r="1" spans="1:26" ht="12.75" customHeight="1">
      <c r="A1" s="16"/>
      <c r="B1" s="16"/>
      <c r="C1" s="17"/>
      <c r="D1" s="16"/>
      <c r="E1" s="16"/>
      <c r="F1" s="16"/>
      <c r="G1" s="16"/>
      <c r="H1" s="16"/>
      <c r="I1" s="16"/>
      <c r="J1" s="16"/>
      <c r="K1" s="18"/>
      <c r="L1" s="16"/>
      <c r="M1" s="16"/>
      <c r="N1" s="16"/>
      <c r="O1" s="16"/>
      <c r="P1" s="16"/>
      <c r="Q1" s="16"/>
      <c r="R1" s="16"/>
      <c r="S1" s="16"/>
      <c r="T1" s="16"/>
      <c r="U1" s="16"/>
      <c r="V1" s="16"/>
      <c r="W1" s="16"/>
      <c r="X1" s="16"/>
      <c r="Y1" s="16"/>
      <c r="Z1" s="16"/>
    </row>
    <row r="2" spans="1:26" ht="12.75" customHeight="1">
      <c r="A2" s="16"/>
      <c r="B2" s="16"/>
      <c r="C2" s="17"/>
      <c r="D2" s="16"/>
      <c r="E2" s="16"/>
      <c r="F2" s="16"/>
      <c r="G2" s="16"/>
      <c r="H2" s="16"/>
      <c r="I2" s="16"/>
      <c r="J2" s="16"/>
      <c r="K2" s="18"/>
      <c r="L2" s="16"/>
      <c r="M2" s="16"/>
      <c r="N2" s="16"/>
      <c r="O2" s="16"/>
      <c r="P2" s="16"/>
      <c r="Q2" s="16"/>
      <c r="R2" s="16"/>
      <c r="S2" s="16"/>
      <c r="T2" s="16"/>
      <c r="U2" s="16"/>
      <c r="V2" s="16"/>
      <c r="W2" s="16"/>
      <c r="X2" s="16"/>
      <c r="Y2" s="16"/>
      <c r="Z2" s="16"/>
    </row>
    <row r="3" spans="1:26" ht="12.75" customHeight="1">
      <c r="A3" s="16"/>
      <c r="B3" s="16"/>
      <c r="C3" s="17"/>
      <c r="D3" s="16"/>
      <c r="E3" s="16"/>
      <c r="F3" s="16"/>
      <c r="G3" s="16"/>
      <c r="H3" s="16"/>
      <c r="I3" s="16"/>
      <c r="J3" s="16"/>
      <c r="K3" s="18"/>
      <c r="L3" s="16"/>
      <c r="M3" s="16"/>
      <c r="N3" s="16"/>
      <c r="O3" s="16"/>
      <c r="P3" s="16"/>
      <c r="Q3" s="16"/>
      <c r="R3" s="16"/>
      <c r="S3" s="16"/>
      <c r="T3" s="16"/>
      <c r="U3" s="16"/>
      <c r="V3" s="16"/>
      <c r="W3" s="16"/>
      <c r="X3" s="16"/>
      <c r="Y3" s="16"/>
      <c r="Z3" s="16"/>
    </row>
    <row r="4" spans="1:26" ht="12.75" customHeight="1">
      <c r="A4" s="16"/>
      <c r="B4" s="16"/>
      <c r="C4" s="17"/>
      <c r="D4" s="16"/>
      <c r="E4" s="16"/>
      <c r="F4" s="16"/>
      <c r="G4" s="16"/>
      <c r="H4" s="16"/>
      <c r="I4" s="16"/>
      <c r="J4" s="16"/>
      <c r="K4" s="18"/>
      <c r="L4" s="16"/>
      <c r="M4" s="16"/>
      <c r="N4" s="16"/>
      <c r="O4" s="16"/>
      <c r="P4" s="16"/>
      <c r="Q4" s="16"/>
      <c r="R4" s="16"/>
      <c r="S4" s="16"/>
      <c r="T4" s="16"/>
      <c r="U4" s="16"/>
      <c r="V4" s="16"/>
      <c r="W4" s="16"/>
      <c r="X4" s="16"/>
      <c r="Y4" s="16"/>
      <c r="Z4" s="16"/>
    </row>
    <row r="5" spans="1:26" ht="12.75" customHeight="1">
      <c r="A5" s="16"/>
      <c r="B5" s="16"/>
      <c r="C5" s="17"/>
      <c r="D5" s="16"/>
      <c r="E5" s="16"/>
      <c r="F5" s="16"/>
      <c r="G5" s="16"/>
      <c r="H5" s="16"/>
      <c r="I5" s="16"/>
      <c r="J5" s="16"/>
      <c r="K5" s="18"/>
      <c r="L5" s="16"/>
      <c r="M5" s="16"/>
      <c r="N5" s="16"/>
      <c r="O5" s="16"/>
      <c r="P5" s="16"/>
      <c r="Q5" s="16"/>
      <c r="R5" s="16"/>
      <c r="S5" s="16"/>
      <c r="T5" s="16"/>
      <c r="U5" s="16"/>
      <c r="V5" s="16"/>
      <c r="W5" s="16"/>
      <c r="X5" s="16"/>
      <c r="Y5" s="16"/>
      <c r="Z5" s="16"/>
    </row>
    <row r="6" spans="1:26" ht="12.75" customHeight="1">
      <c r="A6" s="16"/>
      <c r="B6" s="16"/>
      <c r="C6" s="17"/>
      <c r="D6" s="16"/>
      <c r="E6" s="16"/>
      <c r="F6" s="16"/>
      <c r="G6" s="16"/>
      <c r="H6" s="16"/>
      <c r="I6" s="16"/>
      <c r="J6" s="16"/>
      <c r="K6" s="18"/>
      <c r="L6" s="16"/>
      <c r="M6" s="16"/>
      <c r="N6" s="16"/>
      <c r="O6" s="16"/>
      <c r="P6" s="16"/>
      <c r="Q6" s="16"/>
      <c r="R6" s="16"/>
      <c r="S6" s="16"/>
      <c r="T6" s="16"/>
      <c r="U6" s="16"/>
      <c r="V6" s="16"/>
      <c r="W6" s="16"/>
      <c r="X6" s="16"/>
      <c r="Y6" s="16"/>
      <c r="Z6" s="16"/>
    </row>
    <row r="7" spans="1:26" ht="12.75" customHeight="1">
      <c r="A7" s="16"/>
      <c r="B7" s="16"/>
      <c r="C7" s="17"/>
      <c r="D7" s="16"/>
      <c r="E7" s="16"/>
      <c r="F7" s="16"/>
      <c r="G7" s="16"/>
      <c r="H7" s="16"/>
      <c r="I7" s="16"/>
      <c r="J7" s="16"/>
      <c r="K7" s="18"/>
      <c r="L7" s="16"/>
      <c r="M7" s="16"/>
      <c r="N7" s="16"/>
      <c r="O7" s="16"/>
      <c r="P7" s="16"/>
      <c r="Q7" s="16"/>
      <c r="R7" s="16"/>
      <c r="S7" s="16"/>
      <c r="T7" s="16"/>
      <c r="U7" s="16"/>
      <c r="V7" s="16"/>
      <c r="W7" s="16"/>
      <c r="X7" s="16"/>
      <c r="Y7" s="16"/>
      <c r="Z7" s="16"/>
    </row>
    <row r="8" spans="1:26" ht="12.75" customHeight="1">
      <c r="A8" s="16"/>
      <c r="B8" s="2" t="str">
        <f>'24.03.034'!B8</f>
        <v>4° Trimestre</v>
      </c>
      <c r="C8" s="3"/>
      <c r="D8" s="16"/>
      <c r="E8" s="16"/>
      <c r="F8" s="16"/>
      <c r="G8" s="16"/>
      <c r="H8" s="16"/>
      <c r="I8" s="16"/>
      <c r="J8" s="16"/>
      <c r="K8" s="18"/>
      <c r="L8" s="16"/>
      <c r="M8" s="16"/>
      <c r="N8" s="16"/>
      <c r="O8" s="16"/>
      <c r="P8" s="16"/>
      <c r="Q8" s="16"/>
      <c r="R8" s="16"/>
      <c r="S8" s="16"/>
      <c r="T8" s="16"/>
      <c r="U8" s="16"/>
      <c r="V8" s="16"/>
      <c r="W8" s="16"/>
      <c r="X8" s="16"/>
      <c r="Y8" s="16"/>
      <c r="Z8" s="16"/>
    </row>
    <row r="9" spans="1:26" ht="12.75" customHeight="1">
      <c r="A9" s="16"/>
      <c r="B9" s="110" t="s">
        <v>1</v>
      </c>
      <c r="C9" s="111"/>
      <c r="D9" s="16"/>
      <c r="E9" s="16"/>
      <c r="F9" s="16"/>
      <c r="G9" s="16"/>
      <c r="H9" s="16"/>
      <c r="I9" s="16"/>
      <c r="J9" s="16"/>
      <c r="K9" s="18"/>
      <c r="L9" s="16"/>
      <c r="M9" s="16"/>
      <c r="N9" s="16"/>
      <c r="O9" s="16"/>
      <c r="P9" s="16"/>
      <c r="Q9" s="16"/>
      <c r="R9" s="16"/>
      <c r="S9" s="16"/>
      <c r="T9" s="16"/>
      <c r="U9" s="16"/>
      <c r="V9" s="16"/>
      <c r="W9" s="16"/>
      <c r="X9" s="16"/>
      <c r="Y9" s="16"/>
      <c r="Z9" s="16"/>
    </row>
    <row r="10" spans="1:26" ht="12.75" customHeight="1">
      <c r="A10" s="16"/>
      <c r="B10" s="110" t="s">
        <v>22</v>
      </c>
      <c r="C10" s="111"/>
      <c r="D10" s="16"/>
      <c r="E10" s="16"/>
      <c r="F10" s="16"/>
      <c r="G10" s="16"/>
      <c r="H10" s="16"/>
      <c r="I10" s="16"/>
      <c r="J10" s="16"/>
      <c r="K10" s="18"/>
      <c r="L10" s="16"/>
      <c r="M10" s="16"/>
      <c r="N10" s="16"/>
      <c r="O10" s="16"/>
      <c r="P10" s="16"/>
      <c r="Q10" s="16"/>
      <c r="R10" s="16"/>
      <c r="S10" s="16"/>
      <c r="T10" s="16"/>
      <c r="U10" s="16"/>
      <c r="V10" s="16"/>
      <c r="W10" s="16"/>
      <c r="X10" s="16"/>
      <c r="Y10" s="16"/>
      <c r="Z10" s="16"/>
    </row>
    <row r="11" spans="1:26" ht="12.75" customHeight="1">
      <c r="A11" s="16"/>
      <c r="B11" s="110" t="s">
        <v>23</v>
      </c>
      <c r="C11" s="111"/>
      <c r="D11" s="16"/>
      <c r="E11" s="16"/>
      <c r="F11" s="16"/>
      <c r="G11" s="16"/>
      <c r="H11" s="16"/>
      <c r="I11" s="16"/>
      <c r="J11" s="16"/>
      <c r="K11" s="18"/>
      <c r="L11" s="16"/>
      <c r="M11" s="16"/>
      <c r="N11" s="16"/>
      <c r="O11" s="16"/>
      <c r="P11" s="16"/>
      <c r="Q11" s="16"/>
      <c r="R11" s="16"/>
      <c r="S11" s="16"/>
      <c r="T11" s="16"/>
      <c r="U11" s="16"/>
      <c r="V11" s="16"/>
      <c r="W11" s="16"/>
      <c r="X11" s="16"/>
      <c r="Y11" s="16"/>
      <c r="Z11" s="16"/>
    </row>
    <row r="12" spans="1:26" ht="12.75" customHeight="1">
      <c r="A12" s="16"/>
      <c r="B12" s="6" t="s">
        <v>24</v>
      </c>
      <c r="C12" s="6"/>
      <c r="D12" s="16"/>
      <c r="E12" s="16"/>
      <c r="F12" s="16"/>
      <c r="G12" s="16"/>
      <c r="H12" s="16"/>
      <c r="I12" s="16"/>
      <c r="J12" s="16"/>
      <c r="K12" s="18"/>
      <c r="L12" s="16"/>
      <c r="M12" s="16"/>
      <c r="N12" s="16"/>
      <c r="O12" s="16"/>
      <c r="P12" s="16"/>
      <c r="Q12" s="16"/>
      <c r="R12" s="16"/>
      <c r="S12" s="16"/>
      <c r="T12" s="16"/>
      <c r="U12" s="16"/>
      <c r="V12" s="16"/>
      <c r="W12" s="16"/>
      <c r="X12" s="16"/>
      <c r="Y12" s="16"/>
      <c r="Z12" s="16"/>
    </row>
    <row r="13" spans="1:26" ht="12.75" customHeight="1">
      <c r="A13" s="16"/>
      <c r="B13" s="5"/>
      <c r="C13" s="5"/>
      <c r="D13" s="16"/>
      <c r="E13" s="16"/>
      <c r="F13" s="16"/>
      <c r="G13" s="16"/>
      <c r="H13" s="16"/>
      <c r="I13" s="16"/>
      <c r="J13" s="16"/>
      <c r="K13" s="18"/>
      <c r="L13" s="16"/>
      <c r="M13" s="16"/>
      <c r="N13" s="16"/>
      <c r="O13" s="16"/>
      <c r="P13" s="16"/>
      <c r="Q13" s="16"/>
      <c r="R13" s="16"/>
      <c r="S13" s="16"/>
      <c r="T13" s="16"/>
      <c r="U13" s="16"/>
      <c r="V13" s="16"/>
      <c r="W13" s="16"/>
      <c r="X13" s="16"/>
      <c r="Y13" s="16"/>
      <c r="Z13" s="16"/>
    </row>
    <row r="14" spans="1:26" ht="115.5" customHeight="1">
      <c r="A14" s="16"/>
      <c r="B14" s="4" t="s">
        <v>5</v>
      </c>
      <c r="C14" s="114" t="s">
        <v>6</v>
      </c>
      <c r="D14" s="115"/>
      <c r="E14" s="115"/>
      <c r="F14" s="115"/>
      <c r="G14" s="116"/>
      <c r="H14" s="16"/>
      <c r="I14" s="16"/>
      <c r="J14" s="16"/>
      <c r="K14" s="18"/>
      <c r="L14" s="16"/>
      <c r="M14" s="16"/>
      <c r="N14" s="16"/>
      <c r="O14" s="16"/>
      <c r="P14" s="16"/>
      <c r="Q14" s="16"/>
      <c r="R14" s="16"/>
      <c r="S14" s="16"/>
      <c r="T14" s="16"/>
      <c r="U14" s="16"/>
      <c r="V14" s="16"/>
      <c r="W14" s="16"/>
      <c r="X14" s="16"/>
      <c r="Y14" s="16"/>
      <c r="Z14" s="16"/>
    </row>
    <row r="15" spans="1:26" ht="12.75" customHeight="1">
      <c r="A15" s="16"/>
      <c r="B15" s="5"/>
      <c r="C15" s="5"/>
      <c r="D15" s="1"/>
      <c r="E15" s="1"/>
      <c r="F15" s="1"/>
      <c r="G15" s="1"/>
      <c r="H15" s="16"/>
      <c r="I15" s="16"/>
      <c r="J15" s="16"/>
      <c r="K15" s="18"/>
      <c r="L15" s="16"/>
      <c r="M15" s="16"/>
      <c r="N15" s="16"/>
      <c r="O15" s="16"/>
      <c r="P15" s="16"/>
      <c r="Q15" s="16"/>
      <c r="R15" s="16"/>
      <c r="S15" s="16"/>
      <c r="T15" s="16"/>
      <c r="U15" s="16"/>
      <c r="V15" s="16"/>
      <c r="W15" s="16"/>
      <c r="X15" s="16"/>
      <c r="Y15" s="16"/>
      <c r="Z15" s="16"/>
    </row>
    <row r="16" spans="1:26" ht="12.75" customHeight="1">
      <c r="A16" s="16"/>
      <c r="B16" s="5"/>
      <c r="C16" s="5"/>
      <c r="D16" s="1"/>
      <c r="E16" s="1"/>
      <c r="F16" s="1"/>
      <c r="G16" s="1"/>
      <c r="H16" s="16"/>
      <c r="I16" s="16"/>
      <c r="J16" s="16"/>
      <c r="K16" s="18"/>
      <c r="L16" s="16"/>
      <c r="M16" s="16"/>
      <c r="N16" s="16"/>
      <c r="O16" s="16"/>
      <c r="P16" s="16"/>
      <c r="Q16" s="16"/>
      <c r="R16" s="16"/>
      <c r="S16" s="16"/>
      <c r="T16" s="16"/>
      <c r="U16" s="16"/>
      <c r="V16" s="16"/>
      <c r="W16" s="16"/>
      <c r="X16" s="16"/>
      <c r="Y16" s="16"/>
      <c r="Z16" s="16"/>
    </row>
    <row r="17" spans="1:26" ht="55.5" customHeight="1">
      <c r="A17" s="16"/>
      <c r="B17" s="4" t="s">
        <v>7</v>
      </c>
      <c r="C17" s="114" t="s">
        <v>8</v>
      </c>
      <c r="D17" s="115"/>
      <c r="E17" s="115"/>
      <c r="F17" s="115"/>
      <c r="G17" s="116"/>
      <c r="H17" s="16"/>
      <c r="I17" s="16"/>
      <c r="J17" s="16"/>
      <c r="K17" s="18"/>
      <c r="L17" s="16"/>
      <c r="M17" s="16"/>
      <c r="N17" s="16"/>
      <c r="O17" s="16"/>
      <c r="P17" s="16"/>
      <c r="Q17" s="16"/>
      <c r="R17" s="16"/>
      <c r="S17" s="16"/>
      <c r="T17" s="16"/>
      <c r="U17" s="16"/>
      <c r="V17" s="16"/>
      <c r="W17" s="16"/>
      <c r="X17" s="16"/>
      <c r="Y17" s="16"/>
      <c r="Z17" s="16"/>
    </row>
    <row r="18" spans="1:26" ht="12.75" customHeight="1">
      <c r="A18" s="16"/>
      <c r="B18" s="6"/>
      <c r="C18" s="5"/>
      <c r="D18" s="16"/>
      <c r="E18" s="16"/>
      <c r="F18" s="16"/>
      <c r="G18" s="16"/>
      <c r="H18" s="16"/>
      <c r="I18" s="16"/>
      <c r="J18" s="16"/>
      <c r="K18" s="18"/>
      <c r="L18" s="16"/>
      <c r="M18" s="16"/>
      <c r="N18" s="16"/>
      <c r="O18" s="16"/>
      <c r="P18" s="16"/>
      <c r="Q18" s="16"/>
      <c r="R18" s="16"/>
      <c r="S18" s="16"/>
      <c r="T18" s="16"/>
      <c r="U18" s="16"/>
      <c r="V18" s="16"/>
      <c r="W18" s="16"/>
      <c r="X18" s="16"/>
      <c r="Y18" s="16"/>
      <c r="Z18" s="16"/>
    </row>
    <row r="19" spans="1:26" ht="12.75" customHeight="1">
      <c r="A19" s="16"/>
      <c r="B19" s="16"/>
      <c r="C19" s="17"/>
      <c r="D19" s="16"/>
      <c r="E19" s="16"/>
      <c r="F19" s="16"/>
      <c r="G19" s="16"/>
      <c r="H19" s="16"/>
      <c r="I19" s="16"/>
      <c r="J19" s="16"/>
      <c r="K19" s="18"/>
      <c r="L19" s="16"/>
      <c r="M19" s="16"/>
      <c r="N19" s="16"/>
      <c r="O19" s="16"/>
      <c r="P19" s="16"/>
      <c r="Q19" s="16"/>
      <c r="R19" s="16"/>
      <c r="S19" s="16"/>
      <c r="T19" s="16"/>
      <c r="U19" s="16"/>
      <c r="V19" s="16"/>
      <c r="W19" s="16"/>
      <c r="X19" s="16"/>
      <c r="Y19" s="16"/>
      <c r="Z19" s="16"/>
    </row>
    <row r="20" spans="1:26" ht="12.75" customHeight="1">
      <c r="A20" s="16"/>
      <c r="B20" s="19"/>
      <c r="C20" s="20"/>
      <c r="D20" s="19"/>
      <c r="E20" s="19"/>
      <c r="F20" s="19"/>
      <c r="G20" s="19"/>
      <c r="H20" s="19"/>
      <c r="I20" s="19"/>
      <c r="J20" s="19"/>
      <c r="K20" s="21"/>
      <c r="L20" s="19"/>
      <c r="M20" s="19"/>
      <c r="N20" s="16"/>
      <c r="O20" s="16"/>
      <c r="P20" s="16"/>
      <c r="Q20" s="16"/>
      <c r="R20" s="16"/>
      <c r="S20" s="16"/>
      <c r="T20" s="16"/>
      <c r="U20" s="16"/>
      <c r="V20" s="16"/>
      <c r="W20" s="16"/>
      <c r="X20" s="16"/>
      <c r="Y20" s="16"/>
      <c r="Z20" s="16"/>
    </row>
    <row r="21" spans="1:26" ht="30.75" customHeight="1">
      <c r="A21" s="22"/>
      <c r="B21" s="7" t="s">
        <v>10</v>
      </c>
      <c r="C21" s="7" t="s">
        <v>9</v>
      </c>
      <c r="D21" s="7" t="s">
        <v>11</v>
      </c>
      <c r="E21" s="7" t="s">
        <v>12</v>
      </c>
      <c r="F21" s="7" t="s">
        <v>13</v>
      </c>
      <c r="G21" s="7" t="s">
        <v>14</v>
      </c>
      <c r="H21" s="7" t="s">
        <v>15</v>
      </c>
      <c r="I21" s="8" t="s">
        <v>16</v>
      </c>
      <c r="J21" s="7" t="s">
        <v>17</v>
      </c>
      <c r="K21" s="23" t="s">
        <v>18</v>
      </c>
      <c r="L21" s="7" t="s">
        <v>19</v>
      </c>
      <c r="M21" s="7" t="s">
        <v>20</v>
      </c>
      <c r="N21" s="24"/>
      <c r="O21" s="16"/>
      <c r="P21" s="16"/>
      <c r="Q21" s="16"/>
      <c r="R21" s="16"/>
      <c r="S21" s="16"/>
      <c r="T21" s="16"/>
      <c r="U21" s="16"/>
      <c r="V21" s="16"/>
      <c r="W21" s="16"/>
      <c r="X21" s="16"/>
      <c r="Y21" s="16"/>
      <c r="Z21" s="16"/>
    </row>
    <row r="22" spans="1:26" ht="12.75" customHeight="1">
      <c r="A22" s="25"/>
      <c r="B22" s="10" t="str">
        <f ca="1">IFERROR(__xludf.DUMMYFUNCTION("IMPORTRANGE(""https://docs.google.com/spreadsheets/d/1326rdUM6oOTA_5T6U_eA-Yqy4OMk6d_RGd_Z1bKVaC8/edit#gid=1459860096"",""'24.03.602 DDM'!i10:i100"")"),"Cuentas Públicas Participativas Municipales")</f>
        <v>Cuentas Públicas Participativas Municipales</v>
      </c>
      <c r="C22" s="26" t="str">
        <f t="shared" ref="C22:C52" ca="1" si="0">MID(E22,17,30)</f>
        <v xml:space="preserve"> PICA</v>
      </c>
      <c r="D22" s="10" t="str">
        <f ca="1">IFERROR(__xludf.DUMMYFUNCTION("IMPORTRANGE(""https://docs.google.com/spreadsheets/d/1326rdUM6oOTA_5T6U_eA-Yqy4OMk6d_RGd_Z1bKVaC8/edit#gid=1459860096"",""'24.03.602 DDM'!k10:k100"")"),"Resolución de Transferencia")</f>
        <v>Resolución de Transferencia</v>
      </c>
      <c r="E22" s="26" t="str">
        <f ca="1">IFERROR(__xludf.DUMMYFUNCTION("IMPORTRANGE(""https://docs.google.com/spreadsheets/d/1326rdUM6oOTA_5T6U_eA-Yqy4OMk6d_RGd_Z1bKVaC8/edit#gid=1459860096"",""'24.03.602 DDM'!f10:f100"")"),"MUNICIPALIDAD DE PICA")</f>
        <v>MUNICIPALIDAD DE PICA</v>
      </c>
      <c r="F22" s="11">
        <f ca="1">IFERROR(__xludf.DUMMYFUNCTION("IMPORTRANGE(""https://docs.google.com/spreadsheets/d/1326rdUM6oOTA_5T6U_eA-Yqy4OMk6d_RGd_Z1bKVaC8/edit#gid=1459860096"",""'24.03.602 DDM'!p10:p100"")"),5000000)</f>
        <v>5000000</v>
      </c>
      <c r="G22" s="10" t="str">
        <f ca="1">IFERROR(__xludf.DUMMYFUNCTION("IMPORTRANGE(""https://docs.google.com/spreadsheets/d/1326rdUM6oOTA_5T6U_eA-Yqy4OMk6d_RGd_Z1bKVaC8/edit#gid=1459860096"",""'24.03.602 DDM'!j10:j100"")"),"Resolución")</f>
        <v>Resolución</v>
      </c>
      <c r="H22" s="10" t="str">
        <f ca="1">IFERROR(__xludf.DUMMYFUNCTION("IMPORTRANGE(""https://docs.google.com/spreadsheets/d/1326rdUM6oOTA_5T6U_eA-Yqy4OMk6d_RGd_Z1bKVaC8/edit#gid=1459860096"",""'24.03.602 DDM'!d10:d100"")"),"Apoyo tecnico y financiero para la elaboracion de la Cuenta Publica Participativa")</f>
        <v>Apoyo tecnico y financiero para la elaboracion de la Cuenta Publica Participativa</v>
      </c>
      <c r="I22" s="10" t="str">
        <f ca="1">IFERROR(__xludf.DUMMYFUNCTION("IMPORTRANGE(""https://docs.google.com/spreadsheets/d/1326rdUM6oOTA_5T6U_eA-Yqy4OMk6d_RGd_Z1bKVaC8/edit#gid=1459860096"",""'24.03.602 DDM'!o10:o100"")"),"Cumplir con normativa y reglamentos internos del programa en base a los objetivos.")</f>
        <v>Cumplir con normativa y reglamentos internos del programa en base a los objetivos.</v>
      </c>
      <c r="J22" s="11">
        <f ca="1">IFERROR(__xludf.DUMMYFUNCTION("IMPORTRANGE(""https://docs.google.com/spreadsheets/d/1326rdUM6oOTA_5T6U_eA-Yqy4OMk6d_RGd_Z1bKVaC8/edit#gid=1459860096"",""'24.03.602 DDM'!ad10:ad100"")"),5000000)</f>
        <v>5000000</v>
      </c>
      <c r="K22" s="27">
        <f ca="1">IFERROR(__xludf.DUMMYFUNCTION("IMPORTRANGE(""https://docs.google.com/spreadsheets/d/1326rdUM6oOTA_5T6U_eA-Yqy4OMk6d_RGd_Z1bKVaC8/edit#gid=1459860096"",""'24.03.602 DDM'!ae10:ae100"")"),1)</f>
        <v>1</v>
      </c>
      <c r="L22" s="28">
        <f ca="1">IFERROR(__xludf.DUMMYFUNCTION("IMPORTRANGE(""https://docs.google.com/spreadsheets/d/1326rdUM6oOTA_5T6U_eA-Yqy4OMk6d_RGd_Z1bKVaC8/edit#gid=1459860096"",""'24.03.602 DDM'!l10:l100"")"),1603)</f>
        <v>1603</v>
      </c>
      <c r="M22" s="10" t="str">
        <f ca="1">IFERROR(__xludf.DUMMYFUNCTION("IMPORTRANGE(""https://docs.google.com/spreadsheets/d/1326rdUM6oOTA_5T6U_eA-Yqy4OMk6d_RGd_Z1bKVaC8/edit#gid=1459860096"",""'24.03.602 DDM'!b10:b100"")"),"Programa Modernización Municipal")</f>
        <v>Programa Modernización Municipal</v>
      </c>
      <c r="N22" s="29"/>
      <c r="O22" s="30"/>
      <c r="P22" s="30"/>
      <c r="Q22" s="30"/>
      <c r="R22" s="30"/>
      <c r="S22" s="30"/>
      <c r="T22" s="30"/>
      <c r="U22" s="30"/>
      <c r="V22" s="30"/>
      <c r="W22" s="30"/>
      <c r="X22" s="30"/>
      <c r="Y22" s="30"/>
      <c r="Z22" s="30"/>
    </row>
    <row r="23" spans="1:26" ht="12.75" customHeight="1">
      <c r="A23" s="22"/>
      <c r="B23" s="10" t="str">
        <f ca="1">IFERROR(__xludf.DUMMYFUNCTION("""COMPUTED_VALUE"""),"Cuentas Públicas Participativas Municipales")</f>
        <v>Cuentas Públicas Participativas Municipales</v>
      </c>
      <c r="C23" s="26" t="str">
        <f t="shared" ca="1" si="0"/>
        <v xml:space="preserve"> TOCOPILLA</v>
      </c>
      <c r="D23" s="10" t="str">
        <f ca="1">IFERROR(__xludf.DUMMYFUNCTION("""COMPUTED_VALUE"""),"Resolución de Transferencia")</f>
        <v>Resolución de Transferencia</v>
      </c>
      <c r="E23" s="26" t="str">
        <f ca="1">IFERROR(__xludf.DUMMYFUNCTION("""COMPUTED_VALUE"""),"MUNICIPALIDAD DE TOCOPILLA")</f>
        <v>MUNICIPALIDAD DE TOCOPILLA</v>
      </c>
      <c r="F23" s="11">
        <f ca="1">IFERROR(__xludf.DUMMYFUNCTION("""COMPUTED_VALUE"""),5000000)</f>
        <v>5000000</v>
      </c>
      <c r="G23" s="10" t="str">
        <f ca="1">IFERROR(__xludf.DUMMYFUNCTION("""COMPUTED_VALUE"""),"Resolución")</f>
        <v>Resolución</v>
      </c>
      <c r="H23" s="10" t="str">
        <f ca="1">IFERROR(__xludf.DUMMYFUNCTION("""COMPUTED_VALUE"""),"Apoyo tecnico y financiero para la elaboracion de la Cuenta Publica Participativa")</f>
        <v>Apoyo tecnico y financiero para la elaboracion de la Cuenta Publica Participativa</v>
      </c>
      <c r="I23" s="10" t="str">
        <f ca="1">IFERROR(__xludf.DUMMYFUNCTION("""COMPUTED_VALUE"""),"Cumplir con normativa y reglamentos internos del programa en base a los objetivos.")</f>
        <v>Cumplir con normativa y reglamentos internos del programa en base a los objetivos.</v>
      </c>
      <c r="J23" s="11">
        <f ca="1">IFERROR(__xludf.DUMMYFUNCTION("""COMPUTED_VALUE"""),5000000)</f>
        <v>5000000</v>
      </c>
      <c r="K23" s="27">
        <f ca="1">IFERROR(__xludf.DUMMYFUNCTION("""COMPUTED_VALUE"""),1)</f>
        <v>1</v>
      </c>
      <c r="L23" s="28">
        <f ca="1">IFERROR(__xludf.DUMMYFUNCTION("""COMPUTED_VALUE"""),1603)</f>
        <v>1603</v>
      </c>
      <c r="M23" s="10" t="str">
        <f ca="1">IFERROR(__xludf.DUMMYFUNCTION("""COMPUTED_VALUE"""),"Programa Modernización Municipal")</f>
        <v>Programa Modernización Municipal</v>
      </c>
      <c r="N23" s="24"/>
      <c r="O23" s="16"/>
      <c r="P23" s="16"/>
      <c r="Q23" s="16"/>
      <c r="R23" s="16"/>
      <c r="S23" s="16"/>
      <c r="T23" s="16"/>
      <c r="U23" s="16"/>
      <c r="V23" s="16"/>
      <c r="W23" s="16"/>
      <c r="X23" s="16"/>
      <c r="Y23" s="16"/>
      <c r="Z23" s="16"/>
    </row>
    <row r="24" spans="1:26" ht="12.75" customHeight="1">
      <c r="A24" s="22"/>
      <c r="B24" s="10" t="str">
        <f ca="1">IFERROR(__xludf.DUMMYFUNCTION("""COMPUTED_VALUE"""),"Cuentas Públicas Participativas Municipales")</f>
        <v>Cuentas Públicas Participativas Municipales</v>
      </c>
      <c r="C24" s="26" t="str">
        <f t="shared" ca="1" si="0"/>
        <v xml:space="preserve"> CALDERA</v>
      </c>
      <c r="D24" s="10" t="str">
        <f ca="1">IFERROR(__xludf.DUMMYFUNCTION("""COMPUTED_VALUE"""),"Resolución de Transferencia")</f>
        <v>Resolución de Transferencia</v>
      </c>
      <c r="E24" s="26" t="str">
        <f ca="1">IFERROR(__xludf.DUMMYFUNCTION("""COMPUTED_VALUE"""),"MUNICIPALIDAD DE CALDERA")</f>
        <v>MUNICIPALIDAD DE CALDERA</v>
      </c>
      <c r="F24" s="11">
        <f ca="1">IFERROR(__xludf.DUMMYFUNCTION("""COMPUTED_VALUE"""),5000000)</f>
        <v>5000000</v>
      </c>
      <c r="G24" s="10" t="str">
        <f ca="1">IFERROR(__xludf.DUMMYFUNCTION("""COMPUTED_VALUE"""),"Resolución")</f>
        <v>Resolución</v>
      </c>
      <c r="H24" s="10" t="str">
        <f ca="1">IFERROR(__xludf.DUMMYFUNCTION("""COMPUTED_VALUE"""),"Apoyo tecnico y financiero para la elaboracion de la Cuenta Publica Participativa")</f>
        <v>Apoyo tecnico y financiero para la elaboracion de la Cuenta Publica Participativa</v>
      </c>
      <c r="I24" s="10" t="str">
        <f ca="1">IFERROR(__xludf.DUMMYFUNCTION("""COMPUTED_VALUE"""),"Cumplir con normativa y reglamentos internos del programa en base a los objetivos.")</f>
        <v>Cumplir con normativa y reglamentos internos del programa en base a los objetivos.</v>
      </c>
      <c r="J24" s="11">
        <f ca="1">IFERROR(__xludf.DUMMYFUNCTION("""COMPUTED_VALUE"""),5000000)</f>
        <v>5000000</v>
      </c>
      <c r="K24" s="27">
        <f ca="1">IFERROR(__xludf.DUMMYFUNCTION("""COMPUTED_VALUE"""),1)</f>
        <v>1</v>
      </c>
      <c r="L24" s="28">
        <f ca="1">IFERROR(__xludf.DUMMYFUNCTION("""COMPUTED_VALUE"""),1603)</f>
        <v>1603</v>
      </c>
      <c r="M24" s="10" t="str">
        <f ca="1">IFERROR(__xludf.DUMMYFUNCTION("""COMPUTED_VALUE"""),"Programa Modernización Municipal")</f>
        <v>Programa Modernización Municipal</v>
      </c>
      <c r="N24" s="24"/>
      <c r="O24" s="16"/>
      <c r="P24" s="16"/>
      <c r="Q24" s="16"/>
      <c r="R24" s="16"/>
      <c r="S24" s="16"/>
      <c r="T24" s="16"/>
      <c r="U24" s="16"/>
      <c r="V24" s="16"/>
      <c r="W24" s="16"/>
      <c r="X24" s="16"/>
      <c r="Y24" s="16"/>
      <c r="Z24" s="16"/>
    </row>
    <row r="25" spans="1:26" ht="12.75" customHeight="1">
      <c r="A25" s="22"/>
      <c r="B25" s="10" t="str">
        <f ca="1">IFERROR(__xludf.DUMMYFUNCTION("""COMPUTED_VALUE"""),"Cuentas Públicas Participativas Municipales")</f>
        <v>Cuentas Públicas Participativas Municipales</v>
      </c>
      <c r="C25" s="26" t="str">
        <f t="shared" ca="1" si="0"/>
        <v xml:space="preserve"> VICUÑA</v>
      </c>
      <c r="D25" s="10" t="str">
        <f ca="1">IFERROR(__xludf.DUMMYFUNCTION("""COMPUTED_VALUE"""),"Resolución de Transferencia")</f>
        <v>Resolución de Transferencia</v>
      </c>
      <c r="E25" s="26" t="str">
        <f ca="1">IFERROR(__xludf.DUMMYFUNCTION("""COMPUTED_VALUE"""),"MUNICIPALIDAD DE VICUÑA")</f>
        <v>MUNICIPALIDAD DE VICUÑA</v>
      </c>
      <c r="F25" s="11">
        <f ca="1">IFERROR(__xludf.DUMMYFUNCTION("""COMPUTED_VALUE"""),5000000)</f>
        <v>5000000</v>
      </c>
      <c r="G25" s="10" t="str">
        <f ca="1">IFERROR(__xludf.DUMMYFUNCTION("""COMPUTED_VALUE"""),"Resolución")</f>
        <v>Resolución</v>
      </c>
      <c r="H25" s="10" t="str">
        <f ca="1">IFERROR(__xludf.DUMMYFUNCTION("""COMPUTED_VALUE"""),"Apoyo tecnico y financiero para la elaboracion de la Cuenta Publica Participativa")</f>
        <v>Apoyo tecnico y financiero para la elaboracion de la Cuenta Publica Participativa</v>
      </c>
      <c r="I25" s="10" t="str">
        <f ca="1">IFERROR(__xludf.DUMMYFUNCTION("""COMPUTED_VALUE"""),"Cumplir con normativa y reglamentos internos del programa en base a los objetivos.")</f>
        <v>Cumplir con normativa y reglamentos internos del programa en base a los objetivos.</v>
      </c>
      <c r="J25" s="11">
        <f ca="1">IFERROR(__xludf.DUMMYFUNCTION("""COMPUTED_VALUE"""),5000000)</f>
        <v>5000000</v>
      </c>
      <c r="K25" s="27">
        <f ca="1">IFERROR(__xludf.DUMMYFUNCTION("""COMPUTED_VALUE"""),1)</f>
        <v>1</v>
      </c>
      <c r="L25" s="28">
        <f ca="1">IFERROR(__xludf.DUMMYFUNCTION("""COMPUTED_VALUE"""),1603)</f>
        <v>1603</v>
      </c>
      <c r="M25" s="10" t="str">
        <f ca="1">IFERROR(__xludf.DUMMYFUNCTION("""COMPUTED_VALUE"""),"Programa Modernización Municipal")</f>
        <v>Programa Modernización Municipal</v>
      </c>
      <c r="N25" s="24"/>
      <c r="O25" s="16"/>
      <c r="P25" s="16"/>
      <c r="Q25" s="16"/>
      <c r="R25" s="16"/>
      <c r="S25" s="16"/>
      <c r="T25" s="16"/>
      <c r="U25" s="16"/>
      <c r="V25" s="16"/>
      <c r="W25" s="16"/>
      <c r="X25" s="16"/>
      <c r="Y25" s="16"/>
      <c r="Z25" s="16"/>
    </row>
    <row r="26" spans="1:26" ht="12.75" customHeight="1">
      <c r="A26" s="22"/>
      <c r="B26" s="10" t="str">
        <f ca="1">IFERROR(__xludf.DUMMYFUNCTION("""COMPUTED_VALUE"""),"Cuentas Públicas Participativas Municipales")</f>
        <v>Cuentas Públicas Participativas Municipales</v>
      </c>
      <c r="C26" s="26" t="str">
        <f t="shared" ca="1" si="0"/>
        <v xml:space="preserve"> CATEMU</v>
      </c>
      <c r="D26" s="10" t="str">
        <f ca="1">IFERROR(__xludf.DUMMYFUNCTION("""COMPUTED_VALUE"""),"Resolución de Transferencia")</f>
        <v>Resolución de Transferencia</v>
      </c>
      <c r="E26" s="26" t="str">
        <f ca="1">IFERROR(__xludf.DUMMYFUNCTION("""COMPUTED_VALUE"""),"MUNICIPALIDAD DE CATEMU")</f>
        <v>MUNICIPALIDAD DE CATEMU</v>
      </c>
      <c r="F26" s="11">
        <f ca="1">IFERROR(__xludf.DUMMYFUNCTION("""COMPUTED_VALUE"""),5000000)</f>
        <v>5000000</v>
      </c>
      <c r="G26" s="10" t="str">
        <f ca="1">IFERROR(__xludf.DUMMYFUNCTION("""COMPUTED_VALUE"""),"Resolución")</f>
        <v>Resolución</v>
      </c>
      <c r="H26" s="10" t="str">
        <f ca="1">IFERROR(__xludf.DUMMYFUNCTION("""COMPUTED_VALUE"""),"Apoyo tecnico y financiero para la elaboracion de la Cuenta Publica Participativa")</f>
        <v>Apoyo tecnico y financiero para la elaboracion de la Cuenta Publica Participativa</v>
      </c>
      <c r="I26" s="10" t="str">
        <f ca="1">IFERROR(__xludf.DUMMYFUNCTION("""COMPUTED_VALUE"""),"Cumplir con normativa y reglamentos internos del programa en base a los objetivos.")</f>
        <v>Cumplir con normativa y reglamentos internos del programa en base a los objetivos.</v>
      </c>
      <c r="J26" s="11">
        <f ca="1">IFERROR(__xludf.DUMMYFUNCTION("""COMPUTED_VALUE"""),5000000)</f>
        <v>5000000</v>
      </c>
      <c r="K26" s="27">
        <f ca="1">IFERROR(__xludf.DUMMYFUNCTION("""COMPUTED_VALUE"""),1)</f>
        <v>1</v>
      </c>
      <c r="L26" s="28">
        <f ca="1">IFERROR(__xludf.DUMMYFUNCTION("""COMPUTED_VALUE"""),1603)</f>
        <v>1603</v>
      </c>
      <c r="M26" s="10" t="str">
        <f ca="1">IFERROR(__xludf.DUMMYFUNCTION("""COMPUTED_VALUE"""),"Programa Modernización Municipal")</f>
        <v>Programa Modernización Municipal</v>
      </c>
      <c r="N26" s="24"/>
      <c r="O26" s="16"/>
      <c r="P26" s="16"/>
      <c r="Q26" s="16"/>
      <c r="R26" s="16"/>
      <c r="S26" s="16"/>
      <c r="T26" s="16"/>
      <c r="U26" s="16"/>
      <c r="V26" s="16"/>
      <c r="W26" s="16"/>
      <c r="X26" s="16"/>
      <c r="Y26" s="16"/>
      <c r="Z26" s="16"/>
    </row>
    <row r="27" spans="1:26" ht="12.75" customHeight="1">
      <c r="A27" s="22"/>
      <c r="B27" s="10" t="str">
        <f ca="1">IFERROR(__xludf.DUMMYFUNCTION("""COMPUTED_VALUE"""),"Cuentas Públicas Participativas Municipales")</f>
        <v>Cuentas Públicas Participativas Municipales</v>
      </c>
      <c r="C27" s="26" t="str">
        <f t="shared" ca="1" si="0"/>
        <v xml:space="preserve"> CONSTITUCIÓN</v>
      </c>
      <c r="D27" s="10" t="str">
        <f ca="1">IFERROR(__xludf.DUMMYFUNCTION("""COMPUTED_VALUE"""),"Resolución de Transferencia")</f>
        <v>Resolución de Transferencia</v>
      </c>
      <c r="E27" s="26" t="str">
        <f ca="1">IFERROR(__xludf.DUMMYFUNCTION("""COMPUTED_VALUE"""),"MUNICIPALIDAD DE CONSTITUCIÓN")</f>
        <v>MUNICIPALIDAD DE CONSTITUCIÓN</v>
      </c>
      <c r="F27" s="11">
        <f ca="1">IFERROR(__xludf.DUMMYFUNCTION("""COMPUTED_VALUE"""),5000000)</f>
        <v>5000000</v>
      </c>
      <c r="G27" s="10" t="str">
        <f ca="1">IFERROR(__xludf.DUMMYFUNCTION("""COMPUTED_VALUE"""),"Resolución")</f>
        <v>Resolución</v>
      </c>
      <c r="H27" s="10" t="str">
        <f ca="1">IFERROR(__xludf.DUMMYFUNCTION("""COMPUTED_VALUE"""),"Apoyo tecnico y financiero para la elaboracion de la Cuenta Publica Participativa")</f>
        <v>Apoyo tecnico y financiero para la elaboracion de la Cuenta Publica Participativa</v>
      </c>
      <c r="I27" s="10" t="str">
        <f ca="1">IFERROR(__xludf.DUMMYFUNCTION("""COMPUTED_VALUE"""),"Cumplir con normativa y reglamentos internos del programa en base a los objetivos.")</f>
        <v>Cumplir con normativa y reglamentos internos del programa en base a los objetivos.</v>
      </c>
      <c r="J27" s="11">
        <f ca="1">IFERROR(__xludf.DUMMYFUNCTION("""COMPUTED_VALUE"""),5000000)</f>
        <v>5000000</v>
      </c>
      <c r="K27" s="27">
        <f ca="1">IFERROR(__xludf.DUMMYFUNCTION("""COMPUTED_VALUE"""),1)</f>
        <v>1</v>
      </c>
      <c r="L27" s="28">
        <f ca="1">IFERROR(__xludf.DUMMYFUNCTION("""COMPUTED_VALUE"""),1603)</f>
        <v>1603</v>
      </c>
      <c r="M27" s="10" t="str">
        <f ca="1">IFERROR(__xludf.DUMMYFUNCTION("""COMPUTED_VALUE"""),"Programa Modernización Municipal")</f>
        <v>Programa Modernización Municipal</v>
      </c>
      <c r="N27" s="24"/>
      <c r="O27" s="16"/>
      <c r="P27" s="16"/>
      <c r="Q27" s="16"/>
      <c r="R27" s="16"/>
      <c r="S27" s="16"/>
      <c r="T27" s="16"/>
      <c r="U27" s="16"/>
      <c r="V27" s="16"/>
      <c r="W27" s="16"/>
      <c r="X27" s="16"/>
      <c r="Y27" s="16"/>
      <c r="Z27" s="16"/>
    </row>
    <row r="28" spans="1:26" ht="12.75" customHeight="1">
      <c r="A28" s="22"/>
      <c r="B28" s="10" t="str">
        <f ca="1">IFERROR(__xludf.DUMMYFUNCTION("""COMPUTED_VALUE"""),"Cuentas Públicas Participativas Municipales")</f>
        <v>Cuentas Públicas Participativas Municipales</v>
      </c>
      <c r="C28" s="26" t="str">
        <f t="shared" ca="1" si="0"/>
        <v xml:space="preserve"> LEBU</v>
      </c>
      <c r="D28" s="10" t="str">
        <f ca="1">IFERROR(__xludf.DUMMYFUNCTION("""COMPUTED_VALUE"""),"Resolución de Transferencia")</f>
        <v>Resolución de Transferencia</v>
      </c>
      <c r="E28" s="26" t="str">
        <f ca="1">IFERROR(__xludf.DUMMYFUNCTION("""COMPUTED_VALUE"""),"MUNICIPALIDAD DE LEBU")</f>
        <v>MUNICIPALIDAD DE LEBU</v>
      </c>
      <c r="F28" s="11">
        <f ca="1">IFERROR(__xludf.DUMMYFUNCTION("""COMPUTED_VALUE"""),5000000)</f>
        <v>5000000</v>
      </c>
      <c r="G28" s="10" t="str">
        <f ca="1">IFERROR(__xludf.DUMMYFUNCTION("""COMPUTED_VALUE"""),"Resolución")</f>
        <v>Resolución</v>
      </c>
      <c r="H28" s="10" t="str">
        <f ca="1">IFERROR(__xludf.DUMMYFUNCTION("""COMPUTED_VALUE"""),"Apoyo tecnico y financiero para la elaboracion de la Cuenta Publica Participativa")</f>
        <v>Apoyo tecnico y financiero para la elaboracion de la Cuenta Publica Participativa</v>
      </c>
      <c r="I28" s="10" t="str">
        <f ca="1">IFERROR(__xludf.DUMMYFUNCTION("""COMPUTED_VALUE"""),"Cumplir con normativa y reglamentos internos del programa en base a los objetivos.")</f>
        <v>Cumplir con normativa y reglamentos internos del programa en base a los objetivos.</v>
      </c>
      <c r="J28" s="11">
        <f ca="1">IFERROR(__xludf.DUMMYFUNCTION("""COMPUTED_VALUE"""),5000000)</f>
        <v>5000000</v>
      </c>
      <c r="K28" s="27">
        <f ca="1">IFERROR(__xludf.DUMMYFUNCTION("""COMPUTED_VALUE"""),1)</f>
        <v>1</v>
      </c>
      <c r="L28" s="28">
        <f ca="1">IFERROR(__xludf.DUMMYFUNCTION("""COMPUTED_VALUE"""),1603)</f>
        <v>1603</v>
      </c>
      <c r="M28" s="10" t="str">
        <f ca="1">IFERROR(__xludf.DUMMYFUNCTION("""COMPUTED_VALUE"""),"Programa Modernización Municipal")</f>
        <v>Programa Modernización Municipal</v>
      </c>
      <c r="N28" s="24"/>
      <c r="O28" s="16"/>
      <c r="P28" s="16"/>
      <c r="Q28" s="16"/>
      <c r="R28" s="16"/>
      <c r="S28" s="16"/>
      <c r="T28" s="16"/>
      <c r="U28" s="16"/>
      <c r="V28" s="16"/>
      <c r="W28" s="16"/>
      <c r="X28" s="16"/>
      <c r="Y28" s="16"/>
      <c r="Z28" s="16"/>
    </row>
    <row r="29" spans="1:26" ht="12.75" customHeight="1">
      <c r="A29" s="22"/>
      <c r="B29" s="10" t="str">
        <f ca="1">IFERROR(__xludf.DUMMYFUNCTION("""COMPUTED_VALUE"""),"Cuentas Públicas Participativas Municipales")</f>
        <v>Cuentas Públicas Participativas Municipales</v>
      </c>
      <c r="C29" s="26" t="str">
        <f t="shared" ca="1" si="0"/>
        <v xml:space="preserve"> CURACO DE VÉLEZ</v>
      </c>
      <c r="D29" s="10" t="str">
        <f ca="1">IFERROR(__xludf.DUMMYFUNCTION("""COMPUTED_VALUE"""),"Resolución de Transferencia")</f>
        <v>Resolución de Transferencia</v>
      </c>
      <c r="E29" s="26" t="str">
        <f ca="1">IFERROR(__xludf.DUMMYFUNCTION("""COMPUTED_VALUE"""),"MUNICIPALIDAD DE CURACO DE VÉLEZ")</f>
        <v>MUNICIPALIDAD DE CURACO DE VÉLEZ</v>
      </c>
      <c r="F29" s="11">
        <f ca="1">IFERROR(__xludf.DUMMYFUNCTION("""COMPUTED_VALUE"""),5000000)</f>
        <v>5000000</v>
      </c>
      <c r="G29" s="10" t="str">
        <f ca="1">IFERROR(__xludf.DUMMYFUNCTION("""COMPUTED_VALUE"""),"Resolución")</f>
        <v>Resolución</v>
      </c>
      <c r="H29" s="10" t="str">
        <f ca="1">IFERROR(__xludf.DUMMYFUNCTION("""COMPUTED_VALUE"""),"Apoyo tecnico y financiero para la elaboracion de la Cuenta Publica Participativa")</f>
        <v>Apoyo tecnico y financiero para la elaboracion de la Cuenta Publica Participativa</v>
      </c>
      <c r="I29" s="10" t="str">
        <f ca="1">IFERROR(__xludf.DUMMYFUNCTION("""COMPUTED_VALUE"""),"Cumplir con normativa y reglamentos internos del programa en base a los objetivos.")</f>
        <v>Cumplir con normativa y reglamentos internos del programa en base a los objetivos.</v>
      </c>
      <c r="J29" s="11">
        <f ca="1">IFERROR(__xludf.DUMMYFUNCTION("""COMPUTED_VALUE"""),5000000)</f>
        <v>5000000</v>
      </c>
      <c r="K29" s="27">
        <f ca="1">IFERROR(__xludf.DUMMYFUNCTION("""COMPUTED_VALUE"""),1)</f>
        <v>1</v>
      </c>
      <c r="L29" s="28">
        <f ca="1">IFERROR(__xludf.DUMMYFUNCTION("""COMPUTED_VALUE"""),1603)</f>
        <v>1603</v>
      </c>
      <c r="M29" s="10" t="str">
        <f ca="1">IFERROR(__xludf.DUMMYFUNCTION("""COMPUTED_VALUE"""),"Programa Modernización Municipal")</f>
        <v>Programa Modernización Municipal</v>
      </c>
      <c r="N29" s="24"/>
      <c r="O29" s="16"/>
      <c r="P29" s="16"/>
      <c r="Q29" s="16"/>
      <c r="R29" s="16"/>
      <c r="S29" s="16"/>
      <c r="T29" s="16"/>
      <c r="U29" s="16"/>
      <c r="V29" s="16"/>
      <c r="W29" s="16"/>
      <c r="X29" s="16"/>
      <c r="Y29" s="16"/>
      <c r="Z29" s="16"/>
    </row>
    <row r="30" spans="1:26" ht="12.75" customHeight="1">
      <c r="A30" s="22"/>
      <c r="B30" s="10" t="str">
        <f ca="1">IFERROR(__xludf.DUMMYFUNCTION("""COMPUTED_VALUE"""),"Cuentas Públicas Participativas Municipales")</f>
        <v>Cuentas Públicas Participativas Municipales</v>
      </c>
      <c r="C30" s="26" t="str">
        <f t="shared" ca="1" si="0"/>
        <v xml:space="preserve"> GUAITECAS</v>
      </c>
      <c r="D30" s="10" t="str">
        <f ca="1">IFERROR(__xludf.DUMMYFUNCTION("""COMPUTED_VALUE"""),"Resolución de Transferencia")</f>
        <v>Resolución de Transferencia</v>
      </c>
      <c r="E30" s="26" t="str">
        <f ca="1">IFERROR(__xludf.DUMMYFUNCTION("""COMPUTED_VALUE"""),"MUNICIPALIDAD DE GUAITECAS")</f>
        <v>MUNICIPALIDAD DE GUAITECAS</v>
      </c>
      <c r="F30" s="11">
        <f ca="1">IFERROR(__xludf.DUMMYFUNCTION("""COMPUTED_VALUE"""),5000000)</f>
        <v>5000000</v>
      </c>
      <c r="G30" s="10" t="str">
        <f ca="1">IFERROR(__xludf.DUMMYFUNCTION("""COMPUTED_VALUE"""),"Resolución")</f>
        <v>Resolución</v>
      </c>
      <c r="H30" s="10" t="str">
        <f ca="1">IFERROR(__xludf.DUMMYFUNCTION("""COMPUTED_VALUE"""),"Apoyo tecnico y financiero para la elaboracion de la Cuenta Publica Participativa")</f>
        <v>Apoyo tecnico y financiero para la elaboracion de la Cuenta Publica Participativa</v>
      </c>
      <c r="I30" s="10" t="str">
        <f ca="1">IFERROR(__xludf.DUMMYFUNCTION("""COMPUTED_VALUE"""),"Cumplir con normativa y reglamentos internos del programa en base a los objetivos.")</f>
        <v>Cumplir con normativa y reglamentos internos del programa en base a los objetivos.</v>
      </c>
      <c r="J30" s="11">
        <f ca="1">IFERROR(__xludf.DUMMYFUNCTION("""COMPUTED_VALUE"""),5000000)</f>
        <v>5000000</v>
      </c>
      <c r="K30" s="27">
        <f ca="1">IFERROR(__xludf.DUMMYFUNCTION("""COMPUTED_VALUE"""),1)</f>
        <v>1</v>
      </c>
      <c r="L30" s="28">
        <f ca="1">IFERROR(__xludf.DUMMYFUNCTION("""COMPUTED_VALUE"""),1603)</f>
        <v>1603</v>
      </c>
      <c r="M30" s="10" t="str">
        <f ca="1">IFERROR(__xludf.DUMMYFUNCTION("""COMPUTED_VALUE"""),"Programa Modernización Municipal")</f>
        <v>Programa Modernización Municipal</v>
      </c>
      <c r="N30" s="24"/>
      <c r="O30" s="16"/>
      <c r="P30" s="16"/>
      <c r="Q30" s="16"/>
      <c r="R30" s="16"/>
      <c r="S30" s="16"/>
      <c r="T30" s="16"/>
      <c r="U30" s="16"/>
      <c r="V30" s="16"/>
      <c r="W30" s="16"/>
      <c r="X30" s="16"/>
      <c r="Y30" s="16"/>
      <c r="Z30" s="16"/>
    </row>
    <row r="31" spans="1:26" ht="12.75" customHeight="1">
      <c r="A31" s="22"/>
      <c r="B31" s="10" t="str">
        <f ca="1">IFERROR(__xludf.DUMMYFUNCTION("""COMPUTED_VALUE"""),"Cuentas Públicas Participativas Municipales")</f>
        <v>Cuentas Públicas Participativas Municipales</v>
      </c>
      <c r="C31" s="26" t="str">
        <f t="shared" ca="1" si="0"/>
        <v xml:space="preserve"> PORVENIR</v>
      </c>
      <c r="D31" s="10" t="str">
        <f ca="1">IFERROR(__xludf.DUMMYFUNCTION("""COMPUTED_VALUE"""),"Resolución de Transferencia")</f>
        <v>Resolución de Transferencia</v>
      </c>
      <c r="E31" s="26" t="str">
        <f ca="1">IFERROR(__xludf.DUMMYFUNCTION("""COMPUTED_VALUE"""),"MUNICIPALIDAD DE PORVENIR")</f>
        <v>MUNICIPALIDAD DE PORVENIR</v>
      </c>
      <c r="F31" s="11">
        <f ca="1">IFERROR(__xludf.DUMMYFUNCTION("""COMPUTED_VALUE"""),5000000)</f>
        <v>5000000</v>
      </c>
      <c r="G31" s="10" t="str">
        <f ca="1">IFERROR(__xludf.DUMMYFUNCTION("""COMPUTED_VALUE"""),"Resolución")</f>
        <v>Resolución</v>
      </c>
      <c r="H31" s="10" t="str">
        <f ca="1">IFERROR(__xludf.DUMMYFUNCTION("""COMPUTED_VALUE"""),"Apoyo tecnico y financiero para la elaboracion de la Cuenta Publica Participativa")</f>
        <v>Apoyo tecnico y financiero para la elaboracion de la Cuenta Publica Participativa</v>
      </c>
      <c r="I31" s="10" t="str">
        <f ca="1">IFERROR(__xludf.DUMMYFUNCTION("""COMPUTED_VALUE"""),"Cumplir con normativa y reglamentos internos del programa en base a los objetivos.")</f>
        <v>Cumplir con normativa y reglamentos internos del programa en base a los objetivos.</v>
      </c>
      <c r="J31" s="11">
        <f ca="1">IFERROR(__xludf.DUMMYFUNCTION("""COMPUTED_VALUE"""),5000000)</f>
        <v>5000000</v>
      </c>
      <c r="K31" s="27">
        <f ca="1">IFERROR(__xludf.DUMMYFUNCTION("""COMPUTED_VALUE"""),1)</f>
        <v>1</v>
      </c>
      <c r="L31" s="28">
        <f ca="1">IFERROR(__xludf.DUMMYFUNCTION("""COMPUTED_VALUE"""),1603)</f>
        <v>1603</v>
      </c>
      <c r="M31" s="10" t="str">
        <f ca="1">IFERROR(__xludf.DUMMYFUNCTION("""COMPUTED_VALUE"""),"Programa Modernización Municipal")</f>
        <v>Programa Modernización Municipal</v>
      </c>
      <c r="N31" s="24"/>
      <c r="O31" s="16"/>
      <c r="P31" s="16"/>
      <c r="Q31" s="16"/>
      <c r="R31" s="16"/>
      <c r="S31" s="16"/>
      <c r="T31" s="16"/>
      <c r="U31" s="16"/>
      <c r="V31" s="16"/>
      <c r="W31" s="16"/>
      <c r="X31" s="16"/>
      <c r="Y31" s="16"/>
      <c r="Z31" s="16"/>
    </row>
    <row r="32" spans="1:26" ht="12.75" customHeight="1">
      <c r="A32" s="22"/>
      <c r="B32" s="10" t="str">
        <f ca="1">IFERROR(__xludf.DUMMYFUNCTION("""COMPUTED_VALUE"""),"Cuentas Públicas Participativas Municipales")</f>
        <v>Cuentas Públicas Participativas Municipales</v>
      </c>
      <c r="C32" s="26" t="str">
        <f t="shared" ca="1" si="0"/>
        <v xml:space="preserve"> MÁFIL</v>
      </c>
      <c r="D32" s="10" t="str">
        <f ca="1">IFERROR(__xludf.DUMMYFUNCTION("""COMPUTED_VALUE"""),"Resolución de Transferencia")</f>
        <v>Resolución de Transferencia</v>
      </c>
      <c r="E32" s="26" t="str">
        <f ca="1">IFERROR(__xludf.DUMMYFUNCTION("""COMPUTED_VALUE"""),"MUNICIPALIDAD DE MÁFIL")</f>
        <v>MUNICIPALIDAD DE MÁFIL</v>
      </c>
      <c r="F32" s="11">
        <f ca="1">IFERROR(__xludf.DUMMYFUNCTION("""COMPUTED_VALUE"""),5000000)</f>
        <v>5000000</v>
      </c>
      <c r="G32" s="10" t="str">
        <f ca="1">IFERROR(__xludf.DUMMYFUNCTION("""COMPUTED_VALUE"""),"Resolución")</f>
        <v>Resolución</v>
      </c>
      <c r="H32" s="10" t="str">
        <f ca="1">IFERROR(__xludf.DUMMYFUNCTION("""COMPUTED_VALUE"""),"Apoyo tecnico y financiero para la elaboracion de la Cuenta Publica Participativa")</f>
        <v>Apoyo tecnico y financiero para la elaboracion de la Cuenta Publica Participativa</v>
      </c>
      <c r="I32" s="10" t="str">
        <f ca="1">IFERROR(__xludf.DUMMYFUNCTION("""COMPUTED_VALUE"""),"Cumplir con normativa y reglamentos internos del programa en base a los objetivos.")</f>
        <v>Cumplir con normativa y reglamentos internos del programa en base a los objetivos.</v>
      </c>
      <c r="J32" s="11">
        <f ca="1">IFERROR(__xludf.DUMMYFUNCTION("""COMPUTED_VALUE"""),5000000)</f>
        <v>5000000</v>
      </c>
      <c r="K32" s="27">
        <f ca="1">IFERROR(__xludf.DUMMYFUNCTION("""COMPUTED_VALUE"""),1)</f>
        <v>1</v>
      </c>
      <c r="L32" s="28">
        <f ca="1">IFERROR(__xludf.DUMMYFUNCTION("""COMPUTED_VALUE"""),1603)</f>
        <v>1603</v>
      </c>
      <c r="M32" s="10" t="str">
        <f ca="1">IFERROR(__xludf.DUMMYFUNCTION("""COMPUTED_VALUE"""),"Programa Modernización Municipal")</f>
        <v>Programa Modernización Municipal</v>
      </c>
      <c r="N32" s="24"/>
      <c r="O32" s="16"/>
      <c r="P32" s="16"/>
      <c r="Q32" s="16"/>
      <c r="R32" s="16"/>
      <c r="S32" s="16"/>
      <c r="T32" s="16"/>
      <c r="U32" s="16"/>
      <c r="V32" s="16"/>
      <c r="W32" s="16"/>
      <c r="X32" s="16"/>
      <c r="Y32" s="16"/>
      <c r="Z32" s="16"/>
    </row>
    <row r="33" spans="1:26" ht="12.75" customHeight="1">
      <c r="A33" s="22"/>
      <c r="B33" s="10" t="str">
        <f ca="1">IFERROR(__xludf.DUMMYFUNCTION("""COMPUTED_VALUE"""),"Cuentas Públicas Participativas Municipales")</f>
        <v>Cuentas Públicas Participativas Municipales</v>
      </c>
      <c r="C33" s="26" t="str">
        <f t="shared" ca="1" si="0"/>
        <v xml:space="preserve"> TREHUACO</v>
      </c>
      <c r="D33" s="10" t="str">
        <f ca="1">IFERROR(__xludf.DUMMYFUNCTION("""COMPUTED_VALUE"""),"Resolución de Transferencia")</f>
        <v>Resolución de Transferencia</v>
      </c>
      <c r="E33" s="26" t="str">
        <f ca="1">IFERROR(__xludf.DUMMYFUNCTION("""COMPUTED_VALUE"""),"MUNICIPALIDAD DE TREHUACO")</f>
        <v>MUNICIPALIDAD DE TREHUACO</v>
      </c>
      <c r="F33" s="11">
        <f ca="1">IFERROR(__xludf.DUMMYFUNCTION("""COMPUTED_VALUE"""),5000000)</f>
        <v>5000000</v>
      </c>
      <c r="G33" s="10" t="str">
        <f ca="1">IFERROR(__xludf.DUMMYFUNCTION("""COMPUTED_VALUE"""),"Resolución")</f>
        <v>Resolución</v>
      </c>
      <c r="H33" s="10" t="str">
        <f ca="1">IFERROR(__xludf.DUMMYFUNCTION("""COMPUTED_VALUE"""),"Apoyo tecnico y financiero para la elaboracion de la Cuenta Publica Participativa")</f>
        <v>Apoyo tecnico y financiero para la elaboracion de la Cuenta Publica Participativa</v>
      </c>
      <c r="I33" s="10" t="str">
        <f ca="1">IFERROR(__xludf.DUMMYFUNCTION("""COMPUTED_VALUE"""),"Cumplir con normativa y reglamentos internos del programa en base a los objetivos.")</f>
        <v>Cumplir con normativa y reglamentos internos del programa en base a los objetivos.</v>
      </c>
      <c r="J33" s="11">
        <f ca="1">IFERROR(__xludf.DUMMYFUNCTION("""COMPUTED_VALUE"""),5000000)</f>
        <v>5000000</v>
      </c>
      <c r="K33" s="27">
        <f ca="1">IFERROR(__xludf.DUMMYFUNCTION("""COMPUTED_VALUE"""),1)</f>
        <v>1</v>
      </c>
      <c r="L33" s="28">
        <f ca="1">IFERROR(__xludf.DUMMYFUNCTION("""COMPUTED_VALUE"""),1603)</f>
        <v>1603</v>
      </c>
      <c r="M33" s="10" t="str">
        <f ca="1">IFERROR(__xludf.DUMMYFUNCTION("""COMPUTED_VALUE"""),"Programa Modernización Municipal")</f>
        <v>Programa Modernización Municipal</v>
      </c>
      <c r="N33" s="24"/>
      <c r="O33" s="16"/>
      <c r="P33" s="16"/>
      <c r="Q33" s="16"/>
      <c r="R33" s="16"/>
      <c r="S33" s="16"/>
      <c r="T33" s="16"/>
      <c r="U33" s="16"/>
      <c r="V33" s="16"/>
      <c r="W33" s="16"/>
      <c r="X33" s="16"/>
      <c r="Y33" s="16"/>
      <c r="Z33" s="16"/>
    </row>
    <row r="34" spans="1:26" ht="12.75" customHeight="1">
      <c r="A34" s="22"/>
      <c r="B34" s="10" t="str">
        <f ca="1">IFERROR(__xludf.DUMMYFUNCTION("""COMPUTED_VALUE"""),"Cuentas Públicas Participativas Municipales")</f>
        <v>Cuentas Públicas Participativas Municipales</v>
      </c>
      <c r="C34" s="26" t="str">
        <f t="shared" ca="1" si="0"/>
        <v xml:space="preserve"> CALERA DE TANGO</v>
      </c>
      <c r="D34" s="10" t="str">
        <f ca="1">IFERROR(__xludf.DUMMYFUNCTION("""COMPUTED_VALUE"""),"Resolución de Transferencia")</f>
        <v>Resolución de Transferencia</v>
      </c>
      <c r="E34" s="26" t="str">
        <f ca="1">IFERROR(__xludf.DUMMYFUNCTION("""COMPUTED_VALUE"""),"MUNICIPALIDAD DE CALERA DE TANGO")</f>
        <v>MUNICIPALIDAD DE CALERA DE TANGO</v>
      </c>
      <c r="F34" s="11">
        <f ca="1">IFERROR(__xludf.DUMMYFUNCTION("""COMPUTED_VALUE"""),5000000)</f>
        <v>5000000</v>
      </c>
      <c r="G34" s="10" t="str">
        <f ca="1">IFERROR(__xludf.DUMMYFUNCTION("""COMPUTED_VALUE"""),"Resolución")</f>
        <v>Resolución</v>
      </c>
      <c r="H34" s="10" t="str">
        <f ca="1">IFERROR(__xludf.DUMMYFUNCTION("""COMPUTED_VALUE"""),"Apoyo tecnico y financiero para la elaboracion de la Cuenta Publica Participativa")</f>
        <v>Apoyo tecnico y financiero para la elaboracion de la Cuenta Publica Participativa</v>
      </c>
      <c r="I34" s="10" t="str">
        <f ca="1">IFERROR(__xludf.DUMMYFUNCTION("""COMPUTED_VALUE"""),"Cumplir con normativa y reglamentos internos del programa en base a los objetivos.")</f>
        <v>Cumplir con normativa y reglamentos internos del programa en base a los objetivos.</v>
      </c>
      <c r="J34" s="11">
        <f ca="1">IFERROR(__xludf.DUMMYFUNCTION("""COMPUTED_VALUE"""),5000000)</f>
        <v>5000000</v>
      </c>
      <c r="K34" s="27">
        <f ca="1">IFERROR(__xludf.DUMMYFUNCTION("""COMPUTED_VALUE"""),1)</f>
        <v>1</v>
      </c>
      <c r="L34" s="28">
        <f ca="1">IFERROR(__xludf.DUMMYFUNCTION("""COMPUTED_VALUE"""),1603)</f>
        <v>1603</v>
      </c>
      <c r="M34" s="10" t="str">
        <f ca="1">IFERROR(__xludf.DUMMYFUNCTION("""COMPUTED_VALUE"""),"Programa Modernización Municipal")</f>
        <v>Programa Modernización Municipal</v>
      </c>
      <c r="N34" s="24"/>
      <c r="O34" s="16"/>
      <c r="P34" s="16"/>
      <c r="Q34" s="16"/>
      <c r="R34" s="16"/>
      <c r="S34" s="16"/>
      <c r="T34" s="16"/>
      <c r="U34" s="16"/>
      <c r="V34" s="16"/>
      <c r="W34" s="16"/>
      <c r="X34" s="16"/>
      <c r="Y34" s="16"/>
      <c r="Z34" s="16"/>
    </row>
    <row r="35" spans="1:26" ht="12.75" customHeight="1">
      <c r="A35" s="22"/>
      <c r="B35" s="10" t="str">
        <f ca="1">IFERROR(__xludf.DUMMYFUNCTION("""COMPUTED_VALUE"""),"Cuentas Públicas Participativas Municipales")</f>
        <v>Cuentas Públicas Participativas Municipales</v>
      </c>
      <c r="C35" s="26" t="str">
        <f t="shared" ca="1" si="0"/>
        <v xml:space="preserve"> TRAIGUÉN</v>
      </c>
      <c r="D35" s="10" t="str">
        <f ca="1">IFERROR(__xludf.DUMMYFUNCTION("""COMPUTED_VALUE"""),"Resolución de Transferencia")</f>
        <v>Resolución de Transferencia</v>
      </c>
      <c r="E35" s="26" t="str">
        <f ca="1">IFERROR(__xludf.DUMMYFUNCTION("""COMPUTED_VALUE"""),"MUNICIPALIDAD DE TRAIGUÉN")</f>
        <v>MUNICIPALIDAD DE TRAIGUÉN</v>
      </c>
      <c r="F35" s="11">
        <f ca="1">IFERROR(__xludf.DUMMYFUNCTION("""COMPUTED_VALUE"""),5000000)</f>
        <v>5000000</v>
      </c>
      <c r="G35" s="10" t="str">
        <f ca="1">IFERROR(__xludf.DUMMYFUNCTION("""COMPUTED_VALUE"""),"Resolución")</f>
        <v>Resolución</v>
      </c>
      <c r="H35" s="10" t="str">
        <f ca="1">IFERROR(__xludf.DUMMYFUNCTION("""COMPUTED_VALUE"""),"Apoyo tecnico y financiero para la elaboracion de la Cuenta Publica Participativa")</f>
        <v>Apoyo tecnico y financiero para la elaboracion de la Cuenta Publica Participativa</v>
      </c>
      <c r="I35" s="10" t="str">
        <f ca="1">IFERROR(__xludf.DUMMYFUNCTION("""COMPUTED_VALUE"""),"Cumplir con normativa y reglamentos internos del programa en base a los objetivos.")</f>
        <v>Cumplir con normativa y reglamentos internos del programa en base a los objetivos.</v>
      </c>
      <c r="J35" s="11">
        <f ca="1">IFERROR(__xludf.DUMMYFUNCTION("""COMPUTED_VALUE"""),5000000)</f>
        <v>5000000</v>
      </c>
      <c r="K35" s="27">
        <f ca="1">IFERROR(__xludf.DUMMYFUNCTION("""COMPUTED_VALUE"""),1)</f>
        <v>1</v>
      </c>
      <c r="L35" s="28">
        <f ca="1">IFERROR(__xludf.DUMMYFUNCTION("""COMPUTED_VALUE"""),1603)</f>
        <v>1603</v>
      </c>
      <c r="M35" s="10" t="str">
        <f ca="1">IFERROR(__xludf.DUMMYFUNCTION("""COMPUTED_VALUE"""),"Programa Modernización Municipal")</f>
        <v>Programa Modernización Municipal</v>
      </c>
      <c r="N35" s="24"/>
      <c r="O35" s="16"/>
      <c r="P35" s="16"/>
      <c r="Q35" s="16"/>
      <c r="R35" s="16"/>
      <c r="S35" s="16"/>
      <c r="T35" s="16"/>
      <c r="U35" s="16"/>
      <c r="V35" s="16"/>
      <c r="W35" s="16"/>
      <c r="X35" s="16"/>
      <c r="Y35" s="16"/>
      <c r="Z35" s="16"/>
    </row>
    <row r="36" spans="1:26" ht="12.75" customHeight="1">
      <c r="A36" s="22"/>
      <c r="B36" s="10" t="str">
        <f ca="1">IFERROR(__xludf.DUMMYFUNCTION("""COMPUTED_VALUE"""),"Cuentas Públicas Participativas Municipales")</f>
        <v>Cuentas Públicas Participativas Municipales</v>
      </c>
      <c r="C36" s="26" t="str">
        <f t="shared" ca="1" si="0"/>
        <v xml:space="preserve"> PUTRE</v>
      </c>
      <c r="D36" s="10" t="str">
        <f ca="1">IFERROR(__xludf.DUMMYFUNCTION("""COMPUTED_VALUE"""),"Resolución de Transferencia")</f>
        <v>Resolución de Transferencia</v>
      </c>
      <c r="E36" s="26" t="str">
        <f ca="1">IFERROR(__xludf.DUMMYFUNCTION("""COMPUTED_VALUE"""),"MUNICIPALIDAD DE PUTRE")</f>
        <v>MUNICIPALIDAD DE PUTRE</v>
      </c>
      <c r="F36" s="11">
        <f ca="1">IFERROR(__xludf.DUMMYFUNCTION("""COMPUTED_VALUE"""),5000000)</f>
        <v>5000000</v>
      </c>
      <c r="G36" s="10" t="str">
        <f ca="1">IFERROR(__xludf.DUMMYFUNCTION("""COMPUTED_VALUE"""),"Resolución")</f>
        <v>Resolución</v>
      </c>
      <c r="H36" s="10" t="str">
        <f ca="1">IFERROR(__xludf.DUMMYFUNCTION("""COMPUTED_VALUE"""),"Apoyo tecnico y financiero para la elaboracion de la Cuenta Publica Participativa")</f>
        <v>Apoyo tecnico y financiero para la elaboracion de la Cuenta Publica Participativa</v>
      </c>
      <c r="I36" s="10" t="str">
        <f ca="1">IFERROR(__xludf.DUMMYFUNCTION("""COMPUTED_VALUE"""),"Cumplir con normativa y reglamentos internos del programa en base a los objetivos.")</f>
        <v>Cumplir con normativa y reglamentos internos del programa en base a los objetivos.</v>
      </c>
      <c r="J36" s="11">
        <f ca="1">IFERROR(__xludf.DUMMYFUNCTION("""COMPUTED_VALUE"""),5000000)</f>
        <v>5000000</v>
      </c>
      <c r="K36" s="27">
        <f ca="1">IFERROR(__xludf.DUMMYFUNCTION("""COMPUTED_VALUE"""),1)</f>
        <v>1</v>
      </c>
      <c r="L36" s="28">
        <f ca="1">IFERROR(__xludf.DUMMYFUNCTION("""COMPUTED_VALUE"""),1603)</f>
        <v>1603</v>
      </c>
      <c r="M36" s="10" t="str">
        <f ca="1">IFERROR(__xludf.DUMMYFUNCTION("""COMPUTED_VALUE"""),"Programa Modernización Municipal")</f>
        <v>Programa Modernización Municipal</v>
      </c>
      <c r="N36" s="24"/>
      <c r="O36" s="16"/>
      <c r="P36" s="16"/>
      <c r="Q36" s="16"/>
      <c r="R36" s="16"/>
      <c r="S36" s="16"/>
      <c r="T36" s="16"/>
      <c r="U36" s="16"/>
      <c r="V36" s="16"/>
      <c r="W36" s="16"/>
      <c r="X36" s="16"/>
      <c r="Y36" s="16"/>
      <c r="Z36" s="16"/>
    </row>
    <row r="37" spans="1:26" ht="12.75" customHeight="1">
      <c r="A37" s="22"/>
      <c r="B37" s="10" t="str">
        <f ca="1">IFERROR(__xludf.DUMMYFUNCTION("""COMPUTED_VALUE"""),"Cuentas Públicas Participativas Municipales")</f>
        <v>Cuentas Públicas Participativas Municipales</v>
      </c>
      <c r="C37" s="26" t="str">
        <f t="shared" ca="1" si="0"/>
        <v xml:space="preserve"> SAN FERNANDO</v>
      </c>
      <c r="D37" s="10" t="str">
        <f ca="1">IFERROR(__xludf.DUMMYFUNCTION("""COMPUTED_VALUE"""),"Resolución de Transferencia")</f>
        <v>Resolución de Transferencia</v>
      </c>
      <c r="E37" s="26" t="str">
        <f ca="1">IFERROR(__xludf.DUMMYFUNCTION("""COMPUTED_VALUE"""),"MUNICIPALIDAD DE SAN FERNANDO")</f>
        <v>MUNICIPALIDAD DE SAN FERNANDO</v>
      </c>
      <c r="F37" s="11">
        <f ca="1">IFERROR(__xludf.DUMMYFUNCTION("""COMPUTED_VALUE"""),5000000)</f>
        <v>5000000</v>
      </c>
      <c r="G37" s="10" t="str">
        <f ca="1">IFERROR(__xludf.DUMMYFUNCTION("""COMPUTED_VALUE"""),"Resolución")</f>
        <v>Resolución</v>
      </c>
      <c r="H37" s="10" t="str">
        <f ca="1">IFERROR(__xludf.DUMMYFUNCTION("""COMPUTED_VALUE"""),"Apoyo tecnico y financiero para la elaboracion de la Cuenta Publica Participativa")</f>
        <v>Apoyo tecnico y financiero para la elaboracion de la Cuenta Publica Participativa</v>
      </c>
      <c r="I37" s="10" t="str">
        <f ca="1">IFERROR(__xludf.DUMMYFUNCTION("""COMPUTED_VALUE"""),"Cumplir con normativa y reglamentos internos del programa en base a los objetivos.")</f>
        <v>Cumplir con normativa y reglamentos internos del programa en base a los objetivos.</v>
      </c>
      <c r="J37" s="11">
        <f ca="1">IFERROR(__xludf.DUMMYFUNCTION("""COMPUTED_VALUE"""),5000000)</f>
        <v>5000000</v>
      </c>
      <c r="K37" s="27">
        <f ca="1">IFERROR(__xludf.DUMMYFUNCTION("""COMPUTED_VALUE"""),1)</f>
        <v>1</v>
      </c>
      <c r="L37" s="28">
        <f ca="1">IFERROR(__xludf.DUMMYFUNCTION("""COMPUTED_VALUE"""),1603)</f>
        <v>1603</v>
      </c>
      <c r="M37" s="10" t="str">
        <f ca="1">IFERROR(__xludf.DUMMYFUNCTION("""COMPUTED_VALUE"""),"Programa Modernización Municipal")</f>
        <v>Programa Modernización Municipal</v>
      </c>
      <c r="N37" s="24"/>
      <c r="O37" s="16"/>
      <c r="P37" s="16"/>
      <c r="Q37" s="16"/>
      <c r="R37" s="16"/>
      <c r="S37" s="16"/>
      <c r="T37" s="16"/>
      <c r="U37" s="16"/>
      <c r="V37" s="16"/>
      <c r="W37" s="16"/>
      <c r="X37" s="16"/>
      <c r="Y37" s="16"/>
      <c r="Z37" s="16"/>
    </row>
    <row r="38" spans="1:26" ht="12.75" customHeight="1">
      <c r="A38" s="22"/>
      <c r="B38" s="10" t="str">
        <f ca="1">IFERROR(__xludf.DUMMYFUNCTION("""COMPUTED_VALUE"""),"Implementación del Plan de Mejoramiento de la Gestión Global y de Servicios Municipales")</f>
        <v>Implementación del Plan de Mejoramiento de la Gestión Global y de Servicios Municipales</v>
      </c>
      <c r="C38" s="26" t="str">
        <f t="shared" ca="1" si="0"/>
        <v xml:space="preserve"> LOS SAUCES</v>
      </c>
      <c r="D38" s="10" t="str">
        <f ca="1">IFERROR(__xludf.DUMMYFUNCTION("""COMPUTED_VALUE"""),"Resolución de Transferencia")</f>
        <v>Resolución de Transferencia</v>
      </c>
      <c r="E38" s="26" t="str">
        <f ca="1">IFERROR(__xludf.DUMMYFUNCTION("""COMPUTED_VALUE"""),"MUNICIPALIDAD DE LOS SAUCES")</f>
        <v>MUNICIPALIDAD DE LOS SAUCES</v>
      </c>
      <c r="F38" s="11">
        <f ca="1">IFERROR(__xludf.DUMMYFUNCTION("""COMPUTED_VALUE"""),20000000)</f>
        <v>20000000</v>
      </c>
      <c r="G38" s="10" t="str">
        <f ca="1">IFERROR(__xludf.DUMMYFUNCTION("""COMPUTED_VALUE"""),"Resolución")</f>
        <v>Resolución</v>
      </c>
      <c r="H38" s="10" t="str">
        <f ca="1">IFERROR(__xludf.DUMMYFUNCTION("""COMPUTED_VALUE"""),"Asistencia Técnica y Financiera para el Mejoramiento de la gestión en la provisión de servicios")</f>
        <v>Asistencia Técnica y Financiera para el Mejoramiento de la gestión en la provisión de servicios</v>
      </c>
      <c r="I38" s="10" t="str">
        <f ca="1">IFERROR(__xludf.DUMMYFUNCTION("""COMPUTED_VALUE"""),"Cumplir con normativa y reglamentos internos del programa en base a los objetivos.")</f>
        <v>Cumplir con normativa y reglamentos internos del programa en base a los objetivos.</v>
      </c>
      <c r="J38" s="11">
        <f ca="1">IFERROR(__xludf.DUMMYFUNCTION("""COMPUTED_VALUE"""),20000000)</f>
        <v>20000000</v>
      </c>
      <c r="K38" s="27">
        <f ca="1">IFERROR(__xludf.DUMMYFUNCTION("""COMPUTED_VALUE"""),1)</f>
        <v>1</v>
      </c>
      <c r="L38" s="28">
        <f ca="1">IFERROR(__xludf.DUMMYFUNCTION("""COMPUTED_VALUE"""),2763)</f>
        <v>2763</v>
      </c>
      <c r="M38" s="10" t="str">
        <f ca="1">IFERROR(__xludf.DUMMYFUNCTION("""COMPUTED_VALUE"""),"Programa Modernización Municipal")</f>
        <v>Programa Modernización Municipal</v>
      </c>
      <c r="N38" s="24"/>
      <c r="O38" s="16"/>
      <c r="P38" s="16"/>
      <c r="Q38" s="16"/>
      <c r="R38" s="16"/>
      <c r="S38" s="16"/>
      <c r="T38" s="16"/>
      <c r="U38" s="16"/>
      <c r="V38" s="16"/>
      <c r="W38" s="16"/>
      <c r="X38" s="16"/>
      <c r="Y38" s="16"/>
      <c r="Z38" s="16"/>
    </row>
    <row r="39" spans="1:26" ht="12.75" customHeight="1">
      <c r="A39" s="22"/>
      <c r="B39" s="10" t="str">
        <f ca="1">IFERROR(__xludf.DUMMYFUNCTION("""COMPUTED_VALUE"""),"Implementación del Plan de Mejoramiento de la Gestión Global y de Servicios Municipales")</f>
        <v>Implementación del Plan de Mejoramiento de la Gestión Global y de Servicios Municipales</v>
      </c>
      <c r="C39" s="26" t="str">
        <f t="shared" ca="1" si="0"/>
        <v xml:space="preserve"> LUMACO</v>
      </c>
      <c r="D39" s="10" t="str">
        <f ca="1">IFERROR(__xludf.DUMMYFUNCTION("""COMPUTED_VALUE"""),"Resolución de Transferencia")</f>
        <v>Resolución de Transferencia</v>
      </c>
      <c r="E39" s="26" t="str">
        <f ca="1">IFERROR(__xludf.DUMMYFUNCTION("""COMPUTED_VALUE"""),"MUNICIPALIDAD DE LUMACO")</f>
        <v>MUNICIPALIDAD DE LUMACO</v>
      </c>
      <c r="F39" s="11">
        <f ca="1">IFERROR(__xludf.DUMMYFUNCTION("""COMPUTED_VALUE"""),20000000)</f>
        <v>20000000</v>
      </c>
      <c r="G39" s="10" t="str">
        <f ca="1">IFERROR(__xludf.DUMMYFUNCTION("""COMPUTED_VALUE"""),"Resolución")</f>
        <v>Resolución</v>
      </c>
      <c r="H39" s="10" t="str">
        <f ca="1">IFERROR(__xludf.DUMMYFUNCTION("""COMPUTED_VALUE"""),"Asistencia Técnica y Financiera para el Mejoramiento de la gestión en la provisión de servicios")</f>
        <v>Asistencia Técnica y Financiera para el Mejoramiento de la gestión en la provisión de servicios</v>
      </c>
      <c r="I39" s="10" t="str">
        <f ca="1">IFERROR(__xludf.DUMMYFUNCTION("""COMPUTED_VALUE"""),"Cumplir con normativa y reglamentos internos del programa en base a los objetivos.")</f>
        <v>Cumplir con normativa y reglamentos internos del programa en base a los objetivos.</v>
      </c>
      <c r="J39" s="11">
        <f ca="1">IFERROR(__xludf.DUMMYFUNCTION("""COMPUTED_VALUE"""),20000000)</f>
        <v>20000000</v>
      </c>
      <c r="K39" s="27">
        <f ca="1">IFERROR(__xludf.DUMMYFUNCTION("""COMPUTED_VALUE"""),1)</f>
        <v>1</v>
      </c>
      <c r="L39" s="28">
        <f ca="1">IFERROR(__xludf.DUMMYFUNCTION("""COMPUTED_VALUE"""),2763)</f>
        <v>2763</v>
      </c>
      <c r="M39" s="10" t="str">
        <f ca="1">IFERROR(__xludf.DUMMYFUNCTION("""COMPUTED_VALUE"""),"Programa Modernización Municipal")</f>
        <v>Programa Modernización Municipal</v>
      </c>
      <c r="N39" s="24"/>
      <c r="O39" s="16"/>
      <c r="P39" s="16"/>
      <c r="Q39" s="16"/>
      <c r="R39" s="16"/>
      <c r="S39" s="16"/>
      <c r="T39" s="16"/>
      <c r="U39" s="16"/>
      <c r="V39" s="16"/>
      <c r="W39" s="16"/>
      <c r="X39" s="16"/>
      <c r="Y39" s="16"/>
      <c r="Z39" s="16"/>
    </row>
    <row r="40" spans="1:26" ht="12.75" customHeight="1">
      <c r="A40" s="22"/>
      <c r="B40" s="10" t="str">
        <f ca="1">IFERROR(__xludf.DUMMYFUNCTION("""COMPUTED_VALUE"""),"Implementación del Plan de Mejoramiento de la Gestión Global y de Servicios Municipales")</f>
        <v>Implementación del Plan de Mejoramiento de la Gestión Global y de Servicios Municipales</v>
      </c>
      <c r="C40" s="26" t="str">
        <f t="shared" ca="1" si="0"/>
        <v xml:space="preserve"> TRAIGUÉN</v>
      </c>
      <c r="D40" s="10" t="str">
        <f ca="1">IFERROR(__xludf.DUMMYFUNCTION("""COMPUTED_VALUE"""),"Resolución de Transferencia")</f>
        <v>Resolución de Transferencia</v>
      </c>
      <c r="E40" s="26" t="str">
        <f ca="1">IFERROR(__xludf.DUMMYFUNCTION("""COMPUTED_VALUE"""),"MUNICIPALIDAD DE TRAIGUÉN")</f>
        <v>MUNICIPALIDAD DE TRAIGUÉN</v>
      </c>
      <c r="F40" s="11">
        <f ca="1">IFERROR(__xludf.DUMMYFUNCTION("""COMPUTED_VALUE"""),20000000)</f>
        <v>20000000</v>
      </c>
      <c r="G40" s="10" t="str">
        <f ca="1">IFERROR(__xludf.DUMMYFUNCTION("""COMPUTED_VALUE"""),"Resolución")</f>
        <v>Resolución</v>
      </c>
      <c r="H40" s="10" t="str">
        <f ca="1">IFERROR(__xludf.DUMMYFUNCTION("""COMPUTED_VALUE"""),"Asistencia Técnica y Financiera para el Mejoramiento de la gestión en la provisión de servicios")</f>
        <v>Asistencia Técnica y Financiera para el Mejoramiento de la gestión en la provisión de servicios</v>
      </c>
      <c r="I40" s="10" t="str">
        <f ca="1">IFERROR(__xludf.DUMMYFUNCTION("""COMPUTED_VALUE"""),"Cumplir con normativa y reglamentos internos del programa en base a los objetivos.")</f>
        <v>Cumplir con normativa y reglamentos internos del programa en base a los objetivos.</v>
      </c>
      <c r="J40" s="11">
        <f ca="1">IFERROR(__xludf.DUMMYFUNCTION("""COMPUTED_VALUE"""),20000000)</f>
        <v>20000000</v>
      </c>
      <c r="K40" s="27">
        <f ca="1">IFERROR(__xludf.DUMMYFUNCTION("""COMPUTED_VALUE"""),1)</f>
        <v>1</v>
      </c>
      <c r="L40" s="28">
        <f ca="1">IFERROR(__xludf.DUMMYFUNCTION("""COMPUTED_VALUE"""),2763)</f>
        <v>2763</v>
      </c>
      <c r="M40" s="10" t="str">
        <f ca="1">IFERROR(__xludf.DUMMYFUNCTION("""COMPUTED_VALUE"""),"Programa Modernización Municipal")</f>
        <v>Programa Modernización Municipal</v>
      </c>
      <c r="N40" s="24"/>
      <c r="O40" s="16"/>
      <c r="P40" s="16"/>
      <c r="Q40" s="16"/>
      <c r="R40" s="16"/>
      <c r="S40" s="16"/>
      <c r="T40" s="16"/>
      <c r="U40" s="16"/>
      <c r="V40" s="16"/>
      <c r="W40" s="16"/>
      <c r="X40" s="16"/>
      <c r="Y40" s="16"/>
      <c r="Z40" s="16"/>
    </row>
    <row r="41" spans="1:26" ht="12.75" customHeight="1">
      <c r="A41" s="22"/>
      <c r="B41" s="10" t="str">
        <f ca="1">IFERROR(__xludf.DUMMYFUNCTION("""COMPUTED_VALUE"""),"Implementación del Plan de Mejoramiento de la Gestión Global y de Servicios Municipales")</f>
        <v>Implementación del Plan de Mejoramiento de la Gestión Global y de Servicios Municipales</v>
      </c>
      <c r="C41" s="26" t="str">
        <f t="shared" ca="1" si="0"/>
        <v xml:space="preserve"> PURÉN</v>
      </c>
      <c r="D41" s="10" t="str">
        <f ca="1">IFERROR(__xludf.DUMMYFUNCTION("""COMPUTED_VALUE"""),"Resolución de Transferencia")</f>
        <v>Resolución de Transferencia</v>
      </c>
      <c r="E41" s="26" t="str">
        <f ca="1">IFERROR(__xludf.DUMMYFUNCTION("""COMPUTED_VALUE"""),"MUNICIPALIDAD DE PURÉN")</f>
        <v>MUNICIPALIDAD DE PURÉN</v>
      </c>
      <c r="F41" s="11">
        <f ca="1">IFERROR(__xludf.DUMMYFUNCTION("""COMPUTED_VALUE"""),20000000)</f>
        <v>20000000</v>
      </c>
      <c r="G41" s="10" t="str">
        <f ca="1">IFERROR(__xludf.DUMMYFUNCTION("""COMPUTED_VALUE"""),"Resolución")</f>
        <v>Resolución</v>
      </c>
      <c r="H41" s="10" t="str">
        <f ca="1">IFERROR(__xludf.DUMMYFUNCTION("""COMPUTED_VALUE"""),"Asistencia Técnica y Financiera para el Mejoramiento de la gestión en la provisión de servicios")</f>
        <v>Asistencia Técnica y Financiera para el Mejoramiento de la gestión en la provisión de servicios</v>
      </c>
      <c r="I41" s="10" t="str">
        <f ca="1">IFERROR(__xludf.DUMMYFUNCTION("""COMPUTED_VALUE"""),"Cumplir con normativa y reglamentos internos del programa en base a los objetivos.")</f>
        <v>Cumplir con normativa y reglamentos internos del programa en base a los objetivos.</v>
      </c>
      <c r="J41" s="11">
        <f ca="1">IFERROR(__xludf.DUMMYFUNCTION("""COMPUTED_VALUE"""),20000000)</f>
        <v>20000000</v>
      </c>
      <c r="K41" s="27">
        <f ca="1">IFERROR(__xludf.DUMMYFUNCTION("""COMPUTED_VALUE"""),1)</f>
        <v>1</v>
      </c>
      <c r="L41" s="28">
        <f ca="1">IFERROR(__xludf.DUMMYFUNCTION("""COMPUTED_VALUE"""),2763)</f>
        <v>2763</v>
      </c>
      <c r="M41" s="10" t="str">
        <f ca="1">IFERROR(__xludf.DUMMYFUNCTION("""COMPUTED_VALUE"""),"Programa Modernización Municipal")</f>
        <v>Programa Modernización Municipal</v>
      </c>
      <c r="N41" s="24"/>
      <c r="O41" s="16"/>
      <c r="P41" s="16"/>
      <c r="Q41" s="16"/>
      <c r="R41" s="16"/>
      <c r="S41" s="16"/>
      <c r="T41" s="16"/>
      <c r="U41" s="16"/>
      <c r="V41" s="16"/>
      <c r="W41" s="16"/>
      <c r="X41" s="16"/>
      <c r="Y41" s="16"/>
      <c r="Z41" s="16"/>
    </row>
    <row r="42" spans="1:26" ht="12.75" customHeight="1">
      <c r="A42" s="22"/>
      <c r="B42" s="10" t="str">
        <f ca="1">IFERROR(__xludf.DUMMYFUNCTION("""COMPUTED_VALUE"""),"Implementación del Plan de Mejoramiento de la Gestión Global y de Servicios Municipales")</f>
        <v>Implementación del Plan de Mejoramiento de la Gestión Global y de Servicios Municipales</v>
      </c>
      <c r="C42" s="26" t="str">
        <f t="shared" ca="1" si="0"/>
        <v xml:space="preserve"> ILLAPEL</v>
      </c>
      <c r="D42" s="10" t="str">
        <f ca="1">IFERROR(__xludf.DUMMYFUNCTION("""COMPUTED_VALUE"""),"Resolución de Transferencia")</f>
        <v>Resolución de Transferencia</v>
      </c>
      <c r="E42" s="26" t="str">
        <f ca="1">IFERROR(__xludf.DUMMYFUNCTION("""COMPUTED_VALUE"""),"MUNICIPALIDAD DE ILLAPEL")</f>
        <v>MUNICIPALIDAD DE ILLAPEL</v>
      </c>
      <c r="F42" s="11">
        <f ca="1">IFERROR(__xludf.DUMMYFUNCTION("""COMPUTED_VALUE"""),50000000)</f>
        <v>50000000</v>
      </c>
      <c r="G42" s="10" t="str">
        <f ca="1">IFERROR(__xludf.DUMMYFUNCTION("""COMPUTED_VALUE"""),"Resolución")</f>
        <v>Resolución</v>
      </c>
      <c r="H42" s="10" t="str">
        <f ca="1">IFERROR(__xludf.DUMMYFUNCTION("""COMPUTED_VALUE"""),"Asistencia Técnica y Financiera para el Mejoramiento de la gestión en la provisión de servicios")</f>
        <v>Asistencia Técnica y Financiera para el Mejoramiento de la gestión en la provisión de servicios</v>
      </c>
      <c r="I42" s="10" t="str">
        <f ca="1">IFERROR(__xludf.DUMMYFUNCTION("""COMPUTED_VALUE"""),"Cumplir con normativa y reglamentos internos del programa en base a los objetivos.")</f>
        <v>Cumplir con normativa y reglamentos internos del programa en base a los objetivos.</v>
      </c>
      <c r="J42" s="11">
        <f ca="1">IFERROR(__xludf.DUMMYFUNCTION("""COMPUTED_VALUE"""),50000000)</f>
        <v>50000000</v>
      </c>
      <c r="K42" s="27">
        <f ca="1">IFERROR(__xludf.DUMMYFUNCTION("""COMPUTED_VALUE"""),1)</f>
        <v>1</v>
      </c>
      <c r="L42" s="28">
        <f ca="1">IFERROR(__xludf.DUMMYFUNCTION("""COMPUTED_VALUE"""),3214)</f>
        <v>3214</v>
      </c>
      <c r="M42" s="10" t="str">
        <f ca="1">IFERROR(__xludf.DUMMYFUNCTION("""COMPUTED_VALUE"""),"Programa Modernización Municipal")</f>
        <v>Programa Modernización Municipal</v>
      </c>
      <c r="N42" s="24"/>
      <c r="O42" s="16"/>
      <c r="P42" s="16"/>
      <c r="Q42" s="16"/>
      <c r="R42" s="16"/>
      <c r="S42" s="16"/>
      <c r="T42" s="16"/>
      <c r="U42" s="16"/>
      <c r="V42" s="16"/>
      <c r="W42" s="16"/>
      <c r="X42" s="16"/>
      <c r="Y42" s="16"/>
      <c r="Z42" s="16"/>
    </row>
    <row r="43" spans="1:26" ht="12.75" customHeight="1">
      <c r="A43" s="22"/>
      <c r="B43" s="10" t="str">
        <f ca="1">IFERROR(__xludf.DUMMYFUNCTION("""COMPUTED_VALUE"""),"Implementación del Plan de Mejoramiento de la Gestión Global y de Servicios Municipales")</f>
        <v>Implementación del Plan de Mejoramiento de la Gestión Global y de Servicios Municipales</v>
      </c>
      <c r="C43" s="26" t="str">
        <f t="shared" ca="1" si="0"/>
        <v xml:space="preserve"> PAIGUANO</v>
      </c>
      <c r="D43" s="10" t="str">
        <f ca="1">IFERROR(__xludf.DUMMYFUNCTION("""COMPUTED_VALUE"""),"Resolución de Transferencia")</f>
        <v>Resolución de Transferencia</v>
      </c>
      <c r="E43" s="26" t="str">
        <f ca="1">IFERROR(__xludf.DUMMYFUNCTION("""COMPUTED_VALUE"""),"MUNICIPALIDAD DE PAIGUANO")</f>
        <v>MUNICIPALIDAD DE PAIGUANO</v>
      </c>
      <c r="F43" s="11">
        <f ca="1">IFERROR(__xludf.DUMMYFUNCTION("""COMPUTED_VALUE"""),50000000)</f>
        <v>50000000</v>
      </c>
      <c r="G43" s="10" t="str">
        <f ca="1">IFERROR(__xludf.DUMMYFUNCTION("""COMPUTED_VALUE"""),"Resolución")</f>
        <v>Resolución</v>
      </c>
      <c r="H43" s="10" t="str">
        <f ca="1">IFERROR(__xludf.DUMMYFUNCTION("""COMPUTED_VALUE"""),"Asistencia Técnica y Financiera para el Mejoramiento de la gestión en la provisión de servicios")</f>
        <v>Asistencia Técnica y Financiera para el Mejoramiento de la gestión en la provisión de servicios</v>
      </c>
      <c r="I43" s="10" t="str">
        <f ca="1">IFERROR(__xludf.DUMMYFUNCTION("""COMPUTED_VALUE"""),"Cumplir con normativa y reglamentos internos del programa en base a los objetivos.")</f>
        <v>Cumplir con normativa y reglamentos internos del programa en base a los objetivos.</v>
      </c>
      <c r="J43" s="11">
        <f ca="1">IFERROR(__xludf.DUMMYFUNCTION("""COMPUTED_VALUE"""),50000000)</f>
        <v>50000000</v>
      </c>
      <c r="K43" s="27">
        <f ca="1">IFERROR(__xludf.DUMMYFUNCTION("""COMPUTED_VALUE"""),1)</f>
        <v>1</v>
      </c>
      <c r="L43" s="28">
        <f ca="1">IFERROR(__xludf.DUMMYFUNCTION("""COMPUTED_VALUE"""),3214)</f>
        <v>3214</v>
      </c>
      <c r="M43" s="10" t="str">
        <f ca="1">IFERROR(__xludf.DUMMYFUNCTION("""COMPUTED_VALUE"""),"Programa Modernización Municipal")</f>
        <v>Programa Modernización Municipal</v>
      </c>
      <c r="N43" s="24"/>
      <c r="O43" s="16"/>
      <c r="P43" s="16"/>
      <c r="Q43" s="16"/>
      <c r="R43" s="16"/>
      <c r="S43" s="16"/>
      <c r="T43" s="16"/>
      <c r="U43" s="16"/>
      <c r="V43" s="16"/>
      <c r="W43" s="16"/>
      <c r="X43" s="16"/>
      <c r="Y43" s="16"/>
      <c r="Z43" s="16"/>
    </row>
    <row r="44" spans="1:26" ht="12.75" customHeight="1">
      <c r="A44" s="22"/>
      <c r="B44" s="10" t="str">
        <f ca="1">IFERROR(__xludf.DUMMYFUNCTION("""COMPUTED_VALUE"""),"Implementación del Plan de Mejoramiento de la Gestión Global y de Servicios Municipales")</f>
        <v>Implementación del Plan de Mejoramiento de la Gestión Global y de Servicios Municipales</v>
      </c>
      <c r="C44" s="26" t="str">
        <f t="shared" ca="1" si="0"/>
        <v xml:space="preserve"> COELEMU</v>
      </c>
      <c r="D44" s="10" t="str">
        <f ca="1">IFERROR(__xludf.DUMMYFUNCTION("""COMPUTED_VALUE"""),"Resolución de Transferencia")</f>
        <v>Resolución de Transferencia</v>
      </c>
      <c r="E44" s="26" t="str">
        <f ca="1">IFERROR(__xludf.DUMMYFUNCTION("""COMPUTED_VALUE"""),"MUNICIPALIDAD DE COELEMU")</f>
        <v>MUNICIPALIDAD DE COELEMU</v>
      </c>
      <c r="F44" s="11">
        <f ca="1">IFERROR(__xludf.DUMMYFUNCTION("""COMPUTED_VALUE"""),20000000)</f>
        <v>20000000</v>
      </c>
      <c r="G44" s="10" t="str">
        <f ca="1">IFERROR(__xludf.DUMMYFUNCTION("""COMPUTED_VALUE"""),"Resolución")</f>
        <v>Resolución</v>
      </c>
      <c r="H44" s="10" t="str">
        <f ca="1">IFERROR(__xludf.DUMMYFUNCTION("""COMPUTED_VALUE"""),"Asistencia Técnica y Financiera para el Mejoramiento de la gestión en la provisión de servicios")</f>
        <v>Asistencia Técnica y Financiera para el Mejoramiento de la gestión en la provisión de servicios</v>
      </c>
      <c r="I44" s="10" t="str">
        <f ca="1">IFERROR(__xludf.DUMMYFUNCTION("""COMPUTED_VALUE"""),"Cumplir con normativa y reglamentos internos del programa en base a los objetivos.")</f>
        <v>Cumplir con normativa y reglamentos internos del programa en base a los objetivos.</v>
      </c>
      <c r="J44" s="11">
        <f ca="1">IFERROR(__xludf.DUMMYFUNCTION("""COMPUTED_VALUE"""),20000000)</f>
        <v>20000000</v>
      </c>
      <c r="K44" s="27">
        <f ca="1">IFERROR(__xludf.DUMMYFUNCTION("""COMPUTED_VALUE"""),1)</f>
        <v>1</v>
      </c>
      <c r="L44" s="28">
        <f ca="1">IFERROR(__xludf.DUMMYFUNCTION("""COMPUTED_VALUE"""),2765)</f>
        <v>2765</v>
      </c>
      <c r="M44" s="10" t="str">
        <f ca="1">IFERROR(__xludf.DUMMYFUNCTION("""COMPUTED_VALUE"""),"Programa Modernización Municipal")</f>
        <v>Programa Modernización Municipal</v>
      </c>
      <c r="N44" s="24"/>
      <c r="O44" s="16"/>
      <c r="P44" s="16"/>
      <c r="Q44" s="16"/>
      <c r="R44" s="16"/>
      <c r="S44" s="16"/>
      <c r="T44" s="16"/>
      <c r="U44" s="16"/>
      <c r="V44" s="16"/>
      <c r="W44" s="16"/>
      <c r="X44" s="16"/>
      <c r="Y44" s="16"/>
      <c r="Z44" s="16"/>
    </row>
    <row r="45" spans="1:26" ht="12.75" customHeight="1">
      <c r="A45" s="22"/>
      <c r="B45" s="10" t="str">
        <f ca="1">IFERROR(__xludf.DUMMYFUNCTION("""COMPUTED_VALUE"""),"Implementación del Plan de Mejoramiento de la Gestión Global y de Servicios Municipales")</f>
        <v>Implementación del Plan de Mejoramiento de la Gestión Global y de Servicios Municipales</v>
      </c>
      <c r="C45" s="26" t="str">
        <f t="shared" ca="1" si="0"/>
        <v xml:space="preserve"> NINHUE</v>
      </c>
      <c r="D45" s="10" t="str">
        <f ca="1">IFERROR(__xludf.DUMMYFUNCTION("""COMPUTED_VALUE"""),"Resolución de Transferencia")</f>
        <v>Resolución de Transferencia</v>
      </c>
      <c r="E45" s="26" t="str">
        <f ca="1">IFERROR(__xludf.DUMMYFUNCTION("""COMPUTED_VALUE"""),"MUNICIPALIDAD DE NINHUE")</f>
        <v>MUNICIPALIDAD DE NINHUE</v>
      </c>
      <c r="F45" s="11">
        <f ca="1">IFERROR(__xludf.DUMMYFUNCTION("""COMPUTED_VALUE"""),20000000)</f>
        <v>20000000</v>
      </c>
      <c r="G45" s="10" t="str">
        <f ca="1">IFERROR(__xludf.DUMMYFUNCTION("""COMPUTED_VALUE"""),"Resolución")</f>
        <v>Resolución</v>
      </c>
      <c r="H45" s="10" t="str">
        <f ca="1">IFERROR(__xludf.DUMMYFUNCTION("""COMPUTED_VALUE"""),"Asistencia Técnica y Financiera para el Mejoramiento de la gestión en la provisión de servicios")</f>
        <v>Asistencia Técnica y Financiera para el Mejoramiento de la gestión en la provisión de servicios</v>
      </c>
      <c r="I45" s="10" t="str">
        <f ca="1">IFERROR(__xludf.DUMMYFUNCTION("""COMPUTED_VALUE"""),"Cumplir con normativa y reglamentos internos del programa en base a los objetivos.")</f>
        <v>Cumplir con normativa y reglamentos internos del programa en base a los objetivos.</v>
      </c>
      <c r="J45" s="11">
        <f ca="1">IFERROR(__xludf.DUMMYFUNCTION("""COMPUTED_VALUE"""),20000000)</f>
        <v>20000000</v>
      </c>
      <c r="K45" s="27">
        <f ca="1">IFERROR(__xludf.DUMMYFUNCTION("""COMPUTED_VALUE"""),1)</f>
        <v>1</v>
      </c>
      <c r="L45" s="28">
        <f ca="1">IFERROR(__xludf.DUMMYFUNCTION("""COMPUTED_VALUE"""),2765)</f>
        <v>2765</v>
      </c>
      <c r="M45" s="10" t="str">
        <f ca="1">IFERROR(__xludf.DUMMYFUNCTION("""COMPUTED_VALUE"""),"Programa Modernización Municipal")</f>
        <v>Programa Modernización Municipal</v>
      </c>
      <c r="N45" s="24"/>
      <c r="O45" s="16"/>
      <c r="P45" s="16"/>
      <c r="Q45" s="16"/>
      <c r="R45" s="16"/>
      <c r="S45" s="16"/>
      <c r="T45" s="16"/>
      <c r="U45" s="16"/>
      <c r="V45" s="16"/>
      <c r="W45" s="16"/>
      <c r="X45" s="16"/>
      <c r="Y45" s="16"/>
      <c r="Z45" s="16"/>
    </row>
    <row r="46" spans="1:26" ht="12.75" customHeight="1">
      <c r="A46" s="22"/>
      <c r="B46" s="10" t="str">
        <f ca="1">IFERROR(__xludf.DUMMYFUNCTION("""COMPUTED_VALUE"""),"Implementación del Plan de Mejoramiento de la Gestión Global y de Servicios Municipales")</f>
        <v>Implementación del Plan de Mejoramiento de la Gestión Global y de Servicios Municipales</v>
      </c>
      <c r="C46" s="26" t="str">
        <f t="shared" ca="1" si="0"/>
        <v xml:space="preserve"> PORTEZUELO</v>
      </c>
      <c r="D46" s="10" t="str">
        <f ca="1">IFERROR(__xludf.DUMMYFUNCTION("""COMPUTED_VALUE"""),"Resolución de Transferencia")</f>
        <v>Resolución de Transferencia</v>
      </c>
      <c r="E46" s="26" t="str">
        <f ca="1">IFERROR(__xludf.DUMMYFUNCTION("""COMPUTED_VALUE"""),"MUNICIPALIDAD DE PORTEZUELO")</f>
        <v>MUNICIPALIDAD DE PORTEZUELO</v>
      </c>
      <c r="F46" s="11">
        <f ca="1">IFERROR(__xludf.DUMMYFUNCTION("""COMPUTED_VALUE"""),20000000)</f>
        <v>20000000</v>
      </c>
      <c r="G46" s="10" t="str">
        <f ca="1">IFERROR(__xludf.DUMMYFUNCTION("""COMPUTED_VALUE"""),"Resolución")</f>
        <v>Resolución</v>
      </c>
      <c r="H46" s="10" t="str">
        <f ca="1">IFERROR(__xludf.DUMMYFUNCTION("""COMPUTED_VALUE"""),"Asistencia Técnica y Financiera para el Mejoramiento de la gestión en la provisión de servicios")</f>
        <v>Asistencia Técnica y Financiera para el Mejoramiento de la gestión en la provisión de servicios</v>
      </c>
      <c r="I46" s="10" t="str">
        <f ca="1">IFERROR(__xludf.DUMMYFUNCTION("""COMPUTED_VALUE"""),"Cumplir con normativa y reglamentos internos del programa en base a los objetivos.")</f>
        <v>Cumplir con normativa y reglamentos internos del programa en base a los objetivos.</v>
      </c>
      <c r="J46" s="11">
        <f ca="1">IFERROR(__xludf.DUMMYFUNCTION("""COMPUTED_VALUE"""),20000000)</f>
        <v>20000000</v>
      </c>
      <c r="K46" s="27">
        <f ca="1">IFERROR(__xludf.DUMMYFUNCTION("""COMPUTED_VALUE"""),1)</f>
        <v>1</v>
      </c>
      <c r="L46" s="28">
        <f ca="1">IFERROR(__xludf.DUMMYFUNCTION("""COMPUTED_VALUE"""),2765)</f>
        <v>2765</v>
      </c>
      <c r="M46" s="10" t="str">
        <f ca="1">IFERROR(__xludf.DUMMYFUNCTION("""COMPUTED_VALUE"""),"Programa Modernización Municipal")</f>
        <v>Programa Modernización Municipal</v>
      </c>
      <c r="N46" s="24"/>
      <c r="O46" s="16"/>
      <c r="P46" s="16"/>
      <c r="Q46" s="16"/>
      <c r="R46" s="16"/>
      <c r="S46" s="16"/>
      <c r="T46" s="16"/>
      <c r="U46" s="16"/>
      <c r="V46" s="16"/>
      <c r="W46" s="16"/>
      <c r="X46" s="16"/>
      <c r="Y46" s="16"/>
      <c r="Z46" s="16"/>
    </row>
    <row r="47" spans="1:26" ht="12.75" customHeight="1">
      <c r="A47" s="22"/>
      <c r="B47" s="10" t="str">
        <f ca="1">IFERROR(__xludf.DUMMYFUNCTION("""COMPUTED_VALUE"""),"Implementación del Plan de Mejoramiento de la Gestión Global y de Servicios Municipales")</f>
        <v>Implementación del Plan de Mejoramiento de la Gestión Global y de Servicios Municipales</v>
      </c>
      <c r="C47" s="26" t="str">
        <f t="shared" ca="1" si="0"/>
        <v xml:space="preserve"> QUILLÓN</v>
      </c>
      <c r="D47" s="10" t="str">
        <f ca="1">IFERROR(__xludf.DUMMYFUNCTION("""COMPUTED_VALUE"""),"Resolución de Transferencia")</f>
        <v>Resolución de Transferencia</v>
      </c>
      <c r="E47" s="26" t="str">
        <f ca="1">IFERROR(__xludf.DUMMYFUNCTION("""COMPUTED_VALUE"""),"MUNICIPALIDAD DE QUILLÓN")</f>
        <v>MUNICIPALIDAD DE QUILLÓN</v>
      </c>
      <c r="F47" s="11">
        <f ca="1">IFERROR(__xludf.DUMMYFUNCTION("""COMPUTED_VALUE"""),20000000)</f>
        <v>20000000</v>
      </c>
      <c r="G47" s="10" t="str">
        <f ca="1">IFERROR(__xludf.DUMMYFUNCTION("""COMPUTED_VALUE"""),"Resolución")</f>
        <v>Resolución</v>
      </c>
      <c r="H47" s="10" t="str">
        <f ca="1">IFERROR(__xludf.DUMMYFUNCTION("""COMPUTED_VALUE"""),"Asistencia Técnica y Financiera para el Mejoramiento de la gestión en la provisión de servicios")</f>
        <v>Asistencia Técnica y Financiera para el Mejoramiento de la gestión en la provisión de servicios</v>
      </c>
      <c r="I47" s="10" t="str">
        <f ca="1">IFERROR(__xludf.DUMMYFUNCTION("""COMPUTED_VALUE"""),"Cumplir con normativa y reglamentos internos del programa en base a los objetivos.")</f>
        <v>Cumplir con normativa y reglamentos internos del programa en base a los objetivos.</v>
      </c>
      <c r="J47" s="11">
        <f ca="1">IFERROR(__xludf.DUMMYFUNCTION("""COMPUTED_VALUE"""),20000000)</f>
        <v>20000000</v>
      </c>
      <c r="K47" s="27">
        <f ca="1">IFERROR(__xludf.DUMMYFUNCTION("""COMPUTED_VALUE"""),1)</f>
        <v>1</v>
      </c>
      <c r="L47" s="28">
        <f ca="1">IFERROR(__xludf.DUMMYFUNCTION("""COMPUTED_VALUE"""),2765)</f>
        <v>2765</v>
      </c>
      <c r="M47" s="10" t="str">
        <f ca="1">IFERROR(__xludf.DUMMYFUNCTION("""COMPUTED_VALUE"""),"Programa Modernización Municipal")</f>
        <v>Programa Modernización Municipal</v>
      </c>
      <c r="N47" s="24"/>
      <c r="O47" s="16"/>
      <c r="P47" s="16"/>
      <c r="Q47" s="16"/>
      <c r="R47" s="16"/>
      <c r="S47" s="16"/>
      <c r="T47" s="16"/>
      <c r="U47" s="16"/>
      <c r="V47" s="16"/>
      <c r="W47" s="16"/>
      <c r="X47" s="16"/>
      <c r="Y47" s="16"/>
      <c r="Z47" s="16"/>
    </row>
    <row r="48" spans="1:26" ht="12.75" customHeight="1">
      <c r="A48" s="22"/>
      <c r="B48" s="10" t="str">
        <f ca="1">IFERROR(__xludf.DUMMYFUNCTION("""COMPUTED_VALUE"""),"Implementación del Plan de Mejoramiento de la Gestión Global y de Servicios Municipales")</f>
        <v>Implementación del Plan de Mejoramiento de la Gestión Global y de Servicios Municipales</v>
      </c>
      <c r="C48" s="26" t="str">
        <f t="shared" ca="1" si="0"/>
        <v xml:space="preserve"> QUIRIHUE</v>
      </c>
      <c r="D48" s="10" t="str">
        <f ca="1">IFERROR(__xludf.DUMMYFUNCTION("""COMPUTED_VALUE"""),"Resolución de Transferencia")</f>
        <v>Resolución de Transferencia</v>
      </c>
      <c r="E48" s="26" t="str">
        <f ca="1">IFERROR(__xludf.DUMMYFUNCTION("""COMPUTED_VALUE"""),"MUNICIPALIDAD DE QUIRIHUE")</f>
        <v>MUNICIPALIDAD DE QUIRIHUE</v>
      </c>
      <c r="F48" s="11">
        <f ca="1">IFERROR(__xludf.DUMMYFUNCTION("""COMPUTED_VALUE"""),20000000)</f>
        <v>20000000</v>
      </c>
      <c r="G48" s="10" t="str">
        <f ca="1">IFERROR(__xludf.DUMMYFUNCTION("""COMPUTED_VALUE"""),"Resolución")</f>
        <v>Resolución</v>
      </c>
      <c r="H48" s="10" t="str">
        <f ca="1">IFERROR(__xludf.DUMMYFUNCTION("""COMPUTED_VALUE"""),"Asistencia Técnica y Financiera para el Mejoramiento de la gestión en la provisión de servicios")</f>
        <v>Asistencia Técnica y Financiera para el Mejoramiento de la gestión en la provisión de servicios</v>
      </c>
      <c r="I48" s="10" t="str">
        <f ca="1">IFERROR(__xludf.DUMMYFUNCTION("""COMPUTED_VALUE"""),"Cumplir con normativa y reglamentos internos del programa en base a los objetivos.")</f>
        <v>Cumplir con normativa y reglamentos internos del programa en base a los objetivos.</v>
      </c>
      <c r="J48" s="11">
        <f ca="1">IFERROR(__xludf.DUMMYFUNCTION("""COMPUTED_VALUE"""),20000000)</f>
        <v>20000000</v>
      </c>
      <c r="K48" s="27">
        <f ca="1">IFERROR(__xludf.DUMMYFUNCTION("""COMPUTED_VALUE"""),1)</f>
        <v>1</v>
      </c>
      <c r="L48" s="28">
        <f ca="1">IFERROR(__xludf.DUMMYFUNCTION("""COMPUTED_VALUE"""),2765)</f>
        <v>2765</v>
      </c>
      <c r="M48" s="10" t="str">
        <f ca="1">IFERROR(__xludf.DUMMYFUNCTION("""COMPUTED_VALUE"""),"Programa Modernización Municipal")</f>
        <v>Programa Modernización Municipal</v>
      </c>
      <c r="N48" s="24"/>
      <c r="O48" s="16"/>
      <c r="P48" s="16"/>
      <c r="Q48" s="16"/>
      <c r="R48" s="16"/>
      <c r="S48" s="16"/>
      <c r="T48" s="16"/>
      <c r="U48" s="16"/>
      <c r="V48" s="16"/>
      <c r="W48" s="16"/>
      <c r="X48" s="16"/>
      <c r="Y48" s="16"/>
      <c r="Z48" s="16"/>
    </row>
    <row r="49" spans="1:26" ht="12.75" customHeight="1">
      <c r="A49" s="22"/>
      <c r="B49" s="10" t="str">
        <f ca="1">IFERROR(__xludf.DUMMYFUNCTION("""COMPUTED_VALUE"""),"Implementación del Plan de Mejoramiento de la Gestión Global y de Servicios Municipales")</f>
        <v>Implementación del Plan de Mejoramiento de la Gestión Global y de Servicios Municipales</v>
      </c>
      <c r="C49" s="26" t="str">
        <f t="shared" ca="1" si="0"/>
        <v xml:space="preserve"> RÁNQUIL</v>
      </c>
      <c r="D49" s="10" t="str">
        <f ca="1">IFERROR(__xludf.DUMMYFUNCTION("""COMPUTED_VALUE"""),"Resolución de Transferencia")</f>
        <v>Resolución de Transferencia</v>
      </c>
      <c r="E49" s="26" t="str">
        <f ca="1">IFERROR(__xludf.DUMMYFUNCTION("""COMPUTED_VALUE"""),"MUNICIPALIDAD DE RÁNQUIL")</f>
        <v>MUNICIPALIDAD DE RÁNQUIL</v>
      </c>
      <c r="F49" s="11">
        <f ca="1">IFERROR(__xludf.DUMMYFUNCTION("""COMPUTED_VALUE"""),20000000)</f>
        <v>20000000</v>
      </c>
      <c r="G49" s="10" t="str">
        <f ca="1">IFERROR(__xludf.DUMMYFUNCTION("""COMPUTED_VALUE"""),"Resolución")</f>
        <v>Resolución</v>
      </c>
      <c r="H49" s="10" t="str">
        <f ca="1">IFERROR(__xludf.DUMMYFUNCTION("""COMPUTED_VALUE"""),"Asistencia Técnica y Financiera para el Mejoramiento de la gestión en la provisión de servicios")</f>
        <v>Asistencia Técnica y Financiera para el Mejoramiento de la gestión en la provisión de servicios</v>
      </c>
      <c r="I49" s="10" t="str">
        <f ca="1">IFERROR(__xludf.DUMMYFUNCTION("""COMPUTED_VALUE"""),"Cumplir con normativa y reglamentos internos del programa en base a los objetivos.")</f>
        <v>Cumplir con normativa y reglamentos internos del programa en base a los objetivos.</v>
      </c>
      <c r="J49" s="11">
        <f ca="1">IFERROR(__xludf.DUMMYFUNCTION("""COMPUTED_VALUE"""),20000000)</f>
        <v>20000000</v>
      </c>
      <c r="K49" s="27">
        <f ca="1">IFERROR(__xludf.DUMMYFUNCTION("""COMPUTED_VALUE"""),1)</f>
        <v>1</v>
      </c>
      <c r="L49" s="28">
        <f ca="1">IFERROR(__xludf.DUMMYFUNCTION("""COMPUTED_VALUE"""),2765)</f>
        <v>2765</v>
      </c>
      <c r="M49" s="10" t="str">
        <f ca="1">IFERROR(__xludf.DUMMYFUNCTION("""COMPUTED_VALUE"""),"Programa Modernización Municipal")</f>
        <v>Programa Modernización Municipal</v>
      </c>
      <c r="N49" s="24"/>
      <c r="O49" s="16"/>
      <c r="P49" s="16"/>
      <c r="Q49" s="16"/>
      <c r="R49" s="16"/>
      <c r="S49" s="16"/>
      <c r="T49" s="16"/>
      <c r="U49" s="16"/>
      <c r="V49" s="16"/>
      <c r="W49" s="16"/>
      <c r="X49" s="16"/>
      <c r="Y49" s="16"/>
      <c r="Z49" s="16"/>
    </row>
    <row r="50" spans="1:26" ht="12.75" customHeight="1">
      <c r="A50" s="22"/>
      <c r="B50" s="10" t="str">
        <f ca="1">IFERROR(__xludf.DUMMYFUNCTION("""COMPUTED_VALUE"""),"Implementación del Plan de Mejoramiento de la Gestión Global y de Servicios Municipales")</f>
        <v>Implementación del Plan de Mejoramiento de la Gestión Global y de Servicios Municipales</v>
      </c>
      <c r="C50" s="26" t="str">
        <f t="shared" ca="1" si="0"/>
        <v xml:space="preserve"> SAN NICOLÁS</v>
      </c>
      <c r="D50" s="10" t="str">
        <f ca="1">IFERROR(__xludf.DUMMYFUNCTION("""COMPUTED_VALUE"""),"Resolución de Transferencia")</f>
        <v>Resolución de Transferencia</v>
      </c>
      <c r="E50" s="26" t="str">
        <f ca="1">IFERROR(__xludf.DUMMYFUNCTION("""COMPUTED_VALUE"""),"MUNICIPALIDAD DE SAN NICOLÁS")</f>
        <v>MUNICIPALIDAD DE SAN NICOLÁS</v>
      </c>
      <c r="F50" s="11">
        <f ca="1">IFERROR(__xludf.DUMMYFUNCTION("""COMPUTED_VALUE"""),20000000)</f>
        <v>20000000</v>
      </c>
      <c r="G50" s="10" t="str">
        <f ca="1">IFERROR(__xludf.DUMMYFUNCTION("""COMPUTED_VALUE"""),"Resolución")</f>
        <v>Resolución</v>
      </c>
      <c r="H50" s="10" t="str">
        <f ca="1">IFERROR(__xludf.DUMMYFUNCTION("""COMPUTED_VALUE"""),"Asistencia Técnica y Financiera para el Mejoramiento de la gestión en la provisión de servicios")</f>
        <v>Asistencia Técnica y Financiera para el Mejoramiento de la gestión en la provisión de servicios</v>
      </c>
      <c r="I50" s="10" t="str">
        <f ca="1">IFERROR(__xludf.DUMMYFUNCTION("""COMPUTED_VALUE"""),"Cumplir con normativa y reglamentos internos del programa en base a los objetivos.")</f>
        <v>Cumplir con normativa y reglamentos internos del programa en base a los objetivos.</v>
      </c>
      <c r="J50" s="11">
        <f ca="1">IFERROR(__xludf.DUMMYFUNCTION("""COMPUTED_VALUE"""),20000000)</f>
        <v>20000000</v>
      </c>
      <c r="K50" s="27">
        <f ca="1">IFERROR(__xludf.DUMMYFUNCTION("""COMPUTED_VALUE"""),1)</f>
        <v>1</v>
      </c>
      <c r="L50" s="28">
        <f ca="1">IFERROR(__xludf.DUMMYFUNCTION("""COMPUTED_VALUE"""),2765)</f>
        <v>2765</v>
      </c>
      <c r="M50" s="10" t="str">
        <f ca="1">IFERROR(__xludf.DUMMYFUNCTION("""COMPUTED_VALUE"""),"Programa Modernización Municipal")</f>
        <v>Programa Modernización Municipal</v>
      </c>
      <c r="N50" s="24"/>
      <c r="O50" s="16"/>
      <c r="P50" s="16"/>
      <c r="Q50" s="16"/>
      <c r="R50" s="16"/>
      <c r="S50" s="16"/>
      <c r="T50" s="16"/>
      <c r="U50" s="16"/>
      <c r="V50" s="16"/>
      <c r="W50" s="16"/>
      <c r="X50" s="16"/>
      <c r="Y50" s="16"/>
      <c r="Z50" s="16"/>
    </row>
    <row r="51" spans="1:26" ht="12.75" customHeight="1">
      <c r="A51" s="22"/>
      <c r="B51" s="10" t="str">
        <f ca="1">IFERROR(__xludf.DUMMYFUNCTION("""COMPUTED_VALUE"""),"Implementación del Plan de Mejoramiento de la Gestión Global y de Servicios Municipales")</f>
        <v>Implementación del Plan de Mejoramiento de la Gestión Global y de Servicios Municipales</v>
      </c>
      <c r="C51" s="26" t="str">
        <f t="shared" ca="1" si="0"/>
        <v xml:space="preserve"> TREHUACO</v>
      </c>
      <c r="D51" s="10" t="str">
        <f ca="1">IFERROR(__xludf.DUMMYFUNCTION("""COMPUTED_VALUE"""),"Resolución de Transferencia")</f>
        <v>Resolución de Transferencia</v>
      </c>
      <c r="E51" s="26" t="str">
        <f ca="1">IFERROR(__xludf.DUMMYFUNCTION("""COMPUTED_VALUE"""),"MUNICIPALIDAD DE TREHUACO")</f>
        <v>MUNICIPALIDAD DE TREHUACO</v>
      </c>
      <c r="F51" s="11">
        <f ca="1">IFERROR(__xludf.DUMMYFUNCTION("""COMPUTED_VALUE"""),20000000)</f>
        <v>20000000</v>
      </c>
      <c r="G51" s="10" t="str">
        <f ca="1">IFERROR(__xludf.DUMMYFUNCTION("""COMPUTED_VALUE"""),"Resolución")</f>
        <v>Resolución</v>
      </c>
      <c r="H51" s="10" t="str">
        <f ca="1">IFERROR(__xludf.DUMMYFUNCTION("""COMPUTED_VALUE"""),"Asistencia Técnica y Financiera para el Mejoramiento de la gestión en la provisión de servicios")</f>
        <v>Asistencia Técnica y Financiera para el Mejoramiento de la gestión en la provisión de servicios</v>
      </c>
      <c r="I51" s="10" t="str">
        <f ca="1">IFERROR(__xludf.DUMMYFUNCTION("""COMPUTED_VALUE"""),"Cumplir con normativa y reglamentos internos del programa en base a los objetivos.")</f>
        <v>Cumplir con normativa y reglamentos internos del programa en base a los objetivos.</v>
      </c>
      <c r="J51" s="11">
        <f ca="1">IFERROR(__xludf.DUMMYFUNCTION("""COMPUTED_VALUE"""),20000000)</f>
        <v>20000000</v>
      </c>
      <c r="K51" s="27">
        <f ca="1">IFERROR(__xludf.DUMMYFUNCTION("""COMPUTED_VALUE"""),1)</f>
        <v>1</v>
      </c>
      <c r="L51" s="28">
        <f ca="1">IFERROR(__xludf.DUMMYFUNCTION("""COMPUTED_VALUE"""),2765)</f>
        <v>2765</v>
      </c>
      <c r="M51" s="10" t="str">
        <f ca="1">IFERROR(__xludf.DUMMYFUNCTION("""COMPUTED_VALUE"""),"Programa Modernización Municipal")</f>
        <v>Programa Modernización Municipal</v>
      </c>
      <c r="N51" s="24"/>
      <c r="O51" s="16"/>
      <c r="P51" s="16"/>
      <c r="Q51" s="16"/>
      <c r="R51" s="16"/>
      <c r="S51" s="16"/>
      <c r="T51" s="16"/>
      <c r="U51" s="16"/>
      <c r="V51" s="16"/>
      <c r="W51" s="16"/>
      <c r="X51" s="16"/>
      <c r="Y51" s="16"/>
      <c r="Z51" s="16"/>
    </row>
    <row r="52" spans="1:26" ht="12.75" customHeight="1">
      <c r="A52" s="22"/>
      <c r="B52" s="10" t="str">
        <f ca="1">IFERROR(__xludf.DUMMYFUNCTION("""COMPUTED_VALUE"""),"Implementación del Plan de Mejoramiento de la Gestión Global y de Servicios Municipales")</f>
        <v>Implementación del Plan de Mejoramiento de la Gestión Global y de Servicios Municipales</v>
      </c>
      <c r="C52" s="26" t="str">
        <f t="shared" ca="1" si="0"/>
        <v xml:space="preserve"> PUNITAQUI</v>
      </c>
      <c r="D52" s="10" t="str">
        <f ca="1">IFERROR(__xludf.DUMMYFUNCTION("""COMPUTED_VALUE"""),"Resolución de Transferencia")</f>
        <v>Resolución de Transferencia</v>
      </c>
      <c r="E52" s="26" t="str">
        <f ca="1">IFERROR(__xludf.DUMMYFUNCTION("""COMPUTED_VALUE"""),"MUNICIPALIDAD DE PUNITAQUI")</f>
        <v>MUNICIPALIDAD DE PUNITAQUI</v>
      </c>
      <c r="F52" s="11">
        <f ca="1">IFERROR(__xludf.DUMMYFUNCTION("""COMPUTED_VALUE"""),50000000)</f>
        <v>50000000</v>
      </c>
      <c r="G52" s="10" t="str">
        <f ca="1">IFERROR(__xludf.DUMMYFUNCTION("""COMPUTED_VALUE"""),"Resolución")</f>
        <v>Resolución</v>
      </c>
      <c r="H52" s="10" t="str">
        <f ca="1">IFERROR(__xludf.DUMMYFUNCTION("""COMPUTED_VALUE"""),"Asistencia Técnica y Financiera para el Mejoramiento de la gestión en la provisión de servicios")</f>
        <v>Asistencia Técnica y Financiera para el Mejoramiento de la gestión en la provisión de servicios</v>
      </c>
      <c r="I52" s="10" t="str">
        <f ca="1">IFERROR(__xludf.DUMMYFUNCTION("""COMPUTED_VALUE"""),"Cumplir con normativa y reglamentos internos del programa en base a los objetivos.")</f>
        <v>Cumplir con normativa y reglamentos internos del programa en base a los objetivos.</v>
      </c>
      <c r="J52" s="11">
        <f ca="1">IFERROR(__xludf.DUMMYFUNCTION("""COMPUTED_VALUE"""),50000000)</f>
        <v>50000000</v>
      </c>
      <c r="K52" s="27">
        <f ca="1">IFERROR(__xludf.DUMMYFUNCTION("""COMPUTED_VALUE"""),1)</f>
        <v>1</v>
      </c>
      <c r="L52" s="28">
        <f ca="1">IFERROR(__xludf.DUMMYFUNCTION("""COMPUTED_VALUE"""),9362)</f>
        <v>9362</v>
      </c>
      <c r="M52" s="10" t="str">
        <f ca="1">IFERROR(__xludf.DUMMYFUNCTION("""COMPUTED_VALUE"""),"Programa Modernización Municipal")</f>
        <v>Programa Modernización Municipal</v>
      </c>
      <c r="N52" s="24"/>
      <c r="O52" s="16"/>
      <c r="P52" s="16"/>
      <c r="Q52" s="16"/>
      <c r="R52" s="16"/>
      <c r="S52" s="16"/>
      <c r="T52" s="16"/>
      <c r="U52" s="16"/>
      <c r="V52" s="16"/>
      <c r="W52" s="16"/>
      <c r="X52" s="16"/>
      <c r="Y52" s="16"/>
      <c r="Z52" s="16"/>
    </row>
    <row r="53" spans="1:26" ht="12.75" customHeight="1">
      <c r="A53" s="22"/>
      <c r="B53" s="10" t="str">
        <f ca="1">IFERROR(__xludf.DUMMYFUNCTION("""COMPUTED_VALUE"""),"Escuela de dirigentes y fortalecimiento de organizaciones sociales rurales, para la Gobernanza Territorial en la Región de Coquimbo")</f>
        <v>Escuela de dirigentes y fortalecimiento de organizaciones sociales rurales, para la Gobernanza Territorial en la Región de Coquimbo</v>
      </c>
      <c r="C53" s="26" t="s">
        <v>25</v>
      </c>
      <c r="D53" s="10" t="str">
        <f ca="1">IFERROR(__xludf.DUMMYFUNCTION("""COMPUTED_VALUE"""),"Resolución de Transferencia")</f>
        <v>Resolución de Transferencia</v>
      </c>
      <c r="E53" s="26" t="str">
        <f ca="1">IFERROR(__xludf.DUMMYFUNCTION("""COMPUTED_VALUE"""),"SECRETARÍA GENERAL DE GOBIERNO")</f>
        <v>SECRETARÍA GENERAL DE GOBIERNO</v>
      </c>
      <c r="F53" s="11">
        <f ca="1">IFERROR(__xludf.DUMMYFUNCTION("""COMPUTED_VALUE"""),80000000)</f>
        <v>80000000</v>
      </c>
      <c r="G53" s="10" t="str">
        <f ca="1">IFERROR(__xludf.DUMMYFUNCTION("""COMPUTED_VALUE"""),"Resolución")</f>
        <v>Resolución</v>
      </c>
      <c r="H53" s="10" t="str">
        <f ca="1">IFERROR(__xludf.DUMMYFUNCTION("""COMPUTED_VALUE"""),"Asistencia Técnica y Financiera para el Mejoramiento de la gestión en la provisión de servicios")</f>
        <v>Asistencia Técnica y Financiera para el Mejoramiento de la gestión en la provisión de servicios</v>
      </c>
      <c r="I53" s="10" t="str">
        <f ca="1">IFERROR(__xludf.DUMMYFUNCTION("""COMPUTED_VALUE"""),"Cumplir con normativa y reglamentos internos del programa en base a los objetivos.")</f>
        <v>Cumplir con normativa y reglamentos internos del programa en base a los objetivos.</v>
      </c>
      <c r="J53" s="11">
        <f ca="1">IFERROR(__xludf.DUMMYFUNCTION("""COMPUTED_VALUE"""),80000000)</f>
        <v>80000000</v>
      </c>
      <c r="K53" s="27">
        <f ca="1">IFERROR(__xludf.DUMMYFUNCTION("""COMPUTED_VALUE"""),1)</f>
        <v>1</v>
      </c>
      <c r="L53" s="28">
        <f ca="1">IFERROR(__xludf.DUMMYFUNCTION("""COMPUTED_VALUE"""),10027)</f>
        <v>10027</v>
      </c>
      <c r="M53" s="10" t="str">
        <f ca="1">IFERROR(__xludf.DUMMYFUNCTION("""COMPUTED_VALUE"""),"Programa Modernización Municipal")</f>
        <v>Programa Modernización Municipal</v>
      </c>
      <c r="N53" s="24"/>
      <c r="O53" s="16"/>
      <c r="P53" s="16"/>
      <c r="Q53" s="16"/>
      <c r="R53" s="16"/>
      <c r="S53" s="16"/>
      <c r="T53" s="16"/>
      <c r="U53" s="16"/>
      <c r="V53" s="16"/>
      <c r="W53" s="16"/>
      <c r="X53" s="16"/>
      <c r="Y53" s="16"/>
      <c r="Z53" s="16"/>
    </row>
    <row r="54" spans="1:26" ht="12.75" customHeight="1">
      <c r="A54" s="22"/>
      <c r="B54" s="10" t="str">
        <f ca="1">IFERROR(__xludf.DUMMYFUNCTION("""COMPUTED_VALUE"""),"Fortalecimiento de la gobernanza del agua en microcuencas priorizadas de los ríos San Pedro y Calle Calle")</f>
        <v>Fortalecimiento de la gobernanza del agua en microcuencas priorizadas de los ríos San Pedro y Calle Calle</v>
      </c>
      <c r="C54" s="26" t="s">
        <v>26</v>
      </c>
      <c r="D54" s="10" t="str">
        <f ca="1">IFERROR(__xludf.DUMMYFUNCTION("""COMPUTED_VALUE"""),"Resolución de Transferencia")</f>
        <v>Resolución de Transferencia</v>
      </c>
      <c r="E54" s="26" t="str">
        <f ca="1">IFERROR(__xludf.DUMMYFUNCTION("""COMPUTED_VALUE"""),"ASOCIACIÓN DE MUNICIPIOS PARA LA CONSERVACIÓN DE LA BIODIVERSIDAD DE LA REGIÓN DE LOS RÍOS")</f>
        <v>ASOCIACIÓN DE MUNICIPIOS PARA LA CONSERVACIÓN DE LA BIODIVERSIDAD DE LA REGIÓN DE LOS RÍOS</v>
      </c>
      <c r="F54" s="11">
        <f ca="1">IFERROR(__xludf.DUMMYFUNCTION("""COMPUTED_VALUE"""),16000000)</f>
        <v>16000000</v>
      </c>
      <c r="G54" s="10" t="str">
        <f ca="1">IFERROR(__xludf.DUMMYFUNCTION("""COMPUTED_VALUE"""),"Resolución")</f>
        <v>Resolución</v>
      </c>
      <c r="H54" s="10" t="str">
        <f ca="1">IFERROR(__xludf.DUMMYFUNCTION("""COMPUTED_VALUE"""),"Asistencia Técnica y Financiera para proyectos de Fortalecimiento de la Gestión de Asociaciones Municipales")</f>
        <v>Asistencia Técnica y Financiera para proyectos de Fortalecimiento de la Gestión de Asociaciones Municipales</v>
      </c>
      <c r="I54" s="10" t="str">
        <f ca="1">IFERROR(__xludf.DUMMYFUNCTION("""COMPUTED_VALUE"""),"Cumplir con normativa y reglamentos internos del programa en base a los objetivos.")</f>
        <v>Cumplir con normativa y reglamentos internos del programa en base a los objetivos.</v>
      </c>
      <c r="J54" s="11">
        <f ca="1">IFERROR(__xludf.DUMMYFUNCTION("""COMPUTED_VALUE"""),16000000)</f>
        <v>16000000</v>
      </c>
      <c r="K54" s="27">
        <f ca="1">IFERROR(__xludf.DUMMYFUNCTION("""COMPUTED_VALUE"""),1)</f>
        <v>1</v>
      </c>
      <c r="L54" s="28">
        <f ca="1">IFERROR(__xludf.DUMMYFUNCTION("""COMPUTED_VALUE"""),4928)</f>
        <v>4928</v>
      </c>
      <c r="M54" s="10" t="str">
        <f ca="1">IFERROR(__xludf.DUMMYFUNCTION("""COMPUTED_VALUE"""),"Programa Modernización Municipal")</f>
        <v>Programa Modernización Municipal</v>
      </c>
      <c r="N54" s="24"/>
      <c r="O54" s="16"/>
      <c r="P54" s="16"/>
      <c r="Q54" s="16"/>
      <c r="R54" s="16"/>
      <c r="S54" s="16"/>
      <c r="T54" s="16"/>
      <c r="U54" s="16"/>
      <c r="V54" s="16"/>
      <c r="W54" s="16"/>
      <c r="X54" s="16"/>
      <c r="Y54" s="16"/>
      <c r="Z54" s="16"/>
    </row>
    <row r="55" spans="1:26" ht="12.75" customHeight="1">
      <c r="A55" s="22"/>
      <c r="B55" s="10" t="str">
        <f ca="1">IFERROR(__xludf.DUMMYFUNCTION("""COMPUTED_VALUE"""),"Implementación inicial del Plan de acción de Residuos orgánicos para la Región de los Ríos")</f>
        <v>Implementación inicial del Plan de acción de Residuos orgánicos para la Región de los Ríos</v>
      </c>
      <c r="C55" s="26" t="s">
        <v>27</v>
      </c>
      <c r="D55" s="10" t="str">
        <f ca="1">IFERROR(__xludf.DUMMYFUNCTION("""COMPUTED_VALUE"""),"Resolución de Transferencia")</f>
        <v>Resolución de Transferencia</v>
      </c>
      <c r="E55" s="26" t="str">
        <f ca="1">IFERROR(__xludf.DUMMYFUNCTION("""COMPUTED_VALUE"""),"ASOCIACIÓN DE MUNICIPALIDADES DE LA REGIÓN DE LOS RÍOS PARA EL MANEJO SUSTENTABLE DE RESIDUOS Y LA GESTIÓN AMBIENTAL")</f>
        <v>ASOCIACIÓN DE MUNICIPALIDADES DE LA REGIÓN DE LOS RÍOS PARA EL MANEJO SUSTENTABLE DE RESIDUOS Y LA GESTIÓN AMBIENTAL</v>
      </c>
      <c r="F55" s="11">
        <f ca="1">IFERROR(__xludf.DUMMYFUNCTION("""COMPUTED_VALUE"""),16000000)</f>
        <v>16000000</v>
      </c>
      <c r="G55" s="10" t="str">
        <f ca="1">IFERROR(__xludf.DUMMYFUNCTION("""COMPUTED_VALUE"""),"Resolución")</f>
        <v>Resolución</v>
      </c>
      <c r="H55" s="10" t="str">
        <f ca="1">IFERROR(__xludf.DUMMYFUNCTION("""COMPUTED_VALUE"""),"Asistencia Técnica y Financiera para proyectos de Fortalecimiento de la Gestión de Asociaciones Municipales")</f>
        <v>Asistencia Técnica y Financiera para proyectos de Fortalecimiento de la Gestión de Asociaciones Municipales</v>
      </c>
      <c r="I55" s="10" t="str">
        <f ca="1">IFERROR(__xludf.DUMMYFUNCTION("""COMPUTED_VALUE"""),"Cumplir con normativa y reglamentos internos del programa en base a los objetivos.")</f>
        <v>Cumplir con normativa y reglamentos internos del programa en base a los objetivos.</v>
      </c>
      <c r="J55" s="11">
        <f ca="1">IFERROR(__xludf.DUMMYFUNCTION("""COMPUTED_VALUE"""),16000000)</f>
        <v>16000000</v>
      </c>
      <c r="K55" s="27">
        <f ca="1">IFERROR(__xludf.DUMMYFUNCTION("""COMPUTED_VALUE"""),1)</f>
        <v>1</v>
      </c>
      <c r="L55" s="28">
        <f ca="1">IFERROR(__xludf.DUMMYFUNCTION("""COMPUTED_VALUE"""),4928)</f>
        <v>4928</v>
      </c>
      <c r="M55" s="10" t="str">
        <f ca="1">IFERROR(__xludf.DUMMYFUNCTION("""COMPUTED_VALUE"""),"Programa Modernización Municipal")</f>
        <v>Programa Modernización Municipal</v>
      </c>
      <c r="N55" s="24"/>
      <c r="O55" s="16"/>
      <c r="P55" s="16"/>
      <c r="Q55" s="16"/>
      <c r="R55" s="16"/>
      <c r="S55" s="16"/>
      <c r="T55" s="16"/>
      <c r="U55" s="16"/>
      <c r="V55" s="16"/>
      <c r="W55" s="16"/>
      <c r="X55" s="16"/>
      <c r="Y55" s="16"/>
      <c r="Z55" s="16"/>
    </row>
    <row r="56" spans="1:26" ht="12.75" customHeight="1">
      <c r="A56" s="22"/>
      <c r="B56" s="10" t="str">
        <f ca="1">IFERROR(__xludf.DUMMYFUNCTION("""COMPUTED_VALUE"""),"Escuela de Formación Medioambiental(EFMA) Ciudad Sur: Fortaleciendo a las organizaciones comunitarias medioambientales y a la ciudadanía a través del asociativismo municipal")</f>
        <v>Escuela de Formación Medioambiental(EFMA) Ciudad Sur: Fortaleciendo a las organizaciones comunitarias medioambientales y a la ciudadanía a través del asociativismo municipal</v>
      </c>
      <c r="C56" s="26" t="s">
        <v>28</v>
      </c>
      <c r="D56" s="10" t="str">
        <f ca="1">IFERROR(__xludf.DUMMYFUNCTION("""COMPUTED_VALUE"""),"Resolución de Transferencia")</f>
        <v>Resolución de Transferencia</v>
      </c>
      <c r="E56" s="26" t="str">
        <f ca="1">IFERROR(__xludf.DUMMYFUNCTION("""COMPUTED_VALUE"""),"ASOCIACIÓN DE MUNICIPIOS CIUDAD SUR")</f>
        <v>ASOCIACIÓN DE MUNICIPIOS CIUDAD SUR</v>
      </c>
      <c r="F56" s="11">
        <f ca="1">IFERROR(__xludf.DUMMYFUNCTION("""COMPUTED_VALUE"""),16000000)</f>
        <v>16000000</v>
      </c>
      <c r="G56" s="10" t="str">
        <f ca="1">IFERROR(__xludf.DUMMYFUNCTION("""COMPUTED_VALUE"""),"Resolución")</f>
        <v>Resolución</v>
      </c>
      <c r="H56" s="10" t="str">
        <f ca="1">IFERROR(__xludf.DUMMYFUNCTION("""COMPUTED_VALUE"""),"Asistencia Técnica y Financiera para proyectos de Fortalecimiento de la Gestión de Asociaciones Municipales")</f>
        <v>Asistencia Técnica y Financiera para proyectos de Fortalecimiento de la Gestión de Asociaciones Municipales</v>
      </c>
      <c r="I56" s="10" t="str">
        <f ca="1">IFERROR(__xludf.DUMMYFUNCTION("""COMPUTED_VALUE"""),"Cumplir con normativa y reglamentos internos del programa en base a los objetivos.")</f>
        <v>Cumplir con normativa y reglamentos internos del programa en base a los objetivos.</v>
      </c>
      <c r="J56" s="11">
        <f ca="1">IFERROR(__xludf.DUMMYFUNCTION("""COMPUTED_VALUE"""),16000000)</f>
        <v>16000000</v>
      </c>
      <c r="K56" s="27">
        <f ca="1">IFERROR(__xludf.DUMMYFUNCTION("""COMPUTED_VALUE"""),1)</f>
        <v>1</v>
      </c>
      <c r="L56" s="28">
        <f ca="1">IFERROR(__xludf.DUMMYFUNCTION("""COMPUTED_VALUE"""),4928)</f>
        <v>4928</v>
      </c>
      <c r="M56" s="10" t="str">
        <f ca="1">IFERROR(__xludf.DUMMYFUNCTION("""COMPUTED_VALUE"""),"Programa Modernización Municipal")</f>
        <v>Programa Modernización Municipal</v>
      </c>
      <c r="N56" s="24"/>
      <c r="O56" s="16"/>
      <c r="P56" s="16"/>
      <c r="Q56" s="16"/>
      <c r="R56" s="16"/>
      <c r="S56" s="16"/>
      <c r="T56" s="16"/>
      <c r="U56" s="16"/>
      <c r="V56" s="16"/>
      <c r="W56" s="16"/>
      <c r="X56" s="16"/>
      <c r="Y56" s="16"/>
      <c r="Z56" s="16"/>
    </row>
    <row r="57" spans="1:26" ht="12.75" customHeight="1">
      <c r="A57" s="22"/>
      <c r="B57" s="10" t="str">
        <f ca="1">IFERROR(__xludf.DUMMYFUNCTION("""COMPUTED_VALUE"""),"Gobernanza participativa y plan de gestión para el “Paisaje de Conservación Cordillera Nahuelbuta Norte” en las comunas de Santa Juana, San Pedro de la Paz y Coronel")</f>
        <v>Gobernanza participativa y plan de gestión para el “Paisaje de Conservación Cordillera Nahuelbuta Norte” en las comunas de Santa Juana, San Pedro de la Paz y Coronel</v>
      </c>
      <c r="C57" s="26" t="s">
        <v>29</v>
      </c>
      <c r="D57" s="10" t="str">
        <f ca="1">IFERROR(__xludf.DUMMYFUNCTION("""COMPUTED_VALUE"""),"Resolución de Transferencia")</f>
        <v>Resolución de Transferencia</v>
      </c>
      <c r="E57" s="26" t="str">
        <f ca="1">IFERROR(__xludf.DUMMYFUNCTION("""COMPUTED_VALUE"""),"ASOCIACIÓN DE MUNICIPALIDADES DE LA REGIÓN DEL BIOBÍO - AMRBB")</f>
        <v>ASOCIACIÓN DE MUNICIPALIDADES DE LA REGIÓN DEL BIOBÍO - AMRBB</v>
      </c>
      <c r="F57" s="11">
        <f ca="1">IFERROR(__xludf.DUMMYFUNCTION("""COMPUTED_VALUE"""),16000000)</f>
        <v>16000000</v>
      </c>
      <c r="G57" s="10" t="str">
        <f ca="1">IFERROR(__xludf.DUMMYFUNCTION("""COMPUTED_VALUE"""),"Resolución")</f>
        <v>Resolución</v>
      </c>
      <c r="H57" s="10" t="str">
        <f ca="1">IFERROR(__xludf.DUMMYFUNCTION("""COMPUTED_VALUE"""),"Asistencia Técnica y Financiera para proyectos de Fortalecimiento de la Gestión de Asociaciones Municipales")</f>
        <v>Asistencia Técnica y Financiera para proyectos de Fortalecimiento de la Gestión de Asociaciones Municipales</v>
      </c>
      <c r="I57" s="10" t="str">
        <f ca="1">IFERROR(__xludf.DUMMYFUNCTION("""COMPUTED_VALUE"""),"Cumplir con normativa y reglamentos internos del programa en base a los objetivos.")</f>
        <v>Cumplir con normativa y reglamentos internos del programa en base a los objetivos.</v>
      </c>
      <c r="J57" s="11">
        <f ca="1">IFERROR(__xludf.DUMMYFUNCTION("""COMPUTED_VALUE"""),16000000)</f>
        <v>16000000</v>
      </c>
      <c r="K57" s="27">
        <f ca="1">IFERROR(__xludf.DUMMYFUNCTION("""COMPUTED_VALUE"""),1)</f>
        <v>1</v>
      </c>
      <c r="L57" s="28">
        <f ca="1">IFERROR(__xludf.DUMMYFUNCTION("""COMPUTED_VALUE"""),4928)</f>
        <v>4928</v>
      </c>
      <c r="M57" s="10" t="str">
        <f ca="1">IFERROR(__xludf.DUMMYFUNCTION("""COMPUTED_VALUE"""),"Programa Modernización Municipal")</f>
        <v>Programa Modernización Municipal</v>
      </c>
      <c r="N57" s="24"/>
      <c r="O57" s="16"/>
      <c r="P57" s="16"/>
      <c r="Q57" s="16"/>
      <c r="R57" s="16"/>
      <c r="S57" s="16"/>
      <c r="T57" s="16"/>
      <c r="U57" s="16"/>
      <c r="V57" s="16"/>
      <c r="W57" s="16"/>
      <c r="X57" s="16"/>
      <c r="Y57" s="16"/>
      <c r="Z57" s="16"/>
    </row>
    <row r="58" spans="1:26" ht="12.75" customHeight="1">
      <c r="A58" s="22"/>
      <c r="B58" s="10" t="str">
        <f ca="1">IFERROR(__xludf.DUMMYFUNCTION("""COMPUTED_VALUE"""),"Potenciar las gobernanzas ambientales por medio del fortalecimiento de las competencias de los funcionarios municipales de la Región de los Ríos.")</f>
        <v>Potenciar las gobernanzas ambientales por medio del fortalecimiento de las competencias de los funcionarios municipales de la Región de los Ríos.</v>
      </c>
      <c r="C58" s="26" t="s">
        <v>30</v>
      </c>
      <c r="D58" s="10" t="str">
        <f ca="1">IFERROR(__xludf.DUMMYFUNCTION("""COMPUTED_VALUE"""),"Resolución de Transferencia")</f>
        <v>Resolución de Transferencia</v>
      </c>
      <c r="E58" s="26" t="str">
        <f ca="1">IFERROR(__xludf.DUMMYFUNCTION("""COMPUTED_VALUE"""),"ASOCIACIÓN DE MUNICIPALIDADES DE LA REGIÓN DE LOS RÍOS")</f>
        <v>ASOCIACIÓN DE MUNICIPALIDADES DE LA REGIÓN DE LOS RÍOS</v>
      </c>
      <c r="F58" s="11">
        <f ca="1">IFERROR(__xludf.DUMMYFUNCTION("""COMPUTED_VALUE"""),15963700)</f>
        <v>15963700</v>
      </c>
      <c r="G58" s="10" t="str">
        <f ca="1">IFERROR(__xludf.DUMMYFUNCTION("""COMPUTED_VALUE"""),"Resolución")</f>
        <v>Resolución</v>
      </c>
      <c r="H58" s="10" t="str">
        <f ca="1">IFERROR(__xludf.DUMMYFUNCTION("""COMPUTED_VALUE"""),"Asistencia Técnica y Financiera para proyectos de Fortalecimiento de la Gestión de Asociaciones Municipales")</f>
        <v>Asistencia Técnica y Financiera para proyectos de Fortalecimiento de la Gestión de Asociaciones Municipales</v>
      </c>
      <c r="I58" s="10" t="str">
        <f ca="1">IFERROR(__xludf.DUMMYFUNCTION("""COMPUTED_VALUE"""),"Cumplir con normativa y reglamentos internos del programa en base a los objetivos.")</f>
        <v>Cumplir con normativa y reglamentos internos del programa en base a los objetivos.</v>
      </c>
      <c r="J58" s="11">
        <f ca="1">IFERROR(__xludf.DUMMYFUNCTION("""COMPUTED_VALUE"""),15963700)</f>
        <v>15963700</v>
      </c>
      <c r="K58" s="27">
        <f ca="1">IFERROR(__xludf.DUMMYFUNCTION("""COMPUTED_VALUE"""),1)</f>
        <v>1</v>
      </c>
      <c r="L58" s="28">
        <f ca="1">IFERROR(__xludf.DUMMYFUNCTION("""COMPUTED_VALUE"""),4928)</f>
        <v>4928</v>
      </c>
      <c r="M58" s="10" t="str">
        <f ca="1">IFERROR(__xludf.DUMMYFUNCTION("""COMPUTED_VALUE"""),"Programa Modernización Municipal")</f>
        <v>Programa Modernización Municipal</v>
      </c>
      <c r="N58" s="24"/>
      <c r="O58" s="16"/>
      <c r="P58" s="16"/>
      <c r="Q58" s="16"/>
      <c r="R58" s="16"/>
      <c r="S58" s="16"/>
      <c r="T58" s="16"/>
      <c r="U58" s="16"/>
      <c r="V58" s="16"/>
      <c r="W58" s="16"/>
      <c r="X58" s="16"/>
      <c r="Y58" s="16"/>
      <c r="Z58" s="16"/>
    </row>
    <row r="59" spans="1:26" ht="12.75" customHeight="1">
      <c r="A59" s="22"/>
      <c r="B59" s="10" t="str">
        <f ca="1">IFERROR(__xludf.DUMMYFUNCTION("""COMPUTED_VALUE"""),"La Protección de la Biodiversidad en los Instrumentos de Planificación Territorial.")</f>
        <v>La Protección de la Biodiversidad en los Instrumentos de Planificación Territorial.</v>
      </c>
      <c r="C59" s="26" t="s">
        <v>31</v>
      </c>
      <c r="D59" s="10" t="str">
        <f ca="1">IFERROR(__xludf.DUMMYFUNCTION("""COMPUTED_VALUE"""),"Resolución de Transferencia")</f>
        <v>Resolución de Transferencia</v>
      </c>
      <c r="E59" s="26" t="str">
        <f ca="1">IFERROR(__xludf.DUMMYFUNCTION("""COMPUTED_VALUE"""),"ASOCIACION DE MUNICIPALIDADES PARA LA PRESERVACION DE LA BIODIVERSIDAD EN EL TERRITORIO NONGUEN Y OT")</f>
        <v>ASOCIACION DE MUNICIPALIDADES PARA LA PRESERVACION DE LA BIODIVERSIDAD EN EL TERRITORIO NONGUEN Y OT</v>
      </c>
      <c r="F59" s="11">
        <f ca="1">IFERROR(__xludf.DUMMYFUNCTION("""COMPUTED_VALUE"""),16000000)</f>
        <v>16000000</v>
      </c>
      <c r="G59" s="10" t="str">
        <f ca="1">IFERROR(__xludf.DUMMYFUNCTION("""COMPUTED_VALUE"""),"Resolución")</f>
        <v>Resolución</v>
      </c>
      <c r="H59" s="10" t="str">
        <f ca="1">IFERROR(__xludf.DUMMYFUNCTION("""COMPUTED_VALUE"""),"Asistencia Técnica y Financiera para proyectos de Fortalecimiento de la Gestión de Asociaciones Municipales")</f>
        <v>Asistencia Técnica y Financiera para proyectos de Fortalecimiento de la Gestión de Asociaciones Municipales</v>
      </c>
      <c r="I59" s="10" t="str">
        <f ca="1">IFERROR(__xludf.DUMMYFUNCTION("""COMPUTED_VALUE"""),"Cumplir con normativa y reglamentos internos del programa en base a los objetivos.")</f>
        <v>Cumplir con normativa y reglamentos internos del programa en base a los objetivos.</v>
      </c>
      <c r="J59" s="11">
        <f ca="1">IFERROR(__xludf.DUMMYFUNCTION("""COMPUTED_VALUE"""),16000000)</f>
        <v>16000000</v>
      </c>
      <c r="K59" s="27">
        <f ca="1">IFERROR(__xludf.DUMMYFUNCTION("""COMPUTED_VALUE"""),1)</f>
        <v>1</v>
      </c>
      <c r="L59" s="28">
        <f ca="1">IFERROR(__xludf.DUMMYFUNCTION("""COMPUTED_VALUE"""),4928)</f>
        <v>4928</v>
      </c>
      <c r="M59" s="10" t="str">
        <f ca="1">IFERROR(__xludf.DUMMYFUNCTION("""COMPUTED_VALUE"""),"Programa Modernización Municipal")</f>
        <v>Programa Modernización Municipal</v>
      </c>
      <c r="N59" s="24"/>
      <c r="O59" s="16"/>
      <c r="P59" s="16"/>
      <c r="Q59" s="16"/>
      <c r="R59" s="16"/>
      <c r="S59" s="16"/>
      <c r="T59" s="16"/>
      <c r="U59" s="16"/>
      <c r="V59" s="16"/>
      <c r="W59" s="16"/>
      <c r="X59" s="16"/>
      <c r="Y59" s="16"/>
      <c r="Z59" s="16"/>
    </row>
    <row r="60" spans="1:26" ht="12.75" customHeight="1">
      <c r="A60" s="22"/>
      <c r="B60" s="10" t="str">
        <f ca="1">IFERROR(__xludf.DUMMYFUNCTION("""COMPUTED_VALUE"""),"Fortalecimiento de la Gestión Climática Territorial en la Asociación de Municipios Turísticos Lacustres AMTL")</f>
        <v>Fortalecimiento de la Gestión Climática Territorial en la Asociación de Municipios Turísticos Lacustres AMTL</v>
      </c>
      <c r="C60" s="26" t="s">
        <v>32</v>
      </c>
      <c r="D60" s="10" t="str">
        <f ca="1">IFERROR(__xludf.DUMMYFUNCTION("""COMPUTED_VALUE"""),"Resolución de Transferencia")</f>
        <v>Resolución de Transferencia</v>
      </c>
      <c r="E60" s="26" t="str">
        <f ca="1">IFERROR(__xludf.DUMMYFUNCTION("""COMPUTED_VALUE"""),"ASOCIACIÓN DE MUNICIPALIDADES TURÍSTICAS LACUSTRE - AMTL")</f>
        <v>ASOCIACIÓN DE MUNICIPALIDADES TURÍSTICAS LACUSTRE - AMTL</v>
      </c>
      <c r="F60" s="11">
        <f ca="1">IFERROR(__xludf.DUMMYFUNCTION("""COMPUTED_VALUE"""),16000000)</f>
        <v>16000000</v>
      </c>
      <c r="G60" s="10" t="str">
        <f ca="1">IFERROR(__xludf.DUMMYFUNCTION("""COMPUTED_VALUE"""),"Resolución")</f>
        <v>Resolución</v>
      </c>
      <c r="H60" s="10" t="str">
        <f ca="1">IFERROR(__xludf.DUMMYFUNCTION("""COMPUTED_VALUE"""),"Asistencia Técnica y Financiera para proyectos de Fortalecimiento de la Gestión de Asociaciones Municipales")</f>
        <v>Asistencia Técnica y Financiera para proyectos de Fortalecimiento de la Gestión de Asociaciones Municipales</v>
      </c>
      <c r="I60" s="10" t="str">
        <f ca="1">IFERROR(__xludf.DUMMYFUNCTION("""COMPUTED_VALUE"""),"Cumplir con normativa y reglamentos internos del programa en base a los objetivos.")</f>
        <v>Cumplir con normativa y reglamentos internos del programa en base a los objetivos.</v>
      </c>
      <c r="J60" s="11">
        <f ca="1">IFERROR(__xludf.DUMMYFUNCTION("""COMPUTED_VALUE"""),16000000)</f>
        <v>16000000</v>
      </c>
      <c r="K60" s="27">
        <f ca="1">IFERROR(__xludf.DUMMYFUNCTION("""COMPUTED_VALUE"""),1)</f>
        <v>1</v>
      </c>
      <c r="L60" s="28">
        <f ca="1">IFERROR(__xludf.DUMMYFUNCTION("""COMPUTED_VALUE"""),4928)</f>
        <v>4928</v>
      </c>
      <c r="M60" s="10" t="str">
        <f ca="1">IFERROR(__xludf.DUMMYFUNCTION("""COMPUTED_VALUE"""),"Programa Modernización Municipal")</f>
        <v>Programa Modernización Municipal</v>
      </c>
      <c r="N60" s="24"/>
      <c r="O60" s="16"/>
      <c r="P60" s="16"/>
      <c r="Q60" s="16"/>
      <c r="R60" s="16"/>
      <c r="S60" s="16"/>
      <c r="T60" s="16"/>
      <c r="U60" s="16"/>
      <c r="V60" s="16"/>
      <c r="W60" s="16"/>
      <c r="X60" s="16"/>
      <c r="Y60" s="16"/>
      <c r="Z60" s="16"/>
    </row>
    <row r="61" spans="1:26" ht="12.75" customHeight="1">
      <c r="A61" s="22"/>
      <c r="B61" s="10" t="str">
        <f ca="1">IFERROR(__xludf.DUMMYFUNCTION("""COMPUTED_VALUE"""),"Puesta en marcha del modelo de gobernanza y operación de la leñería popular sustentable.")</f>
        <v>Puesta en marcha del modelo de gobernanza y operación de la leñería popular sustentable.</v>
      </c>
      <c r="C61" s="26" t="s">
        <v>33</v>
      </c>
      <c r="D61" s="10" t="str">
        <f ca="1">IFERROR(__xludf.DUMMYFUNCTION("""COMPUTED_VALUE"""),"Resolución de Transferencia")</f>
        <v>Resolución de Transferencia</v>
      </c>
      <c r="E61" s="26" t="str">
        <f ca="1">IFERROR(__xludf.DUMMYFUNCTION("""COMPUTED_VALUE"""),"ASOCIACIÓN DE MUNICIPALIDADES CORDILLERA DE LA COSTA CORRAL - LA UNIÓN - AMCCCLU")</f>
        <v>ASOCIACIÓN DE MUNICIPALIDADES CORDILLERA DE LA COSTA CORRAL - LA UNIÓN - AMCCCLU</v>
      </c>
      <c r="F61" s="11">
        <f ca="1">IFERROR(__xludf.DUMMYFUNCTION("""COMPUTED_VALUE"""),16000000)</f>
        <v>16000000</v>
      </c>
      <c r="G61" s="10" t="str">
        <f ca="1">IFERROR(__xludf.DUMMYFUNCTION("""COMPUTED_VALUE"""),"Resolución")</f>
        <v>Resolución</v>
      </c>
      <c r="H61" s="10" t="str">
        <f ca="1">IFERROR(__xludf.DUMMYFUNCTION("""COMPUTED_VALUE"""),"Asistencia Técnica y Financiera para proyectos de Fortalecimiento de la Gestión de Asociaciones Municipales")</f>
        <v>Asistencia Técnica y Financiera para proyectos de Fortalecimiento de la Gestión de Asociaciones Municipales</v>
      </c>
      <c r="I61" s="10" t="str">
        <f ca="1">IFERROR(__xludf.DUMMYFUNCTION("""COMPUTED_VALUE"""),"Cumplir con normativa y reglamentos internos del programa en base a los objetivos.")</f>
        <v>Cumplir con normativa y reglamentos internos del programa en base a los objetivos.</v>
      </c>
      <c r="J61" s="11">
        <f ca="1">IFERROR(__xludf.DUMMYFUNCTION("""COMPUTED_VALUE"""),16000000)</f>
        <v>16000000</v>
      </c>
      <c r="K61" s="27">
        <f ca="1">IFERROR(__xludf.DUMMYFUNCTION("""COMPUTED_VALUE"""),1)</f>
        <v>1</v>
      </c>
      <c r="L61" s="28">
        <f ca="1">IFERROR(__xludf.DUMMYFUNCTION("""COMPUTED_VALUE"""),4928)</f>
        <v>4928</v>
      </c>
      <c r="M61" s="10" t="str">
        <f ca="1">IFERROR(__xludf.DUMMYFUNCTION("""COMPUTED_VALUE"""),"Programa Modernización Municipal")</f>
        <v>Programa Modernización Municipal</v>
      </c>
      <c r="N61" s="24"/>
      <c r="O61" s="16"/>
      <c r="P61" s="16"/>
      <c r="Q61" s="16"/>
      <c r="R61" s="16"/>
      <c r="S61" s="16"/>
      <c r="T61" s="16"/>
      <c r="U61" s="16"/>
      <c r="V61" s="16"/>
      <c r="W61" s="16"/>
      <c r="X61" s="16"/>
      <c r="Y61" s="16"/>
      <c r="Z61" s="16"/>
    </row>
    <row r="62" spans="1:26" ht="12.75" customHeight="1">
      <c r="A62" s="22"/>
      <c r="B62" s="10" t="str">
        <f ca="1">IFERROR(__xludf.DUMMYFUNCTION("""COMPUTED_VALUE"""),"Diseño de un diagnóstico y estrategia de fortalecimiento institucional, para el cumplimiento de la Ley deTransformación Digital (TD) en los Municipios de la Provincia de Huasco")</f>
        <v>Diseño de un diagnóstico y estrategia de fortalecimiento institucional, para el cumplimiento de la Ley deTransformación Digital (TD) en los Municipios de la Provincia de Huasco</v>
      </c>
      <c r="C62" s="26" t="s">
        <v>34</v>
      </c>
      <c r="D62" s="10" t="str">
        <f ca="1">IFERROR(__xludf.DUMMYFUNCTION("""COMPUTED_VALUE"""),"Resolución de Transferencia")</f>
        <v>Resolución de Transferencia</v>
      </c>
      <c r="E62" s="26" t="str">
        <f ca="1">IFERROR(__xludf.DUMMYFUNCTION("""COMPUTED_VALUE"""),"ASOCIACIÓN DE MUNICIPALIDADES DE LA PROVINCIA DEL HUASCO")</f>
        <v>ASOCIACIÓN DE MUNICIPALIDADES DE LA PROVINCIA DEL HUASCO</v>
      </c>
      <c r="F62" s="11">
        <f ca="1">IFERROR(__xludf.DUMMYFUNCTION("""COMPUTED_VALUE"""),16000000)</f>
        <v>16000000</v>
      </c>
      <c r="G62" s="10" t="str">
        <f ca="1">IFERROR(__xludf.DUMMYFUNCTION("""COMPUTED_VALUE"""),"Resolución")</f>
        <v>Resolución</v>
      </c>
      <c r="H62" s="10" t="str">
        <f ca="1">IFERROR(__xludf.DUMMYFUNCTION("""COMPUTED_VALUE"""),"Asistencia Técnica y Financiera para proyectos de Fortalecimiento de la Gestión de Asociaciones Municipales")</f>
        <v>Asistencia Técnica y Financiera para proyectos de Fortalecimiento de la Gestión de Asociaciones Municipales</v>
      </c>
      <c r="I62" s="10" t="str">
        <f ca="1">IFERROR(__xludf.DUMMYFUNCTION("""COMPUTED_VALUE"""),"Cumplir con normativa y reglamentos internos del programa en base a los objetivos.")</f>
        <v>Cumplir con normativa y reglamentos internos del programa en base a los objetivos.</v>
      </c>
      <c r="J62" s="11">
        <f ca="1">IFERROR(__xludf.DUMMYFUNCTION("""COMPUTED_VALUE"""),16000000)</f>
        <v>16000000</v>
      </c>
      <c r="K62" s="27">
        <f ca="1">IFERROR(__xludf.DUMMYFUNCTION("""COMPUTED_VALUE"""),1)</f>
        <v>1</v>
      </c>
      <c r="L62" s="28">
        <f ca="1">IFERROR(__xludf.DUMMYFUNCTION("""COMPUTED_VALUE"""),4928)</f>
        <v>4928</v>
      </c>
      <c r="M62" s="10" t="str">
        <f ca="1">IFERROR(__xludf.DUMMYFUNCTION("""COMPUTED_VALUE"""),"Programa Modernización Municipal")</f>
        <v>Programa Modernización Municipal</v>
      </c>
      <c r="N62" s="24"/>
      <c r="O62" s="16"/>
      <c r="P62" s="16"/>
      <c r="Q62" s="16"/>
      <c r="R62" s="16"/>
      <c r="S62" s="16"/>
      <c r="T62" s="16"/>
      <c r="U62" s="16"/>
      <c r="V62" s="16"/>
      <c r="W62" s="16"/>
      <c r="X62" s="16"/>
      <c r="Y62" s="16"/>
      <c r="Z62" s="16"/>
    </row>
    <row r="63" spans="1:26" ht="12.75" customHeight="1">
      <c r="A63" s="22"/>
      <c r="B63" s="10" t="str">
        <f ca="1">IFERROR(__xludf.DUMMYFUNCTION("""COMPUTED_VALUE"""),"Formulación de Plan estratégico de capacitación ante emergencias")</f>
        <v>Formulación de Plan estratégico de capacitación ante emergencias</v>
      </c>
      <c r="C63" s="26" t="s">
        <v>35</v>
      </c>
      <c r="D63" s="10" t="str">
        <f ca="1">IFERROR(__xludf.DUMMYFUNCTION("""COMPUTED_VALUE"""),"Resolución de Transferencia")</f>
        <v>Resolución de Transferencia</v>
      </c>
      <c r="E63" s="26" t="str">
        <f ca="1">IFERROR(__xludf.DUMMYFUNCTION("""COMPUTED_VALUE"""),"ASOCIACIÓN DE MUNICIPALIDADES DE LA REGIÓN DE VALPARAÍSO - ASOMUNISV")</f>
        <v>ASOCIACIÓN DE MUNICIPALIDADES DE LA REGIÓN DE VALPARAÍSO - ASOMUNISV</v>
      </c>
      <c r="F63" s="11">
        <f ca="1">IFERROR(__xludf.DUMMYFUNCTION("""COMPUTED_VALUE"""),16000000)</f>
        <v>16000000</v>
      </c>
      <c r="G63" s="10" t="str">
        <f ca="1">IFERROR(__xludf.DUMMYFUNCTION("""COMPUTED_VALUE"""),"Resolución")</f>
        <v>Resolución</v>
      </c>
      <c r="H63" s="10" t="str">
        <f ca="1">IFERROR(__xludf.DUMMYFUNCTION("""COMPUTED_VALUE"""),"Asistencia Técnica y Financiera para proyectos de Fortalecimiento de la Gestión de Asociaciones Municipales")</f>
        <v>Asistencia Técnica y Financiera para proyectos de Fortalecimiento de la Gestión de Asociaciones Municipales</v>
      </c>
      <c r="I63" s="10" t="str">
        <f ca="1">IFERROR(__xludf.DUMMYFUNCTION("""COMPUTED_VALUE"""),"Cumplir con normativa y reglamentos internos del programa en base a los objetivos.")</f>
        <v>Cumplir con normativa y reglamentos internos del programa en base a los objetivos.</v>
      </c>
      <c r="J63" s="11">
        <f ca="1">IFERROR(__xludf.DUMMYFUNCTION("""COMPUTED_VALUE"""),16000000)</f>
        <v>16000000</v>
      </c>
      <c r="K63" s="27">
        <f ca="1">IFERROR(__xludf.DUMMYFUNCTION("""COMPUTED_VALUE"""),1)</f>
        <v>1</v>
      </c>
      <c r="L63" s="28">
        <f ca="1">IFERROR(__xludf.DUMMYFUNCTION("""COMPUTED_VALUE"""),4928)</f>
        <v>4928</v>
      </c>
      <c r="M63" s="10" t="str">
        <f ca="1">IFERROR(__xludf.DUMMYFUNCTION("""COMPUTED_VALUE"""),"Programa Modernización Municipal")</f>
        <v>Programa Modernización Municipal</v>
      </c>
      <c r="N63" s="24"/>
      <c r="O63" s="16"/>
      <c r="P63" s="16"/>
      <c r="Q63" s="16"/>
      <c r="R63" s="16"/>
      <c r="S63" s="16"/>
      <c r="T63" s="16"/>
      <c r="U63" s="16"/>
      <c r="V63" s="16"/>
      <c r="W63" s="16"/>
      <c r="X63" s="16"/>
      <c r="Y63" s="16"/>
      <c r="Z63" s="16"/>
    </row>
    <row r="64" spans="1:26" ht="12.75" customHeight="1">
      <c r="A64" s="22"/>
      <c r="B64" s="10" t="str">
        <f ca="1">IFERROR(__xludf.DUMMYFUNCTION("""COMPUTED_VALUE"""),"Fortalecimiento capacidades municipales gestión de iniciativas cambio climático")</f>
        <v>Fortalecimiento capacidades municipales gestión de iniciativas cambio climático</v>
      </c>
      <c r="C64" s="26" t="str">
        <f t="shared" ref="C64:C93" ca="1" si="1">MID(E64,17,30)</f>
        <v xml:space="preserve"> QUILLECO</v>
      </c>
      <c r="D64" s="10" t="str">
        <f ca="1">IFERROR(__xludf.DUMMYFUNCTION("""COMPUTED_VALUE"""),"Resolución de Transferencia")</f>
        <v>Resolución de Transferencia</v>
      </c>
      <c r="E64" s="26" t="str">
        <f ca="1">IFERROR(__xludf.DUMMYFUNCTION("""COMPUTED_VALUE"""),"MUNICIPALIDAD DE QUILLECO")</f>
        <v>MUNICIPALIDAD DE QUILLECO</v>
      </c>
      <c r="F64" s="11">
        <f ca="1">IFERROR(__xludf.DUMMYFUNCTION("""COMPUTED_VALUE"""),10000000)</f>
        <v>10000000</v>
      </c>
      <c r="G64" s="10" t="str">
        <f ca="1">IFERROR(__xludf.DUMMYFUNCTION("""COMPUTED_VALUE"""),"Resolución")</f>
        <v>Resolución</v>
      </c>
      <c r="H64" s="10" t="str">
        <f ca="1">IFERROR(__xludf.DUMMYFUNCTION("""COMPUTED_VALUE"""),"Asistencia Técnica y Financiera para el Mejoramiento de la gestión en la provisión de servicios")</f>
        <v>Asistencia Técnica y Financiera para el Mejoramiento de la gestión en la provisión de servicios</v>
      </c>
      <c r="I64" s="10" t="str">
        <f ca="1">IFERROR(__xludf.DUMMYFUNCTION("""COMPUTED_VALUE"""),"Cumplir con normativa y reglamentos internos del programa en base a los objetivos.")</f>
        <v>Cumplir con normativa y reglamentos internos del programa en base a los objetivos.</v>
      </c>
      <c r="J64" s="11">
        <f ca="1">IFERROR(__xludf.DUMMYFUNCTION("""COMPUTED_VALUE"""),10000000)</f>
        <v>10000000</v>
      </c>
      <c r="K64" s="27">
        <f ca="1">IFERROR(__xludf.DUMMYFUNCTION("""COMPUTED_VALUE"""),1)</f>
        <v>1</v>
      </c>
      <c r="L64" s="28">
        <f ca="1">IFERROR(__xludf.DUMMYFUNCTION("""COMPUTED_VALUE"""),11018)</f>
        <v>11018</v>
      </c>
      <c r="M64" s="10" t="str">
        <f ca="1">IFERROR(__xludf.DUMMYFUNCTION("""COMPUTED_VALUE"""),"Programa Modernización Municipal")</f>
        <v>Programa Modernización Municipal</v>
      </c>
      <c r="N64" s="24"/>
      <c r="O64" s="16"/>
      <c r="P64" s="16"/>
      <c r="Q64" s="16"/>
      <c r="R64" s="16"/>
      <c r="S64" s="16"/>
      <c r="T64" s="16"/>
      <c r="U64" s="16"/>
      <c r="V64" s="16"/>
      <c r="W64" s="16"/>
      <c r="X64" s="16"/>
      <c r="Y64" s="16"/>
      <c r="Z64" s="16"/>
    </row>
    <row r="65" spans="1:26" ht="12.75" customHeight="1">
      <c r="A65" s="22"/>
      <c r="B65" s="10" t="str">
        <f ca="1">IFERROR(__xludf.DUMMYFUNCTION("""COMPUTED_VALUE"""),"Fortalecimiento capacidades municipales gestión de iniciativas cambio climático")</f>
        <v>Fortalecimiento capacidades municipales gestión de iniciativas cambio climático</v>
      </c>
      <c r="C65" s="26" t="str">
        <f t="shared" ca="1" si="1"/>
        <v xml:space="preserve"> MARÍA PINTO</v>
      </c>
      <c r="D65" s="10" t="str">
        <f ca="1">IFERROR(__xludf.DUMMYFUNCTION("""COMPUTED_VALUE"""),"Resolución de Transferencia")</f>
        <v>Resolución de Transferencia</v>
      </c>
      <c r="E65" s="26" t="str">
        <f ca="1">IFERROR(__xludf.DUMMYFUNCTION("""COMPUTED_VALUE"""),"MUNICIPALIDAD DE MARÍA PINTO")</f>
        <v>MUNICIPALIDAD DE MARÍA PINTO</v>
      </c>
      <c r="F65" s="11">
        <f ca="1">IFERROR(__xludf.DUMMYFUNCTION("""COMPUTED_VALUE"""),10000000)</f>
        <v>10000000</v>
      </c>
      <c r="G65" s="10" t="str">
        <f ca="1">IFERROR(__xludf.DUMMYFUNCTION("""COMPUTED_VALUE"""),"Resolución")</f>
        <v>Resolución</v>
      </c>
      <c r="H65" s="10" t="str">
        <f ca="1">IFERROR(__xludf.DUMMYFUNCTION("""COMPUTED_VALUE"""),"Asistencia Técnica y Financiera para el Mejoramiento de la gestión en la provisión de servicios")</f>
        <v>Asistencia Técnica y Financiera para el Mejoramiento de la gestión en la provisión de servicios</v>
      </c>
      <c r="I65" s="10" t="str">
        <f ca="1">IFERROR(__xludf.DUMMYFUNCTION("""COMPUTED_VALUE"""),"Cumplir con normativa y reglamentos internos del programa en base a los objetivos.")</f>
        <v>Cumplir con normativa y reglamentos internos del programa en base a los objetivos.</v>
      </c>
      <c r="J65" s="11">
        <f ca="1">IFERROR(__xludf.DUMMYFUNCTION("""COMPUTED_VALUE"""),10000000)</f>
        <v>10000000</v>
      </c>
      <c r="K65" s="27">
        <f ca="1">IFERROR(__xludf.DUMMYFUNCTION("""COMPUTED_VALUE"""),1)</f>
        <v>1</v>
      </c>
      <c r="L65" s="28">
        <f ca="1">IFERROR(__xludf.DUMMYFUNCTION("""COMPUTED_VALUE"""),11018)</f>
        <v>11018</v>
      </c>
      <c r="M65" s="10" t="str">
        <f ca="1">IFERROR(__xludf.DUMMYFUNCTION("""COMPUTED_VALUE"""),"Programa Modernización Municipal")</f>
        <v>Programa Modernización Municipal</v>
      </c>
      <c r="N65" s="24"/>
      <c r="O65" s="16"/>
      <c r="P65" s="16"/>
      <c r="Q65" s="16"/>
      <c r="R65" s="16"/>
      <c r="S65" s="16"/>
      <c r="T65" s="16"/>
      <c r="U65" s="16"/>
      <c r="V65" s="16"/>
      <c r="W65" s="16"/>
      <c r="X65" s="16"/>
      <c r="Y65" s="16"/>
      <c r="Z65" s="16"/>
    </row>
    <row r="66" spans="1:26" ht="12.75" customHeight="1">
      <c r="A66" s="22"/>
      <c r="B66" s="10" t="str">
        <f ca="1">IFERROR(__xludf.DUMMYFUNCTION("""COMPUTED_VALUE"""),"Fortalecimiento capacidades municipales gestión de iniciativas cambio climático")</f>
        <v>Fortalecimiento capacidades municipales gestión de iniciativas cambio climático</v>
      </c>
      <c r="C66" s="26" t="str">
        <f t="shared" ca="1" si="1"/>
        <v xml:space="preserve"> O´HIGGINS</v>
      </c>
      <c r="D66" s="10" t="str">
        <f ca="1">IFERROR(__xludf.DUMMYFUNCTION("""COMPUTED_VALUE"""),"Resolución de Transferencia")</f>
        <v>Resolución de Transferencia</v>
      </c>
      <c r="E66" s="26" t="str">
        <f ca="1">IFERROR(__xludf.DUMMYFUNCTION("""COMPUTED_VALUE"""),"MUNICIPALIDAD DE O´HIGGINS")</f>
        <v>MUNICIPALIDAD DE O´HIGGINS</v>
      </c>
      <c r="F66" s="11">
        <f ca="1">IFERROR(__xludf.DUMMYFUNCTION("""COMPUTED_VALUE"""),10000000)</f>
        <v>10000000</v>
      </c>
      <c r="G66" s="10" t="str">
        <f ca="1">IFERROR(__xludf.DUMMYFUNCTION("""COMPUTED_VALUE"""),"Resolución")</f>
        <v>Resolución</v>
      </c>
      <c r="H66" s="10" t="str">
        <f ca="1">IFERROR(__xludf.DUMMYFUNCTION("""COMPUTED_VALUE"""),"Asistencia Técnica y Financiera para el Mejoramiento de la gestión en la provisión de servicios")</f>
        <v>Asistencia Técnica y Financiera para el Mejoramiento de la gestión en la provisión de servicios</v>
      </c>
      <c r="I66" s="10" t="str">
        <f ca="1">IFERROR(__xludf.DUMMYFUNCTION("""COMPUTED_VALUE"""),"Cumplir con normativa y reglamentos internos del programa en base a los objetivos.")</f>
        <v>Cumplir con normativa y reglamentos internos del programa en base a los objetivos.</v>
      </c>
      <c r="J66" s="11">
        <f ca="1">IFERROR(__xludf.DUMMYFUNCTION("""COMPUTED_VALUE"""),10000000)</f>
        <v>10000000</v>
      </c>
      <c r="K66" s="27">
        <f ca="1">IFERROR(__xludf.DUMMYFUNCTION("""COMPUTED_VALUE"""),1)</f>
        <v>1</v>
      </c>
      <c r="L66" s="28">
        <f ca="1">IFERROR(__xludf.DUMMYFUNCTION("""COMPUTED_VALUE"""),11018)</f>
        <v>11018</v>
      </c>
      <c r="M66" s="10" t="str">
        <f ca="1">IFERROR(__xludf.DUMMYFUNCTION("""COMPUTED_VALUE"""),"Programa Modernización Municipal")</f>
        <v>Programa Modernización Municipal</v>
      </c>
      <c r="N66" s="24"/>
      <c r="O66" s="16"/>
      <c r="P66" s="16"/>
      <c r="Q66" s="16"/>
      <c r="R66" s="16"/>
      <c r="S66" s="16"/>
      <c r="T66" s="16"/>
      <c r="U66" s="16"/>
      <c r="V66" s="16"/>
      <c r="W66" s="16"/>
      <c r="X66" s="16"/>
      <c r="Y66" s="16"/>
      <c r="Z66" s="16"/>
    </row>
    <row r="67" spans="1:26" ht="12.75" customHeight="1">
      <c r="A67" s="22"/>
      <c r="B67" s="10" t="str">
        <f ca="1">IFERROR(__xludf.DUMMYFUNCTION("""COMPUTED_VALUE"""),"Fortalecimiento capacidades municipales gestión de iniciativas cambio climático")</f>
        <v>Fortalecimiento capacidades municipales gestión de iniciativas cambio climático</v>
      </c>
      <c r="C67" s="26" t="str">
        <f t="shared" ca="1" si="1"/>
        <v xml:space="preserve"> LUMACO</v>
      </c>
      <c r="D67" s="10" t="str">
        <f ca="1">IFERROR(__xludf.DUMMYFUNCTION("""COMPUTED_VALUE"""),"Resolución de Transferencia")</f>
        <v>Resolución de Transferencia</v>
      </c>
      <c r="E67" s="26" t="str">
        <f ca="1">IFERROR(__xludf.DUMMYFUNCTION("""COMPUTED_VALUE"""),"MUNICIPALIDAD DE LUMACO")</f>
        <v>MUNICIPALIDAD DE LUMACO</v>
      </c>
      <c r="F67" s="11">
        <f ca="1">IFERROR(__xludf.DUMMYFUNCTION("""COMPUTED_VALUE"""),10000000)</f>
        <v>10000000</v>
      </c>
      <c r="G67" s="10" t="str">
        <f ca="1">IFERROR(__xludf.DUMMYFUNCTION("""COMPUTED_VALUE"""),"Resolución")</f>
        <v>Resolución</v>
      </c>
      <c r="H67" s="10" t="str">
        <f ca="1">IFERROR(__xludf.DUMMYFUNCTION("""COMPUTED_VALUE"""),"Asistencia Técnica y Financiera para el Mejoramiento de la gestión en la provisión de servicios")</f>
        <v>Asistencia Técnica y Financiera para el Mejoramiento de la gestión en la provisión de servicios</v>
      </c>
      <c r="I67" s="10" t="str">
        <f ca="1">IFERROR(__xludf.DUMMYFUNCTION("""COMPUTED_VALUE"""),"Cumplir con normativa y reglamentos internos del programa en base a los objetivos.")</f>
        <v>Cumplir con normativa y reglamentos internos del programa en base a los objetivos.</v>
      </c>
      <c r="J67" s="11">
        <f ca="1">IFERROR(__xludf.DUMMYFUNCTION("""COMPUTED_VALUE"""),10000000)</f>
        <v>10000000</v>
      </c>
      <c r="K67" s="27">
        <f ca="1">IFERROR(__xludf.DUMMYFUNCTION("""COMPUTED_VALUE"""),1)</f>
        <v>1</v>
      </c>
      <c r="L67" s="28">
        <f ca="1">IFERROR(__xludf.DUMMYFUNCTION("""COMPUTED_VALUE"""),11018)</f>
        <v>11018</v>
      </c>
      <c r="M67" s="10" t="str">
        <f ca="1">IFERROR(__xludf.DUMMYFUNCTION("""COMPUTED_VALUE"""),"Programa Modernización Municipal")</f>
        <v>Programa Modernización Municipal</v>
      </c>
      <c r="N67" s="24"/>
      <c r="O67" s="16"/>
      <c r="P67" s="16"/>
      <c r="Q67" s="16"/>
      <c r="R67" s="16"/>
      <c r="S67" s="16"/>
      <c r="T67" s="16"/>
      <c r="U67" s="16"/>
      <c r="V67" s="16"/>
      <c r="W67" s="16"/>
      <c r="X67" s="16"/>
      <c r="Y67" s="16"/>
      <c r="Z67" s="16"/>
    </row>
    <row r="68" spans="1:26" ht="12.75" customHeight="1">
      <c r="A68" s="22"/>
      <c r="B68" s="10" t="str">
        <f ca="1">IFERROR(__xludf.DUMMYFUNCTION("""COMPUTED_VALUE"""),"Fortalecimiento capacidades municipales gestión de iniciativas cambio climático")</f>
        <v>Fortalecimiento capacidades municipales gestión de iniciativas cambio climático</v>
      </c>
      <c r="C68" s="26" t="str">
        <f t="shared" ca="1" si="1"/>
        <v xml:space="preserve"> QUINTERO</v>
      </c>
      <c r="D68" s="10" t="str">
        <f ca="1">IFERROR(__xludf.DUMMYFUNCTION("""COMPUTED_VALUE"""),"Resolución de Transferencia")</f>
        <v>Resolución de Transferencia</v>
      </c>
      <c r="E68" s="26" t="str">
        <f ca="1">IFERROR(__xludf.DUMMYFUNCTION("""COMPUTED_VALUE"""),"MUNICIPALIDAD DE QUINTERO")</f>
        <v>MUNICIPALIDAD DE QUINTERO</v>
      </c>
      <c r="F68" s="11">
        <f ca="1">IFERROR(__xludf.DUMMYFUNCTION("""COMPUTED_VALUE"""),10000000)</f>
        <v>10000000</v>
      </c>
      <c r="G68" s="10" t="str">
        <f ca="1">IFERROR(__xludf.DUMMYFUNCTION("""COMPUTED_VALUE"""),"Resolución")</f>
        <v>Resolución</v>
      </c>
      <c r="H68" s="10" t="str">
        <f ca="1">IFERROR(__xludf.DUMMYFUNCTION("""COMPUTED_VALUE"""),"Asistencia Técnica y Financiera para el Mejoramiento de la gestión en la provisión de servicios")</f>
        <v>Asistencia Técnica y Financiera para el Mejoramiento de la gestión en la provisión de servicios</v>
      </c>
      <c r="I68" s="10" t="str">
        <f ca="1">IFERROR(__xludf.DUMMYFUNCTION("""COMPUTED_VALUE"""),"Cumplir con normativa y reglamentos internos del programa en base a los objetivos.")</f>
        <v>Cumplir con normativa y reglamentos internos del programa en base a los objetivos.</v>
      </c>
      <c r="J68" s="11">
        <f ca="1">IFERROR(__xludf.DUMMYFUNCTION("""COMPUTED_VALUE"""),10000000)</f>
        <v>10000000</v>
      </c>
      <c r="K68" s="27">
        <f ca="1">IFERROR(__xludf.DUMMYFUNCTION("""COMPUTED_VALUE"""),1)</f>
        <v>1</v>
      </c>
      <c r="L68" s="28">
        <f ca="1">IFERROR(__xludf.DUMMYFUNCTION("""COMPUTED_VALUE"""),11018)</f>
        <v>11018</v>
      </c>
      <c r="M68" s="10" t="str">
        <f ca="1">IFERROR(__xludf.DUMMYFUNCTION("""COMPUTED_VALUE"""),"Programa Modernización Municipal")</f>
        <v>Programa Modernización Municipal</v>
      </c>
      <c r="N68" s="24"/>
      <c r="O68" s="16"/>
      <c r="P68" s="16"/>
      <c r="Q68" s="16"/>
      <c r="R68" s="16"/>
      <c r="S68" s="16"/>
      <c r="T68" s="16"/>
      <c r="U68" s="16"/>
      <c r="V68" s="16"/>
      <c r="W68" s="16"/>
      <c r="X68" s="16"/>
      <c r="Y68" s="16"/>
      <c r="Z68" s="16"/>
    </row>
    <row r="69" spans="1:26" ht="12.75" customHeight="1">
      <c r="A69" s="22"/>
      <c r="B69" s="10" t="str">
        <f ca="1">IFERROR(__xludf.DUMMYFUNCTION("""COMPUTED_VALUE"""),"Fortalecimiento capacidades municipales gestión de iniciativas cambio climático")</f>
        <v>Fortalecimiento capacidades municipales gestión de iniciativas cambio climático</v>
      </c>
      <c r="C69" s="26" t="str">
        <f t="shared" ca="1" si="1"/>
        <v xml:space="preserve"> NINHUE</v>
      </c>
      <c r="D69" s="10" t="str">
        <f ca="1">IFERROR(__xludf.DUMMYFUNCTION("""COMPUTED_VALUE"""),"Resolución de Transferencia")</f>
        <v>Resolución de Transferencia</v>
      </c>
      <c r="E69" s="26" t="str">
        <f ca="1">IFERROR(__xludf.DUMMYFUNCTION("""COMPUTED_VALUE"""),"MUNICIPALIDAD DE NINHUE")</f>
        <v>MUNICIPALIDAD DE NINHUE</v>
      </c>
      <c r="F69" s="11">
        <f ca="1">IFERROR(__xludf.DUMMYFUNCTION("""COMPUTED_VALUE"""),10000000)</f>
        <v>10000000</v>
      </c>
      <c r="G69" s="10" t="str">
        <f ca="1">IFERROR(__xludf.DUMMYFUNCTION("""COMPUTED_VALUE"""),"Resolución")</f>
        <v>Resolución</v>
      </c>
      <c r="H69" s="10" t="str">
        <f ca="1">IFERROR(__xludf.DUMMYFUNCTION("""COMPUTED_VALUE"""),"Asistencia Técnica y Financiera para el Mejoramiento de la gestión en la provisión de servicios")</f>
        <v>Asistencia Técnica y Financiera para el Mejoramiento de la gestión en la provisión de servicios</v>
      </c>
      <c r="I69" s="10" t="str">
        <f ca="1">IFERROR(__xludf.DUMMYFUNCTION("""COMPUTED_VALUE"""),"Cumplir con normativa y reglamentos internos del programa en base a los objetivos.")</f>
        <v>Cumplir con normativa y reglamentos internos del programa en base a los objetivos.</v>
      </c>
      <c r="J69" s="11">
        <f ca="1">IFERROR(__xludf.DUMMYFUNCTION("""COMPUTED_VALUE"""),10000000)</f>
        <v>10000000</v>
      </c>
      <c r="K69" s="27">
        <f ca="1">IFERROR(__xludf.DUMMYFUNCTION("""COMPUTED_VALUE"""),1)</f>
        <v>1</v>
      </c>
      <c r="L69" s="28">
        <f ca="1">IFERROR(__xludf.DUMMYFUNCTION("""COMPUTED_VALUE"""),11018)</f>
        <v>11018</v>
      </c>
      <c r="M69" s="10" t="str">
        <f ca="1">IFERROR(__xludf.DUMMYFUNCTION("""COMPUTED_VALUE"""),"Programa Modernización Municipal")</f>
        <v>Programa Modernización Municipal</v>
      </c>
      <c r="N69" s="24"/>
      <c r="O69" s="16"/>
      <c r="P69" s="16"/>
      <c r="Q69" s="16"/>
      <c r="R69" s="16"/>
      <c r="S69" s="16"/>
      <c r="T69" s="16"/>
      <c r="U69" s="16"/>
      <c r="V69" s="16"/>
      <c r="W69" s="16"/>
      <c r="X69" s="16"/>
      <c r="Y69" s="16"/>
      <c r="Z69" s="16"/>
    </row>
    <row r="70" spans="1:26" ht="12.75" customHeight="1">
      <c r="A70" s="22"/>
      <c r="B70" s="10" t="str">
        <f ca="1">IFERROR(__xludf.DUMMYFUNCTION("""COMPUTED_VALUE"""),"Fortalecimiento capacidades municipales gestión de iniciativas cambio climático")</f>
        <v>Fortalecimiento capacidades municipales gestión de iniciativas cambio climático</v>
      </c>
      <c r="C70" s="26" t="str">
        <f t="shared" ca="1" si="1"/>
        <v xml:space="preserve"> SAN ROSENDO</v>
      </c>
      <c r="D70" s="10" t="str">
        <f ca="1">IFERROR(__xludf.DUMMYFUNCTION("""COMPUTED_VALUE"""),"Resolución de Transferencia")</f>
        <v>Resolución de Transferencia</v>
      </c>
      <c r="E70" s="26" t="str">
        <f ca="1">IFERROR(__xludf.DUMMYFUNCTION("""COMPUTED_VALUE"""),"MUNICIPALIDAD DE SAN ROSENDO")</f>
        <v>MUNICIPALIDAD DE SAN ROSENDO</v>
      </c>
      <c r="F70" s="11">
        <f ca="1">IFERROR(__xludf.DUMMYFUNCTION("""COMPUTED_VALUE"""),10000000)</f>
        <v>10000000</v>
      </c>
      <c r="G70" s="10" t="str">
        <f ca="1">IFERROR(__xludf.DUMMYFUNCTION("""COMPUTED_VALUE"""),"Resolución")</f>
        <v>Resolución</v>
      </c>
      <c r="H70" s="10" t="str">
        <f ca="1">IFERROR(__xludf.DUMMYFUNCTION("""COMPUTED_VALUE"""),"Asistencia Técnica y Financiera para el Mejoramiento de la gestión en la provisión de servicios")</f>
        <v>Asistencia Técnica y Financiera para el Mejoramiento de la gestión en la provisión de servicios</v>
      </c>
      <c r="I70" s="10" t="str">
        <f ca="1">IFERROR(__xludf.DUMMYFUNCTION("""COMPUTED_VALUE"""),"Cumplir con normativa y reglamentos internos del programa en base a los objetivos.")</f>
        <v>Cumplir con normativa y reglamentos internos del programa en base a los objetivos.</v>
      </c>
      <c r="J70" s="11">
        <f ca="1">IFERROR(__xludf.DUMMYFUNCTION("""COMPUTED_VALUE"""),10000000)</f>
        <v>10000000</v>
      </c>
      <c r="K70" s="27">
        <f ca="1">IFERROR(__xludf.DUMMYFUNCTION("""COMPUTED_VALUE"""),1)</f>
        <v>1</v>
      </c>
      <c r="L70" s="28">
        <f ca="1">IFERROR(__xludf.DUMMYFUNCTION("""COMPUTED_VALUE"""),11018)</f>
        <v>11018</v>
      </c>
      <c r="M70" s="10" t="str">
        <f ca="1">IFERROR(__xludf.DUMMYFUNCTION("""COMPUTED_VALUE"""),"Programa Modernización Municipal")</f>
        <v>Programa Modernización Municipal</v>
      </c>
      <c r="N70" s="24"/>
      <c r="O70" s="16"/>
      <c r="P70" s="16"/>
      <c r="Q70" s="16"/>
      <c r="R70" s="16"/>
      <c r="S70" s="16"/>
      <c r="T70" s="16"/>
      <c r="U70" s="16"/>
      <c r="V70" s="16"/>
      <c r="W70" s="16"/>
      <c r="X70" s="16"/>
      <c r="Y70" s="16"/>
      <c r="Z70" s="16"/>
    </row>
    <row r="71" spans="1:26" ht="12.75" customHeight="1">
      <c r="A71" s="22"/>
      <c r="B71" s="10" t="str">
        <f ca="1">IFERROR(__xludf.DUMMYFUNCTION("""COMPUTED_VALUE"""),"Fortalecimiento capacidades municipales gestión de iniciativas cambio climático")</f>
        <v>Fortalecimiento capacidades municipales gestión de iniciativas cambio climático</v>
      </c>
      <c r="C71" s="26" t="str">
        <f t="shared" ca="1" si="1"/>
        <v xml:space="preserve"> COIHUECO</v>
      </c>
      <c r="D71" s="10" t="str">
        <f ca="1">IFERROR(__xludf.DUMMYFUNCTION("""COMPUTED_VALUE"""),"Resolución de Transferencia")</f>
        <v>Resolución de Transferencia</v>
      </c>
      <c r="E71" s="26" t="str">
        <f ca="1">IFERROR(__xludf.DUMMYFUNCTION("""COMPUTED_VALUE"""),"MUNICIPALIDAD DE COIHUECO")</f>
        <v>MUNICIPALIDAD DE COIHUECO</v>
      </c>
      <c r="F71" s="11">
        <f ca="1">IFERROR(__xludf.DUMMYFUNCTION("""COMPUTED_VALUE"""),10000000)</f>
        <v>10000000</v>
      </c>
      <c r="G71" s="10" t="str">
        <f ca="1">IFERROR(__xludf.DUMMYFUNCTION("""COMPUTED_VALUE"""),"Resolución")</f>
        <v>Resolución</v>
      </c>
      <c r="H71" s="10" t="str">
        <f ca="1">IFERROR(__xludf.DUMMYFUNCTION("""COMPUTED_VALUE"""),"Asistencia Técnica y Financiera para el Mejoramiento de la gestión en la provisión de servicios")</f>
        <v>Asistencia Técnica y Financiera para el Mejoramiento de la gestión en la provisión de servicios</v>
      </c>
      <c r="I71" s="10" t="str">
        <f ca="1">IFERROR(__xludf.DUMMYFUNCTION("""COMPUTED_VALUE"""),"Cumplir con normativa y reglamentos internos del programa en base a los objetivos.")</f>
        <v>Cumplir con normativa y reglamentos internos del programa en base a los objetivos.</v>
      </c>
      <c r="J71" s="11">
        <f ca="1">IFERROR(__xludf.DUMMYFUNCTION("""COMPUTED_VALUE"""),10000000)</f>
        <v>10000000</v>
      </c>
      <c r="K71" s="27">
        <f ca="1">IFERROR(__xludf.DUMMYFUNCTION("""COMPUTED_VALUE"""),1)</f>
        <v>1</v>
      </c>
      <c r="L71" s="28">
        <f ca="1">IFERROR(__xludf.DUMMYFUNCTION("""COMPUTED_VALUE"""),11018)</f>
        <v>11018</v>
      </c>
      <c r="M71" s="10" t="str">
        <f ca="1">IFERROR(__xludf.DUMMYFUNCTION("""COMPUTED_VALUE"""),"Programa Modernización Municipal")</f>
        <v>Programa Modernización Municipal</v>
      </c>
      <c r="N71" s="24"/>
      <c r="O71" s="16"/>
      <c r="P71" s="16"/>
      <c r="Q71" s="16"/>
      <c r="R71" s="16"/>
      <c r="S71" s="16"/>
      <c r="T71" s="16"/>
      <c r="U71" s="16"/>
      <c r="V71" s="16"/>
      <c r="W71" s="16"/>
      <c r="X71" s="16"/>
      <c r="Y71" s="16"/>
      <c r="Z71" s="16"/>
    </row>
    <row r="72" spans="1:26" ht="12.75" customHeight="1">
      <c r="A72" s="22"/>
      <c r="B72" s="10" t="str">
        <f ca="1">IFERROR(__xludf.DUMMYFUNCTION("""COMPUTED_VALUE"""),"Fortalecimiento capacidades municipales gestión de iniciativas cambio climático")</f>
        <v>Fortalecimiento capacidades municipales gestión de iniciativas cambio climático</v>
      </c>
      <c r="C72" s="26" t="str">
        <f t="shared" ca="1" si="1"/>
        <v xml:space="preserve"> PUNITAQUI</v>
      </c>
      <c r="D72" s="10" t="str">
        <f ca="1">IFERROR(__xludf.DUMMYFUNCTION("""COMPUTED_VALUE"""),"Resolución de Transferencia")</f>
        <v>Resolución de Transferencia</v>
      </c>
      <c r="E72" s="26" t="str">
        <f ca="1">IFERROR(__xludf.DUMMYFUNCTION("""COMPUTED_VALUE"""),"MUNICIPALIDAD DE PUNITAQUI")</f>
        <v>MUNICIPALIDAD DE PUNITAQUI</v>
      </c>
      <c r="F72" s="11">
        <f ca="1">IFERROR(__xludf.DUMMYFUNCTION("""COMPUTED_VALUE"""),10000000)</f>
        <v>10000000</v>
      </c>
      <c r="G72" s="10" t="str">
        <f ca="1">IFERROR(__xludf.DUMMYFUNCTION("""COMPUTED_VALUE"""),"Resolución")</f>
        <v>Resolución</v>
      </c>
      <c r="H72" s="10" t="str">
        <f ca="1">IFERROR(__xludf.DUMMYFUNCTION("""COMPUTED_VALUE"""),"Asistencia Técnica y Financiera para el Mejoramiento de la gestión en la provisión de servicios")</f>
        <v>Asistencia Técnica y Financiera para el Mejoramiento de la gestión en la provisión de servicios</v>
      </c>
      <c r="I72" s="10" t="str">
        <f ca="1">IFERROR(__xludf.DUMMYFUNCTION("""COMPUTED_VALUE"""),"Cumplir con normativa y reglamentos internos del programa en base a los objetivos.")</f>
        <v>Cumplir con normativa y reglamentos internos del programa en base a los objetivos.</v>
      </c>
      <c r="J72" s="11">
        <f ca="1">IFERROR(__xludf.DUMMYFUNCTION("""COMPUTED_VALUE"""),10000000)</f>
        <v>10000000</v>
      </c>
      <c r="K72" s="27">
        <f ca="1">IFERROR(__xludf.DUMMYFUNCTION("""COMPUTED_VALUE"""),1)</f>
        <v>1</v>
      </c>
      <c r="L72" s="28">
        <f ca="1">IFERROR(__xludf.DUMMYFUNCTION("""COMPUTED_VALUE"""),11018)</f>
        <v>11018</v>
      </c>
      <c r="M72" s="10" t="str">
        <f ca="1">IFERROR(__xludf.DUMMYFUNCTION("""COMPUTED_VALUE"""),"Programa Modernización Municipal")</f>
        <v>Programa Modernización Municipal</v>
      </c>
      <c r="N72" s="24"/>
      <c r="O72" s="16"/>
      <c r="P72" s="16"/>
      <c r="Q72" s="16"/>
      <c r="R72" s="16"/>
      <c r="S72" s="16"/>
      <c r="T72" s="16"/>
      <c r="U72" s="16"/>
      <c r="V72" s="16"/>
      <c r="W72" s="16"/>
      <c r="X72" s="16"/>
      <c r="Y72" s="16"/>
      <c r="Z72" s="16"/>
    </row>
    <row r="73" spans="1:26" ht="12.75" customHeight="1">
      <c r="A73" s="22"/>
      <c r="B73" s="10" t="str">
        <f ca="1">IFERROR(__xludf.DUMMYFUNCTION("""COMPUTED_VALUE"""),"Fortalecimiento capacidades municipales gestión de iniciativas cambio climático")</f>
        <v>Fortalecimiento capacidades municipales gestión de iniciativas cambio climático</v>
      </c>
      <c r="C73" s="26" t="str">
        <f t="shared" ca="1" si="1"/>
        <v xml:space="preserve"> CAMIÑA</v>
      </c>
      <c r="D73" s="10" t="str">
        <f ca="1">IFERROR(__xludf.DUMMYFUNCTION("""COMPUTED_VALUE"""),"Resolución de Transferencia")</f>
        <v>Resolución de Transferencia</v>
      </c>
      <c r="E73" s="26" t="str">
        <f ca="1">IFERROR(__xludf.DUMMYFUNCTION("""COMPUTED_VALUE"""),"MUNICIPALIDAD DE CAMIÑA")</f>
        <v>MUNICIPALIDAD DE CAMIÑA</v>
      </c>
      <c r="F73" s="11">
        <f ca="1">IFERROR(__xludf.DUMMYFUNCTION("""COMPUTED_VALUE"""),10000000)</f>
        <v>10000000</v>
      </c>
      <c r="G73" s="10" t="str">
        <f ca="1">IFERROR(__xludf.DUMMYFUNCTION("""COMPUTED_VALUE"""),"Resolución")</f>
        <v>Resolución</v>
      </c>
      <c r="H73" s="10" t="str">
        <f ca="1">IFERROR(__xludf.DUMMYFUNCTION("""COMPUTED_VALUE"""),"Asistencia Técnica y Financiera para el Mejoramiento de la gestión en la provisión de servicios")</f>
        <v>Asistencia Técnica y Financiera para el Mejoramiento de la gestión en la provisión de servicios</v>
      </c>
      <c r="I73" s="10" t="str">
        <f ca="1">IFERROR(__xludf.DUMMYFUNCTION("""COMPUTED_VALUE"""),"Cumplir con normativa y reglamentos internos del programa en base a los objetivos.")</f>
        <v>Cumplir con normativa y reglamentos internos del programa en base a los objetivos.</v>
      </c>
      <c r="J73" s="11">
        <f ca="1">IFERROR(__xludf.DUMMYFUNCTION("""COMPUTED_VALUE"""),10000000)</f>
        <v>10000000</v>
      </c>
      <c r="K73" s="27">
        <f ca="1">IFERROR(__xludf.DUMMYFUNCTION("""COMPUTED_VALUE"""),1)</f>
        <v>1</v>
      </c>
      <c r="L73" s="28">
        <f ca="1">IFERROR(__xludf.DUMMYFUNCTION("""COMPUTED_VALUE"""),11018)</f>
        <v>11018</v>
      </c>
      <c r="M73" s="10" t="str">
        <f ca="1">IFERROR(__xludf.DUMMYFUNCTION("""COMPUTED_VALUE"""),"Programa Modernización Municipal")</f>
        <v>Programa Modernización Municipal</v>
      </c>
      <c r="N73" s="24"/>
      <c r="O73" s="16"/>
      <c r="P73" s="16"/>
      <c r="Q73" s="16"/>
      <c r="R73" s="16"/>
      <c r="S73" s="16"/>
      <c r="T73" s="16"/>
      <c r="U73" s="16"/>
      <c r="V73" s="16"/>
      <c r="W73" s="16"/>
      <c r="X73" s="16"/>
      <c r="Y73" s="16"/>
      <c r="Z73" s="16"/>
    </row>
    <row r="74" spans="1:26" ht="12.75" customHeight="1">
      <c r="A74" s="22"/>
      <c r="B74" s="10" t="str">
        <f ca="1">IFERROR(__xludf.DUMMYFUNCTION("""COMPUTED_VALUE"""),"Fortalecimiento capacidades municipales gestión de iniciativas cambio climático")</f>
        <v>Fortalecimiento capacidades municipales gestión de iniciativas cambio climático</v>
      </c>
      <c r="C74" s="26" t="str">
        <f t="shared" ca="1" si="1"/>
        <v xml:space="preserve"> ALTO BIOBÍO</v>
      </c>
      <c r="D74" s="10" t="str">
        <f ca="1">IFERROR(__xludf.DUMMYFUNCTION("""COMPUTED_VALUE"""),"Resolución de Transferencia")</f>
        <v>Resolución de Transferencia</v>
      </c>
      <c r="E74" s="26" t="str">
        <f ca="1">IFERROR(__xludf.DUMMYFUNCTION("""COMPUTED_VALUE"""),"MUNICIPALIDAD DE ALTO BIOBÍO")</f>
        <v>MUNICIPALIDAD DE ALTO BIOBÍO</v>
      </c>
      <c r="F74" s="11">
        <f ca="1">IFERROR(__xludf.DUMMYFUNCTION("""COMPUTED_VALUE"""),10000000)</f>
        <v>10000000</v>
      </c>
      <c r="G74" s="10" t="str">
        <f ca="1">IFERROR(__xludf.DUMMYFUNCTION("""COMPUTED_VALUE"""),"Resolución")</f>
        <v>Resolución</v>
      </c>
      <c r="H74" s="10" t="str">
        <f ca="1">IFERROR(__xludf.DUMMYFUNCTION("""COMPUTED_VALUE"""),"Asistencia Técnica y Financiera para el Mejoramiento de la gestión en la provisión de servicios")</f>
        <v>Asistencia Técnica y Financiera para el Mejoramiento de la gestión en la provisión de servicios</v>
      </c>
      <c r="I74" s="10" t="str">
        <f ca="1">IFERROR(__xludf.DUMMYFUNCTION("""COMPUTED_VALUE"""),"Cumplir con normativa y reglamentos internos del programa en base a los objetivos.")</f>
        <v>Cumplir con normativa y reglamentos internos del programa en base a los objetivos.</v>
      </c>
      <c r="J74" s="11">
        <f ca="1">IFERROR(__xludf.DUMMYFUNCTION("""COMPUTED_VALUE"""),10000000)</f>
        <v>10000000</v>
      </c>
      <c r="K74" s="27">
        <f ca="1">IFERROR(__xludf.DUMMYFUNCTION("""COMPUTED_VALUE"""),1)</f>
        <v>1</v>
      </c>
      <c r="L74" s="28">
        <f ca="1">IFERROR(__xludf.DUMMYFUNCTION("""COMPUTED_VALUE"""),11018)</f>
        <v>11018</v>
      </c>
      <c r="M74" s="10" t="str">
        <f ca="1">IFERROR(__xludf.DUMMYFUNCTION("""COMPUTED_VALUE"""),"Programa Modernización Municipal")</f>
        <v>Programa Modernización Municipal</v>
      </c>
      <c r="N74" s="24"/>
      <c r="O74" s="16"/>
      <c r="P74" s="16"/>
      <c r="Q74" s="16"/>
      <c r="R74" s="16"/>
      <c r="S74" s="16"/>
      <c r="T74" s="16"/>
      <c r="U74" s="16"/>
      <c r="V74" s="16"/>
      <c r="W74" s="16"/>
      <c r="X74" s="16"/>
      <c r="Y74" s="16"/>
      <c r="Z74" s="16"/>
    </row>
    <row r="75" spans="1:26" ht="12.75" customHeight="1">
      <c r="A75" s="22"/>
      <c r="B75" s="10" t="str">
        <f ca="1">IFERROR(__xludf.DUMMYFUNCTION("""COMPUTED_VALUE"""),"Fortalecimiento capacidades municipales gestión de iniciativas cambio climático")</f>
        <v>Fortalecimiento capacidades municipales gestión de iniciativas cambio climático</v>
      </c>
      <c r="C75" s="26" t="str">
        <f t="shared" ca="1" si="1"/>
        <v xml:space="preserve"> SAN CARLOS</v>
      </c>
      <c r="D75" s="10" t="str">
        <f ca="1">IFERROR(__xludf.DUMMYFUNCTION("""COMPUTED_VALUE"""),"Resolución de Transferencia")</f>
        <v>Resolución de Transferencia</v>
      </c>
      <c r="E75" s="26" t="str">
        <f ca="1">IFERROR(__xludf.DUMMYFUNCTION("""COMPUTED_VALUE"""),"MUNICIPALIDAD DE SAN CARLOS")</f>
        <v>MUNICIPALIDAD DE SAN CARLOS</v>
      </c>
      <c r="F75" s="11">
        <f ca="1">IFERROR(__xludf.DUMMYFUNCTION("""COMPUTED_VALUE"""),10000000)</f>
        <v>10000000</v>
      </c>
      <c r="G75" s="10" t="str">
        <f ca="1">IFERROR(__xludf.DUMMYFUNCTION("""COMPUTED_VALUE"""),"Resolución")</f>
        <v>Resolución</v>
      </c>
      <c r="H75" s="10" t="str">
        <f ca="1">IFERROR(__xludf.DUMMYFUNCTION("""COMPUTED_VALUE"""),"Asistencia Técnica y Financiera para el Mejoramiento de la gestión en la provisión de servicios")</f>
        <v>Asistencia Técnica y Financiera para el Mejoramiento de la gestión en la provisión de servicios</v>
      </c>
      <c r="I75" s="10" t="str">
        <f ca="1">IFERROR(__xludf.DUMMYFUNCTION("""COMPUTED_VALUE"""),"Cumplir con normativa y reglamentos internos del programa en base a los objetivos.")</f>
        <v>Cumplir con normativa y reglamentos internos del programa en base a los objetivos.</v>
      </c>
      <c r="J75" s="11">
        <f ca="1">IFERROR(__xludf.DUMMYFUNCTION("""COMPUTED_VALUE"""),10000000)</f>
        <v>10000000</v>
      </c>
      <c r="K75" s="27">
        <f ca="1">IFERROR(__xludf.DUMMYFUNCTION("""COMPUTED_VALUE"""),1)</f>
        <v>1</v>
      </c>
      <c r="L75" s="28">
        <f ca="1">IFERROR(__xludf.DUMMYFUNCTION("""COMPUTED_VALUE"""),11018)</f>
        <v>11018</v>
      </c>
      <c r="M75" s="10" t="str">
        <f ca="1">IFERROR(__xludf.DUMMYFUNCTION("""COMPUTED_VALUE"""),"Programa Modernización Municipal")</f>
        <v>Programa Modernización Municipal</v>
      </c>
      <c r="N75" s="24"/>
      <c r="O75" s="16"/>
      <c r="P75" s="16"/>
      <c r="Q75" s="16"/>
      <c r="R75" s="16"/>
      <c r="S75" s="16"/>
      <c r="T75" s="16"/>
      <c r="U75" s="16"/>
      <c r="V75" s="16"/>
      <c r="W75" s="16"/>
      <c r="X75" s="16"/>
      <c r="Y75" s="16"/>
      <c r="Z75" s="16"/>
    </row>
    <row r="76" spans="1:26" ht="12.75" customHeight="1">
      <c r="A76" s="22"/>
      <c r="B76" s="10" t="str">
        <f ca="1">IFERROR(__xludf.DUMMYFUNCTION("""COMPUTED_VALUE"""),"Fortalecimiento capacidades municipales gestión de iniciativas cambio climático")</f>
        <v>Fortalecimiento capacidades municipales gestión de iniciativas cambio climático</v>
      </c>
      <c r="C76" s="26" t="str">
        <f t="shared" ca="1" si="1"/>
        <v xml:space="preserve"> PUQUELDÓN</v>
      </c>
      <c r="D76" s="10" t="str">
        <f ca="1">IFERROR(__xludf.DUMMYFUNCTION("""COMPUTED_VALUE"""),"Resolución de Transferencia")</f>
        <v>Resolución de Transferencia</v>
      </c>
      <c r="E76" s="26" t="str">
        <f ca="1">IFERROR(__xludf.DUMMYFUNCTION("""COMPUTED_VALUE"""),"MUNICIPALIDAD DE PUQUELDÓN")</f>
        <v>MUNICIPALIDAD DE PUQUELDÓN</v>
      </c>
      <c r="F76" s="11">
        <f ca="1">IFERROR(__xludf.DUMMYFUNCTION("""COMPUTED_VALUE"""),10000000)</f>
        <v>10000000</v>
      </c>
      <c r="G76" s="10" t="str">
        <f ca="1">IFERROR(__xludf.DUMMYFUNCTION("""COMPUTED_VALUE"""),"Resolución")</f>
        <v>Resolución</v>
      </c>
      <c r="H76" s="10" t="str">
        <f ca="1">IFERROR(__xludf.DUMMYFUNCTION("""COMPUTED_VALUE"""),"Asistencia Técnica y Financiera para el Mejoramiento de la gestión en la provisión de servicios")</f>
        <v>Asistencia Técnica y Financiera para el Mejoramiento de la gestión en la provisión de servicios</v>
      </c>
      <c r="I76" s="10" t="str">
        <f ca="1">IFERROR(__xludf.DUMMYFUNCTION("""COMPUTED_VALUE"""),"Cumplir con normativa y reglamentos internos del programa en base a los objetivos.")</f>
        <v>Cumplir con normativa y reglamentos internos del programa en base a los objetivos.</v>
      </c>
      <c r="J76" s="11">
        <f ca="1">IFERROR(__xludf.DUMMYFUNCTION("""COMPUTED_VALUE"""),10000000)</f>
        <v>10000000</v>
      </c>
      <c r="K76" s="27">
        <f ca="1">IFERROR(__xludf.DUMMYFUNCTION("""COMPUTED_VALUE"""),1)</f>
        <v>1</v>
      </c>
      <c r="L76" s="28">
        <f ca="1">IFERROR(__xludf.DUMMYFUNCTION("""COMPUTED_VALUE"""),11018)</f>
        <v>11018</v>
      </c>
      <c r="M76" s="10" t="str">
        <f ca="1">IFERROR(__xludf.DUMMYFUNCTION("""COMPUTED_VALUE"""),"Programa Modernización Municipal")</f>
        <v>Programa Modernización Municipal</v>
      </c>
      <c r="N76" s="24"/>
      <c r="O76" s="16"/>
      <c r="P76" s="16"/>
      <c r="Q76" s="16"/>
      <c r="R76" s="16"/>
      <c r="S76" s="16"/>
      <c r="T76" s="16"/>
      <c r="U76" s="16"/>
      <c r="V76" s="16"/>
      <c r="W76" s="16"/>
      <c r="X76" s="16"/>
      <c r="Y76" s="16"/>
      <c r="Z76" s="16"/>
    </row>
    <row r="77" spans="1:26" ht="12.75" customHeight="1">
      <c r="A77" s="22"/>
      <c r="B77" s="10" t="str">
        <f ca="1">IFERROR(__xludf.DUMMYFUNCTION("""COMPUTED_VALUE"""),"Fortalecimiento capacidades municipales gestión de iniciativas cambio climático")</f>
        <v>Fortalecimiento capacidades municipales gestión de iniciativas cambio climático</v>
      </c>
      <c r="C77" s="26" t="str">
        <f t="shared" ca="1" si="1"/>
        <v xml:space="preserve"> ANDACOLLO</v>
      </c>
      <c r="D77" s="10" t="str">
        <f ca="1">IFERROR(__xludf.DUMMYFUNCTION("""COMPUTED_VALUE"""),"Resolución de Transferencia")</f>
        <v>Resolución de Transferencia</v>
      </c>
      <c r="E77" s="26" t="str">
        <f ca="1">IFERROR(__xludf.DUMMYFUNCTION("""COMPUTED_VALUE"""),"MUNICIPALIDAD DE ANDACOLLO")</f>
        <v>MUNICIPALIDAD DE ANDACOLLO</v>
      </c>
      <c r="F77" s="11">
        <f ca="1">IFERROR(__xludf.DUMMYFUNCTION("""COMPUTED_VALUE"""),10000000)</f>
        <v>10000000</v>
      </c>
      <c r="G77" s="10" t="str">
        <f ca="1">IFERROR(__xludf.DUMMYFUNCTION("""COMPUTED_VALUE"""),"Resolución")</f>
        <v>Resolución</v>
      </c>
      <c r="H77" s="10" t="str">
        <f ca="1">IFERROR(__xludf.DUMMYFUNCTION("""COMPUTED_VALUE"""),"Asistencia Técnica y Financiera para el Mejoramiento de la gestión en la provisión de servicios")</f>
        <v>Asistencia Técnica y Financiera para el Mejoramiento de la gestión en la provisión de servicios</v>
      </c>
      <c r="I77" s="10" t="str">
        <f ca="1">IFERROR(__xludf.DUMMYFUNCTION("""COMPUTED_VALUE"""),"Cumplir con normativa y reglamentos internos del programa en base a los objetivos.")</f>
        <v>Cumplir con normativa y reglamentos internos del programa en base a los objetivos.</v>
      </c>
      <c r="J77" s="11">
        <f ca="1">IFERROR(__xludf.DUMMYFUNCTION("""COMPUTED_VALUE"""),10000000)</f>
        <v>10000000</v>
      </c>
      <c r="K77" s="27">
        <f ca="1">IFERROR(__xludf.DUMMYFUNCTION("""COMPUTED_VALUE"""),1)</f>
        <v>1</v>
      </c>
      <c r="L77" s="28">
        <f ca="1">IFERROR(__xludf.DUMMYFUNCTION("""COMPUTED_VALUE"""),11018)</f>
        <v>11018</v>
      </c>
      <c r="M77" s="10" t="str">
        <f ca="1">IFERROR(__xludf.DUMMYFUNCTION("""COMPUTED_VALUE"""),"Programa Modernización Municipal")</f>
        <v>Programa Modernización Municipal</v>
      </c>
      <c r="N77" s="24"/>
      <c r="O77" s="16"/>
      <c r="P77" s="16"/>
      <c r="Q77" s="16"/>
      <c r="R77" s="16"/>
      <c r="S77" s="16"/>
      <c r="T77" s="16"/>
      <c r="U77" s="16"/>
      <c r="V77" s="16"/>
      <c r="W77" s="16"/>
      <c r="X77" s="16"/>
      <c r="Y77" s="16"/>
      <c r="Z77" s="16"/>
    </row>
    <row r="78" spans="1:26" ht="12.75" customHeight="1">
      <c r="A78" s="22"/>
      <c r="B78" s="10" t="str">
        <f ca="1">IFERROR(__xludf.DUMMYFUNCTION("""COMPUTED_VALUE"""),"Fortalecimiento capacidades municipales gestión de iniciativas cambio climático")</f>
        <v>Fortalecimiento capacidades municipales gestión de iniciativas cambio climático</v>
      </c>
      <c r="C78" s="26" t="str">
        <f t="shared" ca="1" si="1"/>
        <v xml:space="preserve"> PAIGUANO</v>
      </c>
      <c r="D78" s="10" t="str">
        <f ca="1">IFERROR(__xludf.DUMMYFUNCTION("""COMPUTED_VALUE"""),"Resolución de Transferencia")</f>
        <v>Resolución de Transferencia</v>
      </c>
      <c r="E78" s="26" t="str">
        <f ca="1">IFERROR(__xludf.DUMMYFUNCTION("""COMPUTED_VALUE"""),"MUNICIPALIDAD DE PAIGUANO")</f>
        <v>MUNICIPALIDAD DE PAIGUANO</v>
      </c>
      <c r="F78" s="11">
        <f ca="1">IFERROR(__xludf.DUMMYFUNCTION("""COMPUTED_VALUE"""),10000000)</f>
        <v>10000000</v>
      </c>
      <c r="G78" s="10" t="str">
        <f ca="1">IFERROR(__xludf.DUMMYFUNCTION("""COMPUTED_VALUE"""),"Resolución")</f>
        <v>Resolución</v>
      </c>
      <c r="H78" s="10" t="str">
        <f ca="1">IFERROR(__xludf.DUMMYFUNCTION("""COMPUTED_VALUE"""),"Asistencia Técnica y Financiera para el Mejoramiento de la gestión en la provisión de servicios")</f>
        <v>Asistencia Técnica y Financiera para el Mejoramiento de la gestión en la provisión de servicios</v>
      </c>
      <c r="I78" s="10" t="str">
        <f ca="1">IFERROR(__xludf.DUMMYFUNCTION("""COMPUTED_VALUE"""),"Cumplir con normativa y reglamentos internos del programa en base a los objetivos.")</f>
        <v>Cumplir con normativa y reglamentos internos del programa en base a los objetivos.</v>
      </c>
      <c r="J78" s="11">
        <f ca="1">IFERROR(__xludf.DUMMYFUNCTION("""COMPUTED_VALUE"""),10000000)</f>
        <v>10000000</v>
      </c>
      <c r="K78" s="27">
        <f ca="1">IFERROR(__xludf.DUMMYFUNCTION("""COMPUTED_VALUE"""),1)</f>
        <v>1</v>
      </c>
      <c r="L78" s="28">
        <f ca="1">IFERROR(__xludf.DUMMYFUNCTION("""COMPUTED_VALUE"""),11018)</f>
        <v>11018</v>
      </c>
      <c r="M78" s="10" t="str">
        <f ca="1">IFERROR(__xludf.DUMMYFUNCTION("""COMPUTED_VALUE"""),"Programa Modernización Municipal")</f>
        <v>Programa Modernización Municipal</v>
      </c>
      <c r="N78" s="24"/>
      <c r="O78" s="16"/>
      <c r="P78" s="16"/>
      <c r="Q78" s="16"/>
      <c r="R78" s="16"/>
      <c r="S78" s="16"/>
      <c r="T78" s="16"/>
      <c r="U78" s="16"/>
      <c r="V78" s="16"/>
      <c r="W78" s="16"/>
      <c r="X78" s="16"/>
      <c r="Y78" s="16"/>
      <c r="Z78" s="16"/>
    </row>
    <row r="79" spans="1:26" ht="12.75" customHeight="1">
      <c r="A79" s="22"/>
      <c r="B79" s="10" t="str">
        <f ca="1">IFERROR(__xludf.DUMMYFUNCTION("""COMPUTED_VALUE"""),"Fortalecimiento capacidades municipales gestión de iniciativas cambio climático")</f>
        <v>Fortalecimiento capacidades municipales gestión de iniciativas cambio climático</v>
      </c>
      <c r="C79" s="26" t="str">
        <f t="shared" ca="1" si="1"/>
        <v xml:space="preserve"> YERBAS BUENAS</v>
      </c>
      <c r="D79" s="10" t="str">
        <f ca="1">IFERROR(__xludf.DUMMYFUNCTION("""COMPUTED_VALUE"""),"Resolución de Transferencia")</f>
        <v>Resolución de Transferencia</v>
      </c>
      <c r="E79" s="26" t="str">
        <f ca="1">IFERROR(__xludf.DUMMYFUNCTION("""COMPUTED_VALUE"""),"MUNICIPALIDAD DE YERBAS BUENAS")</f>
        <v>MUNICIPALIDAD DE YERBAS BUENAS</v>
      </c>
      <c r="F79" s="11">
        <f ca="1">IFERROR(__xludf.DUMMYFUNCTION("""COMPUTED_VALUE"""),10000000)</f>
        <v>10000000</v>
      </c>
      <c r="G79" s="10" t="str">
        <f ca="1">IFERROR(__xludf.DUMMYFUNCTION("""COMPUTED_VALUE"""),"Resolución")</f>
        <v>Resolución</v>
      </c>
      <c r="H79" s="10" t="str">
        <f ca="1">IFERROR(__xludf.DUMMYFUNCTION("""COMPUTED_VALUE"""),"Asistencia Técnica y Financiera para el Mejoramiento de la gestión en la provisión de servicios")</f>
        <v>Asistencia Técnica y Financiera para el Mejoramiento de la gestión en la provisión de servicios</v>
      </c>
      <c r="I79" s="10" t="str">
        <f ca="1">IFERROR(__xludf.DUMMYFUNCTION("""COMPUTED_VALUE"""),"Cumplir con normativa y reglamentos internos del programa en base a los objetivos.")</f>
        <v>Cumplir con normativa y reglamentos internos del programa en base a los objetivos.</v>
      </c>
      <c r="J79" s="11">
        <f ca="1">IFERROR(__xludf.DUMMYFUNCTION("""COMPUTED_VALUE"""),10000000)</f>
        <v>10000000</v>
      </c>
      <c r="K79" s="27">
        <f ca="1">IFERROR(__xludf.DUMMYFUNCTION("""COMPUTED_VALUE"""),1)</f>
        <v>1</v>
      </c>
      <c r="L79" s="28">
        <f ca="1">IFERROR(__xludf.DUMMYFUNCTION("""COMPUTED_VALUE"""),11018)</f>
        <v>11018</v>
      </c>
      <c r="M79" s="10" t="str">
        <f ca="1">IFERROR(__xludf.DUMMYFUNCTION("""COMPUTED_VALUE"""),"Programa Modernización Municipal")</f>
        <v>Programa Modernización Municipal</v>
      </c>
      <c r="N79" s="24"/>
      <c r="O79" s="16"/>
      <c r="P79" s="16"/>
      <c r="Q79" s="16"/>
      <c r="R79" s="16"/>
      <c r="S79" s="16"/>
      <c r="T79" s="16"/>
      <c r="U79" s="16"/>
      <c r="V79" s="16"/>
      <c r="W79" s="16"/>
      <c r="X79" s="16"/>
      <c r="Y79" s="16"/>
      <c r="Z79" s="16"/>
    </row>
    <row r="80" spans="1:26" ht="12.75" customHeight="1">
      <c r="A80" s="22"/>
      <c r="B80" s="10" t="str">
        <f ca="1">IFERROR(__xludf.DUMMYFUNCTION("""COMPUTED_VALUE"""),"Fortalecimiento capacidades municipales gestión de iniciativas cambio climático")</f>
        <v>Fortalecimiento capacidades municipales gestión de iniciativas cambio climático</v>
      </c>
      <c r="C80" s="26" t="str">
        <f t="shared" ca="1" si="1"/>
        <v xml:space="preserve"> QUINCHAO</v>
      </c>
      <c r="D80" s="10" t="str">
        <f ca="1">IFERROR(__xludf.DUMMYFUNCTION("""COMPUTED_VALUE"""),"Resolución de Transferencia")</f>
        <v>Resolución de Transferencia</v>
      </c>
      <c r="E80" s="26" t="str">
        <f ca="1">IFERROR(__xludf.DUMMYFUNCTION("""COMPUTED_VALUE"""),"MUNICIPALIDAD DE QUINCHAO")</f>
        <v>MUNICIPALIDAD DE QUINCHAO</v>
      </c>
      <c r="F80" s="11">
        <f ca="1">IFERROR(__xludf.DUMMYFUNCTION("""COMPUTED_VALUE"""),10000000)</f>
        <v>10000000</v>
      </c>
      <c r="G80" s="10" t="str">
        <f ca="1">IFERROR(__xludf.DUMMYFUNCTION("""COMPUTED_VALUE"""),"Resolución")</f>
        <v>Resolución</v>
      </c>
      <c r="H80" s="10" t="str">
        <f ca="1">IFERROR(__xludf.DUMMYFUNCTION("""COMPUTED_VALUE"""),"Asistencia Técnica y Financiera para el Mejoramiento de la gestión en la provisión de servicios")</f>
        <v>Asistencia Técnica y Financiera para el Mejoramiento de la gestión en la provisión de servicios</v>
      </c>
      <c r="I80" s="10" t="str">
        <f ca="1">IFERROR(__xludf.DUMMYFUNCTION("""COMPUTED_VALUE"""),"Cumplir con normativa y reglamentos internos del programa en base a los objetivos.")</f>
        <v>Cumplir con normativa y reglamentos internos del programa en base a los objetivos.</v>
      </c>
      <c r="J80" s="11">
        <f ca="1">IFERROR(__xludf.DUMMYFUNCTION("""COMPUTED_VALUE"""),10000000)</f>
        <v>10000000</v>
      </c>
      <c r="K80" s="27">
        <f ca="1">IFERROR(__xludf.DUMMYFUNCTION("""COMPUTED_VALUE"""),1)</f>
        <v>1</v>
      </c>
      <c r="L80" s="28">
        <f ca="1">IFERROR(__xludf.DUMMYFUNCTION("""COMPUTED_VALUE"""),11018)</f>
        <v>11018</v>
      </c>
      <c r="M80" s="10" t="str">
        <f ca="1">IFERROR(__xludf.DUMMYFUNCTION("""COMPUTED_VALUE"""),"Programa Modernización Municipal")</f>
        <v>Programa Modernización Municipal</v>
      </c>
      <c r="N80" s="24"/>
      <c r="O80" s="16"/>
      <c r="P80" s="16"/>
      <c r="Q80" s="16"/>
      <c r="R80" s="16"/>
      <c r="S80" s="16"/>
      <c r="T80" s="16"/>
      <c r="U80" s="16"/>
      <c r="V80" s="16"/>
      <c r="W80" s="16"/>
      <c r="X80" s="16"/>
      <c r="Y80" s="16"/>
      <c r="Z80" s="16"/>
    </row>
    <row r="81" spans="1:26" ht="12.75" customHeight="1">
      <c r="A81" s="22"/>
      <c r="B81" s="10" t="str">
        <f ca="1">IFERROR(__xludf.DUMMYFUNCTION("""COMPUTED_VALUE"""),"Fortalecimiento capacidades municipales gestión de iniciativas cambio climático")</f>
        <v>Fortalecimiento capacidades municipales gestión de iniciativas cambio climático</v>
      </c>
      <c r="C81" s="26" t="str">
        <f t="shared" ca="1" si="1"/>
        <v xml:space="preserve"> COBQUECURA</v>
      </c>
      <c r="D81" s="10" t="str">
        <f ca="1">IFERROR(__xludf.DUMMYFUNCTION("""COMPUTED_VALUE"""),"Resolución de Transferencia")</f>
        <v>Resolución de Transferencia</v>
      </c>
      <c r="E81" s="26" t="str">
        <f ca="1">IFERROR(__xludf.DUMMYFUNCTION("""COMPUTED_VALUE"""),"MUNICIPALIDAD DE COBQUECURA")</f>
        <v>MUNICIPALIDAD DE COBQUECURA</v>
      </c>
      <c r="F81" s="11">
        <f ca="1">IFERROR(__xludf.DUMMYFUNCTION("""COMPUTED_VALUE"""),10000000)</f>
        <v>10000000</v>
      </c>
      <c r="G81" s="10" t="str">
        <f ca="1">IFERROR(__xludf.DUMMYFUNCTION("""COMPUTED_VALUE"""),"Resolución")</f>
        <v>Resolución</v>
      </c>
      <c r="H81" s="10" t="str">
        <f ca="1">IFERROR(__xludf.DUMMYFUNCTION("""COMPUTED_VALUE"""),"Asistencia Técnica y Financiera para el Mejoramiento de la gestión en la provisión de servicios")</f>
        <v>Asistencia Técnica y Financiera para el Mejoramiento de la gestión en la provisión de servicios</v>
      </c>
      <c r="I81" s="10" t="str">
        <f ca="1">IFERROR(__xludf.DUMMYFUNCTION("""COMPUTED_VALUE"""),"Cumplir con normativa y reglamentos internos del programa en base a los objetivos.")</f>
        <v>Cumplir con normativa y reglamentos internos del programa en base a los objetivos.</v>
      </c>
      <c r="J81" s="11">
        <f ca="1">IFERROR(__xludf.DUMMYFUNCTION("""COMPUTED_VALUE"""),10000000)</f>
        <v>10000000</v>
      </c>
      <c r="K81" s="27">
        <f ca="1">IFERROR(__xludf.DUMMYFUNCTION("""COMPUTED_VALUE"""),1)</f>
        <v>1</v>
      </c>
      <c r="L81" s="28">
        <f ca="1">IFERROR(__xludf.DUMMYFUNCTION("""COMPUTED_VALUE"""),11018)</f>
        <v>11018</v>
      </c>
      <c r="M81" s="10" t="str">
        <f ca="1">IFERROR(__xludf.DUMMYFUNCTION("""COMPUTED_VALUE"""),"Programa Modernización Municipal")</f>
        <v>Programa Modernización Municipal</v>
      </c>
      <c r="N81" s="24"/>
      <c r="O81" s="16"/>
      <c r="P81" s="16"/>
      <c r="Q81" s="16"/>
      <c r="R81" s="16"/>
      <c r="S81" s="16"/>
      <c r="T81" s="16"/>
      <c r="U81" s="16"/>
      <c r="V81" s="16"/>
      <c r="W81" s="16"/>
      <c r="X81" s="16"/>
      <c r="Y81" s="16"/>
      <c r="Z81" s="16"/>
    </row>
    <row r="82" spans="1:26" ht="12.75" customHeight="1">
      <c r="A82" s="22"/>
      <c r="B82" s="10" t="str">
        <f ca="1">IFERROR(__xludf.DUMMYFUNCTION("""COMPUTED_VALUE"""),"Fortalecimiento capacidades municipales gestión de iniciativas cambio climático")</f>
        <v>Fortalecimiento capacidades municipales gestión de iniciativas cambio climático</v>
      </c>
      <c r="C82" s="26" t="str">
        <f t="shared" ca="1" si="1"/>
        <v xml:space="preserve"> MELIPEUCO</v>
      </c>
      <c r="D82" s="10" t="str">
        <f ca="1">IFERROR(__xludf.DUMMYFUNCTION("""COMPUTED_VALUE"""),"Resolución de Transferencia")</f>
        <v>Resolución de Transferencia</v>
      </c>
      <c r="E82" s="26" t="str">
        <f ca="1">IFERROR(__xludf.DUMMYFUNCTION("""COMPUTED_VALUE"""),"MUNICIPALIDAD DE MELIPEUCO")</f>
        <v>MUNICIPALIDAD DE MELIPEUCO</v>
      </c>
      <c r="F82" s="11">
        <f ca="1">IFERROR(__xludf.DUMMYFUNCTION("""COMPUTED_VALUE"""),10000000)</f>
        <v>10000000</v>
      </c>
      <c r="G82" s="10" t="str">
        <f ca="1">IFERROR(__xludf.DUMMYFUNCTION("""COMPUTED_VALUE"""),"Resolución")</f>
        <v>Resolución</v>
      </c>
      <c r="H82" s="10" t="str">
        <f ca="1">IFERROR(__xludf.DUMMYFUNCTION("""COMPUTED_VALUE"""),"Asistencia Técnica y Financiera para el Mejoramiento de la gestión en la provisión de servicios")</f>
        <v>Asistencia Técnica y Financiera para el Mejoramiento de la gestión en la provisión de servicios</v>
      </c>
      <c r="I82" s="10" t="str">
        <f ca="1">IFERROR(__xludf.DUMMYFUNCTION("""COMPUTED_VALUE"""),"Cumplir con normativa y reglamentos internos del programa en base a los objetivos.")</f>
        <v>Cumplir con normativa y reglamentos internos del programa en base a los objetivos.</v>
      </c>
      <c r="J82" s="11">
        <f ca="1">IFERROR(__xludf.DUMMYFUNCTION("""COMPUTED_VALUE"""),10000000)</f>
        <v>10000000</v>
      </c>
      <c r="K82" s="27">
        <f ca="1">IFERROR(__xludf.DUMMYFUNCTION("""COMPUTED_VALUE"""),1)</f>
        <v>1</v>
      </c>
      <c r="L82" s="28">
        <f ca="1">IFERROR(__xludf.DUMMYFUNCTION("""COMPUTED_VALUE"""),11018)</f>
        <v>11018</v>
      </c>
      <c r="M82" s="10" t="str">
        <f ca="1">IFERROR(__xludf.DUMMYFUNCTION("""COMPUTED_VALUE"""),"Programa Modernización Municipal")</f>
        <v>Programa Modernización Municipal</v>
      </c>
      <c r="N82" s="24"/>
      <c r="O82" s="16"/>
      <c r="P82" s="16"/>
      <c r="Q82" s="16"/>
      <c r="R82" s="16"/>
      <c r="S82" s="16"/>
      <c r="T82" s="16"/>
      <c r="U82" s="16"/>
      <c r="V82" s="16"/>
      <c r="W82" s="16"/>
      <c r="X82" s="16"/>
      <c r="Y82" s="16"/>
      <c r="Z82" s="16"/>
    </row>
    <row r="83" spans="1:26" ht="12.75" customHeight="1">
      <c r="A83" s="22"/>
      <c r="B83" s="10" t="str">
        <f ca="1">IFERROR(__xludf.DUMMYFUNCTION("""COMPUTED_VALUE"""),"Fortalecimiento capacidades municipales gestión de iniciativas cambio climático")</f>
        <v>Fortalecimiento capacidades municipales gestión de iniciativas cambio climático</v>
      </c>
      <c r="C83" s="26" t="str">
        <f t="shared" ca="1" si="1"/>
        <v xml:space="preserve"> RÁNQUIL</v>
      </c>
      <c r="D83" s="10" t="str">
        <f ca="1">IFERROR(__xludf.DUMMYFUNCTION("""COMPUTED_VALUE"""),"Resolución de Transferencia")</f>
        <v>Resolución de Transferencia</v>
      </c>
      <c r="E83" s="26" t="str">
        <f ca="1">IFERROR(__xludf.DUMMYFUNCTION("""COMPUTED_VALUE"""),"MUNICIPALIDAD DE RÁNQUIL")</f>
        <v>MUNICIPALIDAD DE RÁNQUIL</v>
      </c>
      <c r="F83" s="11">
        <f ca="1">IFERROR(__xludf.DUMMYFUNCTION("""COMPUTED_VALUE"""),10000000)</f>
        <v>10000000</v>
      </c>
      <c r="G83" s="10" t="str">
        <f ca="1">IFERROR(__xludf.DUMMYFUNCTION("""COMPUTED_VALUE"""),"Resolución")</f>
        <v>Resolución</v>
      </c>
      <c r="H83" s="10" t="str">
        <f ca="1">IFERROR(__xludf.DUMMYFUNCTION("""COMPUTED_VALUE"""),"Asistencia Técnica y Financiera para el Mejoramiento de la gestión en la provisión de servicios")</f>
        <v>Asistencia Técnica y Financiera para el Mejoramiento de la gestión en la provisión de servicios</v>
      </c>
      <c r="I83" s="10" t="str">
        <f ca="1">IFERROR(__xludf.DUMMYFUNCTION("""COMPUTED_VALUE"""),"Cumplir con normativa y reglamentos internos del programa en base a los objetivos.")</f>
        <v>Cumplir con normativa y reglamentos internos del programa en base a los objetivos.</v>
      </c>
      <c r="J83" s="11">
        <f ca="1">IFERROR(__xludf.DUMMYFUNCTION("""COMPUTED_VALUE"""),10000000)</f>
        <v>10000000</v>
      </c>
      <c r="K83" s="27">
        <f ca="1">IFERROR(__xludf.DUMMYFUNCTION("""COMPUTED_VALUE"""),1)</f>
        <v>1</v>
      </c>
      <c r="L83" s="28">
        <f ca="1">IFERROR(__xludf.DUMMYFUNCTION("""COMPUTED_VALUE"""),11018)</f>
        <v>11018</v>
      </c>
      <c r="M83" s="10" t="str">
        <f ca="1">IFERROR(__xludf.DUMMYFUNCTION("""COMPUTED_VALUE"""),"Programa Modernización Municipal")</f>
        <v>Programa Modernización Municipal</v>
      </c>
      <c r="N83" s="24"/>
      <c r="O83" s="16"/>
      <c r="P83" s="16"/>
      <c r="Q83" s="16"/>
      <c r="R83" s="16"/>
      <c r="S83" s="16"/>
      <c r="T83" s="16"/>
      <c r="U83" s="16"/>
      <c r="V83" s="16"/>
      <c r="W83" s="16"/>
      <c r="X83" s="16"/>
      <c r="Y83" s="16"/>
      <c r="Z83" s="16"/>
    </row>
    <row r="84" spans="1:26" ht="12.75" customHeight="1">
      <c r="A84" s="22"/>
      <c r="B84" s="10" t="str">
        <f ca="1">IFERROR(__xludf.DUMMYFUNCTION("""COMPUTED_VALUE"""),"Fortalecimiento capacidades municipales gestión de iniciativas cambio climático")</f>
        <v>Fortalecimiento capacidades municipales gestión de iniciativas cambio climático</v>
      </c>
      <c r="C84" s="26" t="str">
        <f t="shared" ca="1" si="1"/>
        <v xml:space="preserve"> ANTUCO</v>
      </c>
      <c r="D84" s="10" t="str">
        <f ca="1">IFERROR(__xludf.DUMMYFUNCTION("""COMPUTED_VALUE"""),"Resolución de Transferencia")</f>
        <v>Resolución de Transferencia</v>
      </c>
      <c r="E84" s="26" t="str">
        <f ca="1">IFERROR(__xludf.DUMMYFUNCTION("""COMPUTED_VALUE"""),"MUNICIPALIDAD DE ANTUCO")</f>
        <v>MUNICIPALIDAD DE ANTUCO</v>
      </c>
      <c r="F84" s="11">
        <f ca="1">IFERROR(__xludf.DUMMYFUNCTION("""COMPUTED_VALUE"""),10000000)</f>
        <v>10000000</v>
      </c>
      <c r="G84" s="10" t="str">
        <f ca="1">IFERROR(__xludf.DUMMYFUNCTION("""COMPUTED_VALUE"""),"Resolución")</f>
        <v>Resolución</v>
      </c>
      <c r="H84" s="10" t="str">
        <f ca="1">IFERROR(__xludf.DUMMYFUNCTION("""COMPUTED_VALUE"""),"Asistencia Técnica y Financiera para el Mejoramiento de la gestión en la provisión de servicios")</f>
        <v>Asistencia Técnica y Financiera para el Mejoramiento de la gestión en la provisión de servicios</v>
      </c>
      <c r="I84" s="10" t="str">
        <f ca="1">IFERROR(__xludf.DUMMYFUNCTION("""COMPUTED_VALUE"""),"Cumplir con normativa y reglamentos internos del programa en base a los objetivos.")</f>
        <v>Cumplir con normativa y reglamentos internos del programa en base a los objetivos.</v>
      </c>
      <c r="J84" s="11">
        <f ca="1">IFERROR(__xludf.DUMMYFUNCTION("""COMPUTED_VALUE"""),10000000)</f>
        <v>10000000</v>
      </c>
      <c r="K84" s="27">
        <f ca="1">IFERROR(__xludf.DUMMYFUNCTION("""COMPUTED_VALUE"""),1)</f>
        <v>1</v>
      </c>
      <c r="L84" s="28">
        <f ca="1">IFERROR(__xludf.DUMMYFUNCTION("""COMPUTED_VALUE"""),11018)</f>
        <v>11018</v>
      </c>
      <c r="M84" s="10" t="str">
        <f ca="1">IFERROR(__xludf.DUMMYFUNCTION("""COMPUTED_VALUE"""),"Programa Modernización Municipal")</f>
        <v>Programa Modernización Municipal</v>
      </c>
      <c r="N84" s="24"/>
      <c r="O84" s="16"/>
      <c r="P84" s="16"/>
      <c r="Q84" s="16"/>
      <c r="R84" s="16"/>
      <c r="S84" s="16"/>
      <c r="T84" s="16"/>
      <c r="U84" s="16"/>
      <c r="V84" s="16"/>
      <c r="W84" s="16"/>
      <c r="X84" s="16"/>
      <c r="Y84" s="16"/>
      <c r="Z84" s="16"/>
    </row>
    <row r="85" spans="1:26" ht="12.75" customHeight="1">
      <c r="A85" s="22"/>
      <c r="B85" s="10" t="str">
        <f ca="1">IFERROR(__xludf.DUMMYFUNCTION("""COMPUTED_VALUE"""),"Fortalecimiento capacidades municipales gestión de iniciativas cambio climático")</f>
        <v>Fortalecimiento capacidades municipales gestión de iniciativas cambio climático</v>
      </c>
      <c r="C85" s="26" t="str">
        <f t="shared" ca="1" si="1"/>
        <v xml:space="preserve"> NEGRETE</v>
      </c>
      <c r="D85" s="10" t="str">
        <f ca="1">IFERROR(__xludf.DUMMYFUNCTION("""COMPUTED_VALUE"""),"Resolución de Transferencia")</f>
        <v>Resolución de Transferencia</v>
      </c>
      <c r="E85" s="26" t="str">
        <f ca="1">IFERROR(__xludf.DUMMYFUNCTION("""COMPUTED_VALUE"""),"MUNICIPALIDAD DE NEGRETE")</f>
        <v>MUNICIPALIDAD DE NEGRETE</v>
      </c>
      <c r="F85" s="11">
        <f ca="1">IFERROR(__xludf.DUMMYFUNCTION("""COMPUTED_VALUE"""),10000000)</f>
        <v>10000000</v>
      </c>
      <c r="G85" s="10" t="str">
        <f ca="1">IFERROR(__xludf.DUMMYFUNCTION("""COMPUTED_VALUE"""),"Resolución")</f>
        <v>Resolución</v>
      </c>
      <c r="H85" s="10" t="str">
        <f ca="1">IFERROR(__xludf.DUMMYFUNCTION("""COMPUTED_VALUE"""),"Asistencia Técnica y Financiera para el Mejoramiento de la gestión en la provisión de servicios")</f>
        <v>Asistencia Técnica y Financiera para el Mejoramiento de la gestión en la provisión de servicios</v>
      </c>
      <c r="I85" s="10" t="str">
        <f ca="1">IFERROR(__xludf.DUMMYFUNCTION("""COMPUTED_VALUE"""),"Cumplir con normativa y reglamentos internos del programa en base a los objetivos.")</f>
        <v>Cumplir con normativa y reglamentos internos del programa en base a los objetivos.</v>
      </c>
      <c r="J85" s="11">
        <f ca="1">IFERROR(__xludf.DUMMYFUNCTION("""COMPUTED_VALUE"""),10000000)</f>
        <v>10000000</v>
      </c>
      <c r="K85" s="27">
        <f ca="1">IFERROR(__xludf.DUMMYFUNCTION("""COMPUTED_VALUE"""),1)</f>
        <v>1</v>
      </c>
      <c r="L85" s="28">
        <f ca="1">IFERROR(__xludf.DUMMYFUNCTION("""COMPUTED_VALUE"""),11018)</f>
        <v>11018</v>
      </c>
      <c r="M85" s="10" t="str">
        <f ca="1">IFERROR(__xludf.DUMMYFUNCTION("""COMPUTED_VALUE"""),"Programa Modernización Municipal")</f>
        <v>Programa Modernización Municipal</v>
      </c>
      <c r="N85" s="24"/>
      <c r="O85" s="16"/>
      <c r="P85" s="16"/>
      <c r="Q85" s="16"/>
      <c r="R85" s="16"/>
      <c r="S85" s="16"/>
      <c r="T85" s="16"/>
      <c r="U85" s="16"/>
      <c r="V85" s="16"/>
      <c r="W85" s="16"/>
      <c r="X85" s="16"/>
      <c r="Y85" s="16"/>
      <c r="Z85" s="16"/>
    </row>
    <row r="86" spans="1:26" ht="12.75" customHeight="1">
      <c r="A86" s="22"/>
      <c r="B86" s="10" t="str">
        <f ca="1">IFERROR(__xludf.DUMMYFUNCTION("""COMPUTED_VALUE"""),"Fortalecimiento capacidades municipales gestión de iniciativas cambio climático")</f>
        <v>Fortalecimiento capacidades municipales gestión de iniciativas cambio climático</v>
      </c>
      <c r="C86" s="26" t="str">
        <f t="shared" ca="1" si="1"/>
        <v xml:space="preserve"> PUERTO OCTAY</v>
      </c>
      <c r="D86" s="10" t="str">
        <f ca="1">IFERROR(__xludf.DUMMYFUNCTION("""COMPUTED_VALUE"""),"Resolución de Transferencia")</f>
        <v>Resolución de Transferencia</v>
      </c>
      <c r="E86" s="26" t="str">
        <f ca="1">IFERROR(__xludf.DUMMYFUNCTION("""COMPUTED_VALUE"""),"MUNICIPALIDAD DE PUERTO OCTAY")</f>
        <v>MUNICIPALIDAD DE PUERTO OCTAY</v>
      </c>
      <c r="F86" s="11">
        <f ca="1">IFERROR(__xludf.DUMMYFUNCTION("""COMPUTED_VALUE"""),10000000)</f>
        <v>10000000</v>
      </c>
      <c r="G86" s="10" t="str">
        <f ca="1">IFERROR(__xludf.DUMMYFUNCTION("""COMPUTED_VALUE"""),"Resolución")</f>
        <v>Resolución</v>
      </c>
      <c r="H86" s="10" t="str">
        <f ca="1">IFERROR(__xludf.DUMMYFUNCTION("""COMPUTED_VALUE"""),"Asistencia Técnica y Financiera para el Mejoramiento de la gestión en la provisión de servicios")</f>
        <v>Asistencia Técnica y Financiera para el Mejoramiento de la gestión en la provisión de servicios</v>
      </c>
      <c r="I86" s="10" t="str">
        <f ca="1">IFERROR(__xludf.DUMMYFUNCTION("""COMPUTED_VALUE"""),"Cumplir con normativa y reglamentos internos del programa en base a los objetivos.")</f>
        <v>Cumplir con normativa y reglamentos internos del programa en base a los objetivos.</v>
      </c>
      <c r="J86" s="11">
        <f ca="1">IFERROR(__xludf.DUMMYFUNCTION("""COMPUTED_VALUE"""),10000000)</f>
        <v>10000000</v>
      </c>
      <c r="K86" s="27">
        <f ca="1">IFERROR(__xludf.DUMMYFUNCTION("""COMPUTED_VALUE"""),1)</f>
        <v>1</v>
      </c>
      <c r="L86" s="28">
        <f ca="1">IFERROR(__xludf.DUMMYFUNCTION("""COMPUTED_VALUE"""),11018)</f>
        <v>11018</v>
      </c>
      <c r="M86" s="10" t="str">
        <f ca="1">IFERROR(__xludf.DUMMYFUNCTION("""COMPUTED_VALUE"""),"Programa Modernización Municipal")</f>
        <v>Programa Modernización Municipal</v>
      </c>
      <c r="N86" s="24"/>
      <c r="O86" s="16"/>
      <c r="P86" s="16"/>
      <c r="Q86" s="16"/>
      <c r="R86" s="16"/>
      <c r="S86" s="16"/>
      <c r="T86" s="16"/>
      <c r="U86" s="16"/>
      <c r="V86" s="16"/>
      <c r="W86" s="16"/>
      <c r="X86" s="16"/>
      <c r="Y86" s="16"/>
      <c r="Z86" s="16"/>
    </row>
    <row r="87" spans="1:26" ht="12.75" customHeight="1">
      <c r="A87" s="22"/>
      <c r="B87" s="10" t="str">
        <f ca="1">IFERROR(__xludf.DUMMYFUNCTION("""COMPUTED_VALUE"""),"Fortalecimiento capacidades municipales gestión de iniciativas cambio climático")</f>
        <v>Fortalecimiento capacidades municipales gestión de iniciativas cambio climático</v>
      </c>
      <c r="C87" s="26" t="str">
        <f t="shared" ca="1" si="1"/>
        <v xml:space="preserve"> PUTAENDO</v>
      </c>
      <c r="D87" s="10" t="str">
        <f ca="1">IFERROR(__xludf.DUMMYFUNCTION("""COMPUTED_VALUE"""),"Resolución de Transferencia")</f>
        <v>Resolución de Transferencia</v>
      </c>
      <c r="E87" s="26" t="str">
        <f ca="1">IFERROR(__xludf.DUMMYFUNCTION("""COMPUTED_VALUE"""),"MUNICIPALIDAD DE PUTAENDO")</f>
        <v>MUNICIPALIDAD DE PUTAENDO</v>
      </c>
      <c r="F87" s="11">
        <f ca="1">IFERROR(__xludf.DUMMYFUNCTION("""COMPUTED_VALUE"""),10000000)</f>
        <v>10000000</v>
      </c>
      <c r="G87" s="10" t="str">
        <f ca="1">IFERROR(__xludf.DUMMYFUNCTION("""COMPUTED_VALUE"""),"Resolución")</f>
        <v>Resolución</v>
      </c>
      <c r="H87" s="10" t="str">
        <f ca="1">IFERROR(__xludf.DUMMYFUNCTION("""COMPUTED_VALUE"""),"Asistencia Técnica y Financiera para el Mejoramiento de la gestión en la provisión de servicios")</f>
        <v>Asistencia Técnica y Financiera para el Mejoramiento de la gestión en la provisión de servicios</v>
      </c>
      <c r="I87" s="10" t="str">
        <f ca="1">IFERROR(__xludf.DUMMYFUNCTION("""COMPUTED_VALUE"""),"Cumplir con normativa y reglamentos internos del programa en base a los objetivos.")</f>
        <v>Cumplir con normativa y reglamentos internos del programa en base a los objetivos.</v>
      </c>
      <c r="J87" s="11">
        <f ca="1">IFERROR(__xludf.DUMMYFUNCTION("""COMPUTED_VALUE"""),10000000)</f>
        <v>10000000</v>
      </c>
      <c r="K87" s="27">
        <f ca="1">IFERROR(__xludf.DUMMYFUNCTION("""COMPUTED_VALUE"""),1)</f>
        <v>1</v>
      </c>
      <c r="L87" s="28">
        <f ca="1">IFERROR(__xludf.DUMMYFUNCTION("""COMPUTED_VALUE"""),11018)</f>
        <v>11018</v>
      </c>
      <c r="M87" s="10" t="str">
        <f ca="1">IFERROR(__xludf.DUMMYFUNCTION("""COMPUTED_VALUE"""),"Programa Modernización Municipal")</f>
        <v>Programa Modernización Municipal</v>
      </c>
      <c r="N87" s="24"/>
      <c r="O87" s="16"/>
      <c r="P87" s="16"/>
      <c r="Q87" s="16"/>
      <c r="R87" s="16"/>
      <c r="S87" s="16"/>
      <c r="T87" s="16"/>
      <c r="U87" s="16"/>
      <c r="V87" s="16"/>
      <c r="W87" s="16"/>
      <c r="X87" s="16"/>
      <c r="Y87" s="16"/>
      <c r="Z87" s="16"/>
    </row>
    <row r="88" spans="1:26" ht="12.75" customHeight="1">
      <c r="A88" s="22"/>
      <c r="B88" s="10" t="str">
        <f ca="1">IFERROR(__xludf.DUMMYFUNCTION("""COMPUTED_VALUE"""),"Fortalecimiento capacidades municipales gestión de iniciativas cambio climático")</f>
        <v>Fortalecimiento capacidades municipales gestión de iniciativas cambio climático</v>
      </c>
      <c r="C88" s="26" t="str">
        <f t="shared" ca="1" si="1"/>
        <v xml:space="preserve"> HUALQUI</v>
      </c>
      <c r="D88" s="10" t="str">
        <f ca="1">IFERROR(__xludf.DUMMYFUNCTION("""COMPUTED_VALUE"""),"Resolución de Transferencia")</f>
        <v>Resolución de Transferencia</v>
      </c>
      <c r="E88" s="26" t="str">
        <f ca="1">IFERROR(__xludf.DUMMYFUNCTION("""COMPUTED_VALUE"""),"MUNICIPALIDAD DE HUALQUI")</f>
        <v>MUNICIPALIDAD DE HUALQUI</v>
      </c>
      <c r="F88" s="11">
        <f ca="1">IFERROR(__xludf.DUMMYFUNCTION("""COMPUTED_VALUE"""),10000000)</f>
        <v>10000000</v>
      </c>
      <c r="G88" s="10" t="str">
        <f ca="1">IFERROR(__xludf.DUMMYFUNCTION("""COMPUTED_VALUE"""),"Resolución")</f>
        <v>Resolución</v>
      </c>
      <c r="H88" s="10" t="str">
        <f ca="1">IFERROR(__xludf.DUMMYFUNCTION("""COMPUTED_VALUE"""),"Asistencia Técnica y Financiera para el Mejoramiento de la gestión en la provisión de servicios")</f>
        <v>Asistencia Técnica y Financiera para el Mejoramiento de la gestión en la provisión de servicios</v>
      </c>
      <c r="I88" s="10" t="str">
        <f ca="1">IFERROR(__xludf.DUMMYFUNCTION("""COMPUTED_VALUE"""),"Cumplir con normativa y reglamentos internos del programa en base a los objetivos.")</f>
        <v>Cumplir con normativa y reglamentos internos del programa en base a los objetivos.</v>
      </c>
      <c r="J88" s="11">
        <f ca="1">IFERROR(__xludf.DUMMYFUNCTION("""COMPUTED_VALUE"""),10000000)</f>
        <v>10000000</v>
      </c>
      <c r="K88" s="27">
        <f ca="1">IFERROR(__xludf.DUMMYFUNCTION("""COMPUTED_VALUE"""),1)</f>
        <v>1</v>
      </c>
      <c r="L88" s="28">
        <f ca="1">IFERROR(__xludf.DUMMYFUNCTION("""COMPUTED_VALUE"""),11018)</f>
        <v>11018</v>
      </c>
      <c r="M88" s="10" t="str">
        <f ca="1">IFERROR(__xludf.DUMMYFUNCTION("""COMPUTED_VALUE"""),"Programa Modernización Municipal")</f>
        <v>Programa Modernización Municipal</v>
      </c>
      <c r="N88" s="24"/>
      <c r="O88" s="16"/>
      <c r="P88" s="16"/>
      <c r="Q88" s="16"/>
      <c r="R88" s="16"/>
      <c r="S88" s="16"/>
      <c r="T88" s="16"/>
      <c r="U88" s="16"/>
      <c r="V88" s="16"/>
      <c r="W88" s="16"/>
      <c r="X88" s="16"/>
      <c r="Y88" s="16"/>
      <c r="Z88" s="16"/>
    </row>
    <row r="89" spans="1:26" ht="12.75" customHeight="1">
      <c r="A89" s="22"/>
      <c r="B89" s="10" t="str">
        <f ca="1">IFERROR(__xludf.DUMMYFUNCTION("""COMPUTED_VALUE"""),"Fortalecimiento capacidades municipales gestión de iniciativas cambio climático")</f>
        <v>Fortalecimiento capacidades municipales gestión de iniciativas cambio climático</v>
      </c>
      <c r="C89" s="26" t="str">
        <f t="shared" ca="1" si="1"/>
        <v xml:space="preserve"> SAN PEDRO</v>
      </c>
      <c r="D89" s="10" t="str">
        <f ca="1">IFERROR(__xludf.DUMMYFUNCTION("""COMPUTED_VALUE"""),"Resolución de Transferencia")</f>
        <v>Resolución de Transferencia</v>
      </c>
      <c r="E89" s="26" t="str">
        <f ca="1">IFERROR(__xludf.DUMMYFUNCTION("""COMPUTED_VALUE"""),"MUNICIPALIDAD DE SAN PEDRO")</f>
        <v>MUNICIPALIDAD DE SAN PEDRO</v>
      </c>
      <c r="F89" s="11">
        <f ca="1">IFERROR(__xludf.DUMMYFUNCTION("""COMPUTED_VALUE"""),10000000)</f>
        <v>10000000</v>
      </c>
      <c r="G89" s="10" t="str">
        <f ca="1">IFERROR(__xludf.DUMMYFUNCTION("""COMPUTED_VALUE"""),"Resolución")</f>
        <v>Resolución</v>
      </c>
      <c r="H89" s="10" t="str">
        <f ca="1">IFERROR(__xludf.DUMMYFUNCTION("""COMPUTED_VALUE"""),"Asistencia Técnica y Financiera para el Mejoramiento de la gestión en la provisión de servicios")</f>
        <v>Asistencia Técnica y Financiera para el Mejoramiento de la gestión en la provisión de servicios</v>
      </c>
      <c r="I89" s="10" t="str">
        <f ca="1">IFERROR(__xludf.DUMMYFUNCTION("""COMPUTED_VALUE"""),"Cumplir con normativa y reglamentos internos del programa en base a los objetivos.")</f>
        <v>Cumplir con normativa y reglamentos internos del programa en base a los objetivos.</v>
      </c>
      <c r="J89" s="11">
        <f ca="1">IFERROR(__xludf.DUMMYFUNCTION("""COMPUTED_VALUE"""),10000000)</f>
        <v>10000000</v>
      </c>
      <c r="K89" s="27">
        <f ca="1">IFERROR(__xludf.DUMMYFUNCTION("""COMPUTED_VALUE"""),1)</f>
        <v>1</v>
      </c>
      <c r="L89" s="28">
        <f ca="1">IFERROR(__xludf.DUMMYFUNCTION("""COMPUTED_VALUE"""),11018)</f>
        <v>11018</v>
      </c>
      <c r="M89" s="10" t="str">
        <f ca="1">IFERROR(__xludf.DUMMYFUNCTION("""COMPUTED_VALUE"""),"Programa Modernización Municipal")</f>
        <v>Programa Modernización Municipal</v>
      </c>
      <c r="N89" s="24"/>
      <c r="O89" s="16"/>
      <c r="P89" s="16"/>
      <c r="Q89" s="16"/>
      <c r="R89" s="16"/>
      <c r="S89" s="16"/>
      <c r="T89" s="16"/>
      <c r="U89" s="16"/>
      <c r="V89" s="16"/>
      <c r="W89" s="16"/>
      <c r="X89" s="16"/>
      <c r="Y89" s="16"/>
      <c r="Z89" s="16"/>
    </row>
    <row r="90" spans="1:26" ht="12.75" customHeight="1">
      <c r="A90" s="22"/>
      <c r="B90" s="10" t="str">
        <f ca="1">IFERROR(__xludf.DUMMYFUNCTION("""COMPUTED_VALUE"""),"Fortalecimiento capacidades municipales gestión de iniciativas cambio climático")</f>
        <v>Fortalecimiento capacidades municipales gestión de iniciativas cambio climático</v>
      </c>
      <c r="C90" s="26" t="str">
        <f t="shared" ca="1" si="1"/>
        <v xml:space="preserve"> FLORIDA</v>
      </c>
      <c r="D90" s="10" t="str">
        <f ca="1">IFERROR(__xludf.DUMMYFUNCTION("""COMPUTED_VALUE"""),"Resolución de Transferencia")</f>
        <v>Resolución de Transferencia</v>
      </c>
      <c r="E90" s="26" t="str">
        <f ca="1">IFERROR(__xludf.DUMMYFUNCTION("""COMPUTED_VALUE"""),"MUNICIPALIDAD DE FLORIDA")</f>
        <v>MUNICIPALIDAD DE FLORIDA</v>
      </c>
      <c r="F90" s="11">
        <f ca="1">IFERROR(__xludf.DUMMYFUNCTION("""COMPUTED_VALUE"""),10000000)</f>
        <v>10000000</v>
      </c>
      <c r="G90" s="10" t="str">
        <f ca="1">IFERROR(__xludf.DUMMYFUNCTION("""COMPUTED_VALUE"""),"Resolución")</f>
        <v>Resolución</v>
      </c>
      <c r="H90" s="10" t="str">
        <f ca="1">IFERROR(__xludf.DUMMYFUNCTION("""COMPUTED_VALUE"""),"Asistencia Técnica y Financiera para el Mejoramiento de la gestión en la provisión de servicios")</f>
        <v>Asistencia Técnica y Financiera para el Mejoramiento de la gestión en la provisión de servicios</v>
      </c>
      <c r="I90" s="10" t="str">
        <f ca="1">IFERROR(__xludf.DUMMYFUNCTION("""COMPUTED_VALUE"""),"Cumplir con normativa y reglamentos internos del programa en base a los objetivos.")</f>
        <v>Cumplir con normativa y reglamentos internos del programa en base a los objetivos.</v>
      </c>
      <c r="J90" s="11">
        <f ca="1">IFERROR(__xludf.DUMMYFUNCTION("""COMPUTED_VALUE"""),10000000)</f>
        <v>10000000</v>
      </c>
      <c r="K90" s="27">
        <f ca="1">IFERROR(__xludf.DUMMYFUNCTION("""COMPUTED_VALUE"""),1)</f>
        <v>1</v>
      </c>
      <c r="L90" s="28">
        <f ca="1">IFERROR(__xludf.DUMMYFUNCTION("""COMPUTED_VALUE"""),11018)</f>
        <v>11018</v>
      </c>
      <c r="M90" s="10" t="str">
        <f ca="1">IFERROR(__xludf.DUMMYFUNCTION("""COMPUTED_VALUE"""),"Programa Modernización Municipal")</f>
        <v>Programa Modernización Municipal</v>
      </c>
      <c r="N90" s="24"/>
      <c r="O90" s="16"/>
      <c r="P90" s="16"/>
      <c r="Q90" s="16"/>
      <c r="R90" s="16"/>
      <c r="S90" s="16"/>
      <c r="T90" s="16"/>
      <c r="U90" s="16"/>
      <c r="V90" s="16"/>
      <c r="W90" s="16"/>
      <c r="X90" s="16"/>
      <c r="Y90" s="16"/>
      <c r="Z90" s="16"/>
    </row>
    <row r="91" spans="1:26" ht="12.75" customHeight="1">
      <c r="A91" s="22"/>
      <c r="B91" s="10" t="str">
        <f ca="1">IFERROR(__xludf.DUMMYFUNCTION("""COMPUTED_VALUE"""),"Fortalecimiento capacidades municipales gestión de iniciativas cambio climático")</f>
        <v>Fortalecimiento capacidades municipales gestión de iniciativas cambio climático</v>
      </c>
      <c r="C91" s="26" t="str">
        <f t="shared" ca="1" si="1"/>
        <v xml:space="preserve"> VILLA ALEGRE</v>
      </c>
      <c r="D91" s="10" t="str">
        <f ca="1">IFERROR(__xludf.DUMMYFUNCTION("""COMPUTED_VALUE"""),"Resolución de Transferencia")</f>
        <v>Resolución de Transferencia</v>
      </c>
      <c r="E91" s="26" t="str">
        <f ca="1">IFERROR(__xludf.DUMMYFUNCTION("""COMPUTED_VALUE"""),"MUNICIPALIDAD DE VILLA ALEGRE")</f>
        <v>MUNICIPALIDAD DE VILLA ALEGRE</v>
      </c>
      <c r="F91" s="11">
        <f ca="1">IFERROR(__xludf.DUMMYFUNCTION("""COMPUTED_VALUE"""),10000000)</f>
        <v>10000000</v>
      </c>
      <c r="G91" s="10" t="str">
        <f ca="1">IFERROR(__xludf.DUMMYFUNCTION("""COMPUTED_VALUE"""),"Resolución")</f>
        <v>Resolución</v>
      </c>
      <c r="H91" s="10" t="str">
        <f ca="1">IFERROR(__xludf.DUMMYFUNCTION("""COMPUTED_VALUE"""),"Asistencia Técnica y Financiera para el Mejoramiento de la gestión en la provisión de servicios")</f>
        <v>Asistencia Técnica y Financiera para el Mejoramiento de la gestión en la provisión de servicios</v>
      </c>
      <c r="I91" s="10" t="str">
        <f ca="1">IFERROR(__xludf.DUMMYFUNCTION("""COMPUTED_VALUE"""),"Cumplir con normativa y reglamentos internos del programa en base a los objetivos.")</f>
        <v>Cumplir con normativa y reglamentos internos del programa en base a los objetivos.</v>
      </c>
      <c r="J91" s="11">
        <f ca="1">IFERROR(__xludf.DUMMYFUNCTION("""COMPUTED_VALUE"""),10000000)</f>
        <v>10000000</v>
      </c>
      <c r="K91" s="27">
        <f ca="1">IFERROR(__xludf.DUMMYFUNCTION("""COMPUTED_VALUE"""),1)</f>
        <v>1</v>
      </c>
      <c r="L91" s="28">
        <f ca="1">IFERROR(__xludf.DUMMYFUNCTION("""COMPUTED_VALUE"""),11852)</f>
        <v>11852</v>
      </c>
      <c r="M91" s="10" t="str">
        <f ca="1">IFERROR(__xludf.DUMMYFUNCTION("""COMPUTED_VALUE"""),"Programa Modernización Municipal")</f>
        <v>Programa Modernización Municipal</v>
      </c>
      <c r="N91" s="24"/>
      <c r="O91" s="16"/>
      <c r="P91" s="16"/>
      <c r="Q91" s="16"/>
      <c r="R91" s="16"/>
      <c r="S91" s="16"/>
      <c r="T91" s="16"/>
      <c r="U91" s="16"/>
      <c r="V91" s="16"/>
      <c r="W91" s="16"/>
      <c r="X91" s="16"/>
      <c r="Y91" s="16"/>
      <c r="Z91" s="16"/>
    </row>
    <row r="92" spans="1:26" ht="12.75" customHeight="1">
      <c r="A92" s="22"/>
      <c r="B92" s="10" t="str">
        <f ca="1">IFERROR(__xludf.DUMMYFUNCTION("""COMPUTED_VALUE"""),"Fortalecimiento capacidades municipales gestión de iniciativas cambio climático")</f>
        <v>Fortalecimiento capacidades municipales gestión de iniciativas cambio climático</v>
      </c>
      <c r="C92" s="26" t="str">
        <f t="shared" ca="1" si="1"/>
        <v xml:space="preserve"> PORTEZUELO</v>
      </c>
      <c r="D92" s="10" t="str">
        <f ca="1">IFERROR(__xludf.DUMMYFUNCTION("""COMPUTED_VALUE"""),"Resolución de Transferencia")</f>
        <v>Resolución de Transferencia</v>
      </c>
      <c r="E92" s="26" t="str">
        <f ca="1">IFERROR(__xludf.DUMMYFUNCTION("""COMPUTED_VALUE"""),"MUNICIPALIDAD DE PORTEZUELO")</f>
        <v>MUNICIPALIDAD DE PORTEZUELO</v>
      </c>
      <c r="F92" s="11">
        <f ca="1">IFERROR(__xludf.DUMMYFUNCTION("""COMPUTED_VALUE"""),10000000)</f>
        <v>10000000</v>
      </c>
      <c r="G92" s="10" t="str">
        <f ca="1">IFERROR(__xludf.DUMMYFUNCTION("""COMPUTED_VALUE"""),"Resolución")</f>
        <v>Resolución</v>
      </c>
      <c r="H92" s="10" t="str">
        <f ca="1">IFERROR(__xludf.DUMMYFUNCTION("""COMPUTED_VALUE"""),"Asistencia Técnica y Financiera para el Mejoramiento de la gestión en la provisión de servicios")</f>
        <v>Asistencia Técnica y Financiera para el Mejoramiento de la gestión en la provisión de servicios</v>
      </c>
      <c r="I92" s="10" t="str">
        <f ca="1">IFERROR(__xludf.DUMMYFUNCTION("""COMPUTED_VALUE"""),"Cumplir con normativa y reglamentos internos del programa en base a los objetivos.")</f>
        <v>Cumplir con normativa y reglamentos internos del programa en base a los objetivos.</v>
      </c>
      <c r="J92" s="11">
        <f ca="1">IFERROR(__xludf.DUMMYFUNCTION("""COMPUTED_VALUE"""),10000000)</f>
        <v>10000000</v>
      </c>
      <c r="K92" s="27">
        <f ca="1">IFERROR(__xludf.DUMMYFUNCTION("""COMPUTED_VALUE"""),1)</f>
        <v>1</v>
      </c>
      <c r="L92" s="28">
        <f ca="1">IFERROR(__xludf.DUMMYFUNCTION("""COMPUTED_VALUE"""),11018)</f>
        <v>11018</v>
      </c>
      <c r="M92" s="10" t="str">
        <f ca="1">IFERROR(__xludf.DUMMYFUNCTION("""COMPUTED_VALUE"""),"Programa Modernización Municipal")</f>
        <v>Programa Modernización Municipal</v>
      </c>
      <c r="N92" s="24"/>
      <c r="O92" s="16"/>
      <c r="P92" s="16"/>
      <c r="Q92" s="16"/>
      <c r="R92" s="16"/>
      <c r="S92" s="16"/>
      <c r="T92" s="16"/>
      <c r="U92" s="16"/>
      <c r="V92" s="16"/>
      <c r="W92" s="16"/>
      <c r="X92" s="16"/>
      <c r="Y92" s="16"/>
      <c r="Z92" s="16"/>
    </row>
    <row r="93" spans="1:26" ht="12.75" customHeight="1">
      <c r="A93" s="22"/>
      <c r="B93" s="10" t="str">
        <f ca="1">IFERROR(__xludf.DUMMYFUNCTION("""COMPUTED_VALUE"""),"Fortalecimiento capacidades municipales gestión de iniciativas cambio climático")</f>
        <v>Fortalecimiento capacidades municipales gestión de iniciativas cambio climático</v>
      </c>
      <c r="C93" s="26" t="str">
        <f t="shared" ca="1" si="1"/>
        <v xml:space="preserve"> EMPEDRADO</v>
      </c>
      <c r="D93" s="10" t="str">
        <f ca="1">IFERROR(__xludf.DUMMYFUNCTION("""COMPUTED_VALUE"""),"Resolución de Transferencia")</f>
        <v>Resolución de Transferencia</v>
      </c>
      <c r="E93" s="26" t="str">
        <f ca="1">IFERROR(__xludf.DUMMYFUNCTION("""COMPUTED_VALUE"""),"MUNICIPALIDAD DE EMPEDRADO")</f>
        <v>MUNICIPALIDAD DE EMPEDRADO</v>
      </c>
      <c r="F93" s="11">
        <f ca="1">IFERROR(__xludf.DUMMYFUNCTION("""COMPUTED_VALUE"""),10000000)</f>
        <v>10000000</v>
      </c>
      <c r="G93" s="10" t="str">
        <f ca="1">IFERROR(__xludf.DUMMYFUNCTION("""COMPUTED_VALUE"""),"Resolución")</f>
        <v>Resolución</v>
      </c>
      <c r="H93" s="10" t="str">
        <f ca="1">IFERROR(__xludf.DUMMYFUNCTION("""COMPUTED_VALUE"""),"Asistencia Técnica y Financiera para el Mejoramiento de la gestión en la provisión de servicios")</f>
        <v>Asistencia Técnica y Financiera para el Mejoramiento de la gestión en la provisión de servicios</v>
      </c>
      <c r="I93" s="10" t="str">
        <f ca="1">IFERROR(__xludf.DUMMYFUNCTION("""COMPUTED_VALUE"""),"Cumplir con normativa y reglamentos internos del programa en base a los objetivos.")</f>
        <v>Cumplir con normativa y reglamentos internos del programa en base a los objetivos.</v>
      </c>
      <c r="J93" s="11">
        <f ca="1">IFERROR(__xludf.DUMMYFUNCTION("""COMPUTED_VALUE"""),10000000)</f>
        <v>10000000</v>
      </c>
      <c r="K93" s="27">
        <f ca="1">IFERROR(__xludf.DUMMYFUNCTION("""COMPUTED_VALUE"""),1)</f>
        <v>1</v>
      </c>
      <c r="L93" s="28">
        <f ca="1">IFERROR(__xludf.DUMMYFUNCTION("""COMPUTED_VALUE"""),11018)</f>
        <v>11018</v>
      </c>
      <c r="M93" s="10" t="str">
        <f ca="1">IFERROR(__xludf.DUMMYFUNCTION("""COMPUTED_VALUE"""),"Programa Modernización Municipal")</f>
        <v>Programa Modernización Municipal</v>
      </c>
      <c r="N93" s="24"/>
      <c r="O93" s="16"/>
      <c r="P93" s="16"/>
      <c r="Q93" s="16"/>
      <c r="R93" s="16"/>
      <c r="S93" s="16"/>
      <c r="T93" s="16"/>
      <c r="U93" s="16"/>
      <c r="V93" s="16"/>
      <c r="W93" s="16"/>
      <c r="X93" s="16"/>
      <c r="Y93" s="16"/>
      <c r="Z93" s="16"/>
    </row>
    <row r="94" spans="1:26" ht="12.75" customHeight="1">
      <c r="A94" s="22"/>
      <c r="B94" s="10" t="str">
        <f ca="1">IFERROR(__xludf.DUMMYFUNCTION("""COMPUTED_VALUE"""),"2024 Gestión de Stock SII")</f>
        <v>2024 Gestión de Stock SII</v>
      </c>
      <c r="C94" s="26" t="s">
        <v>36</v>
      </c>
      <c r="D94" s="10" t="str">
        <f ca="1">IFERROR(__xludf.DUMMYFUNCTION("""COMPUTED_VALUE"""),"Resolución de Transferencia")</f>
        <v>Resolución de Transferencia</v>
      </c>
      <c r="E94" s="26" t="str">
        <f ca="1">IFERROR(__xludf.DUMMYFUNCTION("""COMPUTED_VALUE"""),"SERVICIO DE IMPUESTOS INTERNOS - SII")</f>
        <v>SERVICIO DE IMPUESTOS INTERNOS - SII</v>
      </c>
      <c r="F94" s="11">
        <f ca="1">IFERROR(__xludf.DUMMYFUNCTION("""COMPUTED_VALUE"""),150000000)</f>
        <v>150000000</v>
      </c>
      <c r="G94" s="10" t="str">
        <f ca="1">IFERROR(__xludf.DUMMYFUNCTION("""COMPUTED_VALUE"""),"Resolución")</f>
        <v>Resolución</v>
      </c>
      <c r="H94" s="10" t="str">
        <f ca="1">IFERROR(__xludf.DUMMYFUNCTION("""COMPUTED_VALUE"""),"2024 Gestión de Stock SII")</f>
        <v>2024 Gestión de Stock SII</v>
      </c>
      <c r="I94" s="10" t="str">
        <f ca="1">IFERROR(__xludf.DUMMYFUNCTION("""COMPUTED_VALUE"""),"Cumplir con normativa y reglamentos internos del programa en base a los objetivos.")</f>
        <v>Cumplir con normativa y reglamentos internos del programa en base a los objetivos.</v>
      </c>
      <c r="J94" s="11">
        <f ca="1">IFERROR(__xludf.DUMMYFUNCTION("""COMPUTED_VALUE"""),150000000)</f>
        <v>150000000</v>
      </c>
      <c r="K94" s="27">
        <f ca="1">IFERROR(__xludf.DUMMYFUNCTION("""COMPUTED_VALUE"""),1)</f>
        <v>1</v>
      </c>
      <c r="L94" s="28">
        <f ca="1">IFERROR(__xludf.DUMMYFUNCTION("""COMPUTED_VALUE"""),11833)</f>
        <v>11833</v>
      </c>
      <c r="M94" s="10" t="str">
        <f ca="1">IFERROR(__xludf.DUMMYFUNCTION("""COMPUTED_VALUE"""),"Programa Modernización Municipal")</f>
        <v>Programa Modernización Municipal</v>
      </c>
      <c r="N94" s="24"/>
      <c r="O94" s="16"/>
      <c r="P94" s="16"/>
      <c r="Q94" s="16"/>
      <c r="R94" s="16"/>
      <c r="S94" s="16"/>
      <c r="T94" s="16"/>
      <c r="U94" s="16"/>
      <c r="V94" s="16"/>
      <c r="W94" s="16"/>
      <c r="X94" s="16"/>
      <c r="Y94" s="16"/>
      <c r="Z94" s="16"/>
    </row>
    <row r="95" spans="1:26" ht="12.75" customHeight="1">
      <c r="A95" s="22"/>
      <c r="B95" s="10" t="str">
        <f ca="1">IFERROR(__xludf.DUMMYFUNCTION("""COMPUTED_VALUE"""),"2024- Actualización Portal Municipal")</f>
        <v>2024- Actualización Portal Municipal</v>
      </c>
      <c r="C95" s="26" t="s">
        <v>37</v>
      </c>
      <c r="D95" s="10" t="str">
        <f ca="1">IFERROR(__xludf.DUMMYFUNCTION("""COMPUTED_VALUE"""),"Resolución de Transferencia")</f>
        <v>Resolución de Transferencia</v>
      </c>
      <c r="E95" s="26" t="str">
        <f ca="1">IFERROR(__xludf.DUMMYFUNCTION("""COMPUTED_VALUE"""),"TESORERIA GENERAL DE LA REPUBLICA")</f>
        <v>TESORERIA GENERAL DE LA REPUBLICA</v>
      </c>
      <c r="F95" s="11">
        <f ca="1">IFERROR(__xludf.DUMMYFUNCTION("""COMPUTED_VALUE"""),135000000)</f>
        <v>135000000</v>
      </c>
      <c r="G95" s="10" t="str">
        <f ca="1">IFERROR(__xludf.DUMMYFUNCTION("""COMPUTED_VALUE"""),"Resolución")</f>
        <v>Resolución</v>
      </c>
      <c r="H95" s="10" t="str">
        <f ca="1">IFERROR(__xludf.DUMMYFUNCTION("""COMPUTED_VALUE"""),"2024- Actualización Portal Municipal")</f>
        <v>2024- Actualización Portal Municipal</v>
      </c>
      <c r="I95" s="10" t="str">
        <f ca="1">IFERROR(__xludf.DUMMYFUNCTION("""COMPUTED_VALUE"""),"Cumplir con normativa y reglamentos internos del programa en base a los objetivos.")</f>
        <v>Cumplir con normativa y reglamentos internos del programa en base a los objetivos.</v>
      </c>
      <c r="J95" s="11">
        <f ca="1">IFERROR(__xludf.DUMMYFUNCTION("""COMPUTED_VALUE"""),135000000)</f>
        <v>135000000</v>
      </c>
      <c r="K95" s="27">
        <f ca="1">IFERROR(__xludf.DUMMYFUNCTION("""COMPUTED_VALUE"""),1)</f>
        <v>1</v>
      </c>
      <c r="L95" s="28">
        <f ca="1">IFERROR(__xludf.DUMMYFUNCTION("""COMPUTED_VALUE"""),12377)</f>
        <v>12377</v>
      </c>
      <c r="M95" s="10" t="str">
        <f ca="1">IFERROR(__xludf.DUMMYFUNCTION("""COMPUTED_VALUE"""),"Programa Modernización Municipal")</f>
        <v>Programa Modernización Municipal</v>
      </c>
      <c r="N95" s="24"/>
      <c r="O95" s="16"/>
      <c r="P95" s="16"/>
      <c r="Q95" s="16"/>
      <c r="R95" s="16"/>
      <c r="S95" s="16"/>
      <c r="T95" s="16"/>
      <c r="U95" s="16"/>
      <c r="V95" s="16"/>
      <c r="W95" s="16"/>
      <c r="X95" s="16"/>
      <c r="Y95" s="16"/>
      <c r="Z95" s="16"/>
    </row>
    <row r="96" spans="1:26" ht="12.75" customHeight="1">
      <c r="A96" s="22"/>
      <c r="B96" s="10" t="str">
        <f ca="1">IFERROR(__xludf.DUMMYFUNCTION("""COMPUTED_VALUE"""),"Fortalecimiento de la Participación Ciudadana, sociedad Civil y la supervisión democrática")</f>
        <v>Fortalecimiento de la Participación Ciudadana, sociedad Civil y la supervisión democrática</v>
      </c>
      <c r="C96" s="26" t="s">
        <v>38</v>
      </c>
      <c r="D96" s="10" t="str">
        <f ca="1">IFERROR(__xludf.DUMMYFUNCTION("""COMPUTED_VALUE"""),"Resolución de Transferencia")</f>
        <v>Resolución de Transferencia</v>
      </c>
      <c r="E96" s="26" t="str">
        <f ca="1">IFERROR(__xludf.DUMMYFUNCTION("""COMPUTED_VALUE"""),"CONSEJO PARA LA TRANSPARENCIA")</f>
        <v>CONSEJO PARA LA TRANSPARENCIA</v>
      </c>
      <c r="F96" s="11">
        <f ca="1">IFERROR(__xludf.DUMMYFUNCTION("""COMPUTED_VALUE"""),28920000)</f>
        <v>28920000</v>
      </c>
      <c r="G96" s="10" t="str">
        <f ca="1">IFERROR(__xludf.DUMMYFUNCTION("""COMPUTED_VALUE"""),"Resolución")</f>
        <v>Resolución</v>
      </c>
      <c r="H96" s="10" t="str">
        <f ca="1">IFERROR(__xludf.DUMMYFUNCTION("""COMPUTED_VALUE"""),"Fortalecimiento de la Participación Ciudadana, sociedad Civil y la supervisión democrática")</f>
        <v>Fortalecimiento de la Participación Ciudadana, sociedad Civil y la supervisión democrática</v>
      </c>
      <c r="I96" s="10" t="str">
        <f ca="1">IFERROR(__xludf.DUMMYFUNCTION("""COMPUTED_VALUE"""),"Cumplir con normativa y reglamentos internos del programa en base a los objetivos.")</f>
        <v>Cumplir con normativa y reglamentos internos del programa en base a los objetivos.</v>
      </c>
      <c r="J96" s="11">
        <f ca="1">IFERROR(__xludf.DUMMYFUNCTION("""COMPUTED_VALUE"""),28920000)</f>
        <v>28920000</v>
      </c>
      <c r="K96" s="27">
        <f ca="1">IFERROR(__xludf.DUMMYFUNCTION("""COMPUTED_VALUE"""),1)</f>
        <v>1</v>
      </c>
      <c r="L96" s="28">
        <f ca="1">IFERROR(__xludf.DUMMYFUNCTION("""COMPUTED_VALUE"""),11896)</f>
        <v>11896</v>
      </c>
      <c r="M96" s="10" t="str">
        <f ca="1">IFERROR(__xludf.DUMMYFUNCTION("""COMPUTED_VALUE"""),"Programa Modernización Municipal")</f>
        <v>Programa Modernización Municipal</v>
      </c>
      <c r="N96" s="24"/>
      <c r="O96" s="16"/>
      <c r="P96" s="16"/>
      <c r="Q96" s="16"/>
      <c r="R96" s="16"/>
      <c r="S96" s="16"/>
      <c r="T96" s="16"/>
      <c r="U96" s="16"/>
      <c r="V96" s="16"/>
      <c r="W96" s="16"/>
      <c r="X96" s="16"/>
      <c r="Y96" s="16"/>
      <c r="Z96" s="16"/>
    </row>
    <row r="97" spans="1:26" ht="12.75" customHeight="1">
      <c r="A97" s="22"/>
      <c r="B97" s="10" t="str">
        <f ca="1">IFERROR(__xludf.DUMMYFUNCTION("""COMPUTED_VALUE"""),"2024 - Asamblea Nacional de Alcaldes y Alcaldesas")</f>
        <v>2024 - Asamblea Nacional de Alcaldes y Alcaldesas</v>
      </c>
      <c r="C97" s="26" t="s">
        <v>39</v>
      </c>
      <c r="D97" s="10" t="str">
        <f ca="1">IFERROR(__xludf.DUMMYFUNCTION("""COMPUTED_VALUE"""),"Resolución de Transferencia")</f>
        <v>Resolución de Transferencia</v>
      </c>
      <c r="E97" s="26" t="str">
        <f ca="1">IFERROR(__xludf.DUMMYFUNCTION("""COMPUTED_VALUE"""),"ASOCIACIÓN CHILENA DE MUNICIPALIDADES - ACHM")</f>
        <v>ASOCIACIÓN CHILENA DE MUNICIPALIDADES - ACHM</v>
      </c>
      <c r="F97" s="11">
        <f ca="1">IFERROR(__xludf.DUMMYFUNCTION("""COMPUTED_VALUE"""),20000000)</f>
        <v>20000000</v>
      </c>
      <c r="G97" s="10" t="str">
        <f ca="1">IFERROR(__xludf.DUMMYFUNCTION("""COMPUTED_VALUE"""),"Resolución")</f>
        <v>Resolución</v>
      </c>
      <c r="H97" s="10" t="str">
        <f ca="1">IFERROR(__xludf.DUMMYFUNCTION("""COMPUTED_VALUE"""),"2024 - Asamblea Nacional de Alcaldes y Alcaldesas")</f>
        <v>2024 - Asamblea Nacional de Alcaldes y Alcaldesas</v>
      </c>
      <c r="I97" s="10" t="str">
        <f ca="1">IFERROR(__xludf.DUMMYFUNCTION("""COMPUTED_VALUE"""),"Cumplir con normativa y reglamentos internos del programa en base a los objetivos.")</f>
        <v>Cumplir con normativa y reglamentos internos del programa en base a los objetivos.</v>
      </c>
      <c r="J97" s="11">
        <f ca="1">IFERROR(__xludf.DUMMYFUNCTION("""COMPUTED_VALUE"""),20000000)</f>
        <v>20000000</v>
      </c>
      <c r="K97" s="27">
        <f ca="1">IFERROR(__xludf.DUMMYFUNCTION("""COMPUTED_VALUE"""),1)</f>
        <v>1</v>
      </c>
      <c r="L97" s="28">
        <f ca="1">IFERROR(__xludf.DUMMYFUNCTION("""COMPUTED_VALUE"""),5379)</f>
        <v>5379</v>
      </c>
      <c r="M97" s="10" t="str">
        <f ca="1">IFERROR(__xludf.DUMMYFUNCTION("""COMPUTED_VALUE"""),"Programa Modernización Municipal")</f>
        <v>Programa Modernización Municipal</v>
      </c>
      <c r="N97" s="24"/>
      <c r="O97" s="16"/>
      <c r="P97" s="16"/>
      <c r="Q97" s="16"/>
      <c r="R97" s="16"/>
      <c r="S97" s="16"/>
      <c r="T97" s="16"/>
      <c r="U97" s="16"/>
      <c r="V97" s="16"/>
      <c r="W97" s="16"/>
      <c r="X97" s="16"/>
      <c r="Y97" s="16"/>
      <c r="Z97" s="16"/>
    </row>
    <row r="98" spans="1:26" ht="12.75" customHeight="1">
      <c r="A98" s="22"/>
      <c r="B98" s="10"/>
      <c r="C98" s="26" t="str">
        <f t="shared" ref="C98:C128" si="2">MID(E98,17,30)</f>
        <v/>
      </c>
      <c r="D98" s="10"/>
      <c r="E98" s="26"/>
      <c r="F98" s="11"/>
      <c r="G98" s="10"/>
      <c r="H98" s="10"/>
      <c r="I98" s="10"/>
      <c r="J98" s="11"/>
      <c r="K98" s="27"/>
      <c r="L98" s="28"/>
      <c r="M98" s="10"/>
      <c r="N98" s="24"/>
      <c r="O98" s="16"/>
      <c r="P98" s="16"/>
      <c r="Q98" s="16"/>
      <c r="R98" s="16"/>
      <c r="S98" s="16"/>
      <c r="T98" s="16"/>
      <c r="U98" s="16"/>
      <c r="V98" s="16"/>
      <c r="W98" s="16"/>
      <c r="X98" s="16"/>
      <c r="Y98" s="16"/>
      <c r="Z98" s="16"/>
    </row>
    <row r="99" spans="1:26" ht="12.75" customHeight="1">
      <c r="A99" s="22"/>
      <c r="B99" s="10"/>
      <c r="C99" s="26" t="str">
        <f t="shared" si="2"/>
        <v/>
      </c>
      <c r="D99" s="10"/>
      <c r="E99" s="26"/>
      <c r="F99" s="11"/>
      <c r="G99" s="10"/>
      <c r="H99" s="10"/>
      <c r="I99" s="10"/>
      <c r="J99" s="11"/>
      <c r="K99" s="27"/>
      <c r="L99" s="28"/>
      <c r="M99" s="10"/>
      <c r="N99" s="24"/>
      <c r="O99" s="16"/>
      <c r="P99" s="16"/>
      <c r="Q99" s="16"/>
      <c r="R99" s="16"/>
      <c r="S99" s="16"/>
      <c r="T99" s="16"/>
      <c r="U99" s="16"/>
      <c r="V99" s="16"/>
      <c r="W99" s="16"/>
      <c r="X99" s="16"/>
      <c r="Y99" s="16"/>
      <c r="Z99" s="16"/>
    </row>
    <row r="100" spans="1:26" ht="12.75" hidden="1" customHeight="1">
      <c r="A100" s="22"/>
      <c r="B100" s="10"/>
      <c r="C100" s="26" t="str">
        <f t="shared" si="2"/>
        <v/>
      </c>
      <c r="D100" s="10"/>
      <c r="E100" s="26"/>
      <c r="F100" s="11"/>
      <c r="G100" s="10"/>
      <c r="H100" s="10"/>
      <c r="I100" s="10"/>
      <c r="J100" s="11"/>
      <c r="K100" s="27"/>
      <c r="L100" s="28"/>
      <c r="M100" s="10"/>
      <c r="N100" s="24"/>
      <c r="O100" s="16"/>
      <c r="P100" s="16"/>
      <c r="Q100" s="16"/>
      <c r="R100" s="16"/>
      <c r="S100" s="16"/>
      <c r="T100" s="16"/>
      <c r="U100" s="16"/>
      <c r="V100" s="16"/>
      <c r="W100" s="16"/>
      <c r="X100" s="16"/>
      <c r="Y100" s="16"/>
      <c r="Z100" s="16"/>
    </row>
    <row r="101" spans="1:26" ht="12.75" hidden="1" customHeight="1">
      <c r="A101" s="22"/>
      <c r="B101" s="10"/>
      <c r="C101" s="26" t="str">
        <f t="shared" si="2"/>
        <v/>
      </c>
      <c r="D101" s="10"/>
      <c r="E101" s="26"/>
      <c r="F101" s="11"/>
      <c r="G101" s="10"/>
      <c r="H101" s="10"/>
      <c r="I101" s="10"/>
      <c r="J101" s="11"/>
      <c r="K101" s="27"/>
      <c r="L101" s="28"/>
      <c r="M101" s="10"/>
      <c r="N101" s="24"/>
      <c r="O101" s="16"/>
      <c r="P101" s="16"/>
      <c r="Q101" s="16"/>
      <c r="R101" s="16"/>
      <c r="S101" s="16"/>
      <c r="T101" s="16"/>
      <c r="U101" s="16"/>
      <c r="V101" s="16"/>
      <c r="W101" s="16"/>
      <c r="X101" s="16"/>
      <c r="Y101" s="16"/>
      <c r="Z101" s="16"/>
    </row>
    <row r="102" spans="1:26" ht="12.75" hidden="1" customHeight="1">
      <c r="A102" s="22"/>
      <c r="B102" s="10"/>
      <c r="C102" s="26" t="str">
        <f t="shared" si="2"/>
        <v/>
      </c>
      <c r="D102" s="10"/>
      <c r="E102" s="26"/>
      <c r="F102" s="11"/>
      <c r="G102" s="10"/>
      <c r="H102" s="10"/>
      <c r="I102" s="10"/>
      <c r="J102" s="11"/>
      <c r="K102" s="27"/>
      <c r="L102" s="28"/>
      <c r="M102" s="10"/>
      <c r="N102" s="24"/>
      <c r="O102" s="16"/>
      <c r="P102" s="16"/>
      <c r="Q102" s="16"/>
      <c r="R102" s="16"/>
      <c r="S102" s="16"/>
      <c r="T102" s="16"/>
      <c r="U102" s="16"/>
      <c r="V102" s="16"/>
      <c r="W102" s="16"/>
      <c r="X102" s="16"/>
      <c r="Y102" s="16"/>
      <c r="Z102" s="16"/>
    </row>
    <row r="103" spans="1:26" ht="12.75" hidden="1" customHeight="1">
      <c r="A103" s="22"/>
      <c r="B103" s="10"/>
      <c r="C103" s="26" t="str">
        <f t="shared" si="2"/>
        <v/>
      </c>
      <c r="D103" s="10"/>
      <c r="E103" s="26"/>
      <c r="F103" s="11"/>
      <c r="G103" s="10"/>
      <c r="H103" s="10"/>
      <c r="I103" s="10"/>
      <c r="J103" s="11"/>
      <c r="K103" s="27"/>
      <c r="L103" s="28"/>
      <c r="M103" s="10"/>
      <c r="N103" s="24"/>
      <c r="O103" s="16"/>
      <c r="P103" s="16"/>
      <c r="Q103" s="16"/>
      <c r="R103" s="16"/>
      <c r="S103" s="16"/>
      <c r="T103" s="16"/>
      <c r="U103" s="16"/>
      <c r="V103" s="16"/>
      <c r="W103" s="16"/>
      <c r="X103" s="16"/>
      <c r="Y103" s="16"/>
      <c r="Z103" s="16"/>
    </row>
    <row r="104" spans="1:26" ht="12.75" hidden="1" customHeight="1">
      <c r="A104" s="22"/>
      <c r="B104" s="10"/>
      <c r="C104" s="26" t="str">
        <f t="shared" si="2"/>
        <v/>
      </c>
      <c r="D104" s="10"/>
      <c r="E104" s="26"/>
      <c r="F104" s="11"/>
      <c r="G104" s="10"/>
      <c r="H104" s="10"/>
      <c r="I104" s="10"/>
      <c r="J104" s="11"/>
      <c r="K104" s="27"/>
      <c r="L104" s="28"/>
      <c r="M104" s="10"/>
      <c r="N104" s="24"/>
      <c r="O104" s="16"/>
      <c r="P104" s="16"/>
      <c r="Q104" s="16"/>
      <c r="R104" s="16"/>
      <c r="S104" s="16"/>
      <c r="T104" s="16"/>
      <c r="U104" s="16"/>
      <c r="V104" s="16"/>
      <c r="W104" s="16"/>
      <c r="X104" s="16"/>
      <c r="Y104" s="16"/>
      <c r="Z104" s="16"/>
    </row>
    <row r="105" spans="1:26" ht="12.75" hidden="1" customHeight="1">
      <c r="A105" s="22"/>
      <c r="B105" s="10"/>
      <c r="C105" s="26" t="str">
        <f t="shared" si="2"/>
        <v/>
      </c>
      <c r="D105" s="10"/>
      <c r="E105" s="26"/>
      <c r="F105" s="11"/>
      <c r="G105" s="10"/>
      <c r="H105" s="10"/>
      <c r="I105" s="10"/>
      <c r="J105" s="11"/>
      <c r="K105" s="27"/>
      <c r="L105" s="28"/>
      <c r="M105" s="10"/>
      <c r="N105" s="24"/>
      <c r="O105" s="16"/>
      <c r="P105" s="16"/>
      <c r="Q105" s="16"/>
      <c r="R105" s="16"/>
      <c r="S105" s="16"/>
      <c r="T105" s="16"/>
      <c r="U105" s="16"/>
      <c r="V105" s="16"/>
      <c r="W105" s="16"/>
      <c r="X105" s="16"/>
      <c r="Y105" s="16"/>
      <c r="Z105" s="16"/>
    </row>
    <row r="106" spans="1:26" ht="12.75" hidden="1" customHeight="1">
      <c r="A106" s="22"/>
      <c r="B106" s="10"/>
      <c r="C106" s="26" t="str">
        <f t="shared" si="2"/>
        <v/>
      </c>
      <c r="D106" s="10"/>
      <c r="E106" s="26"/>
      <c r="F106" s="11"/>
      <c r="G106" s="10"/>
      <c r="H106" s="10"/>
      <c r="I106" s="10"/>
      <c r="J106" s="11"/>
      <c r="K106" s="27"/>
      <c r="L106" s="28"/>
      <c r="M106" s="10"/>
      <c r="N106" s="24"/>
      <c r="O106" s="16"/>
      <c r="P106" s="16"/>
      <c r="Q106" s="16"/>
      <c r="R106" s="16"/>
      <c r="S106" s="16"/>
      <c r="T106" s="16"/>
      <c r="U106" s="16"/>
      <c r="V106" s="16"/>
      <c r="W106" s="16"/>
      <c r="X106" s="16"/>
      <c r="Y106" s="16"/>
      <c r="Z106" s="16"/>
    </row>
    <row r="107" spans="1:26" ht="12.75" hidden="1" customHeight="1">
      <c r="A107" s="22"/>
      <c r="B107" s="10"/>
      <c r="C107" s="26" t="str">
        <f t="shared" si="2"/>
        <v/>
      </c>
      <c r="D107" s="10"/>
      <c r="E107" s="26"/>
      <c r="F107" s="11"/>
      <c r="G107" s="10"/>
      <c r="H107" s="10"/>
      <c r="I107" s="10"/>
      <c r="J107" s="11"/>
      <c r="K107" s="27"/>
      <c r="L107" s="28"/>
      <c r="M107" s="10"/>
      <c r="N107" s="24"/>
      <c r="O107" s="16"/>
      <c r="P107" s="16"/>
      <c r="Q107" s="16"/>
      <c r="R107" s="16"/>
      <c r="S107" s="16"/>
      <c r="T107" s="16"/>
      <c r="U107" s="16"/>
      <c r="V107" s="16"/>
      <c r="W107" s="16"/>
      <c r="X107" s="16"/>
      <c r="Y107" s="16"/>
      <c r="Z107" s="16"/>
    </row>
    <row r="108" spans="1:26" ht="12.75" hidden="1" customHeight="1">
      <c r="A108" s="22"/>
      <c r="B108" s="10"/>
      <c r="C108" s="26" t="str">
        <f t="shared" si="2"/>
        <v/>
      </c>
      <c r="D108" s="10"/>
      <c r="E108" s="26"/>
      <c r="F108" s="11"/>
      <c r="G108" s="10"/>
      <c r="H108" s="10"/>
      <c r="I108" s="10"/>
      <c r="J108" s="11"/>
      <c r="K108" s="27"/>
      <c r="L108" s="28"/>
      <c r="M108" s="10"/>
      <c r="N108" s="24"/>
      <c r="O108" s="16"/>
      <c r="P108" s="16"/>
      <c r="Q108" s="16"/>
      <c r="R108" s="16"/>
      <c r="S108" s="16"/>
      <c r="T108" s="16"/>
      <c r="U108" s="16"/>
      <c r="V108" s="16"/>
      <c r="W108" s="16"/>
      <c r="X108" s="16"/>
      <c r="Y108" s="16"/>
      <c r="Z108" s="16"/>
    </row>
    <row r="109" spans="1:26" ht="12.75" hidden="1" customHeight="1">
      <c r="A109" s="22"/>
      <c r="B109" s="10"/>
      <c r="C109" s="26" t="str">
        <f t="shared" si="2"/>
        <v/>
      </c>
      <c r="D109" s="10"/>
      <c r="E109" s="26"/>
      <c r="F109" s="11"/>
      <c r="G109" s="10"/>
      <c r="H109" s="10"/>
      <c r="I109" s="10"/>
      <c r="J109" s="11"/>
      <c r="K109" s="27"/>
      <c r="L109" s="28"/>
      <c r="M109" s="10"/>
      <c r="N109" s="24"/>
      <c r="O109" s="16"/>
      <c r="P109" s="16"/>
      <c r="Q109" s="16"/>
      <c r="R109" s="16"/>
      <c r="S109" s="16"/>
      <c r="T109" s="16"/>
      <c r="U109" s="16"/>
      <c r="V109" s="16"/>
      <c r="W109" s="16"/>
      <c r="X109" s="16"/>
      <c r="Y109" s="16"/>
      <c r="Z109" s="16"/>
    </row>
    <row r="110" spans="1:26" ht="12.75" hidden="1" customHeight="1">
      <c r="A110" s="22"/>
      <c r="B110" s="10"/>
      <c r="C110" s="26" t="str">
        <f t="shared" si="2"/>
        <v/>
      </c>
      <c r="D110" s="10"/>
      <c r="E110" s="26"/>
      <c r="F110" s="11"/>
      <c r="G110" s="10"/>
      <c r="H110" s="10"/>
      <c r="I110" s="10"/>
      <c r="J110" s="11"/>
      <c r="K110" s="27"/>
      <c r="L110" s="28"/>
      <c r="M110" s="10"/>
      <c r="N110" s="24"/>
      <c r="O110" s="16"/>
      <c r="P110" s="16"/>
      <c r="Q110" s="16"/>
      <c r="R110" s="16"/>
      <c r="S110" s="16"/>
      <c r="T110" s="16"/>
      <c r="U110" s="16"/>
      <c r="V110" s="16"/>
      <c r="W110" s="16"/>
      <c r="X110" s="16"/>
      <c r="Y110" s="16"/>
      <c r="Z110" s="16"/>
    </row>
    <row r="111" spans="1:26" ht="12.75" hidden="1" customHeight="1">
      <c r="A111" s="22"/>
      <c r="B111" s="10"/>
      <c r="C111" s="26" t="str">
        <f t="shared" si="2"/>
        <v/>
      </c>
      <c r="D111" s="10"/>
      <c r="E111" s="26"/>
      <c r="F111" s="11"/>
      <c r="G111" s="10"/>
      <c r="H111" s="10"/>
      <c r="I111" s="10"/>
      <c r="J111" s="11"/>
      <c r="K111" s="27"/>
      <c r="L111" s="28"/>
      <c r="M111" s="10"/>
      <c r="N111" s="24"/>
      <c r="O111" s="16"/>
      <c r="P111" s="16"/>
      <c r="Q111" s="16"/>
      <c r="R111" s="16"/>
      <c r="S111" s="16"/>
      <c r="T111" s="16"/>
      <c r="U111" s="16"/>
      <c r="V111" s="16"/>
      <c r="W111" s="16"/>
      <c r="X111" s="16"/>
      <c r="Y111" s="16"/>
      <c r="Z111" s="16"/>
    </row>
    <row r="112" spans="1:26" ht="12.75" hidden="1" customHeight="1">
      <c r="A112" s="22"/>
      <c r="B112" s="10"/>
      <c r="C112" s="26" t="str">
        <f t="shared" si="2"/>
        <v/>
      </c>
      <c r="D112" s="10"/>
      <c r="E112" s="26"/>
      <c r="F112" s="11"/>
      <c r="G112" s="10"/>
      <c r="H112" s="10"/>
      <c r="I112" s="10"/>
      <c r="J112" s="11"/>
      <c r="K112" s="27"/>
      <c r="L112" s="28"/>
      <c r="M112" s="10"/>
      <c r="N112" s="24"/>
      <c r="O112" s="16"/>
      <c r="P112" s="16"/>
      <c r="Q112" s="16"/>
      <c r="R112" s="16"/>
      <c r="S112" s="16"/>
      <c r="T112" s="16"/>
      <c r="U112" s="16"/>
      <c r="V112" s="16"/>
      <c r="W112" s="16"/>
      <c r="X112" s="16"/>
      <c r="Y112" s="16"/>
      <c r="Z112" s="16"/>
    </row>
    <row r="113" spans="1:26" ht="12.75" hidden="1" customHeight="1">
      <c r="A113" s="22"/>
      <c r="B113" s="10"/>
      <c r="C113" s="26" t="str">
        <f t="shared" si="2"/>
        <v/>
      </c>
      <c r="D113" s="10"/>
      <c r="E113" s="26"/>
      <c r="F113" s="11"/>
      <c r="G113" s="10"/>
      <c r="H113" s="10"/>
      <c r="I113" s="10"/>
      <c r="J113" s="11"/>
      <c r="K113" s="27"/>
      <c r="L113" s="28"/>
      <c r="M113" s="10"/>
      <c r="N113" s="24"/>
      <c r="O113" s="16"/>
      <c r="P113" s="16"/>
      <c r="Q113" s="16"/>
      <c r="R113" s="16"/>
      <c r="S113" s="16"/>
      <c r="T113" s="16"/>
      <c r="U113" s="16"/>
      <c r="V113" s="16"/>
      <c r="W113" s="16"/>
      <c r="X113" s="16"/>
      <c r="Y113" s="16"/>
      <c r="Z113" s="16"/>
    </row>
    <row r="114" spans="1:26" ht="12.75" hidden="1" customHeight="1">
      <c r="A114" s="22"/>
      <c r="B114" s="10"/>
      <c r="C114" s="26" t="str">
        <f t="shared" si="2"/>
        <v/>
      </c>
      <c r="D114" s="10"/>
      <c r="E114" s="26"/>
      <c r="F114" s="11"/>
      <c r="G114" s="10"/>
      <c r="H114" s="10"/>
      <c r="I114" s="10"/>
      <c r="J114" s="11"/>
      <c r="K114" s="27"/>
      <c r="L114" s="28"/>
      <c r="M114" s="10"/>
      <c r="N114" s="24"/>
      <c r="O114" s="16"/>
      <c r="P114" s="16"/>
      <c r="Q114" s="16"/>
      <c r="R114" s="16"/>
      <c r="S114" s="16"/>
      <c r="T114" s="16"/>
      <c r="U114" s="16"/>
      <c r="V114" s="16"/>
      <c r="W114" s="16"/>
      <c r="X114" s="16"/>
      <c r="Y114" s="16"/>
      <c r="Z114" s="16"/>
    </row>
    <row r="115" spans="1:26" ht="12.75" hidden="1" customHeight="1">
      <c r="A115" s="22"/>
      <c r="B115" s="10"/>
      <c r="C115" s="26" t="str">
        <f t="shared" si="2"/>
        <v/>
      </c>
      <c r="D115" s="10"/>
      <c r="E115" s="26"/>
      <c r="F115" s="11"/>
      <c r="G115" s="10"/>
      <c r="H115" s="10"/>
      <c r="I115" s="10"/>
      <c r="J115" s="11"/>
      <c r="K115" s="27"/>
      <c r="L115" s="28"/>
      <c r="M115" s="10"/>
      <c r="N115" s="24"/>
      <c r="O115" s="16"/>
      <c r="P115" s="16"/>
      <c r="Q115" s="16"/>
      <c r="R115" s="16"/>
      <c r="S115" s="16"/>
      <c r="T115" s="16"/>
      <c r="U115" s="16"/>
      <c r="V115" s="16"/>
      <c r="W115" s="16"/>
      <c r="X115" s="16"/>
      <c r="Y115" s="16"/>
      <c r="Z115" s="16"/>
    </row>
    <row r="116" spans="1:26" ht="12.75" hidden="1" customHeight="1">
      <c r="A116" s="22"/>
      <c r="B116" s="10"/>
      <c r="C116" s="26" t="str">
        <f t="shared" si="2"/>
        <v/>
      </c>
      <c r="D116" s="10"/>
      <c r="E116" s="26"/>
      <c r="F116" s="11"/>
      <c r="G116" s="10"/>
      <c r="H116" s="10"/>
      <c r="I116" s="10"/>
      <c r="J116" s="11"/>
      <c r="K116" s="27"/>
      <c r="L116" s="28"/>
      <c r="M116" s="10"/>
      <c r="N116" s="24"/>
      <c r="O116" s="16"/>
      <c r="P116" s="16"/>
      <c r="Q116" s="16"/>
      <c r="R116" s="16"/>
      <c r="S116" s="16"/>
      <c r="T116" s="16"/>
      <c r="U116" s="16"/>
      <c r="V116" s="16"/>
      <c r="W116" s="16"/>
      <c r="X116" s="16"/>
      <c r="Y116" s="16"/>
      <c r="Z116" s="16"/>
    </row>
    <row r="117" spans="1:26" ht="12.75" hidden="1" customHeight="1">
      <c r="A117" s="22"/>
      <c r="B117" s="10"/>
      <c r="C117" s="26" t="str">
        <f t="shared" si="2"/>
        <v/>
      </c>
      <c r="D117" s="10"/>
      <c r="E117" s="26"/>
      <c r="F117" s="11"/>
      <c r="G117" s="10"/>
      <c r="H117" s="10"/>
      <c r="I117" s="10"/>
      <c r="J117" s="11"/>
      <c r="K117" s="27"/>
      <c r="L117" s="28"/>
      <c r="M117" s="10"/>
      <c r="N117" s="24"/>
      <c r="O117" s="16"/>
      <c r="P117" s="16"/>
      <c r="Q117" s="16"/>
      <c r="R117" s="16"/>
      <c r="S117" s="16"/>
      <c r="T117" s="16"/>
      <c r="U117" s="16"/>
      <c r="V117" s="16"/>
      <c r="W117" s="16"/>
      <c r="X117" s="16"/>
      <c r="Y117" s="16"/>
      <c r="Z117" s="16"/>
    </row>
    <row r="118" spans="1:26" ht="12.75" hidden="1" customHeight="1">
      <c r="A118" s="22"/>
      <c r="B118" s="10"/>
      <c r="C118" s="26" t="str">
        <f t="shared" si="2"/>
        <v/>
      </c>
      <c r="D118" s="10"/>
      <c r="E118" s="26"/>
      <c r="F118" s="11"/>
      <c r="G118" s="10"/>
      <c r="H118" s="10"/>
      <c r="I118" s="10"/>
      <c r="J118" s="11"/>
      <c r="K118" s="27"/>
      <c r="L118" s="28"/>
      <c r="M118" s="10"/>
      <c r="N118" s="24"/>
      <c r="O118" s="16"/>
      <c r="P118" s="16"/>
      <c r="Q118" s="16"/>
      <c r="R118" s="16"/>
      <c r="S118" s="16"/>
      <c r="T118" s="16"/>
      <c r="U118" s="16"/>
      <c r="V118" s="16"/>
      <c r="W118" s="16"/>
      <c r="X118" s="16"/>
      <c r="Y118" s="16"/>
      <c r="Z118" s="16"/>
    </row>
    <row r="119" spans="1:26" ht="12.75" hidden="1" customHeight="1">
      <c r="A119" s="22"/>
      <c r="B119" s="10"/>
      <c r="C119" s="26" t="str">
        <f t="shared" si="2"/>
        <v/>
      </c>
      <c r="D119" s="10"/>
      <c r="E119" s="26"/>
      <c r="F119" s="11"/>
      <c r="G119" s="10"/>
      <c r="H119" s="10"/>
      <c r="I119" s="10"/>
      <c r="J119" s="11"/>
      <c r="K119" s="27"/>
      <c r="L119" s="28"/>
      <c r="M119" s="10"/>
      <c r="N119" s="24"/>
      <c r="O119" s="16"/>
      <c r="P119" s="16"/>
      <c r="Q119" s="16"/>
      <c r="R119" s="16"/>
      <c r="S119" s="16"/>
      <c r="T119" s="16"/>
      <c r="U119" s="16"/>
      <c r="V119" s="16"/>
      <c r="W119" s="16"/>
      <c r="X119" s="16"/>
      <c r="Y119" s="16"/>
      <c r="Z119" s="16"/>
    </row>
    <row r="120" spans="1:26" ht="12.75" hidden="1" customHeight="1">
      <c r="A120" s="22"/>
      <c r="B120" s="10"/>
      <c r="C120" s="26" t="str">
        <f t="shared" si="2"/>
        <v/>
      </c>
      <c r="D120" s="10"/>
      <c r="E120" s="26"/>
      <c r="F120" s="11"/>
      <c r="G120" s="10"/>
      <c r="H120" s="10"/>
      <c r="I120" s="10"/>
      <c r="J120" s="11"/>
      <c r="K120" s="27"/>
      <c r="L120" s="28"/>
      <c r="M120" s="10"/>
      <c r="N120" s="24"/>
      <c r="O120" s="16"/>
      <c r="P120" s="16"/>
      <c r="Q120" s="16"/>
      <c r="R120" s="16"/>
      <c r="S120" s="16"/>
      <c r="T120" s="16"/>
      <c r="U120" s="16"/>
      <c r="V120" s="16"/>
      <c r="W120" s="16"/>
      <c r="X120" s="16"/>
      <c r="Y120" s="16"/>
      <c r="Z120" s="16"/>
    </row>
    <row r="121" spans="1:26" ht="12.75" hidden="1" customHeight="1">
      <c r="A121" s="22"/>
      <c r="B121" s="10"/>
      <c r="C121" s="26" t="str">
        <f t="shared" si="2"/>
        <v/>
      </c>
      <c r="D121" s="10"/>
      <c r="E121" s="26"/>
      <c r="F121" s="11"/>
      <c r="G121" s="10"/>
      <c r="H121" s="10"/>
      <c r="I121" s="10"/>
      <c r="J121" s="11"/>
      <c r="K121" s="27"/>
      <c r="L121" s="28"/>
      <c r="M121" s="10"/>
      <c r="N121" s="24"/>
      <c r="O121" s="16"/>
      <c r="P121" s="16"/>
      <c r="Q121" s="16"/>
      <c r="R121" s="16"/>
      <c r="S121" s="16"/>
      <c r="T121" s="16"/>
      <c r="U121" s="16"/>
      <c r="V121" s="16"/>
      <c r="W121" s="16"/>
      <c r="X121" s="16"/>
      <c r="Y121" s="16"/>
      <c r="Z121" s="16"/>
    </row>
    <row r="122" spans="1:26" ht="12.75" customHeight="1">
      <c r="A122" s="31"/>
      <c r="B122" s="32"/>
      <c r="C122" s="33" t="str">
        <f t="shared" si="2"/>
        <v/>
      </c>
      <c r="D122" s="32"/>
      <c r="E122" s="33"/>
      <c r="F122" s="34"/>
      <c r="G122" s="32"/>
      <c r="H122" s="32"/>
      <c r="I122" s="32"/>
      <c r="J122" s="34"/>
      <c r="K122" s="35"/>
      <c r="L122" s="36"/>
      <c r="M122" s="32"/>
      <c r="N122" s="31"/>
      <c r="O122" s="31"/>
      <c r="P122" s="31"/>
      <c r="Q122" s="31"/>
      <c r="R122" s="31"/>
      <c r="S122" s="31"/>
      <c r="T122" s="31"/>
      <c r="U122" s="31"/>
      <c r="V122" s="31"/>
      <c r="W122" s="31"/>
      <c r="X122" s="31"/>
      <c r="Y122" s="31"/>
      <c r="Z122" s="31"/>
    </row>
    <row r="123" spans="1:26" ht="12.75" customHeight="1">
      <c r="A123" s="31"/>
      <c r="B123" s="32"/>
      <c r="C123" s="33" t="str">
        <f t="shared" si="2"/>
        <v/>
      </c>
      <c r="D123" s="32"/>
      <c r="E123" s="33"/>
      <c r="F123" s="34"/>
      <c r="G123" s="32"/>
      <c r="H123" s="32"/>
      <c r="I123" s="32"/>
      <c r="J123" s="34"/>
      <c r="K123" s="35"/>
      <c r="L123" s="36"/>
      <c r="M123" s="32"/>
      <c r="N123" s="31"/>
      <c r="O123" s="31"/>
      <c r="P123" s="31"/>
      <c r="Q123" s="31"/>
      <c r="R123" s="31"/>
      <c r="S123" s="31"/>
      <c r="T123" s="31"/>
      <c r="U123" s="31"/>
      <c r="V123" s="31"/>
      <c r="W123" s="31"/>
      <c r="X123" s="31"/>
      <c r="Y123" s="31"/>
      <c r="Z123" s="31"/>
    </row>
    <row r="124" spans="1:26" ht="21.75" customHeight="1">
      <c r="A124" s="37"/>
      <c r="B124" s="38" t="s">
        <v>40</v>
      </c>
      <c r="C124" s="39" t="str">
        <f t="shared" si="2"/>
        <v/>
      </c>
      <c r="D124" s="40"/>
      <c r="E124" s="39"/>
      <c r="F124" s="41">
        <f ca="1">SUM(F22:F121)</f>
        <v>1343883700</v>
      </c>
      <c r="G124" s="40"/>
      <c r="H124" s="40"/>
      <c r="I124" s="40"/>
      <c r="J124" s="41">
        <f ca="1">SUM(J22:J121)</f>
        <v>1343883700</v>
      </c>
      <c r="K124" s="42"/>
      <c r="L124" s="43"/>
      <c r="M124" s="40"/>
      <c r="N124" s="37"/>
      <c r="O124" s="37"/>
      <c r="P124" s="37"/>
      <c r="Q124" s="37"/>
      <c r="R124" s="37"/>
      <c r="S124" s="37"/>
      <c r="T124" s="37"/>
      <c r="U124" s="37"/>
      <c r="V124" s="37"/>
      <c r="W124" s="37"/>
      <c r="X124" s="37"/>
      <c r="Y124" s="37"/>
      <c r="Z124" s="37"/>
    </row>
    <row r="125" spans="1:26" ht="12.75" customHeight="1">
      <c r="A125" s="31"/>
      <c r="B125" s="32"/>
      <c r="C125" s="33" t="str">
        <f t="shared" si="2"/>
        <v/>
      </c>
      <c r="D125" s="32"/>
      <c r="E125" s="33"/>
      <c r="F125" s="34"/>
      <c r="G125" s="32"/>
      <c r="H125" s="32"/>
      <c r="I125" s="32"/>
      <c r="J125" s="34"/>
      <c r="K125" s="35"/>
      <c r="L125" s="36"/>
      <c r="M125" s="32"/>
      <c r="N125" s="31"/>
      <c r="O125" s="31"/>
      <c r="P125" s="31"/>
      <c r="Q125" s="31"/>
      <c r="R125" s="31"/>
      <c r="S125" s="31"/>
      <c r="T125" s="31"/>
      <c r="U125" s="31"/>
      <c r="V125" s="31"/>
      <c r="W125" s="31"/>
      <c r="X125" s="31"/>
      <c r="Y125" s="31"/>
      <c r="Z125" s="31"/>
    </row>
    <row r="126" spans="1:26" ht="12.75" customHeight="1">
      <c r="A126" s="31"/>
      <c r="B126" s="32"/>
      <c r="C126" s="33" t="str">
        <f t="shared" si="2"/>
        <v/>
      </c>
      <c r="D126" s="32"/>
      <c r="E126" s="33"/>
      <c r="F126" s="34"/>
      <c r="G126" s="32"/>
      <c r="H126" s="32"/>
      <c r="I126" s="32"/>
      <c r="J126" s="34"/>
      <c r="K126" s="35"/>
      <c r="L126" s="36"/>
      <c r="M126" s="32"/>
      <c r="N126" s="31"/>
      <c r="O126" s="31"/>
      <c r="P126" s="31"/>
      <c r="Q126" s="31"/>
      <c r="R126" s="31"/>
      <c r="S126" s="31"/>
      <c r="T126" s="31"/>
      <c r="U126" s="31"/>
      <c r="V126" s="31"/>
      <c r="W126" s="31"/>
      <c r="X126" s="31"/>
      <c r="Y126" s="31"/>
      <c r="Z126" s="31"/>
    </row>
    <row r="127" spans="1:26" ht="12.75" customHeight="1">
      <c r="A127" s="31"/>
      <c r="B127" s="32"/>
      <c r="C127" s="33" t="str">
        <f t="shared" si="2"/>
        <v/>
      </c>
      <c r="D127" s="32"/>
      <c r="E127" s="33"/>
      <c r="F127" s="34"/>
      <c r="G127" s="32"/>
      <c r="H127" s="32"/>
      <c r="I127" s="32"/>
      <c r="J127" s="34"/>
      <c r="K127" s="35"/>
      <c r="L127" s="36"/>
      <c r="M127" s="32"/>
      <c r="N127" s="31"/>
      <c r="O127" s="31"/>
      <c r="P127" s="31"/>
      <c r="Q127" s="31"/>
      <c r="R127" s="31"/>
      <c r="S127" s="31"/>
      <c r="T127" s="31"/>
      <c r="U127" s="31"/>
      <c r="V127" s="31"/>
      <c r="W127" s="31"/>
      <c r="X127" s="31"/>
      <c r="Y127" s="31"/>
      <c r="Z127" s="31"/>
    </row>
    <row r="128" spans="1:26" ht="12.75" customHeight="1">
      <c r="A128" s="31"/>
      <c r="B128" s="32"/>
      <c r="C128" s="33" t="str">
        <f t="shared" si="2"/>
        <v/>
      </c>
      <c r="D128" s="32"/>
      <c r="E128" s="33"/>
      <c r="F128" s="34"/>
      <c r="G128" s="32"/>
      <c r="H128" s="32"/>
      <c r="I128" s="32"/>
      <c r="J128" s="34"/>
      <c r="K128" s="35"/>
      <c r="L128" s="36"/>
      <c r="M128" s="32"/>
      <c r="N128" s="31"/>
      <c r="O128" s="31"/>
      <c r="P128" s="31"/>
      <c r="Q128" s="31"/>
      <c r="R128" s="31"/>
      <c r="S128" s="31"/>
      <c r="T128" s="31"/>
      <c r="U128" s="31"/>
      <c r="V128" s="31"/>
      <c r="W128" s="31"/>
      <c r="X128" s="31"/>
      <c r="Y128" s="31"/>
      <c r="Z128" s="31"/>
    </row>
    <row r="129" spans="1:26" ht="12.75" customHeight="1">
      <c r="A129" s="31"/>
      <c r="B129" s="44" t="s">
        <v>41</v>
      </c>
      <c r="C129" s="45" t="s">
        <v>192</v>
      </c>
      <c r="D129" s="32"/>
      <c r="E129" s="33"/>
      <c r="F129" s="34"/>
      <c r="G129" s="32"/>
      <c r="H129" s="32"/>
      <c r="I129" s="32"/>
      <c r="J129" s="34"/>
      <c r="K129" s="35"/>
      <c r="L129" s="36"/>
      <c r="M129" s="32"/>
      <c r="N129" s="31"/>
      <c r="O129" s="31"/>
      <c r="P129" s="31"/>
      <c r="Q129" s="31"/>
      <c r="R129" s="31"/>
      <c r="S129" s="31"/>
      <c r="T129" s="31"/>
      <c r="U129" s="31"/>
      <c r="V129" s="31"/>
      <c r="W129" s="31"/>
      <c r="X129" s="31"/>
      <c r="Y129" s="31"/>
      <c r="Z129" s="31"/>
    </row>
    <row r="130" spans="1:26" ht="12.75" customHeight="1">
      <c r="A130" s="31"/>
      <c r="B130" s="24" t="s">
        <v>193</v>
      </c>
      <c r="C130" s="24"/>
      <c r="D130" s="24"/>
      <c r="E130" s="24"/>
      <c r="F130" s="24"/>
      <c r="G130" s="24"/>
      <c r="H130" s="24"/>
      <c r="I130" s="24"/>
      <c r="J130" s="24"/>
      <c r="K130" s="24"/>
      <c r="L130" s="24"/>
      <c r="M130" s="24"/>
      <c r="N130" s="31"/>
      <c r="O130" s="31"/>
      <c r="P130" s="31"/>
      <c r="Q130" s="31"/>
      <c r="R130" s="31"/>
      <c r="S130" s="31"/>
      <c r="T130" s="31"/>
      <c r="U130" s="31"/>
      <c r="V130" s="31"/>
      <c r="W130" s="31"/>
      <c r="X130" s="31"/>
      <c r="Y130" s="31"/>
      <c r="Z130" s="31"/>
    </row>
    <row r="131" spans="1:26" ht="12.75" customHeight="1">
      <c r="A131" s="31"/>
      <c r="B131" s="31" t="s">
        <v>194</v>
      </c>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2.75" customHeight="1">
      <c r="A132" s="31"/>
      <c r="B132" s="32"/>
      <c r="C132" s="33" t="str">
        <f t="shared" ref="C131:C1000" si="3">MID(E132,17,30)</f>
        <v/>
      </c>
      <c r="D132" s="32"/>
      <c r="E132" s="33"/>
      <c r="F132" s="34"/>
      <c r="G132" s="32"/>
      <c r="H132" s="32"/>
      <c r="I132" s="32"/>
      <c r="J132" s="34"/>
      <c r="K132" s="35"/>
      <c r="L132" s="36"/>
      <c r="M132" s="32"/>
      <c r="N132" s="31"/>
      <c r="O132" s="31"/>
      <c r="P132" s="31"/>
      <c r="Q132" s="31"/>
      <c r="R132" s="31"/>
      <c r="S132" s="31"/>
      <c r="T132" s="31"/>
      <c r="U132" s="31"/>
      <c r="V132" s="31"/>
      <c r="W132" s="31"/>
      <c r="X132" s="31"/>
      <c r="Y132" s="31"/>
      <c r="Z132" s="31"/>
    </row>
    <row r="133" spans="1:26" ht="12.75" customHeight="1">
      <c r="A133" s="31"/>
      <c r="B133" s="32"/>
      <c r="C133" s="33" t="str">
        <f t="shared" si="3"/>
        <v/>
      </c>
      <c r="D133" s="32"/>
      <c r="E133" s="33"/>
      <c r="F133" s="34"/>
      <c r="G133" s="32"/>
      <c r="H133" s="32"/>
      <c r="I133" s="32"/>
      <c r="J133" s="34"/>
      <c r="K133" s="35"/>
      <c r="L133" s="36"/>
      <c r="M133" s="32"/>
      <c r="N133" s="31"/>
      <c r="O133" s="31"/>
      <c r="P133" s="31"/>
      <c r="Q133" s="31"/>
      <c r="R133" s="31"/>
      <c r="S133" s="31"/>
      <c r="T133" s="31"/>
      <c r="U133" s="31"/>
      <c r="V133" s="31"/>
      <c r="W133" s="31"/>
      <c r="X133" s="31"/>
      <c r="Y133" s="31"/>
      <c r="Z133" s="31"/>
    </row>
    <row r="134" spans="1:26" ht="12.75" customHeight="1">
      <c r="A134" s="31"/>
      <c r="B134" s="32"/>
      <c r="C134" s="33" t="str">
        <f t="shared" si="3"/>
        <v/>
      </c>
      <c r="D134" s="32"/>
      <c r="E134" s="33"/>
      <c r="F134" s="34"/>
      <c r="G134" s="32"/>
      <c r="H134" s="32"/>
      <c r="I134" s="32"/>
      <c r="J134" s="34"/>
      <c r="K134" s="35"/>
      <c r="L134" s="36"/>
      <c r="M134" s="32"/>
      <c r="N134" s="31"/>
      <c r="O134" s="31"/>
      <c r="P134" s="31"/>
      <c r="Q134" s="31"/>
      <c r="R134" s="31"/>
      <c r="S134" s="31"/>
      <c r="T134" s="31"/>
      <c r="U134" s="31"/>
      <c r="V134" s="31"/>
      <c r="W134" s="31"/>
      <c r="X134" s="31"/>
      <c r="Y134" s="31"/>
      <c r="Z134" s="31"/>
    </row>
    <row r="135" spans="1:26" ht="12.75" customHeight="1">
      <c r="A135" s="31"/>
      <c r="B135" s="32"/>
      <c r="C135" s="33" t="str">
        <f t="shared" si="3"/>
        <v/>
      </c>
      <c r="D135" s="32"/>
      <c r="E135" s="33"/>
      <c r="F135" s="34"/>
      <c r="G135" s="32"/>
      <c r="H135" s="32"/>
      <c r="I135" s="32"/>
      <c r="J135" s="34"/>
      <c r="K135" s="35"/>
      <c r="L135" s="36"/>
      <c r="M135" s="32"/>
      <c r="N135" s="31"/>
      <c r="O135" s="31"/>
      <c r="P135" s="31"/>
      <c r="Q135" s="31"/>
      <c r="R135" s="31"/>
      <c r="S135" s="31"/>
      <c r="T135" s="31"/>
      <c r="U135" s="31"/>
      <c r="V135" s="31"/>
      <c r="W135" s="31"/>
      <c r="X135" s="31"/>
      <c r="Y135" s="31"/>
      <c r="Z135" s="31"/>
    </row>
    <row r="136" spans="1:26" ht="12.75" customHeight="1">
      <c r="A136" s="31"/>
      <c r="B136" s="32"/>
      <c r="C136" s="33" t="str">
        <f t="shared" si="3"/>
        <v/>
      </c>
      <c r="D136" s="32"/>
      <c r="E136" s="33"/>
      <c r="F136" s="34"/>
      <c r="G136" s="32"/>
      <c r="H136" s="32"/>
      <c r="I136" s="32"/>
      <c r="J136" s="34"/>
      <c r="K136" s="35"/>
      <c r="L136" s="36"/>
      <c r="M136" s="32"/>
      <c r="N136" s="31"/>
      <c r="O136" s="31"/>
      <c r="P136" s="31"/>
      <c r="Q136" s="31"/>
      <c r="R136" s="31"/>
      <c r="S136" s="31"/>
      <c r="T136" s="31"/>
      <c r="U136" s="31"/>
      <c r="V136" s="31"/>
      <c r="W136" s="31"/>
      <c r="X136" s="31"/>
      <c r="Y136" s="31"/>
      <c r="Z136" s="31"/>
    </row>
    <row r="137" spans="1:26" ht="12.75" customHeight="1">
      <c r="A137" s="31"/>
      <c r="B137" s="32"/>
      <c r="C137" s="33" t="str">
        <f t="shared" si="3"/>
        <v/>
      </c>
      <c r="D137" s="32"/>
      <c r="E137" s="33"/>
      <c r="F137" s="34"/>
      <c r="G137" s="32"/>
      <c r="H137" s="32"/>
      <c r="I137" s="32"/>
      <c r="J137" s="34"/>
      <c r="K137" s="35"/>
      <c r="L137" s="36"/>
      <c r="M137" s="32"/>
      <c r="N137" s="31"/>
      <c r="O137" s="31"/>
      <c r="P137" s="31"/>
      <c r="Q137" s="31"/>
      <c r="R137" s="31"/>
      <c r="S137" s="31"/>
      <c r="T137" s="31"/>
      <c r="U137" s="31"/>
      <c r="V137" s="31"/>
      <c r="W137" s="31"/>
      <c r="X137" s="31"/>
      <c r="Y137" s="31"/>
      <c r="Z137" s="31"/>
    </row>
    <row r="138" spans="1:26" ht="12.75" customHeight="1">
      <c r="A138" s="31"/>
      <c r="B138" s="32"/>
      <c r="C138" s="33" t="str">
        <f t="shared" si="3"/>
        <v/>
      </c>
      <c r="D138" s="32"/>
      <c r="E138" s="33"/>
      <c r="F138" s="34"/>
      <c r="G138" s="32"/>
      <c r="H138" s="32"/>
      <c r="I138" s="32"/>
      <c r="J138" s="34"/>
      <c r="K138" s="35"/>
      <c r="L138" s="36"/>
      <c r="M138" s="32"/>
      <c r="N138" s="31"/>
      <c r="O138" s="31"/>
      <c r="P138" s="31"/>
      <c r="Q138" s="31"/>
      <c r="R138" s="31"/>
      <c r="S138" s="31"/>
      <c r="T138" s="31"/>
      <c r="U138" s="31"/>
      <c r="V138" s="31"/>
      <c r="W138" s="31"/>
      <c r="X138" s="31"/>
      <c r="Y138" s="31"/>
      <c r="Z138" s="31"/>
    </row>
    <row r="139" spans="1:26" ht="12.75" customHeight="1">
      <c r="A139" s="31"/>
      <c r="B139" s="32"/>
      <c r="C139" s="33" t="str">
        <f t="shared" si="3"/>
        <v/>
      </c>
      <c r="D139" s="32"/>
      <c r="E139" s="33"/>
      <c r="F139" s="34"/>
      <c r="G139" s="32"/>
      <c r="H139" s="32"/>
      <c r="I139" s="32"/>
      <c r="J139" s="34"/>
      <c r="K139" s="35"/>
      <c r="L139" s="36"/>
      <c r="M139" s="32"/>
      <c r="N139" s="31"/>
      <c r="O139" s="31"/>
      <c r="P139" s="31"/>
      <c r="Q139" s="31"/>
      <c r="R139" s="31"/>
      <c r="S139" s="31"/>
      <c r="T139" s="31"/>
      <c r="U139" s="31"/>
      <c r="V139" s="31"/>
      <c r="W139" s="31"/>
      <c r="X139" s="31"/>
      <c r="Y139" s="31"/>
      <c r="Z139" s="31"/>
    </row>
    <row r="140" spans="1:26" ht="12.75" customHeight="1">
      <c r="A140" s="31"/>
      <c r="B140" s="32"/>
      <c r="C140" s="33" t="str">
        <f t="shared" si="3"/>
        <v/>
      </c>
      <c r="D140" s="32"/>
      <c r="E140" s="33"/>
      <c r="F140" s="34"/>
      <c r="G140" s="32"/>
      <c r="H140" s="32"/>
      <c r="I140" s="32"/>
      <c r="J140" s="34"/>
      <c r="K140" s="35"/>
      <c r="L140" s="36"/>
      <c r="M140" s="32"/>
      <c r="N140" s="31"/>
      <c r="O140" s="31"/>
      <c r="P140" s="31"/>
      <c r="Q140" s="31"/>
      <c r="R140" s="31"/>
      <c r="S140" s="31"/>
      <c r="T140" s="31"/>
      <c r="U140" s="31"/>
      <c r="V140" s="31"/>
      <c r="W140" s="31"/>
      <c r="X140" s="31"/>
      <c r="Y140" s="31"/>
      <c r="Z140" s="31"/>
    </row>
    <row r="141" spans="1:26" ht="12.75" customHeight="1">
      <c r="A141" s="31"/>
      <c r="B141" s="32"/>
      <c r="C141" s="33" t="str">
        <f t="shared" si="3"/>
        <v/>
      </c>
      <c r="D141" s="32"/>
      <c r="E141" s="33"/>
      <c r="F141" s="34"/>
      <c r="G141" s="32"/>
      <c r="H141" s="32"/>
      <c r="I141" s="32"/>
      <c r="J141" s="34"/>
      <c r="K141" s="35"/>
      <c r="L141" s="36"/>
      <c r="M141" s="32"/>
      <c r="N141" s="31"/>
      <c r="O141" s="31"/>
      <c r="P141" s="31"/>
      <c r="Q141" s="31"/>
      <c r="R141" s="31"/>
      <c r="S141" s="31"/>
      <c r="T141" s="31"/>
      <c r="U141" s="31"/>
      <c r="V141" s="31"/>
      <c r="W141" s="31"/>
      <c r="X141" s="31"/>
      <c r="Y141" s="31"/>
      <c r="Z141" s="31"/>
    </row>
    <row r="142" spans="1:26" ht="12.75" customHeight="1">
      <c r="A142" s="31"/>
      <c r="B142" s="32"/>
      <c r="C142" s="33" t="str">
        <f t="shared" si="3"/>
        <v/>
      </c>
      <c r="D142" s="32"/>
      <c r="E142" s="33"/>
      <c r="F142" s="34"/>
      <c r="G142" s="32"/>
      <c r="H142" s="32"/>
      <c r="I142" s="32"/>
      <c r="J142" s="34"/>
      <c r="K142" s="35"/>
      <c r="L142" s="36"/>
      <c r="M142" s="32"/>
      <c r="N142" s="31"/>
      <c r="O142" s="31"/>
      <c r="P142" s="31"/>
      <c r="Q142" s="31"/>
      <c r="R142" s="31"/>
      <c r="S142" s="31"/>
      <c r="T142" s="31"/>
      <c r="U142" s="31"/>
      <c r="V142" s="31"/>
      <c r="W142" s="31"/>
      <c r="X142" s="31"/>
      <c r="Y142" s="31"/>
      <c r="Z142" s="31"/>
    </row>
    <row r="143" spans="1:26" ht="12.75" customHeight="1">
      <c r="A143" s="31"/>
      <c r="B143" s="32"/>
      <c r="C143" s="33" t="str">
        <f t="shared" si="3"/>
        <v/>
      </c>
      <c r="D143" s="32"/>
      <c r="E143" s="33"/>
      <c r="F143" s="34"/>
      <c r="G143" s="32"/>
      <c r="H143" s="32"/>
      <c r="I143" s="32"/>
      <c r="J143" s="34"/>
      <c r="K143" s="35"/>
      <c r="L143" s="36"/>
      <c r="M143" s="32"/>
      <c r="N143" s="31"/>
      <c r="O143" s="31"/>
      <c r="P143" s="31"/>
      <c r="Q143" s="31"/>
      <c r="R143" s="31"/>
      <c r="S143" s="31"/>
      <c r="T143" s="31"/>
      <c r="U143" s="31"/>
      <c r="V143" s="31"/>
      <c r="W143" s="31"/>
      <c r="X143" s="31"/>
      <c r="Y143" s="31"/>
      <c r="Z143" s="31"/>
    </row>
    <row r="144" spans="1:26" ht="12.75" customHeight="1">
      <c r="A144" s="31"/>
      <c r="B144" s="32"/>
      <c r="C144" s="33" t="str">
        <f t="shared" si="3"/>
        <v/>
      </c>
      <c r="D144" s="32"/>
      <c r="E144" s="33"/>
      <c r="F144" s="34"/>
      <c r="G144" s="32"/>
      <c r="H144" s="32"/>
      <c r="I144" s="32"/>
      <c r="J144" s="34"/>
      <c r="K144" s="35"/>
      <c r="L144" s="36"/>
      <c r="M144" s="32"/>
      <c r="N144" s="31"/>
      <c r="O144" s="31"/>
      <c r="P144" s="31"/>
      <c r="Q144" s="31"/>
      <c r="R144" s="31"/>
      <c r="S144" s="31"/>
      <c r="T144" s="31"/>
      <c r="U144" s="31"/>
      <c r="V144" s="31"/>
      <c r="W144" s="31"/>
      <c r="X144" s="31"/>
      <c r="Y144" s="31"/>
      <c r="Z144" s="31"/>
    </row>
    <row r="145" spans="1:26" ht="12.75" customHeight="1">
      <c r="A145" s="31"/>
      <c r="B145" s="32"/>
      <c r="C145" s="33" t="str">
        <f t="shared" si="3"/>
        <v/>
      </c>
      <c r="D145" s="32"/>
      <c r="E145" s="33"/>
      <c r="F145" s="34"/>
      <c r="G145" s="32"/>
      <c r="H145" s="32"/>
      <c r="I145" s="32"/>
      <c r="J145" s="34"/>
      <c r="K145" s="35"/>
      <c r="L145" s="36"/>
      <c r="M145" s="32"/>
      <c r="N145" s="31"/>
      <c r="O145" s="31"/>
      <c r="P145" s="31"/>
      <c r="Q145" s="31"/>
      <c r="R145" s="31"/>
      <c r="S145" s="31"/>
      <c r="T145" s="31"/>
      <c r="U145" s="31"/>
      <c r="V145" s="31"/>
      <c r="W145" s="31"/>
      <c r="X145" s="31"/>
      <c r="Y145" s="31"/>
      <c r="Z145" s="31"/>
    </row>
    <row r="146" spans="1:26" ht="12.75" customHeight="1">
      <c r="A146" s="31"/>
      <c r="B146" s="32"/>
      <c r="C146" s="33" t="str">
        <f t="shared" si="3"/>
        <v/>
      </c>
      <c r="D146" s="32"/>
      <c r="E146" s="33"/>
      <c r="F146" s="34"/>
      <c r="G146" s="32"/>
      <c r="H146" s="32"/>
      <c r="I146" s="32"/>
      <c r="J146" s="34"/>
      <c r="K146" s="35"/>
      <c r="L146" s="36"/>
      <c r="M146" s="32"/>
      <c r="N146" s="31"/>
      <c r="O146" s="31"/>
      <c r="P146" s="31"/>
      <c r="Q146" s="31"/>
      <c r="R146" s="31"/>
      <c r="S146" s="31"/>
      <c r="T146" s="31"/>
      <c r="U146" s="31"/>
      <c r="V146" s="31"/>
      <c r="W146" s="31"/>
      <c r="X146" s="31"/>
      <c r="Y146" s="31"/>
      <c r="Z146" s="31"/>
    </row>
    <row r="147" spans="1:26" ht="12.75" customHeight="1">
      <c r="A147" s="31"/>
      <c r="B147" s="32"/>
      <c r="C147" s="33" t="str">
        <f t="shared" si="3"/>
        <v/>
      </c>
      <c r="D147" s="32"/>
      <c r="E147" s="33"/>
      <c r="F147" s="34"/>
      <c r="G147" s="32"/>
      <c r="H147" s="32"/>
      <c r="I147" s="32"/>
      <c r="J147" s="34"/>
      <c r="K147" s="35"/>
      <c r="L147" s="36"/>
      <c r="M147" s="32"/>
      <c r="N147" s="31"/>
      <c r="O147" s="31"/>
      <c r="P147" s="31"/>
      <c r="Q147" s="31"/>
      <c r="R147" s="31"/>
      <c r="S147" s="31"/>
      <c r="T147" s="31"/>
      <c r="U147" s="31"/>
      <c r="V147" s="31"/>
      <c r="W147" s="31"/>
      <c r="X147" s="31"/>
      <c r="Y147" s="31"/>
      <c r="Z147" s="31"/>
    </row>
    <row r="148" spans="1:26" ht="12.75" customHeight="1">
      <c r="A148" s="31"/>
      <c r="B148" s="32"/>
      <c r="C148" s="33" t="str">
        <f t="shared" si="3"/>
        <v/>
      </c>
      <c r="D148" s="32"/>
      <c r="E148" s="33"/>
      <c r="F148" s="34"/>
      <c r="G148" s="32"/>
      <c r="H148" s="32"/>
      <c r="I148" s="32"/>
      <c r="J148" s="34"/>
      <c r="K148" s="35"/>
      <c r="L148" s="36"/>
      <c r="M148" s="32"/>
      <c r="N148" s="31"/>
      <c r="O148" s="31"/>
      <c r="P148" s="31"/>
      <c r="Q148" s="31"/>
      <c r="R148" s="31"/>
      <c r="S148" s="31"/>
      <c r="T148" s="31"/>
      <c r="U148" s="31"/>
      <c r="V148" s="31"/>
      <c r="W148" s="31"/>
      <c r="X148" s="31"/>
      <c r="Y148" s="31"/>
      <c r="Z148" s="31"/>
    </row>
    <row r="149" spans="1:26" ht="12.75" customHeight="1">
      <c r="A149" s="31"/>
      <c r="B149" s="32"/>
      <c r="C149" s="33" t="str">
        <f t="shared" si="3"/>
        <v/>
      </c>
      <c r="D149" s="32"/>
      <c r="E149" s="33"/>
      <c r="F149" s="34"/>
      <c r="G149" s="32"/>
      <c r="H149" s="32"/>
      <c r="I149" s="32"/>
      <c r="J149" s="34"/>
      <c r="K149" s="35"/>
      <c r="L149" s="36"/>
      <c r="M149" s="32"/>
      <c r="N149" s="31"/>
      <c r="O149" s="31"/>
      <c r="P149" s="31"/>
      <c r="Q149" s="31"/>
      <c r="R149" s="31"/>
      <c r="S149" s="31"/>
      <c r="T149" s="31"/>
      <c r="U149" s="31"/>
      <c r="V149" s="31"/>
      <c r="W149" s="31"/>
      <c r="X149" s="31"/>
      <c r="Y149" s="31"/>
      <c r="Z149" s="31"/>
    </row>
    <row r="150" spans="1:26" ht="12.75" customHeight="1">
      <c r="A150" s="31"/>
      <c r="B150" s="32"/>
      <c r="C150" s="33" t="str">
        <f t="shared" si="3"/>
        <v/>
      </c>
      <c r="D150" s="32"/>
      <c r="E150" s="33"/>
      <c r="F150" s="34"/>
      <c r="G150" s="32"/>
      <c r="H150" s="32"/>
      <c r="I150" s="32"/>
      <c r="J150" s="34"/>
      <c r="K150" s="35"/>
      <c r="L150" s="36"/>
      <c r="M150" s="32"/>
      <c r="N150" s="31"/>
      <c r="O150" s="31"/>
      <c r="P150" s="31"/>
      <c r="Q150" s="31"/>
      <c r="R150" s="31"/>
      <c r="S150" s="31"/>
      <c r="T150" s="31"/>
      <c r="U150" s="31"/>
      <c r="V150" s="31"/>
      <c r="W150" s="31"/>
      <c r="X150" s="31"/>
      <c r="Y150" s="31"/>
      <c r="Z150" s="31"/>
    </row>
    <row r="151" spans="1:26" ht="12.75" customHeight="1">
      <c r="A151" s="31"/>
      <c r="B151" s="32"/>
      <c r="C151" s="33" t="str">
        <f t="shared" si="3"/>
        <v/>
      </c>
      <c r="D151" s="32"/>
      <c r="E151" s="33"/>
      <c r="F151" s="34"/>
      <c r="G151" s="32"/>
      <c r="H151" s="32"/>
      <c r="I151" s="32"/>
      <c r="J151" s="34"/>
      <c r="K151" s="35"/>
      <c r="L151" s="36"/>
      <c r="M151" s="32"/>
      <c r="N151" s="31"/>
      <c r="O151" s="31"/>
      <c r="P151" s="31"/>
      <c r="Q151" s="31"/>
      <c r="R151" s="31"/>
      <c r="S151" s="31"/>
      <c r="T151" s="31"/>
      <c r="U151" s="31"/>
      <c r="V151" s="31"/>
      <c r="W151" s="31"/>
      <c r="X151" s="31"/>
      <c r="Y151" s="31"/>
      <c r="Z151" s="31"/>
    </row>
    <row r="152" spans="1:26" ht="12.75" customHeight="1">
      <c r="A152" s="31"/>
      <c r="B152" s="32"/>
      <c r="C152" s="33" t="str">
        <f t="shared" si="3"/>
        <v/>
      </c>
      <c r="D152" s="32"/>
      <c r="E152" s="33"/>
      <c r="F152" s="34"/>
      <c r="G152" s="32"/>
      <c r="H152" s="32"/>
      <c r="I152" s="32"/>
      <c r="J152" s="34"/>
      <c r="K152" s="35"/>
      <c r="L152" s="36"/>
      <c r="M152" s="32"/>
      <c r="N152" s="31"/>
      <c r="O152" s="31"/>
      <c r="P152" s="31"/>
      <c r="Q152" s="31"/>
      <c r="R152" s="31"/>
      <c r="S152" s="31"/>
      <c r="T152" s="31"/>
      <c r="U152" s="31"/>
      <c r="V152" s="31"/>
      <c r="W152" s="31"/>
      <c r="X152" s="31"/>
      <c r="Y152" s="31"/>
      <c r="Z152" s="31"/>
    </row>
    <row r="153" spans="1:26" ht="12.75" customHeight="1">
      <c r="A153" s="31"/>
      <c r="B153" s="32"/>
      <c r="C153" s="33" t="str">
        <f t="shared" si="3"/>
        <v/>
      </c>
      <c r="D153" s="32"/>
      <c r="E153" s="33"/>
      <c r="F153" s="34"/>
      <c r="G153" s="32"/>
      <c r="H153" s="32"/>
      <c r="I153" s="32"/>
      <c r="J153" s="34"/>
      <c r="K153" s="35"/>
      <c r="L153" s="36"/>
      <c r="M153" s="32"/>
      <c r="N153" s="31"/>
      <c r="O153" s="31"/>
      <c r="P153" s="31"/>
      <c r="Q153" s="31"/>
      <c r="R153" s="31"/>
      <c r="S153" s="31"/>
      <c r="T153" s="31"/>
      <c r="U153" s="31"/>
      <c r="V153" s="31"/>
      <c r="W153" s="31"/>
      <c r="X153" s="31"/>
      <c r="Y153" s="31"/>
      <c r="Z153" s="31"/>
    </row>
    <row r="154" spans="1:26" ht="12.75" customHeight="1">
      <c r="A154" s="31"/>
      <c r="B154" s="32"/>
      <c r="C154" s="33" t="str">
        <f t="shared" si="3"/>
        <v/>
      </c>
      <c r="D154" s="32"/>
      <c r="E154" s="33"/>
      <c r="F154" s="34"/>
      <c r="G154" s="32"/>
      <c r="H154" s="32"/>
      <c r="I154" s="32"/>
      <c r="J154" s="34"/>
      <c r="K154" s="35"/>
      <c r="L154" s="36"/>
      <c r="M154" s="32"/>
      <c r="N154" s="31"/>
      <c r="O154" s="31"/>
      <c r="P154" s="31"/>
      <c r="Q154" s="31"/>
      <c r="R154" s="31"/>
      <c r="S154" s="31"/>
      <c r="T154" s="31"/>
      <c r="U154" s="31"/>
      <c r="V154" s="31"/>
      <c r="W154" s="31"/>
      <c r="X154" s="31"/>
      <c r="Y154" s="31"/>
      <c r="Z154" s="31"/>
    </row>
    <row r="155" spans="1:26" ht="12.75" customHeight="1">
      <c r="A155" s="31"/>
      <c r="B155" s="32"/>
      <c r="C155" s="33" t="str">
        <f t="shared" si="3"/>
        <v/>
      </c>
      <c r="D155" s="32"/>
      <c r="E155" s="33"/>
      <c r="F155" s="34"/>
      <c r="G155" s="32"/>
      <c r="H155" s="32"/>
      <c r="I155" s="32"/>
      <c r="J155" s="34"/>
      <c r="K155" s="35"/>
      <c r="L155" s="36"/>
      <c r="M155" s="32"/>
      <c r="N155" s="31"/>
      <c r="O155" s="31"/>
      <c r="P155" s="31"/>
      <c r="Q155" s="31"/>
      <c r="R155" s="31"/>
      <c r="S155" s="31"/>
      <c r="T155" s="31"/>
      <c r="U155" s="31"/>
      <c r="V155" s="31"/>
      <c r="W155" s="31"/>
      <c r="X155" s="31"/>
      <c r="Y155" s="31"/>
      <c r="Z155" s="31"/>
    </row>
    <row r="156" spans="1:26" ht="12.75" customHeight="1">
      <c r="A156" s="31"/>
      <c r="B156" s="32"/>
      <c r="C156" s="33" t="str">
        <f t="shared" si="3"/>
        <v/>
      </c>
      <c r="D156" s="32"/>
      <c r="E156" s="33"/>
      <c r="F156" s="34"/>
      <c r="G156" s="32"/>
      <c r="H156" s="32"/>
      <c r="I156" s="32"/>
      <c r="J156" s="34"/>
      <c r="K156" s="35"/>
      <c r="L156" s="36"/>
      <c r="M156" s="32"/>
      <c r="N156" s="31"/>
      <c r="O156" s="31"/>
      <c r="P156" s="31"/>
      <c r="Q156" s="31"/>
      <c r="R156" s="31"/>
      <c r="S156" s="31"/>
      <c r="T156" s="31"/>
      <c r="U156" s="31"/>
      <c r="V156" s="31"/>
      <c r="W156" s="31"/>
      <c r="X156" s="31"/>
      <c r="Y156" s="31"/>
      <c r="Z156" s="31"/>
    </row>
    <row r="157" spans="1:26" ht="12.75" customHeight="1">
      <c r="A157" s="31"/>
      <c r="B157" s="32"/>
      <c r="C157" s="33" t="str">
        <f t="shared" si="3"/>
        <v/>
      </c>
      <c r="D157" s="32"/>
      <c r="E157" s="33"/>
      <c r="F157" s="34"/>
      <c r="G157" s="32"/>
      <c r="H157" s="32"/>
      <c r="I157" s="32"/>
      <c r="J157" s="34"/>
      <c r="K157" s="35"/>
      <c r="L157" s="36"/>
      <c r="M157" s="32"/>
      <c r="N157" s="31"/>
      <c r="O157" s="31"/>
      <c r="P157" s="31"/>
      <c r="Q157" s="31"/>
      <c r="R157" s="31"/>
      <c r="S157" s="31"/>
      <c r="T157" s="31"/>
      <c r="U157" s="31"/>
      <c r="V157" s="31"/>
      <c r="W157" s="31"/>
      <c r="X157" s="31"/>
      <c r="Y157" s="31"/>
      <c r="Z157" s="31"/>
    </row>
    <row r="158" spans="1:26" ht="12.75" customHeight="1">
      <c r="A158" s="31"/>
      <c r="B158" s="32"/>
      <c r="C158" s="33" t="str">
        <f t="shared" si="3"/>
        <v/>
      </c>
      <c r="D158" s="32"/>
      <c r="E158" s="33"/>
      <c r="F158" s="34"/>
      <c r="G158" s="32"/>
      <c r="H158" s="32"/>
      <c r="I158" s="32"/>
      <c r="J158" s="34"/>
      <c r="K158" s="35"/>
      <c r="L158" s="36"/>
      <c r="M158" s="32"/>
      <c r="N158" s="31"/>
      <c r="O158" s="31"/>
      <c r="P158" s="31"/>
      <c r="Q158" s="31"/>
      <c r="R158" s="31"/>
      <c r="S158" s="31"/>
      <c r="T158" s="31"/>
      <c r="U158" s="31"/>
      <c r="V158" s="31"/>
      <c r="W158" s="31"/>
      <c r="X158" s="31"/>
      <c r="Y158" s="31"/>
      <c r="Z158" s="31"/>
    </row>
    <row r="159" spans="1:26" ht="12.75" customHeight="1">
      <c r="A159" s="31"/>
      <c r="B159" s="32"/>
      <c r="C159" s="33" t="str">
        <f t="shared" si="3"/>
        <v/>
      </c>
      <c r="D159" s="32"/>
      <c r="E159" s="33"/>
      <c r="F159" s="34"/>
      <c r="G159" s="32"/>
      <c r="H159" s="32"/>
      <c r="I159" s="32"/>
      <c r="J159" s="34"/>
      <c r="K159" s="35"/>
      <c r="L159" s="36"/>
      <c r="M159" s="32"/>
      <c r="N159" s="31"/>
      <c r="O159" s="31"/>
      <c r="P159" s="31"/>
      <c r="Q159" s="31"/>
      <c r="R159" s="31"/>
      <c r="S159" s="31"/>
      <c r="T159" s="31"/>
      <c r="U159" s="31"/>
      <c r="V159" s="31"/>
      <c r="W159" s="31"/>
      <c r="X159" s="31"/>
      <c r="Y159" s="31"/>
      <c r="Z159" s="31"/>
    </row>
    <row r="160" spans="1:26" ht="12.75" customHeight="1">
      <c r="A160" s="31"/>
      <c r="B160" s="32"/>
      <c r="C160" s="33" t="str">
        <f t="shared" si="3"/>
        <v/>
      </c>
      <c r="D160" s="32"/>
      <c r="E160" s="33"/>
      <c r="F160" s="34"/>
      <c r="G160" s="32"/>
      <c r="H160" s="32"/>
      <c r="I160" s="32"/>
      <c r="J160" s="34"/>
      <c r="K160" s="35"/>
      <c r="L160" s="36"/>
      <c r="M160" s="32"/>
      <c r="N160" s="31"/>
      <c r="O160" s="31"/>
      <c r="P160" s="31"/>
      <c r="Q160" s="31"/>
      <c r="R160" s="31"/>
      <c r="S160" s="31"/>
      <c r="T160" s="31"/>
      <c r="U160" s="31"/>
      <c r="V160" s="31"/>
      <c r="W160" s="31"/>
      <c r="X160" s="31"/>
      <c r="Y160" s="31"/>
      <c r="Z160" s="31"/>
    </row>
    <row r="161" spans="1:26" ht="12.75" customHeight="1">
      <c r="A161" s="31"/>
      <c r="B161" s="32"/>
      <c r="C161" s="33" t="str">
        <f t="shared" si="3"/>
        <v/>
      </c>
      <c r="D161" s="32"/>
      <c r="E161" s="33"/>
      <c r="F161" s="34"/>
      <c r="G161" s="32"/>
      <c r="H161" s="32"/>
      <c r="I161" s="32"/>
      <c r="J161" s="34"/>
      <c r="K161" s="35"/>
      <c r="L161" s="36"/>
      <c r="M161" s="32"/>
      <c r="N161" s="31"/>
      <c r="O161" s="31"/>
      <c r="P161" s="31"/>
      <c r="Q161" s="31"/>
      <c r="R161" s="31"/>
      <c r="S161" s="31"/>
      <c r="T161" s="31"/>
      <c r="U161" s="31"/>
      <c r="V161" s="31"/>
      <c r="W161" s="31"/>
      <c r="X161" s="31"/>
      <c r="Y161" s="31"/>
      <c r="Z161" s="31"/>
    </row>
    <row r="162" spans="1:26" ht="12.75" customHeight="1">
      <c r="A162" s="31"/>
      <c r="B162" s="32"/>
      <c r="C162" s="33" t="str">
        <f t="shared" si="3"/>
        <v/>
      </c>
      <c r="D162" s="32"/>
      <c r="E162" s="33"/>
      <c r="F162" s="34"/>
      <c r="G162" s="32"/>
      <c r="H162" s="32"/>
      <c r="I162" s="32"/>
      <c r="J162" s="34"/>
      <c r="K162" s="35"/>
      <c r="L162" s="36"/>
      <c r="M162" s="32"/>
      <c r="N162" s="31"/>
      <c r="O162" s="31"/>
      <c r="P162" s="31"/>
      <c r="Q162" s="31"/>
      <c r="R162" s="31"/>
      <c r="S162" s="31"/>
      <c r="T162" s="31"/>
      <c r="U162" s="31"/>
      <c r="V162" s="31"/>
      <c r="W162" s="31"/>
      <c r="X162" s="31"/>
      <c r="Y162" s="31"/>
      <c r="Z162" s="31"/>
    </row>
    <row r="163" spans="1:26" ht="12.75" customHeight="1">
      <c r="A163" s="31"/>
      <c r="B163" s="32"/>
      <c r="C163" s="33" t="str">
        <f t="shared" si="3"/>
        <v/>
      </c>
      <c r="D163" s="32"/>
      <c r="E163" s="33"/>
      <c r="F163" s="34"/>
      <c r="G163" s="32"/>
      <c r="H163" s="32"/>
      <c r="I163" s="32"/>
      <c r="J163" s="34"/>
      <c r="K163" s="35"/>
      <c r="L163" s="36"/>
      <c r="M163" s="32"/>
      <c r="N163" s="31"/>
      <c r="O163" s="31"/>
      <c r="P163" s="31"/>
      <c r="Q163" s="31"/>
      <c r="R163" s="31"/>
      <c r="S163" s="31"/>
      <c r="T163" s="31"/>
      <c r="U163" s="31"/>
      <c r="V163" s="31"/>
      <c r="W163" s="31"/>
      <c r="X163" s="31"/>
      <c r="Y163" s="31"/>
      <c r="Z163" s="31"/>
    </row>
    <row r="164" spans="1:26" ht="12.75" customHeight="1">
      <c r="A164" s="31"/>
      <c r="B164" s="32"/>
      <c r="C164" s="33" t="str">
        <f t="shared" si="3"/>
        <v/>
      </c>
      <c r="D164" s="32"/>
      <c r="E164" s="33"/>
      <c r="F164" s="34"/>
      <c r="G164" s="32"/>
      <c r="H164" s="32"/>
      <c r="I164" s="32"/>
      <c r="J164" s="34"/>
      <c r="K164" s="35"/>
      <c r="L164" s="36"/>
      <c r="M164" s="32"/>
      <c r="N164" s="31"/>
      <c r="O164" s="31"/>
      <c r="P164" s="31"/>
      <c r="Q164" s="31"/>
      <c r="R164" s="31"/>
      <c r="S164" s="31"/>
      <c r="T164" s="31"/>
      <c r="U164" s="31"/>
      <c r="V164" s="31"/>
      <c r="W164" s="31"/>
      <c r="X164" s="31"/>
      <c r="Y164" s="31"/>
      <c r="Z164" s="31"/>
    </row>
    <row r="165" spans="1:26" ht="12.75" customHeight="1">
      <c r="A165" s="31"/>
      <c r="B165" s="32"/>
      <c r="C165" s="33" t="str">
        <f t="shared" si="3"/>
        <v/>
      </c>
      <c r="D165" s="32"/>
      <c r="E165" s="33"/>
      <c r="F165" s="34"/>
      <c r="G165" s="32"/>
      <c r="H165" s="32"/>
      <c r="I165" s="32"/>
      <c r="J165" s="34"/>
      <c r="K165" s="35"/>
      <c r="L165" s="36"/>
      <c r="M165" s="32"/>
      <c r="N165" s="31"/>
      <c r="O165" s="31"/>
      <c r="P165" s="31"/>
      <c r="Q165" s="31"/>
      <c r="R165" s="31"/>
      <c r="S165" s="31"/>
      <c r="T165" s="31"/>
      <c r="U165" s="31"/>
      <c r="V165" s="31"/>
      <c r="W165" s="31"/>
      <c r="X165" s="31"/>
      <c r="Y165" s="31"/>
      <c r="Z165" s="31"/>
    </row>
    <row r="166" spans="1:26" ht="12.75" customHeight="1">
      <c r="A166" s="31"/>
      <c r="B166" s="32"/>
      <c r="C166" s="33" t="str">
        <f t="shared" si="3"/>
        <v/>
      </c>
      <c r="D166" s="32"/>
      <c r="E166" s="33"/>
      <c r="F166" s="34"/>
      <c r="G166" s="32"/>
      <c r="H166" s="32"/>
      <c r="I166" s="32"/>
      <c r="J166" s="34"/>
      <c r="K166" s="35"/>
      <c r="L166" s="36"/>
      <c r="M166" s="32"/>
      <c r="N166" s="31"/>
      <c r="O166" s="31"/>
      <c r="P166" s="31"/>
      <c r="Q166" s="31"/>
      <c r="R166" s="31"/>
      <c r="S166" s="31"/>
      <c r="T166" s="31"/>
      <c r="U166" s="31"/>
      <c r="V166" s="31"/>
      <c r="W166" s="31"/>
      <c r="X166" s="31"/>
      <c r="Y166" s="31"/>
      <c r="Z166" s="31"/>
    </row>
    <row r="167" spans="1:26" ht="12.75" customHeight="1">
      <c r="A167" s="31"/>
      <c r="B167" s="32"/>
      <c r="C167" s="33" t="str">
        <f t="shared" si="3"/>
        <v/>
      </c>
      <c r="D167" s="32"/>
      <c r="E167" s="33"/>
      <c r="F167" s="34"/>
      <c r="G167" s="32"/>
      <c r="H167" s="32"/>
      <c r="I167" s="32"/>
      <c r="J167" s="34"/>
      <c r="K167" s="35"/>
      <c r="L167" s="36"/>
      <c r="M167" s="32"/>
      <c r="N167" s="31"/>
      <c r="O167" s="31"/>
      <c r="P167" s="31"/>
      <c r="Q167" s="31"/>
      <c r="R167" s="31"/>
      <c r="S167" s="31"/>
      <c r="T167" s="31"/>
      <c r="U167" s="31"/>
      <c r="V167" s="31"/>
      <c r="W167" s="31"/>
      <c r="X167" s="31"/>
      <c r="Y167" s="31"/>
      <c r="Z167" s="31"/>
    </row>
    <row r="168" spans="1:26" ht="12.75" customHeight="1">
      <c r="A168" s="31"/>
      <c r="B168" s="32"/>
      <c r="C168" s="33" t="str">
        <f t="shared" si="3"/>
        <v/>
      </c>
      <c r="D168" s="32"/>
      <c r="E168" s="33"/>
      <c r="F168" s="34"/>
      <c r="G168" s="32"/>
      <c r="H168" s="32"/>
      <c r="I168" s="32"/>
      <c r="J168" s="34"/>
      <c r="K168" s="35"/>
      <c r="L168" s="36"/>
      <c r="M168" s="32"/>
      <c r="N168" s="31"/>
      <c r="O168" s="31"/>
      <c r="P168" s="31"/>
      <c r="Q168" s="31"/>
      <c r="R168" s="31"/>
      <c r="S168" s="31"/>
      <c r="T168" s="31"/>
      <c r="U168" s="31"/>
      <c r="V168" s="31"/>
      <c r="W168" s="31"/>
      <c r="X168" s="31"/>
      <c r="Y168" s="31"/>
      <c r="Z168" s="31"/>
    </row>
    <row r="169" spans="1:26" ht="12.75" customHeight="1">
      <c r="A169" s="31"/>
      <c r="B169" s="32"/>
      <c r="C169" s="33" t="str">
        <f t="shared" si="3"/>
        <v/>
      </c>
      <c r="D169" s="32"/>
      <c r="E169" s="33"/>
      <c r="F169" s="34"/>
      <c r="G169" s="32"/>
      <c r="H169" s="32"/>
      <c r="I169" s="32"/>
      <c r="J169" s="34"/>
      <c r="K169" s="35"/>
      <c r="L169" s="36"/>
      <c r="M169" s="32"/>
      <c r="N169" s="31"/>
      <c r="O169" s="31"/>
      <c r="P169" s="31"/>
      <c r="Q169" s="31"/>
      <c r="R169" s="31"/>
      <c r="S169" s="31"/>
      <c r="T169" s="31"/>
      <c r="U169" s="31"/>
      <c r="V169" s="31"/>
      <c r="W169" s="31"/>
      <c r="X169" s="31"/>
      <c r="Y169" s="31"/>
      <c r="Z169" s="31"/>
    </row>
    <row r="170" spans="1:26" ht="12.75" customHeight="1">
      <c r="A170" s="31"/>
      <c r="B170" s="32"/>
      <c r="C170" s="33" t="str">
        <f t="shared" si="3"/>
        <v/>
      </c>
      <c r="D170" s="32"/>
      <c r="E170" s="33"/>
      <c r="F170" s="34"/>
      <c r="G170" s="32"/>
      <c r="H170" s="32"/>
      <c r="I170" s="32"/>
      <c r="J170" s="34"/>
      <c r="K170" s="35"/>
      <c r="L170" s="36"/>
      <c r="M170" s="32"/>
      <c r="N170" s="31"/>
      <c r="O170" s="31"/>
      <c r="P170" s="31"/>
      <c r="Q170" s="31"/>
      <c r="R170" s="31"/>
      <c r="S170" s="31"/>
      <c r="T170" s="31"/>
      <c r="U170" s="31"/>
      <c r="V170" s="31"/>
      <c r="W170" s="31"/>
      <c r="X170" s="31"/>
      <c r="Y170" s="31"/>
      <c r="Z170" s="31"/>
    </row>
    <row r="171" spans="1:26" ht="12.75" customHeight="1">
      <c r="A171" s="31"/>
      <c r="B171" s="32"/>
      <c r="C171" s="33" t="str">
        <f t="shared" si="3"/>
        <v/>
      </c>
      <c r="D171" s="32"/>
      <c r="E171" s="33"/>
      <c r="F171" s="34"/>
      <c r="G171" s="32"/>
      <c r="H171" s="32"/>
      <c r="I171" s="32"/>
      <c r="J171" s="34"/>
      <c r="K171" s="35"/>
      <c r="L171" s="36"/>
      <c r="M171" s="32"/>
      <c r="N171" s="31"/>
      <c r="O171" s="31"/>
      <c r="P171" s="31"/>
      <c r="Q171" s="31"/>
      <c r="R171" s="31"/>
      <c r="S171" s="31"/>
      <c r="T171" s="31"/>
      <c r="U171" s="31"/>
      <c r="V171" s="31"/>
      <c r="W171" s="31"/>
      <c r="X171" s="31"/>
      <c r="Y171" s="31"/>
      <c r="Z171" s="31"/>
    </row>
    <row r="172" spans="1:26" ht="12.75" customHeight="1">
      <c r="A172" s="31"/>
      <c r="B172" s="32"/>
      <c r="C172" s="33" t="str">
        <f t="shared" si="3"/>
        <v/>
      </c>
      <c r="D172" s="32"/>
      <c r="E172" s="33"/>
      <c r="F172" s="34"/>
      <c r="G172" s="32"/>
      <c r="H172" s="32"/>
      <c r="I172" s="32"/>
      <c r="J172" s="34"/>
      <c r="K172" s="35"/>
      <c r="L172" s="36"/>
      <c r="M172" s="32"/>
      <c r="N172" s="31"/>
      <c r="O172" s="31"/>
      <c r="P172" s="31"/>
      <c r="Q172" s="31"/>
      <c r="R172" s="31"/>
      <c r="S172" s="31"/>
      <c r="T172" s="31"/>
      <c r="U172" s="31"/>
      <c r="V172" s="31"/>
      <c r="W172" s="31"/>
      <c r="X172" s="31"/>
      <c r="Y172" s="31"/>
      <c r="Z172" s="31"/>
    </row>
    <row r="173" spans="1:26" ht="12.75" customHeight="1">
      <c r="A173" s="31"/>
      <c r="B173" s="32"/>
      <c r="C173" s="33" t="str">
        <f t="shared" si="3"/>
        <v/>
      </c>
      <c r="D173" s="32"/>
      <c r="E173" s="33"/>
      <c r="F173" s="34"/>
      <c r="G173" s="32"/>
      <c r="H173" s="32"/>
      <c r="I173" s="32"/>
      <c r="J173" s="34"/>
      <c r="K173" s="35"/>
      <c r="L173" s="36"/>
      <c r="M173" s="32"/>
      <c r="N173" s="31"/>
      <c r="O173" s="31"/>
      <c r="P173" s="31"/>
      <c r="Q173" s="31"/>
      <c r="R173" s="31"/>
      <c r="S173" s="31"/>
      <c r="T173" s="31"/>
      <c r="U173" s="31"/>
      <c r="V173" s="31"/>
      <c r="W173" s="31"/>
      <c r="X173" s="31"/>
      <c r="Y173" s="31"/>
      <c r="Z173" s="31"/>
    </row>
    <row r="174" spans="1:26" ht="12.75" customHeight="1">
      <c r="A174" s="31"/>
      <c r="B174" s="32"/>
      <c r="C174" s="33" t="str">
        <f t="shared" si="3"/>
        <v/>
      </c>
      <c r="D174" s="32"/>
      <c r="E174" s="33"/>
      <c r="F174" s="34"/>
      <c r="G174" s="32"/>
      <c r="H174" s="32"/>
      <c r="I174" s="32"/>
      <c r="J174" s="34"/>
      <c r="K174" s="35"/>
      <c r="L174" s="36"/>
      <c r="M174" s="32"/>
      <c r="N174" s="31"/>
      <c r="O174" s="31"/>
      <c r="P174" s="31"/>
      <c r="Q174" s="31"/>
      <c r="R174" s="31"/>
      <c r="S174" s="31"/>
      <c r="T174" s="31"/>
      <c r="U174" s="31"/>
      <c r="V174" s="31"/>
      <c r="W174" s="31"/>
      <c r="X174" s="31"/>
      <c r="Y174" s="31"/>
      <c r="Z174" s="31"/>
    </row>
    <row r="175" spans="1:26" ht="12.75" customHeight="1">
      <c r="A175" s="31"/>
      <c r="B175" s="32"/>
      <c r="C175" s="33" t="str">
        <f t="shared" si="3"/>
        <v/>
      </c>
      <c r="D175" s="32"/>
      <c r="E175" s="33"/>
      <c r="F175" s="34"/>
      <c r="G175" s="32"/>
      <c r="H175" s="32"/>
      <c r="I175" s="32"/>
      <c r="J175" s="34"/>
      <c r="K175" s="35"/>
      <c r="L175" s="36"/>
      <c r="M175" s="32"/>
      <c r="N175" s="31"/>
      <c r="O175" s="31"/>
      <c r="P175" s="31"/>
      <c r="Q175" s="31"/>
      <c r="R175" s="31"/>
      <c r="S175" s="31"/>
      <c r="T175" s="31"/>
      <c r="U175" s="31"/>
      <c r="V175" s="31"/>
      <c r="W175" s="31"/>
      <c r="X175" s="31"/>
      <c r="Y175" s="31"/>
      <c r="Z175" s="31"/>
    </row>
    <row r="176" spans="1:26" ht="12.75" customHeight="1">
      <c r="A176" s="31"/>
      <c r="B176" s="32"/>
      <c r="C176" s="33" t="str">
        <f t="shared" si="3"/>
        <v/>
      </c>
      <c r="D176" s="32"/>
      <c r="E176" s="33"/>
      <c r="F176" s="34"/>
      <c r="G176" s="32"/>
      <c r="H176" s="32"/>
      <c r="I176" s="32"/>
      <c r="J176" s="34"/>
      <c r="K176" s="35"/>
      <c r="L176" s="36"/>
      <c r="M176" s="32"/>
      <c r="N176" s="31"/>
      <c r="O176" s="31"/>
      <c r="P176" s="31"/>
      <c r="Q176" s="31"/>
      <c r="R176" s="31"/>
      <c r="S176" s="31"/>
      <c r="T176" s="31"/>
      <c r="U176" s="31"/>
      <c r="V176" s="31"/>
      <c r="W176" s="31"/>
      <c r="X176" s="31"/>
      <c r="Y176" s="31"/>
      <c r="Z176" s="31"/>
    </row>
    <row r="177" spans="1:26" ht="12.75" customHeight="1">
      <c r="A177" s="31"/>
      <c r="B177" s="32"/>
      <c r="C177" s="33" t="str">
        <f t="shared" si="3"/>
        <v/>
      </c>
      <c r="D177" s="32"/>
      <c r="E177" s="33"/>
      <c r="F177" s="34"/>
      <c r="G177" s="32"/>
      <c r="H177" s="32"/>
      <c r="I177" s="32"/>
      <c r="J177" s="34"/>
      <c r="K177" s="35"/>
      <c r="L177" s="36"/>
      <c r="M177" s="32"/>
      <c r="N177" s="31"/>
      <c r="O177" s="31"/>
      <c r="P177" s="31"/>
      <c r="Q177" s="31"/>
      <c r="R177" s="31"/>
      <c r="S177" s="31"/>
      <c r="T177" s="31"/>
      <c r="U177" s="31"/>
      <c r="V177" s="31"/>
      <c r="W177" s="31"/>
      <c r="X177" s="31"/>
      <c r="Y177" s="31"/>
      <c r="Z177" s="31"/>
    </row>
    <row r="178" spans="1:26" ht="12.75" customHeight="1">
      <c r="A178" s="31"/>
      <c r="B178" s="32"/>
      <c r="C178" s="33" t="str">
        <f t="shared" si="3"/>
        <v/>
      </c>
      <c r="D178" s="32"/>
      <c r="E178" s="33"/>
      <c r="F178" s="34"/>
      <c r="G178" s="32"/>
      <c r="H178" s="32"/>
      <c r="I178" s="32"/>
      <c r="J178" s="34"/>
      <c r="K178" s="35"/>
      <c r="L178" s="36"/>
      <c r="M178" s="32"/>
      <c r="N178" s="31"/>
      <c r="O178" s="31"/>
      <c r="P178" s="31"/>
      <c r="Q178" s="31"/>
      <c r="R178" s="31"/>
      <c r="S178" s="31"/>
      <c r="T178" s="31"/>
      <c r="U178" s="31"/>
      <c r="V178" s="31"/>
      <c r="W178" s="31"/>
      <c r="X178" s="31"/>
      <c r="Y178" s="31"/>
      <c r="Z178" s="31"/>
    </row>
    <row r="179" spans="1:26" ht="12.75" customHeight="1">
      <c r="A179" s="31"/>
      <c r="B179" s="32"/>
      <c r="C179" s="33" t="str">
        <f t="shared" si="3"/>
        <v/>
      </c>
      <c r="D179" s="32"/>
      <c r="E179" s="33"/>
      <c r="F179" s="34"/>
      <c r="G179" s="32"/>
      <c r="H179" s="32"/>
      <c r="I179" s="32"/>
      <c r="J179" s="34"/>
      <c r="K179" s="35"/>
      <c r="L179" s="36"/>
      <c r="M179" s="32"/>
      <c r="N179" s="31"/>
      <c r="O179" s="31"/>
      <c r="P179" s="31"/>
      <c r="Q179" s="31"/>
      <c r="R179" s="31"/>
      <c r="S179" s="31"/>
      <c r="T179" s="31"/>
      <c r="U179" s="31"/>
      <c r="V179" s="31"/>
      <c r="W179" s="31"/>
      <c r="X179" s="31"/>
      <c r="Y179" s="31"/>
      <c r="Z179" s="31"/>
    </row>
    <row r="180" spans="1:26" ht="12.75" customHeight="1">
      <c r="A180" s="31"/>
      <c r="B180" s="32"/>
      <c r="C180" s="33" t="str">
        <f t="shared" si="3"/>
        <v/>
      </c>
      <c r="D180" s="32"/>
      <c r="E180" s="33"/>
      <c r="F180" s="34"/>
      <c r="G180" s="32"/>
      <c r="H180" s="32"/>
      <c r="I180" s="32"/>
      <c r="J180" s="34"/>
      <c r="K180" s="35"/>
      <c r="L180" s="36"/>
      <c r="M180" s="32"/>
      <c r="N180" s="31"/>
      <c r="O180" s="31"/>
      <c r="P180" s="31"/>
      <c r="Q180" s="31"/>
      <c r="R180" s="31"/>
      <c r="S180" s="31"/>
      <c r="T180" s="31"/>
      <c r="U180" s="31"/>
      <c r="V180" s="31"/>
      <c r="W180" s="31"/>
      <c r="X180" s="31"/>
      <c r="Y180" s="31"/>
      <c r="Z180" s="31"/>
    </row>
    <row r="181" spans="1:26" ht="12.75" customHeight="1">
      <c r="A181" s="31"/>
      <c r="B181" s="32"/>
      <c r="C181" s="33" t="str">
        <f t="shared" si="3"/>
        <v/>
      </c>
      <c r="D181" s="32"/>
      <c r="E181" s="33"/>
      <c r="F181" s="34"/>
      <c r="G181" s="32"/>
      <c r="H181" s="32"/>
      <c r="I181" s="32"/>
      <c r="J181" s="34"/>
      <c r="K181" s="35"/>
      <c r="L181" s="36"/>
      <c r="M181" s="32"/>
      <c r="N181" s="31"/>
      <c r="O181" s="31"/>
      <c r="P181" s="31"/>
      <c r="Q181" s="31"/>
      <c r="R181" s="31"/>
      <c r="S181" s="31"/>
      <c r="T181" s="31"/>
      <c r="U181" s="31"/>
      <c r="V181" s="31"/>
      <c r="W181" s="31"/>
      <c r="X181" s="31"/>
      <c r="Y181" s="31"/>
      <c r="Z181" s="31"/>
    </row>
    <row r="182" spans="1:26" ht="12.75" customHeight="1">
      <c r="A182" s="31"/>
      <c r="B182" s="32"/>
      <c r="C182" s="33" t="str">
        <f t="shared" si="3"/>
        <v/>
      </c>
      <c r="D182" s="32"/>
      <c r="E182" s="33"/>
      <c r="F182" s="34"/>
      <c r="G182" s="32"/>
      <c r="H182" s="32"/>
      <c r="I182" s="32"/>
      <c r="J182" s="34"/>
      <c r="K182" s="35"/>
      <c r="L182" s="36"/>
      <c r="M182" s="32"/>
      <c r="N182" s="31"/>
      <c r="O182" s="31"/>
      <c r="P182" s="31"/>
      <c r="Q182" s="31"/>
      <c r="R182" s="31"/>
      <c r="S182" s="31"/>
      <c r="T182" s="31"/>
      <c r="U182" s="31"/>
      <c r="V182" s="31"/>
      <c r="W182" s="31"/>
      <c r="X182" s="31"/>
      <c r="Y182" s="31"/>
      <c r="Z182" s="31"/>
    </row>
    <row r="183" spans="1:26" ht="12.75" customHeight="1">
      <c r="A183" s="31"/>
      <c r="B183" s="32"/>
      <c r="C183" s="33" t="str">
        <f t="shared" si="3"/>
        <v/>
      </c>
      <c r="D183" s="32"/>
      <c r="E183" s="33"/>
      <c r="F183" s="34"/>
      <c r="G183" s="32"/>
      <c r="H183" s="32"/>
      <c r="I183" s="32"/>
      <c r="J183" s="34"/>
      <c r="K183" s="35"/>
      <c r="L183" s="36"/>
      <c r="M183" s="32"/>
      <c r="N183" s="31"/>
      <c r="O183" s="31"/>
      <c r="P183" s="31"/>
      <c r="Q183" s="31"/>
      <c r="R183" s="31"/>
      <c r="S183" s="31"/>
      <c r="T183" s="31"/>
      <c r="U183" s="31"/>
      <c r="V183" s="31"/>
      <c r="W183" s="31"/>
      <c r="X183" s="31"/>
      <c r="Y183" s="31"/>
      <c r="Z183" s="31"/>
    </row>
    <row r="184" spans="1:26" ht="12.75" customHeight="1">
      <c r="A184" s="31"/>
      <c r="B184" s="32"/>
      <c r="C184" s="33" t="str">
        <f t="shared" si="3"/>
        <v/>
      </c>
      <c r="D184" s="32"/>
      <c r="E184" s="33"/>
      <c r="F184" s="34"/>
      <c r="G184" s="32"/>
      <c r="H184" s="32"/>
      <c r="I184" s="32"/>
      <c r="J184" s="34"/>
      <c r="K184" s="35"/>
      <c r="L184" s="36"/>
      <c r="M184" s="32"/>
      <c r="N184" s="31"/>
      <c r="O184" s="31"/>
      <c r="P184" s="31"/>
      <c r="Q184" s="31"/>
      <c r="R184" s="31"/>
      <c r="S184" s="31"/>
      <c r="T184" s="31"/>
      <c r="U184" s="31"/>
      <c r="V184" s="31"/>
      <c r="W184" s="31"/>
      <c r="X184" s="31"/>
      <c r="Y184" s="31"/>
      <c r="Z184" s="31"/>
    </row>
    <row r="185" spans="1:26" ht="12.75" customHeight="1">
      <c r="A185" s="31"/>
      <c r="B185" s="32"/>
      <c r="C185" s="33" t="str">
        <f t="shared" si="3"/>
        <v/>
      </c>
      <c r="D185" s="32"/>
      <c r="E185" s="33"/>
      <c r="F185" s="34"/>
      <c r="G185" s="32"/>
      <c r="H185" s="32"/>
      <c r="I185" s="32"/>
      <c r="J185" s="34"/>
      <c r="K185" s="35"/>
      <c r="L185" s="36"/>
      <c r="M185" s="32"/>
      <c r="N185" s="31"/>
      <c r="O185" s="31"/>
      <c r="P185" s="31"/>
      <c r="Q185" s="31"/>
      <c r="R185" s="31"/>
      <c r="S185" s="31"/>
      <c r="T185" s="31"/>
      <c r="U185" s="31"/>
      <c r="V185" s="31"/>
      <c r="W185" s="31"/>
      <c r="X185" s="31"/>
      <c r="Y185" s="31"/>
      <c r="Z185" s="31"/>
    </row>
    <row r="186" spans="1:26" ht="12.75" customHeight="1">
      <c r="A186" s="31"/>
      <c r="B186" s="32"/>
      <c r="C186" s="33" t="str">
        <f t="shared" si="3"/>
        <v/>
      </c>
      <c r="D186" s="32"/>
      <c r="E186" s="33"/>
      <c r="F186" s="34"/>
      <c r="G186" s="32"/>
      <c r="H186" s="32"/>
      <c r="I186" s="32"/>
      <c r="J186" s="34"/>
      <c r="K186" s="35"/>
      <c r="L186" s="36"/>
      <c r="M186" s="32"/>
      <c r="N186" s="31"/>
      <c r="O186" s="31"/>
      <c r="P186" s="31"/>
      <c r="Q186" s="31"/>
      <c r="R186" s="31"/>
      <c r="S186" s="31"/>
      <c r="T186" s="31"/>
      <c r="U186" s="31"/>
      <c r="V186" s="31"/>
      <c r="W186" s="31"/>
      <c r="X186" s="31"/>
      <c r="Y186" s="31"/>
      <c r="Z186" s="31"/>
    </row>
    <row r="187" spans="1:26" ht="12.75" customHeight="1">
      <c r="A187" s="31"/>
      <c r="B187" s="32"/>
      <c r="C187" s="33" t="str">
        <f t="shared" si="3"/>
        <v/>
      </c>
      <c r="D187" s="32"/>
      <c r="E187" s="33"/>
      <c r="F187" s="34"/>
      <c r="G187" s="32"/>
      <c r="H187" s="32"/>
      <c r="I187" s="32"/>
      <c r="J187" s="34"/>
      <c r="K187" s="35"/>
      <c r="L187" s="36"/>
      <c r="M187" s="32"/>
      <c r="N187" s="31"/>
      <c r="O187" s="31"/>
      <c r="P187" s="31"/>
      <c r="Q187" s="31"/>
      <c r="R187" s="31"/>
      <c r="S187" s="31"/>
      <c r="T187" s="31"/>
      <c r="U187" s="31"/>
      <c r="V187" s="31"/>
      <c r="W187" s="31"/>
      <c r="X187" s="31"/>
      <c r="Y187" s="31"/>
      <c r="Z187" s="31"/>
    </row>
    <row r="188" spans="1:26" ht="12.75" customHeight="1">
      <c r="A188" s="31"/>
      <c r="B188" s="32"/>
      <c r="C188" s="33" t="str">
        <f t="shared" si="3"/>
        <v/>
      </c>
      <c r="D188" s="32"/>
      <c r="E188" s="33"/>
      <c r="F188" s="34"/>
      <c r="G188" s="32"/>
      <c r="H188" s="32"/>
      <c r="I188" s="32"/>
      <c r="J188" s="34"/>
      <c r="K188" s="35"/>
      <c r="L188" s="36"/>
      <c r="M188" s="32"/>
      <c r="N188" s="31"/>
      <c r="O188" s="31"/>
      <c r="P188" s="31"/>
      <c r="Q188" s="31"/>
      <c r="R188" s="31"/>
      <c r="S188" s="31"/>
      <c r="T188" s="31"/>
      <c r="U188" s="31"/>
      <c r="V188" s="31"/>
      <c r="W188" s="31"/>
      <c r="X188" s="31"/>
      <c r="Y188" s="31"/>
      <c r="Z188" s="31"/>
    </row>
    <row r="189" spans="1:26" ht="12.75" customHeight="1">
      <c r="A189" s="31"/>
      <c r="B189" s="32"/>
      <c r="C189" s="33" t="str">
        <f t="shared" si="3"/>
        <v/>
      </c>
      <c r="D189" s="32"/>
      <c r="E189" s="33"/>
      <c r="F189" s="34"/>
      <c r="G189" s="32"/>
      <c r="H189" s="32"/>
      <c r="I189" s="32"/>
      <c r="J189" s="34"/>
      <c r="K189" s="35"/>
      <c r="L189" s="36"/>
      <c r="M189" s="32"/>
      <c r="N189" s="31"/>
      <c r="O189" s="31"/>
      <c r="P189" s="31"/>
      <c r="Q189" s="31"/>
      <c r="R189" s="31"/>
      <c r="S189" s="31"/>
      <c r="T189" s="31"/>
      <c r="U189" s="31"/>
      <c r="V189" s="31"/>
      <c r="W189" s="31"/>
      <c r="X189" s="31"/>
      <c r="Y189" s="31"/>
      <c r="Z189" s="31"/>
    </row>
    <row r="190" spans="1:26" ht="12.75" customHeight="1">
      <c r="A190" s="31"/>
      <c r="B190" s="32"/>
      <c r="C190" s="33" t="str">
        <f t="shared" si="3"/>
        <v/>
      </c>
      <c r="D190" s="32"/>
      <c r="E190" s="33"/>
      <c r="F190" s="34"/>
      <c r="G190" s="32"/>
      <c r="H190" s="32"/>
      <c r="I190" s="32"/>
      <c r="J190" s="34"/>
      <c r="K190" s="35"/>
      <c r="L190" s="36"/>
      <c r="M190" s="32"/>
      <c r="N190" s="31"/>
      <c r="O190" s="31"/>
      <c r="P190" s="31"/>
      <c r="Q190" s="31"/>
      <c r="R190" s="31"/>
      <c r="S190" s="31"/>
      <c r="T190" s="31"/>
      <c r="U190" s="31"/>
      <c r="V190" s="31"/>
      <c r="W190" s="31"/>
      <c r="X190" s="31"/>
      <c r="Y190" s="31"/>
      <c r="Z190" s="31"/>
    </row>
    <row r="191" spans="1:26" ht="12.75" customHeight="1">
      <c r="A191" s="31"/>
      <c r="B191" s="32"/>
      <c r="C191" s="33" t="str">
        <f t="shared" si="3"/>
        <v/>
      </c>
      <c r="D191" s="32"/>
      <c r="E191" s="33"/>
      <c r="F191" s="34"/>
      <c r="G191" s="32"/>
      <c r="H191" s="32"/>
      <c r="I191" s="32"/>
      <c r="J191" s="34"/>
      <c r="K191" s="35"/>
      <c r="L191" s="36"/>
      <c r="M191" s="32"/>
      <c r="N191" s="31"/>
      <c r="O191" s="31"/>
      <c r="P191" s="31"/>
      <c r="Q191" s="31"/>
      <c r="R191" s="31"/>
      <c r="S191" s="31"/>
      <c r="T191" s="31"/>
      <c r="U191" s="31"/>
      <c r="V191" s="31"/>
      <c r="W191" s="31"/>
      <c r="X191" s="31"/>
      <c r="Y191" s="31"/>
      <c r="Z191" s="31"/>
    </row>
    <row r="192" spans="1:26" ht="12.75" customHeight="1">
      <c r="A192" s="31"/>
      <c r="B192" s="32"/>
      <c r="C192" s="33" t="str">
        <f t="shared" si="3"/>
        <v/>
      </c>
      <c r="D192" s="32"/>
      <c r="E192" s="33"/>
      <c r="F192" s="34"/>
      <c r="G192" s="32"/>
      <c r="H192" s="32"/>
      <c r="I192" s="32"/>
      <c r="J192" s="34"/>
      <c r="K192" s="35"/>
      <c r="L192" s="36"/>
      <c r="M192" s="32"/>
      <c r="N192" s="31"/>
      <c r="O192" s="31"/>
      <c r="P192" s="31"/>
      <c r="Q192" s="31"/>
      <c r="R192" s="31"/>
      <c r="S192" s="31"/>
      <c r="T192" s="31"/>
      <c r="U192" s="31"/>
      <c r="V192" s="31"/>
      <c r="W192" s="31"/>
      <c r="X192" s="31"/>
      <c r="Y192" s="31"/>
      <c r="Z192" s="31"/>
    </row>
    <row r="193" spans="1:26" ht="12.75" customHeight="1">
      <c r="A193" s="31"/>
      <c r="B193" s="32"/>
      <c r="C193" s="33" t="str">
        <f t="shared" si="3"/>
        <v/>
      </c>
      <c r="D193" s="32"/>
      <c r="E193" s="33"/>
      <c r="F193" s="34"/>
      <c r="G193" s="32"/>
      <c r="H193" s="32"/>
      <c r="I193" s="32"/>
      <c r="J193" s="34"/>
      <c r="K193" s="35"/>
      <c r="L193" s="36"/>
      <c r="M193" s="32"/>
      <c r="N193" s="31"/>
      <c r="O193" s="31"/>
      <c r="P193" s="31"/>
      <c r="Q193" s="31"/>
      <c r="R193" s="31"/>
      <c r="S193" s="31"/>
      <c r="T193" s="31"/>
      <c r="U193" s="31"/>
      <c r="V193" s="31"/>
      <c r="W193" s="31"/>
      <c r="X193" s="31"/>
      <c r="Y193" s="31"/>
      <c r="Z193" s="31"/>
    </row>
    <row r="194" spans="1:26" ht="12.75" customHeight="1">
      <c r="A194" s="31"/>
      <c r="B194" s="32"/>
      <c r="C194" s="33" t="str">
        <f t="shared" si="3"/>
        <v/>
      </c>
      <c r="D194" s="32"/>
      <c r="E194" s="33"/>
      <c r="F194" s="34"/>
      <c r="G194" s="32"/>
      <c r="H194" s="32"/>
      <c r="I194" s="32"/>
      <c r="J194" s="34"/>
      <c r="K194" s="35"/>
      <c r="L194" s="36"/>
      <c r="M194" s="32"/>
      <c r="N194" s="31"/>
      <c r="O194" s="31"/>
      <c r="P194" s="31"/>
      <c r="Q194" s="31"/>
      <c r="R194" s="31"/>
      <c r="S194" s="31"/>
      <c r="T194" s="31"/>
      <c r="U194" s="31"/>
      <c r="V194" s="31"/>
      <c r="W194" s="31"/>
      <c r="X194" s="31"/>
      <c r="Y194" s="31"/>
      <c r="Z194" s="31"/>
    </row>
    <row r="195" spans="1:26" ht="12.75" customHeight="1">
      <c r="A195" s="31"/>
      <c r="B195" s="32"/>
      <c r="C195" s="33" t="str">
        <f t="shared" si="3"/>
        <v/>
      </c>
      <c r="D195" s="32"/>
      <c r="E195" s="33"/>
      <c r="F195" s="34"/>
      <c r="G195" s="32"/>
      <c r="H195" s="32"/>
      <c r="I195" s="32"/>
      <c r="J195" s="34"/>
      <c r="K195" s="35"/>
      <c r="L195" s="36"/>
      <c r="M195" s="32"/>
      <c r="N195" s="31"/>
      <c r="O195" s="31"/>
      <c r="P195" s="31"/>
      <c r="Q195" s="31"/>
      <c r="R195" s="31"/>
      <c r="S195" s="31"/>
      <c r="T195" s="31"/>
      <c r="U195" s="31"/>
      <c r="V195" s="31"/>
      <c r="W195" s="31"/>
      <c r="X195" s="31"/>
      <c r="Y195" s="31"/>
      <c r="Z195" s="31"/>
    </row>
    <row r="196" spans="1:26" ht="12.75" customHeight="1">
      <c r="A196" s="31"/>
      <c r="B196" s="32"/>
      <c r="C196" s="33" t="str">
        <f t="shared" si="3"/>
        <v/>
      </c>
      <c r="D196" s="32"/>
      <c r="E196" s="33"/>
      <c r="F196" s="34"/>
      <c r="G196" s="32"/>
      <c r="H196" s="32"/>
      <c r="I196" s="32"/>
      <c r="J196" s="34"/>
      <c r="K196" s="35"/>
      <c r="L196" s="36"/>
      <c r="M196" s="32"/>
      <c r="N196" s="31"/>
      <c r="O196" s="31"/>
      <c r="P196" s="31"/>
      <c r="Q196" s="31"/>
      <c r="R196" s="31"/>
      <c r="S196" s="31"/>
      <c r="T196" s="31"/>
      <c r="U196" s="31"/>
      <c r="V196" s="31"/>
      <c r="W196" s="31"/>
      <c r="X196" s="31"/>
      <c r="Y196" s="31"/>
      <c r="Z196" s="31"/>
    </row>
    <row r="197" spans="1:26" ht="12.75" customHeight="1">
      <c r="A197" s="31"/>
      <c r="B197" s="32"/>
      <c r="C197" s="33" t="str">
        <f t="shared" si="3"/>
        <v/>
      </c>
      <c r="D197" s="32"/>
      <c r="E197" s="33"/>
      <c r="F197" s="34"/>
      <c r="G197" s="32"/>
      <c r="H197" s="32"/>
      <c r="I197" s="32"/>
      <c r="J197" s="34"/>
      <c r="K197" s="35"/>
      <c r="L197" s="36"/>
      <c r="M197" s="32"/>
      <c r="N197" s="31"/>
      <c r="O197" s="31"/>
      <c r="P197" s="31"/>
      <c r="Q197" s="31"/>
      <c r="R197" s="31"/>
      <c r="S197" s="31"/>
      <c r="T197" s="31"/>
      <c r="U197" s="31"/>
      <c r="V197" s="31"/>
      <c r="W197" s="31"/>
      <c r="X197" s="31"/>
      <c r="Y197" s="31"/>
      <c r="Z197" s="31"/>
    </row>
    <row r="198" spans="1:26" ht="12.75" customHeight="1">
      <c r="A198" s="31"/>
      <c r="B198" s="32"/>
      <c r="C198" s="33" t="str">
        <f t="shared" si="3"/>
        <v/>
      </c>
      <c r="D198" s="32"/>
      <c r="E198" s="33"/>
      <c r="F198" s="34"/>
      <c r="G198" s="32"/>
      <c r="H198" s="32"/>
      <c r="I198" s="32"/>
      <c r="J198" s="34"/>
      <c r="K198" s="35"/>
      <c r="L198" s="36"/>
      <c r="M198" s="32"/>
      <c r="N198" s="31"/>
      <c r="O198" s="31"/>
      <c r="P198" s="31"/>
      <c r="Q198" s="31"/>
      <c r="R198" s="31"/>
      <c r="S198" s="31"/>
      <c r="T198" s="31"/>
      <c r="U198" s="31"/>
      <c r="V198" s="31"/>
      <c r="W198" s="31"/>
      <c r="X198" s="31"/>
      <c r="Y198" s="31"/>
      <c r="Z198" s="31"/>
    </row>
    <row r="199" spans="1:26" ht="12.75" customHeight="1">
      <c r="A199" s="31"/>
      <c r="B199" s="32"/>
      <c r="C199" s="33" t="str">
        <f t="shared" si="3"/>
        <v/>
      </c>
      <c r="D199" s="32"/>
      <c r="E199" s="33"/>
      <c r="F199" s="34"/>
      <c r="G199" s="32"/>
      <c r="H199" s="32"/>
      <c r="I199" s="32"/>
      <c r="J199" s="34"/>
      <c r="K199" s="35"/>
      <c r="L199" s="36"/>
      <c r="M199" s="32"/>
      <c r="N199" s="31"/>
      <c r="O199" s="31"/>
      <c r="P199" s="31"/>
      <c r="Q199" s="31"/>
      <c r="R199" s="31"/>
      <c r="S199" s="31"/>
      <c r="T199" s="31"/>
      <c r="U199" s="31"/>
      <c r="V199" s="31"/>
      <c r="W199" s="31"/>
      <c r="X199" s="31"/>
      <c r="Y199" s="31"/>
      <c r="Z199" s="31"/>
    </row>
    <row r="200" spans="1:26" ht="12.75" customHeight="1">
      <c r="A200" s="31"/>
      <c r="B200" s="32"/>
      <c r="C200" s="33" t="str">
        <f t="shared" si="3"/>
        <v/>
      </c>
      <c r="D200" s="32"/>
      <c r="E200" s="33"/>
      <c r="F200" s="34"/>
      <c r="G200" s="32"/>
      <c r="H200" s="32"/>
      <c r="I200" s="32"/>
      <c r="J200" s="34"/>
      <c r="K200" s="35"/>
      <c r="L200" s="36"/>
      <c r="M200" s="32"/>
      <c r="N200" s="31"/>
      <c r="O200" s="31"/>
      <c r="P200" s="31"/>
      <c r="Q200" s="31"/>
      <c r="R200" s="31"/>
      <c r="S200" s="31"/>
      <c r="T200" s="31"/>
      <c r="U200" s="31"/>
      <c r="V200" s="31"/>
      <c r="W200" s="31"/>
      <c r="X200" s="31"/>
      <c r="Y200" s="31"/>
      <c r="Z200" s="31"/>
    </row>
    <row r="201" spans="1:26" ht="12.75" customHeight="1">
      <c r="A201" s="31"/>
      <c r="B201" s="32"/>
      <c r="C201" s="33" t="str">
        <f t="shared" si="3"/>
        <v/>
      </c>
      <c r="D201" s="32"/>
      <c r="E201" s="33"/>
      <c r="F201" s="34"/>
      <c r="G201" s="32"/>
      <c r="H201" s="32"/>
      <c r="I201" s="32"/>
      <c r="J201" s="34"/>
      <c r="K201" s="35"/>
      <c r="L201" s="36"/>
      <c r="M201" s="32"/>
      <c r="N201" s="31"/>
      <c r="O201" s="31"/>
      <c r="P201" s="31"/>
      <c r="Q201" s="31"/>
      <c r="R201" s="31"/>
      <c r="S201" s="31"/>
      <c r="T201" s="31"/>
      <c r="U201" s="31"/>
      <c r="V201" s="31"/>
      <c r="W201" s="31"/>
      <c r="X201" s="31"/>
      <c r="Y201" s="31"/>
      <c r="Z201" s="31"/>
    </row>
    <row r="202" spans="1:26" ht="12.75" customHeight="1">
      <c r="A202" s="31"/>
      <c r="B202" s="32"/>
      <c r="C202" s="33" t="str">
        <f t="shared" si="3"/>
        <v/>
      </c>
      <c r="D202" s="32"/>
      <c r="E202" s="33"/>
      <c r="F202" s="34"/>
      <c r="G202" s="32"/>
      <c r="H202" s="32"/>
      <c r="I202" s="32"/>
      <c r="J202" s="34"/>
      <c r="K202" s="35"/>
      <c r="L202" s="36"/>
      <c r="M202" s="32"/>
      <c r="N202" s="31"/>
      <c r="O202" s="31"/>
      <c r="P202" s="31"/>
      <c r="Q202" s="31"/>
      <c r="R202" s="31"/>
      <c r="S202" s="31"/>
      <c r="T202" s="31"/>
      <c r="U202" s="31"/>
      <c r="V202" s="31"/>
      <c r="W202" s="31"/>
      <c r="X202" s="31"/>
      <c r="Y202" s="31"/>
      <c r="Z202" s="31"/>
    </row>
    <row r="203" spans="1:26" ht="12.75" customHeight="1">
      <c r="A203" s="31"/>
      <c r="B203" s="32"/>
      <c r="C203" s="33" t="str">
        <f t="shared" si="3"/>
        <v/>
      </c>
      <c r="D203" s="32"/>
      <c r="E203" s="33"/>
      <c r="F203" s="34"/>
      <c r="G203" s="32"/>
      <c r="H203" s="32"/>
      <c r="I203" s="32"/>
      <c r="J203" s="34"/>
      <c r="K203" s="35"/>
      <c r="L203" s="36"/>
      <c r="M203" s="32"/>
      <c r="N203" s="31"/>
      <c r="O203" s="31"/>
      <c r="P203" s="31"/>
      <c r="Q203" s="31"/>
      <c r="R203" s="31"/>
      <c r="S203" s="31"/>
      <c r="T203" s="31"/>
      <c r="U203" s="31"/>
      <c r="V203" s="31"/>
      <c r="W203" s="31"/>
      <c r="X203" s="31"/>
      <c r="Y203" s="31"/>
      <c r="Z203" s="31"/>
    </row>
    <row r="204" spans="1:26" ht="12.75" customHeight="1">
      <c r="A204" s="31"/>
      <c r="B204" s="32"/>
      <c r="C204" s="33" t="str">
        <f t="shared" si="3"/>
        <v/>
      </c>
      <c r="D204" s="32"/>
      <c r="E204" s="33"/>
      <c r="F204" s="34"/>
      <c r="G204" s="32"/>
      <c r="H204" s="32"/>
      <c r="I204" s="32"/>
      <c r="J204" s="34"/>
      <c r="K204" s="35"/>
      <c r="L204" s="36"/>
      <c r="M204" s="32"/>
      <c r="N204" s="31"/>
      <c r="O204" s="31"/>
      <c r="P204" s="31"/>
      <c r="Q204" s="31"/>
      <c r="R204" s="31"/>
      <c r="S204" s="31"/>
      <c r="T204" s="31"/>
      <c r="U204" s="31"/>
      <c r="V204" s="31"/>
      <c r="W204" s="31"/>
      <c r="X204" s="31"/>
      <c r="Y204" s="31"/>
      <c r="Z204" s="31"/>
    </row>
    <row r="205" spans="1:26" ht="12.75" customHeight="1">
      <c r="A205" s="31"/>
      <c r="B205" s="32"/>
      <c r="C205" s="33" t="str">
        <f t="shared" si="3"/>
        <v/>
      </c>
      <c r="D205" s="32"/>
      <c r="E205" s="33"/>
      <c r="F205" s="34"/>
      <c r="G205" s="32"/>
      <c r="H205" s="32"/>
      <c r="I205" s="32"/>
      <c r="J205" s="34"/>
      <c r="K205" s="35"/>
      <c r="L205" s="36"/>
      <c r="M205" s="32"/>
      <c r="N205" s="31"/>
      <c r="O205" s="31"/>
      <c r="P205" s="31"/>
      <c r="Q205" s="31"/>
      <c r="R205" s="31"/>
      <c r="S205" s="31"/>
      <c r="T205" s="31"/>
      <c r="U205" s="31"/>
      <c r="V205" s="31"/>
      <c r="W205" s="31"/>
      <c r="X205" s="31"/>
      <c r="Y205" s="31"/>
      <c r="Z205" s="31"/>
    </row>
    <row r="206" spans="1:26" ht="12.75" customHeight="1">
      <c r="A206" s="31"/>
      <c r="B206" s="32"/>
      <c r="C206" s="33" t="str">
        <f t="shared" si="3"/>
        <v/>
      </c>
      <c r="D206" s="32"/>
      <c r="E206" s="33"/>
      <c r="F206" s="34"/>
      <c r="G206" s="32"/>
      <c r="H206" s="32"/>
      <c r="I206" s="32"/>
      <c r="J206" s="34"/>
      <c r="K206" s="35"/>
      <c r="L206" s="36"/>
      <c r="M206" s="32"/>
      <c r="N206" s="31"/>
      <c r="O206" s="31"/>
      <c r="P206" s="31"/>
      <c r="Q206" s="31"/>
      <c r="R206" s="31"/>
      <c r="S206" s="31"/>
      <c r="T206" s="31"/>
      <c r="U206" s="31"/>
      <c r="V206" s="31"/>
      <c r="W206" s="31"/>
      <c r="X206" s="31"/>
      <c r="Y206" s="31"/>
      <c r="Z206" s="31"/>
    </row>
    <row r="207" spans="1:26" ht="12.75" customHeight="1">
      <c r="A207" s="31"/>
      <c r="B207" s="32"/>
      <c r="C207" s="33" t="str">
        <f t="shared" si="3"/>
        <v/>
      </c>
      <c r="D207" s="32"/>
      <c r="E207" s="33"/>
      <c r="F207" s="34"/>
      <c r="G207" s="32"/>
      <c r="H207" s="32"/>
      <c r="I207" s="32"/>
      <c r="J207" s="34"/>
      <c r="K207" s="35"/>
      <c r="L207" s="36"/>
      <c r="M207" s="32"/>
      <c r="N207" s="31"/>
      <c r="O207" s="31"/>
      <c r="P207" s="31"/>
      <c r="Q207" s="31"/>
      <c r="R207" s="31"/>
      <c r="S207" s="31"/>
      <c r="T207" s="31"/>
      <c r="U207" s="31"/>
      <c r="V207" s="31"/>
      <c r="W207" s="31"/>
      <c r="X207" s="31"/>
      <c r="Y207" s="31"/>
      <c r="Z207" s="31"/>
    </row>
    <row r="208" spans="1:26" ht="12.75" customHeight="1">
      <c r="A208" s="31"/>
      <c r="B208" s="32"/>
      <c r="C208" s="33" t="str">
        <f t="shared" si="3"/>
        <v/>
      </c>
      <c r="D208" s="32"/>
      <c r="E208" s="33"/>
      <c r="F208" s="34"/>
      <c r="G208" s="32"/>
      <c r="H208" s="32"/>
      <c r="I208" s="32"/>
      <c r="J208" s="34"/>
      <c r="K208" s="35"/>
      <c r="L208" s="36"/>
      <c r="M208" s="32"/>
      <c r="N208" s="31"/>
      <c r="O208" s="31"/>
      <c r="P208" s="31"/>
      <c r="Q208" s="31"/>
      <c r="R208" s="31"/>
      <c r="S208" s="31"/>
      <c r="T208" s="31"/>
      <c r="U208" s="31"/>
      <c r="V208" s="31"/>
      <c r="W208" s="31"/>
      <c r="X208" s="31"/>
      <c r="Y208" s="31"/>
      <c r="Z208" s="31"/>
    </row>
    <row r="209" spans="1:26" ht="12.75" customHeight="1">
      <c r="A209" s="31"/>
      <c r="B209" s="32"/>
      <c r="C209" s="33" t="str">
        <f t="shared" si="3"/>
        <v/>
      </c>
      <c r="D209" s="32"/>
      <c r="E209" s="33"/>
      <c r="F209" s="34"/>
      <c r="G209" s="32"/>
      <c r="H209" s="32"/>
      <c r="I209" s="32"/>
      <c r="J209" s="34"/>
      <c r="K209" s="35"/>
      <c r="L209" s="36"/>
      <c r="M209" s="32"/>
      <c r="N209" s="31"/>
      <c r="O209" s="31"/>
      <c r="P209" s="31"/>
      <c r="Q209" s="31"/>
      <c r="R209" s="31"/>
      <c r="S209" s="31"/>
      <c r="T209" s="31"/>
      <c r="U209" s="31"/>
      <c r="V209" s="31"/>
      <c r="W209" s="31"/>
      <c r="X209" s="31"/>
      <c r="Y209" s="31"/>
      <c r="Z209" s="31"/>
    </row>
    <row r="210" spans="1:26" ht="12.75" customHeight="1">
      <c r="A210" s="31"/>
      <c r="B210" s="32"/>
      <c r="C210" s="33" t="str">
        <f t="shared" si="3"/>
        <v/>
      </c>
      <c r="D210" s="32"/>
      <c r="E210" s="33"/>
      <c r="F210" s="34"/>
      <c r="G210" s="32"/>
      <c r="H210" s="32"/>
      <c r="I210" s="32"/>
      <c r="J210" s="34"/>
      <c r="K210" s="35"/>
      <c r="L210" s="36"/>
      <c r="M210" s="32"/>
      <c r="N210" s="31"/>
      <c r="O210" s="31"/>
      <c r="P210" s="31"/>
      <c r="Q210" s="31"/>
      <c r="R210" s="31"/>
      <c r="S210" s="31"/>
      <c r="T210" s="31"/>
      <c r="U210" s="31"/>
      <c r="V210" s="31"/>
      <c r="W210" s="31"/>
      <c r="X210" s="31"/>
      <c r="Y210" s="31"/>
      <c r="Z210" s="31"/>
    </row>
    <row r="211" spans="1:26" ht="12.75" customHeight="1">
      <c r="A211" s="31"/>
      <c r="B211" s="32"/>
      <c r="C211" s="33" t="str">
        <f t="shared" si="3"/>
        <v/>
      </c>
      <c r="D211" s="32"/>
      <c r="E211" s="33"/>
      <c r="F211" s="34"/>
      <c r="G211" s="32"/>
      <c r="H211" s="32"/>
      <c r="I211" s="32"/>
      <c r="J211" s="34"/>
      <c r="K211" s="35"/>
      <c r="L211" s="36"/>
      <c r="M211" s="32"/>
      <c r="N211" s="31"/>
      <c r="O211" s="31"/>
      <c r="P211" s="31"/>
      <c r="Q211" s="31"/>
      <c r="R211" s="31"/>
      <c r="S211" s="31"/>
      <c r="T211" s="31"/>
      <c r="U211" s="31"/>
      <c r="V211" s="31"/>
      <c r="W211" s="31"/>
      <c r="X211" s="31"/>
      <c r="Y211" s="31"/>
      <c r="Z211" s="31"/>
    </row>
    <row r="212" spans="1:26" ht="12.75" customHeight="1">
      <c r="A212" s="31"/>
      <c r="B212" s="32"/>
      <c r="C212" s="33" t="str">
        <f t="shared" si="3"/>
        <v/>
      </c>
      <c r="D212" s="32"/>
      <c r="E212" s="33"/>
      <c r="F212" s="34"/>
      <c r="G212" s="32"/>
      <c r="H212" s="32"/>
      <c r="I212" s="32"/>
      <c r="J212" s="34"/>
      <c r="K212" s="35"/>
      <c r="L212" s="36"/>
      <c r="M212" s="32"/>
      <c r="N212" s="31"/>
      <c r="O212" s="31"/>
      <c r="P212" s="31"/>
      <c r="Q212" s="31"/>
      <c r="R212" s="31"/>
      <c r="S212" s="31"/>
      <c r="T212" s="31"/>
      <c r="U212" s="31"/>
      <c r="V212" s="31"/>
      <c r="W212" s="31"/>
      <c r="X212" s="31"/>
      <c r="Y212" s="31"/>
      <c r="Z212" s="31"/>
    </row>
    <row r="213" spans="1:26" ht="12.75" customHeight="1">
      <c r="A213" s="31"/>
      <c r="B213" s="32"/>
      <c r="C213" s="33" t="str">
        <f t="shared" si="3"/>
        <v/>
      </c>
      <c r="D213" s="32"/>
      <c r="E213" s="33"/>
      <c r="F213" s="34"/>
      <c r="G213" s="32"/>
      <c r="H213" s="32"/>
      <c r="I213" s="32"/>
      <c r="J213" s="34"/>
      <c r="K213" s="35"/>
      <c r="L213" s="36"/>
      <c r="M213" s="32"/>
      <c r="N213" s="31"/>
      <c r="O213" s="31"/>
      <c r="P213" s="31"/>
      <c r="Q213" s="31"/>
      <c r="R213" s="31"/>
      <c r="S213" s="31"/>
      <c r="T213" s="31"/>
      <c r="U213" s="31"/>
      <c r="V213" s="31"/>
      <c r="W213" s="31"/>
      <c r="X213" s="31"/>
      <c r="Y213" s="31"/>
      <c r="Z213" s="31"/>
    </row>
    <row r="214" spans="1:26" ht="12.75" customHeight="1">
      <c r="A214" s="31"/>
      <c r="B214" s="32"/>
      <c r="C214" s="33" t="str">
        <f t="shared" si="3"/>
        <v/>
      </c>
      <c r="D214" s="32"/>
      <c r="E214" s="33"/>
      <c r="F214" s="34"/>
      <c r="G214" s="32"/>
      <c r="H214" s="32"/>
      <c r="I214" s="32"/>
      <c r="J214" s="34"/>
      <c r="K214" s="35"/>
      <c r="L214" s="36"/>
      <c r="M214" s="32"/>
      <c r="N214" s="31"/>
      <c r="O214" s="31"/>
      <c r="P214" s="31"/>
      <c r="Q214" s="31"/>
      <c r="R214" s="31"/>
      <c r="S214" s="31"/>
      <c r="T214" s="31"/>
      <c r="U214" s="31"/>
      <c r="V214" s="31"/>
      <c r="W214" s="31"/>
      <c r="X214" s="31"/>
      <c r="Y214" s="31"/>
      <c r="Z214" s="31"/>
    </row>
    <row r="215" spans="1:26" ht="12.75" customHeight="1">
      <c r="A215" s="31"/>
      <c r="B215" s="32"/>
      <c r="C215" s="33" t="str">
        <f t="shared" si="3"/>
        <v/>
      </c>
      <c r="D215" s="32"/>
      <c r="E215" s="33"/>
      <c r="F215" s="34"/>
      <c r="G215" s="32"/>
      <c r="H215" s="32"/>
      <c r="I215" s="32"/>
      <c r="J215" s="34"/>
      <c r="K215" s="35"/>
      <c r="L215" s="36"/>
      <c r="M215" s="32"/>
      <c r="N215" s="31"/>
      <c r="O215" s="31"/>
      <c r="P215" s="31"/>
      <c r="Q215" s="31"/>
      <c r="R215" s="31"/>
      <c r="S215" s="31"/>
      <c r="T215" s="31"/>
      <c r="U215" s="31"/>
      <c r="V215" s="31"/>
      <c r="W215" s="31"/>
      <c r="X215" s="31"/>
      <c r="Y215" s="31"/>
      <c r="Z215" s="31"/>
    </row>
    <row r="216" spans="1:26" ht="12.75" customHeight="1">
      <c r="A216" s="31"/>
      <c r="B216" s="32"/>
      <c r="C216" s="33" t="str">
        <f t="shared" si="3"/>
        <v/>
      </c>
      <c r="D216" s="32"/>
      <c r="E216" s="33"/>
      <c r="F216" s="34"/>
      <c r="G216" s="32"/>
      <c r="H216" s="32"/>
      <c r="I216" s="32"/>
      <c r="J216" s="34"/>
      <c r="K216" s="35"/>
      <c r="L216" s="36"/>
      <c r="M216" s="32"/>
      <c r="N216" s="31"/>
      <c r="O216" s="31"/>
      <c r="P216" s="31"/>
      <c r="Q216" s="31"/>
      <c r="R216" s="31"/>
      <c r="S216" s="31"/>
      <c r="T216" s="31"/>
      <c r="U216" s="31"/>
      <c r="V216" s="31"/>
      <c r="W216" s="31"/>
      <c r="X216" s="31"/>
      <c r="Y216" s="31"/>
      <c r="Z216" s="31"/>
    </row>
    <row r="217" spans="1:26" ht="12.75" customHeight="1">
      <c r="A217" s="31"/>
      <c r="B217" s="32"/>
      <c r="C217" s="33" t="str">
        <f t="shared" si="3"/>
        <v/>
      </c>
      <c r="D217" s="32"/>
      <c r="E217" s="33"/>
      <c r="F217" s="34"/>
      <c r="G217" s="32"/>
      <c r="H217" s="32"/>
      <c r="I217" s="32"/>
      <c r="J217" s="34"/>
      <c r="K217" s="35"/>
      <c r="L217" s="36"/>
      <c r="M217" s="32"/>
      <c r="N217" s="31"/>
      <c r="O217" s="31"/>
      <c r="P217" s="31"/>
      <c r="Q217" s="31"/>
      <c r="R217" s="31"/>
      <c r="S217" s="31"/>
      <c r="T217" s="31"/>
      <c r="U217" s="31"/>
      <c r="V217" s="31"/>
      <c r="W217" s="31"/>
      <c r="X217" s="31"/>
      <c r="Y217" s="31"/>
      <c r="Z217" s="31"/>
    </row>
    <row r="218" spans="1:26" ht="12.75" customHeight="1">
      <c r="A218" s="31"/>
      <c r="B218" s="32"/>
      <c r="C218" s="33" t="str">
        <f t="shared" si="3"/>
        <v/>
      </c>
      <c r="D218" s="32"/>
      <c r="E218" s="33"/>
      <c r="F218" s="34"/>
      <c r="G218" s="32"/>
      <c r="H218" s="32"/>
      <c r="I218" s="32"/>
      <c r="J218" s="34"/>
      <c r="K218" s="35"/>
      <c r="L218" s="36"/>
      <c r="M218" s="32"/>
      <c r="N218" s="31"/>
      <c r="O218" s="31"/>
      <c r="P218" s="31"/>
      <c r="Q218" s="31"/>
      <c r="R218" s="31"/>
      <c r="S218" s="31"/>
      <c r="T218" s="31"/>
      <c r="U218" s="31"/>
      <c r="V218" s="31"/>
      <c r="W218" s="31"/>
      <c r="X218" s="31"/>
      <c r="Y218" s="31"/>
      <c r="Z218" s="31"/>
    </row>
    <row r="219" spans="1:26" ht="12.75" customHeight="1">
      <c r="A219" s="31"/>
      <c r="B219" s="32"/>
      <c r="C219" s="33" t="str">
        <f t="shared" si="3"/>
        <v/>
      </c>
      <c r="D219" s="32"/>
      <c r="E219" s="33"/>
      <c r="F219" s="34"/>
      <c r="G219" s="32"/>
      <c r="H219" s="32"/>
      <c r="I219" s="32"/>
      <c r="J219" s="34"/>
      <c r="K219" s="35"/>
      <c r="L219" s="36"/>
      <c r="M219" s="32"/>
      <c r="N219" s="31"/>
      <c r="O219" s="31"/>
      <c r="P219" s="31"/>
      <c r="Q219" s="31"/>
      <c r="R219" s="31"/>
      <c r="S219" s="31"/>
      <c r="T219" s="31"/>
      <c r="U219" s="31"/>
      <c r="V219" s="31"/>
      <c r="W219" s="31"/>
      <c r="X219" s="31"/>
      <c r="Y219" s="31"/>
      <c r="Z219" s="31"/>
    </row>
    <row r="220" spans="1:26" ht="12.75" customHeight="1">
      <c r="A220" s="31"/>
      <c r="B220" s="32"/>
      <c r="C220" s="33" t="str">
        <f t="shared" si="3"/>
        <v/>
      </c>
      <c r="D220" s="32"/>
      <c r="E220" s="33"/>
      <c r="F220" s="34"/>
      <c r="G220" s="32"/>
      <c r="H220" s="32"/>
      <c r="I220" s="32"/>
      <c r="J220" s="34"/>
      <c r="K220" s="35"/>
      <c r="L220" s="36"/>
      <c r="M220" s="32"/>
      <c r="N220" s="31"/>
      <c r="O220" s="31"/>
      <c r="P220" s="31"/>
      <c r="Q220" s="31"/>
      <c r="R220" s="31"/>
      <c r="S220" s="31"/>
      <c r="T220" s="31"/>
      <c r="U220" s="31"/>
      <c r="V220" s="31"/>
      <c r="W220" s="31"/>
      <c r="X220" s="31"/>
      <c r="Y220" s="31"/>
      <c r="Z220" s="31"/>
    </row>
    <row r="221" spans="1:26" ht="12.75" customHeight="1">
      <c r="A221" s="31"/>
      <c r="B221" s="32"/>
      <c r="C221" s="33" t="str">
        <f t="shared" si="3"/>
        <v/>
      </c>
      <c r="D221" s="32"/>
      <c r="E221" s="33"/>
      <c r="F221" s="34"/>
      <c r="G221" s="32"/>
      <c r="H221" s="32"/>
      <c r="I221" s="32"/>
      <c r="J221" s="34"/>
      <c r="K221" s="35"/>
      <c r="L221" s="36"/>
      <c r="M221" s="32"/>
      <c r="N221" s="31"/>
      <c r="O221" s="31"/>
      <c r="P221" s="31"/>
      <c r="Q221" s="31"/>
      <c r="R221" s="31"/>
      <c r="S221" s="31"/>
      <c r="T221" s="31"/>
      <c r="U221" s="31"/>
      <c r="V221" s="31"/>
      <c r="W221" s="31"/>
      <c r="X221" s="31"/>
      <c r="Y221" s="31"/>
      <c r="Z221" s="31"/>
    </row>
    <row r="222" spans="1:26" ht="15.75" customHeight="1">
      <c r="B222" s="32"/>
      <c r="C222" s="33" t="str">
        <f t="shared" si="3"/>
        <v/>
      </c>
      <c r="D222" s="32"/>
      <c r="E222" s="33"/>
      <c r="F222" s="34"/>
      <c r="G222" s="32"/>
      <c r="H222" s="32"/>
      <c r="I222" s="32"/>
      <c r="J222" s="34"/>
      <c r="K222" s="35"/>
      <c r="L222" s="36"/>
      <c r="M222" s="32"/>
    </row>
    <row r="223" spans="1:26" ht="15.75" customHeight="1">
      <c r="B223" s="32"/>
      <c r="C223" s="33" t="str">
        <f t="shared" si="3"/>
        <v/>
      </c>
      <c r="D223" s="32"/>
      <c r="E223" s="33"/>
      <c r="F223" s="34"/>
      <c r="G223" s="32"/>
      <c r="H223" s="32"/>
      <c r="I223" s="32"/>
      <c r="J223" s="34"/>
      <c r="K223" s="35"/>
      <c r="L223" s="36"/>
      <c r="M223" s="32"/>
    </row>
    <row r="224" spans="1:26" ht="15.75" customHeight="1">
      <c r="B224" s="32"/>
      <c r="C224" s="33" t="str">
        <f t="shared" si="3"/>
        <v/>
      </c>
      <c r="D224" s="32"/>
      <c r="E224" s="33"/>
      <c r="F224" s="34"/>
      <c r="G224" s="32"/>
      <c r="H224" s="32"/>
      <c r="I224" s="32"/>
      <c r="J224" s="34"/>
      <c r="K224" s="35"/>
      <c r="L224" s="36"/>
      <c r="M224" s="32"/>
    </row>
    <row r="225" spans="2:13" ht="15.75" customHeight="1">
      <c r="B225" s="32"/>
      <c r="C225" s="33" t="str">
        <f t="shared" si="3"/>
        <v/>
      </c>
      <c r="D225" s="32"/>
      <c r="E225" s="33"/>
      <c r="F225" s="34"/>
      <c r="G225" s="32"/>
      <c r="H225" s="32"/>
      <c r="I225" s="32"/>
      <c r="J225" s="34"/>
      <c r="K225" s="35"/>
      <c r="L225" s="36"/>
      <c r="M225" s="32"/>
    </row>
    <row r="226" spans="2:13" ht="15.75" customHeight="1">
      <c r="B226" s="32"/>
      <c r="C226" s="33" t="str">
        <f t="shared" si="3"/>
        <v/>
      </c>
      <c r="D226" s="32"/>
      <c r="E226" s="33"/>
      <c r="F226" s="34"/>
      <c r="G226" s="32"/>
      <c r="H226" s="32"/>
      <c r="I226" s="32"/>
      <c r="J226" s="34"/>
      <c r="K226" s="35"/>
      <c r="L226" s="36"/>
      <c r="M226" s="32"/>
    </row>
    <row r="227" spans="2:13" ht="15.75" customHeight="1">
      <c r="B227" s="32"/>
      <c r="C227" s="33" t="str">
        <f t="shared" si="3"/>
        <v/>
      </c>
      <c r="D227" s="32"/>
      <c r="E227" s="33"/>
      <c r="F227" s="34"/>
      <c r="G227" s="32"/>
      <c r="H227" s="32"/>
      <c r="I227" s="32"/>
      <c r="J227" s="34"/>
      <c r="K227" s="35"/>
      <c r="L227" s="36"/>
      <c r="M227" s="32"/>
    </row>
    <row r="228" spans="2:13" ht="15.75" customHeight="1">
      <c r="B228" s="32"/>
      <c r="C228" s="33" t="str">
        <f t="shared" si="3"/>
        <v/>
      </c>
      <c r="D228" s="32"/>
      <c r="E228" s="33"/>
      <c r="F228" s="34"/>
      <c r="G228" s="32"/>
      <c r="H228" s="32"/>
      <c r="I228" s="32"/>
      <c r="J228" s="34"/>
      <c r="K228" s="35"/>
      <c r="L228" s="36"/>
      <c r="M228" s="32"/>
    </row>
    <row r="229" spans="2:13" ht="15.75" customHeight="1">
      <c r="B229" s="32"/>
      <c r="C229" s="33" t="str">
        <f t="shared" si="3"/>
        <v/>
      </c>
      <c r="D229" s="32"/>
      <c r="E229" s="33"/>
      <c r="F229" s="34"/>
      <c r="G229" s="32"/>
      <c r="H229" s="32"/>
      <c r="I229" s="32"/>
      <c r="J229" s="34"/>
      <c r="K229" s="35"/>
      <c r="L229" s="36"/>
      <c r="M229" s="32"/>
    </row>
    <row r="230" spans="2:13" ht="15.75" customHeight="1">
      <c r="B230" s="32"/>
      <c r="C230" s="33" t="str">
        <f t="shared" si="3"/>
        <v/>
      </c>
      <c r="D230" s="32"/>
      <c r="E230" s="33"/>
      <c r="F230" s="34"/>
      <c r="G230" s="32"/>
      <c r="H230" s="32"/>
      <c r="I230" s="32"/>
      <c r="J230" s="34"/>
      <c r="K230" s="35"/>
      <c r="L230" s="36"/>
      <c r="M230" s="32"/>
    </row>
    <row r="231" spans="2:13" ht="15.75" customHeight="1">
      <c r="B231" s="32"/>
      <c r="C231" s="33" t="str">
        <f t="shared" si="3"/>
        <v/>
      </c>
      <c r="D231" s="32"/>
      <c r="E231" s="33"/>
      <c r="F231" s="34"/>
      <c r="G231" s="32"/>
      <c r="H231" s="32"/>
      <c r="I231" s="32"/>
      <c r="J231" s="34"/>
      <c r="K231" s="35"/>
      <c r="L231" s="36"/>
      <c r="M231" s="32"/>
    </row>
    <row r="232" spans="2:13" ht="15.75" customHeight="1">
      <c r="B232" s="32"/>
      <c r="C232" s="33" t="str">
        <f t="shared" si="3"/>
        <v/>
      </c>
      <c r="D232" s="32"/>
      <c r="E232" s="33"/>
      <c r="F232" s="34"/>
      <c r="G232" s="32"/>
      <c r="H232" s="32"/>
      <c r="I232" s="32"/>
      <c r="J232" s="34"/>
      <c r="K232" s="35"/>
      <c r="L232" s="36"/>
      <c r="M232" s="32"/>
    </row>
    <row r="233" spans="2:13" ht="15.75" customHeight="1">
      <c r="B233" s="32"/>
      <c r="C233" s="33" t="str">
        <f t="shared" si="3"/>
        <v/>
      </c>
      <c r="D233" s="32"/>
      <c r="E233" s="33"/>
      <c r="F233" s="34"/>
      <c r="G233" s="32"/>
      <c r="H233" s="32"/>
      <c r="I233" s="32"/>
      <c r="J233" s="34"/>
      <c r="K233" s="35"/>
      <c r="L233" s="36"/>
      <c r="M233" s="32"/>
    </row>
    <row r="234" spans="2:13" ht="15.75" customHeight="1">
      <c r="B234" s="32"/>
      <c r="C234" s="33" t="str">
        <f t="shared" si="3"/>
        <v/>
      </c>
      <c r="D234" s="32"/>
      <c r="E234" s="33"/>
      <c r="F234" s="34"/>
      <c r="G234" s="32"/>
      <c r="H234" s="32"/>
      <c r="I234" s="32"/>
      <c r="J234" s="34"/>
      <c r="K234" s="35"/>
      <c r="L234" s="36"/>
      <c r="M234" s="32"/>
    </row>
    <row r="235" spans="2:13" ht="15.75" customHeight="1">
      <c r="B235" s="32"/>
      <c r="C235" s="33" t="str">
        <f t="shared" si="3"/>
        <v/>
      </c>
      <c r="D235" s="32"/>
      <c r="E235" s="33"/>
      <c r="F235" s="34"/>
      <c r="G235" s="32"/>
      <c r="H235" s="32"/>
      <c r="I235" s="32"/>
      <c r="J235" s="34"/>
      <c r="K235" s="35"/>
      <c r="L235" s="36"/>
      <c r="M235" s="32"/>
    </row>
    <row r="236" spans="2:13" ht="15.75" customHeight="1">
      <c r="B236" s="32"/>
      <c r="C236" s="33" t="str">
        <f t="shared" si="3"/>
        <v/>
      </c>
      <c r="D236" s="32"/>
      <c r="E236" s="33"/>
      <c r="F236" s="34"/>
      <c r="G236" s="32"/>
      <c r="H236" s="32"/>
      <c r="I236" s="32"/>
      <c r="J236" s="34"/>
      <c r="K236" s="35"/>
      <c r="L236" s="36"/>
      <c r="M236" s="32"/>
    </row>
    <row r="237" spans="2:13" ht="15.75" customHeight="1">
      <c r="B237" s="32"/>
      <c r="C237" s="33" t="str">
        <f t="shared" si="3"/>
        <v/>
      </c>
      <c r="D237" s="32"/>
      <c r="E237" s="33"/>
      <c r="F237" s="34"/>
      <c r="G237" s="32"/>
      <c r="H237" s="32"/>
      <c r="I237" s="32"/>
      <c r="J237" s="34"/>
      <c r="K237" s="35"/>
      <c r="L237" s="36"/>
      <c r="M237" s="32"/>
    </row>
    <row r="238" spans="2:13" ht="15.75" customHeight="1">
      <c r="B238" s="32"/>
      <c r="C238" s="33" t="str">
        <f t="shared" si="3"/>
        <v/>
      </c>
      <c r="D238" s="32"/>
      <c r="E238" s="33"/>
      <c r="F238" s="34"/>
      <c r="G238" s="32"/>
      <c r="H238" s="32"/>
      <c r="I238" s="32"/>
      <c r="J238" s="34"/>
      <c r="K238" s="35"/>
      <c r="L238" s="36"/>
      <c r="M238" s="32"/>
    </row>
    <row r="239" spans="2:13" ht="15.75" customHeight="1">
      <c r="B239" s="32"/>
      <c r="C239" s="33" t="str">
        <f t="shared" si="3"/>
        <v/>
      </c>
      <c r="D239" s="32"/>
      <c r="E239" s="33"/>
      <c r="F239" s="34"/>
      <c r="G239" s="32"/>
      <c r="H239" s="32"/>
      <c r="I239" s="32"/>
      <c r="J239" s="34"/>
      <c r="K239" s="35"/>
      <c r="L239" s="36"/>
      <c r="M239" s="32"/>
    </row>
    <row r="240" spans="2:13" ht="15.75" customHeight="1">
      <c r="B240" s="32"/>
      <c r="C240" s="33" t="str">
        <f t="shared" si="3"/>
        <v/>
      </c>
      <c r="D240" s="32"/>
      <c r="E240" s="33"/>
      <c r="F240" s="34"/>
      <c r="G240" s="32"/>
      <c r="H240" s="32"/>
      <c r="I240" s="32"/>
      <c r="J240" s="34"/>
      <c r="K240" s="35"/>
      <c r="L240" s="36"/>
      <c r="M240" s="32"/>
    </row>
    <row r="241" spans="2:13" ht="15.75" customHeight="1">
      <c r="B241" s="32"/>
      <c r="C241" s="33" t="str">
        <f t="shared" si="3"/>
        <v/>
      </c>
      <c r="D241" s="32"/>
      <c r="E241" s="33"/>
      <c r="F241" s="34"/>
      <c r="G241" s="32"/>
      <c r="H241" s="32"/>
      <c r="I241" s="32"/>
      <c r="J241" s="34"/>
      <c r="K241" s="35"/>
      <c r="L241" s="36"/>
      <c r="M241" s="32"/>
    </row>
    <row r="242" spans="2:13" ht="15.75" customHeight="1">
      <c r="B242" s="32"/>
      <c r="C242" s="33" t="str">
        <f t="shared" si="3"/>
        <v/>
      </c>
      <c r="D242" s="32"/>
      <c r="E242" s="33"/>
      <c r="F242" s="34"/>
      <c r="G242" s="32"/>
      <c r="H242" s="32"/>
      <c r="I242" s="32"/>
      <c r="J242" s="34"/>
      <c r="K242" s="35"/>
      <c r="L242" s="36"/>
      <c r="M242" s="32"/>
    </row>
    <row r="243" spans="2:13" ht="15.75" customHeight="1">
      <c r="B243" s="32"/>
      <c r="C243" s="33" t="str">
        <f t="shared" si="3"/>
        <v/>
      </c>
      <c r="D243" s="32"/>
      <c r="E243" s="33"/>
      <c r="F243" s="34"/>
      <c r="G243" s="32"/>
      <c r="H243" s="32"/>
      <c r="I243" s="32"/>
      <c r="J243" s="34"/>
      <c r="K243" s="35"/>
      <c r="L243" s="36"/>
      <c r="M243" s="32"/>
    </row>
    <row r="244" spans="2:13" ht="15.75" customHeight="1">
      <c r="B244" s="32"/>
      <c r="C244" s="33" t="str">
        <f t="shared" si="3"/>
        <v/>
      </c>
      <c r="D244" s="32"/>
      <c r="E244" s="33"/>
      <c r="F244" s="34"/>
      <c r="G244" s="32"/>
      <c r="H244" s="32"/>
      <c r="I244" s="32"/>
      <c r="J244" s="34"/>
      <c r="K244" s="35"/>
      <c r="L244" s="36"/>
      <c r="M244" s="32"/>
    </row>
    <row r="245" spans="2:13" ht="15.75" customHeight="1">
      <c r="B245" s="32"/>
      <c r="C245" s="33" t="str">
        <f t="shared" si="3"/>
        <v/>
      </c>
      <c r="D245" s="32"/>
      <c r="E245" s="33"/>
      <c r="F245" s="34"/>
      <c r="G245" s="32"/>
      <c r="H245" s="32"/>
      <c r="I245" s="32"/>
      <c r="J245" s="34"/>
      <c r="K245" s="35"/>
      <c r="L245" s="36"/>
      <c r="M245" s="32"/>
    </row>
    <row r="246" spans="2:13" ht="15.75" customHeight="1">
      <c r="B246" s="32"/>
      <c r="C246" s="33" t="str">
        <f t="shared" si="3"/>
        <v/>
      </c>
      <c r="D246" s="32"/>
      <c r="E246" s="33"/>
      <c r="F246" s="34"/>
      <c r="G246" s="32"/>
      <c r="H246" s="32"/>
      <c r="I246" s="32"/>
      <c r="J246" s="34"/>
      <c r="K246" s="35"/>
      <c r="L246" s="36"/>
      <c r="M246" s="32"/>
    </row>
    <row r="247" spans="2:13" ht="15.75" customHeight="1">
      <c r="B247" s="32"/>
      <c r="C247" s="33" t="str">
        <f t="shared" si="3"/>
        <v/>
      </c>
      <c r="D247" s="32"/>
      <c r="E247" s="33"/>
      <c r="F247" s="34"/>
      <c r="G247" s="32"/>
      <c r="H247" s="32"/>
      <c r="I247" s="32"/>
      <c r="J247" s="34"/>
      <c r="K247" s="35"/>
      <c r="L247" s="36"/>
      <c r="M247" s="32"/>
    </row>
    <row r="248" spans="2:13" ht="15.75" customHeight="1">
      <c r="B248" s="32"/>
      <c r="C248" s="33" t="str">
        <f t="shared" si="3"/>
        <v/>
      </c>
      <c r="D248" s="32"/>
      <c r="E248" s="33"/>
      <c r="F248" s="34"/>
      <c r="G248" s="32"/>
      <c r="H248" s="32"/>
      <c r="I248" s="32"/>
      <c r="J248" s="34"/>
      <c r="K248" s="35"/>
      <c r="L248" s="36"/>
      <c r="M248" s="32"/>
    </row>
    <row r="249" spans="2:13" ht="15.75" customHeight="1">
      <c r="B249" s="32"/>
      <c r="C249" s="33" t="str">
        <f t="shared" si="3"/>
        <v/>
      </c>
      <c r="D249" s="32"/>
      <c r="E249" s="33"/>
      <c r="F249" s="34"/>
      <c r="G249" s="32"/>
      <c r="H249" s="32"/>
      <c r="I249" s="32"/>
      <c r="J249" s="34"/>
      <c r="K249" s="35"/>
      <c r="L249" s="36"/>
      <c r="M249" s="32"/>
    </row>
    <row r="250" spans="2:13" ht="15.75" customHeight="1">
      <c r="B250" s="32"/>
      <c r="C250" s="33" t="str">
        <f t="shared" si="3"/>
        <v/>
      </c>
      <c r="D250" s="32"/>
      <c r="E250" s="33"/>
      <c r="F250" s="34"/>
      <c r="G250" s="32"/>
      <c r="H250" s="32"/>
      <c r="I250" s="32"/>
      <c r="J250" s="34"/>
      <c r="K250" s="35"/>
      <c r="L250" s="36"/>
      <c r="M250" s="32"/>
    </row>
    <row r="251" spans="2:13" ht="15.75" customHeight="1">
      <c r="B251" s="32"/>
      <c r="C251" s="33" t="str">
        <f t="shared" si="3"/>
        <v/>
      </c>
      <c r="D251" s="32"/>
      <c r="E251" s="33"/>
      <c r="F251" s="34"/>
      <c r="G251" s="32"/>
      <c r="H251" s="32"/>
      <c r="I251" s="32"/>
      <c r="J251" s="34"/>
      <c r="K251" s="35"/>
      <c r="L251" s="36"/>
      <c r="M251" s="32"/>
    </row>
    <row r="252" spans="2:13" ht="15.75" customHeight="1">
      <c r="B252" s="32"/>
      <c r="C252" s="33" t="str">
        <f t="shared" si="3"/>
        <v/>
      </c>
      <c r="D252" s="32"/>
      <c r="E252" s="33"/>
      <c r="F252" s="34"/>
      <c r="G252" s="32"/>
      <c r="H252" s="32"/>
      <c r="I252" s="32"/>
      <c r="J252" s="34"/>
      <c r="K252" s="35"/>
      <c r="L252" s="36"/>
      <c r="M252" s="32"/>
    </row>
    <row r="253" spans="2:13" ht="15.75" customHeight="1">
      <c r="B253" s="32"/>
      <c r="C253" s="33" t="str">
        <f t="shared" si="3"/>
        <v/>
      </c>
      <c r="D253" s="32"/>
      <c r="E253" s="33"/>
      <c r="F253" s="34"/>
      <c r="G253" s="32"/>
      <c r="H253" s="32"/>
      <c r="I253" s="32"/>
      <c r="J253" s="34"/>
      <c r="K253" s="35"/>
      <c r="L253" s="36"/>
      <c r="M253" s="32"/>
    </row>
    <row r="254" spans="2:13" ht="15.75" customHeight="1">
      <c r="B254" s="32"/>
      <c r="C254" s="33" t="str">
        <f t="shared" si="3"/>
        <v/>
      </c>
      <c r="D254" s="32"/>
      <c r="E254" s="33"/>
      <c r="F254" s="34"/>
      <c r="G254" s="32"/>
      <c r="H254" s="32"/>
      <c r="I254" s="32"/>
      <c r="J254" s="34"/>
      <c r="K254" s="35"/>
      <c r="L254" s="36"/>
      <c r="M254" s="32"/>
    </row>
    <row r="255" spans="2:13" ht="15.75" customHeight="1">
      <c r="B255" s="32"/>
      <c r="C255" s="33" t="str">
        <f t="shared" si="3"/>
        <v/>
      </c>
      <c r="D255" s="32"/>
      <c r="E255" s="33"/>
      <c r="F255" s="34"/>
      <c r="G255" s="32"/>
      <c r="H255" s="32"/>
      <c r="I255" s="32"/>
      <c r="J255" s="34"/>
      <c r="K255" s="35"/>
      <c r="L255" s="36"/>
      <c r="M255" s="32"/>
    </row>
    <row r="256" spans="2:13" ht="15.75" customHeight="1">
      <c r="B256" s="32"/>
      <c r="C256" s="33" t="str">
        <f t="shared" si="3"/>
        <v/>
      </c>
      <c r="D256" s="32"/>
      <c r="E256" s="33"/>
      <c r="F256" s="34"/>
      <c r="G256" s="32"/>
      <c r="H256" s="32"/>
      <c r="I256" s="32"/>
      <c r="J256" s="34"/>
      <c r="K256" s="35"/>
      <c r="L256" s="36"/>
      <c r="M256" s="32"/>
    </row>
    <row r="257" spans="2:13" ht="15.75" customHeight="1">
      <c r="B257" s="32"/>
      <c r="C257" s="33" t="str">
        <f t="shared" si="3"/>
        <v/>
      </c>
      <c r="D257" s="32"/>
      <c r="E257" s="33"/>
      <c r="F257" s="34"/>
      <c r="G257" s="32"/>
      <c r="H257" s="32"/>
      <c r="I257" s="32"/>
      <c r="J257" s="34"/>
      <c r="K257" s="35"/>
      <c r="L257" s="36"/>
      <c r="M257" s="32"/>
    </row>
    <row r="258" spans="2:13" ht="15.75" customHeight="1">
      <c r="B258" s="32"/>
      <c r="C258" s="33" t="str">
        <f t="shared" si="3"/>
        <v/>
      </c>
      <c r="D258" s="32"/>
      <c r="E258" s="33"/>
      <c r="F258" s="34"/>
      <c r="G258" s="32"/>
      <c r="H258" s="32"/>
      <c r="I258" s="32"/>
      <c r="J258" s="34"/>
      <c r="K258" s="35"/>
      <c r="L258" s="36"/>
      <c r="M258" s="32"/>
    </row>
    <row r="259" spans="2:13" ht="15.75" customHeight="1">
      <c r="B259" s="32"/>
      <c r="C259" s="33" t="str">
        <f t="shared" si="3"/>
        <v/>
      </c>
      <c r="D259" s="32"/>
      <c r="E259" s="33"/>
      <c r="F259" s="34"/>
      <c r="G259" s="32"/>
      <c r="H259" s="32"/>
      <c r="I259" s="32"/>
      <c r="J259" s="34"/>
      <c r="K259" s="35"/>
      <c r="L259" s="36"/>
      <c r="M259" s="32"/>
    </row>
    <row r="260" spans="2:13" ht="15.75" customHeight="1">
      <c r="B260" s="32"/>
      <c r="C260" s="33" t="str">
        <f t="shared" si="3"/>
        <v/>
      </c>
      <c r="D260" s="32"/>
      <c r="E260" s="33"/>
      <c r="F260" s="34"/>
      <c r="G260" s="32"/>
      <c r="H260" s="32"/>
      <c r="I260" s="32"/>
      <c r="J260" s="34"/>
      <c r="K260" s="35"/>
      <c r="L260" s="36"/>
      <c r="M260" s="32"/>
    </row>
    <row r="261" spans="2:13" ht="15.75" customHeight="1">
      <c r="B261" s="32"/>
      <c r="C261" s="33" t="str">
        <f t="shared" si="3"/>
        <v/>
      </c>
      <c r="D261" s="32"/>
      <c r="E261" s="33"/>
      <c r="F261" s="34"/>
      <c r="G261" s="32"/>
      <c r="H261" s="32"/>
      <c r="I261" s="32"/>
      <c r="J261" s="34"/>
      <c r="K261" s="35"/>
      <c r="L261" s="36"/>
      <c r="M261" s="32"/>
    </row>
    <row r="262" spans="2:13" ht="15.75" customHeight="1">
      <c r="B262" s="32"/>
      <c r="C262" s="33" t="str">
        <f t="shared" si="3"/>
        <v/>
      </c>
      <c r="D262" s="32"/>
      <c r="E262" s="33"/>
      <c r="F262" s="34"/>
      <c r="G262" s="32"/>
      <c r="H262" s="32"/>
      <c r="I262" s="32"/>
      <c r="J262" s="34"/>
      <c r="K262" s="35"/>
      <c r="L262" s="36"/>
      <c r="M262" s="32"/>
    </row>
    <row r="263" spans="2:13" ht="15.75" customHeight="1">
      <c r="B263" s="32"/>
      <c r="C263" s="33" t="str">
        <f t="shared" si="3"/>
        <v/>
      </c>
      <c r="D263" s="32"/>
      <c r="E263" s="33"/>
      <c r="F263" s="34"/>
      <c r="G263" s="32"/>
      <c r="H263" s="32"/>
      <c r="I263" s="32"/>
      <c r="J263" s="34"/>
      <c r="K263" s="35"/>
      <c r="L263" s="36"/>
      <c r="M263" s="32"/>
    </row>
    <row r="264" spans="2:13" ht="15.75" customHeight="1">
      <c r="B264" s="32"/>
      <c r="C264" s="33" t="str">
        <f t="shared" si="3"/>
        <v/>
      </c>
      <c r="D264" s="32"/>
      <c r="E264" s="33"/>
      <c r="F264" s="34"/>
      <c r="G264" s="32"/>
      <c r="H264" s="32"/>
      <c r="I264" s="32"/>
      <c r="J264" s="34"/>
      <c r="K264" s="35"/>
      <c r="L264" s="36"/>
      <c r="M264" s="32"/>
    </row>
    <row r="265" spans="2:13" ht="15.75" customHeight="1">
      <c r="B265" s="32"/>
      <c r="C265" s="33" t="str">
        <f t="shared" si="3"/>
        <v/>
      </c>
      <c r="D265" s="32"/>
      <c r="E265" s="33"/>
      <c r="F265" s="34"/>
      <c r="G265" s="32"/>
      <c r="H265" s="32"/>
      <c r="I265" s="32"/>
      <c r="J265" s="34"/>
      <c r="K265" s="35"/>
      <c r="L265" s="36"/>
      <c r="M265" s="32"/>
    </row>
    <row r="266" spans="2:13" ht="15.75" customHeight="1">
      <c r="B266" s="32"/>
      <c r="C266" s="33" t="str">
        <f t="shared" si="3"/>
        <v/>
      </c>
      <c r="D266" s="32"/>
      <c r="E266" s="33"/>
      <c r="F266" s="34"/>
      <c r="G266" s="32"/>
      <c r="H266" s="32"/>
      <c r="I266" s="32"/>
      <c r="J266" s="34"/>
      <c r="K266" s="35"/>
      <c r="L266" s="36"/>
      <c r="M266" s="32"/>
    </row>
    <row r="267" spans="2:13" ht="15.75" customHeight="1">
      <c r="B267" s="32"/>
      <c r="C267" s="33" t="str">
        <f t="shared" si="3"/>
        <v/>
      </c>
      <c r="D267" s="32"/>
      <c r="E267" s="33"/>
      <c r="F267" s="34"/>
      <c r="G267" s="32"/>
      <c r="H267" s="32"/>
      <c r="I267" s="32"/>
      <c r="J267" s="34"/>
      <c r="K267" s="35"/>
      <c r="L267" s="36"/>
      <c r="M267" s="32"/>
    </row>
    <row r="268" spans="2:13" ht="15.75" customHeight="1">
      <c r="B268" s="32"/>
      <c r="C268" s="33" t="str">
        <f t="shared" si="3"/>
        <v/>
      </c>
      <c r="D268" s="32"/>
      <c r="E268" s="33"/>
      <c r="F268" s="34"/>
      <c r="G268" s="32"/>
      <c r="H268" s="32"/>
      <c r="I268" s="32"/>
      <c r="J268" s="34"/>
      <c r="K268" s="35"/>
      <c r="L268" s="36"/>
      <c r="M268" s="32"/>
    </row>
    <row r="269" spans="2:13" ht="15.75" customHeight="1">
      <c r="B269" s="32"/>
      <c r="C269" s="33" t="str">
        <f t="shared" si="3"/>
        <v/>
      </c>
      <c r="D269" s="32"/>
      <c r="E269" s="33"/>
      <c r="F269" s="34"/>
      <c r="G269" s="32"/>
      <c r="H269" s="32"/>
      <c r="I269" s="32"/>
      <c r="J269" s="34"/>
      <c r="K269" s="35"/>
      <c r="L269" s="36"/>
      <c r="M269" s="32"/>
    </row>
    <row r="270" spans="2:13" ht="15.75" customHeight="1">
      <c r="B270" s="32"/>
      <c r="C270" s="33" t="str">
        <f t="shared" si="3"/>
        <v/>
      </c>
      <c r="D270" s="32"/>
      <c r="E270" s="33"/>
      <c r="F270" s="34"/>
      <c r="G270" s="32"/>
      <c r="H270" s="32"/>
      <c r="I270" s="32"/>
      <c r="J270" s="34"/>
      <c r="K270" s="35"/>
      <c r="L270" s="36"/>
      <c r="M270" s="32"/>
    </row>
    <row r="271" spans="2:13" ht="15.75" customHeight="1">
      <c r="B271" s="32"/>
      <c r="C271" s="33" t="str">
        <f t="shared" si="3"/>
        <v/>
      </c>
      <c r="D271" s="32"/>
      <c r="E271" s="33"/>
      <c r="F271" s="34"/>
      <c r="G271" s="32"/>
      <c r="H271" s="32"/>
      <c r="I271" s="32"/>
      <c r="J271" s="34"/>
      <c r="K271" s="35"/>
      <c r="L271" s="36"/>
      <c r="M271" s="32"/>
    </row>
    <row r="272" spans="2:13" ht="15.75" customHeight="1">
      <c r="B272" s="32"/>
      <c r="C272" s="33" t="str">
        <f t="shared" si="3"/>
        <v/>
      </c>
      <c r="D272" s="32"/>
      <c r="E272" s="33"/>
      <c r="F272" s="34"/>
      <c r="G272" s="32"/>
      <c r="H272" s="32"/>
      <c r="I272" s="32"/>
      <c r="J272" s="34"/>
      <c r="K272" s="35"/>
      <c r="L272" s="36"/>
      <c r="M272" s="32"/>
    </row>
    <row r="273" spans="2:13" ht="15.75" customHeight="1">
      <c r="B273" s="32"/>
      <c r="C273" s="33" t="str">
        <f t="shared" si="3"/>
        <v/>
      </c>
      <c r="D273" s="32"/>
      <c r="E273" s="33"/>
      <c r="F273" s="34"/>
      <c r="G273" s="32"/>
      <c r="H273" s="32"/>
      <c r="I273" s="32"/>
      <c r="J273" s="34"/>
      <c r="K273" s="35"/>
      <c r="L273" s="36"/>
      <c r="M273" s="32"/>
    </row>
    <row r="274" spans="2:13" ht="15.75" customHeight="1">
      <c r="B274" s="32"/>
      <c r="C274" s="33" t="str">
        <f t="shared" si="3"/>
        <v/>
      </c>
      <c r="D274" s="32"/>
      <c r="E274" s="33"/>
      <c r="F274" s="34"/>
      <c r="G274" s="32"/>
      <c r="H274" s="32"/>
      <c r="I274" s="32"/>
      <c r="J274" s="34"/>
      <c r="K274" s="35"/>
      <c r="L274" s="36"/>
      <c r="M274" s="32"/>
    </row>
    <row r="275" spans="2:13" ht="15.75" customHeight="1">
      <c r="B275" s="32"/>
      <c r="C275" s="33" t="str">
        <f t="shared" si="3"/>
        <v/>
      </c>
      <c r="D275" s="32"/>
      <c r="E275" s="33"/>
      <c r="F275" s="34"/>
      <c r="G275" s="32"/>
      <c r="H275" s="32"/>
      <c r="I275" s="32"/>
      <c r="J275" s="34"/>
      <c r="K275" s="35"/>
      <c r="L275" s="36"/>
      <c r="M275" s="32"/>
    </row>
    <row r="276" spans="2:13" ht="15.75" customHeight="1">
      <c r="B276" s="32"/>
      <c r="C276" s="33" t="str">
        <f t="shared" si="3"/>
        <v/>
      </c>
      <c r="D276" s="32"/>
      <c r="E276" s="33"/>
      <c r="F276" s="34"/>
      <c r="G276" s="32"/>
      <c r="H276" s="32"/>
      <c r="I276" s="32"/>
      <c r="J276" s="34"/>
      <c r="K276" s="35"/>
      <c r="L276" s="36"/>
      <c r="M276" s="32"/>
    </row>
    <row r="277" spans="2:13" ht="15.75" customHeight="1">
      <c r="B277" s="32"/>
      <c r="C277" s="33" t="str">
        <f t="shared" si="3"/>
        <v/>
      </c>
      <c r="D277" s="32"/>
      <c r="E277" s="33"/>
      <c r="F277" s="34"/>
      <c r="G277" s="32"/>
      <c r="H277" s="32"/>
      <c r="I277" s="32"/>
      <c r="J277" s="34"/>
      <c r="K277" s="35"/>
      <c r="L277" s="36"/>
      <c r="M277" s="32"/>
    </row>
    <row r="278" spans="2:13" ht="15.75" customHeight="1">
      <c r="B278" s="32"/>
      <c r="C278" s="33" t="str">
        <f t="shared" si="3"/>
        <v/>
      </c>
      <c r="D278" s="32"/>
      <c r="E278" s="33"/>
      <c r="F278" s="34"/>
      <c r="G278" s="32"/>
      <c r="H278" s="32"/>
      <c r="I278" s="32"/>
      <c r="J278" s="34"/>
      <c r="K278" s="35"/>
      <c r="L278" s="36"/>
      <c r="M278" s="32"/>
    </row>
    <row r="279" spans="2:13" ht="15.75" customHeight="1">
      <c r="B279" s="32"/>
      <c r="C279" s="33" t="str">
        <f t="shared" si="3"/>
        <v/>
      </c>
      <c r="D279" s="32"/>
      <c r="E279" s="33"/>
      <c r="F279" s="34"/>
      <c r="G279" s="32"/>
      <c r="H279" s="32"/>
      <c r="I279" s="32"/>
      <c r="J279" s="34"/>
      <c r="K279" s="35"/>
      <c r="L279" s="36"/>
      <c r="M279" s="32"/>
    </row>
    <row r="280" spans="2:13" ht="15.75" customHeight="1">
      <c r="B280" s="32"/>
      <c r="C280" s="33" t="str">
        <f t="shared" si="3"/>
        <v/>
      </c>
      <c r="D280" s="32"/>
      <c r="E280" s="33"/>
      <c r="F280" s="34"/>
      <c r="G280" s="32"/>
      <c r="H280" s="32"/>
      <c r="I280" s="32"/>
      <c r="J280" s="34"/>
      <c r="K280" s="35"/>
      <c r="L280" s="36"/>
      <c r="M280" s="32"/>
    </row>
    <row r="281" spans="2:13" ht="15.75" customHeight="1">
      <c r="B281" s="32"/>
      <c r="C281" s="33" t="str">
        <f t="shared" si="3"/>
        <v/>
      </c>
      <c r="D281" s="32"/>
      <c r="E281" s="33"/>
      <c r="F281" s="34"/>
      <c r="G281" s="32"/>
      <c r="H281" s="32"/>
      <c r="I281" s="32"/>
      <c r="J281" s="34"/>
      <c r="K281" s="35"/>
      <c r="L281" s="36"/>
      <c r="M281" s="32"/>
    </row>
    <row r="282" spans="2:13" ht="15.75" customHeight="1">
      <c r="B282" s="32"/>
      <c r="C282" s="33" t="str">
        <f t="shared" si="3"/>
        <v/>
      </c>
      <c r="D282" s="32"/>
      <c r="E282" s="33"/>
      <c r="F282" s="34"/>
      <c r="G282" s="32"/>
      <c r="H282" s="32"/>
      <c r="I282" s="32"/>
      <c r="J282" s="34"/>
      <c r="K282" s="35"/>
      <c r="L282" s="36"/>
      <c r="M282" s="32"/>
    </row>
    <row r="283" spans="2:13" ht="15.75" customHeight="1">
      <c r="B283" s="32"/>
      <c r="C283" s="33" t="str">
        <f t="shared" si="3"/>
        <v/>
      </c>
      <c r="D283" s="32"/>
      <c r="E283" s="33"/>
      <c r="F283" s="34"/>
      <c r="G283" s="32"/>
      <c r="H283" s="32"/>
      <c r="I283" s="32"/>
      <c r="J283" s="34"/>
      <c r="K283" s="35"/>
      <c r="L283" s="36"/>
      <c r="M283" s="32"/>
    </row>
    <row r="284" spans="2:13" ht="15.75" customHeight="1">
      <c r="B284" s="32"/>
      <c r="C284" s="33" t="str">
        <f t="shared" si="3"/>
        <v/>
      </c>
      <c r="D284" s="32"/>
      <c r="E284" s="33"/>
      <c r="F284" s="34"/>
      <c r="G284" s="32"/>
      <c r="H284" s="32"/>
      <c r="I284" s="32"/>
      <c r="J284" s="34"/>
      <c r="K284" s="35"/>
      <c r="L284" s="36"/>
      <c r="M284" s="32"/>
    </row>
    <row r="285" spans="2:13" ht="15.75" customHeight="1">
      <c r="B285" s="32"/>
      <c r="C285" s="33" t="str">
        <f t="shared" si="3"/>
        <v/>
      </c>
      <c r="D285" s="32"/>
      <c r="E285" s="33"/>
      <c r="F285" s="34"/>
      <c r="G285" s="32"/>
      <c r="H285" s="32"/>
      <c r="I285" s="32"/>
      <c r="J285" s="34"/>
      <c r="K285" s="35"/>
      <c r="L285" s="36"/>
      <c r="M285" s="32"/>
    </row>
    <row r="286" spans="2:13" ht="15.75" customHeight="1">
      <c r="B286" s="32"/>
      <c r="C286" s="33" t="str">
        <f t="shared" si="3"/>
        <v/>
      </c>
      <c r="D286" s="32"/>
      <c r="E286" s="33"/>
      <c r="F286" s="34"/>
      <c r="G286" s="32"/>
      <c r="H286" s="32"/>
      <c r="I286" s="32"/>
      <c r="J286" s="34"/>
      <c r="K286" s="35"/>
      <c r="L286" s="36"/>
      <c r="M286" s="32"/>
    </row>
    <row r="287" spans="2:13" ht="15.75" customHeight="1">
      <c r="B287" s="32"/>
      <c r="C287" s="33" t="str">
        <f t="shared" si="3"/>
        <v/>
      </c>
      <c r="D287" s="32"/>
      <c r="E287" s="33"/>
      <c r="F287" s="34"/>
      <c r="G287" s="32"/>
      <c r="H287" s="32"/>
      <c r="I287" s="32"/>
      <c r="J287" s="34"/>
      <c r="K287" s="35"/>
      <c r="L287" s="36"/>
      <c r="M287" s="32"/>
    </row>
    <row r="288" spans="2:13" ht="15.75" customHeight="1">
      <c r="B288" s="32"/>
      <c r="C288" s="33" t="str">
        <f t="shared" si="3"/>
        <v/>
      </c>
      <c r="D288" s="32"/>
      <c r="E288" s="33"/>
      <c r="F288" s="34"/>
      <c r="G288" s="32"/>
      <c r="H288" s="32"/>
      <c r="I288" s="32"/>
      <c r="J288" s="34"/>
      <c r="K288" s="35"/>
      <c r="L288" s="36"/>
      <c r="M288" s="32"/>
    </row>
    <row r="289" spans="2:13" ht="15.75" customHeight="1">
      <c r="B289" s="32"/>
      <c r="C289" s="33" t="str">
        <f t="shared" si="3"/>
        <v/>
      </c>
      <c r="D289" s="32"/>
      <c r="E289" s="33"/>
      <c r="F289" s="34"/>
      <c r="G289" s="32"/>
      <c r="H289" s="32"/>
      <c r="I289" s="32"/>
      <c r="J289" s="34"/>
      <c r="K289" s="35"/>
      <c r="L289" s="36"/>
      <c r="M289" s="32"/>
    </row>
    <row r="290" spans="2:13" ht="15.75" customHeight="1">
      <c r="B290" s="32"/>
      <c r="C290" s="33" t="str">
        <f t="shared" si="3"/>
        <v/>
      </c>
      <c r="D290" s="32"/>
      <c r="E290" s="33"/>
      <c r="F290" s="34"/>
      <c r="G290" s="32"/>
      <c r="H290" s="32"/>
      <c r="I290" s="32"/>
      <c r="J290" s="34"/>
      <c r="K290" s="35"/>
      <c r="L290" s="36"/>
      <c r="M290" s="32"/>
    </row>
    <row r="291" spans="2:13" ht="15.75" customHeight="1">
      <c r="B291" s="32"/>
      <c r="C291" s="33" t="str">
        <f t="shared" si="3"/>
        <v/>
      </c>
      <c r="D291" s="32"/>
      <c r="E291" s="33"/>
      <c r="F291" s="34"/>
      <c r="G291" s="32"/>
      <c r="H291" s="32"/>
      <c r="I291" s="32"/>
      <c r="J291" s="34"/>
      <c r="K291" s="35"/>
      <c r="L291" s="36"/>
      <c r="M291" s="32"/>
    </row>
    <row r="292" spans="2:13" ht="15.75" customHeight="1">
      <c r="B292" s="32"/>
      <c r="C292" s="33" t="str">
        <f t="shared" si="3"/>
        <v/>
      </c>
      <c r="D292" s="32"/>
      <c r="E292" s="33"/>
      <c r="F292" s="34"/>
      <c r="G292" s="32"/>
      <c r="H292" s="32"/>
      <c r="I292" s="32"/>
      <c r="J292" s="34"/>
      <c r="K292" s="35"/>
      <c r="L292" s="36"/>
      <c r="M292" s="32"/>
    </row>
    <row r="293" spans="2:13" ht="15.75" customHeight="1">
      <c r="B293" s="32"/>
      <c r="C293" s="33" t="str">
        <f t="shared" si="3"/>
        <v/>
      </c>
      <c r="D293" s="32"/>
      <c r="E293" s="33"/>
      <c r="F293" s="34"/>
      <c r="G293" s="32"/>
      <c r="H293" s="32"/>
      <c r="I293" s="32"/>
      <c r="J293" s="34"/>
      <c r="K293" s="35"/>
      <c r="L293" s="36"/>
      <c r="M293" s="32"/>
    </row>
    <row r="294" spans="2:13" ht="15.75" customHeight="1">
      <c r="B294" s="32"/>
      <c r="C294" s="33" t="str">
        <f t="shared" si="3"/>
        <v/>
      </c>
      <c r="D294" s="32"/>
      <c r="E294" s="33"/>
      <c r="F294" s="34"/>
      <c r="G294" s="32"/>
      <c r="H294" s="32"/>
      <c r="I294" s="32"/>
      <c r="J294" s="34"/>
      <c r="K294" s="35"/>
      <c r="L294" s="36"/>
      <c r="M294" s="32"/>
    </row>
    <row r="295" spans="2:13" ht="15.75" customHeight="1">
      <c r="B295" s="32"/>
      <c r="C295" s="33" t="str">
        <f t="shared" si="3"/>
        <v/>
      </c>
      <c r="D295" s="32"/>
      <c r="E295" s="33"/>
      <c r="F295" s="34"/>
      <c r="G295" s="32"/>
      <c r="H295" s="32"/>
      <c r="I295" s="32"/>
      <c r="J295" s="34"/>
      <c r="K295" s="35"/>
      <c r="L295" s="36"/>
      <c r="M295" s="32"/>
    </row>
    <row r="296" spans="2:13" ht="15.75" customHeight="1">
      <c r="B296" s="32"/>
      <c r="C296" s="33" t="str">
        <f t="shared" si="3"/>
        <v/>
      </c>
      <c r="D296" s="32"/>
      <c r="E296" s="33"/>
      <c r="F296" s="34"/>
      <c r="G296" s="32"/>
      <c r="H296" s="32"/>
      <c r="I296" s="32"/>
      <c r="J296" s="34"/>
      <c r="K296" s="35"/>
      <c r="L296" s="36"/>
      <c r="M296" s="32"/>
    </row>
    <row r="297" spans="2:13" ht="15.75" customHeight="1">
      <c r="B297" s="32"/>
      <c r="C297" s="33" t="str">
        <f t="shared" si="3"/>
        <v/>
      </c>
      <c r="D297" s="32"/>
      <c r="E297" s="33"/>
      <c r="F297" s="34"/>
      <c r="G297" s="32"/>
      <c r="H297" s="32"/>
      <c r="I297" s="32"/>
      <c r="J297" s="34"/>
      <c r="K297" s="35"/>
      <c r="L297" s="36"/>
      <c r="M297" s="32"/>
    </row>
    <row r="298" spans="2:13" ht="15.75" customHeight="1">
      <c r="B298" s="32"/>
      <c r="C298" s="33" t="str">
        <f t="shared" si="3"/>
        <v/>
      </c>
      <c r="D298" s="32"/>
      <c r="E298" s="33"/>
      <c r="F298" s="34"/>
      <c r="G298" s="32"/>
      <c r="H298" s="32"/>
      <c r="I298" s="32"/>
      <c r="J298" s="34"/>
      <c r="K298" s="35"/>
      <c r="L298" s="36"/>
      <c r="M298" s="32"/>
    </row>
    <row r="299" spans="2:13" ht="15.75" customHeight="1">
      <c r="B299" s="32"/>
      <c r="C299" s="33" t="str">
        <f t="shared" si="3"/>
        <v/>
      </c>
      <c r="D299" s="32"/>
      <c r="E299" s="33"/>
      <c r="F299" s="34"/>
      <c r="G299" s="32"/>
      <c r="H299" s="32"/>
      <c r="I299" s="32"/>
      <c r="J299" s="34"/>
      <c r="K299" s="35"/>
      <c r="L299" s="36"/>
      <c r="M299" s="32"/>
    </row>
    <row r="300" spans="2:13" ht="15.75" customHeight="1">
      <c r="B300" s="32"/>
      <c r="C300" s="33" t="str">
        <f t="shared" si="3"/>
        <v/>
      </c>
      <c r="D300" s="32"/>
      <c r="E300" s="33"/>
      <c r="F300" s="34"/>
      <c r="G300" s="32"/>
      <c r="H300" s="32"/>
      <c r="I300" s="32"/>
      <c r="J300" s="34"/>
      <c r="K300" s="35"/>
      <c r="L300" s="36"/>
      <c r="M300" s="32"/>
    </row>
    <row r="301" spans="2:13" ht="15.75" customHeight="1">
      <c r="B301" s="32"/>
      <c r="C301" s="33" t="str">
        <f t="shared" si="3"/>
        <v/>
      </c>
      <c r="D301" s="32"/>
      <c r="E301" s="33"/>
      <c r="F301" s="34"/>
      <c r="G301" s="32"/>
      <c r="H301" s="32"/>
      <c r="I301" s="32"/>
      <c r="J301" s="34"/>
      <c r="K301" s="35"/>
      <c r="L301" s="36"/>
      <c r="M301" s="32"/>
    </row>
    <row r="302" spans="2:13" ht="15.75" customHeight="1">
      <c r="B302" s="32"/>
      <c r="C302" s="33" t="str">
        <f t="shared" si="3"/>
        <v/>
      </c>
      <c r="D302" s="32"/>
      <c r="E302" s="33"/>
      <c r="F302" s="34"/>
      <c r="G302" s="32"/>
      <c r="H302" s="32"/>
      <c r="I302" s="32"/>
      <c r="J302" s="34"/>
      <c r="K302" s="35"/>
      <c r="L302" s="36"/>
      <c r="M302" s="32"/>
    </row>
    <row r="303" spans="2:13" ht="15.75" customHeight="1">
      <c r="B303" s="32"/>
      <c r="C303" s="33" t="str">
        <f t="shared" si="3"/>
        <v/>
      </c>
      <c r="D303" s="32"/>
      <c r="E303" s="33"/>
      <c r="F303" s="34"/>
      <c r="G303" s="32"/>
      <c r="H303" s="32"/>
      <c r="I303" s="32"/>
      <c r="J303" s="34"/>
      <c r="K303" s="35"/>
      <c r="L303" s="36"/>
      <c r="M303" s="32"/>
    </row>
    <row r="304" spans="2:13" ht="15.75" customHeight="1">
      <c r="B304" s="32"/>
      <c r="C304" s="33" t="str">
        <f t="shared" si="3"/>
        <v/>
      </c>
      <c r="D304" s="32"/>
      <c r="E304" s="33"/>
      <c r="F304" s="34"/>
      <c r="G304" s="32"/>
      <c r="H304" s="32"/>
      <c r="I304" s="32"/>
      <c r="J304" s="34"/>
      <c r="K304" s="35"/>
      <c r="L304" s="36"/>
      <c r="M304" s="32"/>
    </row>
    <row r="305" spans="2:13" ht="15.75" customHeight="1">
      <c r="B305" s="32"/>
      <c r="C305" s="33" t="str">
        <f t="shared" si="3"/>
        <v/>
      </c>
      <c r="D305" s="32"/>
      <c r="E305" s="33"/>
      <c r="F305" s="34"/>
      <c r="G305" s="32"/>
      <c r="H305" s="32"/>
      <c r="I305" s="32"/>
      <c r="J305" s="34"/>
      <c r="K305" s="35"/>
      <c r="L305" s="36"/>
      <c r="M305" s="32"/>
    </row>
    <row r="306" spans="2:13" ht="15.75" customHeight="1">
      <c r="B306" s="32"/>
      <c r="C306" s="33" t="str">
        <f t="shared" si="3"/>
        <v/>
      </c>
      <c r="D306" s="32"/>
      <c r="E306" s="33"/>
      <c r="F306" s="34"/>
      <c r="G306" s="32"/>
      <c r="H306" s="32"/>
      <c r="I306" s="32"/>
      <c r="J306" s="34"/>
      <c r="K306" s="35"/>
      <c r="L306" s="36"/>
      <c r="M306" s="32"/>
    </row>
    <row r="307" spans="2:13" ht="15.75" customHeight="1">
      <c r="B307" s="32"/>
      <c r="C307" s="33" t="str">
        <f t="shared" si="3"/>
        <v/>
      </c>
      <c r="D307" s="32"/>
      <c r="E307" s="33"/>
      <c r="F307" s="34"/>
      <c r="G307" s="32"/>
      <c r="H307" s="32"/>
      <c r="I307" s="32"/>
      <c r="J307" s="34"/>
      <c r="K307" s="35"/>
      <c r="L307" s="36"/>
      <c r="M307" s="32"/>
    </row>
    <row r="308" spans="2:13" ht="15.75" customHeight="1">
      <c r="B308" s="32"/>
      <c r="C308" s="33" t="str">
        <f t="shared" si="3"/>
        <v/>
      </c>
      <c r="D308" s="32"/>
      <c r="E308" s="33"/>
      <c r="F308" s="34"/>
      <c r="G308" s="32"/>
      <c r="H308" s="32"/>
      <c r="I308" s="32"/>
      <c r="J308" s="34"/>
      <c r="K308" s="35"/>
      <c r="L308" s="36"/>
      <c r="M308" s="32"/>
    </row>
    <row r="309" spans="2:13" ht="15.75" customHeight="1">
      <c r="B309" s="32"/>
      <c r="C309" s="33" t="str">
        <f t="shared" si="3"/>
        <v/>
      </c>
      <c r="D309" s="32"/>
      <c r="E309" s="33"/>
      <c r="F309" s="34"/>
      <c r="G309" s="32"/>
      <c r="H309" s="32"/>
      <c r="I309" s="32"/>
      <c r="J309" s="34"/>
      <c r="K309" s="35"/>
      <c r="L309" s="36"/>
      <c r="M309" s="32"/>
    </row>
    <row r="310" spans="2:13" ht="15.75" customHeight="1">
      <c r="B310" s="32"/>
      <c r="C310" s="33" t="str">
        <f t="shared" si="3"/>
        <v/>
      </c>
      <c r="D310" s="32"/>
      <c r="E310" s="33"/>
      <c r="F310" s="34"/>
      <c r="G310" s="32"/>
      <c r="H310" s="32"/>
      <c r="I310" s="32"/>
      <c r="J310" s="34"/>
      <c r="K310" s="35"/>
      <c r="L310" s="36"/>
      <c r="M310" s="32"/>
    </row>
    <row r="311" spans="2:13" ht="15.75" customHeight="1">
      <c r="B311" s="32"/>
      <c r="C311" s="33" t="str">
        <f t="shared" si="3"/>
        <v/>
      </c>
      <c r="D311" s="32"/>
      <c r="E311" s="33"/>
      <c r="F311" s="34"/>
      <c r="G311" s="32"/>
      <c r="H311" s="32"/>
      <c r="I311" s="32"/>
      <c r="J311" s="34"/>
      <c r="K311" s="35"/>
      <c r="L311" s="36"/>
      <c r="M311" s="32"/>
    </row>
    <row r="312" spans="2:13" ht="15.75" customHeight="1">
      <c r="B312" s="32"/>
      <c r="C312" s="33" t="str">
        <f t="shared" si="3"/>
        <v/>
      </c>
      <c r="D312" s="32"/>
      <c r="E312" s="33"/>
      <c r="F312" s="34"/>
      <c r="G312" s="32"/>
      <c r="H312" s="32"/>
      <c r="I312" s="32"/>
      <c r="J312" s="34"/>
      <c r="K312" s="35"/>
      <c r="L312" s="36"/>
      <c r="M312" s="32"/>
    </row>
    <row r="313" spans="2:13" ht="15.75" customHeight="1">
      <c r="B313" s="32"/>
      <c r="C313" s="33" t="str">
        <f t="shared" si="3"/>
        <v/>
      </c>
      <c r="D313" s="32"/>
      <c r="E313" s="33"/>
      <c r="F313" s="34"/>
      <c r="G313" s="32"/>
      <c r="H313" s="32"/>
      <c r="I313" s="32"/>
      <c r="J313" s="34"/>
      <c r="K313" s="35"/>
      <c r="L313" s="36"/>
      <c r="M313" s="32"/>
    </row>
    <row r="314" spans="2:13" ht="15.75" customHeight="1">
      <c r="B314" s="32"/>
      <c r="C314" s="33" t="str">
        <f t="shared" si="3"/>
        <v/>
      </c>
      <c r="D314" s="32"/>
      <c r="E314" s="33"/>
      <c r="F314" s="34"/>
      <c r="G314" s="32"/>
      <c r="H314" s="32"/>
      <c r="I314" s="32"/>
      <c r="J314" s="34"/>
      <c r="K314" s="35"/>
      <c r="L314" s="36"/>
      <c r="M314" s="32"/>
    </row>
    <row r="315" spans="2:13" ht="15.75" customHeight="1">
      <c r="B315" s="32"/>
      <c r="C315" s="33" t="str">
        <f t="shared" si="3"/>
        <v/>
      </c>
      <c r="D315" s="32"/>
      <c r="E315" s="33"/>
      <c r="F315" s="34"/>
      <c r="G315" s="32"/>
      <c r="H315" s="32"/>
      <c r="I315" s="32"/>
      <c r="J315" s="34"/>
      <c r="K315" s="35"/>
      <c r="L315" s="36"/>
      <c r="M315" s="32"/>
    </row>
    <row r="316" spans="2:13" ht="15.75" customHeight="1">
      <c r="B316" s="32"/>
      <c r="C316" s="33" t="str">
        <f t="shared" si="3"/>
        <v/>
      </c>
      <c r="D316" s="32"/>
      <c r="E316" s="33"/>
      <c r="F316" s="34"/>
      <c r="G316" s="32"/>
      <c r="H316" s="32"/>
      <c r="I316" s="32"/>
      <c r="J316" s="34"/>
      <c r="K316" s="35"/>
      <c r="L316" s="36"/>
      <c r="M316" s="32"/>
    </row>
    <row r="317" spans="2:13" ht="15.75" customHeight="1">
      <c r="B317" s="32"/>
      <c r="C317" s="33" t="str">
        <f t="shared" si="3"/>
        <v/>
      </c>
      <c r="D317" s="32"/>
      <c r="E317" s="33"/>
      <c r="F317" s="34"/>
      <c r="G317" s="32"/>
      <c r="H317" s="32"/>
      <c r="I317" s="32"/>
      <c r="J317" s="34"/>
      <c r="K317" s="35"/>
      <c r="L317" s="36"/>
      <c r="M317" s="32"/>
    </row>
    <row r="318" spans="2:13" ht="15.75" customHeight="1">
      <c r="B318" s="32"/>
      <c r="C318" s="33" t="str">
        <f t="shared" si="3"/>
        <v/>
      </c>
      <c r="D318" s="32"/>
      <c r="E318" s="33"/>
      <c r="F318" s="34"/>
      <c r="G318" s="32"/>
      <c r="H318" s="32"/>
      <c r="I318" s="32"/>
      <c r="J318" s="34"/>
      <c r="K318" s="35"/>
      <c r="L318" s="36"/>
      <c r="M318" s="32"/>
    </row>
    <row r="319" spans="2:13" ht="15.75" customHeight="1">
      <c r="B319" s="32"/>
      <c r="C319" s="33" t="str">
        <f t="shared" si="3"/>
        <v/>
      </c>
      <c r="D319" s="32"/>
      <c r="E319" s="33"/>
      <c r="F319" s="34"/>
      <c r="G319" s="32"/>
      <c r="H319" s="32"/>
      <c r="I319" s="32"/>
      <c r="J319" s="34"/>
      <c r="K319" s="35"/>
      <c r="L319" s="36"/>
      <c r="M319" s="32"/>
    </row>
    <row r="320" spans="2:13" ht="15.75" customHeight="1">
      <c r="B320" s="32"/>
      <c r="C320" s="33" t="str">
        <f t="shared" si="3"/>
        <v/>
      </c>
      <c r="D320" s="32"/>
      <c r="E320" s="33"/>
      <c r="F320" s="34"/>
      <c r="G320" s="32"/>
      <c r="H320" s="32"/>
      <c r="I320" s="32"/>
      <c r="J320" s="34"/>
      <c r="K320" s="35"/>
      <c r="L320" s="36"/>
      <c r="M320" s="32"/>
    </row>
    <row r="321" spans="2:13" ht="15.75" customHeight="1">
      <c r="B321" s="32"/>
      <c r="C321" s="33" t="str">
        <f t="shared" si="3"/>
        <v/>
      </c>
      <c r="D321" s="32"/>
      <c r="E321" s="33"/>
      <c r="F321" s="34"/>
      <c r="G321" s="32"/>
      <c r="H321" s="32"/>
      <c r="I321" s="32"/>
      <c r="J321" s="34"/>
      <c r="K321" s="35"/>
      <c r="L321" s="36"/>
      <c r="M321" s="32"/>
    </row>
    <row r="322" spans="2:13" ht="15.75" customHeight="1">
      <c r="B322" s="32"/>
      <c r="C322" s="33" t="str">
        <f t="shared" si="3"/>
        <v/>
      </c>
      <c r="D322" s="32"/>
      <c r="E322" s="33"/>
      <c r="F322" s="34"/>
      <c r="G322" s="32"/>
      <c r="H322" s="32"/>
      <c r="I322" s="32"/>
      <c r="J322" s="34"/>
      <c r="K322" s="35"/>
      <c r="L322" s="36"/>
      <c r="M322" s="32"/>
    </row>
    <row r="323" spans="2:13" ht="15.75" customHeight="1">
      <c r="B323" s="32"/>
      <c r="C323" s="33" t="str">
        <f t="shared" si="3"/>
        <v/>
      </c>
      <c r="D323" s="32"/>
      <c r="E323" s="33"/>
      <c r="F323" s="34"/>
      <c r="G323" s="32"/>
      <c r="H323" s="32"/>
      <c r="I323" s="32"/>
      <c r="J323" s="34"/>
      <c r="K323" s="35"/>
      <c r="L323" s="36"/>
      <c r="M323" s="32"/>
    </row>
    <row r="324" spans="2:13" ht="15.75" customHeight="1">
      <c r="B324" s="32"/>
      <c r="C324" s="33" t="str">
        <f t="shared" si="3"/>
        <v/>
      </c>
      <c r="D324" s="32"/>
      <c r="E324" s="33"/>
      <c r="F324" s="34"/>
      <c r="G324" s="32"/>
      <c r="H324" s="32"/>
      <c r="I324" s="32"/>
      <c r="J324" s="34"/>
      <c r="K324" s="35"/>
      <c r="L324" s="36"/>
      <c r="M324" s="32"/>
    </row>
    <row r="325" spans="2:13" ht="15.75" customHeight="1">
      <c r="B325" s="32"/>
      <c r="C325" s="33" t="str">
        <f t="shared" si="3"/>
        <v/>
      </c>
      <c r="D325" s="32"/>
      <c r="E325" s="33"/>
      <c r="F325" s="34"/>
      <c r="G325" s="32"/>
      <c r="H325" s="32"/>
      <c r="I325" s="32"/>
      <c r="J325" s="34"/>
      <c r="K325" s="35"/>
      <c r="L325" s="36"/>
      <c r="M325" s="32"/>
    </row>
    <row r="326" spans="2:13" ht="15.75" customHeight="1">
      <c r="B326" s="32"/>
      <c r="C326" s="33" t="str">
        <f t="shared" si="3"/>
        <v/>
      </c>
      <c r="D326" s="32"/>
      <c r="E326" s="33"/>
      <c r="F326" s="34"/>
      <c r="G326" s="32"/>
      <c r="H326" s="32"/>
      <c r="I326" s="32"/>
      <c r="J326" s="34"/>
      <c r="K326" s="35"/>
      <c r="L326" s="36"/>
      <c r="M326" s="32"/>
    </row>
    <row r="327" spans="2:13" ht="15.75" customHeight="1">
      <c r="B327" s="32"/>
      <c r="C327" s="33" t="str">
        <f t="shared" si="3"/>
        <v/>
      </c>
      <c r="D327" s="32"/>
      <c r="E327" s="33"/>
      <c r="F327" s="34"/>
      <c r="G327" s="32"/>
      <c r="H327" s="32"/>
      <c r="I327" s="32"/>
      <c r="J327" s="34"/>
      <c r="K327" s="35"/>
      <c r="L327" s="36"/>
      <c r="M327" s="32"/>
    </row>
    <row r="328" spans="2:13" ht="15.75" customHeight="1">
      <c r="B328" s="32"/>
      <c r="C328" s="33" t="str">
        <f t="shared" si="3"/>
        <v/>
      </c>
      <c r="D328" s="32"/>
      <c r="E328" s="33"/>
      <c r="F328" s="34"/>
      <c r="G328" s="32"/>
      <c r="H328" s="32"/>
      <c r="I328" s="32"/>
      <c r="J328" s="34"/>
      <c r="K328" s="35"/>
      <c r="L328" s="36"/>
      <c r="M328" s="32"/>
    </row>
    <row r="329" spans="2:13" ht="15.75" customHeight="1">
      <c r="B329" s="32"/>
      <c r="C329" s="33" t="str">
        <f t="shared" si="3"/>
        <v/>
      </c>
      <c r="D329" s="32"/>
      <c r="E329" s="33"/>
      <c r="F329" s="34"/>
      <c r="G329" s="32"/>
      <c r="H329" s="32"/>
      <c r="I329" s="32"/>
      <c r="J329" s="34"/>
      <c r="K329" s="35"/>
      <c r="L329" s="36"/>
      <c r="M329" s="32"/>
    </row>
    <row r="330" spans="2:13" ht="15.75" customHeight="1">
      <c r="B330" s="32"/>
      <c r="C330" s="33" t="str">
        <f t="shared" si="3"/>
        <v/>
      </c>
      <c r="D330" s="32"/>
      <c r="E330" s="33"/>
      <c r="F330" s="34"/>
      <c r="G330" s="32"/>
      <c r="H330" s="32"/>
      <c r="I330" s="32"/>
      <c r="J330" s="34"/>
      <c r="K330" s="35"/>
      <c r="L330" s="36"/>
      <c r="M330" s="32"/>
    </row>
    <row r="331" spans="2:13" ht="15.75" customHeight="1">
      <c r="B331" s="32"/>
      <c r="C331" s="33" t="str">
        <f t="shared" si="3"/>
        <v/>
      </c>
      <c r="D331" s="32"/>
      <c r="E331" s="33"/>
      <c r="F331" s="34"/>
      <c r="G331" s="32"/>
      <c r="H331" s="32"/>
      <c r="I331" s="32"/>
      <c r="J331" s="34"/>
      <c r="K331" s="35"/>
      <c r="L331" s="36"/>
      <c r="M331" s="32"/>
    </row>
    <row r="332" spans="2:13" ht="15.75" customHeight="1">
      <c r="B332" s="32"/>
      <c r="C332" s="33" t="str">
        <f t="shared" si="3"/>
        <v/>
      </c>
      <c r="D332" s="32"/>
      <c r="E332" s="33"/>
      <c r="F332" s="34"/>
      <c r="G332" s="32"/>
      <c r="H332" s="32"/>
      <c r="I332" s="32"/>
      <c r="J332" s="34"/>
      <c r="K332" s="35"/>
      <c r="L332" s="36"/>
      <c r="M332" s="32"/>
    </row>
    <row r="333" spans="2:13" ht="15.75" customHeight="1">
      <c r="B333" s="32"/>
      <c r="C333" s="33" t="str">
        <f t="shared" si="3"/>
        <v/>
      </c>
      <c r="D333" s="32"/>
      <c r="E333" s="33"/>
      <c r="F333" s="34"/>
      <c r="G333" s="32"/>
      <c r="H333" s="32"/>
      <c r="I333" s="32"/>
      <c r="J333" s="34"/>
      <c r="K333" s="35"/>
      <c r="L333" s="36"/>
      <c r="M333" s="32"/>
    </row>
    <row r="334" spans="2:13" ht="15.75" customHeight="1">
      <c r="B334" s="32"/>
      <c r="C334" s="33" t="str">
        <f t="shared" si="3"/>
        <v/>
      </c>
      <c r="D334" s="32"/>
      <c r="E334" s="33"/>
      <c r="F334" s="34"/>
      <c r="G334" s="32"/>
      <c r="H334" s="32"/>
      <c r="I334" s="32"/>
      <c r="J334" s="34"/>
      <c r="K334" s="35"/>
      <c r="L334" s="36"/>
      <c r="M334" s="32"/>
    </row>
    <row r="335" spans="2:13" ht="15.75" customHeight="1">
      <c r="B335" s="32"/>
      <c r="C335" s="33" t="str">
        <f t="shared" si="3"/>
        <v/>
      </c>
      <c r="D335" s="32"/>
      <c r="E335" s="33"/>
      <c r="F335" s="34"/>
      <c r="G335" s="32"/>
      <c r="H335" s="32"/>
      <c r="I335" s="32"/>
      <c r="J335" s="34"/>
      <c r="K335" s="35"/>
      <c r="L335" s="36"/>
      <c r="M335" s="32"/>
    </row>
    <row r="336" spans="2:13" ht="15.75" customHeight="1">
      <c r="B336" s="32"/>
      <c r="C336" s="33" t="str">
        <f t="shared" si="3"/>
        <v/>
      </c>
      <c r="D336" s="32"/>
      <c r="E336" s="33"/>
      <c r="F336" s="34"/>
      <c r="G336" s="32"/>
      <c r="H336" s="32"/>
      <c r="I336" s="32"/>
      <c r="J336" s="34"/>
      <c r="K336" s="35"/>
      <c r="L336" s="36"/>
      <c r="M336" s="32"/>
    </row>
    <row r="337" spans="2:13" ht="15.75" customHeight="1">
      <c r="B337" s="32"/>
      <c r="C337" s="33" t="str">
        <f t="shared" si="3"/>
        <v/>
      </c>
      <c r="D337" s="32"/>
      <c r="E337" s="33"/>
      <c r="F337" s="34"/>
      <c r="G337" s="32"/>
      <c r="H337" s="32"/>
      <c r="I337" s="32"/>
      <c r="J337" s="34"/>
      <c r="K337" s="35"/>
      <c r="L337" s="36"/>
      <c r="M337" s="32"/>
    </row>
    <row r="338" spans="2:13" ht="15.75" customHeight="1">
      <c r="B338" s="32"/>
      <c r="C338" s="33" t="str">
        <f t="shared" si="3"/>
        <v/>
      </c>
      <c r="D338" s="32"/>
      <c r="E338" s="33"/>
      <c r="F338" s="34"/>
      <c r="G338" s="32"/>
      <c r="H338" s="32"/>
      <c r="I338" s="32"/>
      <c r="J338" s="34"/>
      <c r="K338" s="35"/>
      <c r="L338" s="36"/>
      <c r="M338" s="32"/>
    </row>
    <row r="339" spans="2:13" ht="15.75" customHeight="1">
      <c r="B339" s="32"/>
      <c r="C339" s="33" t="str">
        <f t="shared" si="3"/>
        <v/>
      </c>
      <c r="D339" s="32"/>
      <c r="E339" s="33"/>
      <c r="F339" s="34"/>
      <c r="G339" s="32"/>
      <c r="H339" s="32"/>
      <c r="I339" s="32"/>
      <c r="J339" s="34"/>
      <c r="K339" s="35"/>
      <c r="L339" s="36"/>
      <c r="M339" s="32"/>
    </row>
    <row r="340" spans="2:13" ht="15.75" customHeight="1">
      <c r="B340" s="32"/>
      <c r="C340" s="33" t="str">
        <f t="shared" si="3"/>
        <v/>
      </c>
      <c r="D340" s="32"/>
      <c r="E340" s="33"/>
      <c r="F340" s="34"/>
      <c r="G340" s="32"/>
      <c r="H340" s="32"/>
      <c r="I340" s="32"/>
      <c r="J340" s="34"/>
      <c r="K340" s="35"/>
      <c r="L340" s="36"/>
      <c r="M340" s="32"/>
    </row>
    <row r="341" spans="2:13" ht="15.75" customHeight="1">
      <c r="B341" s="32"/>
      <c r="C341" s="33" t="str">
        <f t="shared" si="3"/>
        <v/>
      </c>
      <c r="D341" s="32"/>
      <c r="E341" s="33"/>
      <c r="F341" s="34"/>
      <c r="G341" s="32"/>
      <c r="H341" s="32"/>
      <c r="I341" s="32"/>
      <c r="J341" s="34"/>
      <c r="K341" s="35"/>
      <c r="L341" s="36"/>
      <c r="M341" s="32"/>
    </row>
    <row r="342" spans="2:13" ht="15.75" customHeight="1">
      <c r="B342" s="32"/>
      <c r="C342" s="33" t="str">
        <f t="shared" si="3"/>
        <v/>
      </c>
      <c r="D342" s="32"/>
      <c r="E342" s="33"/>
      <c r="F342" s="34"/>
      <c r="G342" s="32"/>
      <c r="H342" s="32"/>
      <c r="I342" s="32"/>
      <c r="J342" s="34"/>
      <c r="K342" s="35"/>
      <c r="L342" s="36"/>
      <c r="M342" s="32"/>
    </row>
    <row r="343" spans="2:13" ht="15.75" customHeight="1">
      <c r="B343" s="32"/>
      <c r="C343" s="33" t="str">
        <f t="shared" si="3"/>
        <v/>
      </c>
      <c r="D343" s="32"/>
      <c r="E343" s="33"/>
      <c r="F343" s="34"/>
      <c r="G343" s="32"/>
      <c r="H343" s="32"/>
      <c r="I343" s="32"/>
      <c r="J343" s="34"/>
      <c r="K343" s="35"/>
      <c r="L343" s="36"/>
      <c r="M343" s="32"/>
    </row>
    <row r="344" spans="2:13" ht="15.75" customHeight="1">
      <c r="B344" s="32"/>
      <c r="C344" s="33" t="str">
        <f t="shared" si="3"/>
        <v/>
      </c>
      <c r="D344" s="32"/>
      <c r="E344" s="33"/>
      <c r="F344" s="34"/>
      <c r="G344" s="32"/>
      <c r="H344" s="32"/>
      <c r="I344" s="32"/>
      <c r="J344" s="34"/>
      <c r="K344" s="35"/>
      <c r="L344" s="36"/>
      <c r="M344" s="32"/>
    </row>
    <row r="345" spans="2:13" ht="15.75" customHeight="1">
      <c r="B345" s="32"/>
      <c r="C345" s="33" t="str">
        <f t="shared" si="3"/>
        <v/>
      </c>
      <c r="D345" s="32"/>
      <c r="E345" s="33"/>
      <c r="F345" s="34"/>
      <c r="G345" s="32"/>
      <c r="H345" s="32"/>
      <c r="I345" s="32"/>
      <c r="J345" s="34"/>
      <c r="K345" s="35"/>
      <c r="L345" s="36"/>
      <c r="M345" s="32"/>
    </row>
    <row r="346" spans="2:13" ht="15.75" customHeight="1">
      <c r="B346" s="32"/>
      <c r="C346" s="33" t="str">
        <f t="shared" si="3"/>
        <v/>
      </c>
      <c r="D346" s="32"/>
      <c r="E346" s="33"/>
      <c r="F346" s="34"/>
      <c r="G346" s="32"/>
      <c r="H346" s="32"/>
      <c r="I346" s="32"/>
      <c r="J346" s="34"/>
      <c r="K346" s="35"/>
      <c r="L346" s="36"/>
      <c r="M346" s="32"/>
    </row>
    <row r="347" spans="2:13" ht="15.75" customHeight="1">
      <c r="B347" s="32"/>
      <c r="C347" s="33" t="str">
        <f t="shared" si="3"/>
        <v/>
      </c>
      <c r="D347" s="32"/>
      <c r="E347" s="33"/>
      <c r="F347" s="34"/>
      <c r="G347" s="32"/>
      <c r="H347" s="32"/>
      <c r="I347" s="32"/>
      <c r="J347" s="34"/>
      <c r="K347" s="35"/>
      <c r="L347" s="36"/>
      <c r="M347" s="32"/>
    </row>
    <row r="348" spans="2:13" ht="15.75" customHeight="1">
      <c r="B348" s="32"/>
      <c r="C348" s="33" t="str">
        <f t="shared" si="3"/>
        <v/>
      </c>
      <c r="D348" s="32"/>
      <c r="E348" s="33"/>
      <c r="F348" s="34"/>
      <c r="G348" s="32"/>
      <c r="H348" s="32"/>
      <c r="I348" s="32"/>
      <c r="J348" s="34"/>
      <c r="K348" s="35"/>
      <c r="L348" s="36"/>
      <c r="M348" s="32"/>
    </row>
    <row r="349" spans="2:13" ht="15.75" customHeight="1">
      <c r="B349" s="32"/>
      <c r="C349" s="33" t="str">
        <f t="shared" si="3"/>
        <v/>
      </c>
      <c r="D349" s="32"/>
      <c r="E349" s="33"/>
      <c r="F349" s="34"/>
      <c r="G349" s="32"/>
      <c r="H349" s="32"/>
      <c r="I349" s="32"/>
      <c r="J349" s="34"/>
      <c r="K349" s="35"/>
      <c r="L349" s="36"/>
      <c r="M349" s="32"/>
    </row>
    <row r="350" spans="2:13" ht="15.75" customHeight="1">
      <c r="B350" s="32"/>
      <c r="C350" s="33" t="str">
        <f t="shared" si="3"/>
        <v/>
      </c>
      <c r="D350" s="32"/>
      <c r="E350" s="33"/>
      <c r="F350" s="34"/>
      <c r="G350" s="32"/>
      <c r="H350" s="32"/>
      <c r="I350" s="32"/>
      <c r="J350" s="34"/>
      <c r="K350" s="35"/>
      <c r="L350" s="36"/>
      <c r="M350" s="32"/>
    </row>
    <row r="351" spans="2:13" ht="15.75" customHeight="1">
      <c r="B351" s="32"/>
      <c r="C351" s="33" t="str">
        <f t="shared" si="3"/>
        <v/>
      </c>
      <c r="D351" s="32"/>
      <c r="E351" s="33"/>
      <c r="F351" s="34"/>
      <c r="G351" s="32"/>
      <c r="H351" s="32"/>
      <c r="I351" s="32"/>
      <c r="J351" s="34"/>
      <c r="K351" s="35"/>
      <c r="L351" s="36"/>
      <c r="M351" s="32"/>
    </row>
    <row r="352" spans="2:13" ht="15.75" customHeight="1">
      <c r="B352" s="32"/>
      <c r="C352" s="33" t="str">
        <f t="shared" si="3"/>
        <v/>
      </c>
      <c r="D352" s="32"/>
      <c r="E352" s="33"/>
      <c r="F352" s="34"/>
      <c r="G352" s="32"/>
      <c r="H352" s="32"/>
      <c r="I352" s="32"/>
      <c r="J352" s="34"/>
      <c r="K352" s="35"/>
      <c r="L352" s="36"/>
      <c r="M352" s="32"/>
    </row>
    <row r="353" spans="2:13" ht="15.75" customHeight="1">
      <c r="B353" s="32"/>
      <c r="C353" s="33" t="str">
        <f t="shared" si="3"/>
        <v/>
      </c>
      <c r="D353" s="32"/>
      <c r="E353" s="33"/>
      <c r="F353" s="34"/>
      <c r="G353" s="32"/>
      <c r="H353" s="32"/>
      <c r="I353" s="32"/>
      <c r="J353" s="34"/>
      <c r="K353" s="35"/>
      <c r="L353" s="36"/>
      <c r="M353" s="32"/>
    </row>
    <row r="354" spans="2:13" ht="15.75" customHeight="1">
      <c r="B354" s="32"/>
      <c r="C354" s="33" t="str">
        <f t="shared" si="3"/>
        <v/>
      </c>
      <c r="D354" s="32"/>
      <c r="E354" s="33"/>
      <c r="F354" s="34"/>
      <c r="G354" s="32"/>
      <c r="H354" s="32"/>
      <c r="I354" s="32"/>
      <c r="J354" s="34"/>
      <c r="K354" s="35"/>
      <c r="L354" s="36"/>
      <c r="M354" s="32"/>
    </row>
    <row r="355" spans="2:13" ht="15.75" customHeight="1">
      <c r="B355" s="32"/>
      <c r="C355" s="33" t="str">
        <f t="shared" si="3"/>
        <v/>
      </c>
      <c r="D355" s="32"/>
      <c r="E355" s="33"/>
      <c r="F355" s="34"/>
      <c r="G355" s="32"/>
      <c r="H355" s="32"/>
      <c r="I355" s="32"/>
      <c r="J355" s="34"/>
      <c r="K355" s="35"/>
      <c r="L355" s="36"/>
      <c r="M355" s="32"/>
    </row>
    <row r="356" spans="2:13" ht="15.75" customHeight="1">
      <c r="B356" s="32"/>
      <c r="C356" s="33" t="str">
        <f t="shared" si="3"/>
        <v/>
      </c>
      <c r="D356" s="32"/>
      <c r="E356" s="33"/>
      <c r="F356" s="34"/>
      <c r="G356" s="32"/>
      <c r="H356" s="32"/>
      <c r="I356" s="32"/>
      <c r="J356" s="34"/>
      <c r="K356" s="35"/>
      <c r="L356" s="36"/>
      <c r="M356" s="32"/>
    </row>
    <row r="357" spans="2:13" ht="15.75" customHeight="1">
      <c r="B357" s="32"/>
      <c r="C357" s="33" t="str">
        <f t="shared" si="3"/>
        <v/>
      </c>
      <c r="D357" s="32"/>
      <c r="E357" s="33"/>
      <c r="F357" s="34"/>
      <c r="G357" s="32"/>
      <c r="H357" s="32"/>
      <c r="I357" s="32"/>
      <c r="J357" s="34"/>
      <c r="K357" s="35"/>
      <c r="L357" s="36"/>
      <c r="M357" s="32"/>
    </row>
    <row r="358" spans="2:13" ht="15.75" customHeight="1">
      <c r="B358" s="32"/>
      <c r="C358" s="33" t="str">
        <f t="shared" si="3"/>
        <v/>
      </c>
      <c r="D358" s="32"/>
      <c r="E358" s="33"/>
      <c r="F358" s="34"/>
      <c r="G358" s="32"/>
      <c r="H358" s="32"/>
      <c r="I358" s="32"/>
      <c r="J358" s="34"/>
      <c r="K358" s="35"/>
      <c r="L358" s="36"/>
      <c r="M358" s="32"/>
    </row>
    <row r="359" spans="2:13" ht="15.75" customHeight="1">
      <c r="B359" s="32"/>
      <c r="C359" s="33" t="str">
        <f t="shared" si="3"/>
        <v/>
      </c>
      <c r="D359" s="32"/>
      <c r="E359" s="33"/>
      <c r="F359" s="34"/>
      <c r="G359" s="32"/>
      <c r="H359" s="32"/>
      <c r="I359" s="32"/>
      <c r="J359" s="34"/>
      <c r="K359" s="35"/>
      <c r="L359" s="36"/>
      <c r="M359" s="32"/>
    </row>
    <row r="360" spans="2:13" ht="15.75" customHeight="1">
      <c r="B360" s="32"/>
      <c r="C360" s="33" t="str">
        <f t="shared" si="3"/>
        <v/>
      </c>
      <c r="D360" s="32"/>
      <c r="E360" s="33"/>
      <c r="F360" s="34"/>
      <c r="G360" s="32"/>
      <c r="H360" s="32"/>
      <c r="I360" s="32"/>
      <c r="J360" s="34"/>
      <c r="K360" s="35"/>
      <c r="L360" s="36"/>
      <c r="M360" s="32"/>
    </row>
    <row r="361" spans="2:13" ht="15.75" customHeight="1">
      <c r="B361" s="32"/>
      <c r="C361" s="33" t="str">
        <f t="shared" si="3"/>
        <v/>
      </c>
      <c r="D361" s="32"/>
      <c r="E361" s="33"/>
      <c r="F361" s="34"/>
      <c r="G361" s="32"/>
      <c r="H361" s="32"/>
      <c r="I361" s="32"/>
      <c r="J361" s="34"/>
      <c r="K361" s="35"/>
      <c r="L361" s="36"/>
      <c r="M361" s="32"/>
    </row>
    <row r="362" spans="2:13" ht="15.75" customHeight="1">
      <c r="B362" s="32"/>
      <c r="C362" s="33" t="str">
        <f t="shared" si="3"/>
        <v/>
      </c>
      <c r="D362" s="32"/>
      <c r="E362" s="33"/>
      <c r="F362" s="34"/>
      <c r="G362" s="32"/>
      <c r="H362" s="32"/>
      <c r="I362" s="32"/>
      <c r="J362" s="34"/>
      <c r="K362" s="35"/>
      <c r="L362" s="36"/>
      <c r="M362" s="32"/>
    </row>
    <row r="363" spans="2:13" ht="15.75" customHeight="1">
      <c r="B363" s="32"/>
      <c r="C363" s="33" t="str">
        <f t="shared" si="3"/>
        <v/>
      </c>
      <c r="D363" s="32"/>
      <c r="E363" s="33"/>
      <c r="F363" s="34"/>
      <c r="G363" s="32"/>
      <c r="H363" s="32"/>
      <c r="I363" s="32"/>
      <c r="J363" s="34"/>
      <c r="K363" s="35"/>
      <c r="L363" s="36"/>
      <c r="M363" s="32"/>
    </row>
    <row r="364" spans="2:13" ht="15.75" customHeight="1">
      <c r="B364" s="32"/>
      <c r="C364" s="33" t="str">
        <f t="shared" si="3"/>
        <v/>
      </c>
      <c r="D364" s="32"/>
      <c r="E364" s="33"/>
      <c r="F364" s="34"/>
      <c r="G364" s="32"/>
      <c r="H364" s="32"/>
      <c r="I364" s="32"/>
      <c r="J364" s="34"/>
      <c r="K364" s="35"/>
      <c r="L364" s="36"/>
      <c r="M364" s="32"/>
    </row>
    <row r="365" spans="2:13" ht="15.75" customHeight="1">
      <c r="B365" s="32"/>
      <c r="C365" s="33" t="str">
        <f t="shared" si="3"/>
        <v/>
      </c>
      <c r="D365" s="32"/>
      <c r="E365" s="33"/>
      <c r="F365" s="34"/>
      <c r="G365" s="32"/>
      <c r="H365" s="32"/>
      <c r="I365" s="32"/>
      <c r="J365" s="34"/>
      <c r="K365" s="35"/>
      <c r="L365" s="36"/>
      <c r="M365" s="32"/>
    </row>
    <row r="366" spans="2:13" ht="15.75" customHeight="1">
      <c r="B366" s="32"/>
      <c r="C366" s="33" t="str">
        <f t="shared" si="3"/>
        <v/>
      </c>
      <c r="D366" s="32"/>
      <c r="E366" s="33"/>
      <c r="F366" s="34"/>
      <c r="G366" s="32"/>
      <c r="H366" s="32"/>
      <c r="I366" s="32"/>
      <c r="J366" s="34"/>
      <c r="K366" s="35"/>
      <c r="L366" s="36"/>
      <c r="M366" s="32"/>
    </row>
    <row r="367" spans="2:13" ht="15.75" customHeight="1">
      <c r="B367" s="32"/>
      <c r="C367" s="33" t="str">
        <f t="shared" si="3"/>
        <v/>
      </c>
      <c r="D367" s="32"/>
      <c r="E367" s="33"/>
      <c r="F367" s="34"/>
      <c r="G367" s="32"/>
      <c r="H367" s="32"/>
      <c r="I367" s="32"/>
      <c r="J367" s="34"/>
      <c r="K367" s="35"/>
      <c r="L367" s="36"/>
      <c r="M367" s="32"/>
    </row>
    <row r="368" spans="2:13" ht="15.75" customHeight="1">
      <c r="B368" s="32"/>
      <c r="C368" s="33" t="str">
        <f t="shared" si="3"/>
        <v/>
      </c>
      <c r="D368" s="32"/>
      <c r="E368" s="33"/>
      <c r="F368" s="34"/>
      <c r="G368" s="32"/>
      <c r="H368" s="32"/>
      <c r="I368" s="32"/>
      <c r="J368" s="34"/>
      <c r="K368" s="35"/>
      <c r="L368" s="36"/>
      <c r="M368" s="32"/>
    </row>
    <row r="369" spans="2:13" ht="15.75" customHeight="1">
      <c r="B369" s="32"/>
      <c r="C369" s="33" t="str">
        <f t="shared" si="3"/>
        <v/>
      </c>
      <c r="D369" s="32"/>
      <c r="E369" s="33"/>
      <c r="F369" s="34"/>
      <c r="G369" s="32"/>
      <c r="H369" s="32"/>
      <c r="I369" s="32"/>
      <c r="J369" s="34"/>
      <c r="K369" s="35"/>
      <c r="L369" s="36"/>
      <c r="M369" s="32"/>
    </row>
    <row r="370" spans="2:13" ht="15.75" customHeight="1">
      <c r="B370" s="32"/>
      <c r="C370" s="33" t="str">
        <f t="shared" si="3"/>
        <v/>
      </c>
      <c r="D370" s="32"/>
      <c r="E370" s="33"/>
      <c r="F370" s="34"/>
      <c r="G370" s="32"/>
      <c r="H370" s="32"/>
      <c r="I370" s="32"/>
      <c r="J370" s="34"/>
      <c r="K370" s="35"/>
      <c r="L370" s="36"/>
      <c r="M370" s="32"/>
    </row>
    <row r="371" spans="2:13" ht="15.75" customHeight="1">
      <c r="B371" s="32"/>
      <c r="C371" s="33" t="str">
        <f t="shared" si="3"/>
        <v/>
      </c>
      <c r="D371" s="32"/>
      <c r="E371" s="33"/>
      <c r="F371" s="34"/>
      <c r="G371" s="32"/>
      <c r="H371" s="32"/>
      <c r="I371" s="32"/>
      <c r="J371" s="34"/>
      <c r="K371" s="35"/>
      <c r="L371" s="36"/>
      <c r="M371" s="32"/>
    </row>
    <row r="372" spans="2:13" ht="15.75" customHeight="1">
      <c r="B372" s="32"/>
      <c r="C372" s="33" t="str">
        <f t="shared" si="3"/>
        <v/>
      </c>
      <c r="D372" s="32"/>
      <c r="E372" s="33"/>
      <c r="F372" s="34"/>
      <c r="G372" s="32"/>
      <c r="H372" s="32"/>
      <c r="I372" s="32"/>
      <c r="J372" s="34"/>
      <c r="K372" s="35"/>
      <c r="L372" s="36"/>
      <c r="M372" s="32"/>
    </row>
    <row r="373" spans="2:13" ht="15.75" customHeight="1">
      <c r="B373" s="32"/>
      <c r="C373" s="33" t="str">
        <f t="shared" si="3"/>
        <v/>
      </c>
      <c r="D373" s="32"/>
      <c r="E373" s="33"/>
      <c r="F373" s="34"/>
      <c r="G373" s="32"/>
      <c r="H373" s="32"/>
      <c r="I373" s="32"/>
      <c r="J373" s="34"/>
      <c r="K373" s="35"/>
      <c r="L373" s="36"/>
      <c r="M373" s="32"/>
    </row>
    <row r="374" spans="2:13" ht="15.75" customHeight="1">
      <c r="B374" s="32"/>
      <c r="C374" s="33" t="str">
        <f t="shared" si="3"/>
        <v/>
      </c>
      <c r="D374" s="32"/>
      <c r="E374" s="33"/>
      <c r="F374" s="34"/>
      <c r="G374" s="32"/>
      <c r="H374" s="32"/>
      <c r="I374" s="32"/>
      <c r="J374" s="34"/>
      <c r="K374" s="35"/>
      <c r="L374" s="36"/>
      <c r="M374" s="32"/>
    </row>
    <row r="375" spans="2:13" ht="15.75" customHeight="1">
      <c r="B375" s="32"/>
      <c r="C375" s="33" t="str">
        <f t="shared" si="3"/>
        <v/>
      </c>
      <c r="D375" s="32"/>
      <c r="E375" s="33"/>
      <c r="F375" s="34"/>
      <c r="G375" s="32"/>
      <c r="H375" s="32"/>
      <c r="I375" s="32"/>
      <c r="J375" s="34"/>
      <c r="K375" s="35"/>
      <c r="L375" s="36"/>
      <c r="M375" s="32"/>
    </row>
    <row r="376" spans="2:13" ht="15.75" customHeight="1">
      <c r="B376" s="32"/>
      <c r="C376" s="33" t="str">
        <f t="shared" si="3"/>
        <v/>
      </c>
      <c r="D376" s="32"/>
      <c r="E376" s="33"/>
      <c r="F376" s="34"/>
      <c r="G376" s="32"/>
      <c r="H376" s="32"/>
      <c r="I376" s="32"/>
      <c r="J376" s="34"/>
      <c r="K376" s="35"/>
      <c r="L376" s="36"/>
      <c r="M376" s="32"/>
    </row>
    <row r="377" spans="2:13" ht="15.75" customHeight="1">
      <c r="B377" s="32"/>
      <c r="C377" s="33" t="str">
        <f t="shared" si="3"/>
        <v/>
      </c>
      <c r="D377" s="32"/>
      <c r="E377" s="33"/>
      <c r="F377" s="34"/>
      <c r="G377" s="32"/>
      <c r="H377" s="32"/>
      <c r="I377" s="32"/>
      <c r="J377" s="34"/>
      <c r="K377" s="35"/>
      <c r="L377" s="36"/>
      <c r="M377" s="32"/>
    </row>
    <row r="378" spans="2:13" ht="15.75" customHeight="1">
      <c r="B378" s="32"/>
      <c r="C378" s="33" t="str">
        <f t="shared" si="3"/>
        <v/>
      </c>
      <c r="D378" s="32"/>
      <c r="E378" s="33"/>
      <c r="F378" s="34"/>
      <c r="G378" s="32"/>
      <c r="H378" s="32"/>
      <c r="I378" s="32"/>
      <c r="J378" s="34"/>
      <c r="K378" s="35"/>
      <c r="L378" s="36"/>
      <c r="M378" s="32"/>
    </row>
    <row r="379" spans="2:13" ht="15.75" customHeight="1">
      <c r="B379" s="32"/>
      <c r="C379" s="33" t="str">
        <f t="shared" si="3"/>
        <v/>
      </c>
      <c r="D379" s="32"/>
      <c r="E379" s="33"/>
      <c r="F379" s="34"/>
      <c r="G379" s="32"/>
      <c r="H379" s="32"/>
      <c r="I379" s="32"/>
      <c r="J379" s="34"/>
      <c r="K379" s="35"/>
      <c r="L379" s="36"/>
      <c r="M379" s="32"/>
    </row>
    <row r="380" spans="2:13" ht="15.75" customHeight="1">
      <c r="B380" s="32"/>
      <c r="C380" s="33" t="str">
        <f t="shared" si="3"/>
        <v/>
      </c>
      <c r="D380" s="32"/>
      <c r="E380" s="33"/>
      <c r="F380" s="34"/>
      <c r="G380" s="32"/>
      <c r="H380" s="32"/>
      <c r="I380" s="32"/>
      <c r="J380" s="34"/>
      <c r="K380" s="35"/>
      <c r="L380" s="36"/>
      <c r="M380" s="32"/>
    </row>
    <row r="381" spans="2:13" ht="15.75" customHeight="1">
      <c r="B381" s="32"/>
      <c r="C381" s="33" t="str">
        <f t="shared" si="3"/>
        <v/>
      </c>
      <c r="D381" s="32"/>
      <c r="E381" s="33"/>
      <c r="F381" s="34"/>
      <c r="G381" s="32"/>
      <c r="H381" s="32"/>
      <c r="I381" s="32"/>
      <c r="J381" s="34"/>
      <c r="K381" s="35"/>
      <c r="L381" s="36"/>
      <c r="M381" s="32"/>
    </row>
    <row r="382" spans="2:13" ht="15.75" customHeight="1">
      <c r="B382" s="32"/>
      <c r="C382" s="33" t="str">
        <f t="shared" si="3"/>
        <v/>
      </c>
      <c r="D382" s="32"/>
      <c r="E382" s="33"/>
      <c r="F382" s="34"/>
      <c r="G382" s="32"/>
      <c r="H382" s="32"/>
      <c r="I382" s="32"/>
      <c r="J382" s="34"/>
      <c r="K382" s="35"/>
      <c r="L382" s="36"/>
      <c r="M382" s="32"/>
    </row>
    <row r="383" spans="2:13" ht="15.75" customHeight="1">
      <c r="B383" s="32"/>
      <c r="C383" s="33" t="str">
        <f t="shared" si="3"/>
        <v/>
      </c>
      <c r="D383" s="32"/>
      <c r="E383" s="33"/>
      <c r="F383" s="34"/>
      <c r="G383" s="32"/>
      <c r="H383" s="32"/>
      <c r="I383" s="32"/>
      <c r="J383" s="34"/>
      <c r="K383" s="35"/>
      <c r="L383" s="36"/>
      <c r="M383" s="32"/>
    </row>
    <row r="384" spans="2:13" ht="15.75" customHeight="1">
      <c r="B384" s="32"/>
      <c r="C384" s="33" t="str">
        <f t="shared" si="3"/>
        <v/>
      </c>
      <c r="D384" s="32"/>
      <c r="E384" s="33"/>
      <c r="F384" s="34"/>
      <c r="G384" s="32"/>
      <c r="H384" s="32"/>
      <c r="I384" s="32"/>
      <c r="J384" s="34"/>
      <c r="K384" s="35"/>
      <c r="L384" s="36"/>
      <c r="M384" s="32"/>
    </row>
    <row r="385" spans="2:13" ht="15.75" customHeight="1">
      <c r="B385" s="32"/>
      <c r="C385" s="33" t="str">
        <f t="shared" si="3"/>
        <v/>
      </c>
      <c r="D385" s="32"/>
      <c r="E385" s="33"/>
      <c r="F385" s="34"/>
      <c r="G385" s="32"/>
      <c r="H385" s="32"/>
      <c r="I385" s="32"/>
      <c r="J385" s="34"/>
      <c r="K385" s="35"/>
      <c r="L385" s="36"/>
      <c r="M385" s="32"/>
    </row>
    <row r="386" spans="2:13" ht="15.75" customHeight="1">
      <c r="B386" s="32"/>
      <c r="C386" s="33" t="str">
        <f t="shared" si="3"/>
        <v/>
      </c>
      <c r="D386" s="32"/>
      <c r="E386" s="33"/>
      <c r="F386" s="34"/>
      <c r="G386" s="32"/>
      <c r="H386" s="32"/>
      <c r="I386" s="32"/>
      <c r="J386" s="34"/>
      <c r="K386" s="35"/>
      <c r="L386" s="36"/>
      <c r="M386" s="32"/>
    </row>
    <row r="387" spans="2:13" ht="15.75" customHeight="1">
      <c r="B387" s="32"/>
      <c r="C387" s="33" t="str">
        <f t="shared" si="3"/>
        <v/>
      </c>
      <c r="D387" s="32"/>
      <c r="E387" s="33"/>
      <c r="F387" s="34"/>
      <c r="G387" s="32"/>
      <c r="H387" s="32"/>
      <c r="I387" s="32"/>
      <c r="J387" s="34"/>
      <c r="K387" s="35"/>
      <c r="L387" s="36"/>
      <c r="M387" s="32"/>
    </row>
    <row r="388" spans="2:13" ht="15.75" customHeight="1">
      <c r="B388" s="32"/>
      <c r="C388" s="33" t="str">
        <f t="shared" si="3"/>
        <v/>
      </c>
      <c r="D388" s="32"/>
      <c r="E388" s="33"/>
      <c r="F388" s="34"/>
      <c r="G388" s="32"/>
      <c r="H388" s="32"/>
      <c r="I388" s="32"/>
      <c r="J388" s="34"/>
      <c r="K388" s="35"/>
      <c r="L388" s="36"/>
      <c r="M388" s="32"/>
    </row>
    <row r="389" spans="2:13" ht="15.75" customHeight="1">
      <c r="B389" s="32"/>
      <c r="C389" s="33" t="str">
        <f t="shared" si="3"/>
        <v/>
      </c>
      <c r="D389" s="32"/>
      <c r="E389" s="33"/>
      <c r="F389" s="34"/>
      <c r="G389" s="32"/>
      <c r="H389" s="32"/>
      <c r="I389" s="32"/>
      <c r="J389" s="34"/>
      <c r="K389" s="35"/>
      <c r="L389" s="36"/>
      <c r="M389" s="32"/>
    </row>
    <row r="390" spans="2:13" ht="15.75" customHeight="1">
      <c r="B390" s="32"/>
      <c r="C390" s="33" t="str">
        <f t="shared" si="3"/>
        <v/>
      </c>
      <c r="D390" s="32"/>
      <c r="E390" s="33"/>
      <c r="F390" s="34"/>
      <c r="G390" s="32"/>
      <c r="H390" s="32"/>
      <c r="I390" s="32"/>
      <c r="J390" s="34"/>
      <c r="K390" s="35"/>
      <c r="L390" s="36"/>
      <c r="M390" s="32"/>
    </row>
    <row r="391" spans="2:13" ht="15.75" customHeight="1">
      <c r="B391" s="32"/>
      <c r="C391" s="33" t="str">
        <f t="shared" si="3"/>
        <v/>
      </c>
      <c r="D391" s="32"/>
      <c r="E391" s="33"/>
      <c r="F391" s="34"/>
      <c r="G391" s="32"/>
      <c r="H391" s="32"/>
      <c r="I391" s="32"/>
      <c r="J391" s="34"/>
      <c r="K391" s="35"/>
      <c r="L391" s="36"/>
      <c r="M391" s="32"/>
    </row>
    <row r="392" spans="2:13" ht="15.75" customHeight="1">
      <c r="B392" s="32"/>
      <c r="C392" s="33" t="str">
        <f t="shared" si="3"/>
        <v/>
      </c>
      <c r="D392" s="32"/>
      <c r="E392" s="33"/>
      <c r="F392" s="34"/>
      <c r="G392" s="32"/>
      <c r="H392" s="32"/>
      <c r="I392" s="32"/>
      <c r="J392" s="34"/>
      <c r="K392" s="35"/>
      <c r="L392" s="36"/>
      <c r="M392" s="32"/>
    </row>
    <row r="393" spans="2:13" ht="15.75" customHeight="1">
      <c r="B393" s="32"/>
      <c r="C393" s="33" t="str">
        <f t="shared" si="3"/>
        <v/>
      </c>
      <c r="D393" s="32"/>
      <c r="E393" s="33"/>
      <c r="F393" s="34"/>
      <c r="G393" s="32"/>
      <c r="H393" s="32"/>
      <c r="I393" s="32"/>
      <c r="J393" s="34"/>
      <c r="K393" s="35"/>
      <c r="L393" s="36"/>
      <c r="M393" s="32"/>
    </row>
    <row r="394" spans="2:13" ht="15.75" customHeight="1">
      <c r="B394" s="32"/>
      <c r="C394" s="33" t="str">
        <f t="shared" si="3"/>
        <v/>
      </c>
      <c r="D394" s="32"/>
      <c r="E394" s="33"/>
      <c r="F394" s="34"/>
      <c r="G394" s="32"/>
      <c r="H394" s="32"/>
      <c r="I394" s="32"/>
      <c r="J394" s="34"/>
      <c r="K394" s="35"/>
      <c r="L394" s="36"/>
      <c r="M394" s="32"/>
    </row>
    <row r="395" spans="2:13" ht="15.75" customHeight="1">
      <c r="B395" s="32"/>
      <c r="C395" s="33" t="str">
        <f t="shared" si="3"/>
        <v/>
      </c>
      <c r="D395" s="32"/>
      <c r="E395" s="33"/>
      <c r="F395" s="34"/>
      <c r="G395" s="32"/>
      <c r="H395" s="32"/>
      <c r="I395" s="32"/>
      <c r="J395" s="34"/>
      <c r="K395" s="35"/>
      <c r="L395" s="36"/>
      <c r="M395" s="32"/>
    </row>
    <row r="396" spans="2:13" ht="15.75" customHeight="1">
      <c r="B396" s="32"/>
      <c r="C396" s="33" t="str">
        <f t="shared" si="3"/>
        <v/>
      </c>
      <c r="D396" s="32"/>
      <c r="E396" s="33"/>
      <c r="F396" s="34"/>
      <c r="G396" s="32"/>
      <c r="H396" s="32"/>
      <c r="I396" s="32"/>
      <c r="J396" s="34"/>
      <c r="K396" s="35"/>
      <c r="L396" s="36"/>
      <c r="M396" s="32"/>
    </row>
    <row r="397" spans="2:13" ht="15.75" customHeight="1">
      <c r="B397" s="32"/>
      <c r="C397" s="33" t="str">
        <f t="shared" si="3"/>
        <v/>
      </c>
      <c r="D397" s="32"/>
      <c r="E397" s="33"/>
      <c r="F397" s="34"/>
      <c r="G397" s="32"/>
      <c r="H397" s="32"/>
      <c r="I397" s="32"/>
      <c r="J397" s="34"/>
      <c r="K397" s="35"/>
      <c r="L397" s="36"/>
      <c r="M397" s="32"/>
    </row>
    <row r="398" spans="2:13" ht="15.75" customHeight="1">
      <c r="B398" s="32"/>
      <c r="C398" s="33" t="str">
        <f t="shared" si="3"/>
        <v/>
      </c>
      <c r="D398" s="32"/>
      <c r="E398" s="33"/>
      <c r="F398" s="34"/>
      <c r="G398" s="32"/>
      <c r="H398" s="32"/>
      <c r="I398" s="32"/>
      <c r="J398" s="34"/>
      <c r="K398" s="35"/>
      <c r="L398" s="36"/>
      <c r="M398" s="32"/>
    </row>
    <row r="399" spans="2:13" ht="15.75" customHeight="1">
      <c r="B399" s="32"/>
      <c r="C399" s="33" t="str">
        <f t="shared" si="3"/>
        <v/>
      </c>
      <c r="D399" s="32"/>
      <c r="E399" s="33"/>
      <c r="F399" s="34"/>
      <c r="G399" s="32"/>
      <c r="H399" s="32"/>
      <c r="I399" s="32"/>
      <c r="J399" s="34"/>
      <c r="K399" s="35"/>
      <c r="L399" s="36"/>
      <c r="M399" s="32"/>
    </row>
    <row r="400" spans="2:13" ht="15.75" customHeight="1">
      <c r="B400" s="32"/>
      <c r="C400" s="33" t="str">
        <f t="shared" si="3"/>
        <v/>
      </c>
      <c r="D400" s="32"/>
      <c r="E400" s="33"/>
      <c r="F400" s="34"/>
      <c r="G400" s="32"/>
      <c r="H400" s="32"/>
      <c r="I400" s="32"/>
      <c r="J400" s="34"/>
      <c r="K400" s="35"/>
      <c r="L400" s="36"/>
      <c r="M400" s="32"/>
    </row>
    <row r="401" spans="2:13" ht="15.75" customHeight="1">
      <c r="B401" s="32"/>
      <c r="C401" s="33" t="str">
        <f t="shared" si="3"/>
        <v/>
      </c>
      <c r="D401" s="32"/>
      <c r="E401" s="33"/>
      <c r="F401" s="34"/>
      <c r="G401" s="32"/>
      <c r="H401" s="32"/>
      <c r="I401" s="32"/>
      <c r="J401" s="34"/>
      <c r="K401" s="35"/>
      <c r="L401" s="36"/>
      <c r="M401" s="32"/>
    </row>
    <row r="402" spans="2:13" ht="15.75" customHeight="1">
      <c r="B402" s="32"/>
      <c r="C402" s="33" t="str">
        <f t="shared" si="3"/>
        <v/>
      </c>
      <c r="D402" s="32"/>
      <c r="E402" s="33"/>
      <c r="F402" s="34"/>
      <c r="G402" s="32"/>
      <c r="H402" s="32"/>
      <c r="I402" s="32"/>
      <c r="J402" s="34"/>
      <c r="K402" s="35"/>
      <c r="L402" s="36"/>
      <c r="M402" s="32"/>
    </row>
    <row r="403" spans="2:13" ht="15.75" customHeight="1">
      <c r="B403" s="32"/>
      <c r="C403" s="33" t="str">
        <f t="shared" si="3"/>
        <v/>
      </c>
      <c r="D403" s="32"/>
      <c r="E403" s="33"/>
      <c r="F403" s="34"/>
      <c r="G403" s="32"/>
      <c r="H403" s="32"/>
      <c r="I403" s="32"/>
      <c r="J403" s="34"/>
      <c r="K403" s="35"/>
      <c r="L403" s="36"/>
      <c r="M403" s="32"/>
    </row>
    <row r="404" spans="2:13" ht="15.75" customHeight="1">
      <c r="B404" s="32"/>
      <c r="C404" s="33" t="str">
        <f t="shared" si="3"/>
        <v/>
      </c>
      <c r="D404" s="32"/>
      <c r="E404" s="33"/>
      <c r="F404" s="34"/>
      <c r="G404" s="32"/>
      <c r="H404" s="32"/>
      <c r="I404" s="32"/>
      <c r="J404" s="34"/>
      <c r="K404" s="35"/>
      <c r="L404" s="36"/>
      <c r="M404" s="32"/>
    </row>
    <row r="405" spans="2:13" ht="15.75" customHeight="1">
      <c r="B405" s="32"/>
      <c r="C405" s="33" t="str">
        <f t="shared" si="3"/>
        <v/>
      </c>
      <c r="D405" s="32"/>
      <c r="E405" s="33"/>
      <c r="F405" s="34"/>
      <c r="G405" s="32"/>
      <c r="H405" s="32"/>
      <c r="I405" s="32"/>
      <c r="J405" s="34"/>
      <c r="K405" s="35"/>
      <c r="L405" s="36"/>
      <c r="M405" s="32"/>
    </row>
    <row r="406" spans="2:13" ht="15.75" customHeight="1">
      <c r="B406" s="32"/>
      <c r="C406" s="33" t="str">
        <f t="shared" si="3"/>
        <v/>
      </c>
      <c r="D406" s="32"/>
      <c r="E406" s="33"/>
      <c r="F406" s="34"/>
      <c r="G406" s="32"/>
      <c r="H406" s="32"/>
      <c r="I406" s="32"/>
      <c r="J406" s="34"/>
      <c r="K406" s="35"/>
      <c r="L406" s="36"/>
      <c r="M406" s="32"/>
    </row>
    <row r="407" spans="2:13" ht="15.75" customHeight="1">
      <c r="B407" s="32"/>
      <c r="C407" s="33" t="str">
        <f t="shared" si="3"/>
        <v/>
      </c>
      <c r="D407" s="32"/>
      <c r="E407" s="33"/>
      <c r="F407" s="34"/>
      <c r="G407" s="32"/>
      <c r="H407" s="32"/>
      <c r="I407" s="32"/>
      <c r="J407" s="34"/>
      <c r="K407" s="35"/>
      <c r="L407" s="36"/>
      <c r="M407" s="32"/>
    </row>
    <row r="408" spans="2:13" ht="15.75" customHeight="1">
      <c r="B408" s="32"/>
      <c r="C408" s="33" t="str">
        <f t="shared" si="3"/>
        <v/>
      </c>
      <c r="D408" s="32"/>
      <c r="E408" s="33"/>
      <c r="F408" s="34"/>
      <c r="G408" s="32"/>
      <c r="H408" s="32"/>
      <c r="I408" s="32"/>
      <c r="J408" s="34"/>
      <c r="K408" s="35"/>
      <c r="L408" s="36"/>
      <c r="M408" s="32"/>
    </row>
    <row r="409" spans="2:13" ht="15.75" customHeight="1">
      <c r="B409" s="32"/>
      <c r="C409" s="33" t="str">
        <f t="shared" si="3"/>
        <v/>
      </c>
      <c r="D409" s="32"/>
      <c r="E409" s="33"/>
      <c r="F409" s="34"/>
      <c r="G409" s="32"/>
      <c r="H409" s="32"/>
      <c r="I409" s="32"/>
      <c r="J409" s="34"/>
      <c r="K409" s="35"/>
      <c r="L409" s="36"/>
      <c r="M409" s="32"/>
    </row>
    <row r="410" spans="2:13" ht="15.75" customHeight="1">
      <c r="B410" s="32"/>
      <c r="C410" s="33" t="str">
        <f t="shared" si="3"/>
        <v/>
      </c>
      <c r="D410" s="32"/>
      <c r="E410" s="33"/>
      <c r="F410" s="34"/>
      <c r="G410" s="32"/>
      <c r="H410" s="32"/>
      <c r="I410" s="32"/>
      <c r="J410" s="34"/>
      <c r="K410" s="35"/>
      <c r="L410" s="36"/>
      <c r="M410" s="32"/>
    </row>
    <row r="411" spans="2:13" ht="15.75" customHeight="1">
      <c r="B411" s="32"/>
      <c r="C411" s="33" t="str">
        <f t="shared" si="3"/>
        <v/>
      </c>
      <c r="D411" s="32"/>
      <c r="E411" s="33"/>
      <c r="F411" s="34"/>
      <c r="G411" s="32"/>
      <c r="H411" s="32"/>
      <c r="I411" s="32"/>
      <c r="J411" s="34"/>
      <c r="K411" s="35"/>
      <c r="L411" s="36"/>
      <c r="M411" s="32"/>
    </row>
    <row r="412" spans="2:13" ht="15.75" customHeight="1">
      <c r="B412" s="32"/>
      <c r="C412" s="33" t="str">
        <f t="shared" si="3"/>
        <v/>
      </c>
      <c r="D412" s="32"/>
      <c r="E412" s="33"/>
      <c r="F412" s="34"/>
      <c r="G412" s="32"/>
      <c r="H412" s="32"/>
      <c r="I412" s="32"/>
      <c r="J412" s="34"/>
      <c r="K412" s="35"/>
      <c r="L412" s="36"/>
      <c r="M412" s="32"/>
    </row>
    <row r="413" spans="2:13" ht="15.75" customHeight="1">
      <c r="B413" s="32"/>
      <c r="C413" s="33" t="str">
        <f t="shared" si="3"/>
        <v/>
      </c>
      <c r="D413" s="32"/>
      <c r="E413" s="33"/>
      <c r="F413" s="34"/>
      <c r="G413" s="32"/>
      <c r="H413" s="32"/>
      <c r="I413" s="32"/>
      <c r="J413" s="34"/>
      <c r="K413" s="35"/>
      <c r="L413" s="36"/>
      <c r="M413" s="32"/>
    </row>
    <row r="414" spans="2:13" ht="15.75" customHeight="1">
      <c r="B414" s="32"/>
      <c r="C414" s="33" t="str">
        <f t="shared" si="3"/>
        <v/>
      </c>
      <c r="D414" s="32"/>
      <c r="E414" s="33"/>
      <c r="F414" s="34"/>
      <c r="G414" s="32"/>
      <c r="H414" s="32"/>
      <c r="I414" s="32"/>
      <c r="J414" s="34"/>
      <c r="K414" s="35"/>
      <c r="L414" s="36"/>
      <c r="M414" s="32"/>
    </row>
    <row r="415" spans="2:13" ht="15.75" customHeight="1">
      <c r="B415" s="32"/>
      <c r="C415" s="33" t="str">
        <f t="shared" si="3"/>
        <v/>
      </c>
      <c r="D415" s="32"/>
      <c r="E415" s="33"/>
      <c r="F415" s="34"/>
      <c r="G415" s="32"/>
      <c r="H415" s="32"/>
      <c r="I415" s="32"/>
      <c r="J415" s="34"/>
      <c r="K415" s="35"/>
      <c r="L415" s="36"/>
      <c r="M415" s="32"/>
    </row>
    <row r="416" spans="2:13" ht="15.75" customHeight="1">
      <c r="B416" s="32"/>
      <c r="C416" s="33" t="str">
        <f t="shared" si="3"/>
        <v/>
      </c>
      <c r="D416" s="32"/>
      <c r="E416" s="33"/>
      <c r="F416" s="34"/>
      <c r="G416" s="32"/>
      <c r="H416" s="32"/>
      <c r="I416" s="32"/>
      <c r="J416" s="34"/>
      <c r="K416" s="35"/>
      <c r="L416" s="36"/>
      <c r="M416" s="32"/>
    </row>
    <row r="417" spans="2:13" ht="15.75" customHeight="1">
      <c r="B417" s="32"/>
      <c r="C417" s="33" t="str">
        <f t="shared" si="3"/>
        <v/>
      </c>
      <c r="D417" s="32"/>
      <c r="E417" s="33"/>
      <c r="F417" s="34"/>
      <c r="G417" s="32"/>
      <c r="H417" s="32"/>
      <c r="I417" s="32"/>
      <c r="J417" s="34"/>
      <c r="K417" s="35"/>
      <c r="L417" s="36"/>
      <c r="M417" s="32"/>
    </row>
    <row r="418" spans="2:13" ht="15.75" customHeight="1">
      <c r="B418" s="32"/>
      <c r="C418" s="33" t="str">
        <f t="shared" si="3"/>
        <v/>
      </c>
      <c r="D418" s="32"/>
      <c r="E418" s="33"/>
      <c r="F418" s="34"/>
      <c r="G418" s="32"/>
      <c r="H418" s="32"/>
      <c r="I418" s="32"/>
      <c r="J418" s="34"/>
      <c r="K418" s="35"/>
      <c r="L418" s="36"/>
      <c r="M418" s="32"/>
    </row>
    <row r="419" spans="2:13" ht="15.75" customHeight="1">
      <c r="B419" s="32"/>
      <c r="C419" s="33" t="str">
        <f t="shared" si="3"/>
        <v/>
      </c>
      <c r="D419" s="32"/>
      <c r="E419" s="33"/>
      <c r="F419" s="34"/>
      <c r="G419" s="32"/>
      <c r="H419" s="32"/>
      <c r="I419" s="32"/>
      <c r="J419" s="34"/>
      <c r="K419" s="35"/>
      <c r="L419" s="36"/>
      <c r="M419" s="32"/>
    </row>
    <row r="420" spans="2:13" ht="15.75" customHeight="1">
      <c r="B420" s="32"/>
      <c r="C420" s="33" t="str">
        <f t="shared" si="3"/>
        <v/>
      </c>
      <c r="D420" s="32"/>
      <c r="E420" s="33"/>
      <c r="F420" s="34"/>
      <c r="G420" s="32"/>
      <c r="H420" s="32"/>
      <c r="I420" s="32"/>
      <c r="J420" s="34"/>
      <c r="K420" s="35"/>
      <c r="L420" s="36"/>
      <c r="M420" s="32"/>
    </row>
    <row r="421" spans="2:13" ht="15.75" customHeight="1">
      <c r="B421" s="32"/>
      <c r="C421" s="33" t="str">
        <f t="shared" si="3"/>
        <v/>
      </c>
      <c r="D421" s="32"/>
      <c r="E421" s="33"/>
      <c r="F421" s="34"/>
      <c r="G421" s="32"/>
      <c r="H421" s="32"/>
      <c r="I421" s="32"/>
      <c r="J421" s="34"/>
      <c r="K421" s="35"/>
      <c r="L421" s="36"/>
      <c r="M421" s="32"/>
    </row>
    <row r="422" spans="2:13" ht="15.75" customHeight="1">
      <c r="B422" s="32"/>
      <c r="C422" s="33" t="str">
        <f t="shared" si="3"/>
        <v/>
      </c>
      <c r="D422" s="32"/>
      <c r="E422" s="33"/>
      <c r="F422" s="34"/>
      <c r="G422" s="32"/>
      <c r="H422" s="32"/>
      <c r="I422" s="32"/>
      <c r="J422" s="34"/>
      <c r="K422" s="35"/>
      <c r="L422" s="36"/>
      <c r="M422" s="32"/>
    </row>
    <row r="423" spans="2:13" ht="15.75" customHeight="1">
      <c r="B423" s="32"/>
      <c r="C423" s="33" t="str">
        <f t="shared" si="3"/>
        <v/>
      </c>
      <c r="D423" s="32"/>
      <c r="E423" s="33"/>
      <c r="F423" s="34"/>
      <c r="G423" s="32"/>
      <c r="H423" s="32"/>
      <c r="I423" s="32"/>
      <c r="J423" s="34"/>
      <c r="K423" s="35"/>
      <c r="L423" s="36"/>
      <c r="M423" s="32"/>
    </row>
    <row r="424" spans="2:13" ht="15.75" customHeight="1">
      <c r="B424" s="32"/>
      <c r="C424" s="33" t="str">
        <f t="shared" si="3"/>
        <v/>
      </c>
      <c r="D424" s="32"/>
      <c r="E424" s="33"/>
      <c r="F424" s="34"/>
      <c r="G424" s="32"/>
      <c r="H424" s="32"/>
      <c r="I424" s="32"/>
      <c r="J424" s="34"/>
      <c r="K424" s="35"/>
      <c r="L424" s="36"/>
      <c r="M424" s="32"/>
    </row>
    <row r="425" spans="2:13" ht="15.75" customHeight="1">
      <c r="B425" s="32"/>
      <c r="C425" s="33" t="str">
        <f t="shared" si="3"/>
        <v/>
      </c>
      <c r="D425" s="32"/>
      <c r="E425" s="33"/>
      <c r="F425" s="34"/>
      <c r="G425" s="32"/>
      <c r="H425" s="32"/>
      <c r="I425" s="32"/>
      <c r="J425" s="34"/>
      <c r="K425" s="35"/>
      <c r="L425" s="36"/>
      <c r="M425" s="32"/>
    </row>
    <row r="426" spans="2:13" ht="15.75" customHeight="1">
      <c r="B426" s="32"/>
      <c r="C426" s="33" t="str">
        <f t="shared" si="3"/>
        <v/>
      </c>
      <c r="D426" s="32"/>
      <c r="E426" s="33"/>
      <c r="F426" s="34"/>
      <c r="G426" s="32"/>
      <c r="H426" s="32"/>
      <c r="I426" s="32"/>
      <c r="J426" s="34"/>
      <c r="K426" s="35"/>
      <c r="L426" s="36"/>
      <c r="M426" s="32"/>
    </row>
    <row r="427" spans="2:13" ht="15.75" customHeight="1">
      <c r="B427" s="32"/>
      <c r="C427" s="33" t="str">
        <f t="shared" si="3"/>
        <v/>
      </c>
      <c r="D427" s="32"/>
      <c r="E427" s="33"/>
      <c r="F427" s="34"/>
      <c r="G427" s="32"/>
      <c r="H427" s="32"/>
      <c r="I427" s="32"/>
      <c r="J427" s="34"/>
      <c r="K427" s="35"/>
      <c r="L427" s="36"/>
      <c r="M427" s="32"/>
    </row>
    <row r="428" spans="2:13" ht="15.75" customHeight="1">
      <c r="B428" s="32"/>
      <c r="C428" s="33" t="str">
        <f t="shared" si="3"/>
        <v/>
      </c>
      <c r="D428" s="32"/>
      <c r="E428" s="33"/>
      <c r="F428" s="34"/>
      <c r="G428" s="32"/>
      <c r="H428" s="32"/>
      <c r="I428" s="32"/>
      <c r="J428" s="34"/>
      <c r="K428" s="35"/>
      <c r="L428" s="36"/>
      <c r="M428" s="32"/>
    </row>
    <row r="429" spans="2:13" ht="15.75" customHeight="1">
      <c r="B429" s="32"/>
      <c r="C429" s="33" t="str">
        <f t="shared" si="3"/>
        <v/>
      </c>
      <c r="D429" s="32"/>
      <c r="E429" s="33"/>
      <c r="F429" s="34"/>
      <c r="G429" s="32"/>
      <c r="H429" s="32"/>
      <c r="I429" s="32"/>
      <c r="J429" s="34"/>
      <c r="K429" s="35"/>
      <c r="L429" s="36"/>
      <c r="M429" s="32"/>
    </row>
    <row r="430" spans="2:13" ht="15.75" customHeight="1">
      <c r="B430" s="32"/>
      <c r="C430" s="33" t="str">
        <f t="shared" si="3"/>
        <v/>
      </c>
      <c r="D430" s="32"/>
      <c r="E430" s="33"/>
      <c r="F430" s="34"/>
      <c r="G430" s="32"/>
      <c r="H430" s="32"/>
      <c r="I430" s="32"/>
      <c r="J430" s="34"/>
      <c r="K430" s="35"/>
      <c r="L430" s="36"/>
      <c r="M430" s="32"/>
    </row>
    <row r="431" spans="2:13" ht="15.75" customHeight="1">
      <c r="B431" s="32"/>
      <c r="C431" s="33" t="str">
        <f t="shared" si="3"/>
        <v/>
      </c>
      <c r="D431" s="32"/>
      <c r="E431" s="33"/>
      <c r="F431" s="34"/>
      <c r="G431" s="32"/>
      <c r="H431" s="32"/>
      <c r="I431" s="32"/>
      <c r="J431" s="34"/>
      <c r="K431" s="35"/>
      <c r="L431" s="36"/>
      <c r="M431" s="32"/>
    </row>
    <row r="432" spans="2:13" ht="15.75" customHeight="1">
      <c r="B432" s="32"/>
      <c r="C432" s="33" t="str">
        <f t="shared" si="3"/>
        <v/>
      </c>
      <c r="D432" s="32"/>
      <c r="E432" s="33"/>
      <c r="F432" s="34"/>
      <c r="G432" s="32"/>
      <c r="H432" s="32"/>
      <c r="I432" s="32"/>
      <c r="J432" s="34"/>
      <c r="K432" s="35"/>
      <c r="L432" s="36"/>
      <c r="M432" s="32"/>
    </row>
    <row r="433" spans="2:13" ht="15.75" customHeight="1">
      <c r="B433" s="32"/>
      <c r="C433" s="33" t="str">
        <f t="shared" si="3"/>
        <v/>
      </c>
      <c r="D433" s="32"/>
      <c r="E433" s="33"/>
      <c r="F433" s="34"/>
      <c r="G433" s="32"/>
      <c r="H433" s="32"/>
      <c r="I433" s="32"/>
      <c r="J433" s="34"/>
      <c r="K433" s="35"/>
      <c r="L433" s="36"/>
      <c r="M433" s="32"/>
    </row>
    <row r="434" spans="2:13" ht="15.75" customHeight="1">
      <c r="B434" s="32"/>
      <c r="C434" s="33" t="str">
        <f t="shared" si="3"/>
        <v/>
      </c>
      <c r="D434" s="32"/>
      <c r="E434" s="33"/>
      <c r="F434" s="34"/>
      <c r="G434" s="32"/>
      <c r="H434" s="32"/>
      <c r="I434" s="32"/>
      <c r="J434" s="34"/>
      <c r="K434" s="35"/>
      <c r="L434" s="36"/>
      <c r="M434" s="32"/>
    </row>
    <row r="435" spans="2:13" ht="15.75" customHeight="1">
      <c r="B435" s="32"/>
      <c r="C435" s="33" t="str">
        <f t="shared" si="3"/>
        <v/>
      </c>
      <c r="D435" s="32"/>
      <c r="E435" s="33"/>
      <c r="F435" s="34"/>
      <c r="G435" s="32"/>
      <c r="H435" s="32"/>
      <c r="I435" s="32"/>
      <c r="J435" s="34"/>
      <c r="K435" s="35"/>
      <c r="L435" s="36"/>
      <c r="M435" s="32"/>
    </row>
    <row r="436" spans="2:13" ht="15.75" customHeight="1">
      <c r="B436" s="32"/>
      <c r="C436" s="33" t="str">
        <f t="shared" si="3"/>
        <v/>
      </c>
      <c r="D436" s="32"/>
      <c r="E436" s="33"/>
      <c r="F436" s="34"/>
      <c r="G436" s="32"/>
      <c r="H436" s="32"/>
      <c r="I436" s="32"/>
      <c r="J436" s="34"/>
      <c r="K436" s="35"/>
      <c r="L436" s="36"/>
      <c r="M436" s="32"/>
    </row>
    <row r="437" spans="2:13" ht="15.75" customHeight="1">
      <c r="B437" s="32"/>
      <c r="C437" s="33" t="str">
        <f t="shared" si="3"/>
        <v/>
      </c>
      <c r="D437" s="32"/>
      <c r="E437" s="33"/>
      <c r="F437" s="34"/>
      <c r="G437" s="32"/>
      <c r="H437" s="32"/>
      <c r="I437" s="32"/>
      <c r="J437" s="34"/>
      <c r="K437" s="35"/>
      <c r="L437" s="36"/>
      <c r="M437" s="32"/>
    </row>
    <row r="438" spans="2:13" ht="15.75" customHeight="1">
      <c r="B438" s="32"/>
      <c r="C438" s="33" t="str">
        <f t="shared" si="3"/>
        <v/>
      </c>
      <c r="D438" s="32"/>
      <c r="E438" s="33"/>
      <c r="F438" s="34"/>
      <c r="G438" s="32"/>
      <c r="H438" s="32"/>
      <c r="I438" s="32"/>
      <c r="J438" s="34"/>
      <c r="K438" s="35"/>
      <c r="L438" s="36"/>
      <c r="M438" s="32"/>
    </row>
    <row r="439" spans="2:13" ht="15.75" customHeight="1">
      <c r="B439" s="32"/>
      <c r="C439" s="33" t="str">
        <f t="shared" si="3"/>
        <v/>
      </c>
      <c r="D439" s="32"/>
      <c r="E439" s="33"/>
      <c r="F439" s="34"/>
      <c r="G439" s="32"/>
      <c r="H439" s="32"/>
      <c r="I439" s="32"/>
      <c r="J439" s="34"/>
      <c r="K439" s="35"/>
      <c r="L439" s="36"/>
      <c r="M439" s="32"/>
    </row>
    <row r="440" spans="2:13" ht="15.75" customHeight="1">
      <c r="B440" s="32"/>
      <c r="C440" s="33" t="str">
        <f t="shared" si="3"/>
        <v/>
      </c>
      <c r="D440" s="32"/>
      <c r="E440" s="33"/>
      <c r="F440" s="34"/>
      <c r="G440" s="32"/>
      <c r="H440" s="32"/>
      <c r="I440" s="32"/>
      <c r="J440" s="34"/>
      <c r="K440" s="35"/>
      <c r="L440" s="36"/>
      <c r="M440" s="32"/>
    </row>
    <row r="441" spans="2:13" ht="15.75" customHeight="1">
      <c r="B441" s="32"/>
      <c r="C441" s="33" t="str">
        <f t="shared" si="3"/>
        <v/>
      </c>
      <c r="D441" s="32"/>
      <c r="E441" s="33"/>
      <c r="F441" s="34"/>
      <c r="G441" s="32"/>
      <c r="H441" s="32"/>
      <c r="I441" s="32"/>
      <c r="J441" s="34"/>
      <c r="K441" s="35"/>
      <c r="L441" s="36"/>
      <c r="M441" s="32"/>
    </row>
    <row r="442" spans="2:13" ht="15.75" customHeight="1">
      <c r="B442" s="32"/>
      <c r="C442" s="33" t="str">
        <f t="shared" si="3"/>
        <v/>
      </c>
      <c r="D442" s="32"/>
      <c r="E442" s="33"/>
      <c r="F442" s="34"/>
      <c r="G442" s="32"/>
      <c r="H442" s="32"/>
      <c r="I442" s="32"/>
      <c r="J442" s="34"/>
      <c r="K442" s="35"/>
      <c r="L442" s="36"/>
      <c r="M442" s="32"/>
    </row>
    <row r="443" spans="2:13" ht="15.75" customHeight="1">
      <c r="B443" s="32"/>
      <c r="C443" s="33" t="str">
        <f t="shared" si="3"/>
        <v/>
      </c>
      <c r="D443" s="32"/>
      <c r="E443" s="33"/>
      <c r="F443" s="34"/>
      <c r="G443" s="32"/>
      <c r="H443" s="32"/>
      <c r="I443" s="32"/>
      <c r="J443" s="34"/>
      <c r="K443" s="35"/>
      <c r="L443" s="36"/>
      <c r="M443" s="32"/>
    </row>
    <row r="444" spans="2:13" ht="15.75" customHeight="1">
      <c r="B444" s="32"/>
      <c r="C444" s="33" t="str">
        <f t="shared" si="3"/>
        <v/>
      </c>
      <c r="D444" s="32"/>
      <c r="E444" s="33"/>
      <c r="F444" s="34"/>
      <c r="G444" s="32"/>
      <c r="H444" s="32"/>
      <c r="I444" s="32"/>
      <c r="J444" s="34"/>
      <c r="K444" s="35"/>
      <c r="L444" s="36"/>
      <c r="M444" s="32"/>
    </row>
    <row r="445" spans="2:13" ht="15.75" customHeight="1">
      <c r="B445" s="32"/>
      <c r="C445" s="33" t="str">
        <f t="shared" si="3"/>
        <v/>
      </c>
      <c r="D445" s="32"/>
      <c r="E445" s="33"/>
      <c r="F445" s="34"/>
      <c r="G445" s="32"/>
      <c r="H445" s="32"/>
      <c r="I445" s="32"/>
      <c r="J445" s="34"/>
      <c r="K445" s="35"/>
      <c r="L445" s="36"/>
      <c r="M445" s="32"/>
    </row>
    <row r="446" spans="2:13" ht="15.75" customHeight="1">
      <c r="B446" s="32"/>
      <c r="C446" s="33" t="str">
        <f t="shared" si="3"/>
        <v/>
      </c>
      <c r="D446" s="32"/>
      <c r="E446" s="33"/>
      <c r="F446" s="34"/>
      <c r="G446" s="32"/>
      <c r="H446" s="32"/>
      <c r="I446" s="32"/>
      <c r="J446" s="34"/>
      <c r="K446" s="35"/>
      <c r="L446" s="36"/>
      <c r="M446" s="32"/>
    </row>
    <row r="447" spans="2:13" ht="15.75" customHeight="1">
      <c r="B447" s="32"/>
      <c r="C447" s="33" t="str">
        <f t="shared" si="3"/>
        <v/>
      </c>
      <c r="D447" s="32"/>
      <c r="E447" s="33"/>
      <c r="F447" s="34"/>
      <c r="G447" s="32"/>
      <c r="H447" s="32"/>
      <c r="I447" s="32"/>
      <c r="J447" s="34"/>
      <c r="K447" s="35"/>
      <c r="L447" s="36"/>
      <c r="M447" s="32"/>
    </row>
    <row r="448" spans="2:13" ht="15.75" customHeight="1">
      <c r="B448" s="32"/>
      <c r="C448" s="33" t="str">
        <f t="shared" si="3"/>
        <v/>
      </c>
      <c r="D448" s="32"/>
      <c r="E448" s="33"/>
      <c r="F448" s="34"/>
      <c r="G448" s="32"/>
      <c r="H448" s="32"/>
      <c r="I448" s="32"/>
      <c r="J448" s="34"/>
      <c r="K448" s="35"/>
      <c r="L448" s="36"/>
      <c r="M448" s="32"/>
    </row>
    <row r="449" spans="2:13" ht="15.75" customHeight="1">
      <c r="B449" s="32"/>
      <c r="C449" s="33" t="str">
        <f t="shared" si="3"/>
        <v/>
      </c>
      <c r="D449" s="32"/>
      <c r="E449" s="33"/>
      <c r="F449" s="34"/>
      <c r="G449" s="32"/>
      <c r="H449" s="32"/>
      <c r="I449" s="32"/>
      <c r="J449" s="34"/>
      <c r="K449" s="35"/>
      <c r="L449" s="36"/>
      <c r="M449" s="32"/>
    </row>
    <row r="450" spans="2:13" ht="15.75" customHeight="1">
      <c r="B450" s="32"/>
      <c r="C450" s="33" t="str">
        <f t="shared" si="3"/>
        <v/>
      </c>
      <c r="D450" s="32"/>
      <c r="E450" s="33"/>
      <c r="F450" s="34"/>
      <c r="G450" s="32"/>
      <c r="H450" s="32"/>
      <c r="I450" s="32"/>
      <c r="J450" s="34"/>
      <c r="K450" s="35"/>
      <c r="L450" s="36"/>
      <c r="M450" s="32"/>
    </row>
    <row r="451" spans="2:13" ht="15.75" customHeight="1">
      <c r="B451" s="32"/>
      <c r="C451" s="33" t="str">
        <f t="shared" si="3"/>
        <v/>
      </c>
      <c r="D451" s="32"/>
      <c r="E451" s="33"/>
      <c r="F451" s="34"/>
      <c r="G451" s="32"/>
      <c r="H451" s="32"/>
      <c r="I451" s="32"/>
      <c r="J451" s="34"/>
      <c r="K451" s="35"/>
      <c r="L451" s="36"/>
      <c r="M451" s="32"/>
    </row>
    <row r="452" spans="2:13" ht="15.75" customHeight="1">
      <c r="B452" s="32"/>
      <c r="C452" s="33" t="str">
        <f t="shared" si="3"/>
        <v/>
      </c>
      <c r="D452" s="32"/>
      <c r="E452" s="33"/>
      <c r="F452" s="34"/>
      <c r="G452" s="32"/>
      <c r="H452" s="32"/>
      <c r="I452" s="32"/>
      <c r="J452" s="34"/>
      <c r="K452" s="35"/>
      <c r="L452" s="36"/>
      <c r="M452" s="32"/>
    </row>
    <row r="453" spans="2:13" ht="15.75" customHeight="1">
      <c r="B453" s="32"/>
      <c r="C453" s="33" t="str">
        <f t="shared" si="3"/>
        <v/>
      </c>
      <c r="D453" s="32"/>
      <c r="E453" s="33"/>
      <c r="F453" s="34"/>
      <c r="G453" s="32"/>
      <c r="H453" s="32"/>
      <c r="I453" s="32"/>
      <c r="J453" s="34"/>
      <c r="K453" s="35"/>
      <c r="L453" s="36"/>
      <c r="M453" s="32"/>
    </row>
    <row r="454" spans="2:13" ht="15.75" customHeight="1">
      <c r="B454" s="32"/>
      <c r="C454" s="33" t="str">
        <f t="shared" si="3"/>
        <v/>
      </c>
      <c r="D454" s="32"/>
      <c r="E454" s="33"/>
      <c r="F454" s="34"/>
      <c r="G454" s="32"/>
      <c r="H454" s="32"/>
      <c r="I454" s="32"/>
      <c r="J454" s="34"/>
      <c r="K454" s="35"/>
      <c r="L454" s="36"/>
      <c r="M454" s="32"/>
    </row>
    <row r="455" spans="2:13" ht="15.75" customHeight="1">
      <c r="B455" s="32"/>
      <c r="C455" s="33" t="str">
        <f t="shared" si="3"/>
        <v/>
      </c>
      <c r="D455" s="32"/>
      <c r="E455" s="33"/>
      <c r="F455" s="34"/>
      <c r="G455" s="32"/>
      <c r="H455" s="32"/>
      <c r="I455" s="32"/>
      <c r="J455" s="34"/>
      <c r="K455" s="35"/>
      <c r="L455" s="36"/>
      <c r="M455" s="32"/>
    </row>
    <row r="456" spans="2:13" ht="15.75" customHeight="1">
      <c r="B456" s="32"/>
      <c r="C456" s="33" t="str">
        <f t="shared" si="3"/>
        <v/>
      </c>
      <c r="D456" s="32"/>
      <c r="E456" s="33"/>
      <c r="F456" s="34"/>
      <c r="G456" s="32"/>
      <c r="H456" s="32"/>
      <c r="I456" s="32"/>
      <c r="J456" s="34"/>
      <c r="K456" s="35"/>
      <c r="L456" s="36"/>
      <c r="M456" s="32"/>
    </row>
    <row r="457" spans="2:13" ht="15.75" customHeight="1">
      <c r="B457" s="32"/>
      <c r="C457" s="33" t="str">
        <f t="shared" si="3"/>
        <v/>
      </c>
      <c r="D457" s="32"/>
      <c r="E457" s="33"/>
      <c r="F457" s="34"/>
      <c r="G457" s="32"/>
      <c r="H457" s="32"/>
      <c r="I457" s="32"/>
      <c r="J457" s="34"/>
      <c r="K457" s="35"/>
      <c r="L457" s="36"/>
      <c r="M457" s="32"/>
    </row>
    <row r="458" spans="2:13" ht="15.75" customHeight="1">
      <c r="B458" s="32"/>
      <c r="C458" s="33" t="str">
        <f t="shared" si="3"/>
        <v/>
      </c>
      <c r="D458" s="32"/>
      <c r="E458" s="33"/>
      <c r="F458" s="34"/>
      <c r="G458" s="32"/>
      <c r="H458" s="32"/>
      <c r="I458" s="32"/>
      <c r="J458" s="34"/>
      <c r="K458" s="35"/>
      <c r="L458" s="36"/>
      <c r="M458" s="32"/>
    </row>
    <row r="459" spans="2:13" ht="15.75" customHeight="1">
      <c r="B459" s="32"/>
      <c r="C459" s="33" t="str">
        <f t="shared" si="3"/>
        <v/>
      </c>
      <c r="D459" s="32"/>
      <c r="E459" s="33"/>
      <c r="F459" s="34"/>
      <c r="G459" s="32"/>
      <c r="H459" s="32"/>
      <c r="I459" s="32"/>
      <c r="J459" s="34"/>
      <c r="K459" s="35"/>
      <c r="L459" s="36"/>
      <c r="M459" s="32"/>
    </row>
    <row r="460" spans="2:13" ht="15.75" customHeight="1">
      <c r="B460" s="32"/>
      <c r="C460" s="33" t="str">
        <f t="shared" si="3"/>
        <v/>
      </c>
      <c r="D460" s="32"/>
      <c r="E460" s="33"/>
      <c r="F460" s="34"/>
      <c r="G460" s="32"/>
      <c r="H460" s="32"/>
      <c r="I460" s="32"/>
      <c r="J460" s="34"/>
      <c r="K460" s="35"/>
      <c r="L460" s="36"/>
      <c r="M460" s="32"/>
    </row>
    <row r="461" spans="2:13" ht="15.75" customHeight="1">
      <c r="B461" s="32"/>
      <c r="C461" s="33" t="str">
        <f t="shared" si="3"/>
        <v/>
      </c>
      <c r="D461" s="32"/>
      <c r="E461" s="33"/>
      <c r="F461" s="34"/>
      <c r="G461" s="32"/>
      <c r="H461" s="32"/>
      <c r="I461" s="32"/>
      <c r="J461" s="34"/>
      <c r="K461" s="35"/>
      <c r="L461" s="36"/>
      <c r="M461" s="32"/>
    </row>
    <row r="462" spans="2:13" ht="15.75" customHeight="1">
      <c r="B462" s="32"/>
      <c r="C462" s="33" t="str">
        <f t="shared" si="3"/>
        <v/>
      </c>
      <c r="D462" s="32"/>
      <c r="E462" s="33"/>
      <c r="F462" s="34"/>
      <c r="G462" s="32"/>
      <c r="H462" s="32"/>
      <c r="I462" s="32"/>
      <c r="J462" s="34"/>
      <c r="K462" s="35"/>
      <c r="L462" s="36"/>
      <c r="M462" s="32"/>
    </row>
    <row r="463" spans="2:13" ht="15.75" customHeight="1">
      <c r="B463" s="32"/>
      <c r="C463" s="33" t="str">
        <f t="shared" si="3"/>
        <v/>
      </c>
      <c r="D463" s="32"/>
      <c r="E463" s="33"/>
      <c r="F463" s="34"/>
      <c r="G463" s="32"/>
      <c r="H463" s="32"/>
      <c r="I463" s="32"/>
      <c r="J463" s="34"/>
      <c r="K463" s="35"/>
      <c r="L463" s="36"/>
      <c r="M463" s="32"/>
    </row>
    <row r="464" spans="2:13" ht="15.75" customHeight="1">
      <c r="B464" s="32"/>
      <c r="C464" s="33" t="str">
        <f t="shared" si="3"/>
        <v/>
      </c>
      <c r="D464" s="32"/>
      <c r="E464" s="33"/>
      <c r="F464" s="34"/>
      <c r="G464" s="32"/>
      <c r="H464" s="32"/>
      <c r="I464" s="32"/>
      <c r="J464" s="34"/>
      <c r="K464" s="35"/>
      <c r="L464" s="36"/>
      <c r="M464" s="32"/>
    </row>
    <row r="465" spans="2:13" ht="15.75" customHeight="1">
      <c r="B465" s="32"/>
      <c r="C465" s="33" t="str">
        <f t="shared" si="3"/>
        <v/>
      </c>
      <c r="D465" s="32"/>
      <c r="E465" s="33"/>
      <c r="F465" s="34"/>
      <c r="G465" s="32"/>
      <c r="H465" s="32"/>
      <c r="I465" s="32"/>
      <c r="J465" s="34"/>
      <c r="K465" s="35"/>
      <c r="L465" s="36"/>
      <c r="M465" s="32"/>
    </row>
    <row r="466" spans="2:13" ht="15.75" customHeight="1">
      <c r="B466" s="32"/>
      <c r="C466" s="33" t="str">
        <f t="shared" si="3"/>
        <v/>
      </c>
      <c r="D466" s="32"/>
      <c r="E466" s="33"/>
      <c r="F466" s="34"/>
      <c r="G466" s="32"/>
      <c r="H466" s="32"/>
      <c r="I466" s="32"/>
      <c r="J466" s="34"/>
      <c r="K466" s="35"/>
      <c r="L466" s="36"/>
      <c r="M466" s="32"/>
    </row>
    <row r="467" spans="2:13" ht="15.75" customHeight="1">
      <c r="B467" s="32"/>
      <c r="C467" s="33" t="str">
        <f t="shared" si="3"/>
        <v/>
      </c>
      <c r="D467" s="32"/>
      <c r="E467" s="33"/>
      <c r="F467" s="34"/>
      <c r="G467" s="32"/>
      <c r="H467" s="32"/>
      <c r="I467" s="32"/>
      <c r="J467" s="34"/>
      <c r="K467" s="35"/>
      <c r="L467" s="36"/>
      <c r="M467" s="32"/>
    </row>
    <row r="468" spans="2:13" ht="15.75" customHeight="1">
      <c r="B468" s="32"/>
      <c r="C468" s="33" t="str">
        <f t="shared" si="3"/>
        <v/>
      </c>
      <c r="D468" s="32"/>
      <c r="E468" s="33"/>
      <c r="F468" s="34"/>
      <c r="G468" s="32"/>
      <c r="H468" s="32"/>
      <c r="I468" s="32"/>
      <c r="J468" s="34"/>
      <c r="K468" s="35"/>
      <c r="L468" s="36"/>
      <c r="M468" s="32"/>
    </row>
    <row r="469" spans="2:13" ht="15.75" customHeight="1">
      <c r="B469" s="32"/>
      <c r="C469" s="33" t="str">
        <f t="shared" si="3"/>
        <v/>
      </c>
      <c r="D469" s="32"/>
      <c r="E469" s="33"/>
      <c r="F469" s="34"/>
      <c r="G469" s="32"/>
      <c r="H469" s="32"/>
      <c r="I469" s="32"/>
      <c r="J469" s="34"/>
      <c r="K469" s="35"/>
      <c r="L469" s="36"/>
      <c r="M469" s="32"/>
    </row>
    <row r="470" spans="2:13" ht="15.75" customHeight="1">
      <c r="B470" s="32"/>
      <c r="C470" s="33" t="str">
        <f t="shared" si="3"/>
        <v/>
      </c>
      <c r="D470" s="32"/>
      <c r="E470" s="33"/>
      <c r="F470" s="34"/>
      <c r="G470" s="32"/>
      <c r="H470" s="32"/>
      <c r="I470" s="32"/>
      <c r="J470" s="34"/>
      <c r="K470" s="35"/>
      <c r="L470" s="36"/>
      <c r="M470" s="32"/>
    </row>
    <row r="471" spans="2:13" ht="15.75" customHeight="1">
      <c r="B471" s="32"/>
      <c r="C471" s="33" t="str">
        <f t="shared" si="3"/>
        <v/>
      </c>
      <c r="D471" s="32"/>
      <c r="E471" s="33"/>
      <c r="F471" s="34"/>
      <c r="G471" s="32"/>
      <c r="H471" s="32"/>
      <c r="I471" s="32"/>
      <c r="J471" s="34"/>
      <c r="K471" s="35"/>
      <c r="L471" s="36"/>
      <c r="M471" s="32"/>
    </row>
    <row r="472" spans="2:13" ht="15.75" customHeight="1">
      <c r="B472" s="32"/>
      <c r="C472" s="33" t="str">
        <f t="shared" si="3"/>
        <v/>
      </c>
      <c r="D472" s="32"/>
      <c r="E472" s="33"/>
      <c r="F472" s="34"/>
      <c r="G472" s="32"/>
      <c r="H472" s="32"/>
      <c r="I472" s="32"/>
      <c r="J472" s="34"/>
      <c r="K472" s="35"/>
      <c r="L472" s="36"/>
      <c r="M472" s="32"/>
    </row>
    <row r="473" spans="2:13" ht="15.75" customHeight="1">
      <c r="B473" s="32"/>
      <c r="C473" s="33" t="str">
        <f t="shared" si="3"/>
        <v/>
      </c>
      <c r="D473" s="32"/>
      <c r="E473" s="33"/>
      <c r="F473" s="34"/>
      <c r="G473" s="32"/>
      <c r="H473" s="32"/>
      <c r="I473" s="32"/>
      <c r="J473" s="34"/>
      <c r="K473" s="35"/>
      <c r="L473" s="36"/>
      <c r="M473" s="32"/>
    </row>
    <row r="474" spans="2:13" ht="15.75" customHeight="1">
      <c r="B474" s="32"/>
      <c r="C474" s="33" t="str">
        <f t="shared" si="3"/>
        <v/>
      </c>
      <c r="D474" s="32"/>
      <c r="E474" s="33"/>
      <c r="F474" s="34"/>
      <c r="G474" s="32"/>
      <c r="H474" s="32"/>
      <c r="I474" s="32"/>
      <c r="J474" s="34"/>
      <c r="K474" s="35"/>
      <c r="L474" s="36"/>
      <c r="M474" s="32"/>
    </row>
    <row r="475" spans="2:13" ht="15.75" customHeight="1">
      <c r="B475" s="32"/>
      <c r="C475" s="33" t="str">
        <f t="shared" si="3"/>
        <v/>
      </c>
      <c r="D475" s="32"/>
      <c r="E475" s="33"/>
      <c r="F475" s="34"/>
      <c r="G475" s="32"/>
      <c r="H475" s="32"/>
      <c r="I475" s="32"/>
      <c r="J475" s="34"/>
      <c r="K475" s="35"/>
      <c r="L475" s="36"/>
      <c r="M475" s="32"/>
    </row>
    <row r="476" spans="2:13" ht="15.75" customHeight="1">
      <c r="B476" s="32"/>
      <c r="C476" s="33" t="str">
        <f t="shared" si="3"/>
        <v/>
      </c>
      <c r="D476" s="32"/>
      <c r="E476" s="33"/>
      <c r="F476" s="34"/>
      <c r="G476" s="32"/>
      <c r="H476" s="32"/>
      <c r="I476" s="32"/>
      <c r="J476" s="34"/>
      <c r="K476" s="35"/>
      <c r="L476" s="36"/>
      <c r="M476" s="32"/>
    </row>
    <row r="477" spans="2:13" ht="15.75" customHeight="1">
      <c r="B477" s="32"/>
      <c r="C477" s="33" t="str">
        <f t="shared" si="3"/>
        <v/>
      </c>
      <c r="D477" s="32"/>
      <c r="E477" s="33"/>
      <c r="F477" s="34"/>
      <c r="G477" s="32"/>
      <c r="H477" s="32"/>
      <c r="I477" s="32"/>
      <c r="J477" s="34"/>
      <c r="K477" s="35"/>
      <c r="L477" s="36"/>
      <c r="M477" s="32"/>
    </row>
    <row r="478" spans="2:13" ht="15.75" customHeight="1">
      <c r="B478" s="32"/>
      <c r="C478" s="33" t="str">
        <f t="shared" si="3"/>
        <v/>
      </c>
      <c r="D478" s="32"/>
      <c r="E478" s="33"/>
      <c r="F478" s="34"/>
      <c r="G478" s="32"/>
      <c r="H478" s="32"/>
      <c r="I478" s="32"/>
      <c r="J478" s="34"/>
      <c r="K478" s="35"/>
      <c r="L478" s="36"/>
      <c r="M478" s="32"/>
    </row>
    <row r="479" spans="2:13" ht="15.75" customHeight="1">
      <c r="B479" s="32"/>
      <c r="C479" s="33" t="str">
        <f t="shared" si="3"/>
        <v/>
      </c>
      <c r="D479" s="32"/>
      <c r="E479" s="33"/>
      <c r="F479" s="34"/>
      <c r="G479" s="32"/>
      <c r="H479" s="32"/>
      <c r="I479" s="32"/>
      <c r="J479" s="34"/>
      <c r="K479" s="35"/>
      <c r="L479" s="36"/>
      <c r="M479" s="32"/>
    </row>
    <row r="480" spans="2:13" ht="15.75" customHeight="1">
      <c r="B480" s="32"/>
      <c r="C480" s="33" t="str">
        <f t="shared" si="3"/>
        <v/>
      </c>
      <c r="D480" s="32"/>
      <c r="E480" s="33"/>
      <c r="F480" s="34"/>
      <c r="G480" s="32"/>
      <c r="H480" s="32"/>
      <c r="I480" s="32"/>
      <c r="J480" s="34"/>
      <c r="K480" s="35"/>
      <c r="L480" s="36"/>
      <c r="M480" s="32"/>
    </row>
    <row r="481" spans="2:13" ht="15.75" customHeight="1">
      <c r="B481" s="32"/>
      <c r="C481" s="33" t="str">
        <f t="shared" si="3"/>
        <v/>
      </c>
      <c r="D481" s="32"/>
      <c r="E481" s="33"/>
      <c r="F481" s="34"/>
      <c r="G481" s="32"/>
      <c r="H481" s="32"/>
      <c r="I481" s="32"/>
      <c r="J481" s="34"/>
      <c r="K481" s="35"/>
      <c r="L481" s="36"/>
      <c r="M481" s="32"/>
    </row>
    <row r="482" spans="2:13" ht="15.75" customHeight="1">
      <c r="B482" s="32"/>
      <c r="C482" s="33" t="str">
        <f t="shared" si="3"/>
        <v/>
      </c>
      <c r="D482" s="32"/>
      <c r="E482" s="33"/>
      <c r="F482" s="34"/>
      <c r="G482" s="32"/>
      <c r="H482" s="32"/>
      <c r="I482" s="32"/>
      <c r="J482" s="34"/>
      <c r="K482" s="35"/>
      <c r="L482" s="36"/>
      <c r="M482" s="32"/>
    </row>
    <row r="483" spans="2:13" ht="15.75" customHeight="1">
      <c r="B483" s="32"/>
      <c r="C483" s="33" t="str">
        <f t="shared" si="3"/>
        <v/>
      </c>
      <c r="D483" s="32"/>
      <c r="E483" s="33"/>
      <c r="F483" s="34"/>
      <c r="G483" s="32"/>
      <c r="H483" s="32"/>
      <c r="I483" s="32"/>
      <c r="J483" s="34"/>
      <c r="K483" s="35"/>
      <c r="L483" s="36"/>
      <c r="M483" s="32"/>
    </row>
    <row r="484" spans="2:13" ht="15.75" customHeight="1">
      <c r="B484" s="32"/>
      <c r="C484" s="33" t="str">
        <f t="shared" si="3"/>
        <v/>
      </c>
      <c r="D484" s="32"/>
      <c r="E484" s="33"/>
      <c r="F484" s="34"/>
      <c r="G484" s="32"/>
      <c r="H484" s="32"/>
      <c r="I484" s="32"/>
      <c r="J484" s="34"/>
      <c r="K484" s="35"/>
      <c r="L484" s="36"/>
      <c r="M484" s="32"/>
    </row>
    <row r="485" spans="2:13" ht="15.75" customHeight="1">
      <c r="B485" s="32"/>
      <c r="C485" s="33" t="str">
        <f t="shared" si="3"/>
        <v/>
      </c>
      <c r="D485" s="32"/>
      <c r="E485" s="33"/>
      <c r="F485" s="34"/>
      <c r="G485" s="32"/>
      <c r="H485" s="32"/>
      <c r="I485" s="32"/>
      <c r="J485" s="34"/>
      <c r="K485" s="35"/>
      <c r="L485" s="36"/>
      <c r="M485" s="32"/>
    </row>
    <row r="486" spans="2:13" ht="15.75" customHeight="1">
      <c r="B486" s="32"/>
      <c r="C486" s="33" t="str">
        <f t="shared" si="3"/>
        <v/>
      </c>
      <c r="D486" s="32"/>
      <c r="E486" s="33"/>
      <c r="F486" s="34"/>
      <c r="G486" s="32"/>
      <c r="H486" s="32"/>
      <c r="I486" s="32"/>
      <c r="J486" s="34"/>
      <c r="K486" s="35"/>
      <c r="L486" s="36"/>
      <c r="M486" s="32"/>
    </row>
    <row r="487" spans="2:13" ht="15.75" customHeight="1">
      <c r="B487" s="32"/>
      <c r="C487" s="33" t="str">
        <f t="shared" si="3"/>
        <v/>
      </c>
      <c r="D487" s="32"/>
      <c r="E487" s="33"/>
      <c r="F487" s="34"/>
      <c r="G487" s="32"/>
      <c r="H487" s="32"/>
      <c r="I487" s="32"/>
      <c r="J487" s="34"/>
      <c r="K487" s="35"/>
      <c r="L487" s="36"/>
      <c r="M487" s="32"/>
    </row>
    <row r="488" spans="2:13" ht="15.75" customHeight="1">
      <c r="B488" s="32"/>
      <c r="C488" s="33" t="str">
        <f t="shared" si="3"/>
        <v/>
      </c>
      <c r="D488" s="32"/>
      <c r="E488" s="33"/>
      <c r="F488" s="34"/>
      <c r="G488" s="32"/>
      <c r="H488" s="32"/>
      <c r="I488" s="32"/>
      <c r="J488" s="34"/>
      <c r="K488" s="35"/>
      <c r="L488" s="36"/>
      <c r="M488" s="32"/>
    </row>
    <row r="489" spans="2:13" ht="15.75" customHeight="1">
      <c r="B489" s="32"/>
      <c r="C489" s="33" t="str">
        <f t="shared" si="3"/>
        <v/>
      </c>
      <c r="D489" s="32"/>
      <c r="E489" s="33"/>
      <c r="F489" s="34"/>
      <c r="G489" s="32"/>
      <c r="H489" s="32"/>
      <c r="I489" s="32"/>
      <c r="J489" s="34"/>
      <c r="K489" s="35"/>
      <c r="L489" s="36"/>
      <c r="M489" s="32"/>
    </row>
    <row r="490" spans="2:13" ht="15.75" customHeight="1">
      <c r="B490" s="32"/>
      <c r="C490" s="33" t="str">
        <f t="shared" si="3"/>
        <v/>
      </c>
      <c r="D490" s="32"/>
      <c r="E490" s="33"/>
      <c r="F490" s="34"/>
      <c r="G490" s="32"/>
      <c r="H490" s="32"/>
      <c r="I490" s="32"/>
      <c r="J490" s="34"/>
      <c r="K490" s="35"/>
      <c r="L490" s="36"/>
      <c r="M490" s="32"/>
    </row>
    <row r="491" spans="2:13" ht="15.75" customHeight="1">
      <c r="B491" s="32"/>
      <c r="C491" s="33" t="str">
        <f t="shared" si="3"/>
        <v/>
      </c>
      <c r="D491" s="32"/>
      <c r="E491" s="33"/>
      <c r="F491" s="34"/>
      <c r="G491" s="32"/>
      <c r="H491" s="32"/>
      <c r="I491" s="32"/>
      <c r="J491" s="34"/>
      <c r="K491" s="35"/>
      <c r="L491" s="36"/>
      <c r="M491" s="32"/>
    </row>
    <row r="492" spans="2:13" ht="15.75" customHeight="1">
      <c r="B492" s="32"/>
      <c r="C492" s="33" t="str">
        <f t="shared" si="3"/>
        <v/>
      </c>
      <c r="D492" s="32"/>
      <c r="E492" s="33"/>
      <c r="F492" s="34"/>
      <c r="G492" s="32"/>
      <c r="H492" s="32"/>
      <c r="I492" s="32"/>
      <c r="J492" s="34"/>
      <c r="K492" s="35"/>
      <c r="L492" s="36"/>
      <c r="M492" s="32"/>
    </row>
    <row r="493" spans="2:13" ht="15.75" customHeight="1">
      <c r="B493" s="32"/>
      <c r="C493" s="33" t="str">
        <f t="shared" si="3"/>
        <v/>
      </c>
      <c r="D493" s="32"/>
      <c r="E493" s="33"/>
      <c r="F493" s="34"/>
      <c r="G493" s="32"/>
      <c r="H493" s="32"/>
      <c r="I493" s="32"/>
      <c r="J493" s="34"/>
      <c r="K493" s="35"/>
      <c r="L493" s="36"/>
      <c r="M493" s="32"/>
    </row>
    <row r="494" spans="2:13" ht="15.75" customHeight="1">
      <c r="B494" s="32"/>
      <c r="C494" s="33" t="str">
        <f t="shared" si="3"/>
        <v/>
      </c>
      <c r="D494" s="32"/>
      <c r="E494" s="33"/>
      <c r="F494" s="34"/>
      <c r="G494" s="32"/>
      <c r="H494" s="32"/>
      <c r="I494" s="32"/>
      <c r="J494" s="34"/>
      <c r="K494" s="35"/>
      <c r="L494" s="36"/>
      <c r="M494" s="32"/>
    </row>
    <row r="495" spans="2:13" ht="15.75" customHeight="1">
      <c r="B495" s="32"/>
      <c r="C495" s="33" t="str">
        <f t="shared" si="3"/>
        <v/>
      </c>
      <c r="D495" s="32"/>
      <c r="E495" s="33"/>
      <c r="F495" s="34"/>
      <c r="G495" s="32"/>
      <c r="H495" s="32"/>
      <c r="I495" s="32"/>
      <c r="J495" s="34"/>
      <c r="K495" s="35"/>
      <c r="L495" s="36"/>
      <c r="M495" s="32"/>
    </row>
    <row r="496" spans="2:13" ht="15.75" customHeight="1">
      <c r="B496" s="32"/>
      <c r="C496" s="33" t="str">
        <f t="shared" si="3"/>
        <v/>
      </c>
      <c r="D496" s="32"/>
      <c r="E496" s="33"/>
      <c r="F496" s="34"/>
      <c r="G496" s="32"/>
      <c r="H496" s="32"/>
      <c r="I496" s="32"/>
      <c r="J496" s="34"/>
      <c r="K496" s="35"/>
      <c r="L496" s="36"/>
      <c r="M496" s="32"/>
    </row>
    <row r="497" spans="2:13" ht="15.75" customHeight="1">
      <c r="B497" s="32"/>
      <c r="C497" s="33" t="str">
        <f t="shared" si="3"/>
        <v/>
      </c>
      <c r="D497" s="32"/>
      <c r="E497" s="33"/>
      <c r="F497" s="34"/>
      <c r="G497" s="32"/>
      <c r="H497" s="32"/>
      <c r="I497" s="32"/>
      <c r="J497" s="34"/>
      <c r="K497" s="35"/>
      <c r="L497" s="36"/>
      <c r="M497" s="32"/>
    </row>
    <row r="498" spans="2:13" ht="15.75" customHeight="1">
      <c r="B498" s="32"/>
      <c r="C498" s="33" t="str">
        <f t="shared" si="3"/>
        <v/>
      </c>
      <c r="D498" s="32"/>
      <c r="E498" s="33"/>
      <c r="F498" s="34"/>
      <c r="G498" s="32"/>
      <c r="H498" s="32"/>
      <c r="I498" s="32"/>
      <c r="J498" s="34"/>
      <c r="K498" s="35"/>
      <c r="L498" s="36"/>
      <c r="M498" s="32"/>
    </row>
    <row r="499" spans="2:13" ht="15.75" customHeight="1">
      <c r="B499" s="32"/>
      <c r="C499" s="33" t="str">
        <f t="shared" si="3"/>
        <v/>
      </c>
      <c r="D499" s="32"/>
      <c r="E499" s="33"/>
      <c r="F499" s="34"/>
      <c r="G499" s="32"/>
      <c r="H499" s="32"/>
      <c r="I499" s="32"/>
      <c r="J499" s="34"/>
      <c r="K499" s="35"/>
      <c r="L499" s="36"/>
      <c r="M499" s="32"/>
    </row>
    <row r="500" spans="2:13" ht="15.75" customHeight="1">
      <c r="B500" s="32"/>
      <c r="C500" s="33" t="str">
        <f t="shared" si="3"/>
        <v/>
      </c>
      <c r="D500" s="32"/>
      <c r="E500" s="33"/>
      <c r="F500" s="34"/>
      <c r="G500" s="32"/>
      <c r="H500" s="32"/>
      <c r="I500" s="32"/>
      <c r="J500" s="34"/>
      <c r="K500" s="35"/>
      <c r="L500" s="36"/>
      <c r="M500" s="32"/>
    </row>
    <row r="501" spans="2:13" ht="15.75" customHeight="1">
      <c r="B501" s="32"/>
      <c r="C501" s="33" t="str">
        <f t="shared" si="3"/>
        <v/>
      </c>
      <c r="D501" s="32"/>
      <c r="E501" s="33"/>
      <c r="F501" s="34"/>
      <c r="G501" s="32"/>
      <c r="H501" s="32"/>
      <c r="I501" s="32"/>
      <c r="J501" s="34"/>
      <c r="K501" s="35"/>
      <c r="L501" s="36"/>
      <c r="M501" s="32"/>
    </row>
    <row r="502" spans="2:13" ht="15.75" customHeight="1">
      <c r="B502" s="32"/>
      <c r="C502" s="33" t="str">
        <f t="shared" si="3"/>
        <v/>
      </c>
      <c r="D502" s="32"/>
      <c r="E502" s="33"/>
      <c r="F502" s="34"/>
      <c r="G502" s="32"/>
      <c r="H502" s="32"/>
      <c r="I502" s="32"/>
      <c r="J502" s="34"/>
      <c r="K502" s="35"/>
      <c r="L502" s="36"/>
      <c r="M502" s="32"/>
    </row>
    <row r="503" spans="2:13" ht="15.75" customHeight="1">
      <c r="B503" s="32"/>
      <c r="C503" s="33" t="str">
        <f t="shared" si="3"/>
        <v/>
      </c>
      <c r="D503" s="32"/>
      <c r="E503" s="33"/>
      <c r="F503" s="34"/>
      <c r="G503" s="32"/>
      <c r="H503" s="32"/>
      <c r="I503" s="32"/>
      <c r="J503" s="34"/>
      <c r="K503" s="35"/>
      <c r="L503" s="36"/>
      <c r="M503" s="32"/>
    </row>
    <row r="504" spans="2:13" ht="15.75" customHeight="1">
      <c r="B504" s="32"/>
      <c r="C504" s="33" t="str">
        <f t="shared" si="3"/>
        <v/>
      </c>
      <c r="D504" s="32"/>
      <c r="E504" s="33"/>
      <c r="F504" s="34"/>
      <c r="G504" s="32"/>
      <c r="H504" s="32"/>
      <c r="I504" s="32"/>
      <c r="J504" s="34"/>
      <c r="K504" s="35"/>
      <c r="L504" s="36"/>
      <c r="M504" s="32"/>
    </row>
    <row r="505" spans="2:13" ht="15.75" customHeight="1">
      <c r="B505" s="32"/>
      <c r="C505" s="33" t="str">
        <f t="shared" si="3"/>
        <v/>
      </c>
      <c r="D505" s="32"/>
      <c r="E505" s="33"/>
      <c r="F505" s="34"/>
      <c r="G505" s="32"/>
      <c r="H505" s="32"/>
      <c r="I505" s="32"/>
      <c r="J505" s="34"/>
      <c r="K505" s="35"/>
      <c r="L505" s="36"/>
      <c r="M505" s="32"/>
    </row>
    <row r="506" spans="2:13" ht="15.75" customHeight="1">
      <c r="B506" s="32"/>
      <c r="C506" s="33" t="str">
        <f t="shared" si="3"/>
        <v/>
      </c>
      <c r="D506" s="32"/>
      <c r="E506" s="33"/>
      <c r="F506" s="34"/>
      <c r="G506" s="32"/>
      <c r="H506" s="32"/>
      <c r="I506" s="32"/>
      <c r="J506" s="34"/>
      <c r="K506" s="35"/>
      <c r="L506" s="36"/>
      <c r="M506" s="32"/>
    </row>
    <row r="507" spans="2:13" ht="15.75" customHeight="1">
      <c r="B507" s="32"/>
      <c r="C507" s="33" t="str">
        <f t="shared" si="3"/>
        <v/>
      </c>
      <c r="D507" s="32"/>
      <c r="E507" s="33"/>
      <c r="F507" s="34"/>
      <c r="G507" s="32"/>
      <c r="H507" s="32"/>
      <c r="I507" s="32"/>
      <c r="J507" s="34"/>
      <c r="K507" s="35"/>
      <c r="L507" s="36"/>
      <c r="M507" s="32"/>
    </row>
    <row r="508" spans="2:13" ht="15.75" customHeight="1">
      <c r="B508" s="32"/>
      <c r="C508" s="33" t="str">
        <f t="shared" si="3"/>
        <v/>
      </c>
      <c r="D508" s="32"/>
      <c r="E508" s="33"/>
      <c r="F508" s="34"/>
      <c r="G508" s="32"/>
      <c r="H508" s="32"/>
      <c r="I508" s="32"/>
      <c r="J508" s="34"/>
      <c r="K508" s="35"/>
      <c r="L508" s="36"/>
      <c r="M508" s="32"/>
    </row>
    <row r="509" spans="2:13" ht="15.75" customHeight="1">
      <c r="B509" s="32"/>
      <c r="C509" s="33" t="str">
        <f t="shared" si="3"/>
        <v/>
      </c>
      <c r="D509" s="32"/>
      <c r="E509" s="33"/>
      <c r="F509" s="34"/>
      <c r="G509" s="32"/>
      <c r="H509" s="32"/>
      <c r="I509" s="32"/>
      <c r="J509" s="34"/>
      <c r="K509" s="35"/>
      <c r="L509" s="36"/>
      <c r="M509" s="32"/>
    </row>
    <row r="510" spans="2:13" ht="15.75" customHeight="1">
      <c r="B510" s="32"/>
      <c r="C510" s="33" t="str">
        <f t="shared" si="3"/>
        <v/>
      </c>
      <c r="D510" s="32"/>
      <c r="E510" s="33"/>
      <c r="F510" s="34"/>
      <c r="G510" s="32"/>
      <c r="H510" s="32"/>
      <c r="I510" s="32"/>
      <c r="J510" s="34"/>
      <c r="K510" s="35"/>
      <c r="L510" s="36"/>
      <c r="M510" s="32"/>
    </row>
    <row r="511" spans="2:13" ht="15.75" customHeight="1">
      <c r="B511" s="32"/>
      <c r="C511" s="33" t="str">
        <f t="shared" si="3"/>
        <v/>
      </c>
      <c r="D511" s="32"/>
      <c r="E511" s="33"/>
      <c r="F511" s="34"/>
      <c r="G511" s="32"/>
      <c r="H511" s="32"/>
      <c r="I511" s="32"/>
      <c r="J511" s="34"/>
      <c r="K511" s="35"/>
      <c r="L511" s="36"/>
      <c r="M511" s="32"/>
    </row>
    <row r="512" spans="2:13" ht="15.75" customHeight="1">
      <c r="B512" s="32"/>
      <c r="C512" s="33" t="str">
        <f t="shared" si="3"/>
        <v/>
      </c>
      <c r="D512" s="32"/>
      <c r="E512" s="33"/>
      <c r="F512" s="34"/>
      <c r="G512" s="32"/>
      <c r="H512" s="32"/>
      <c r="I512" s="32"/>
      <c r="J512" s="34"/>
      <c r="K512" s="35"/>
      <c r="L512" s="36"/>
      <c r="M512" s="32"/>
    </row>
    <row r="513" spans="2:13" ht="15.75" customHeight="1">
      <c r="B513" s="32"/>
      <c r="C513" s="33" t="str">
        <f t="shared" si="3"/>
        <v/>
      </c>
      <c r="D513" s="32"/>
      <c r="E513" s="33"/>
      <c r="F513" s="34"/>
      <c r="G513" s="32"/>
      <c r="H513" s="32"/>
      <c r="I513" s="32"/>
      <c r="J513" s="34"/>
      <c r="K513" s="35"/>
      <c r="L513" s="36"/>
      <c r="M513" s="32"/>
    </row>
    <row r="514" spans="2:13" ht="15.75" customHeight="1">
      <c r="B514" s="32"/>
      <c r="C514" s="33" t="str">
        <f t="shared" si="3"/>
        <v/>
      </c>
      <c r="D514" s="32"/>
      <c r="E514" s="33"/>
      <c r="F514" s="34"/>
      <c r="G514" s="32"/>
      <c r="H514" s="32"/>
      <c r="I514" s="32"/>
      <c r="J514" s="34"/>
      <c r="K514" s="35"/>
      <c r="L514" s="36"/>
      <c r="M514" s="32"/>
    </row>
    <row r="515" spans="2:13" ht="15.75" customHeight="1">
      <c r="B515" s="32"/>
      <c r="C515" s="33" t="str">
        <f t="shared" si="3"/>
        <v/>
      </c>
      <c r="D515" s="32"/>
      <c r="E515" s="33"/>
      <c r="F515" s="34"/>
      <c r="G515" s="32"/>
      <c r="H515" s="32"/>
      <c r="I515" s="32"/>
      <c r="J515" s="34"/>
      <c r="K515" s="35"/>
      <c r="L515" s="36"/>
      <c r="M515" s="32"/>
    </row>
    <row r="516" spans="2:13" ht="15.75" customHeight="1">
      <c r="B516" s="32"/>
      <c r="C516" s="33" t="str">
        <f t="shared" si="3"/>
        <v/>
      </c>
      <c r="D516" s="32"/>
      <c r="E516" s="33"/>
      <c r="F516" s="34"/>
      <c r="G516" s="32"/>
      <c r="H516" s="32"/>
      <c r="I516" s="32"/>
      <c r="J516" s="34"/>
      <c r="K516" s="35"/>
      <c r="L516" s="36"/>
      <c r="M516" s="32"/>
    </row>
    <row r="517" spans="2:13" ht="15.75" customHeight="1">
      <c r="B517" s="32"/>
      <c r="C517" s="33" t="str">
        <f t="shared" si="3"/>
        <v/>
      </c>
      <c r="D517" s="32"/>
      <c r="E517" s="33"/>
      <c r="F517" s="34"/>
      <c r="G517" s="32"/>
      <c r="H517" s="32"/>
      <c r="I517" s="32"/>
      <c r="J517" s="34"/>
      <c r="K517" s="35"/>
      <c r="L517" s="36"/>
      <c r="M517" s="32"/>
    </row>
    <row r="518" spans="2:13" ht="15.75" customHeight="1">
      <c r="B518" s="32"/>
      <c r="C518" s="33" t="str">
        <f t="shared" si="3"/>
        <v/>
      </c>
      <c r="D518" s="32"/>
      <c r="E518" s="33"/>
      <c r="F518" s="34"/>
      <c r="G518" s="32"/>
      <c r="H518" s="32"/>
      <c r="I518" s="32"/>
      <c r="J518" s="34"/>
      <c r="K518" s="35"/>
      <c r="L518" s="36"/>
      <c r="M518" s="32"/>
    </row>
    <row r="519" spans="2:13" ht="15.75" customHeight="1">
      <c r="B519" s="32"/>
      <c r="C519" s="33" t="str">
        <f t="shared" si="3"/>
        <v/>
      </c>
      <c r="D519" s="32"/>
      <c r="E519" s="33"/>
      <c r="F519" s="34"/>
      <c r="G519" s="32"/>
      <c r="H519" s="32"/>
      <c r="I519" s="32"/>
      <c r="J519" s="34"/>
      <c r="K519" s="35"/>
      <c r="L519" s="36"/>
      <c r="M519" s="32"/>
    </row>
    <row r="520" spans="2:13" ht="15.75" customHeight="1">
      <c r="B520" s="32"/>
      <c r="C520" s="33" t="str">
        <f t="shared" si="3"/>
        <v/>
      </c>
      <c r="D520" s="32"/>
      <c r="E520" s="33"/>
      <c r="F520" s="34"/>
      <c r="G520" s="32"/>
      <c r="H520" s="32"/>
      <c r="I520" s="32"/>
      <c r="J520" s="34"/>
      <c r="K520" s="35"/>
      <c r="L520" s="36"/>
      <c r="M520" s="32"/>
    </row>
    <row r="521" spans="2:13" ht="15.75" customHeight="1">
      <c r="B521" s="32"/>
      <c r="C521" s="33" t="str">
        <f t="shared" si="3"/>
        <v/>
      </c>
      <c r="D521" s="32"/>
      <c r="E521" s="33"/>
      <c r="F521" s="34"/>
      <c r="G521" s="32"/>
      <c r="H521" s="32"/>
      <c r="I521" s="32"/>
      <c r="J521" s="34"/>
      <c r="K521" s="35"/>
      <c r="L521" s="36"/>
      <c r="M521" s="32"/>
    </row>
    <row r="522" spans="2:13" ht="15.75" customHeight="1">
      <c r="B522" s="32"/>
      <c r="C522" s="33" t="str">
        <f t="shared" si="3"/>
        <v/>
      </c>
      <c r="D522" s="32"/>
      <c r="E522" s="33"/>
      <c r="F522" s="34"/>
      <c r="G522" s="32"/>
      <c r="H522" s="32"/>
      <c r="I522" s="32"/>
      <c r="J522" s="34"/>
      <c r="K522" s="35"/>
      <c r="L522" s="36"/>
      <c r="M522" s="32"/>
    </row>
    <row r="523" spans="2:13" ht="15.75" customHeight="1">
      <c r="B523" s="32"/>
      <c r="C523" s="33" t="str">
        <f t="shared" si="3"/>
        <v/>
      </c>
      <c r="D523" s="32"/>
      <c r="E523" s="33"/>
      <c r="F523" s="34"/>
      <c r="G523" s="32"/>
      <c r="H523" s="32"/>
      <c r="I523" s="32"/>
      <c r="J523" s="34"/>
      <c r="K523" s="35"/>
      <c r="L523" s="36"/>
      <c r="M523" s="32"/>
    </row>
    <row r="524" spans="2:13" ht="15.75" customHeight="1">
      <c r="B524" s="32"/>
      <c r="C524" s="33" t="str">
        <f t="shared" si="3"/>
        <v/>
      </c>
      <c r="D524" s="32"/>
      <c r="E524" s="33"/>
      <c r="F524" s="34"/>
      <c r="G524" s="32"/>
      <c r="H524" s="32"/>
      <c r="I524" s="32"/>
      <c r="J524" s="34"/>
      <c r="K524" s="35"/>
      <c r="L524" s="36"/>
      <c r="M524" s="32"/>
    </row>
    <row r="525" spans="2:13" ht="15.75" customHeight="1">
      <c r="B525" s="32"/>
      <c r="C525" s="33" t="str">
        <f t="shared" si="3"/>
        <v/>
      </c>
      <c r="D525" s="32"/>
      <c r="E525" s="33"/>
      <c r="F525" s="34"/>
      <c r="G525" s="32"/>
      <c r="H525" s="32"/>
      <c r="I525" s="32"/>
      <c r="J525" s="34"/>
      <c r="K525" s="35"/>
      <c r="L525" s="36"/>
      <c r="M525" s="32"/>
    </row>
    <row r="526" spans="2:13" ht="15.75" customHeight="1">
      <c r="B526" s="32"/>
      <c r="C526" s="33" t="str">
        <f t="shared" si="3"/>
        <v/>
      </c>
      <c r="D526" s="32"/>
      <c r="E526" s="33"/>
      <c r="F526" s="34"/>
      <c r="G526" s="32"/>
      <c r="H526" s="32"/>
      <c r="I526" s="32"/>
      <c r="J526" s="34"/>
      <c r="K526" s="35"/>
      <c r="L526" s="36"/>
      <c r="M526" s="32"/>
    </row>
    <row r="527" spans="2:13" ht="15.75" customHeight="1">
      <c r="B527" s="32"/>
      <c r="C527" s="33" t="str">
        <f t="shared" si="3"/>
        <v/>
      </c>
      <c r="D527" s="32"/>
      <c r="E527" s="33"/>
      <c r="F527" s="34"/>
      <c r="G527" s="32"/>
      <c r="H527" s="32"/>
      <c r="I527" s="32"/>
      <c r="J527" s="34"/>
      <c r="K527" s="35"/>
      <c r="L527" s="36"/>
      <c r="M527" s="32"/>
    </row>
    <row r="528" spans="2:13" ht="15.75" customHeight="1">
      <c r="B528" s="32"/>
      <c r="C528" s="33" t="str">
        <f t="shared" si="3"/>
        <v/>
      </c>
      <c r="D528" s="32"/>
      <c r="E528" s="33"/>
      <c r="F528" s="34"/>
      <c r="G528" s="32"/>
      <c r="H528" s="32"/>
      <c r="I528" s="32"/>
      <c r="J528" s="34"/>
      <c r="K528" s="35"/>
      <c r="L528" s="36"/>
      <c r="M528" s="32"/>
    </row>
    <row r="529" spans="2:13" ht="15.75" customHeight="1">
      <c r="B529" s="32"/>
      <c r="C529" s="33" t="str">
        <f t="shared" si="3"/>
        <v/>
      </c>
      <c r="D529" s="32"/>
      <c r="E529" s="33"/>
      <c r="F529" s="34"/>
      <c r="G529" s="32"/>
      <c r="H529" s="32"/>
      <c r="I529" s="32"/>
      <c r="J529" s="34"/>
      <c r="K529" s="35"/>
      <c r="L529" s="36"/>
      <c r="M529" s="32"/>
    </row>
    <row r="530" spans="2:13" ht="15.75" customHeight="1">
      <c r="B530" s="32"/>
      <c r="C530" s="33" t="str">
        <f t="shared" si="3"/>
        <v/>
      </c>
      <c r="D530" s="32"/>
      <c r="E530" s="33"/>
      <c r="F530" s="34"/>
      <c r="G530" s="32"/>
      <c r="H530" s="32"/>
      <c r="I530" s="32"/>
      <c r="J530" s="34"/>
      <c r="K530" s="35"/>
      <c r="L530" s="36"/>
      <c r="M530" s="32"/>
    </row>
    <row r="531" spans="2:13" ht="15.75" customHeight="1">
      <c r="B531" s="32"/>
      <c r="C531" s="33" t="str">
        <f t="shared" si="3"/>
        <v/>
      </c>
      <c r="D531" s="32"/>
      <c r="E531" s="33"/>
      <c r="F531" s="34"/>
      <c r="G531" s="32"/>
      <c r="H531" s="32"/>
      <c r="I531" s="32"/>
      <c r="J531" s="34"/>
      <c r="K531" s="35"/>
      <c r="L531" s="36"/>
      <c r="M531" s="32"/>
    </row>
    <row r="532" spans="2:13" ht="15.75" customHeight="1">
      <c r="B532" s="32"/>
      <c r="C532" s="33" t="str">
        <f t="shared" si="3"/>
        <v/>
      </c>
      <c r="D532" s="32"/>
      <c r="E532" s="33"/>
      <c r="F532" s="34"/>
      <c r="G532" s="32"/>
      <c r="H532" s="32"/>
      <c r="I532" s="32"/>
      <c r="J532" s="34"/>
      <c r="K532" s="35"/>
      <c r="L532" s="36"/>
      <c r="M532" s="32"/>
    </row>
    <row r="533" spans="2:13" ht="15.75" customHeight="1">
      <c r="B533" s="32"/>
      <c r="C533" s="33" t="str">
        <f t="shared" si="3"/>
        <v/>
      </c>
      <c r="D533" s="32"/>
      <c r="E533" s="33"/>
      <c r="F533" s="34"/>
      <c r="G533" s="32"/>
      <c r="H533" s="32"/>
      <c r="I533" s="32"/>
      <c r="J533" s="34"/>
      <c r="K533" s="35"/>
      <c r="L533" s="36"/>
      <c r="M533" s="32"/>
    </row>
    <row r="534" spans="2:13" ht="15.75" customHeight="1">
      <c r="B534" s="32"/>
      <c r="C534" s="33" t="str">
        <f t="shared" si="3"/>
        <v/>
      </c>
      <c r="D534" s="32"/>
      <c r="E534" s="33"/>
      <c r="F534" s="34"/>
      <c r="G534" s="32"/>
      <c r="H534" s="32"/>
      <c r="I534" s="32"/>
      <c r="J534" s="34"/>
      <c r="K534" s="35"/>
      <c r="L534" s="36"/>
      <c r="M534" s="32"/>
    </row>
    <row r="535" spans="2:13" ht="15.75" customHeight="1">
      <c r="B535" s="32"/>
      <c r="C535" s="33" t="str">
        <f t="shared" si="3"/>
        <v/>
      </c>
      <c r="D535" s="32"/>
      <c r="E535" s="33"/>
      <c r="F535" s="34"/>
      <c r="G535" s="32"/>
      <c r="H535" s="32"/>
      <c r="I535" s="32"/>
      <c r="J535" s="34"/>
      <c r="K535" s="35"/>
      <c r="L535" s="36"/>
      <c r="M535" s="32"/>
    </row>
    <row r="536" spans="2:13" ht="15.75" customHeight="1">
      <c r="B536" s="32"/>
      <c r="C536" s="33" t="str">
        <f t="shared" si="3"/>
        <v/>
      </c>
      <c r="D536" s="32"/>
      <c r="E536" s="33"/>
      <c r="F536" s="34"/>
      <c r="G536" s="32"/>
      <c r="H536" s="32"/>
      <c r="I536" s="32"/>
      <c r="J536" s="34"/>
      <c r="K536" s="35"/>
      <c r="L536" s="36"/>
      <c r="M536" s="32"/>
    </row>
    <row r="537" spans="2:13" ht="15.75" customHeight="1">
      <c r="B537" s="32"/>
      <c r="C537" s="33" t="str">
        <f t="shared" si="3"/>
        <v/>
      </c>
      <c r="D537" s="32"/>
      <c r="E537" s="33"/>
      <c r="F537" s="34"/>
      <c r="G537" s="32"/>
      <c r="H537" s="32"/>
      <c r="I537" s="32"/>
      <c r="J537" s="34"/>
      <c r="K537" s="35"/>
      <c r="L537" s="36"/>
      <c r="M537" s="32"/>
    </row>
    <row r="538" spans="2:13" ht="15.75" customHeight="1">
      <c r="B538" s="32"/>
      <c r="C538" s="33" t="str">
        <f t="shared" si="3"/>
        <v/>
      </c>
      <c r="D538" s="32"/>
      <c r="E538" s="33"/>
      <c r="F538" s="34"/>
      <c r="G538" s="32"/>
      <c r="H538" s="32"/>
      <c r="I538" s="32"/>
      <c r="J538" s="34"/>
      <c r="K538" s="35"/>
      <c r="L538" s="36"/>
      <c r="M538" s="32"/>
    </row>
    <row r="539" spans="2:13" ht="15.75" customHeight="1">
      <c r="B539" s="32"/>
      <c r="C539" s="33" t="str">
        <f t="shared" si="3"/>
        <v/>
      </c>
      <c r="D539" s="32"/>
      <c r="E539" s="33"/>
      <c r="F539" s="34"/>
      <c r="G539" s="32"/>
      <c r="H539" s="32"/>
      <c r="I539" s="32"/>
      <c r="J539" s="34"/>
      <c r="K539" s="35"/>
      <c r="L539" s="36"/>
      <c r="M539" s="32"/>
    </row>
    <row r="540" spans="2:13" ht="15.75" customHeight="1">
      <c r="B540" s="32"/>
      <c r="C540" s="33" t="str">
        <f t="shared" si="3"/>
        <v/>
      </c>
      <c r="D540" s="32"/>
      <c r="E540" s="33"/>
      <c r="F540" s="34"/>
      <c r="G540" s="32"/>
      <c r="H540" s="32"/>
      <c r="I540" s="32"/>
      <c r="J540" s="34"/>
      <c r="K540" s="35"/>
      <c r="L540" s="36"/>
      <c r="M540" s="32"/>
    </row>
    <row r="541" spans="2:13" ht="15.75" customHeight="1">
      <c r="B541" s="32"/>
      <c r="C541" s="33" t="str">
        <f t="shared" si="3"/>
        <v/>
      </c>
      <c r="D541" s="32"/>
      <c r="E541" s="33"/>
      <c r="F541" s="34"/>
      <c r="G541" s="32"/>
      <c r="H541" s="32"/>
      <c r="I541" s="32"/>
      <c r="J541" s="34"/>
      <c r="K541" s="35"/>
      <c r="L541" s="36"/>
      <c r="M541" s="32"/>
    </row>
    <row r="542" spans="2:13" ht="15.75" customHeight="1">
      <c r="B542" s="32"/>
      <c r="C542" s="33" t="str">
        <f t="shared" si="3"/>
        <v/>
      </c>
      <c r="D542" s="32"/>
      <c r="E542" s="33"/>
      <c r="F542" s="34"/>
      <c r="G542" s="32"/>
      <c r="H542" s="32"/>
      <c r="I542" s="32"/>
      <c r="J542" s="34"/>
      <c r="K542" s="35"/>
      <c r="L542" s="36"/>
      <c r="M542" s="32"/>
    </row>
    <row r="543" spans="2:13" ht="15.75" customHeight="1">
      <c r="B543" s="32"/>
      <c r="C543" s="33" t="str">
        <f t="shared" si="3"/>
        <v/>
      </c>
      <c r="D543" s="32"/>
      <c r="E543" s="33"/>
      <c r="F543" s="34"/>
      <c r="G543" s="32"/>
      <c r="H543" s="32"/>
      <c r="I543" s="32"/>
      <c r="J543" s="34"/>
      <c r="K543" s="35"/>
      <c r="L543" s="36"/>
      <c r="M543" s="32"/>
    </row>
    <row r="544" spans="2:13" ht="15.75" customHeight="1">
      <c r="B544" s="32"/>
      <c r="C544" s="33" t="str">
        <f t="shared" si="3"/>
        <v/>
      </c>
      <c r="D544" s="32"/>
      <c r="E544" s="33"/>
      <c r="F544" s="34"/>
      <c r="G544" s="32"/>
      <c r="H544" s="32"/>
      <c r="I544" s="32"/>
      <c r="J544" s="34"/>
      <c r="K544" s="35"/>
      <c r="L544" s="36"/>
      <c r="M544" s="32"/>
    </row>
    <row r="545" spans="2:13" ht="15.75" customHeight="1">
      <c r="B545" s="32"/>
      <c r="C545" s="33" t="str">
        <f t="shared" si="3"/>
        <v/>
      </c>
      <c r="D545" s="32"/>
      <c r="E545" s="33"/>
      <c r="F545" s="34"/>
      <c r="G545" s="32"/>
      <c r="H545" s="32"/>
      <c r="I545" s="32"/>
      <c r="J545" s="34"/>
      <c r="K545" s="35"/>
      <c r="L545" s="36"/>
      <c r="M545" s="32"/>
    </row>
    <row r="546" spans="2:13" ht="15.75" customHeight="1">
      <c r="B546" s="32"/>
      <c r="C546" s="33" t="str">
        <f t="shared" si="3"/>
        <v/>
      </c>
      <c r="D546" s="32"/>
      <c r="E546" s="33"/>
      <c r="F546" s="34"/>
      <c r="G546" s="32"/>
      <c r="H546" s="32"/>
      <c r="I546" s="32"/>
      <c r="J546" s="34"/>
      <c r="K546" s="35"/>
      <c r="L546" s="36"/>
      <c r="M546" s="32"/>
    </row>
    <row r="547" spans="2:13" ht="15.75" customHeight="1">
      <c r="B547" s="32"/>
      <c r="C547" s="33" t="str">
        <f t="shared" si="3"/>
        <v/>
      </c>
      <c r="D547" s="32"/>
      <c r="E547" s="33"/>
      <c r="F547" s="34"/>
      <c r="G547" s="32"/>
      <c r="H547" s="32"/>
      <c r="I547" s="32"/>
      <c r="J547" s="34"/>
      <c r="K547" s="35"/>
      <c r="L547" s="36"/>
      <c r="M547" s="32"/>
    </row>
    <row r="548" spans="2:13" ht="15.75" customHeight="1">
      <c r="B548" s="32"/>
      <c r="C548" s="33" t="str">
        <f t="shared" si="3"/>
        <v/>
      </c>
      <c r="D548" s="32"/>
      <c r="E548" s="33"/>
      <c r="F548" s="34"/>
      <c r="G548" s="32"/>
      <c r="H548" s="32"/>
      <c r="I548" s="32"/>
      <c r="J548" s="34"/>
      <c r="K548" s="35"/>
      <c r="L548" s="36"/>
      <c r="M548" s="32"/>
    </row>
    <row r="549" spans="2:13" ht="15.75" customHeight="1">
      <c r="B549" s="32"/>
      <c r="C549" s="33" t="str">
        <f t="shared" si="3"/>
        <v/>
      </c>
      <c r="D549" s="32"/>
      <c r="E549" s="33"/>
      <c r="F549" s="34"/>
      <c r="G549" s="32"/>
      <c r="H549" s="32"/>
      <c r="I549" s="32"/>
      <c r="J549" s="34"/>
      <c r="K549" s="35"/>
      <c r="L549" s="36"/>
      <c r="M549" s="32"/>
    </row>
    <row r="550" spans="2:13" ht="15.75" customHeight="1">
      <c r="B550" s="32"/>
      <c r="C550" s="33" t="str">
        <f t="shared" si="3"/>
        <v/>
      </c>
      <c r="D550" s="32"/>
      <c r="E550" s="33"/>
      <c r="F550" s="34"/>
      <c r="G550" s="32"/>
      <c r="H550" s="32"/>
      <c r="I550" s="32"/>
      <c r="J550" s="34"/>
      <c r="K550" s="35"/>
      <c r="L550" s="36"/>
      <c r="M550" s="32"/>
    </row>
    <row r="551" spans="2:13" ht="15.75" customHeight="1">
      <c r="B551" s="32"/>
      <c r="C551" s="33" t="str">
        <f t="shared" si="3"/>
        <v/>
      </c>
      <c r="D551" s="32"/>
      <c r="E551" s="33"/>
      <c r="F551" s="34"/>
      <c r="G551" s="32"/>
      <c r="H551" s="32"/>
      <c r="I551" s="32"/>
      <c r="J551" s="34"/>
      <c r="K551" s="35"/>
      <c r="L551" s="36"/>
      <c r="M551" s="32"/>
    </row>
    <row r="552" spans="2:13" ht="15.75" customHeight="1">
      <c r="B552" s="32"/>
      <c r="C552" s="33" t="str">
        <f t="shared" si="3"/>
        <v/>
      </c>
      <c r="D552" s="32"/>
      <c r="E552" s="33"/>
      <c r="F552" s="34"/>
      <c r="G552" s="32"/>
      <c r="H552" s="32"/>
      <c r="I552" s="32"/>
      <c r="J552" s="34"/>
      <c r="K552" s="35"/>
      <c r="L552" s="36"/>
      <c r="M552" s="32"/>
    </row>
    <row r="553" spans="2:13" ht="15.75" customHeight="1">
      <c r="B553" s="32"/>
      <c r="C553" s="33" t="str">
        <f t="shared" si="3"/>
        <v/>
      </c>
      <c r="D553" s="32"/>
      <c r="E553" s="33"/>
      <c r="F553" s="34"/>
      <c r="G553" s="32"/>
      <c r="H553" s="32"/>
      <c r="I553" s="32"/>
      <c r="J553" s="34"/>
      <c r="K553" s="35"/>
      <c r="L553" s="36"/>
      <c r="M553" s="32"/>
    </row>
    <row r="554" spans="2:13" ht="15.75" customHeight="1">
      <c r="B554" s="32"/>
      <c r="C554" s="33" t="str">
        <f t="shared" si="3"/>
        <v/>
      </c>
      <c r="D554" s="32"/>
      <c r="E554" s="33"/>
      <c r="F554" s="34"/>
      <c r="G554" s="32"/>
      <c r="H554" s="32"/>
      <c r="I554" s="32"/>
      <c r="J554" s="34"/>
      <c r="K554" s="35"/>
      <c r="L554" s="36"/>
      <c r="M554" s="32"/>
    </row>
    <row r="555" spans="2:13" ht="15.75" customHeight="1">
      <c r="B555" s="32"/>
      <c r="C555" s="33" t="str">
        <f t="shared" si="3"/>
        <v/>
      </c>
      <c r="D555" s="32"/>
      <c r="E555" s="33"/>
      <c r="F555" s="34"/>
      <c r="G555" s="32"/>
      <c r="H555" s="32"/>
      <c r="I555" s="32"/>
      <c r="J555" s="34"/>
      <c r="K555" s="35"/>
      <c r="L555" s="36"/>
      <c r="M555" s="32"/>
    </row>
    <row r="556" spans="2:13" ht="15.75" customHeight="1">
      <c r="B556" s="32"/>
      <c r="C556" s="33" t="str">
        <f t="shared" si="3"/>
        <v/>
      </c>
      <c r="D556" s="32"/>
      <c r="E556" s="33"/>
      <c r="F556" s="34"/>
      <c r="G556" s="32"/>
      <c r="H556" s="32"/>
      <c r="I556" s="32"/>
      <c r="J556" s="34"/>
      <c r="K556" s="35"/>
      <c r="L556" s="36"/>
      <c r="M556" s="32"/>
    </row>
    <row r="557" spans="2:13" ht="15.75" customHeight="1">
      <c r="B557" s="32"/>
      <c r="C557" s="33" t="str">
        <f t="shared" si="3"/>
        <v/>
      </c>
      <c r="D557" s="32"/>
      <c r="E557" s="33"/>
      <c r="F557" s="34"/>
      <c r="G557" s="32"/>
      <c r="H557" s="32"/>
      <c r="I557" s="32"/>
      <c r="J557" s="34"/>
      <c r="K557" s="35"/>
      <c r="L557" s="36"/>
      <c r="M557" s="32"/>
    </row>
    <row r="558" spans="2:13" ht="15.75" customHeight="1">
      <c r="B558" s="32"/>
      <c r="C558" s="33" t="str">
        <f t="shared" si="3"/>
        <v/>
      </c>
      <c r="D558" s="32"/>
      <c r="E558" s="33"/>
      <c r="F558" s="34"/>
      <c r="G558" s="32"/>
      <c r="H558" s="32"/>
      <c r="I558" s="32"/>
      <c r="J558" s="34"/>
      <c r="K558" s="35"/>
      <c r="L558" s="36"/>
      <c r="M558" s="32"/>
    </row>
    <row r="559" spans="2:13" ht="15.75" customHeight="1">
      <c r="B559" s="32"/>
      <c r="C559" s="33" t="str">
        <f t="shared" si="3"/>
        <v/>
      </c>
      <c r="D559" s="32"/>
      <c r="E559" s="33"/>
      <c r="F559" s="34"/>
      <c r="G559" s="32"/>
      <c r="H559" s="32"/>
      <c r="I559" s="32"/>
      <c r="J559" s="34"/>
      <c r="K559" s="35"/>
      <c r="L559" s="36"/>
      <c r="M559" s="32"/>
    </row>
    <row r="560" spans="2:13" ht="15.75" customHeight="1">
      <c r="B560" s="32"/>
      <c r="C560" s="33" t="str">
        <f t="shared" si="3"/>
        <v/>
      </c>
      <c r="D560" s="32"/>
      <c r="E560" s="33"/>
      <c r="F560" s="34"/>
      <c r="G560" s="32"/>
      <c r="H560" s="32"/>
      <c r="I560" s="32"/>
      <c r="J560" s="34"/>
      <c r="K560" s="35"/>
      <c r="L560" s="36"/>
      <c r="M560" s="32"/>
    </row>
    <row r="561" spans="2:13" ht="15.75" customHeight="1">
      <c r="B561" s="32"/>
      <c r="C561" s="33" t="str">
        <f t="shared" si="3"/>
        <v/>
      </c>
      <c r="D561" s="32"/>
      <c r="E561" s="33"/>
      <c r="F561" s="34"/>
      <c r="G561" s="32"/>
      <c r="H561" s="32"/>
      <c r="I561" s="32"/>
      <c r="J561" s="34"/>
      <c r="K561" s="35"/>
      <c r="L561" s="36"/>
      <c r="M561" s="32"/>
    </row>
    <row r="562" spans="2:13" ht="15.75" customHeight="1">
      <c r="B562" s="32"/>
      <c r="C562" s="33" t="str">
        <f t="shared" si="3"/>
        <v/>
      </c>
      <c r="D562" s="32"/>
      <c r="E562" s="33"/>
      <c r="F562" s="34"/>
      <c r="G562" s="32"/>
      <c r="H562" s="32"/>
      <c r="I562" s="32"/>
      <c r="J562" s="34"/>
      <c r="K562" s="35"/>
      <c r="L562" s="36"/>
      <c r="M562" s="32"/>
    </row>
    <row r="563" spans="2:13" ht="15.75" customHeight="1">
      <c r="B563" s="32"/>
      <c r="C563" s="33" t="str">
        <f t="shared" si="3"/>
        <v/>
      </c>
      <c r="D563" s="32"/>
      <c r="E563" s="33"/>
      <c r="F563" s="34"/>
      <c r="G563" s="32"/>
      <c r="H563" s="32"/>
      <c r="I563" s="32"/>
      <c r="J563" s="34"/>
      <c r="K563" s="35"/>
      <c r="L563" s="36"/>
      <c r="M563" s="32"/>
    </row>
    <row r="564" spans="2:13" ht="15.75" customHeight="1">
      <c r="B564" s="32"/>
      <c r="C564" s="33" t="str">
        <f t="shared" si="3"/>
        <v/>
      </c>
      <c r="D564" s="32"/>
      <c r="E564" s="33"/>
      <c r="F564" s="34"/>
      <c r="G564" s="32"/>
      <c r="H564" s="32"/>
      <c r="I564" s="32"/>
      <c r="J564" s="34"/>
      <c r="K564" s="35"/>
      <c r="L564" s="36"/>
      <c r="M564" s="32"/>
    </row>
    <row r="565" spans="2:13" ht="15.75" customHeight="1">
      <c r="B565" s="32"/>
      <c r="C565" s="33" t="str">
        <f t="shared" si="3"/>
        <v/>
      </c>
      <c r="D565" s="32"/>
      <c r="E565" s="33"/>
      <c r="F565" s="34"/>
      <c r="G565" s="32"/>
      <c r="H565" s="32"/>
      <c r="I565" s="32"/>
      <c r="J565" s="34"/>
      <c r="K565" s="35"/>
      <c r="L565" s="36"/>
      <c r="M565" s="32"/>
    </row>
    <row r="566" spans="2:13" ht="15.75" customHeight="1">
      <c r="B566" s="32"/>
      <c r="C566" s="33" t="str">
        <f t="shared" si="3"/>
        <v/>
      </c>
      <c r="D566" s="32"/>
      <c r="E566" s="33"/>
      <c r="F566" s="34"/>
      <c r="G566" s="32"/>
      <c r="H566" s="32"/>
      <c r="I566" s="32"/>
      <c r="J566" s="34"/>
      <c r="K566" s="35"/>
      <c r="L566" s="36"/>
      <c r="M566" s="32"/>
    </row>
    <row r="567" spans="2:13" ht="15.75" customHeight="1">
      <c r="B567" s="32"/>
      <c r="C567" s="33" t="str">
        <f t="shared" si="3"/>
        <v/>
      </c>
      <c r="D567" s="32"/>
      <c r="E567" s="33"/>
      <c r="F567" s="34"/>
      <c r="G567" s="32"/>
      <c r="H567" s="32"/>
      <c r="I567" s="32"/>
      <c r="J567" s="34"/>
      <c r="K567" s="35"/>
      <c r="L567" s="36"/>
      <c r="M567" s="32"/>
    </row>
    <row r="568" spans="2:13" ht="15.75" customHeight="1">
      <c r="B568" s="32"/>
      <c r="C568" s="33" t="str">
        <f t="shared" si="3"/>
        <v/>
      </c>
      <c r="D568" s="32"/>
      <c r="E568" s="33"/>
      <c r="F568" s="34"/>
      <c r="G568" s="32"/>
      <c r="H568" s="32"/>
      <c r="I568" s="32"/>
      <c r="J568" s="34"/>
      <c r="K568" s="35"/>
      <c r="L568" s="36"/>
      <c r="M568" s="32"/>
    </row>
    <row r="569" spans="2:13" ht="15.75" customHeight="1">
      <c r="B569" s="32"/>
      <c r="C569" s="33" t="str">
        <f t="shared" si="3"/>
        <v/>
      </c>
      <c r="D569" s="32"/>
      <c r="E569" s="33"/>
      <c r="F569" s="34"/>
      <c r="G569" s="32"/>
      <c r="H569" s="32"/>
      <c r="I569" s="32"/>
      <c r="J569" s="34"/>
      <c r="K569" s="35"/>
      <c r="L569" s="36"/>
      <c r="M569" s="32"/>
    </row>
    <row r="570" spans="2:13" ht="15.75" customHeight="1">
      <c r="B570" s="32"/>
      <c r="C570" s="33" t="str">
        <f t="shared" si="3"/>
        <v/>
      </c>
      <c r="D570" s="32"/>
      <c r="E570" s="33"/>
      <c r="F570" s="34"/>
      <c r="G570" s="32"/>
      <c r="H570" s="32"/>
      <c r="I570" s="32"/>
      <c r="J570" s="34"/>
      <c r="K570" s="35"/>
      <c r="L570" s="36"/>
      <c r="M570" s="32"/>
    </row>
    <row r="571" spans="2:13" ht="15.75" customHeight="1">
      <c r="B571" s="32"/>
      <c r="C571" s="33" t="str">
        <f t="shared" si="3"/>
        <v/>
      </c>
      <c r="D571" s="32"/>
      <c r="E571" s="33"/>
      <c r="F571" s="34"/>
      <c r="G571" s="32"/>
      <c r="H571" s="32"/>
      <c r="I571" s="32"/>
      <c r="J571" s="34"/>
      <c r="K571" s="35"/>
      <c r="L571" s="36"/>
      <c r="M571" s="32"/>
    </row>
    <row r="572" spans="2:13" ht="15.75" customHeight="1">
      <c r="B572" s="32"/>
      <c r="C572" s="33" t="str">
        <f t="shared" si="3"/>
        <v/>
      </c>
      <c r="D572" s="32"/>
      <c r="E572" s="33"/>
      <c r="F572" s="34"/>
      <c r="G572" s="32"/>
      <c r="H572" s="32"/>
      <c r="I572" s="32"/>
      <c r="J572" s="34"/>
      <c r="K572" s="35"/>
      <c r="L572" s="36"/>
      <c r="M572" s="32"/>
    </row>
    <row r="573" spans="2:13" ht="15.75" customHeight="1">
      <c r="B573" s="32"/>
      <c r="C573" s="33" t="str">
        <f t="shared" si="3"/>
        <v/>
      </c>
      <c r="D573" s="32"/>
      <c r="E573" s="33"/>
      <c r="F573" s="34"/>
      <c r="G573" s="32"/>
      <c r="H573" s="32"/>
      <c r="I573" s="32"/>
      <c r="J573" s="34"/>
      <c r="K573" s="35"/>
      <c r="L573" s="36"/>
      <c r="M573" s="32"/>
    </row>
    <row r="574" spans="2:13" ht="15.75" customHeight="1">
      <c r="B574" s="32"/>
      <c r="C574" s="33" t="str">
        <f t="shared" si="3"/>
        <v/>
      </c>
      <c r="D574" s="32"/>
      <c r="E574" s="33"/>
      <c r="F574" s="34"/>
      <c r="G574" s="32"/>
      <c r="H574" s="32"/>
      <c r="I574" s="32"/>
      <c r="J574" s="34"/>
      <c r="K574" s="35"/>
      <c r="L574" s="36"/>
      <c r="M574" s="32"/>
    </row>
    <row r="575" spans="2:13" ht="15.75" customHeight="1">
      <c r="B575" s="32"/>
      <c r="C575" s="33" t="str">
        <f t="shared" si="3"/>
        <v/>
      </c>
      <c r="D575" s="32"/>
      <c r="E575" s="33"/>
      <c r="F575" s="34"/>
      <c r="G575" s="32"/>
      <c r="H575" s="32"/>
      <c r="I575" s="32"/>
      <c r="J575" s="34"/>
      <c r="K575" s="35"/>
      <c r="L575" s="36"/>
      <c r="M575" s="32"/>
    </row>
    <row r="576" spans="2:13" ht="15.75" customHeight="1">
      <c r="B576" s="32"/>
      <c r="C576" s="33" t="str">
        <f t="shared" si="3"/>
        <v/>
      </c>
      <c r="D576" s="32"/>
      <c r="E576" s="33"/>
      <c r="F576" s="34"/>
      <c r="G576" s="32"/>
      <c r="H576" s="32"/>
      <c r="I576" s="32"/>
      <c r="J576" s="34"/>
      <c r="K576" s="35"/>
      <c r="L576" s="36"/>
      <c r="M576" s="32"/>
    </row>
    <row r="577" spans="2:13" ht="15.75" customHeight="1">
      <c r="B577" s="32"/>
      <c r="C577" s="33" t="str">
        <f t="shared" si="3"/>
        <v/>
      </c>
      <c r="D577" s="32"/>
      <c r="E577" s="33"/>
      <c r="F577" s="34"/>
      <c r="G577" s="32"/>
      <c r="H577" s="32"/>
      <c r="I577" s="32"/>
      <c r="J577" s="34"/>
      <c r="K577" s="35"/>
      <c r="L577" s="36"/>
      <c r="M577" s="32"/>
    </row>
    <row r="578" spans="2:13" ht="15.75" customHeight="1">
      <c r="B578" s="32"/>
      <c r="C578" s="33" t="str">
        <f t="shared" si="3"/>
        <v/>
      </c>
      <c r="D578" s="32"/>
      <c r="E578" s="33"/>
      <c r="F578" s="34"/>
      <c r="G578" s="32"/>
      <c r="H578" s="32"/>
      <c r="I578" s="32"/>
      <c r="J578" s="34"/>
      <c r="K578" s="35"/>
      <c r="L578" s="36"/>
      <c r="M578" s="32"/>
    </row>
    <row r="579" spans="2:13" ht="15.75" customHeight="1">
      <c r="B579" s="32"/>
      <c r="C579" s="33" t="str">
        <f t="shared" si="3"/>
        <v/>
      </c>
      <c r="D579" s="32"/>
      <c r="E579" s="33"/>
      <c r="F579" s="34"/>
      <c r="G579" s="32"/>
      <c r="H579" s="32"/>
      <c r="I579" s="32"/>
      <c r="J579" s="34"/>
      <c r="K579" s="35"/>
      <c r="L579" s="36"/>
      <c r="M579" s="32"/>
    </row>
    <row r="580" spans="2:13" ht="15.75" customHeight="1">
      <c r="B580" s="32"/>
      <c r="C580" s="33" t="str">
        <f t="shared" si="3"/>
        <v/>
      </c>
      <c r="D580" s="32"/>
      <c r="E580" s="33"/>
      <c r="F580" s="34"/>
      <c r="G580" s="32"/>
      <c r="H580" s="32"/>
      <c r="I580" s="32"/>
      <c r="J580" s="34"/>
      <c r="K580" s="35"/>
      <c r="L580" s="36"/>
      <c r="M580" s="32"/>
    </row>
    <row r="581" spans="2:13" ht="15.75" customHeight="1">
      <c r="B581" s="32"/>
      <c r="C581" s="33" t="str">
        <f t="shared" si="3"/>
        <v/>
      </c>
      <c r="D581" s="32"/>
      <c r="E581" s="33"/>
      <c r="F581" s="34"/>
      <c r="G581" s="32"/>
      <c r="H581" s="32"/>
      <c r="I581" s="32"/>
      <c r="J581" s="34"/>
      <c r="K581" s="35"/>
      <c r="L581" s="36"/>
      <c r="M581" s="32"/>
    </row>
    <row r="582" spans="2:13" ht="15.75" customHeight="1">
      <c r="B582" s="32"/>
      <c r="C582" s="33" t="str">
        <f t="shared" si="3"/>
        <v/>
      </c>
      <c r="D582" s="32"/>
      <c r="E582" s="33"/>
      <c r="F582" s="34"/>
      <c r="G582" s="32"/>
      <c r="H582" s="32"/>
      <c r="I582" s="32"/>
      <c r="J582" s="34"/>
      <c r="K582" s="35"/>
      <c r="L582" s="36"/>
      <c r="M582" s="32"/>
    </row>
    <row r="583" spans="2:13" ht="15.75" customHeight="1">
      <c r="B583" s="32"/>
      <c r="C583" s="33" t="str">
        <f t="shared" si="3"/>
        <v/>
      </c>
      <c r="D583" s="32"/>
      <c r="E583" s="33"/>
      <c r="F583" s="34"/>
      <c r="G583" s="32"/>
      <c r="H583" s="32"/>
      <c r="I583" s="32"/>
      <c r="J583" s="34"/>
      <c r="K583" s="35"/>
      <c r="L583" s="36"/>
      <c r="M583" s="32"/>
    </row>
    <row r="584" spans="2:13" ht="15.75" customHeight="1">
      <c r="B584" s="32"/>
      <c r="C584" s="33" t="str">
        <f t="shared" si="3"/>
        <v/>
      </c>
      <c r="D584" s="32"/>
      <c r="E584" s="33"/>
      <c r="F584" s="34"/>
      <c r="G584" s="32"/>
      <c r="H584" s="32"/>
      <c r="I584" s="32"/>
      <c r="J584" s="34"/>
      <c r="K584" s="35"/>
      <c r="L584" s="36"/>
      <c r="M584" s="32"/>
    </row>
    <row r="585" spans="2:13" ht="15.75" customHeight="1">
      <c r="B585" s="32"/>
      <c r="C585" s="33" t="str">
        <f t="shared" si="3"/>
        <v/>
      </c>
      <c r="D585" s="32"/>
      <c r="E585" s="33"/>
      <c r="F585" s="34"/>
      <c r="G585" s="32"/>
      <c r="H585" s="32"/>
      <c r="I585" s="32"/>
      <c r="J585" s="34"/>
      <c r="K585" s="35"/>
      <c r="L585" s="36"/>
      <c r="M585" s="32"/>
    </row>
    <row r="586" spans="2:13" ht="15.75" customHeight="1">
      <c r="B586" s="32"/>
      <c r="C586" s="33" t="str">
        <f t="shared" si="3"/>
        <v/>
      </c>
      <c r="D586" s="32"/>
      <c r="E586" s="33"/>
      <c r="F586" s="34"/>
      <c r="G586" s="32"/>
      <c r="H586" s="32"/>
      <c r="I586" s="32"/>
      <c r="J586" s="34"/>
      <c r="K586" s="35"/>
      <c r="L586" s="36"/>
      <c r="M586" s="32"/>
    </row>
    <row r="587" spans="2:13" ht="15.75" customHeight="1">
      <c r="B587" s="32"/>
      <c r="C587" s="33" t="str">
        <f t="shared" si="3"/>
        <v/>
      </c>
      <c r="D587" s="32"/>
      <c r="E587" s="33"/>
      <c r="F587" s="34"/>
      <c r="G587" s="32"/>
      <c r="H587" s="32"/>
      <c r="I587" s="32"/>
      <c r="J587" s="34"/>
      <c r="K587" s="35"/>
      <c r="L587" s="36"/>
      <c r="M587" s="32"/>
    </row>
    <row r="588" spans="2:13" ht="15.75" customHeight="1">
      <c r="B588" s="32"/>
      <c r="C588" s="33" t="str">
        <f t="shared" si="3"/>
        <v/>
      </c>
      <c r="D588" s="32"/>
      <c r="E588" s="33"/>
      <c r="F588" s="34"/>
      <c r="G588" s="32"/>
      <c r="H588" s="32"/>
      <c r="I588" s="32"/>
      <c r="J588" s="34"/>
      <c r="K588" s="35"/>
      <c r="L588" s="36"/>
      <c r="M588" s="32"/>
    </row>
    <row r="589" spans="2:13" ht="15.75" customHeight="1">
      <c r="B589" s="32"/>
      <c r="C589" s="33" t="str">
        <f t="shared" si="3"/>
        <v/>
      </c>
      <c r="D589" s="32"/>
      <c r="E589" s="33"/>
      <c r="F589" s="34"/>
      <c r="G589" s="32"/>
      <c r="H589" s="32"/>
      <c r="I589" s="32"/>
      <c r="J589" s="34"/>
      <c r="K589" s="35"/>
      <c r="L589" s="36"/>
      <c r="M589" s="32"/>
    </row>
    <row r="590" spans="2:13" ht="15.75" customHeight="1">
      <c r="B590" s="32"/>
      <c r="C590" s="33" t="str">
        <f t="shared" si="3"/>
        <v/>
      </c>
      <c r="D590" s="32"/>
      <c r="E590" s="33"/>
      <c r="F590" s="34"/>
      <c r="G590" s="32"/>
      <c r="H590" s="32"/>
      <c r="I590" s="32"/>
      <c r="J590" s="34"/>
      <c r="K590" s="35"/>
      <c r="L590" s="36"/>
      <c r="M590" s="32"/>
    </row>
    <row r="591" spans="2:13" ht="15.75" customHeight="1">
      <c r="B591" s="32"/>
      <c r="C591" s="33" t="str">
        <f t="shared" si="3"/>
        <v/>
      </c>
      <c r="D591" s="32"/>
      <c r="E591" s="33"/>
      <c r="F591" s="34"/>
      <c r="G591" s="32"/>
      <c r="H591" s="32"/>
      <c r="I591" s="32"/>
      <c r="J591" s="34"/>
      <c r="K591" s="35"/>
      <c r="L591" s="36"/>
      <c r="M591" s="32"/>
    </row>
    <row r="592" spans="2:13" ht="15.75" customHeight="1">
      <c r="B592" s="32"/>
      <c r="C592" s="33" t="str">
        <f t="shared" si="3"/>
        <v/>
      </c>
      <c r="D592" s="32"/>
      <c r="E592" s="33"/>
      <c r="F592" s="34"/>
      <c r="G592" s="32"/>
      <c r="H592" s="32"/>
      <c r="I592" s="32"/>
      <c r="J592" s="34"/>
      <c r="K592" s="35"/>
      <c r="L592" s="36"/>
      <c r="M592" s="32"/>
    </row>
    <row r="593" spans="2:13" ht="15.75" customHeight="1">
      <c r="B593" s="32"/>
      <c r="C593" s="33" t="str">
        <f t="shared" si="3"/>
        <v/>
      </c>
      <c r="D593" s="32"/>
      <c r="E593" s="33"/>
      <c r="F593" s="34"/>
      <c r="G593" s="32"/>
      <c r="H593" s="32"/>
      <c r="I593" s="32"/>
      <c r="J593" s="34"/>
      <c r="K593" s="35"/>
      <c r="L593" s="36"/>
      <c r="M593" s="32"/>
    </row>
    <row r="594" spans="2:13" ht="15.75" customHeight="1">
      <c r="B594" s="32"/>
      <c r="C594" s="33" t="str">
        <f t="shared" si="3"/>
        <v/>
      </c>
      <c r="D594" s="32"/>
      <c r="E594" s="33"/>
      <c r="F594" s="34"/>
      <c r="G594" s="32"/>
      <c r="H594" s="32"/>
      <c r="I594" s="32"/>
      <c r="J594" s="34"/>
      <c r="K594" s="35"/>
      <c r="L594" s="36"/>
      <c r="M594" s="32"/>
    </row>
    <row r="595" spans="2:13" ht="15.75" customHeight="1">
      <c r="B595" s="32"/>
      <c r="C595" s="33" t="str">
        <f t="shared" si="3"/>
        <v/>
      </c>
      <c r="D595" s="32"/>
      <c r="E595" s="33"/>
      <c r="F595" s="34"/>
      <c r="G595" s="32"/>
      <c r="H595" s="32"/>
      <c r="I595" s="32"/>
      <c r="J595" s="34"/>
      <c r="K595" s="35"/>
      <c r="L595" s="36"/>
      <c r="M595" s="32"/>
    </row>
    <row r="596" spans="2:13" ht="15.75" customHeight="1">
      <c r="B596" s="32"/>
      <c r="C596" s="33" t="str">
        <f t="shared" si="3"/>
        <v/>
      </c>
      <c r="D596" s="32"/>
      <c r="E596" s="33"/>
      <c r="F596" s="34"/>
      <c r="G596" s="32"/>
      <c r="H596" s="32"/>
      <c r="I596" s="32"/>
      <c r="J596" s="34"/>
      <c r="K596" s="35"/>
      <c r="L596" s="36"/>
      <c r="M596" s="32"/>
    </row>
    <row r="597" spans="2:13" ht="15.75" customHeight="1">
      <c r="B597" s="32"/>
      <c r="C597" s="33" t="str">
        <f t="shared" si="3"/>
        <v/>
      </c>
      <c r="D597" s="32"/>
      <c r="E597" s="33"/>
      <c r="F597" s="34"/>
      <c r="G597" s="32"/>
      <c r="H597" s="32"/>
      <c r="I597" s="32"/>
      <c r="J597" s="34"/>
      <c r="K597" s="35"/>
      <c r="L597" s="36"/>
      <c r="M597" s="32"/>
    </row>
    <row r="598" spans="2:13" ht="15.75" customHeight="1">
      <c r="B598" s="32"/>
      <c r="C598" s="33" t="str">
        <f t="shared" si="3"/>
        <v/>
      </c>
      <c r="D598" s="32"/>
      <c r="E598" s="33"/>
      <c r="F598" s="34"/>
      <c r="G598" s="32"/>
      <c r="H598" s="32"/>
      <c r="I598" s="32"/>
      <c r="J598" s="34"/>
      <c r="K598" s="35"/>
      <c r="L598" s="36"/>
      <c r="M598" s="32"/>
    </row>
    <row r="599" spans="2:13" ht="15.75" customHeight="1">
      <c r="B599" s="32"/>
      <c r="C599" s="33" t="str">
        <f t="shared" si="3"/>
        <v/>
      </c>
      <c r="D599" s="32"/>
      <c r="E599" s="33"/>
      <c r="F599" s="34"/>
      <c r="G599" s="32"/>
      <c r="H599" s="32"/>
      <c r="I599" s="32"/>
      <c r="J599" s="34"/>
      <c r="K599" s="35"/>
      <c r="L599" s="36"/>
      <c r="M599" s="32"/>
    </row>
    <row r="600" spans="2:13" ht="15.75" customHeight="1">
      <c r="B600" s="32"/>
      <c r="C600" s="33" t="str">
        <f t="shared" si="3"/>
        <v/>
      </c>
      <c r="D600" s="32"/>
      <c r="E600" s="33"/>
      <c r="F600" s="34"/>
      <c r="G600" s="32"/>
      <c r="H600" s="32"/>
      <c r="I600" s="32"/>
      <c r="J600" s="34"/>
      <c r="K600" s="35"/>
      <c r="L600" s="36"/>
      <c r="M600" s="32"/>
    </row>
    <row r="601" spans="2:13" ht="15.75" customHeight="1">
      <c r="B601" s="32"/>
      <c r="C601" s="33" t="str">
        <f t="shared" si="3"/>
        <v/>
      </c>
      <c r="D601" s="32"/>
      <c r="E601" s="33"/>
      <c r="F601" s="34"/>
      <c r="G601" s="32"/>
      <c r="H601" s="32"/>
      <c r="I601" s="32"/>
      <c r="J601" s="34"/>
      <c r="K601" s="35"/>
      <c r="L601" s="36"/>
      <c r="M601" s="32"/>
    </row>
    <row r="602" spans="2:13" ht="15.75" customHeight="1">
      <c r="B602" s="32"/>
      <c r="C602" s="33" t="str">
        <f t="shared" si="3"/>
        <v/>
      </c>
      <c r="D602" s="32"/>
      <c r="E602" s="33"/>
      <c r="F602" s="34"/>
      <c r="G602" s="32"/>
      <c r="H602" s="32"/>
      <c r="I602" s="32"/>
      <c r="J602" s="34"/>
      <c r="K602" s="35"/>
      <c r="L602" s="36"/>
      <c r="M602" s="32"/>
    </row>
    <row r="603" spans="2:13" ht="15.75" customHeight="1">
      <c r="B603" s="32"/>
      <c r="C603" s="33" t="str">
        <f t="shared" si="3"/>
        <v/>
      </c>
      <c r="D603" s="32"/>
      <c r="E603" s="33"/>
      <c r="F603" s="34"/>
      <c r="G603" s="32"/>
      <c r="H603" s="32"/>
      <c r="I603" s="32"/>
      <c r="J603" s="34"/>
      <c r="K603" s="35"/>
      <c r="L603" s="36"/>
      <c r="M603" s="32"/>
    </row>
    <row r="604" spans="2:13" ht="15.75" customHeight="1">
      <c r="B604" s="32"/>
      <c r="C604" s="33" t="str">
        <f t="shared" si="3"/>
        <v/>
      </c>
      <c r="D604" s="32"/>
      <c r="E604" s="33"/>
      <c r="F604" s="34"/>
      <c r="G604" s="32"/>
      <c r="H604" s="32"/>
      <c r="I604" s="32"/>
      <c r="J604" s="34"/>
      <c r="K604" s="35"/>
      <c r="L604" s="36"/>
      <c r="M604" s="32"/>
    </row>
    <row r="605" spans="2:13" ht="15.75" customHeight="1">
      <c r="B605" s="32"/>
      <c r="C605" s="33" t="str">
        <f t="shared" si="3"/>
        <v/>
      </c>
      <c r="D605" s="32"/>
      <c r="E605" s="33"/>
      <c r="F605" s="34"/>
      <c r="G605" s="32"/>
      <c r="H605" s="32"/>
      <c r="I605" s="32"/>
      <c r="J605" s="34"/>
      <c r="K605" s="35"/>
      <c r="L605" s="36"/>
      <c r="M605" s="32"/>
    </row>
    <row r="606" spans="2:13" ht="15.75" customHeight="1">
      <c r="B606" s="32"/>
      <c r="C606" s="33" t="str">
        <f t="shared" si="3"/>
        <v/>
      </c>
      <c r="D606" s="32"/>
      <c r="E606" s="33"/>
      <c r="F606" s="34"/>
      <c r="G606" s="32"/>
      <c r="H606" s="32"/>
      <c r="I606" s="32"/>
      <c r="J606" s="34"/>
      <c r="K606" s="35"/>
      <c r="L606" s="36"/>
      <c r="M606" s="32"/>
    </row>
    <row r="607" spans="2:13" ht="15.75" customHeight="1">
      <c r="B607" s="32"/>
      <c r="C607" s="33" t="str">
        <f t="shared" si="3"/>
        <v/>
      </c>
      <c r="D607" s="32"/>
      <c r="E607" s="33"/>
      <c r="F607" s="34"/>
      <c r="G607" s="32"/>
      <c r="H607" s="32"/>
      <c r="I607" s="32"/>
      <c r="J607" s="34"/>
      <c r="K607" s="35"/>
      <c r="L607" s="36"/>
      <c r="M607" s="32"/>
    </row>
    <row r="608" spans="2:13" ht="15.75" customHeight="1">
      <c r="B608" s="32"/>
      <c r="C608" s="33" t="str">
        <f t="shared" si="3"/>
        <v/>
      </c>
      <c r="D608" s="32"/>
      <c r="E608" s="33"/>
      <c r="F608" s="34"/>
      <c r="G608" s="32"/>
      <c r="H608" s="32"/>
      <c r="I608" s="32"/>
      <c r="J608" s="34"/>
      <c r="K608" s="35"/>
      <c r="L608" s="36"/>
      <c r="M608" s="32"/>
    </row>
    <row r="609" spans="2:13" ht="15.75" customHeight="1">
      <c r="B609" s="32"/>
      <c r="C609" s="33" t="str">
        <f t="shared" si="3"/>
        <v/>
      </c>
      <c r="D609" s="32"/>
      <c r="E609" s="33"/>
      <c r="F609" s="34"/>
      <c r="G609" s="32"/>
      <c r="H609" s="32"/>
      <c r="I609" s="32"/>
      <c r="J609" s="34"/>
      <c r="K609" s="35"/>
      <c r="L609" s="36"/>
      <c r="M609" s="32"/>
    </row>
    <row r="610" spans="2:13" ht="15.75" customHeight="1">
      <c r="B610" s="32"/>
      <c r="C610" s="33" t="str">
        <f t="shared" si="3"/>
        <v/>
      </c>
      <c r="D610" s="32"/>
      <c r="E610" s="33"/>
      <c r="F610" s="34"/>
      <c r="G610" s="32"/>
      <c r="H610" s="32"/>
      <c r="I610" s="32"/>
      <c r="J610" s="34"/>
      <c r="K610" s="35"/>
      <c r="L610" s="36"/>
      <c r="M610" s="32"/>
    </row>
    <row r="611" spans="2:13" ht="15.75" customHeight="1">
      <c r="B611" s="32"/>
      <c r="C611" s="33" t="str">
        <f t="shared" si="3"/>
        <v/>
      </c>
      <c r="D611" s="32"/>
      <c r="E611" s="33"/>
      <c r="F611" s="34"/>
      <c r="G611" s="32"/>
      <c r="H611" s="32"/>
      <c r="I611" s="32"/>
      <c r="J611" s="34"/>
      <c r="K611" s="35"/>
      <c r="L611" s="36"/>
      <c r="M611" s="32"/>
    </row>
    <row r="612" spans="2:13" ht="15.75" customHeight="1">
      <c r="B612" s="32"/>
      <c r="C612" s="33" t="str">
        <f t="shared" si="3"/>
        <v/>
      </c>
      <c r="D612" s="32"/>
      <c r="E612" s="33"/>
      <c r="F612" s="34"/>
      <c r="G612" s="32"/>
      <c r="H612" s="32"/>
      <c r="I612" s="32"/>
      <c r="J612" s="34"/>
      <c r="K612" s="35"/>
      <c r="L612" s="36"/>
      <c r="M612" s="32"/>
    </row>
    <row r="613" spans="2:13" ht="15.75" customHeight="1">
      <c r="B613" s="32"/>
      <c r="C613" s="33" t="str">
        <f t="shared" si="3"/>
        <v/>
      </c>
      <c r="D613" s="32"/>
      <c r="E613" s="33"/>
      <c r="F613" s="34"/>
      <c r="G613" s="32"/>
      <c r="H613" s="32"/>
      <c r="I613" s="32"/>
      <c r="J613" s="34"/>
      <c r="K613" s="35"/>
      <c r="L613" s="36"/>
      <c r="M613" s="32"/>
    </row>
    <row r="614" spans="2:13" ht="15.75" customHeight="1">
      <c r="B614" s="32"/>
      <c r="C614" s="33" t="str">
        <f t="shared" si="3"/>
        <v/>
      </c>
      <c r="D614" s="32"/>
      <c r="E614" s="33"/>
      <c r="F614" s="34"/>
      <c r="G614" s="32"/>
      <c r="H614" s="32"/>
      <c r="I614" s="32"/>
      <c r="J614" s="34"/>
      <c r="K614" s="35"/>
      <c r="L614" s="36"/>
      <c r="M614" s="32"/>
    </row>
    <row r="615" spans="2:13" ht="15.75" customHeight="1">
      <c r="B615" s="32"/>
      <c r="C615" s="33" t="str">
        <f t="shared" si="3"/>
        <v/>
      </c>
      <c r="D615" s="32"/>
      <c r="E615" s="33"/>
      <c r="F615" s="34"/>
      <c r="G615" s="32"/>
      <c r="H615" s="32"/>
      <c r="I615" s="32"/>
      <c r="J615" s="34"/>
      <c r="K615" s="35"/>
      <c r="L615" s="36"/>
      <c r="M615" s="32"/>
    </row>
    <row r="616" spans="2:13" ht="15.75" customHeight="1">
      <c r="B616" s="32"/>
      <c r="C616" s="33" t="str">
        <f t="shared" si="3"/>
        <v/>
      </c>
      <c r="D616" s="32"/>
      <c r="E616" s="33"/>
      <c r="F616" s="34"/>
      <c r="G616" s="32"/>
      <c r="H616" s="32"/>
      <c r="I616" s="32"/>
      <c r="J616" s="34"/>
      <c r="K616" s="35"/>
      <c r="L616" s="36"/>
      <c r="M616" s="32"/>
    </row>
    <row r="617" spans="2:13" ht="15.75" customHeight="1">
      <c r="B617" s="32"/>
      <c r="C617" s="33" t="str">
        <f t="shared" si="3"/>
        <v/>
      </c>
      <c r="D617" s="32"/>
      <c r="E617" s="33"/>
      <c r="F617" s="34"/>
      <c r="G617" s="32"/>
      <c r="H617" s="32"/>
      <c r="I617" s="32"/>
      <c r="J617" s="34"/>
      <c r="K617" s="35"/>
      <c r="L617" s="36"/>
      <c r="M617" s="32"/>
    </row>
    <row r="618" spans="2:13" ht="15.75" customHeight="1">
      <c r="B618" s="32"/>
      <c r="C618" s="33" t="str">
        <f t="shared" si="3"/>
        <v/>
      </c>
      <c r="D618" s="32"/>
      <c r="E618" s="33"/>
      <c r="F618" s="34"/>
      <c r="G618" s="32"/>
      <c r="H618" s="32"/>
      <c r="I618" s="32"/>
      <c r="J618" s="34"/>
      <c r="K618" s="35"/>
      <c r="L618" s="36"/>
      <c r="M618" s="32"/>
    </row>
    <row r="619" spans="2:13" ht="15.75" customHeight="1">
      <c r="B619" s="32"/>
      <c r="C619" s="33" t="str">
        <f t="shared" si="3"/>
        <v/>
      </c>
      <c r="D619" s="32"/>
      <c r="E619" s="33"/>
      <c r="F619" s="34"/>
      <c r="G619" s="32"/>
      <c r="H619" s="32"/>
      <c r="I619" s="32"/>
      <c r="J619" s="34"/>
      <c r="K619" s="35"/>
      <c r="L619" s="36"/>
      <c r="M619" s="32"/>
    </row>
    <row r="620" spans="2:13" ht="15.75" customHeight="1">
      <c r="B620" s="32"/>
      <c r="C620" s="33" t="str">
        <f t="shared" si="3"/>
        <v/>
      </c>
      <c r="D620" s="32"/>
      <c r="E620" s="33"/>
      <c r="F620" s="34"/>
      <c r="G620" s="32"/>
      <c r="H620" s="32"/>
      <c r="I620" s="32"/>
      <c r="J620" s="34"/>
      <c r="K620" s="35"/>
      <c r="L620" s="36"/>
      <c r="M620" s="32"/>
    </row>
    <row r="621" spans="2:13" ht="15.75" customHeight="1">
      <c r="B621" s="32"/>
      <c r="C621" s="33" t="str">
        <f t="shared" si="3"/>
        <v/>
      </c>
      <c r="D621" s="32"/>
      <c r="E621" s="33"/>
      <c r="F621" s="34"/>
      <c r="G621" s="32"/>
      <c r="H621" s="32"/>
      <c r="I621" s="32"/>
      <c r="J621" s="34"/>
      <c r="K621" s="35"/>
      <c r="L621" s="36"/>
      <c r="M621" s="32"/>
    </row>
    <row r="622" spans="2:13" ht="15.75" customHeight="1">
      <c r="B622" s="32"/>
      <c r="C622" s="33" t="str">
        <f t="shared" si="3"/>
        <v/>
      </c>
      <c r="D622" s="32"/>
      <c r="E622" s="33"/>
      <c r="F622" s="34"/>
      <c r="G622" s="32"/>
      <c r="H622" s="32"/>
      <c r="I622" s="32"/>
      <c r="J622" s="34"/>
      <c r="K622" s="35"/>
      <c r="L622" s="36"/>
      <c r="M622" s="32"/>
    </row>
    <row r="623" spans="2:13" ht="15.75" customHeight="1">
      <c r="B623" s="32"/>
      <c r="C623" s="33" t="str">
        <f t="shared" si="3"/>
        <v/>
      </c>
      <c r="D623" s="32"/>
      <c r="E623" s="33"/>
      <c r="F623" s="34"/>
      <c r="G623" s="32"/>
      <c r="H623" s="32"/>
      <c r="I623" s="32"/>
      <c r="J623" s="34"/>
      <c r="K623" s="35"/>
      <c r="L623" s="36"/>
      <c r="M623" s="32"/>
    </row>
    <row r="624" spans="2:13" ht="15.75" customHeight="1">
      <c r="B624" s="32"/>
      <c r="C624" s="33" t="str">
        <f t="shared" si="3"/>
        <v/>
      </c>
      <c r="D624" s="32"/>
      <c r="E624" s="33"/>
      <c r="F624" s="34"/>
      <c r="G624" s="32"/>
      <c r="H624" s="32"/>
      <c r="I624" s="32"/>
      <c r="J624" s="34"/>
      <c r="K624" s="35"/>
      <c r="L624" s="36"/>
      <c r="M624" s="32"/>
    </row>
    <row r="625" spans="2:13" ht="15.75" customHeight="1">
      <c r="B625" s="32"/>
      <c r="C625" s="33" t="str">
        <f t="shared" si="3"/>
        <v/>
      </c>
      <c r="D625" s="32"/>
      <c r="E625" s="33"/>
      <c r="F625" s="34"/>
      <c r="G625" s="32"/>
      <c r="H625" s="32"/>
      <c r="I625" s="32"/>
      <c r="J625" s="34"/>
      <c r="K625" s="35"/>
      <c r="L625" s="36"/>
      <c r="M625" s="32"/>
    </row>
    <row r="626" spans="2:13" ht="15.75" customHeight="1">
      <c r="B626" s="32"/>
      <c r="C626" s="33" t="str">
        <f t="shared" si="3"/>
        <v/>
      </c>
      <c r="D626" s="32"/>
      <c r="E626" s="33"/>
      <c r="F626" s="34"/>
      <c r="G626" s="32"/>
      <c r="H626" s="32"/>
      <c r="I626" s="32"/>
      <c r="J626" s="34"/>
      <c r="K626" s="35"/>
      <c r="L626" s="36"/>
      <c r="M626" s="32"/>
    </row>
    <row r="627" spans="2:13" ht="15.75" customHeight="1">
      <c r="B627" s="32"/>
      <c r="C627" s="33" t="str">
        <f t="shared" si="3"/>
        <v/>
      </c>
      <c r="D627" s="32"/>
      <c r="E627" s="33"/>
      <c r="F627" s="34"/>
      <c r="G627" s="32"/>
      <c r="H627" s="32"/>
      <c r="I627" s="32"/>
      <c r="J627" s="34"/>
      <c r="K627" s="35"/>
      <c r="L627" s="36"/>
      <c r="M627" s="32"/>
    </row>
    <row r="628" spans="2:13" ht="15.75" customHeight="1">
      <c r="B628" s="32"/>
      <c r="C628" s="33" t="str">
        <f t="shared" si="3"/>
        <v/>
      </c>
      <c r="D628" s="32"/>
      <c r="E628" s="33"/>
      <c r="F628" s="34"/>
      <c r="G628" s="32"/>
      <c r="H628" s="32"/>
      <c r="I628" s="32"/>
      <c r="J628" s="34"/>
      <c r="K628" s="35"/>
      <c r="L628" s="36"/>
      <c r="M628" s="32"/>
    </row>
    <row r="629" spans="2:13" ht="15.75" customHeight="1">
      <c r="B629" s="32"/>
      <c r="C629" s="33" t="str">
        <f t="shared" si="3"/>
        <v/>
      </c>
      <c r="D629" s="32"/>
      <c r="E629" s="33"/>
      <c r="F629" s="34"/>
      <c r="G629" s="32"/>
      <c r="H629" s="32"/>
      <c r="I629" s="32"/>
      <c r="J629" s="34"/>
      <c r="K629" s="35"/>
      <c r="L629" s="36"/>
      <c r="M629" s="32"/>
    </row>
    <row r="630" spans="2:13" ht="15.75" customHeight="1">
      <c r="B630" s="32"/>
      <c r="C630" s="33" t="str">
        <f t="shared" si="3"/>
        <v/>
      </c>
      <c r="D630" s="32"/>
      <c r="E630" s="33"/>
      <c r="F630" s="34"/>
      <c r="G630" s="32"/>
      <c r="H630" s="32"/>
      <c r="I630" s="32"/>
      <c r="J630" s="34"/>
      <c r="K630" s="35"/>
      <c r="L630" s="36"/>
      <c r="M630" s="32"/>
    </row>
    <row r="631" spans="2:13" ht="15.75" customHeight="1">
      <c r="B631" s="32"/>
      <c r="C631" s="33" t="str">
        <f t="shared" si="3"/>
        <v/>
      </c>
      <c r="D631" s="32"/>
      <c r="E631" s="33"/>
      <c r="F631" s="34"/>
      <c r="G631" s="32"/>
      <c r="H631" s="32"/>
      <c r="I631" s="32"/>
      <c r="J631" s="34"/>
      <c r="K631" s="35"/>
      <c r="L631" s="36"/>
      <c r="M631" s="32"/>
    </row>
    <row r="632" spans="2:13" ht="15.75" customHeight="1">
      <c r="B632" s="32"/>
      <c r="C632" s="33" t="str">
        <f t="shared" si="3"/>
        <v/>
      </c>
      <c r="D632" s="32"/>
      <c r="E632" s="33"/>
      <c r="F632" s="34"/>
      <c r="G632" s="32"/>
      <c r="H632" s="32"/>
      <c r="I632" s="32"/>
      <c r="J632" s="34"/>
      <c r="K632" s="35"/>
      <c r="L632" s="36"/>
      <c r="M632" s="32"/>
    </row>
    <row r="633" spans="2:13" ht="15.75" customHeight="1">
      <c r="B633" s="32"/>
      <c r="C633" s="33" t="str">
        <f t="shared" si="3"/>
        <v/>
      </c>
      <c r="D633" s="32"/>
      <c r="E633" s="33"/>
      <c r="F633" s="34"/>
      <c r="G633" s="32"/>
      <c r="H633" s="32"/>
      <c r="I633" s="32"/>
      <c r="J633" s="34"/>
      <c r="K633" s="35"/>
      <c r="L633" s="36"/>
      <c r="M633" s="32"/>
    </row>
    <row r="634" spans="2:13" ht="15.75" customHeight="1">
      <c r="B634" s="32"/>
      <c r="C634" s="33" t="str">
        <f t="shared" si="3"/>
        <v/>
      </c>
      <c r="D634" s="32"/>
      <c r="E634" s="33"/>
      <c r="F634" s="34"/>
      <c r="G634" s="32"/>
      <c r="H634" s="32"/>
      <c r="I634" s="32"/>
      <c r="J634" s="34"/>
      <c r="K634" s="35"/>
      <c r="L634" s="36"/>
      <c r="M634" s="32"/>
    </row>
    <row r="635" spans="2:13" ht="15.75" customHeight="1">
      <c r="B635" s="32"/>
      <c r="C635" s="33" t="str">
        <f t="shared" si="3"/>
        <v/>
      </c>
      <c r="D635" s="32"/>
      <c r="E635" s="33"/>
      <c r="F635" s="34"/>
      <c r="G635" s="32"/>
      <c r="H635" s="32"/>
      <c r="I635" s="32"/>
      <c r="J635" s="34"/>
      <c r="K635" s="35"/>
      <c r="L635" s="36"/>
      <c r="M635" s="32"/>
    </row>
    <row r="636" spans="2:13" ht="15.75" customHeight="1">
      <c r="B636" s="32"/>
      <c r="C636" s="33" t="str">
        <f t="shared" si="3"/>
        <v/>
      </c>
      <c r="D636" s="32"/>
      <c r="E636" s="33"/>
      <c r="F636" s="34"/>
      <c r="G636" s="32"/>
      <c r="H636" s="32"/>
      <c r="I636" s="32"/>
      <c r="J636" s="34"/>
      <c r="K636" s="35"/>
      <c r="L636" s="36"/>
      <c r="M636" s="32"/>
    </row>
    <row r="637" spans="2:13" ht="15.75" customHeight="1">
      <c r="B637" s="32"/>
      <c r="C637" s="33" t="str">
        <f t="shared" si="3"/>
        <v/>
      </c>
      <c r="D637" s="32"/>
      <c r="E637" s="33"/>
      <c r="F637" s="34"/>
      <c r="G637" s="32"/>
      <c r="H637" s="32"/>
      <c r="I637" s="32"/>
      <c r="J637" s="34"/>
      <c r="K637" s="35"/>
      <c r="L637" s="36"/>
      <c r="M637" s="32"/>
    </row>
    <row r="638" spans="2:13" ht="15.75" customHeight="1">
      <c r="B638" s="32"/>
      <c r="C638" s="33" t="str">
        <f t="shared" si="3"/>
        <v/>
      </c>
      <c r="D638" s="32"/>
      <c r="E638" s="33"/>
      <c r="F638" s="34"/>
      <c r="G638" s="32"/>
      <c r="H638" s="32"/>
      <c r="I638" s="32"/>
      <c r="J638" s="34"/>
      <c r="K638" s="35"/>
      <c r="L638" s="36"/>
      <c r="M638" s="32"/>
    </row>
    <row r="639" spans="2:13" ht="15.75" customHeight="1">
      <c r="B639" s="32"/>
      <c r="C639" s="33" t="str">
        <f t="shared" si="3"/>
        <v/>
      </c>
      <c r="D639" s="32"/>
      <c r="E639" s="33"/>
      <c r="F639" s="34"/>
      <c r="G639" s="32"/>
      <c r="H639" s="32"/>
      <c r="I639" s="32"/>
      <c r="J639" s="34"/>
      <c r="K639" s="35"/>
      <c r="L639" s="36"/>
      <c r="M639" s="32"/>
    </row>
    <row r="640" spans="2:13" ht="15.75" customHeight="1">
      <c r="B640" s="32"/>
      <c r="C640" s="33" t="str">
        <f t="shared" si="3"/>
        <v/>
      </c>
      <c r="D640" s="32"/>
      <c r="E640" s="33"/>
      <c r="F640" s="34"/>
      <c r="G640" s="32"/>
      <c r="H640" s="32"/>
      <c r="I640" s="32"/>
      <c r="J640" s="34"/>
      <c r="K640" s="35"/>
      <c r="L640" s="36"/>
      <c r="M640" s="32"/>
    </row>
    <row r="641" spans="2:13" ht="15.75" customHeight="1">
      <c r="B641" s="32"/>
      <c r="C641" s="33" t="str">
        <f t="shared" si="3"/>
        <v/>
      </c>
      <c r="D641" s="32"/>
      <c r="E641" s="33"/>
      <c r="F641" s="34"/>
      <c r="G641" s="32"/>
      <c r="H641" s="32"/>
      <c r="I641" s="32"/>
      <c r="J641" s="34"/>
      <c r="K641" s="35"/>
      <c r="L641" s="36"/>
      <c r="M641" s="32"/>
    </row>
    <row r="642" spans="2:13" ht="15.75" customHeight="1">
      <c r="B642" s="32"/>
      <c r="C642" s="33" t="str">
        <f t="shared" si="3"/>
        <v/>
      </c>
      <c r="D642" s="32"/>
      <c r="E642" s="33"/>
      <c r="F642" s="34"/>
      <c r="G642" s="32"/>
      <c r="H642" s="32"/>
      <c r="I642" s="32"/>
      <c r="J642" s="34"/>
      <c r="K642" s="35"/>
      <c r="L642" s="36"/>
      <c r="M642" s="32"/>
    </row>
    <row r="643" spans="2:13" ht="15.75" customHeight="1">
      <c r="B643" s="32"/>
      <c r="C643" s="33" t="str">
        <f t="shared" si="3"/>
        <v/>
      </c>
      <c r="D643" s="32"/>
      <c r="E643" s="33"/>
      <c r="F643" s="34"/>
      <c r="G643" s="32"/>
      <c r="H643" s="32"/>
      <c r="I643" s="32"/>
      <c r="J643" s="34"/>
      <c r="K643" s="35"/>
      <c r="L643" s="36"/>
      <c r="M643" s="32"/>
    </row>
    <row r="644" spans="2:13" ht="15.75" customHeight="1">
      <c r="B644" s="32"/>
      <c r="C644" s="33" t="str">
        <f t="shared" si="3"/>
        <v/>
      </c>
      <c r="D644" s="32"/>
      <c r="E644" s="33"/>
      <c r="F644" s="34"/>
      <c r="G644" s="32"/>
      <c r="H644" s="32"/>
      <c r="I644" s="32"/>
      <c r="J644" s="34"/>
      <c r="K644" s="35"/>
      <c r="L644" s="36"/>
      <c r="M644" s="32"/>
    </row>
    <row r="645" spans="2:13" ht="15.75" customHeight="1">
      <c r="B645" s="32"/>
      <c r="C645" s="33" t="str">
        <f t="shared" si="3"/>
        <v/>
      </c>
      <c r="D645" s="32"/>
      <c r="E645" s="33"/>
      <c r="F645" s="34"/>
      <c r="G645" s="32"/>
      <c r="H645" s="32"/>
      <c r="I645" s="32"/>
      <c r="J645" s="34"/>
      <c r="K645" s="35"/>
      <c r="L645" s="36"/>
      <c r="M645" s="32"/>
    </row>
    <row r="646" spans="2:13" ht="15.75" customHeight="1">
      <c r="B646" s="32"/>
      <c r="C646" s="33" t="str">
        <f t="shared" si="3"/>
        <v/>
      </c>
      <c r="D646" s="32"/>
      <c r="E646" s="33"/>
      <c r="F646" s="34"/>
      <c r="G646" s="32"/>
      <c r="H646" s="32"/>
      <c r="I646" s="32"/>
      <c r="J646" s="34"/>
      <c r="K646" s="35"/>
      <c r="L646" s="36"/>
      <c r="M646" s="32"/>
    </row>
    <row r="647" spans="2:13" ht="15.75" customHeight="1">
      <c r="B647" s="32"/>
      <c r="C647" s="33" t="str">
        <f t="shared" si="3"/>
        <v/>
      </c>
      <c r="D647" s="32"/>
      <c r="E647" s="33"/>
      <c r="F647" s="34"/>
      <c r="G647" s="32"/>
      <c r="H647" s="32"/>
      <c r="I647" s="32"/>
      <c r="J647" s="34"/>
      <c r="K647" s="35"/>
      <c r="L647" s="36"/>
      <c r="M647" s="32"/>
    </row>
    <row r="648" spans="2:13" ht="15.75" customHeight="1">
      <c r="B648" s="32"/>
      <c r="C648" s="33" t="str">
        <f t="shared" si="3"/>
        <v/>
      </c>
      <c r="D648" s="32"/>
      <c r="E648" s="33"/>
      <c r="F648" s="34"/>
      <c r="G648" s="32"/>
      <c r="H648" s="32"/>
      <c r="I648" s="32"/>
      <c r="J648" s="34"/>
      <c r="K648" s="35"/>
      <c r="L648" s="36"/>
      <c r="M648" s="32"/>
    </row>
    <row r="649" spans="2:13" ht="15.75" customHeight="1">
      <c r="B649" s="32"/>
      <c r="C649" s="33" t="str">
        <f t="shared" si="3"/>
        <v/>
      </c>
      <c r="D649" s="32"/>
      <c r="E649" s="33"/>
      <c r="F649" s="34"/>
      <c r="G649" s="32"/>
      <c r="H649" s="32"/>
      <c r="I649" s="32"/>
      <c r="J649" s="34"/>
      <c r="K649" s="35"/>
      <c r="L649" s="36"/>
      <c r="M649" s="32"/>
    </row>
    <row r="650" spans="2:13" ht="15.75" customHeight="1">
      <c r="B650" s="32"/>
      <c r="C650" s="33" t="str">
        <f t="shared" si="3"/>
        <v/>
      </c>
      <c r="D650" s="32"/>
      <c r="E650" s="33"/>
      <c r="F650" s="34"/>
      <c r="G650" s="32"/>
      <c r="H650" s="32"/>
      <c r="I650" s="32"/>
      <c r="J650" s="34"/>
      <c r="K650" s="35"/>
      <c r="L650" s="36"/>
      <c r="M650" s="32"/>
    </row>
    <row r="651" spans="2:13" ht="15.75" customHeight="1">
      <c r="B651" s="32"/>
      <c r="C651" s="33" t="str">
        <f t="shared" si="3"/>
        <v/>
      </c>
      <c r="D651" s="32"/>
      <c r="E651" s="33"/>
      <c r="F651" s="34"/>
      <c r="G651" s="32"/>
      <c r="H651" s="32"/>
      <c r="I651" s="32"/>
      <c r="J651" s="34"/>
      <c r="K651" s="35"/>
      <c r="L651" s="36"/>
      <c r="M651" s="32"/>
    </row>
    <row r="652" spans="2:13" ht="15.75" customHeight="1">
      <c r="B652" s="32"/>
      <c r="C652" s="33" t="str">
        <f t="shared" si="3"/>
        <v/>
      </c>
      <c r="D652" s="32"/>
      <c r="E652" s="33"/>
      <c r="F652" s="34"/>
      <c r="G652" s="32"/>
      <c r="H652" s="32"/>
      <c r="I652" s="32"/>
      <c r="J652" s="34"/>
      <c r="K652" s="35"/>
      <c r="L652" s="36"/>
      <c r="M652" s="32"/>
    </row>
    <row r="653" spans="2:13" ht="15.75" customHeight="1">
      <c r="B653" s="32"/>
      <c r="C653" s="33" t="str">
        <f t="shared" si="3"/>
        <v/>
      </c>
      <c r="D653" s="32"/>
      <c r="E653" s="33"/>
      <c r="F653" s="34"/>
      <c r="G653" s="32"/>
      <c r="H653" s="32"/>
      <c r="I653" s="32"/>
      <c r="J653" s="34"/>
      <c r="K653" s="35"/>
      <c r="L653" s="36"/>
      <c r="M653" s="32"/>
    </row>
    <row r="654" spans="2:13" ht="15.75" customHeight="1">
      <c r="B654" s="32"/>
      <c r="C654" s="33" t="str">
        <f t="shared" si="3"/>
        <v/>
      </c>
      <c r="D654" s="32"/>
      <c r="E654" s="33"/>
      <c r="F654" s="34"/>
      <c r="G654" s="32"/>
      <c r="H654" s="32"/>
      <c r="I654" s="32"/>
      <c r="J654" s="34"/>
      <c r="K654" s="35"/>
      <c r="L654" s="36"/>
      <c r="M654" s="32"/>
    </row>
    <row r="655" spans="2:13" ht="15.75" customHeight="1">
      <c r="B655" s="32"/>
      <c r="C655" s="33" t="str">
        <f t="shared" si="3"/>
        <v/>
      </c>
      <c r="D655" s="32"/>
      <c r="E655" s="33"/>
      <c r="F655" s="34"/>
      <c r="G655" s="32"/>
      <c r="H655" s="32"/>
      <c r="I655" s="32"/>
      <c r="J655" s="34"/>
      <c r="K655" s="35"/>
      <c r="L655" s="36"/>
      <c r="M655" s="32"/>
    </row>
    <row r="656" spans="2:13" ht="15.75" customHeight="1">
      <c r="B656" s="32"/>
      <c r="C656" s="33" t="str">
        <f t="shared" si="3"/>
        <v/>
      </c>
      <c r="D656" s="32"/>
      <c r="E656" s="33"/>
      <c r="F656" s="34"/>
      <c r="G656" s="32"/>
      <c r="H656" s="32"/>
      <c r="I656" s="32"/>
      <c r="J656" s="34"/>
      <c r="K656" s="35"/>
      <c r="L656" s="36"/>
      <c r="M656" s="32"/>
    </row>
    <row r="657" spans="2:13" ht="15.75" customHeight="1">
      <c r="B657" s="32"/>
      <c r="C657" s="33" t="str">
        <f t="shared" si="3"/>
        <v/>
      </c>
      <c r="D657" s="32"/>
      <c r="E657" s="33"/>
      <c r="F657" s="34"/>
      <c r="G657" s="32"/>
      <c r="H657" s="32"/>
      <c r="I657" s="32"/>
      <c r="J657" s="34"/>
      <c r="K657" s="35"/>
      <c r="L657" s="36"/>
      <c r="M657" s="32"/>
    </row>
    <row r="658" spans="2:13" ht="15.75" customHeight="1">
      <c r="B658" s="32"/>
      <c r="C658" s="33" t="str">
        <f t="shared" si="3"/>
        <v/>
      </c>
      <c r="D658" s="32"/>
      <c r="E658" s="33"/>
      <c r="F658" s="34"/>
      <c r="G658" s="32"/>
      <c r="H658" s="32"/>
      <c r="I658" s="32"/>
      <c r="J658" s="34"/>
      <c r="K658" s="35"/>
      <c r="L658" s="36"/>
      <c r="M658" s="32"/>
    </row>
    <row r="659" spans="2:13" ht="15.75" customHeight="1">
      <c r="B659" s="32"/>
      <c r="C659" s="33" t="str">
        <f t="shared" si="3"/>
        <v/>
      </c>
      <c r="D659" s="32"/>
      <c r="E659" s="33"/>
      <c r="F659" s="34"/>
      <c r="G659" s="32"/>
      <c r="H659" s="32"/>
      <c r="I659" s="32"/>
      <c r="J659" s="34"/>
      <c r="K659" s="35"/>
      <c r="L659" s="36"/>
      <c r="M659" s="32"/>
    </row>
    <row r="660" spans="2:13" ht="15.75" customHeight="1">
      <c r="B660" s="32"/>
      <c r="C660" s="33" t="str">
        <f t="shared" si="3"/>
        <v/>
      </c>
      <c r="D660" s="32"/>
      <c r="E660" s="33"/>
      <c r="F660" s="34"/>
      <c r="G660" s="32"/>
      <c r="H660" s="32"/>
      <c r="I660" s="32"/>
      <c r="J660" s="34"/>
      <c r="K660" s="35"/>
      <c r="L660" s="36"/>
      <c r="M660" s="32"/>
    </row>
    <row r="661" spans="2:13" ht="15.75" customHeight="1">
      <c r="B661" s="32"/>
      <c r="C661" s="33" t="str">
        <f t="shared" si="3"/>
        <v/>
      </c>
      <c r="D661" s="32"/>
      <c r="E661" s="33"/>
      <c r="F661" s="34"/>
      <c r="G661" s="32"/>
      <c r="H661" s="32"/>
      <c r="I661" s="32"/>
      <c r="J661" s="34"/>
      <c r="K661" s="35"/>
      <c r="L661" s="36"/>
      <c r="M661" s="32"/>
    </row>
    <row r="662" spans="2:13" ht="15.75" customHeight="1">
      <c r="B662" s="32"/>
      <c r="C662" s="33" t="str">
        <f t="shared" si="3"/>
        <v/>
      </c>
      <c r="D662" s="32"/>
      <c r="E662" s="33"/>
      <c r="F662" s="34"/>
      <c r="G662" s="32"/>
      <c r="H662" s="32"/>
      <c r="I662" s="32"/>
      <c r="J662" s="34"/>
      <c r="K662" s="35"/>
      <c r="L662" s="36"/>
      <c r="M662" s="32"/>
    </row>
    <row r="663" spans="2:13" ht="15.75" customHeight="1">
      <c r="B663" s="32"/>
      <c r="C663" s="33" t="str">
        <f t="shared" si="3"/>
        <v/>
      </c>
      <c r="D663" s="32"/>
      <c r="E663" s="33"/>
      <c r="F663" s="34"/>
      <c r="G663" s="32"/>
      <c r="H663" s="32"/>
      <c r="I663" s="32"/>
      <c r="J663" s="34"/>
      <c r="K663" s="35"/>
      <c r="L663" s="36"/>
      <c r="M663" s="32"/>
    </row>
    <row r="664" spans="2:13" ht="15.75" customHeight="1">
      <c r="B664" s="32"/>
      <c r="C664" s="33" t="str">
        <f t="shared" si="3"/>
        <v/>
      </c>
      <c r="D664" s="32"/>
      <c r="E664" s="33"/>
      <c r="F664" s="34"/>
      <c r="G664" s="32"/>
      <c r="H664" s="32"/>
      <c r="I664" s="32"/>
      <c r="J664" s="34"/>
      <c r="K664" s="35"/>
      <c r="L664" s="36"/>
      <c r="M664" s="32"/>
    </row>
    <row r="665" spans="2:13" ht="15.75" customHeight="1">
      <c r="B665" s="32"/>
      <c r="C665" s="33" t="str">
        <f t="shared" si="3"/>
        <v/>
      </c>
      <c r="D665" s="32"/>
      <c r="E665" s="33"/>
      <c r="F665" s="34"/>
      <c r="G665" s="32"/>
      <c r="H665" s="32"/>
      <c r="I665" s="32"/>
      <c r="J665" s="34"/>
      <c r="K665" s="35"/>
      <c r="L665" s="36"/>
      <c r="M665" s="32"/>
    </row>
    <row r="666" spans="2:13" ht="15.75" customHeight="1">
      <c r="B666" s="32"/>
      <c r="C666" s="33" t="str">
        <f t="shared" si="3"/>
        <v/>
      </c>
      <c r="D666" s="32"/>
      <c r="E666" s="33"/>
      <c r="F666" s="34"/>
      <c r="G666" s="32"/>
      <c r="H666" s="32"/>
      <c r="I666" s="32"/>
      <c r="J666" s="34"/>
      <c r="K666" s="35"/>
      <c r="L666" s="36"/>
      <c r="M666" s="32"/>
    </row>
    <row r="667" spans="2:13" ht="15.75" customHeight="1">
      <c r="B667" s="32"/>
      <c r="C667" s="33" t="str">
        <f t="shared" si="3"/>
        <v/>
      </c>
      <c r="D667" s="32"/>
      <c r="E667" s="33"/>
      <c r="F667" s="34"/>
      <c r="G667" s="32"/>
      <c r="H667" s="32"/>
      <c r="I667" s="32"/>
      <c r="J667" s="34"/>
      <c r="K667" s="35"/>
      <c r="L667" s="36"/>
      <c r="M667" s="32"/>
    </row>
    <row r="668" spans="2:13" ht="15.75" customHeight="1">
      <c r="B668" s="32"/>
      <c r="C668" s="33" t="str">
        <f t="shared" si="3"/>
        <v/>
      </c>
      <c r="D668" s="32"/>
      <c r="E668" s="33"/>
      <c r="F668" s="34"/>
      <c r="G668" s="32"/>
      <c r="H668" s="32"/>
      <c r="I668" s="32"/>
      <c r="J668" s="34"/>
      <c r="K668" s="35"/>
      <c r="L668" s="36"/>
      <c r="M668" s="32"/>
    </row>
    <row r="669" spans="2:13" ht="15.75" customHeight="1">
      <c r="B669" s="32"/>
      <c r="C669" s="33" t="str">
        <f t="shared" si="3"/>
        <v/>
      </c>
      <c r="D669" s="32"/>
      <c r="E669" s="33"/>
      <c r="F669" s="34"/>
      <c r="G669" s="32"/>
      <c r="H669" s="32"/>
      <c r="I669" s="32"/>
      <c r="J669" s="34"/>
      <c r="K669" s="35"/>
      <c r="L669" s="36"/>
      <c r="M669" s="32"/>
    </row>
    <row r="670" spans="2:13" ht="15.75" customHeight="1">
      <c r="B670" s="32"/>
      <c r="C670" s="33" t="str">
        <f t="shared" si="3"/>
        <v/>
      </c>
      <c r="D670" s="32"/>
      <c r="E670" s="33"/>
      <c r="F670" s="34"/>
      <c r="G670" s="32"/>
      <c r="H670" s="32"/>
      <c r="I670" s="32"/>
      <c r="J670" s="34"/>
      <c r="K670" s="35"/>
      <c r="L670" s="36"/>
      <c r="M670" s="32"/>
    </row>
    <row r="671" spans="2:13" ht="15.75" customHeight="1">
      <c r="B671" s="32"/>
      <c r="C671" s="33" t="str">
        <f t="shared" si="3"/>
        <v/>
      </c>
      <c r="D671" s="32"/>
      <c r="E671" s="33"/>
      <c r="F671" s="34"/>
      <c r="G671" s="32"/>
      <c r="H671" s="32"/>
      <c r="I671" s="32"/>
      <c r="J671" s="34"/>
      <c r="K671" s="35"/>
      <c r="L671" s="36"/>
      <c r="M671" s="32"/>
    </row>
    <row r="672" spans="2:13" ht="15.75" customHeight="1">
      <c r="B672" s="32"/>
      <c r="C672" s="33" t="str">
        <f t="shared" si="3"/>
        <v/>
      </c>
      <c r="D672" s="32"/>
      <c r="E672" s="33"/>
      <c r="F672" s="34"/>
      <c r="G672" s="32"/>
      <c r="H672" s="32"/>
      <c r="I672" s="32"/>
      <c r="J672" s="34"/>
      <c r="K672" s="35"/>
      <c r="L672" s="36"/>
      <c r="M672" s="32"/>
    </row>
    <row r="673" spans="2:13" ht="15.75" customHeight="1">
      <c r="B673" s="32"/>
      <c r="C673" s="33" t="str">
        <f t="shared" si="3"/>
        <v/>
      </c>
      <c r="D673" s="32"/>
      <c r="E673" s="33"/>
      <c r="F673" s="34"/>
      <c r="G673" s="32"/>
      <c r="H673" s="32"/>
      <c r="I673" s="32"/>
      <c r="J673" s="34"/>
      <c r="K673" s="35"/>
      <c r="L673" s="36"/>
      <c r="M673" s="32"/>
    </row>
    <row r="674" spans="2:13" ht="15.75" customHeight="1">
      <c r="B674" s="32"/>
      <c r="C674" s="33" t="str">
        <f t="shared" si="3"/>
        <v/>
      </c>
      <c r="D674" s="32"/>
      <c r="E674" s="33"/>
      <c r="F674" s="34"/>
      <c r="G674" s="32"/>
      <c r="H674" s="32"/>
      <c r="I674" s="32"/>
      <c r="J674" s="34"/>
      <c r="K674" s="35"/>
      <c r="L674" s="36"/>
      <c r="M674" s="32"/>
    </row>
    <row r="675" spans="2:13" ht="15.75" customHeight="1">
      <c r="B675" s="32"/>
      <c r="C675" s="33" t="str">
        <f t="shared" si="3"/>
        <v/>
      </c>
      <c r="D675" s="32"/>
      <c r="E675" s="33"/>
      <c r="F675" s="34"/>
      <c r="G675" s="32"/>
      <c r="H675" s="32"/>
      <c r="I675" s="32"/>
      <c r="J675" s="34"/>
      <c r="K675" s="35"/>
      <c r="L675" s="36"/>
      <c r="M675" s="32"/>
    </row>
    <row r="676" spans="2:13" ht="15.75" customHeight="1">
      <c r="B676" s="32"/>
      <c r="C676" s="33" t="str">
        <f t="shared" si="3"/>
        <v/>
      </c>
      <c r="D676" s="32"/>
      <c r="E676" s="33"/>
      <c r="F676" s="34"/>
      <c r="G676" s="32"/>
      <c r="H676" s="32"/>
      <c r="I676" s="32"/>
      <c r="J676" s="34"/>
      <c r="K676" s="35"/>
      <c r="L676" s="36"/>
      <c r="M676" s="32"/>
    </row>
    <row r="677" spans="2:13" ht="15.75" customHeight="1">
      <c r="B677" s="32"/>
      <c r="C677" s="33" t="str">
        <f t="shared" si="3"/>
        <v/>
      </c>
      <c r="D677" s="32"/>
      <c r="E677" s="33"/>
      <c r="F677" s="34"/>
      <c r="G677" s="32"/>
      <c r="H677" s="32"/>
      <c r="I677" s="32"/>
      <c r="J677" s="34"/>
      <c r="K677" s="35"/>
      <c r="L677" s="36"/>
      <c r="M677" s="32"/>
    </row>
    <row r="678" spans="2:13" ht="15.75" customHeight="1">
      <c r="B678" s="32"/>
      <c r="C678" s="33" t="str">
        <f t="shared" si="3"/>
        <v/>
      </c>
      <c r="D678" s="32"/>
      <c r="E678" s="33"/>
      <c r="F678" s="34"/>
      <c r="G678" s="32"/>
      <c r="H678" s="32"/>
      <c r="I678" s="32"/>
      <c r="J678" s="34"/>
      <c r="K678" s="35"/>
      <c r="L678" s="36"/>
      <c r="M678" s="32"/>
    </row>
    <row r="679" spans="2:13" ht="15.75" customHeight="1">
      <c r="B679" s="32"/>
      <c r="C679" s="33" t="str">
        <f t="shared" si="3"/>
        <v/>
      </c>
      <c r="D679" s="32"/>
      <c r="E679" s="33"/>
      <c r="F679" s="34"/>
      <c r="G679" s="32"/>
      <c r="H679" s="32"/>
      <c r="I679" s="32"/>
      <c r="J679" s="34"/>
      <c r="K679" s="35"/>
      <c r="L679" s="36"/>
      <c r="M679" s="32"/>
    </row>
    <row r="680" spans="2:13" ht="15.75" customHeight="1">
      <c r="B680" s="32"/>
      <c r="C680" s="33" t="str">
        <f t="shared" si="3"/>
        <v/>
      </c>
      <c r="D680" s="32"/>
      <c r="E680" s="33"/>
      <c r="F680" s="34"/>
      <c r="G680" s="32"/>
      <c r="H680" s="32"/>
      <c r="I680" s="32"/>
      <c r="J680" s="34"/>
      <c r="K680" s="35"/>
      <c r="L680" s="36"/>
      <c r="M680" s="32"/>
    </row>
    <row r="681" spans="2:13" ht="15.75" customHeight="1">
      <c r="B681" s="32"/>
      <c r="C681" s="33" t="str">
        <f t="shared" si="3"/>
        <v/>
      </c>
      <c r="D681" s="32"/>
      <c r="E681" s="33"/>
      <c r="F681" s="34"/>
      <c r="G681" s="32"/>
      <c r="H681" s="32"/>
      <c r="I681" s="32"/>
      <c r="J681" s="34"/>
      <c r="K681" s="35"/>
      <c r="L681" s="36"/>
      <c r="M681" s="32"/>
    </row>
    <row r="682" spans="2:13" ht="15.75" customHeight="1">
      <c r="B682" s="32"/>
      <c r="C682" s="33" t="str">
        <f t="shared" si="3"/>
        <v/>
      </c>
      <c r="D682" s="32"/>
      <c r="E682" s="33"/>
      <c r="F682" s="34"/>
      <c r="G682" s="32"/>
      <c r="H682" s="32"/>
      <c r="I682" s="32"/>
      <c r="J682" s="34"/>
      <c r="K682" s="35"/>
      <c r="L682" s="36"/>
      <c r="M682" s="32"/>
    </row>
    <row r="683" spans="2:13" ht="15.75" customHeight="1">
      <c r="B683" s="32"/>
      <c r="C683" s="33" t="str">
        <f t="shared" si="3"/>
        <v/>
      </c>
      <c r="D683" s="32"/>
      <c r="E683" s="33"/>
      <c r="F683" s="34"/>
      <c r="G683" s="32"/>
      <c r="H683" s="32"/>
      <c r="I683" s="32"/>
      <c r="J683" s="34"/>
      <c r="K683" s="35"/>
      <c r="L683" s="36"/>
      <c r="M683" s="32"/>
    </row>
    <row r="684" spans="2:13" ht="15.75" customHeight="1">
      <c r="B684" s="32"/>
      <c r="C684" s="33" t="str">
        <f t="shared" si="3"/>
        <v/>
      </c>
      <c r="D684" s="32"/>
      <c r="E684" s="33"/>
      <c r="F684" s="34"/>
      <c r="G684" s="32"/>
      <c r="H684" s="32"/>
      <c r="I684" s="32"/>
      <c r="J684" s="34"/>
      <c r="K684" s="35"/>
      <c r="L684" s="36"/>
      <c r="M684" s="32"/>
    </row>
    <row r="685" spans="2:13" ht="15.75" customHeight="1">
      <c r="B685" s="32"/>
      <c r="C685" s="33" t="str">
        <f t="shared" si="3"/>
        <v/>
      </c>
      <c r="D685" s="32"/>
      <c r="E685" s="33"/>
      <c r="F685" s="34"/>
      <c r="G685" s="32"/>
      <c r="H685" s="32"/>
      <c r="I685" s="32"/>
      <c r="J685" s="34"/>
      <c r="K685" s="35"/>
      <c r="L685" s="36"/>
      <c r="M685" s="32"/>
    </row>
    <row r="686" spans="2:13" ht="15.75" customHeight="1">
      <c r="B686" s="32"/>
      <c r="C686" s="33" t="str">
        <f t="shared" si="3"/>
        <v/>
      </c>
      <c r="D686" s="32"/>
      <c r="E686" s="33"/>
      <c r="F686" s="34"/>
      <c r="G686" s="32"/>
      <c r="H686" s="32"/>
      <c r="I686" s="32"/>
      <c r="J686" s="34"/>
      <c r="K686" s="35"/>
      <c r="L686" s="36"/>
      <c r="M686" s="32"/>
    </row>
    <row r="687" spans="2:13" ht="15.75" customHeight="1">
      <c r="B687" s="32"/>
      <c r="C687" s="33" t="str">
        <f t="shared" si="3"/>
        <v/>
      </c>
      <c r="D687" s="32"/>
      <c r="E687" s="33"/>
      <c r="F687" s="34"/>
      <c r="G687" s="32"/>
      <c r="H687" s="32"/>
      <c r="I687" s="32"/>
      <c r="J687" s="34"/>
      <c r="K687" s="35"/>
      <c r="L687" s="36"/>
      <c r="M687" s="32"/>
    </row>
    <row r="688" spans="2:13" ht="15.75" customHeight="1">
      <c r="B688" s="32"/>
      <c r="C688" s="33" t="str">
        <f t="shared" si="3"/>
        <v/>
      </c>
      <c r="D688" s="32"/>
      <c r="E688" s="33"/>
      <c r="F688" s="34"/>
      <c r="G688" s="32"/>
      <c r="H688" s="32"/>
      <c r="I688" s="32"/>
      <c r="J688" s="34"/>
      <c r="K688" s="35"/>
      <c r="L688" s="36"/>
      <c r="M688" s="32"/>
    </row>
    <row r="689" spans="2:13" ht="15.75" customHeight="1">
      <c r="B689" s="32"/>
      <c r="C689" s="33" t="str">
        <f t="shared" si="3"/>
        <v/>
      </c>
      <c r="D689" s="32"/>
      <c r="E689" s="33"/>
      <c r="F689" s="34"/>
      <c r="G689" s="32"/>
      <c r="H689" s="32"/>
      <c r="I689" s="32"/>
      <c r="J689" s="34"/>
      <c r="K689" s="35"/>
      <c r="L689" s="36"/>
      <c r="M689" s="32"/>
    </row>
    <row r="690" spans="2:13" ht="15.75" customHeight="1">
      <c r="B690" s="32"/>
      <c r="C690" s="33" t="str">
        <f t="shared" si="3"/>
        <v/>
      </c>
      <c r="D690" s="32"/>
      <c r="E690" s="33"/>
      <c r="F690" s="34"/>
      <c r="G690" s="32"/>
      <c r="H690" s="32"/>
      <c r="I690" s="32"/>
      <c r="J690" s="34"/>
      <c r="K690" s="35"/>
      <c r="L690" s="36"/>
      <c r="M690" s="32"/>
    </row>
    <row r="691" spans="2:13" ht="15.75" customHeight="1">
      <c r="B691" s="32"/>
      <c r="C691" s="33" t="str">
        <f t="shared" si="3"/>
        <v/>
      </c>
      <c r="D691" s="32"/>
      <c r="E691" s="33"/>
      <c r="F691" s="34"/>
      <c r="G691" s="32"/>
      <c r="H691" s="32"/>
      <c r="I691" s="32"/>
      <c r="J691" s="34"/>
      <c r="K691" s="35"/>
      <c r="L691" s="36"/>
      <c r="M691" s="32"/>
    </row>
    <row r="692" spans="2:13" ht="15.75" customHeight="1">
      <c r="B692" s="32"/>
      <c r="C692" s="33" t="str">
        <f t="shared" si="3"/>
        <v/>
      </c>
      <c r="D692" s="32"/>
      <c r="E692" s="33"/>
      <c r="F692" s="34"/>
      <c r="G692" s="32"/>
      <c r="H692" s="32"/>
      <c r="I692" s="32"/>
      <c r="J692" s="34"/>
      <c r="K692" s="35"/>
      <c r="L692" s="36"/>
      <c r="M692" s="32"/>
    </row>
    <row r="693" spans="2:13" ht="15.75" customHeight="1">
      <c r="B693" s="32"/>
      <c r="C693" s="33" t="str">
        <f t="shared" si="3"/>
        <v/>
      </c>
      <c r="D693" s="32"/>
      <c r="E693" s="33"/>
      <c r="F693" s="34"/>
      <c r="G693" s="32"/>
      <c r="H693" s="32"/>
      <c r="I693" s="32"/>
      <c r="J693" s="34"/>
      <c r="K693" s="35"/>
      <c r="L693" s="36"/>
      <c r="M693" s="32"/>
    </row>
    <row r="694" spans="2:13" ht="15.75" customHeight="1">
      <c r="B694" s="32"/>
      <c r="C694" s="33" t="str">
        <f t="shared" si="3"/>
        <v/>
      </c>
      <c r="D694" s="32"/>
      <c r="E694" s="33"/>
      <c r="F694" s="34"/>
      <c r="G694" s="32"/>
      <c r="H694" s="32"/>
      <c r="I694" s="32"/>
      <c r="J694" s="34"/>
      <c r="K694" s="35"/>
      <c r="L694" s="36"/>
      <c r="M694" s="32"/>
    </row>
    <row r="695" spans="2:13" ht="15.75" customHeight="1">
      <c r="B695" s="32"/>
      <c r="C695" s="33" t="str">
        <f t="shared" si="3"/>
        <v/>
      </c>
      <c r="D695" s="32"/>
      <c r="E695" s="33"/>
      <c r="F695" s="34"/>
      <c r="G695" s="32"/>
      <c r="H695" s="32"/>
      <c r="I695" s="32"/>
      <c r="J695" s="34"/>
      <c r="K695" s="35"/>
      <c r="L695" s="36"/>
      <c r="M695" s="32"/>
    </row>
    <row r="696" spans="2:13" ht="15.75" customHeight="1">
      <c r="B696" s="32"/>
      <c r="C696" s="33" t="str">
        <f t="shared" si="3"/>
        <v/>
      </c>
      <c r="D696" s="32"/>
      <c r="E696" s="33"/>
      <c r="F696" s="34"/>
      <c r="G696" s="32"/>
      <c r="H696" s="32"/>
      <c r="I696" s="32"/>
      <c r="J696" s="34"/>
      <c r="K696" s="35"/>
      <c r="L696" s="36"/>
      <c r="M696" s="32"/>
    </row>
    <row r="697" spans="2:13" ht="15.75" customHeight="1">
      <c r="B697" s="32"/>
      <c r="C697" s="33" t="str">
        <f t="shared" si="3"/>
        <v/>
      </c>
      <c r="D697" s="32"/>
      <c r="E697" s="33"/>
      <c r="F697" s="34"/>
      <c r="G697" s="32"/>
      <c r="H697" s="32"/>
      <c r="I697" s="32"/>
      <c r="J697" s="34"/>
      <c r="K697" s="35"/>
      <c r="L697" s="36"/>
      <c r="M697" s="32"/>
    </row>
    <row r="698" spans="2:13" ht="15.75" customHeight="1">
      <c r="B698" s="32"/>
      <c r="C698" s="33" t="str">
        <f t="shared" si="3"/>
        <v/>
      </c>
      <c r="D698" s="32"/>
      <c r="E698" s="33"/>
      <c r="F698" s="34"/>
      <c r="G698" s="32"/>
      <c r="H698" s="32"/>
      <c r="I698" s="32"/>
      <c r="J698" s="34"/>
      <c r="K698" s="35"/>
      <c r="L698" s="36"/>
      <c r="M698" s="32"/>
    </row>
    <row r="699" spans="2:13" ht="15.75" customHeight="1">
      <c r="B699" s="32"/>
      <c r="C699" s="33" t="str">
        <f t="shared" si="3"/>
        <v/>
      </c>
      <c r="D699" s="32"/>
      <c r="E699" s="33"/>
      <c r="F699" s="34"/>
      <c r="G699" s="32"/>
      <c r="H699" s="32"/>
      <c r="I699" s="32"/>
      <c r="J699" s="34"/>
      <c r="K699" s="35"/>
      <c r="L699" s="36"/>
      <c r="M699" s="32"/>
    </row>
    <row r="700" spans="2:13" ht="15.75" customHeight="1">
      <c r="B700" s="32"/>
      <c r="C700" s="33" t="str">
        <f t="shared" si="3"/>
        <v/>
      </c>
      <c r="D700" s="32"/>
      <c r="E700" s="33"/>
      <c r="F700" s="34"/>
      <c r="G700" s="32"/>
      <c r="H700" s="32"/>
      <c r="I700" s="32"/>
      <c r="J700" s="34"/>
      <c r="K700" s="35"/>
      <c r="L700" s="36"/>
      <c r="M700" s="32"/>
    </row>
    <row r="701" spans="2:13" ht="15.75" customHeight="1">
      <c r="B701" s="32"/>
      <c r="C701" s="33" t="str">
        <f t="shared" si="3"/>
        <v/>
      </c>
      <c r="D701" s="32"/>
      <c r="E701" s="33"/>
      <c r="F701" s="34"/>
      <c r="G701" s="32"/>
      <c r="H701" s="32"/>
      <c r="I701" s="32"/>
      <c r="J701" s="34"/>
      <c r="K701" s="35"/>
      <c r="L701" s="36"/>
      <c r="M701" s="32"/>
    </row>
    <row r="702" spans="2:13" ht="15.75" customHeight="1">
      <c r="B702" s="32"/>
      <c r="C702" s="33" t="str">
        <f t="shared" si="3"/>
        <v/>
      </c>
      <c r="D702" s="32"/>
      <c r="E702" s="33"/>
      <c r="F702" s="34"/>
      <c r="G702" s="32"/>
      <c r="H702" s="32"/>
      <c r="I702" s="32"/>
      <c r="J702" s="34"/>
      <c r="K702" s="35"/>
      <c r="L702" s="36"/>
      <c r="M702" s="32"/>
    </row>
    <row r="703" spans="2:13" ht="15.75" customHeight="1">
      <c r="B703" s="32"/>
      <c r="C703" s="33" t="str">
        <f t="shared" si="3"/>
        <v/>
      </c>
      <c r="D703" s="32"/>
      <c r="E703" s="33"/>
      <c r="F703" s="34"/>
      <c r="G703" s="32"/>
      <c r="H703" s="32"/>
      <c r="I703" s="32"/>
      <c r="J703" s="34"/>
      <c r="K703" s="35"/>
      <c r="L703" s="36"/>
      <c r="M703" s="32"/>
    </row>
    <row r="704" spans="2:13" ht="15.75" customHeight="1">
      <c r="B704" s="32"/>
      <c r="C704" s="33" t="str">
        <f t="shared" si="3"/>
        <v/>
      </c>
      <c r="D704" s="32"/>
      <c r="E704" s="33"/>
      <c r="F704" s="34"/>
      <c r="G704" s="32"/>
      <c r="H704" s="32"/>
      <c r="I704" s="32"/>
      <c r="J704" s="34"/>
      <c r="K704" s="35"/>
      <c r="L704" s="36"/>
      <c r="M704" s="32"/>
    </row>
    <row r="705" spans="2:13" ht="15.75" customHeight="1">
      <c r="B705" s="32"/>
      <c r="C705" s="33" t="str">
        <f t="shared" si="3"/>
        <v/>
      </c>
      <c r="D705" s="32"/>
      <c r="E705" s="33"/>
      <c r="F705" s="34"/>
      <c r="G705" s="32"/>
      <c r="H705" s="32"/>
      <c r="I705" s="32"/>
      <c r="J705" s="34"/>
      <c r="K705" s="35"/>
      <c r="L705" s="36"/>
      <c r="M705" s="32"/>
    </row>
    <row r="706" spans="2:13" ht="15.75" customHeight="1">
      <c r="B706" s="32"/>
      <c r="C706" s="33" t="str">
        <f t="shared" si="3"/>
        <v/>
      </c>
      <c r="D706" s="32"/>
      <c r="E706" s="33"/>
      <c r="F706" s="34"/>
      <c r="G706" s="32"/>
      <c r="H706" s="32"/>
      <c r="I706" s="32"/>
      <c r="J706" s="34"/>
      <c r="K706" s="35"/>
      <c r="L706" s="36"/>
      <c r="M706" s="32"/>
    </row>
    <row r="707" spans="2:13" ht="15.75" customHeight="1">
      <c r="B707" s="32"/>
      <c r="C707" s="33" t="str">
        <f t="shared" si="3"/>
        <v/>
      </c>
      <c r="D707" s="32"/>
      <c r="E707" s="33"/>
      <c r="F707" s="34"/>
      <c r="G707" s="32"/>
      <c r="H707" s="32"/>
      <c r="I707" s="32"/>
      <c r="J707" s="34"/>
      <c r="K707" s="35"/>
      <c r="L707" s="36"/>
      <c r="M707" s="32"/>
    </row>
    <row r="708" spans="2:13" ht="15.75" customHeight="1">
      <c r="B708" s="32"/>
      <c r="C708" s="33" t="str">
        <f t="shared" si="3"/>
        <v/>
      </c>
      <c r="D708" s="32"/>
      <c r="E708" s="33"/>
      <c r="F708" s="34"/>
      <c r="G708" s="32"/>
      <c r="H708" s="32"/>
      <c r="I708" s="32"/>
      <c r="J708" s="34"/>
      <c r="K708" s="35"/>
      <c r="L708" s="36"/>
      <c r="M708" s="32"/>
    </row>
    <row r="709" spans="2:13" ht="15.75" customHeight="1">
      <c r="B709" s="32"/>
      <c r="C709" s="33" t="str">
        <f t="shared" si="3"/>
        <v/>
      </c>
      <c r="D709" s="32"/>
      <c r="E709" s="33"/>
      <c r="F709" s="34"/>
      <c r="G709" s="32"/>
      <c r="H709" s="32"/>
      <c r="I709" s="32"/>
      <c r="J709" s="34"/>
      <c r="K709" s="35"/>
      <c r="L709" s="36"/>
      <c r="M709" s="32"/>
    </row>
    <row r="710" spans="2:13" ht="15.75" customHeight="1">
      <c r="B710" s="32"/>
      <c r="C710" s="33" t="str">
        <f t="shared" si="3"/>
        <v/>
      </c>
      <c r="D710" s="32"/>
      <c r="E710" s="33"/>
      <c r="F710" s="34"/>
      <c r="G710" s="32"/>
      <c r="H710" s="32"/>
      <c r="I710" s="32"/>
      <c r="J710" s="34"/>
      <c r="K710" s="35"/>
      <c r="L710" s="36"/>
      <c r="M710" s="32"/>
    </row>
    <row r="711" spans="2:13" ht="15.75" customHeight="1">
      <c r="B711" s="32"/>
      <c r="C711" s="33" t="str">
        <f t="shared" si="3"/>
        <v/>
      </c>
      <c r="D711" s="32"/>
      <c r="E711" s="33"/>
      <c r="F711" s="34"/>
      <c r="G711" s="32"/>
      <c r="H711" s="32"/>
      <c r="I711" s="32"/>
      <c r="J711" s="34"/>
      <c r="K711" s="35"/>
      <c r="L711" s="36"/>
      <c r="M711" s="32"/>
    </row>
    <row r="712" spans="2:13" ht="15.75" customHeight="1">
      <c r="B712" s="32"/>
      <c r="C712" s="33" t="str">
        <f t="shared" si="3"/>
        <v/>
      </c>
      <c r="D712" s="32"/>
      <c r="E712" s="33"/>
      <c r="F712" s="34"/>
      <c r="G712" s="32"/>
      <c r="H712" s="32"/>
      <c r="I712" s="32"/>
      <c r="J712" s="34"/>
      <c r="K712" s="35"/>
      <c r="L712" s="36"/>
      <c r="M712" s="32"/>
    </row>
    <row r="713" spans="2:13" ht="15.75" customHeight="1">
      <c r="B713" s="32"/>
      <c r="C713" s="33" t="str">
        <f t="shared" si="3"/>
        <v/>
      </c>
      <c r="D713" s="32"/>
      <c r="E713" s="33"/>
      <c r="F713" s="34"/>
      <c r="G713" s="32"/>
      <c r="H713" s="32"/>
      <c r="I713" s="32"/>
      <c r="J713" s="34"/>
      <c r="K713" s="35"/>
      <c r="L713" s="36"/>
      <c r="M713" s="32"/>
    </row>
    <row r="714" spans="2:13" ht="15.75" customHeight="1">
      <c r="B714" s="32"/>
      <c r="C714" s="33" t="str">
        <f t="shared" si="3"/>
        <v/>
      </c>
      <c r="D714" s="32"/>
      <c r="E714" s="33"/>
      <c r="F714" s="34"/>
      <c r="G714" s="32"/>
      <c r="H714" s="32"/>
      <c r="I714" s="32"/>
      <c r="J714" s="34"/>
      <c r="K714" s="35"/>
      <c r="L714" s="36"/>
      <c r="M714" s="32"/>
    </row>
    <row r="715" spans="2:13" ht="15.75" customHeight="1">
      <c r="B715" s="32"/>
      <c r="C715" s="33" t="str">
        <f t="shared" si="3"/>
        <v/>
      </c>
      <c r="D715" s="32"/>
      <c r="E715" s="33"/>
      <c r="F715" s="34"/>
      <c r="G715" s="32"/>
      <c r="H715" s="32"/>
      <c r="I715" s="32"/>
      <c r="J715" s="34"/>
      <c r="K715" s="35"/>
      <c r="L715" s="36"/>
      <c r="M715" s="32"/>
    </row>
    <row r="716" spans="2:13" ht="15.75" customHeight="1">
      <c r="B716" s="32"/>
      <c r="C716" s="33" t="str">
        <f t="shared" si="3"/>
        <v/>
      </c>
      <c r="D716" s="32"/>
      <c r="E716" s="33"/>
      <c r="F716" s="34"/>
      <c r="G716" s="32"/>
      <c r="H716" s="32"/>
      <c r="I716" s="32"/>
      <c r="J716" s="34"/>
      <c r="K716" s="35"/>
      <c r="L716" s="36"/>
      <c r="M716" s="32"/>
    </row>
    <row r="717" spans="2:13" ht="15.75" customHeight="1">
      <c r="B717" s="32"/>
      <c r="C717" s="33" t="str">
        <f t="shared" si="3"/>
        <v/>
      </c>
      <c r="D717" s="32"/>
      <c r="E717" s="33"/>
      <c r="F717" s="34"/>
      <c r="G717" s="32"/>
      <c r="H717" s="32"/>
      <c r="I717" s="32"/>
      <c r="J717" s="34"/>
      <c r="K717" s="35"/>
      <c r="L717" s="36"/>
      <c r="M717" s="32"/>
    </row>
    <row r="718" spans="2:13" ht="15.75" customHeight="1">
      <c r="B718" s="32"/>
      <c r="C718" s="33" t="str">
        <f t="shared" si="3"/>
        <v/>
      </c>
      <c r="D718" s="32"/>
      <c r="E718" s="33"/>
      <c r="F718" s="34"/>
      <c r="G718" s="32"/>
      <c r="H718" s="32"/>
      <c r="I718" s="32"/>
      <c r="J718" s="34"/>
      <c r="K718" s="35"/>
      <c r="L718" s="36"/>
      <c r="M718" s="32"/>
    </row>
    <row r="719" spans="2:13" ht="15.75" customHeight="1">
      <c r="B719" s="32"/>
      <c r="C719" s="33" t="str">
        <f t="shared" si="3"/>
        <v/>
      </c>
      <c r="D719" s="32"/>
      <c r="E719" s="33"/>
      <c r="F719" s="34"/>
      <c r="G719" s="32"/>
      <c r="H719" s="32"/>
      <c r="I719" s="32"/>
      <c r="J719" s="34"/>
      <c r="K719" s="35"/>
      <c r="L719" s="36"/>
      <c r="M719" s="32"/>
    </row>
    <row r="720" spans="2:13" ht="15.75" customHeight="1">
      <c r="B720" s="32"/>
      <c r="C720" s="33" t="str">
        <f t="shared" si="3"/>
        <v/>
      </c>
      <c r="D720" s="32"/>
      <c r="E720" s="33"/>
      <c r="F720" s="34"/>
      <c r="G720" s="32"/>
      <c r="H720" s="32"/>
      <c r="I720" s="32"/>
      <c r="J720" s="34"/>
      <c r="K720" s="35"/>
      <c r="L720" s="36"/>
      <c r="M720" s="32"/>
    </row>
    <row r="721" spans="2:13" ht="15.75" customHeight="1">
      <c r="B721" s="32"/>
      <c r="C721" s="33" t="str">
        <f t="shared" si="3"/>
        <v/>
      </c>
      <c r="D721" s="32"/>
      <c r="E721" s="33"/>
      <c r="F721" s="34"/>
      <c r="G721" s="32"/>
      <c r="H721" s="32"/>
      <c r="I721" s="32"/>
      <c r="J721" s="34"/>
      <c r="K721" s="35"/>
      <c r="L721" s="36"/>
      <c r="M721" s="32"/>
    </row>
    <row r="722" spans="2:13" ht="15.75" customHeight="1">
      <c r="B722" s="32"/>
      <c r="C722" s="33" t="str">
        <f t="shared" si="3"/>
        <v/>
      </c>
      <c r="D722" s="32"/>
      <c r="E722" s="33"/>
      <c r="F722" s="34"/>
      <c r="G722" s="32"/>
      <c r="H722" s="32"/>
      <c r="I722" s="32"/>
      <c r="J722" s="34"/>
      <c r="K722" s="35"/>
      <c r="L722" s="36"/>
      <c r="M722" s="32"/>
    </row>
    <row r="723" spans="2:13" ht="15.75" customHeight="1">
      <c r="B723" s="32"/>
      <c r="C723" s="33" t="str">
        <f t="shared" si="3"/>
        <v/>
      </c>
      <c r="D723" s="32"/>
      <c r="E723" s="33"/>
      <c r="F723" s="34"/>
      <c r="G723" s="32"/>
      <c r="H723" s="32"/>
      <c r="I723" s="32"/>
      <c r="J723" s="34"/>
      <c r="K723" s="35"/>
      <c r="L723" s="36"/>
      <c r="M723" s="32"/>
    </row>
    <row r="724" spans="2:13" ht="15.75" customHeight="1">
      <c r="B724" s="32"/>
      <c r="C724" s="33" t="str">
        <f t="shared" si="3"/>
        <v/>
      </c>
      <c r="D724" s="32"/>
      <c r="E724" s="33"/>
      <c r="F724" s="34"/>
      <c r="G724" s="32"/>
      <c r="H724" s="32"/>
      <c r="I724" s="32"/>
      <c r="J724" s="34"/>
      <c r="K724" s="35"/>
      <c r="L724" s="36"/>
      <c r="M724" s="32"/>
    </row>
    <row r="725" spans="2:13" ht="15.75" customHeight="1">
      <c r="B725" s="32"/>
      <c r="C725" s="33" t="str">
        <f t="shared" si="3"/>
        <v/>
      </c>
      <c r="D725" s="32"/>
      <c r="E725" s="33"/>
      <c r="F725" s="34"/>
      <c r="G725" s="32"/>
      <c r="H725" s="32"/>
      <c r="I725" s="32"/>
      <c r="J725" s="34"/>
      <c r="K725" s="35"/>
      <c r="L725" s="36"/>
      <c r="M725" s="32"/>
    </row>
    <row r="726" spans="2:13" ht="15.75" customHeight="1">
      <c r="B726" s="32"/>
      <c r="C726" s="33" t="str">
        <f t="shared" si="3"/>
        <v/>
      </c>
      <c r="D726" s="32"/>
      <c r="E726" s="33"/>
      <c r="F726" s="34"/>
      <c r="G726" s="32"/>
      <c r="H726" s="32"/>
      <c r="I726" s="32"/>
      <c r="J726" s="34"/>
      <c r="K726" s="35"/>
      <c r="L726" s="36"/>
      <c r="M726" s="32"/>
    </row>
    <row r="727" spans="2:13" ht="15.75" customHeight="1">
      <c r="B727" s="32"/>
      <c r="C727" s="33" t="str">
        <f t="shared" si="3"/>
        <v/>
      </c>
      <c r="D727" s="32"/>
      <c r="E727" s="33"/>
      <c r="F727" s="34"/>
      <c r="G727" s="32"/>
      <c r="H727" s="32"/>
      <c r="I727" s="32"/>
      <c r="J727" s="34"/>
      <c r="K727" s="35"/>
      <c r="L727" s="36"/>
      <c r="M727" s="32"/>
    </row>
    <row r="728" spans="2:13" ht="15.75" customHeight="1">
      <c r="B728" s="32"/>
      <c r="C728" s="33" t="str">
        <f t="shared" si="3"/>
        <v/>
      </c>
      <c r="D728" s="32"/>
      <c r="E728" s="33"/>
      <c r="F728" s="34"/>
      <c r="G728" s="32"/>
      <c r="H728" s="32"/>
      <c r="I728" s="32"/>
      <c r="J728" s="34"/>
      <c r="K728" s="35"/>
      <c r="L728" s="36"/>
      <c r="M728" s="32"/>
    </row>
    <row r="729" spans="2:13" ht="15.75" customHeight="1">
      <c r="B729" s="32"/>
      <c r="C729" s="33" t="str">
        <f t="shared" si="3"/>
        <v/>
      </c>
      <c r="D729" s="32"/>
      <c r="E729" s="33"/>
      <c r="F729" s="34"/>
      <c r="G729" s="32"/>
      <c r="H729" s="32"/>
      <c r="I729" s="32"/>
      <c r="J729" s="34"/>
      <c r="K729" s="35"/>
      <c r="L729" s="36"/>
      <c r="M729" s="32"/>
    </row>
    <row r="730" spans="2:13" ht="15.75" customHeight="1">
      <c r="B730" s="32"/>
      <c r="C730" s="33" t="str">
        <f t="shared" si="3"/>
        <v/>
      </c>
      <c r="D730" s="32"/>
      <c r="E730" s="33"/>
      <c r="F730" s="34"/>
      <c r="G730" s="32"/>
      <c r="H730" s="32"/>
      <c r="I730" s="32"/>
      <c r="J730" s="34"/>
      <c r="K730" s="35"/>
      <c r="L730" s="36"/>
      <c r="M730" s="32"/>
    </row>
    <row r="731" spans="2:13" ht="15.75" customHeight="1">
      <c r="B731" s="32"/>
      <c r="C731" s="33" t="str">
        <f t="shared" si="3"/>
        <v/>
      </c>
      <c r="D731" s="32"/>
      <c r="E731" s="33"/>
      <c r="F731" s="34"/>
      <c r="G731" s="32"/>
      <c r="H731" s="32"/>
      <c r="I731" s="32"/>
      <c r="J731" s="34"/>
      <c r="K731" s="35"/>
      <c r="L731" s="36"/>
      <c r="M731" s="32"/>
    </row>
    <row r="732" spans="2:13" ht="15.75" customHeight="1">
      <c r="B732" s="32"/>
      <c r="C732" s="33" t="str">
        <f t="shared" si="3"/>
        <v/>
      </c>
      <c r="D732" s="32"/>
      <c r="E732" s="33"/>
      <c r="F732" s="34"/>
      <c r="G732" s="32"/>
      <c r="H732" s="32"/>
      <c r="I732" s="32"/>
      <c r="J732" s="34"/>
      <c r="K732" s="35"/>
      <c r="L732" s="36"/>
      <c r="M732" s="32"/>
    </row>
    <row r="733" spans="2:13" ht="15.75" customHeight="1">
      <c r="B733" s="32"/>
      <c r="C733" s="33" t="str">
        <f t="shared" si="3"/>
        <v/>
      </c>
      <c r="D733" s="32"/>
      <c r="E733" s="33"/>
      <c r="F733" s="34"/>
      <c r="G733" s="32"/>
      <c r="H733" s="32"/>
      <c r="I733" s="32"/>
      <c r="J733" s="34"/>
      <c r="K733" s="35"/>
      <c r="L733" s="36"/>
      <c r="M733" s="32"/>
    </row>
    <row r="734" spans="2:13" ht="15.75" customHeight="1">
      <c r="B734" s="32"/>
      <c r="C734" s="33" t="str">
        <f t="shared" si="3"/>
        <v/>
      </c>
      <c r="D734" s="32"/>
      <c r="E734" s="33"/>
      <c r="F734" s="34"/>
      <c r="G734" s="32"/>
      <c r="H734" s="32"/>
      <c r="I734" s="32"/>
      <c r="J734" s="34"/>
      <c r="K734" s="35"/>
      <c r="L734" s="36"/>
      <c r="M734" s="32"/>
    </row>
    <row r="735" spans="2:13" ht="15.75" customHeight="1">
      <c r="B735" s="32"/>
      <c r="C735" s="33" t="str">
        <f t="shared" si="3"/>
        <v/>
      </c>
      <c r="D735" s="32"/>
      <c r="E735" s="33"/>
      <c r="F735" s="34"/>
      <c r="G735" s="32"/>
      <c r="H735" s="32"/>
      <c r="I735" s="32"/>
      <c r="J735" s="34"/>
      <c r="K735" s="35"/>
      <c r="L735" s="36"/>
      <c r="M735" s="32"/>
    </row>
    <row r="736" spans="2:13" ht="15.75" customHeight="1">
      <c r="B736" s="32"/>
      <c r="C736" s="33" t="str">
        <f t="shared" si="3"/>
        <v/>
      </c>
      <c r="D736" s="32"/>
      <c r="E736" s="33"/>
      <c r="F736" s="34"/>
      <c r="G736" s="32"/>
      <c r="H736" s="32"/>
      <c r="I736" s="32"/>
      <c r="J736" s="34"/>
      <c r="K736" s="35"/>
      <c r="L736" s="36"/>
      <c r="M736" s="32"/>
    </row>
    <row r="737" spans="2:13" ht="15.75" customHeight="1">
      <c r="B737" s="32"/>
      <c r="C737" s="33" t="str">
        <f t="shared" si="3"/>
        <v/>
      </c>
      <c r="D737" s="32"/>
      <c r="E737" s="33"/>
      <c r="F737" s="34"/>
      <c r="G737" s="32"/>
      <c r="H737" s="32"/>
      <c r="I737" s="32"/>
      <c r="J737" s="34"/>
      <c r="K737" s="35"/>
      <c r="L737" s="36"/>
      <c r="M737" s="32"/>
    </row>
    <row r="738" spans="2:13" ht="15.75" customHeight="1">
      <c r="B738" s="32"/>
      <c r="C738" s="33" t="str">
        <f t="shared" si="3"/>
        <v/>
      </c>
      <c r="D738" s="32"/>
      <c r="E738" s="33"/>
      <c r="F738" s="34"/>
      <c r="G738" s="32"/>
      <c r="H738" s="32"/>
      <c r="I738" s="32"/>
      <c r="J738" s="34"/>
      <c r="K738" s="35"/>
      <c r="L738" s="36"/>
      <c r="M738" s="32"/>
    </row>
    <row r="739" spans="2:13" ht="15.75" customHeight="1">
      <c r="B739" s="32"/>
      <c r="C739" s="33" t="str">
        <f t="shared" si="3"/>
        <v/>
      </c>
      <c r="D739" s="32"/>
      <c r="E739" s="33"/>
      <c r="F739" s="34"/>
      <c r="G739" s="32"/>
      <c r="H739" s="32"/>
      <c r="I739" s="32"/>
      <c r="J739" s="34"/>
      <c r="K739" s="35"/>
      <c r="L739" s="36"/>
      <c r="M739" s="32"/>
    </row>
    <row r="740" spans="2:13" ht="15.75" customHeight="1">
      <c r="B740" s="32"/>
      <c r="C740" s="33" t="str">
        <f t="shared" si="3"/>
        <v/>
      </c>
      <c r="D740" s="32"/>
      <c r="E740" s="33"/>
      <c r="F740" s="34"/>
      <c r="G740" s="32"/>
      <c r="H740" s="32"/>
      <c r="I740" s="32"/>
      <c r="J740" s="34"/>
      <c r="K740" s="35"/>
      <c r="L740" s="36"/>
      <c r="M740" s="32"/>
    </row>
    <row r="741" spans="2:13" ht="15.75" customHeight="1">
      <c r="B741" s="32"/>
      <c r="C741" s="33" t="str">
        <f t="shared" si="3"/>
        <v/>
      </c>
      <c r="D741" s="32"/>
      <c r="E741" s="33"/>
      <c r="F741" s="34"/>
      <c r="G741" s="32"/>
      <c r="H741" s="32"/>
      <c r="I741" s="32"/>
      <c r="J741" s="34"/>
      <c r="K741" s="35"/>
      <c r="L741" s="36"/>
      <c r="M741" s="32"/>
    </row>
    <row r="742" spans="2:13" ht="15.75" customHeight="1">
      <c r="B742" s="32"/>
      <c r="C742" s="33" t="str">
        <f t="shared" si="3"/>
        <v/>
      </c>
      <c r="D742" s="32"/>
      <c r="E742" s="33"/>
      <c r="F742" s="34"/>
      <c r="G742" s="32"/>
      <c r="H742" s="32"/>
      <c r="I742" s="32"/>
      <c r="J742" s="34"/>
      <c r="K742" s="35"/>
      <c r="L742" s="36"/>
      <c r="M742" s="32"/>
    </row>
    <row r="743" spans="2:13" ht="15.75" customHeight="1">
      <c r="B743" s="32"/>
      <c r="C743" s="33" t="str">
        <f t="shared" si="3"/>
        <v/>
      </c>
      <c r="D743" s="32"/>
      <c r="E743" s="33"/>
      <c r="F743" s="34"/>
      <c r="G743" s="32"/>
      <c r="H743" s="32"/>
      <c r="I743" s="32"/>
      <c r="J743" s="34"/>
      <c r="K743" s="35"/>
      <c r="L743" s="36"/>
      <c r="M743" s="32"/>
    </row>
    <row r="744" spans="2:13" ht="15.75" customHeight="1">
      <c r="B744" s="32"/>
      <c r="C744" s="33" t="str">
        <f t="shared" si="3"/>
        <v/>
      </c>
      <c r="D744" s="32"/>
      <c r="E744" s="33"/>
      <c r="F744" s="34"/>
      <c r="G744" s="32"/>
      <c r="H744" s="32"/>
      <c r="I744" s="32"/>
      <c r="J744" s="34"/>
      <c r="K744" s="35"/>
      <c r="L744" s="36"/>
      <c r="M744" s="32"/>
    </row>
    <row r="745" spans="2:13" ht="15.75" customHeight="1">
      <c r="B745" s="32"/>
      <c r="C745" s="33" t="str">
        <f t="shared" si="3"/>
        <v/>
      </c>
      <c r="D745" s="32"/>
      <c r="E745" s="33"/>
      <c r="F745" s="34"/>
      <c r="G745" s="32"/>
      <c r="H745" s="32"/>
      <c r="I745" s="32"/>
      <c r="J745" s="34"/>
      <c r="K745" s="35"/>
      <c r="L745" s="36"/>
      <c r="M745" s="32"/>
    </row>
    <row r="746" spans="2:13" ht="15.75" customHeight="1">
      <c r="B746" s="32"/>
      <c r="C746" s="33" t="str">
        <f t="shared" si="3"/>
        <v/>
      </c>
      <c r="D746" s="32"/>
      <c r="E746" s="33"/>
      <c r="F746" s="34"/>
      <c r="G746" s="32"/>
      <c r="H746" s="32"/>
      <c r="I746" s="32"/>
      <c r="J746" s="34"/>
      <c r="K746" s="35"/>
      <c r="L746" s="36"/>
      <c r="M746" s="32"/>
    </row>
    <row r="747" spans="2:13" ht="15.75" customHeight="1">
      <c r="B747" s="32"/>
      <c r="C747" s="33" t="str">
        <f t="shared" si="3"/>
        <v/>
      </c>
      <c r="D747" s="32"/>
      <c r="E747" s="33"/>
      <c r="F747" s="34"/>
      <c r="G747" s="32"/>
      <c r="H747" s="32"/>
      <c r="I747" s="32"/>
      <c r="J747" s="34"/>
      <c r="K747" s="35"/>
      <c r="L747" s="36"/>
      <c r="M747" s="32"/>
    </row>
    <row r="748" spans="2:13" ht="15.75" customHeight="1">
      <c r="B748" s="32"/>
      <c r="C748" s="33" t="str">
        <f t="shared" si="3"/>
        <v/>
      </c>
      <c r="D748" s="32"/>
      <c r="E748" s="33"/>
      <c r="F748" s="34"/>
      <c r="G748" s="32"/>
      <c r="H748" s="32"/>
      <c r="I748" s="32"/>
      <c r="J748" s="34"/>
      <c r="K748" s="35"/>
      <c r="L748" s="36"/>
      <c r="M748" s="32"/>
    </row>
    <row r="749" spans="2:13" ht="15.75" customHeight="1">
      <c r="B749" s="32"/>
      <c r="C749" s="33" t="str">
        <f t="shared" si="3"/>
        <v/>
      </c>
      <c r="D749" s="32"/>
      <c r="E749" s="33"/>
      <c r="F749" s="34"/>
      <c r="G749" s="32"/>
      <c r="H749" s="32"/>
      <c r="I749" s="32"/>
      <c r="J749" s="34"/>
      <c r="K749" s="35"/>
      <c r="L749" s="36"/>
      <c r="M749" s="32"/>
    </row>
    <row r="750" spans="2:13" ht="15.75" customHeight="1">
      <c r="B750" s="32"/>
      <c r="C750" s="33" t="str">
        <f t="shared" si="3"/>
        <v/>
      </c>
      <c r="D750" s="32"/>
      <c r="E750" s="33"/>
      <c r="F750" s="34"/>
      <c r="G750" s="32"/>
      <c r="H750" s="32"/>
      <c r="I750" s="32"/>
      <c r="J750" s="34"/>
      <c r="K750" s="35"/>
      <c r="L750" s="36"/>
      <c r="M750" s="32"/>
    </row>
    <row r="751" spans="2:13" ht="15.75" customHeight="1">
      <c r="B751" s="32"/>
      <c r="C751" s="33" t="str">
        <f t="shared" si="3"/>
        <v/>
      </c>
      <c r="D751" s="32"/>
      <c r="E751" s="33"/>
      <c r="F751" s="34"/>
      <c r="G751" s="32"/>
      <c r="H751" s="32"/>
      <c r="I751" s="32"/>
      <c r="J751" s="34"/>
      <c r="K751" s="35"/>
      <c r="L751" s="36"/>
      <c r="M751" s="32"/>
    </row>
    <row r="752" spans="2:13" ht="15.75" customHeight="1">
      <c r="B752" s="32"/>
      <c r="C752" s="33" t="str">
        <f t="shared" si="3"/>
        <v/>
      </c>
      <c r="D752" s="32"/>
      <c r="E752" s="33"/>
      <c r="F752" s="34"/>
      <c r="G752" s="32"/>
      <c r="H752" s="32"/>
      <c r="I752" s="32"/>
      <c r="J752" s="34"/>
      <c r="K752" s="35"/>
      <c r="L752" s="36"/>
      <c r="M752" s="32"/>
    </row>
    <row r="753" spans="2:13" ht="15.75" customHeight="1">
      <c r="B753" s="32"/>
      <c r="C753" s="33" t="str">
        <f t="shared" si="3"/>
        <v/>
      </c>
      <c r="D753" s="32"/>
      <c r="E753" s="33"/>
      <c r="F753" s="34"/>
      <c r="G753" s="32"/>
      <c r="H753" s="32"/>
      <c r="I753" s="32"/>
      <c r="J753" s="34"/>
      <c r="K753" s="35"/>
      <c r="L753" s="36"/>
      <c r="M753" s="32"/>
    </row>
    <row r="754" spans="2:13" ht="15.75" customHeight="1">
      <c r="B754" s="32"/>
      <c r="C754" s="33" t="str">
        <f t="shared" si="3"/>
        <v/>
      </c>
      <c r="D754" s="32"/>
      <c r="E754" s="33"/>
      <c r="F754" s="34"/>
      <c r="G754" s="32"/>
      <c r="H754" s="32"/>
      <c r="I754" s="32"/>
      <c r="J754" s="34"/>
      <c r="K754" s="35"/>
      <c r="L754" s="36"/>
      <c r="M754" s="32"/>
    </row>
    <row r="755" spans="2:13" ht="15.75" customHeight="1">
      <c r="B755" s="32"/>
      <c r="C755" s="33" t="str">
        <f t="shared" si="3"/>
        <v/>
      </c>
      <c r="D755" s="32"/>
      <c r="E755" s="33"/>
      <c r="F755" s="34"/>
      <c r="G755" s="32"/>
      <c r="H755" s="32"/>
      <c r="I755" s="32"/>
      <c r="J755" s="34"/>
      <c r="K755" s="35"/>
      <c r="L755" s="36"/>
      <c r="M755" s="32"/>
    </row>
    <row r="756" spans="2:13" ht="15.75" customHeight="1">
      <c r="B756" s="32"/>
      <c r="C756" s="33" t="str">
        <f t="shared" si="3"/>
        <v/>
      </c>
      <c r="D756" s="32"/>
      <c r="E756" s="33"/>
      <c r="F756" s="34"/>
      <c r="G756" s="32"/>
      <c r="H756" s="32"/>
      <c r="I756" s="32"/>
      <c r="J756" s="34"/>
      <c r="K756" s="35"/>
      <c r="L756" s="36"/>
      <c r="M756" s="32"/>
    </row>
    <row r="757" spans="2:13" ht="15.75" customHeight="1">
      <c r="B757" s="32"/>
      <c r="C757" s="33" t="str">
        <f t="shared" si="3"/>
        <v/>
      </c>
      <c r="D757" s="32"/>
      <c r="E757" s="33"/>
      <c r="F757" s="34"/>
      <c r="G757" s="32"/>
      <c r="H757" s="32"/>
      <c r="I757" s="32"/>
      <c r="J757" s="34"/>
      <c r="K757" s="35"/>
      <c r="L757" s="36"/>
      <c r="M757" s="32"/>
    </row>
    <row r="758" spans="2:13" ht="15.75" customHeight="1">
      <c r="B758" s="32"/>
      <c r="C758" s="33" t="str">
        <f t="shared" si="3"/>
        <v/>
      </c>
      <c r="D758" s="32"/>
      <c r="E758" s="33"/>
      <c r="F758" s="34"/>
      <c r="G758" s="32"/>
      <c r="H758" s="32"/>
      <c r="I758" s="32"/>
      <c r="J758" s="34"/>
      <c r="K758" s="35"/>
      <c r="L758" s="36"/>
      <c r="M758" s="32"/>
    </row>
    <row r="759" spans="2:13" ht="15.75" customHeight="1">
      <c r="B759" s="32"/>
      <c r="C759" s="33" t="str">
        <f t="shared" si="3"/>
        <v/>
      </c>
      <c r="D759" s="32"/>
      <c r="E759" s="33"/>
      <c r="F759" s="34"/>
      <c r="G759" s="32"/>
      <c r="H759" s="32"/>
      <c r="I759" s="32"/>
      <c r="J759" s="34"/>
      <c r="K759" s="35"/>
      <c r="L759" s="36"/>
      <c r="M759" s="32"/>
    </row>
    <row r="760" spans="2:13" ht="15.75" customHeight="1">
      <c r="B760" s="32"/>
      <c r="C760" s="33" t="str">
        <f t="shared" si="3"/>
        <v/>
      </c>
      <c r="D760" s="32"/>
      <c r="E760" s="33"/>
      <c r="F760" s="34"/>
      <c r="G760" s="32"/>
      <c r="H760" s="32"/>
      <c r="I760" s="32"/>
      <c r="J760" s="34"/>
      <c r="K760" s="35"/>
      <c r="L760" s="36"/>
      <c r="M760" s="32"/>
    </row>
    <row r="761" spans="2:13" ht="15.75" customHeight="1">
      <c r="B761" s="32"/>
      <c r="C761" s="33" t="str">
        <f t="shared" si="3"/>
        <v/>
      </c>
      <c r="D761" s="32"/>
      <c r="E761" s="33"/>
      <c r="F761" s="34"/>
      <c r="G761" s="32"/>
      <c r="H761" s="32"/>
      <c r="I761" s="32"/>
      <c r="J761" s="34"/>
      <c r="K761" s="35"/>
      <c r="L761" s="36"/>
      <c r="M761" s="32"/>
    </row>
    <row r="762" spans="2:13" ht="15.75" customHeight="1">
      <c r="B762" s="32"/>
      <c r="C762" s="33" t="str">
        <f t="shared" si="3"/>
        <v/>
      </c>
      <c r="D762" s="32"/>
      <c r="E762" s="33"/>
      <c r="F762" s="34"/>
      <c r="G762" s="32"/>
      <c r="H762" s="32"/>
      <c r="I762" s="32"/>
      <c r="J762" s="34"/>
      <c r="K762" s="35"/>
      <c r="L762" s="36"/>
      <c r="M762" s="32"/>
    </row>
    <row r="763" spans="2:13" ht="15.75" customHeight="1">
      <c r="B763" s="32"/>
      <c r="C763" s="33" t="str">
        <f t="shared" si="3"/>
        <v/>
      </c>
      <c r="D763" s="32"/>
      <c r="E763" s="33"/>
      <c r="F763" s="34"/>
      <c r="G763" s="32"/>
      <c r="H763" s="32"/>
      <c r="I763" s="32"/>
      <c r="J763" s="34"/>
      <c r="K763" s="35"/>
      <c r="L763" s="36"/>
      <c r="M763" s="32"/>
    </row>
    <row r="764" spans="2:13" ht="15.75" customHeight="1">
      <c r="B764" s="32"/>
      <c r="C764" s="33" t="str">
        <f t="shared" si="3"/>
        <v/>
      </c>
      <c r="D764" s="32"/>
      <c r="E764" s="33"/>
      <c r="F764" s="34"/>
      <c r="G764" s="32"/>
      <c r="H764" s="32"/>
      <c r="I764" s="32"/>
      <c r="J764" s="34"/>
      <c r="K764" s="35"/>
      <c r="L764" s="36"/>
      <c r="M764" s="32"/>
    </row>
    <row r="765" spans="2:13" ht="15.75" customHeight="1">
      <c r="B765" s="32"/>
      <c r="C765" s="33" t="str">
        <f t="shared" si="3"/>
        <v/>
      </c>
      <c r="D765" s="32"/>
      <c r="E765" s="33"/>
      <c r="F765" s="34"/>
      <c r="G765" s="32"/>
      <c r="H765" s="32"/>
      <c r="I765" s="32"/>
      <c r="J765" s="34"/>
      <c r="K765" s="35"/>
      <c r="L765" s="36"/>
      <c r="M765" s="32"/>
    </row>
    <row r="766" spans="2:13" ht="15.75" customHeight="1">
      <c r="B766" s="32"/>
      <c r="C766" s="33" t="str">
        <f t="shared" si="3"/>
        <v/>
      </c>
      <c r="D766" s="32"/>
      <c r="E766" s="33"/>
      <c r="F766" s="34"/>
      <c r="G766" s="32"/>
      <c r="H766" s="32"/>
      <c r="I766" s="32"/>
      <c r="J766" s="34"/>
      <c r="K766" s="35"/>
      <c r="L766" s="36"/>
      <c r="M766" s="32"/>
    </row>
    <row r="767" spans="2:13" ht="15.75" customHeight="1">
      <c r="B767" s="32"/>
      <c r="C767" s="33" t="str">
        <f t="shared" si="3"/>
        <v/>
      </c>
      <c r="D767" s="32"/>
      <c r="E767" s="33"/>
      <c r="F767" s="34"/>
      <c r="G767" s="32"/>
      <c r="H767" s="32"/>
      <c r="I767" s="32"/>
      <c r="J767" s="34"/>
      <c r="K767" s="35"/>
      <c r="L767" s="36"/>
      <c r="M767" s="32"/>
    </row>
    <row r="768" spans="2:13" ht="15.75" customHeight="1">
      <c r="B768" s="32"/>
      <c r="C768" s="33" t="str">
        <f t="shared" si="3"/>
        <v/>
      </c>
      <c r="D768" s="32"/>
      <c r="E768" s="33"/>
      <c r="F768" s="34"/>
      <c r="G768" s="32"/>
      <c r="H768" s="32"/>
      <c r="I768" s="32"/>
      <c r="J768" s="34"/>
      <c r="K768" s="35"/>
      <c r="L768" s="36"/>
      <c r="M768" s="32"/>
    </row>
    <row r="769" spans="2:13" ht="15.75" customHeight="1">
      <c r="B769" s="32"/>
      <c r="C769" s="33" t="str">
        <f t="shared" si="3"/>
        <v/>
      </c>
      <c r="D769" s="32"/>
      <c r="E769" s="33"/>
      <c r="F769" s="34"/>
      <c r="G769" s="32"/>
      <c r="H769" s="32"/>
      <c r="I769" s="32"/>
      <c r="J769" s="34"/>
      <c r="K769" s="35"/>
      <c r="L769" s="36"/>
      <c r="M769" s="32"/>
    </row>
    <row r="770" spans="2:13" ht="15.75" customHeight="1">
      <c r="B770" s="32"/>
      <c r="C770" s="33" t="str">
        <f t="shared" si="3"/>
        <v/>
      </c>
      <c r="D770" s="32"/>
      <c r="E770" s="33"/>
      <c r="F770" s="34"/>
      <c r="G770" s="32"/>
      <c r="H770" s="32"/>
      <c r="I770" s="32"/>
      <c r="J770" s="34"/>
      <c r="K770" s="35"/>
      <c r="L770" s="36"/>
      <c r="M770" s="32"/>
    </row>
    <row r="771" spans="2:13" ht="15.75" customHeight="1">
      <c r="B771" s="32"/>
      <c r="C771" s="33" t="str">
        <f t="shared" si="3"/>
        <v/>
      </c>
      <c r="D771" s="32"/>
      <c r="E771" s="33"/>
      <c r="F771" s="34"/>
      <c r="G771" s="32"/>
      <c r="H771" s="32"/>
      <c r="I771" s="32"/>
      <c r="J771" s="34"/>
      <c r="K771" s="35"/>
      <c r="L771" s="36"/>
      <c r="M771" s="32"/>
    </row>
    <row r="772" spans="2:13" ht="15.75" customHeight="1">
      <c r="B772" s="32"/>
      <c r="C772" s="33" t="str">
        <f t="shared" si="3"/>
        <v/>
      </c>
      <c r="D772" s="32"/>
      <c r="E772" s="33"/>
      <c r="F772" s="34"/>
      <c r="G772" s="32"/>
      <c r="H772" s="32"/>
      <c r="I772" s="32"/>
      <c r="J772" s="34"/>
      <c r="K772" s="35"/>
      <c r="L772" s="36"/>
      <c r="M772" s="32"/>
    </row>
    <row r="773" spans="2:13" ht="15.75" customHeight="1">
      <c r="B773" s="32"/>
      <c r="C773" s="33" t="str">
        <f t="shared" si="3"/>
        <v/>
      </c>
      <c r="D773" s="32"/>
      <c r="E773" s="33"/>
      <c r="F773" s="34"/>
      <c r="G773" s="32"/>
      <c r="H773" s="32"/>
      <c r="I773" s="32"/>
      <c r="J773" s="34"/>
      <c r="K773" s="35"/>
      <c r="L773" s="36"/>
      <c r="M773" s="32"/>
    </row>
    <row r="774" spans="2:13" ht="15.75" customHeight="1">
      <c r="B774" s="32"/>
      <c r="C774" s="33" t="str">
        <f t="shared" si="3"/>
        <v/>
      </c>
      <c r="D774" s="32"/>
      <c r="E774" s="33"/>
      <c r="F774" s="34"/>
      <c r="G774" s="32"/>
      <c r="H774" s="32"/>
      <c r="I774" s="32"/>
      <c r="J774" s="34"/>
      <c r="K774" s="35"/>
      <c r="L774" s="36"/>
      <c r="M774" s="32"/>
    </row>
    <row r="775" spans="2:13" ht="15.75" customHeight="1">
      <c r="B775" s="32"/>
      <c r="C775" s="33" t="str">
        <f t="shared" si="3"/>
        <v/>
      </c>
      <c r="D775" s="32"/>
      <c r="E775" s="33"/>
      <c r="F775" s="34"/>
      <c r="G775" s="32"/>
      <c r="H775" s="32"/>
      <c r="I775" s="32"/>
      <c r="J775" s="34"/>
      <c r="K775" s="35"/>
      <c r="L775" s="36"/>
      <c r="M775" s="32"/>
    </row>
    <row r="776" spans="2:13" ht="15.75" customHeight="1">
      <c r="B776" s="32"/>
      <c r="C776" s="33" t="str">
        <f t="shared" si="3"/>
        <v/>
      </c>
      <c r="D776" s="32"/>
      <c r="E776" s="33"/>
      <c r="F776" s="34"/>
      <c r="G776" s="32"/>
      <c r="H776" s="32"/>
      <c r="I776" s="32"/>
      <c r="J776" s="34"/>
      <c r="K776" s="35"/>
      <c r="L776" s="36"/>
      <c r="M776" s="32"/>
    </row>
    <row r="777" spans="2:13" ht="15.75" customHeight="1">
      <c r="B777" s="32"/>
      <c r="C777" s="33" t="str">
        <f t="shared" si="3"/>
        <v/>
      </c>
      <c r="D777" s="32"/>
      <c r="E777" s="33"/>
      <c r="F777" s="34"/>
      <c r="G777" s="32"/>
      <c r="H777" s="32"/>
      <c r="I777" s="32"/>
      <c r="J777" s="34"/>
      <c r="K777" s="35"/>
      <c r="L777" s="36"/>
      <c r="M777" s="32"/>
    </row>
    <row r="778" spans="2:13" ht="15.75" customHeight="1">
      <c r="B778" s="32"/>
      <c r="C778" s="33" t="str">
        <f t="shared" si="3"/>
        <v/>
      </c>
      <c r="D778" s="32"/>
      <c r="E778" s="33"/>
      <c r="F778" s="34"/>
      <c r="G778" s="32"/>
      <c r="H778" s="32"/>
      <c r="I778" s="32"/>
      <c r="J778" s="34"/>
      <c r="K778" s="35"/>
      <c r="L778" s="36"/>
      <c r="M778" s="32"/>
    </row>
    <row r="779" spans="2:13" ht="15.75" customHeight="1">
      <c r="B779" s="32"/>
      <c r="C779" s="33" t="str">
        <f t="shared" si="3"/>
        <v/>
      </c>
      <c r="D779" s="32"/>
      <c r="E779" s="33"/>
      <c r="F779" s="34"/>
      <c r="G779" s="32"/>
      <c r="H779" s="32"/>
      <c r="I779" s="32"/>
      <c r="J779" s="34"/>
      <c r="K779" s="35"/>
      <c r="L779" s="36"/>
      <c r="M779" s="32"/>
    </row>
    <row r="780" spans="2:13" ht="15.75" customHeight="1">
      <c r="B780" s="32"/>
      <c r="C780" s="33" t="str">
        <f t="shared" si="3"/>
        <v/>
      </c>
      <c r="D780" s="32"/>
      <c r="E780" s="33"/>
      <c r="F780" s="34"/>
      <c r="G780" s="32"/>
      <c r="H780" s="32"/>
      <c r="I780" s="32"/>
      <c r="J780" s="34"/>
      <c r="K780" s="35"/>
      <c r="L780" s="36"/>
      <c r="M780" s="32"/>
    </row>
    <row r="781" spans="2:13" ht="15.75" customHeight="1">
      <c r="B781" s="32"/>
      <c r="C781" s="33" t="str">
        <f t="shared" si="3"/>
        <v/>
      </c>
      <c r="D781" s="32"/>
      <c r="E781" s="33"/>
      <c r="F781" s="34"/>
      <c r="G781" s="32"/>
      <c r="H781" s="32"/>
      <c r="I781" s="32"/>
      <c r="J781" s="34"/>
      <c r="K781" s="35"/>
      <c r="L781" s="36"/>
      <c r="M781" s="32"/>
    </row>
    <row r="782" spans="2:13" ht="15.75" customHeight="1">
      <c r="B782" s="32"/>
      <c r="C782" s="33" t="str">
        <f t="shared" si="3"/>
        <v/>
      </c>
      <c r="D782" s="32"/>
      <c r="E782" s="33"/>
      <c r="F782" s="34"/>
      <c r="G782" s="32"/>
      <c r="H782" s="32"/>
      <c r="I782" s="32"/>
      <c r="J782" s="34"/>
      <c r="K782" s="35"/>
      <c r="L782" s="36"/>
      <c r="M782" s="32"/>
    </row>
    <row r="783" spans="2:13" ht="15.75" customHeight="1">
      <c r="B783" s="32"/>
      <c r="C783" s="33" t="str">
        <f t="shared" si="3"/>
        <v/>
      </c>
      <c r="D783" s="32"/>
      <c r="E783" s="33"/>
      <c r="F783" s="34"/>
      <c r="G783" s="32"/>
      <c r="H783" s="32"/>
      <c r="I783" s="32"/>
      <c r="J783" s="34"/>
      <c r="K783" s="35"/>
      <c r="L783" s="36"/>
      <c r="M783" s="32"/>
    </row>
    <row r="784" spans="2:13" ht="15.75" customHeight="1">
      <c r="B784" s="32"/>
      <c r="C784" s="33" t="str">
        <f t="shared" si="3"/>
        <v/>
      </c>
      <c r="D784" s="32"/>
      <c r="E784" s="33"/>
      <c r="F784" s="34"/>
      <c r="G784" s="32"/>
      <c r="H784" s="32"/>
      <c r="I784" s="32"/>
      <c r="J784" s="34"/>
      <c r="K784" s="35"/>
      <c r="L784" s="36"/>
      <c r="M784" s="32"/>
    </row>
    <row r="785" spans="2:13" ht="15.75" customHeight="1">
      <c r="B785" s="32"/>
      <c r="C785" s="33" t="str">
        <f t="shared" si="3"/>
        <v/>
      </c>
      <c r="D785" s="32"/>
      <c r="E785" s="33"/>
      <c r="F785" s="34"/>
      <c r="G785" s="32"/>
      <c r="H785" s="32"/>
      <c r="I785" s="32"/>
      <c r="J785" s="34"/>
      <c r="K785" s="35"/>
      <c r="L785" s="36"/>
      <c r="M785" s="32"/>
    </row>
    <row r="786" spans="2:13" ht="15.75" customHeight="1">
      <c r="B786" s="32"/>
      <c r="C786" s="33" t="str">
        <f t="shared" si="3"/>
        <v/>
      </c>
      <c r="D786" s="32"/>
      <c r="E786" s="33"/>
      <c r="F786" s="34"/>
      <c r="G786" s="32"/>
      <c r="H786" s="32"/>
      <c r="I786" s="32"/>
      <c r="J786" s="34"/>
      <c r="K786" s="35"/>
      <c r="L786" s="36"/>
      <c r="M786" s="32"/>
    </row>
    <row r="787" spans="2:13" ht="15.75" customHeight="1">
      <c r="B787" s="32"/>
      <c r="C787" s="33" t="str">
        <f t="shared" si="3"/>
        <v/>
      </c>
      <c r="D787" s="32"/>
      <c r="E787" s="33"/>
      <c r="F787" s="34"/>
      <c r="G787" s="32"/>
      <c r="H787" s="32"/>
      <c r="I787" s="32"/>
      <c r="J787" s="34"/>
      <c r="K787" s="35"/>
      <c r="L787" s="36"/>
      <c r="M787" s="32"/>
    </row>
    <row r="788" spans="2:13" ht="15.75" customHeight="1">
      <c r="B788" s="32"/>
      <c r="C788" s="33" t="str">
        <f t="shared" si="3"/>
        <v/>
      </c>
      <c r="D788" s="32"/>
      <c r="E788" s="33"/>
      <c r="F788" s="34"/>
      <c r="G788" s="32"/>
      <c r="H788" s="32"/>
      <c r="I788" s="32"/>
      <c r="J788" s="34"/>
      <c r="K788" s="35"/>
      <c r="L788" s="36"/>
      <c r="M788" s="32"/>
    </row>
    <row r="789" spans="2:13" ht="15.75" customHeight="1">
      <c r="B789" s="32"/>
      <c r="C789" s="33" t="str">
        <f t="shared" si="3"/>
        <v/>
      </c>
      <c r="D789" s="32"/>
      <c r="E789" s="33"/>
      <c r="F789" s="34"/>
      <c r="G789" s="32"/>
      <c r="H789" s="32"/>
      <c r="I789" s="32"/>
      <c r="J789" s="34"/>
      <c r="K789" s="35"/>
      <c r="L789" s="36"/>
      <c r="M789" s="32"/>
    </row>
    <row r="790" spans="2:13" ht="15.75" customHeight="1">
      <c r="B790" s="32"/>
      <c r="C790" s="33" t="str">
        <f t="shared" si="3"/>
        <v/>
      </c>
      <c r="D790" s="32"/>
      <c r="E790" s="33"/>
      <c r="F790" s="34"/>
      <c r="G790" s="32"/>
      <c r="H790" s="32"/>
      <c r="I790" s="32"/>
      <c r="J790" s="34"/>
      <c r="K790" s="35"/>
      <c r="L790" s="36"/>
      <c r="M790" s="32"/>
    </row>
    <row r="791" spans="2:13" ht="15.75" customHeight="1">
      <c r="B791" s="32"/>
      <c r="C791" s="33" t="str">
        <f t="shared" si="3"/>
        <v/>
      </c>
      <c r="D791" s="32"/>
      <c r="E791" s="33"/>
      <c r="F791" s="34"/>
      <c r="G791" s="32"/>
      <c r="H791" s="32"/>
      <c r="I791" s="32"/>
      <c r="J791" s="34"/>
      <c r="K791" s="35"/>
      <c r="L791" s="36"/>
      <c r="M791" s="32"/>
    </row>
    <row r="792" spans="2:13" ht="15.75" customHeight="1">
      <c r="B792" s="32"/>
      <c r="C792" s="33" t="str">
        <f t="shared" si="3"/>
        <v/>
      </c>
      <c r="D792" s="32"/>
      <c r="E792" s="33"/>
      <c r="F792" s="34"/>
      <c r="G792" s="32"/>
      <c r="H792" s="32"/>
      <c r="I792" s="32"/>
      <c r="J792" s="34"/>
      <c r="K792" s="35"/>
      <c r="L792" s="36"/>
      <c r="M792" s="32"/>
    </row>
    <row r="793" spans="2:13" ht="15.75" customHeight="1">
      <c r="B793" s="32"/>
      <c r="C793" s="33" t="str">
        <f t="shared" si="3"/>
        <v/>
      </c>
      <c r="D793" s="32"/>
      <c r="E793" s="33"/>
      <c r="F793" s="34"/>
      <c r="G793" s="32"/>
      <c r="H793" s="32"/>
      <c r="I793" s="32"/>
      <c r="J793" s="34"/>
      <c r="K793" s="35"/>
      <c r="L793" s="36"/>
      <c r="M793" s="32"/>
    </row>
    <row r="794" spans="2:13" ht="15.75" customHeight="1">
      <c r="B794" s="32"/>
      <c r="C794" s="33" t="str">
        <f t="shared" si="3"/>
        <v/>
      </c>
      <c r="D794" s="32"/>
      <c r="E794" s="33"/>
      <c r="F794" s="34"/>
      <c r="G794" s="32"/>
      <c r="H794" s="32"/>
      <c r="I794" s="32"/>
      <c r="J794" s="34"/>
      <c r="K794" s="35"/>
      <c r="L794" s="36"/>
      <c r="M794" s="32"/>
    </row>
    <row r="795" spans="2:13" ht="15.75" customHeight="1">
      <c r="B795" s="32"/>
      <c r="C795" s="33" t="str">
        <f t="shared" si="3"/>
        <v/>
      </c>
      <c r="D795" s="32"/>
      <c r="E795" s="33"/>
      <c r="F795" s="34"/>
      <c r="G795" s="32"/>
      <c r="H795" s="32"/>
      <c r="I795" s="32"/>
      <c r="J795" s="34"/>
      <c r="K795" s="35"/>
      <c r="L795" s="36"/>
      <c r="M795" s="32"/>
    </row>
    <row r="796" spans="2:13" ht="15.75" customHeight="1">
      <c r="B796" s="32"/>
      <c r="C796" s="33" t="str">
        <f t="shared" si="3"/>
        <v/>
      </c>
      <c r="D796" s="32"/>
      <c r="E796" s="33"/>
      <c r="F796" s="34"/>
      <c r="G796" s="32"/>
      <c r="H796" s="32"/>
      <c r="I796" s="32"/>
      <c r="J796" s="34"/>
      <c r="K796" s="35"/>
      <c r="L796" s="36"/>
      <c r="M796" s="32"/>
    </row>
    <row r="797" spans="2:13" ht="15.75" customHeight="1">
      <c r="B797" s="32"/>
      <c r="C797" s="33" t="str">
        <f t="shared" si="3"/>
        <v/>
      </c>
      <c r="D797" s="32"/>
      <c r="E797" s="33"/>
      <c r="F797" s="34"/>
      <c r="G797" s="32"/>
      <c r="H797" s="32"/>
      <c r="I797" s="32"/>
      <c r="J797" s="34"/>
      <c r="K797" s="35"/>
      <c r="L797" s="36"/>
      <c r="M797" s="32"/>
    </row>
    <row r="798" spans="2:13" ht="15.75" customHeight="1">
      <c r="B798" s="32"/>
      <c r="C798" s="33" t="str">
        <f t="shared" si="3"/>
        <v/>
      </c>
      <c r="D798" s="32"/>
      <c r="E798" s="33"/>
      <c r="F798" s="34"/>
      <c r="G798" s="32"/>
      <c r="H798" s="32"/>
      <c r="I798" s="32"/>
      <c r="J798" s="34"/>
      <c r="K798" s="35"/>
      <c r="L798" s="36"/>
      <c r="M798" s="32"/>
    </row>
    <row r="799" spans="2:13" ht="15.75" customHeight="1">
      <c r="B799" s="32"/>
      <c r="C799" s="33" t="str">
        <f t="shared" si="3"/>
        <v/>
      </c>
      <c r="D799" s="32"/>
      <c r="E799" s="33"/>
      <c r="F799" s="34"/>
      <c r="G799" s="32"/>
      <c r="H799" s="32"/>
      <c r="I799" s="32"/>
      <c r="J799" s="34"/>
      <c r="K799" s="35"/>
      <c r="L799" s="36"/>
      <c r="M799" s="32"/>
    </row>
    <row r="800" spans="2:13" ht="15.75" customHeight="1">
      <c r="B800" s="32"/>
      <c r="C800" s="33" t="str">
        <f t="shared" si="3"/>
        <v/>
      </c>
      <c r="D800" s="32"/>
      <c r="E800" s="33"/>
      <c r="F800" s="34"/>
      <c r="G800" s="32"/>
      <c r="H800" s="32"/>
      <c r="I800" s="32"/>
      <c r="J800" s="34"/>
      <c r="K800" s="35"/>
      <c r="L800" s="36"/>
      <c r="M800" s="32"/>
    </row>
    <row r="801" spans="2:13" ht="15.75" customHeight="1">
      <c r="B801" s="32"/>
      <c r="C801" s="33" t="str">
        <f t="shared" si="3"/>
        <v/>
      </c>
      <c r="D801" s="32"/>
      <c r="E801" s="33"/>
      <c r="F801" s="34"/>
      <c r="G801" s="32"/>
      <c r="H801" s="32"/>
      <c r="I801" s="32"/>
      <c r="J801" s="34"/>
      <c r="K801" s="35"/>
      <c r="L801" s="36"/>
      <c r="M801" s="32"/>
    </row>
    <row r="802" spans="2:13" ht="15.75" customHeight="1">
      <c r="B802" s="32"/>
      <c r="C802" s="33" t="str">
        <f t="shared" si="3"/>
        <v/>
      </c>
      <c r="D802" s="32"/>
      <c r="E802" s="33"/>
      <c r="F802" s="34"/>
      <c r="G802" s="32"/>
      <c r="H802" s="32"/>
      <c r="I802" s="32"/>
      <c r="J802" s="34"/>
      <c r="K802" s="35"/>
      <c r="L802" s="36"/>
      <c r="M802" s="32"/>
    </row>
    <row r="803" spans="2:13" ht="15.75" customHeight="1">
      <c r="B803" s="32"/>
      <c r="C803" s="33" t="str">
        <f t="shared" si="3"/>
        <v/>
      </c>
      <c r="D803" s="32"/>
      <c r="E803" s="33"/>
      <c r="F803" s="34"/>
      <c r="G803" s="32"/>
      <c r="H803" s="32"/>
      <c r="I803" s="32"/>
      <c r="J803" s="34"/>
      <c r="K803" s="35"/>
      <c r="L803" s="36"/>
      <c r="M803" s="32"/>
    </row>
    <row r="804" spans="2:13" ht="15.75" customHeight="1">
      <c r="B804" s="32"/>
      <c r="C804" s="33" t="str">
        <f t="shared" si="3"/>
        <v/>
      </c>
      <c r="D804" s="32"/>
      <c r="E804" s="33"/>
      <c r="F804" s="34"/>
      <c r="G804" s="32"/>
      <c r="H804" s="32"/>
      <c r="I804" s="32"/>
      <c r="J804" s="34"/>
      <c r="K804" s="35"/>
      <c r="L804" s="36"/>
      <c r="M804" s="32"/>
    </row>
    <row r="805" spans="2:13" ht="15.75" customHeight="1">
      <c r="B805" s="32"/>
      <c r="C805" s="33" t="str">
        <f t="shared" si="3"/>
        <v/>
      </c>
      <c r="D805" s="32"/>
      <c r="E805" s="33"/>
      <c r="F805" s="34"/>
      <c r="G805" s="32"/>
      <c r="H805" s="32"/>
      <c r="I805" s="32"/>
      <c r="J805" s="34"/>
      <c r="K805" s="35"/>
      <c r="L805" s="36"/>
      <c r="M805" s="32"/>
    </row>
    <row r="806" spans="2:13" ht="15.75" customHeight="1">
      <c r="B806" s="32"/>
      <c r="C806" s="33" t="str">
        <f t="shared" si="3"/>
        <v/>
      </c>
      <c r="D806" s="32"/>
      <c r="E806" s="33"/>
      <c r="F806" s="34"/>
      <c r="G806" s="32"/>
      <c r="H806" s="32"/>
      <c r="I806" s="32"/>
      <c r="J806" s="34"/>
      <c r="K806" s="35"/>
      <c r="L806" s="36"/>
      <c r="M806" s="32"/>
    </row>
    <row r="807" spans="2:13" ht="15.75" customHeight="1">
      <c r="B807" s="32"/>
      <c r="C807" s="33" t="str">
        <f t="shared" si="3"/>
        <v/>
      </c>
      <c r="D807" s="32"/>
      <c r="E807" s="33"/>
      <c r="F807" s="34"/>
      <c r="G807" s="32"/>
      <c r="H807" s="32"/>
      <c r="I807" s="32"/>
      <c r="J807" s="34"/>
      <c r="K807" s="35"/>
      <c r="L807" s="36"/>
      <c r="M807" s="32"/>
    </row>
    <row r="808" spans="2:13" ht="15.75" customHeight="1">
      <c r="B808" s="32"/>
      <c r="C808" s="33" t="str">
        <f t="shared" si="3"/>
        <v/>
      </c>
      <c r="D808" s="32"/>
      <c r="E808" s="33"/>
      <c r="F808" s="34"/>
      <c r="G808" s="32"/>
      <c r="H808" s="32"/>
      <c r="I808" s="32"/>
      <c r="J808" s="34"/>
      <c r="K808" s="35"/>
      <c r="L808" s="36"/>
      <c r="M808" s="32"/>
    </row>
    <row r="809" spans="2:13" ht="15.75" customHeight="1">
      <c r="B809" s="32"/>
      <c r="C809" s="33" t="str">
        <f t="shared" si="3"/>
        <v/>
      </c>
      <c r="D809" s="32"/>
      <c r="E809" s="33"/>
      <c r="F809" s="34"/>
      <c r="G809" s="32"/>
      <c r="H809" s="32"/>
      <c r="I809" s="32"/>
      <c r="J809" s="34"/>
      <c r="K809" s="35"/>
      <c r="L809" s="36"/>
      <c r="M809" s="32"/>
    </row>
    <row r="810" spans="2:13" ht="15.75" customHeight="1">
      <c r="B810" s="32"/>
      <c r="C810" s="33" t="str">
        <f t="shared" si="3"/>
        <v/>
      </c>
      <c r="D810" s="32"/>
      <c r="E810" s="33"/>
      <c r="F810" s="34"/>
      <c r="G810" s="32"/>
      <c r="H810" s="32"/>
      <c r="I810" s="32"/>
      <c r="J810" s="34"/>
      <c r="K810" s="35"/>
      <c r="L810" s="36"/>
      <c r="M810" s="32"/>
    </row>
    <row r="811" spans="2:13" ht="15.75" customHeight="1">
      <c r="B811" s="32"/>
      <c r="C811" s="33" t="str">
        <f t="shared" si="3"/>
        <v/>
      </c>
      <c r="D811" s="32"/>
      <c r="E811" s="33"/>
      <c r="F811" s="34"/>
      <c r="G811" s="32"/>
      <c r="H811" s="32"/>
      <c r="I811" s="32"/>
      <c r="J811" s="34"/>
      <c r="K811" s="35"/>
      <c r="L811" s="36"/>
      <c r="M811" s="32"/>
    </row>
    <row r="812" spans="2:13" ht="15.75" customHeight="1">
      <c r="B812" s="32"/>
      <c r="C812" s="33" t="str">
        <f t="shared" si="3"/>
        <v/>
      </c>
      <c r="D812" s="32"/>
      <c r="E812" s="33"/>
      <c r="F812" s="34"/>
      <c r="G812" s="32"/>
      <c r="H812" s="32"/>
      <c r="I812" s="32"/>
      <c r="J812" s="34"/>
      <c r="K812" s="35"/>
      <c r="L812" s="36"/>
      <c r="M812" s="32"/>
    </row>
    <row r="813" spans="2:13" ht="15.75" customHeight="1">
      <c r="B813" s="32"/>
      <c r="C813" s="33" t="str">
        <f t="shared" si="3"/>
        <v/>
      </c>
      <c r="D813" s="32"/>
      <c r="E813" s="33"/>
      <c r="F813" s="34"/>
      <c r="G813" s="32"/>
      <c r="H813" s="32"/>
      <c r="I813" s="32"/>
      <c r="J813" s="34"/>
      <c r="K813" s="35"/>
      <c r="L813" s="36"/>
      <c r="M813" s="32"/>
    </row>
    <row r="814" spans="2:13" ht="15.75" customHeight="1">
      <c r="B814" s="32"/>
      <c r="C814" s="33" t="str">
        <f t="shared" si="3"/>
        <v/>
      </c>
      <c r="D814" s="32"/>
      <c r="E814" s="33"/>
      <c r="F814" s="34"/>
      <c r="G814" s="32"/>
      <c r="H814" s="32"/>
      <c r="I814" s="32"/>
      <c r="J814" s="34"/>
      <c r="K814" s="35"/>
      <c r="L814" s="36"/>
      <c r="M814" s="32"/>
    </row>
    <row r="815" spans="2:13" ht="15.75" customHeight="1">
      <c r="B815" s="32"/>
      <c r="C815" s="33" t="str">
        <f t="shared" si="3"/>
        <v/>
      </c>
      <c r="D815" s="32"/>
      <c r="E815" s="33"/>
      <c r="F815" s="34"/>
      <c r="G815" s="32"/>
      <c r="H815" s="32"/>
      <c r="I815" s="32"/>
      <c r="J815" s="34"/>
      <c r="K815" s="35"/>
      <c r="L815" s="36"/>
      <c r="M815" s="32"/>
    </row>
    <row r="816" spans="2:13" ht="15.75" customHeight="1">
      <c r="B816" s="32"/>
      <c r="C816" s="33" t="str">
        <f t="shared" si="3"/>
        <v/>
      </c>
      <c r="D816" s="32"/>
      <c r="E816" s="33"/>
      <c r="F816" s="34"/>
      <c r="G816" s="32"/>
      <c r="H816" s="32"/>
      <c r="I816" s="32"/>
      <c r="J816" s="34"/>
      <c r="K816" s="35"/>
      <c r="L816" s="36"/>
      <c r="M816" s="32"/>
    </row>
    <row r="817" spans="2:13" ht="15.75" customHeight="1">
      <c r="B817" s="32"/>
      <c r="C817" s="33" t="str">
        <f t="shared" si="3"/>
        <v/>
      </c>
      <c r="D817" s="32"/>
      <c r="E817" s="33"/>
      <c r="F817" s="34"/>
      <c r="G817" s="32"/>
      <c r="H817" s="32"/>
      <c r="I817" s="32"/>
      <c r="J817" s="34"/>
      <c r="K817" s="35"/>
      <c r="L817" s="36"/>
      <c r="M817" s="32"/>
    </row>
    <row r="818" spans="2:13" ht="15.75" customHeight="1">
      <c r="B818" s="32"/>
      <c r="C818" s="33" t="str">
        <f t="shared" si="3"/>
        <v/>
      </c>
      <c r="D818" s="32"/>
      <c r="E818" s="33"/>
      <c r="F818" s="34"/>
      <c r="G818" s="32"/>
      <c r="H818" s="32"/>
      <c r="I818" s="32"/>
      <c r="J818" s="34"/>
      <c r="K818" s="35"/>
      <c r="L818" s="36"/>
      <c r="M818" s="32"/>
    </row>
    <row r="819" spans="2:13" ht="15.75" customHeight="1">
      <c r="B819" s="32"/>
      <c r="C819" s="33" t="str">
        <f t="shared" si="3"/>
        <v/>
      </c>
      <c r="D819" s="32"/>
      <c r="E819" s="33"/>
      <c r="F819" s="34"/>
      <c r="G819" s="32"/>
      <c r="H819" s="32"/>
      <c r="I819" s="32"/>
      <c r="J819" s="34"/>
      <c r="K819" s="35"/>
      <c r="L819" s="36"/>
      <c r="M819" s="32"/>
    </row>
    <row r="820" spans="2:13" ht="15.75" customHeight="1">
      <c r="B820" s="32"/>
      <c r="C820" s="33" t="str">
        <f t="shared" si="3"/>
        <v/>
      </c>
      <c r="D820" s="32"/>
      <c r="E820" s="33"/>
      <c r="F820" s="34"/>
      <c r="G820" s="32"/>
      <c r="H820" s="32"/>
      <c r="I820" s="32"/>
      <c r="J820" s="34"/>
      <c r="K820" s="35"/>
      <c r="L820" s="36"/>
      <c r="M820" s="32"/>
    </row>
    <row r="821" spans="2:13" ht="15.75" customHeight="1">
      <c r="B821" s="32"/>
      <c r="C821" s="33" t="str">
        <f t="shared" si="3"/>
        <v/>
      </c>
      <c r="D821" s="32"/>
      <c r="E821" s="33"/>
      <c r="F821" s="34"/>
      <c r="G821" s="32"/>
      <c r="H821" s="32"/>
      <c r="I821" s="32"/>
      <c r="J821" s="34"/>
      <c r="K821" s="35"/>
      <c r="L821" s="36"/>
      <c r="M821" s="32"/>
    </row>
    <row r="822" spans="2:13" ht="15.75" customHeight="1">
      <c r="B822" s="32"/>
      <c r="C822" s="33" t="str">
        <f t="shared" si="3"/>
        <v/>
      </c>
      <c r="D822" s="32"/>
      <c r="E822" s="33"/>
      <c r="F822" s="34"/>
      <c r="G822" s="32"/>
      <c r="H822" s="32"/>
      <c r="I822" s="32"/>
      <c r="J822" s="34"/>
      <c r="K822" s="35"/>
      <c r="L822" s="36"/>
      <c r="M822" s="32"/>
    </row>
    <row r="823" spans="2:13" ht="15.75" customHeight="1">
      <c r="B823" s="32"/>
      <c r="C823" s="33" t="str">
        <f t="shared" si="3"/>
        <v/>
      </c>
      <c r="D823" s="32"/>
      <c r="E823" s="33"/>
      <c r="F823" s="34"/>
      <c r="G823" s="32"/>
      <c r="H823" s="32"/>
      <c r="I823" s="32"/>
      <c r="J823" s="34"/>
      <c r="K823" s="35"/>
      <c r="L823" s="36"/>
      <c r="M823" s="32"/>
    </row>
    <row r="824" spans="2:13" ht="15.75" customHeight="1">
      <c r="B824" s="32"/>
      <c r="C824" s="33" t="str">
        <f t="shared" si="3"/>
        <v/>
      </c>
      <c r="D824" s="32"/>
      <c r="E824" s="33"/>
      <c r="F824" s="34"/>
      <c r="G824" s="32"/>
      <c r="H824" s="32"/>
      <c r="I824" s="32"/>
      <c r="J824" s="34"/>
      <c r="K824" s="35"/>
      <c r="L824" s="36"/>
      <c r="M824" s="32"/>
    </row>
    <row r="825" spans="2:13" ht="15.75" customHeight="1">
      <c r="B825" s="32"/>
      <c r="C825" s="33" t="str">
        <f t="shared" si="3"/>
        <v/>
      </c>
      <c r="D825" s="32"/>
      <c r="E825" s="33"/>
      <c r="F825" s="34"/>
      <c r="G825" s="32"/>
      <c r="H825" s="32"/>
      <c r="I825" s="32"/>
      <c r="J825" s="34"/>
      <c r="K825" s="35"/>
      <c r="L825" s="36"/>
      <c r="M825" s="32"/>
    </row>
    <row r="826" spans="2:13" ht="15.75" customHeight="1">
      <c r="B826" s="32"/>
      <c r="C826" s="33" t="str">
        <f t="shared" si="3"/>
        <v/>
      </c>
      <c r="D826" s="32"/>
      <c r="E826" s="33"/>
      <c r="F826" s="34"/>
      <c r="G826" s="32"/>
      <c r="H826" s="32"/>
      <c r="I826" s="32"/>
      <c r="J826" s="34"/>
      <c r="K826" s="35"/>
      <c r="L826" s="36"/>
      <c r="M826" s="32"/>
    </row>
    <row r="827" spans="2:13" ht="15.75" customHeight="1">
      <c r="B827" s="32"/>
      <c r="C827" s="33" t="str">
        <f t="shared" si="3"/>
        <v/>
      </c>
      <c r="D827" s="32"/>
      <c r="E827" s="33"/>
      <c r="F827" s="34"/>
      <c r="G827" s="32"/>
      <c r="H827" s="32"/>
      <c r="I827" s="32"/>
      <c r="J827" s="34"/>
      <c r="K827" s="35"/>
      <c r="L827" s="36"/>
      <c r="M827" s="32"/>
    </row>
    <row r="828" spans="2:13" ht="15.75" customHeight="1">
      <c r="B828" s="32"/>
      <c r="C828" s="33" t="str">
        <f t="shared" si="3"/>
        <v/>
      </c>
      <c r="D828" s="32"/>
      <c r="E828" s="33"/>
      <c r="F828" s="34"/>
      <c r="G828" s="32"/>
      <c r="H828" s="32"/>
      <c r="I828" s="32"/>
      <c r="J828" s="34"/>
      <c r="K828" s="35"/>
      <c r="L828" s="36"/>
      <c r="M828" s="32"/>
    </row>
    <row r="829" spans="2:13" ht="15.75" customHeight="1">
      <c r="B829" s="32"/>
      <c r="C829" s="33" t="str">
        <f t="shared" si="3"/>
        <v/>
      </c>
      <c r="D829" s="32"/>
      <c r="E829" s="33"/>
      <c r="F829" s="34"/>
      <c r="G829" s="32"/>
      <c r="H829" s="32"/>
      <c r="I829" s="32"/>
      <c r="J829" s="34"/>
      <c r="K829" s="35"/>
      <c r="L829" s="36"/>
      <c r="M829" s="32"/>
    </row>
    <row r="830" spans="2:13" ht="15.75" customHeight="1">
      <c r="B830" s="32"/>
      <c r="C830" s="33" t="str">
        <f t="shared" si="3"/>
        <v/>
      </c>
      <c r="D830" s="32"/>
      <c r="E830" s="33"/>
      <c r="F830" s="34"/>
      <c r="G830" s="32"/>
      <c r="H830" s="32"/>
      <c r="I830" s="32"/>
      <c r="J830" s="34"/>
      <c r="K830" s="35"/>
      <c r="L830" s="36"/>
      <c r="M830" s="32"/>
    </row>
    <row r="831" spans="2:13" ht="15.75" customHeight="1">
      <c r="B831" s="32"/>
      <c r="C831" s="33" t="str">
        <f t="shared" si="3"/>
        <v/>
      </c>
      <c r="D831" s="32"/>
      <c r="E831" s="33"/>
      <c r="F831" s="34"/>
      <c r="G831" s="32"/>
      <c r="H831" s="32"/>
      <c r="I831" s="32"/>
      <c r="J831" s="34"/>
      <c r="K831" s="35"/>
      <c r="L831" s="36"/>
      <c r="M831" s="32"/>
    </row>
    <row r="832" spans="2:13" ht="15.75" customHeight="1">
      <c r="B832" s="32"/>
      <c r="C832" s="33" t="str">
        <f t="shared" si="3"/>
        <v/>
      </c>
      <c r="D832" s="32"/>
      <c r="E832" s="33"/>
      <c r="F832" s="34"/>
      <c r="G832" s="32"/>
      <c r="H832" s="32"/>
      <c r="I832" s="32"/>
      <c r="J832" s="34"/>
      <c r="K832" s="35"/>
      <c r="L832" s="36"/>
      <c r="M832" s="32"/>
    </row>
    <row r="833" spans="2:13" ht="15.75" customHeight="1">
      <c r="B833" s="32"/>
      <c r="C833" s="33" t="str">
        <f t="shared" si="3"/>
        <v/>
      </c>
      <c r="D833" s="32"/>
      <c r="E833" s="33"/>
      <c r="F833" s="34"/>
      <c r="G833" s="32"/>
      <c r="H833" s="32"/>
      <c r="I833" s="32"/>
      <c r="J833" s="34"/>
      <c r="K833" s="35"/>
      <c r="L833" s="36"/>
      <c r="M833" s="32"/>
    </row>
    <row r="834" spans="2:13" ht="15.75" customHeight="1">
      <c r="B834" s="32"/>
      <c r="C834" s="33" t="str">
        <f t="shared" si="3"/>
        <v/>
      </c>
      <c r="D834" s="32"/>
      <c r="E834" s="33"/>
      <c r="F834" s="34"/>
      <c r="G834" s="32"/>
      <c r="H834" s="32"/>
      <c r="I834" s="32"/>
      <c r="J834" s="34"/>
      <c r="K834" s="35"/>
      <c r="L834" s="36"/>
      <c r="M834" s="32"/>
    </row>
    <row r="835" spans="2:13" ht="15.75" customHeight="1">
      <c r="B835" s="32"/>
      <c r="C835" s="33" t="str">
        <f t="shared" si="3"/>
        <v/>
      </c>
      <c r="D835" s="32"/>
      <c r="E835" s="33"/>
      <c r="F835" s="34"/>
      <c r="G835" s="32"/>
      <c r="H835" s="32"/>
      <c r="I835" s="32"/>
      <c r="J835" s="34"/>
      <c r="K835" s="35"/>
      <c r="L835" s="36"/>
      <c r="M835" s="32"/>
    </row>
    <row r="836" spans="2:13" ht="15.75" customHeight="1">
      <c r="B836" s="32"/>
      <c r="C836" s="33" t="str">
        <f t="shared" si="3"/>
        <v/>
      </c>
      <c r="D836" s="32"/>
      <c r="E836" s="33"/>
      <c r="F836" s="34"/>
      <c r="G836" s="32"/>
      <c r="H836" s="32"/>
      <c r="I836" s="32"/>
      <c r="J836" s="34"/>
      <c r="K836" s="35"/>
      <c r="L836" s="36"/>
      <c r="M836" s="32"/>
    </row>
    <row r="837" spans="2:13" ht="15.75" customHeight="1">
      <c r="B837" s="32"/>
      <c r="C837" s="33" t="str">
        <f t="shared" si="3"/>
        <v/>
      </c>
      <c r="D837" s="32"/>
      <c r="E837" s="33"/>
      <c r="F837" s="34"/>
      <c r="G837" s="32"/>
      <c r="H837" s="32"/>
      <c r="I837" s="32"/>
      <c r="J837" s="34"/>
      <c r="K837" s="35"/>
      <c r="L837" s="36"/>
      <c r="M837" s="32"/>
    </row>
    <row r="838" spans="2:13" ht="15.75" customHeight="1">
      <c r="B838" s="32"/>
      <c r="C838" s="33" t="str">
        <f t="shared" si="3"/>
        <v/>
      </c>
      <c r="D838" s="32"/>
      <c r="E838" s="33"/>
      <c r="F838" s="34"/>
      <c r="G838" s="32"/>
      <c r="H838" s="32"/>
      <c r="I838" s="32"/>
      <c r="J838" s="34"/>
      <c r="K838" s="35"/>
      <c r="L838" s="36"/>
      <c r="M838" s="32"/>
    </row>
    <row r="839" spans="2:13" ht="15.75" customHeight="1">
      <c r="B839" s="32"/>
      <c r="C839" s="33" t="str">
        <f t="shared" si="3"/>
        <v/>
      </c>
      <c r="D839" s="32"/>
      <c r="E839" s="33"/>
      <c r="F839" s="34"/>
      <c r="G839" s="32"/>
      <c r="H839" s="32"/>
      <c r="I839" s="32"/>
      <c r="J839" s="34"/>
      <c r="K839" s="35"/>
      <c r="L839" s="36"/>
      <c r="M839" s="32"/>
    </row>
    <row r="840" spans="2:13" ht="15.75" customHeight="1">
      <c r="B840" s="32"/>
      <c r="C840" s="33" t="str">
        <f t="shared" si="3"/>
        <v/>
      </c>
      <c r="D840" s="32"/>
      <c r="E840" s="33"/>
      <c r="F840" s="34"/>
      <c r="G840" s="32"/>
      <c r="H840" s="32"/>
      <c r="I840" s="32"/>
      <c r="J840" s="34"/>
      <c r="K840" s="35"/>
      <c r="L840" s="36"/>
      <c r="M840" s="32"/>
    </row>
    <row r="841" spans="2:13" ht="15.75" customHeight="1">
      <c r="B841" s="32"/>
      <c r="C841" s="33" t="str">
        <f t="shared" si="3"/>
        <v/>
      </c>
      <c r="D841" s="32"/>
      <c r="E841" s="33"/>
      <c r="F841" s="34"/>
      <c r="G841" s="32"/>
      <c r="H841" s="32"/>
      <c r="I841" s="32"/>
      <c r="J841" s="34"/>
      <c r="K841" s="35"/>
      <c r="L841" s="36"/>
      <c r="M841" s="32"/>
    </row>
    <row r="842" spans="2:13" ht="15.75" customHeight="1">
      <c r="B842" s="32"/>
      <c r="C842" s="33" t="str">
        <f t="shared" si="3"/>
        <v/>
      </c>
      <c r="D842" s="32"/>
      <c r="E842" s="33"/>
      <c r="F842" s="34"/>
      <c r="G842" s="32"/>
      <c r="H842" s="32"/>
      <c r="I842" s="32"/>
      <c r="J842" s="34"/>
      <c r="K842" s="35"/>
      <c r="L842" s="36"/>
      <c r="M842" s="32"/>
    </row>
    <row r="843" spans="2:13" ht="15.75" customHeight="1">
      <c r="B843" s="32"/>
      <c r="C843" s="33" t="str">
        <f t="shared" si="3"/>
        <v/>
      </c>
      <c r="D843" s="32"/>
      <c r="E843" s="33"/>
      <c r="F843" s="34"/>
      <c r="G843" s="32"/>
      <c r="H843" s="32"/>
      <c r="I843" s="32"/>
      <c r="J843" s="34"/>
      <c r="K843" s="35"/>
      <c r="L843" s="36"/>
      <c r="M843" s="32"/>
    </row>
    <row r="844" spans="2:13" ht="15.75" customHeight="1">
      <c r="B844" s="32"/>
      <c r="C844" s="33" t="str">
        <f t="shared" si="3"/>
        <v/>
      </c>
      <c r="D844" s="32"/>
      <c r="E844" s="33"/>
      <c r="F844" s="34"/>
      <c r="G844" s="32"/>
      <c r="H844" s="32"/>
      <c r="I844" s="32"/>
      <c r="J844" s="34"/>
      <c r="K844" s="35"/>
      <c r="L844" s="36"/>
      <c r="M844" s="32"/>
    </row>
    <row r="845" spans="2:13" ht="15.75" customHeight="1">
      <c r="B845" s="32"/>
      <c r="C845" s="33" t="str">
        <f t="shared" si="3"/>
        <v/>
      </c>
      <c r="D845" s="32"/>
      <c r="E845" s="33"/>
      <c r="F845" s="34"/>
      <c r="G845" s="32"/>
      <c r="H845" s="32"/>
      <c r="I845" s="32"/>
      <c r="J845" s="34"/>
      <c r="K845" s="35"/>
      <c r="L845" s="36"/>
      <c r="M845" s="32"/>
    </row>
    <row r="846" spans="2:13" ht="15.75" customHeight="1">
      <c r="B846" s="32"/>
      <c r="C846" s="33" t="str">
        <f t="shared" si="3"/>
        <v/>
      </c>
      <c r="D846" s="32"/>
      <c r="E846" s="33"/>
      <c r="F846" s="34"/>
      <c r="G846" s="32"/>
      <c r="H846" s="32"/>
      <c r="I846" s="32"/>
      <c r="J846" s="34"/>
      <c r="K846" s="35"/>
      <c r="L846" s="36"/>
      <c r="M846" s="32"/>
    </row>
    <row r="847" spans="2:13" ht="15.75" customHeight="1">
      <c r="B847" s="32"/>
      <c r="C847" s="33" t="str">
        <f t="shared" si="3"/>
        <v/>
      </c>
      <c r="D847" s="32"/>
      <c r="E847" s="33"/>
      <c r="F847" s="34"/>
      <c r="G847" s="32"/>
      <c r="H847" s="32"/>
      <c r="I847" s="32"/>
      <c r="J847" s="34"/>
      <c r="K847" s="35"/>
      <c r="L847" s="36"/>
      <c r="M847" s="32"/>
    </row>
    <row r="848" spans="2:13" ht="15.75" customHeight="1">
      <c r="B848" s="32"/>
      <c r="C848" s="33" t="str">
        <f t="shared" si="3"/>
        <v/>
      </c>
      <c r="D848" s="32"/>
      <c r="E848" s="33"/>
      <c r="F848" s="34"/>
      <c r="G848" s="32"/>
      <c r="H848" s="32"/>
      <c r="I848" s="32"/>
      <c r="J848" s="34"/>
      <c r="K848" s="35"/>
      <c r="L848" s="36"/>
      <c r="M848" s="32"/>
    </row>
    <row r="849" spans="2:13" ht="15.75" customHeight="1">
      <c r="B849" s="32"/>
      <c r="C849" s="33" t="str">
        <f t="shared" si="3"/>
        <v/>
      </c>
      <c r="D849" s="32"/>
      <c r="E849" s="33"/>
      <c r="F849" s="34"/>
      <c r="G849" s="32"/>
      <c r="H849" s="32"/>
      <c r="I849" s="32"/>
      <c r="J849" s="34"/>
      <c r="K849" s="35"/>
      <c r="L849" s="36"/>
      <c r="M849" s="32"/>
    </row>
    <row r="850" spans="2:13" ht="15.75" customHeight="1">
      <c r="B850" s="32"/>
      <c r="C850" s="33" t="str">
        <f t="shared" si="3"/>
        <v/>
      </c>
      <c r="D850" s="32"/>
      <c r="E850" s="33"/>
      <c r="F850" s="34"/>
      <c r="G850" s="32"/>
      <c r="H850" s="32"/>
      <c r="I850" s="32"/>
      <c r="J850" s="34"/>
      <c r="K850" s="35"/>
      <c r="L850" s="36"/>
      <c r="M850" s="32"/>
    </row>
    <row r="851" spans="2:13" ht="15.75" customHeight="1">
      <c r="B851" s="32"/>
      <c r="C851" s="33" t="str">
        <f t="shared" si="3"/>
        <v/>
      </c>
      <c r="D851" s="32"/>
      <c r="E851" s="33"/>
      <c r="F851" s="34"/>
      <c r="G851" s="32"/>
      <c r="H851" s="32"/>
      <c r="I851" s="32"/>
      <c r="J851" s="34"/>
      <c r="K851" s="35"/>
      <c r="L851" s="36"/>
      <c r="M851" s="32"/>
    </row>
    <row r="852" spans="2:13" ht="15.75" customHeight="1">
      <c r="B852" s="32"/>
      <c r="C852" s="33" t="str">
        <f t="shared" si="3"/>
        <v/>
      </c>
      <c r="D852" s="32"/>
      <c r="E852" s="33"/>
      <c r="F852" s="34"/>
      <c r="G852" s="32"/>
      <c r="H852" s="32"/>
      <c r="I852" s="32"/>
      <c r="J852" s="34"/>
      <c r="K852" s="35"/>
      <c r="L852" s="36"/>
      <c r="M852" s="32"/>
    </row>
    <row r="853" spans="2:13" ht="15.75" customHeight="1">
      <c r="B853" s="32"/>
      <c r="C853" s="33" t="str">
        <f t="shared" si="3"/>
        <v/>
      </c>
      <c r="D853" s="32"/>
      <c r="E853" s="33"/>
      <c r="F853" s="34"/>
      <c r="G853" s="32"/>
      <c r="H853" s="32"/>
      <c r="I853" s="32"/>
      <c r="J853" s="34"/>
      <c r="K853" s="35"/>
      <c r="L853" s="36"/>
      <c r="M853" s="32"/>
    </row>
    <row r="854" spans="2:13" ht="15.75" customHeight="1">
      <c r="B854" s="32"/>
      <c r="C854" s="33" t="str">
        <f t="shared" si="3"/>
        <v/>
      </c>
      <c r="D854" s="32"/>
      <c r="E854" s="33"/>
      <c r="F854" s="34"/>
      <c r="G854" s="32"/>
      <c r="H854" s="32"/>
      <c r="I854" s="32"/>
      <c r="J854" s="34"/>
      <c r="K854" s="35"/>
      <c r="L854" s="36"/>
      <c r="M854" s="32"/>
    </row>
    <row r="855" spans="2:13" ht="15.75" customHeight="1">
      <c r="B855" s="32"/>
      <c r="C855" s="33" t="str">
        <f t="shared" si="3"/>
        <v/>
      </c>
      <c r="D855" s="32"/>
      <c r="E855" s="33"/>
      <c r="F855" s="34"/>
      <c r="G855" s="32"/>
      <c r="H855" s="32"/>
      <c r="I855" s="32"/>
      <c r="J855" s="34"/>
      <c r="K855" s="35"/>
      <c r="L855" s="36"/>
      <c r="M855" s="32"/>
    </row>
    <row r="856" spans="2:13" ht="15.75" customHeight="1">
      <c r="B856" s="32"/>
      <c r="C856" s="33" t="str">
        <f t="shared" si="3"/>
        <v/>
      </c>
      <c r="D856" s="32"/>
      <c r="E856" s="33"/>
      <c r="F856" s="34"/>
      <c r="G856" s="32"/>
      <c r="H856" s="32"/>
      <c r="I856" s="32"/>
      <c r="J856" s="34"/>
      <c r="K856" s="35"/>
      <c r="L856" s="36"/>
      <c r="M856" s="32"/>
    </row>
    <row r="857" spans="2:13" ht="15.75" customHeight="1">
      <c r="B857" s="32"/>
      <c r="C857" s="33" t="str">
        <f t="shared" si="3"/>
        <v/>
      </c>
      <c r="D857" s="32"/>
      <c r="E857" s="33"/>
      <c r="F857" s="34"/>
      <c r="G857" s="32"/>
      <c r="H857" s="32"/>
      <c r="I857" s="32"/>
      <c r="J857" s="34"/>
      <c r="K857" s="35"/>
      <c r="L857" s="36"/>
      <c r="M857" s="32"/>
    </row>
    <row r="858" spans="2:13" ht="15.75" customHeight="1">
      <c r="B858" s="32"/>
      <c r="C858" s="33" t="str">
        <f t="shared" si="3"/>
        <v/>
      </c>
      <c r="D858" s="32"/>
      <c r="E858" s="33"/>
      <c r="F858" s="34"/>
      <c r="G858" s="32"/>
      <c r="H858" s="32"/>
      <c r="I858" s="32"/>
      <c r="J858" s="34"/>
      <c r="K858" s="35"/>
      <c r="L858" s="36"/>
      <c r="M858" s="32"/>
    </row>
    <row r="859" spans="2:13" ht="15.75" customHeight="1">
      <c r="B859" s="32"/>
      <c r="C859" s="33" t="str">
        <f t="shared" si="3"/>
        <v/>
      </c>
      <c r="D859" s="32"/>
      <c r="E859" s="33"/>
      <c r="F859" s="34"/>
      <c r="G859" s="32"/>
      <c r="H859" s="32"/>
      <c r="I859" s="32"/>
      <c r="J859" s="34"/>
      <c r="K859" s="35"/>
      <c r="L859" s="36"/>
      <c r="M859" s="32"/>
    </row>
    <row r="860" spans="2:13" ht="15.75" customHeight="1">
      <c r="B860" s="32"/>
      <c r="C860" s="33" t="str">
        <f t="shared" si="3"/>
        <v/>
      </c>
      <c r="D860" s="32"/>
      <c r="E860" s="33"/>
      <c r="F860" s="34"/>
      <c r="G860" s="32"/>
      <c r="H860" s="32"/>
      <c r="I860" s="32"/>
      <c r="J860" s="34"/>
      <c r="K860" s="35"/>
      <c r="L860" s="36"/>
      <c r="M860" s="32"/>
    </row>
    <row r="861" spans="2:13" ht="15.75" customHeight="1">
      <c r="B861" s="32"/>
      <c r="C861" s="33" t="str">
        <f t="shared" si="3"/>
        <v/>
      </c>
      <c r="D861" s="32"/>
      <c r="E861" s="33"/>
      <c r="F861" s="34"/>
      <c r="G861" s="32"/>
      <c r="H861" s="32"/>
      <c r="I861" s="32"/>
      <c r="J861" s="34"/>
      <c r="K861" s="35"/>
      <c r="L861" s="36"/>
      <c r="M861" s="32"/>
    </row>
    <row r="862" spans="2:13" ht="15.75" customHeight="1">
      <c r="B862" s="32"/>
      <c r="C862" s="33" t="str">
        <f t="shared" si="3"/>
        <v/>
      </c>
      <c r="D862" s="32"/>
      <c r="E862" s="33"/>
      <c r="F862" s="34"/>
      <c r="G862" s="32"/>
      <c r="H862" s="32"/>
      <c r="I862" s="32"/>
      <c r="J862" s="34"/>
      <c r="K862" s="35"/>
      <c r="L862" s="36"/>
      <c r="M862" s="32"/>
    </row>
    <row r="863" spans="2:13" ht="15.75" customHeight="1">
      <c r="B863" s="32"/>
      <c r="C863" s="33" t="str">
        <f t="shared" si="3"/>
        <v/>
      </c>
      <c r="D863" s="32"/>
      <c r="E863" s="33"/>
      <c r="F863" s="34"/>
      <c r="G863" s="32"/>
      <c r="H863" s="32"/>
      <c r="I863" s="32"/>
      <c r="J863" s="34"/>
      <c r="K863" s="35"/>
      <c r="L863" s="36"/>
      <c r="M863" s="32"/>
    </row>
    <row r="864" spans="2:13" ht="15.75" customHeight="1">
      <c r="B864" s="32"/>
      <c r="C864" s="33" t="str">
        <f t="shared" si="3"/>
        <v/>
      </c>
      <c r="D864" s="32"/>
      <c r="E864" s="33"/>
      <c r="F864" s="34"/>
      <c r="G864" s="32"/>
      <c r="H864" s="32"/>
      <c r="I864" s="32"/>
      <c r="J864" s="34"/>
      <c r="K864" s="35"/>
      <c r="L864" s="36"/>
      <c r="M864" s="32"/>
    </row>
    <row r="865" spans="2:13" ht="15.75" customHeight="1">
      <c r="B865" s="32"/>
      <c r="C865" s="33" t="str">
        <f t="shared" si="3"/>
        <v/>
      </c>
      <c r="D865" s="32"/>
      <c r="E865" s="33"/>
      <c r="F865" s="34"/>
      <c r="G865" s="32"/>
      <c r="H865" s="32"/>
      <c r="I865" s="32"/>
      <c r="J865" s="34"/>
      <c r="K865" s="35"/>
      <c r="L865" s="36"/>
      <c r="M865" s="32"/>
    </row>
    <row r="866" spans="2:13" ht="15.75" customHeight="1">
      <c r="B866" s="32"/>
      <c r="C866" s="33" t="str">
        <f t="shared" si="3"/>
        <v/>
      </c>
      <c r="D866" s="32"/>
      <c r="E866" s="33"/>
      <c r="F866" s="34"/>
      <c r="G866" s="32"/>
      <c r="H866" s="32"/>
      <c r="I866" s="32"/>
      <c r="J866" s="34"/>
      <c r="K866" s="35"/>
      <c r="L866" s="36"/>
      <c r="M866" s="32"/>
    </row>
    <row r="867" spans="2:13" ht="15.75" customHeight="1">
      <c r="B867" s="32"/>
      <c r="C867" s="33" t="str">
        <f t="shared" si="3"/>
        <v/>
      </c>
      <c r="D867" s="32"/>
      <c r="E867" s="33"/>
      <c r="F867" s="34"/>
      <c r="G867" s="32"/>
      <c r="H867" s="32"/>
      <c r="I867" s="32"/>
      <c r="J867" s="34"/>
      <c r="K867" s="35"/>
      <c r="L867" s="36"/>
      <c r="M867" s="32"/>
    </row>
    <row r="868" spans="2:13" ht="15.75" customHeight="1">
      <c r="B868" s="32"/>
      <c r="C868" s="33" t="str">
        <f t="shared" si="3"/>
        <v/>
      </c>
      <c r="D868" s="32"/>
      <c r="E868" s="33"/>
      <c r="F868" s="34"/>
      <c r="G868" s="32"/>
      <c r="H868" s="32"/>
      <c r="I868" s="32"/>
      <c r="J868" s="34"/>
      <c r="K868" s="35"/>
      <c r="L868" s="36"/>
      <c r="M868" s="32"/>
    </row>
    <row r="869" spans="2:13" ht="15.75" customHeight="1">
      <c r="B869" s="32"/>
      <c r="C869" s="33" t="str">
        <f t="shared" si="3"/>
        <v/>
      </c>
      <c r="D869" s="32"/>
      <c r="E869" s="33"/>
      <c r="F869" s="34"/>
      <c r="G869" s="32"/>
      <c r="H869" s="32"/>
      <c r="I869" s="32"/>
      <c r="J869" s="34"/>
      <c r="K869" s="35"/>
      <c r="L869" s="36"/>
      <c r="M869" s="32"/>
    </row>
    <row r="870" spans="2:13" ht="15.75" customHeight="1">
      <c r="B870" s="32"/>
      <c r="C870" s="33" t="str">
        <f t="shared" si="3"/>
        <v/>
      </c>
      <c r="D870" s="32"/>
      <c r="E870" s="33"/>
      <c r="F870" s="34"/>
      <c r="G870" s="32"/>
      <c r="H870" s="32"/>
      <c r="I870" s="32"/>
      <c r="J870" s="34"/>
      <c r="K870" s="35"/>
      <c r="L870" s="36"/>
      <c r="M870" s="32"/>
    </row>
    <row r="871" spans="2:13" ht="15.75" customHeight="1">
      <c r="B871" s="32"/>
      <c r="C871" s="33" t="str">
        <f t="shared" si="3"/>
        <v/>
      </c>
      <c r="D871" s="32"/>
      <c r="E871" s="33"/>
      <c r="F871" s="34"/>
      <c r="G871" s="32"/>
      <c r="H871" s="32"/>
      <c r="I871" s="32"/>
      <c r="J871" s="34"/>
      <c r="K871" s="35"/>
      <c r="L871" s="36"/>
      <c r="M871" s="32"/>
    </row>
    <row r="872" spans="2:13" ht="15.75" customHeight="1">
      <c r="B872" s="32"/>
      <c r="C872" s="33" t="str">
        <f t="shared" si="3"/>
        <v/>
      </c>
      <c r="D872" s="32"/>
      <c r="E872" s="33"/>
      <c r="F872" s="34"/>
      <c r="G872" s="32"/>
      <c r="H872" s="32"/>
      <c r="I872" s="32"/>
      <c r="J872" s="34"/>
      <c r="K872" s="35"/>
      <c r="L872" s="36"/>
      <c r="M872" s="32"/>
    </row>
    <row r="873" spans="2:13" ht="15.75" customHeight="1">
      <c r="B873" s="32"/>
      <c r="C873" s="33" t="str">
        <f t="shared" si="3"/>
        <v/>
      </c>
      <c r="D873" s="32"/>
      <c r="E873" s="33"/>
      <c r="F873" s="34"/>
      <c r="G873" s="32"/>
      <c r="H873" s="32"/>
      <c r="I873" s="32"/>
      <c r="J873" s="34"/>
      <c r="K873" s="35"/>
      <c r="L873" s="36"/>
      <c r="M873" s="32"/>
    </row>
    <row r="874" spans="2:13" ht="15.75" customHeight="1">
      <c r="B874" s="32"/>
      <c r="C874" s="33" t="str">
        <f t="shared" si="3"/>
        <v/>
      </c>
      <c r="D874" s="32"/>
      <c r="E874" s="33"/>
      <c r="F874" s="34"/>
      <c r="G874" s="32"/>
      <c r="H874" s="32"/>
      <c r="I874" s="32"/>
      <c r="J874" s="34"/>
      <c r="K874" s="35"/>
      <c r="L874" s="36"/>
      <c r="M874" s="32"/>
    </row>
    <row r="875" spans="2:13" ht="15.75" customHeight="1">
      <c r="B875" s="32"/>
      <c r="C875" s="33" t="str">
        <f t="shared" si="3"/>
        <v/>
      </c>
      <c r="D875" s="32"/>
      <c r="E875" s="33"/>
      <c r="F875" s="34"/>
      <c r="G875" s="32"/>
      <c r="H875" s="32"/>
      <c r="I875" s="32"/>
      <c r="J875" s="34"/>
      <c r="K875" s="35"/>
      <c r="L875" s="36"/>
      <c r="M875" s="32"/>
    </row>
    <row r="876" spans="2:13" ht="15.75" customHeight="1">
      <c r="B876" s="32"/>
      <c r="C876" s="33" t="str">
        <f t="shared" si="3"/>
        <v/>
      </c>
      <c r="D876" s="32"/>
      <c r="E876" s="33"/>
      <c r="F876" s="34"/>
      <c r="G876" s="32"/>
      <c r="H876" s="32"/>
      <c r="I876" s="32"/>
      <c r="J876" s="34"/>
      <c r="K876" s="35"/>
      <c r="L876" s="36"/>
      <c r="M876" s="32"/>
    </row>
    <row r="877" spans="2:13" ht="15.75" customHeight="1">
      <c r="B877" s="32"/>
      <c r="C877" s="33" t="str">
        <f t="shared" si="3"/>
        <v/>
      </c>
      <c r="D877" s="32"/>
      <c r="E877" s="33"/>
      <c r="F877" s="34"/>
      <c r="G877" s="32"/>
      <c r="H877" s="32"/>
      <c r="I877" s="32"/>
      <c r="J877" s="34"/>
      <c r="K877" s="35"/>
      <c r="L877" s="36"/>
      <c r="M877" s="32"/>
    </row>
    <row r="878" spans="2:13" ht="15.75" customHeight="1">
      <c r="B878" s="32"/>
      <c r="C878" s="33" t="str">
        <f t="shared" si="3"/>
        <v/>
      </c>
      <c r="D878" s="32"/>
      <c r="E878" s="33"/>
      <c r="F878" s="34"/>
      <c r="G878" s="32"/>
      <c r="H878" s="32"/>
      <c r="I878" s="32"/>
      <c r="J878" s="34"/>
      <c r="K878" s="35"/>
      <c r="L878" s="36"/>
      <c r="M878" s="32"/>
    </row>
    <row r="879" spans="2:13" ht="15.75" customHeight="1">
      <c r="B879" s="32"/>
      <c r="C879" s="33" t="str">
        <f t="shared" si="3"/>
        <v/>
      </c>
      <c r="D879" s="32"/>
      <c r="E879" s="33"/>
      <c r="F879" s="34"/>
      <c r="G879" s="32"/>
      <c r="H879" s="32"/>
      <c r="I879" s="32"/>
      <c r="J879" s="34"/>
      <c r="K879" s="35"/>
      <c r="L879" s="36"/>
      <c r="M879" s="32"/>
    </row>
    <row r="880" spans="2:13" ht="15.75" customHeight="1">
      <c r="B880" s="32"/>
      <c r="C880" s="33" t="str">
        <f t="shared" si="3"/>
        <v/>
      </c>
      <c r="D880" s="32"/>
      <c r="E880" s="33"/>
      <c r="F880" s="34"/>
      <c r="G880" s="32"/>
      <c r="H880" s="32"/>
      <c r="I880" s="32"/>
      <c r="J880" s="34"/>
      <c r="K880" s="35"/>
      <c r="L880" s="36"/>
      <c r="M880" s="32"/>
    </row>
    <row r="881" spans="2:13" ht="15.75" customHeight="1">
      <c r="B881" s="32"/>
      <c r="C881" s="33" t="str">
        <f t="shared" si="3"/>
        <v/>
      </c>
      <c r="D881" s="32"/>
      <c r="E881" s="33"/>
      <c r="F881" s="34"/>
      <c r="G881" s="32"/>
      <c r="H881" s="32"/>
      <c r="I881" s="32"/>
      <c r="J881" s="34"/>
      <c r="K881" s="35"/>
      <c r="L881" s="36"/>
      <c r="M881" s="32"/>
    </row>
    <row r="882" spans="2:13" ht="15.75" customHeight="1">
      <c r="B882" s="32"/>
      <c r="C882" s="33" t="str">
        <f t="shared" si="3"/>
        <v/>
      </c>
      <c r="D882" s="32"/>
      <c r="E882" s="33"/>
      <c r="F882" s="34"/>
      <c r="G882" s="32"/>
      <c r="H882" s="32"/>
      <c r="I882" s="32"/>
      <c r="J882" s="34"/>
      <c r="K882" s="35"/>
      <c r="L882" s="36"/>
      <c r="M882" s="32"/>
    </row>
    <row r="883" spans="2:13" ht="15.75" customHeight="1">
      <c r="B883" s="32"/>
      <c r="C883" s="33" t="str">
        <f t="shared" si="3"/>
        <v/>
      </c>
      <c r="D883" s="32"/>
      <c r="E883" s="33"/>
      <c r="F883" s="34"/>
      <c r="G883" s="32"/>
      <c r="H883" s="32"/>
      <c r="I883" s="32"/>
      <c r="J883" s="34"/>
      <c r="K883" s="35"/>
      <c r="L883" s="36"/>
      <c r="M883" s="32"/>
    </row>
    <row r="884" spans="2:13" ht="15.75" customHeight="1">
      <c r="B884" s="32"/>
      <c r="C884" s="33" t="str">
        <f t="shared" si="3"/>
        <v/>
      </c>
      <c r="D884" s="32"/>
      <c r="E884" s="33"/>
      <c r="F884" s="34"/>
      <c r="G884" s="32"/>
      <c r="H884" s="32"/>
      <c r="I884" s="32"/>
      <c r="J884" s="34"/>
      <c r="K884" s="35"/>
      <c r="L884" s="36"/>
      <c r="M884" s="32"/>
    </row>
    <row r="885" spans="2:13" ht="15.75" customHeight="1">
      <c r="B885" s="32"/>
      <c r="C885" s="33" t="str">
        <f t="shared" si="3"/>
        <v/>
      </c>
      <c r="D885" s="32"/>
      <c r="E885" s="33"/>
      <c r="F885" s="34"/>
      <c r="G885" s="32"/>
      <c r="H885" s="32"/>
      <c r="I885" s="32"/>
      <c r="J885" s="34"/>
      <c r="K885" s="35"/>
      <c r="L885" s="36"/>
      <c r="M885" s="32"/>
    </row>
    <row r="886" spans="2:13" ht="15.75" customHeight="1">
      <c r="B886" s="32"/>
      <c r="C886" s="33" t="str">
        <f t="shared" si="3"/>
        <v/>
      </c>
      <c r="D886" s="32"/>
      <c r="E886" s="33"/>
      <c r="F886" s="34"/>
      <c r="G886" s="32"/>
      <c r="H886" s="32"/>
      <c r="I886" s="32"/>
      <c r="J886" s="34"/>
      <c r="K886" s="35"/>
      <c r="L886" s="36"/>
      <c r="M886" s="32"/>
    </row>
    <row r="887" spans="2:13" ht="15.75" customHeight="1">
      <c r="B887" s="32"/>
      <c r="C887" s="33" t="str">
        <f t="shared" si="3"/>
        <v/>
      </c>
      <c r="D887" s="32"/>
      <c r="E887" s="33"/>
      <c r="F887" s="34"/>
      <c r="G887" s="32"/>
      <c r="H887" s="32"/>
      <c r="I887" s="32"/>
      <c r="J887" s="34"/>
      <c r="K887" s="35"/>
      <c r="L887" s="36"/>
      <c r="M887" s="32"/>
    </row>
    <row r="888" spans="2:13" ht="15.75" customHeight="1">
      <c r="B888" s="32"/>
      <c r="C888" s="33" t="str">
        <f t="shared" si="3"/>
        <v/>
      </c>
      <c r="D888" s="32"/>
      <c r="E888" s="33"/>
      <c r="F888" s="34"/>
      <c r="G888" s="32"/>
      <c r="H888" s="32"/>
      <c r="I888" s="32"/>
      <c r="J888" s="34"/>
      <c r="K888" s="35"/>
      <c r="L888" s="36"/>
      <c r="M888" s="32"/>
    </row>
    <row r="889" spans="2:13" ht="15.75" customHeight="1">
      <c r="B889" s="32"/>
      <c r="C889" s="33" t="str">
        <f t="shared" si="3"/>
        <v/>
      </c>
      <c r="D889" s="32"/>
      <c r="E889" s="33"/>
      <c r="F889" s="34"/>
      <c r="G889" s="32"/>
      <c r="H889" s="32"/>
      <c r="I889" s="32"/>
      <c r="J889" s="34"/>
      <c r="K889" s="35"/>
      <c r="L889" s="36"/>
      <c r="M889" s="32"/>
    </row>
    <row r="890" spans="2:13" ht="15.75" customHeight="1">
      <c r="B890" s="32"/>
      <c r="C890" s="33" t="str">
        <f t="shared" si="3"/>
        <v/>
      </c>
      <c r="D890" s="32"/>
      <c r="E890" s="33"/>
      <c r="F890" s="34"/>
      <c r="G890" s="32"/>
      <c r="H890" s="32"/>
      <c r="I890" s="32"/>
      <c r="J890" s="34"/>
      <c r="K890" s="35"/>
      <c r="L890" s="36"/>
      <c r="M890" s="32"/>
    </row>
    <row r="891" spans="2:13" ht="15.75" customHeight="1">
      <c r="B891" s="32"/>
      <c r="C891" s="33" t="str">
        <f t="shared" si="3"/>
        <v/>
      </c>
      <c r="D891" s="32"/>
      <c r="E891" s="33"/>
      <c r="F891" s="34"/>
      <c r="G891" s="32"/>
      <c r="H891" s="32"/>
      <c r="I891" s="32"/>
      <c r="J891" s="34"/>
      <c r="K891" s="35"/>
      <c r="L891" s="36"/>
      <c r="M891" s="32"/>
    </row>
    <row r="892" spans="2:13" ht="15.75" customHeight="1">
      <c r="B892" s="32"/>
      <c r="C892" s="33" t="str">
        <f t="shared" si="3"/>
        <v/>
      </c>
      <c r="D892" s="32"/>
      <c r="E892" s="33"/>
      <c r="F892" s="34"/>
      <c r="G892" s="32"/>
      <c r="H892" s="32"/>
      <c r="I892" s="32"/>
      <c r="J892" s="34"/>
      <c r="K892" s="35"/>
      <c r="L892" s="36"/>
      <c r="M892" s="32"/>
    </row>
    <row r="893" spans="2:13" ht="15.75" customHeight="1">
      <c r="B893" s="32"/>
      <c r="C893" s="33" t="str">
        <f t="shared" si="3"/>
        <v/>
      </c>
      <c r="D893" s="32"/>
      <c r="E893" s="33"/>
      <c r="F893" s="34"/>
      <c r="G893" s="32"/>
      <c r="H893" s="32"/>
      <c r="I893" s="32"/>
      <c r="J893" s="34"/>
      <c r="K893" s="35"/>
      <c r="L893" s="36"/>
      <c r="M893" s="32"/>
    </row>
    <row r="894" spans="2:13" ht="15.75" customHeight="1">
      <c r="B894" s="32"/>
      <c r="C894" s="33" t="str">
        <f t="shared" si="3"/>
        <v/>
      </c>
      <c r="D894" s="32"/>
      <c r="E894" s="33"/>
      <c r="F894" s="34"/>
      <c r="G894" s="32"/>
      <c r="H894" s="32"/>
      <c r="I894" s="32"/>
      <c r="J894" s="34"/>
      <c r="K894" s="35"/>
      <c r="L894" s="36"/>
      <c r="M894" s="32"/>
    </row>
    <row r="895" spans="2:13" ht="15.75" customHeight="1">
      <c r="B895" s="32"/>
      <c r="C895" s="33" t="str">
        <f t="shared" si="3"/>
        <v/>
      </c>
      <c r="D895" s="32"/>
      <c r="E895" s="33"/>
      <c r="F895" s="34"/>
      <c r="G895" s="32"/>
      <c r="H895" s="32"/>
      <c r="I895" s="32"/>
      <c r="J895" s="34"/>
      <c r="K895" s="35"/>
      <c r="L895" s="36"/>
      <c r="M895" s="32"/>
    </row>
    <row r="896" spans="2:13" ht="15.75" customHeight="1">
      <c r="B896" s="32"/>
      <c r="C896" s="33" t="str">
        <f t="shared" si="3"/>
        <v/>
      </c>
      <c r="D896" s="32"/>
      <c r="E896" s="33"/>
      <c r="F896" s="34"/>
      <c r="G896" s="32"/>
      <c r="H896" s="32"/>
      <c r="I896" s="32"/>
      <c r="J896" s="34"/>
      <c r="K896" s="35"/>
      <c r="L896" s="36"/>
      <c r="M896" s="32"/>
    </row>
    <row r="897" spans="2:13" ht="15.75" customHeight="1">
      <c r="B897" s="32"/>
      <c r="C897" s="33" t="str">
        <f t="shared" si="3"/>
        <v/>
      </c>
      <c r="D897" s="32"/>
      <c r="E897" s="33"/>
      <c r="F897" s="34"/>
      <c r="G897" s="32"/>
      <c r="H897" s="32"/>
      <c r="I897" s="32"/>
      <c r="J897" s="34"/>
      <c r="K897" s="35"/>
      <c r="L897" s="36"/>
      <c r="M897" s="32"/>
    </row>
    <row r="898" spans="2:13" ht="15.75" customHeight="1">
      <c r="B898" s="32"/>
      <c r="C898" s="33" t="str">
        <f t="shared" si="3"/>
        <v/>
      </c>
      <c r="D898" s="32"/>
      <c r="E898" s="33"/>
      <c r="F898" s="34"/>
      <c r="G898" s="32"/>
      <c r="H898" s="32"/>
      <c r="I898" s="32"/>
      <c r="J898" s="34"/>
      <c r="K898" s="35"/>
      <c r="L898" s="36"/>
      <c r="M898" s="32"/>
    </row>
    <row r="899" spans="2:13" ht="15.75" customHeight="1">
      <c r="B899" s="32"/>
      <c r="C899" s="33" t="str">
        <f t="shared" si="3"/>
        <v/>
      </c>
      <c r="D899" s="32"/>
      <c r="E899" s="33"/>
      <c r="F899" s="34"/>
      <c r="G899" s="32"/>
      <c r="H899" s="32"/>
      <c r="I899" s="32"/>
      <c r="J899" s="34"/>
      <c r="K899" s="35"/>
      <c r="L899" s="36"/>
      <c r="M899" s="32"/>
    </row>
    <row r="900" spans="2:13" ht="15.75" customHeight="1">
      <c r="B900" s="32"/>
      <c r="C900" s="33" t="str">
        <f t="shared" si="3"/>
        <v/>
      </c>
      <c r="D900" s="32"/>
      <c r="E900" s="33"/>
      <c r="F900" s="34"/>
      <c r="G900" s="32"/>
      <c r="H900" s="32"/>
      <c r="I900" s="32"/>
      <c r="J900" s="34"/>
      <c r="K900" s="35"/>
      <c r="L900" s="36"/>
      <c r="M900" s="32"/>
    </row>
    <row r="901" spans="2:13" ht="15.75" customHeight="1">
      <c r="B901" s="32"/>
      <c r="C901" s="33" t="str">
        <f t="shared" si="3"/>
        <v/>
      </c>
      <c r="D901" s="32"/>
      <c r="E901" s="33"/>
      <c r="F901" s="34"/>
      <c r="G901" s="32"/>
      <c r="H901" s="32"/>
      <c r="I901" s="32"/>
      <c r="J901" s="34"/>
      <c r="K901" s="35"/>
      <c r="L901" s="36"/>
      <c r="M901" s="32"/>
    </row>
    <row r="902" spans="2:13" ht="15.75" customHeight="1">
      <c r="B902" s="32"/>
      <c r="C902" s="33" t="str">
        <f t="shared" si="3"/>
        <v/>
      </c>
      <c r="D902" s="32"/>
      <c r="E902" s="33"/>
      <c r="F902" s="34"/>
      <c r="G902" s="32"/>
      <c r="H902" s="32"/>
      <c r="I902" s="32"/>
      <c r="J902" s="34"/>
      <c r="K902" s="35"/>
      <c r="L902" s="36"/>
      <c r="M902" s="32"/>
    </row>
    <row r="903" spans="2:13" ht="15.75" customHeight="1">
      <c r="B903" s="32"/>
      <c r="C903" s="33" t="str">
        <f t="shared" si="3"/>
        <v/>
      </c>
      <c r="D903" s="32"/>
      <c r="E903" s="33"/>
      <c r="F903" s="34"/>
      <c r="G903" s="32"/>
      <c r="H903" s="32"/>
      <c r="I903" s="32"/>
      <c r="J903" s="34"/>
      <c r="K903" s="35"/>
      <c r="L903" s="36"/>
      <c r="M903" s="32"/>
    </row>
    <row r="904" spans="2:13" ht="15.75" customHeight="1">
      <c r="B904" s="32"/>
      <c r="C904" s="33" t="str">
        <f t="shared" si="3"/>
        <v/>
      </c>
      <c r="D904" s="32"/>
      <c r="E904" s="33"/>
      <c r="F904" s="34"/>
      <c r="G904" s="32"/>
      <c r="H904" s="32"/>
      <c r="I904" s="32"/>
      <c r="J904" s="34"/>
      <c r="K904" s="35"/>
      <c r="L904" s="36"/>
      <c r="M904" s="32"/>
    </row>
    <row r="905" spans="2:13" ht="15.75" customHeight="1">
      <c r="B905" s="32"/>
      <c r="C905" s="33" t="str">
        <f t="shared" si="3"/>
        <v/>
      </c>
      <c r="D905" s="32"/>
      <c r="E905" s="33"/>
      <c r="F905" s="34"/>
      <c r="G905" s="32"/>
      <c r="H905" s="32"/>
      <c r="I905" s="32"/>
      <c r="J905" s="34"/>
      <c r="K905" s="35"/>
      <c r="L905" s="36"/>
      <c r="M905" s="32"/>
    </row>
    <row r="906" spans="2:13" ht="15.75" customHeight="1">
      <c r="B906" s="32"/>
      <c r="C906" s="33" t="str">
        <f t="shared" si="3"/>
        <v/>
      </c>
      <c r="D906" s="32"/>
      <c r="E906" s="33"/>
      <c r="F906" s="34"/>
      <c r="G906" s="32"/>
      <c r="H906" s="32"/>
      <c r="I906" s="32"/>
      <c r="J906" s="34"/>
      <c r="K906" s="35"/>
      <c r="L906" s="36"/>
      <c r="M906" s="32"/>
    </row>
    <row r="907" spans="2:13" ht="15.75" customHeight="1">
      <c r="B907" s="32"/>
      <c r="C907" s="33" t="str">
        <f t="shared" si="3"/>
        <v/>
      </c>
      <c r="D907" s="32"/>
      <c r="E907" s="33"/>
      <c r="F907" s="34"/>
      <c r="G907" s="32"/>
      <c r="H907" s="32"/>
      <c r="I907" s="32"/>
      <c r="J907" s="34"/>
      <c r="K907" s="35"/>
      <c r="L907" s="36"/>
      <c r="M907" s="32"/>
    </row>
    <row r="908" spans="2:13" ht="15.75" customHeight="1">
      <c r="B908" s="32"/>
      <c r="C908" s="33" t="str">
        <f t="shared" si="3"/>
        <v/>
      </c>
      <c r="D908" s="32"/>
      <c r="E908" s="33"/>
      <c r="F908" s="34"/>
      <c r="G908" s="32"/>
      <c r="H908" s="32"/>
      <c r="I908" s="32"/>
      <c r="J908" s="34"/>
      <c r="K908" s="35"/>
      <c r="L908" s="36"/>
      <c r="M908" s="32"/>
    </row>
    <row r="909" spans="2:13" ht="15.75" customHeight="1">
      <c r="B909" s="32"/>
      <c r="C909" s="33" t="str">
        <f t="shared" si="3"/>
        <v/>
      </c>
      <c r="D909" s="32"/>
      <c r="E909" s="33"/>
      <c r="F909" s="34"/>
      <c r="G909" s="32"/>
      <c r="H909" s="32"/>
      <c r="I909" s="32"/>
      <c r="J909" s="34"/>
      <c r="K909" s="35"/>
      <c r="L909" s="36"/>
      <c r="M909" s="32"/>
    </row>
    <row r="910" spans="2:13" ht="15.75" customHeight="1">
      <c r="B910" s="32"/>
      <c r="C910" s="33" t="str">
        <f t="shared" si="3"/>
        <v/>
      </c>
      <c r="D910" s="32"/>
      <c r="E910" s="33"/>
      <c r="F910" s="34"/>
      <c r="G910" s="32"/>
      <c r="H910" s="32"/>
      <c r="I910" s="32"/>
      <c r="J910" s="34"/>
      <c r="K910" s="35"/>
      <c r="L910" s="36"/>
      <c r="M910" s="32"/>
    </row>
    <row r="911" spans="2:13" ht="15.75" customHeight="1">
      <c r="B911" s="32"/>
      <c r="C911" s="33" t="str">
        <f t="shared" si="3"/>
        <v/>
      </c>
      <c r="D911" s="32"/>
      <c r="E911" s="33"/>
      <c r="F911" s="34"/>
      <c r="G911" s="32"/>
      <c r="H911" s="32"/>
      <c r="I911" s="32"/>
      <c r="J911" s="34"/>
      <c r="K911" s="35"/>
      <c r="L911" s="36"/>
      <c r="M911" s="32"/>
    </row>
    <row r="912" spans="2:13" ht="15.75" customHeight="1">
      <c r="B912" s="32"/>
      <c r="C912" s="33" t="str">
        <f t="shared" si="3"/>
        <v/>
      </c>
      <c r="D912" s="32"/>
      <c r="E912" s="33"/>
      <c r="F912" s="34"/>
      <c r="G912" s="32"/>
      <c r="H912" s="32"/>
      <c r="I912" s="32"/>
      <c r="J912" s="34"/>
      <c r="K912" s="35"/>
      <c r="L912" s="36"/>
      <c r="M912" s="32"/>
    </row>
    <row r="913" spans="2:13" ht="15.75" customHeight="1">
      <c r="B913" s="32"/>
      <c r="C913" s="33" t="str">
        <f t="shared" si="3"/>
        <v/>
      </c>
      <c r="D913" s="32"/>
      <c r="E913" s="33"/>
      <c r="F913" s="34"/>
      <c r="G913" s="32"/>
      <c r="H913" s="32"/>
      <c r="I913" s="32"/>
      <c r="J913" s="34"/>
      <c r="K913" s="35"/>
      <c r="L913" s="36"/>
      <c r="M913" s="32"/>
    </row>
    <row r="914" spans="2:13" ht="15.75" customHeight="1">
      <c r="B914" s="32"/>
      <c r="C914" s="33" t="str">
        <f t="shared" si="3"/>
        <v/>
      </c>
      <c r="D914" s="32"/>
      <c r="E914" s="33"/>
      <c r="F914" s="34"/>
      <c r="G914" s="32"/>
      <c r="H914" s="32"/>
      <c r="I914" s="32"/>
      <c r="J914" s="34"/>
      <c r="K914" s="35"/>
      <c r="L914" s="36"/>
      <c r="M914" s="32"/>
    </row>
    <row r="915" spans="2:13" ht="15.75" customHeight="1">
      <c r="B915" s="32"/>
      <c r="C915" s="33" t="str">
        <f t="shared" si="3"/>
        <v/>
      </c>
      <c r="D915" s="32"/>
      <c r="E915" s="33"/>
      <c r="F915" s="34"/>
      <c r="G915" s="32"/>
      <c r="H915" s="32"/>
      <c r="I915" s="32"/>
      <c r="J915" s="34"/>
      <c r="K915" s="35"/>
      <c r="L915" s="36"/>
      <c r="M915" s="32"/>
    </row>
    <row r="916" spans="2:13" ht="15.75" customHeight="1">
      <c r="B916" s="32"/>
      <c r="C916" s="33" t="str">
        <f t="shared" si="3"/>
        <v/>
      </c>
      <c r="D916" s="32"/>
      <c r="E916" s="33"/>
      <c r="F916" s="34"/>
      <c r="G916" s="32"/>
      <c r="H916" s="32"/>
      <c r="I916" s="32"/>
      <c r="J916" s="34"/>
      <c r="K916" s="35"/>
      <c r="L916" s="36"/>
      <c r="M916" s="32"/>
    </row>
    <row r="917" spans="2:13" ht="15.75" customHeight="1">
      <c r="B917" s="32"/>
      <c r="C917" s="33" t="str">
        <f t="shared" si="3"/>
        <v/>
      </c>
      <c r="D917" s="32"/>
      <c r="E917" s="33"/>
      <c r="F917" s="34"/>
      <c r="G917" s="32"/>
      <c r="H917" s="32"/>
      <c r="I917" s="32"/>
      <c r="J917" s="34"/>
      <c r="K917" s="35"/>
      <c r="L917" s="36"/>
      <c r="M917" s="32"/>
    </row>
    <row r="918" spans="2:13" ht="15.75" customHeight="1">
      <c r="B918" s="32"/>
      <c r="C918" s="33" t="str">
        <f t="shared" si="3"/>
        <v/>
      </c>
      <c r="D918" s="32"/>
      <c r="E918" s="33"/>
      <c r="F918" s="34"/>
      <c r="G918" s="32"/>
      <c r="H918" s="32"/>
      <c r="I918" s="32"/>
      <c r="J918" s="34"/>
      <c r="K918" s="35"/>
      <c r="L918" s="36"/>
      <c r="M918" s="32"/>
    </row>
    <row r="919" spans="2:13" ht="15.75" customHeight="1">
      <c r="B919" s="32"/>
      <c r="C919" s="33" t="str">
        <f t="shared" si="3"/>
        <v/>
      </c>
      <c r="D919" s="32"/>
      <c r="E919" s="33"/>
      <c r="F919" s="34"/>
      <c r="G919" s="32"/>
      <c r="H919" s="32"/>
      <c r="I919" s="32"/>
      <c r="J919" s="34"/>
      <c r="K919" s="35"/>
      <c r="L919" s="36"/>
      <c r="M919" s="32"/>
    </row>
    <row r="920" spans="2:13" ht="15.75" customHeight="1">
      <c r="B920" s="32"/>
      <c r="C920" s="33" t="str">
        <f t="shared" si="3"/>
        <v/>
      </c>
      <c r="D920" s="32"/>
      <c r="E920" s="33"/>
      <c r="F920" s="34"/>
      <c r="G920" s="32"/>
      <c r="H920" s="32"/>
      <c r="I920" s="32"/>
      <c r="J920" s="34"/>
      <c r="K920" s="35"/>
      <c r="L920" s="36"/>
      <c r="M920" s="32"/>
    </row>
    <row r="921" spans="2:13" ht="15.75" customHeight="1">
      <c r="B921" s="32"/>
      <c r="C921" s="33" t="str">
        <f t="shared" si="3"/>
        <v/>
      </c>
      <c r="D921" s="32"/>
      <c r="E921" s="33"/>
      <c r="F921" s="34"/>
      <c r="G921" s="32"/>
      <c r="H921" s="32"/>
      <c r="I921" s="32"/>
      <c r="J921" s="34"/>
      <c r="K921" s="35"/>
      <c r="L921" s="36"/>
      <c r="M921" s="32"/>
    </row>
    <row r="922" spans="2:13" ht="15.75" customHeight="1">
      <c r="B922" s="32"/>
      <c r="C922" s="33" t="str">
        <f t="shared" si="3"/>
        <v/>
      </c>
      <c r="D922" s="32"/>
      <c r="E922" s="33"/>
      <c r="F922" s="34"/>
      <c r="G922" s="32"/>
      <c r="H922" s="32"/>
      <c r="I922" s="32"/>
      <c r="J922" s="34"/>
      <c r="K922" s="35"/>
      <c r="L922" s="36"/>
      <c r="M922" s="32"/>
    </row>
    <row r="923" spans="2:13" ht="15.75" customHeight="1">
      <c r="B923" s="32"/>
      <c r="C923" s="33" t="str">
        <f t="shared" si="3"/>
        <v/>
      </c>
      <c r="D923" s="32"/>
      <c r="E923" s="33"/>
      <c r="F923" s="34"/>
      <c r="G923" s="32"/>
      <c r="H923" s="32"/>
      <c r="I923" s="32"/>
      <c r="J923" s="34"/>
      <c r="K923" s="35"/>
      <c r="L923" s="36"/>
      <c r="M923" s="32"/>
    </row>
    <row r="924" spans="2:13" ht="15.75" customHeight="1">
      <c r="B924" s="32"/>
      <c r="C924" s="33" t="str">
        <f t="shared" si="3"/>
        <v/>
      </c>
      <c r="D924" s="32"/>
      <c r="E924" s="33"/>
      <c r="F924" s="34"/>
      <c r="G924" s="32"/>
      <c r="H924" s="32"/>
      <c r="I924" s="32"/>
      <c r="J924" s="34"/>
      <c r="K924" s="35"/>
      <c r="L924" s="36"/>
      <c r="M924" s="32"/>
    </row>
    <row r="925" spans="2:13" ht="15.75" customHeight="1">
      <c r="B925" s="32"/>
      <c r="C925" s="33" t="str">
        <f t="shared" si="3"/>
        <v/>
      </c>
      <c r="D925" s="32"/>
      <c r="E925" s="33"/>
      <c r="F925" s="34"/>
      <c r="G925" s="32"/>
      <c r="H925" s="32"/>
      <c r="I925" s="32"/>
      <c r="J925" s="34"/>
      <c r="K925" s="35"/>
      <c r="L925" s="36"/>
      <c r="M925" s="32"/>
    </row>
    <row r="926" spans="2:13" ht="15.75" customHeight="1">
      <c r="B926" s="32"/>
      <c r="C926" s="33" t="str">
        <f t="shared" si="3"/>
        <v/>
      </c>
      <c r="D926" s="32"/>
      <c r="E926" s="33"/>
      <c r="F926" s="34"/>
      <c r="G926" s="32"/>
      <c r="H926" s="32"/>
      <c r="I926" s="32"/>
      <c r="J926" s="34"/>
      <c r="K926" s="35"/>
      <c r="L926" s="36"/>
      <c r="M926" s="32"/>
    </row>
    <row r="927" spans="2:13" ht="15.75" customHeight="1">
      <c r="B927" s="32"/>
      <c r="C927" s="33" t="str">
        <f t="shared" si="3"/>
        <v/>
      </c>
      <c r="D927" s="32"/>
      <c r="E927" s="33"/>
      <c r="F927" s="34"/>
      <c r="G927" s="32"/>
      <c r="H927" s="32"/>
      <c r="I927" s="32"/>
      <c r="J927" s="34"/>
      <c r="K927" s="35"/>
      <c r="L927" s="36"/>
      <c r="M927" s="32"/>
    </row>
    <row r="928" spans="2:13" ht="15.75" customHeight="1">
      <c r="B928" s="32"/>
      <c r="C928" s="33" t="str">
        <f t="shared" si="3"/>
        <v/>
      </c>
      <c r="D928" s="32"/>
      <c r="E928" s="33"/>
      <c r="F928" s="34"/>
      <c r="G928" s="32"/>
      <c r="H928" s="32"/>
      <c r="I928" s="32"/>
      <c r="J928" s="34"/>
      <c r="K928" s="35"/>
      <c r="L928" s="36"/>
      <c r="M928" s="32"/>
    </row>
    <row r="929" spans="2:13" ht="15.75" customHeight="1">
      <c r="B929" s="32"/>
      <c r="C929" s="33" t="str">
        <f t="shared" si="3"/>
        <v/>
      </c>
      <c r="D929" s="32"/>
      <c r="E929" s="33"/>
      <c r="F929" s="34"/>
      <c r="G929" s="32"/>
      <c r="H929" s="32"/>
      <c r="I929" s="32"/>
      <c r="J929" s="34"/>
      <c r="K929" s="35"/>
      <c r="L929" s="36"/>
      <c r="M929" s="32"/>
    </row>
    <row r="930" spans="2:13" ht="15.75" customHeight="1">
      <c r="B930" s="32"/>
      <c r="C930" s="33" t="str">
        <f t="shared" si="3"/>
        <v/>
      </c>
      <c r="D930" s="32"/>
      <c r="E930" s="33"/>
      <c r="F930" s="34"/>
      <c r="G930" s="32"/>
      <c r="H930" s="32"/>
      <c r="I930" s="32"/>
      <c r="J930" s="34"/>
      <c r="K930" s="35"/>
      <c r="L930" s="36"/>
      <c r="M930" s="32"/>
    </row>
    <row r="931" spans="2:13" ht="15.75" customHeight="1">
      <c r="B931" s="32"/>
      <c r="C931" s="33" t="str">
        <f t="shared" si="3"/>
        <v/>
      </c>
      <c r="D931" s="32"/>
      <c r="E931" s="33"/>
      <c r="F931" s="34"/>
      <c r="G931" s="32"/>
      <c r="H931" s="32"/>
      <c r="I931" s="32"/>
      <c r="J931" s="34"/>
      <c r="K931" s="35"/>
      <c r="L931" s="36"/>
      <c r="M931" s="32"/>
    </row>
    <row r="932" spans="2:13" ht="15.75" customHeight="1">
      <c r="B932" s="32"/>
      <c r="C932" s="33" t="str">
        <f t="shared" si="3"/>
        <v/>
      </c>
      <c r="D932" s="32"/>
      <c r="E932" s="33"/>
      <c r="F932" s="34"/>
      <c r="G932" s="32"/>
      <c r="H932" s="32"/>
      <c r="I932" s="32"/>
      <c r="J932" s="34"/>
      <c r="K932" s="35"/>
      <c r="L932" s="36"/>
      <c r="M932" s="32"/>
    </row>
    <row r="933" spans="2:13" ht="15.75" customHeight="1">
      <c r="B933" s="32"/>
      <c r="C933" s="33" t="str">
        <f t="shared" si="3"/>
        <v/>
      </c>
      <c r="D933" s="32"/>
      <c r="E933" s="33"/>
      <c r="F933" s="34"/>
      <c r="G933" s="32"/>
      <c r="H933" s="32"/>
      <c r="I933" s="32"/>
      <c r="J933" s="34"/>
      <c r="K933" s="35"/>
      <c r="L933" s="36"/>
      <c r="M933" s="32"/>
    </row>
    <row r="934" spans="2:13" ht="15.75" customHeight="1">
      <c r="B934" s="32"/>
      <c r="C934" s="33" t="str">
        <f t="shared" si="3"/>
        <v/>
      </c>
      <c r="D934" s="32"/>
      <c r="E934" s="33"/>
      <c r="F934" s="34"/>
      <c r="G934" s="32"/>
      <c r="H934" s="32"/>
      <c r="I934" s="32"/>
      <c r="J934" s="34"/>
      <c r="K934" s="35"/>
      <c r="L934" s="36"/>
      <c r="M934" s="32"/>
    </row>
    <row r="935" spans="2:13" ht="15.75" customHeight="1">
      <c r="B935" s="32"/>
      <c r="C935" s="33" t="str">
        <f t="shared" si="3"/>
        <v/>
      </c>
      <c r="D935" s="32"/>
      <c r="E935" s="33"/>
      <c r="F935" s="34"/>
      <c r="G935" s="32"/>
      <c r="H935" s="32"/>
      <c r="I935" s="32"/>
      <c r="J935" s="34"/>
      <c r="K935" s="35"/>
      <c r="L935" s="36"/>
      <c r="M935" s="32"/>
    </row>
    <row r="936" spans="2:13" ht="15.75" customHeight="1">
      <c r="B936" s="32"/>
      <c r="C936" s="33" t="str">
        <f t="shared" si="3"/>
        <v/>
      </c>
      <c r="D936" s="32"/>
      <c r="E936" s="33"/>
      <c r="F936" s="34"/>
      <c r="G936" s="32"/>
      <c r="H936" s="32"/>
      <c r="I936" s="32"/>
      <c r="J936" s="34"/>
      <c r="K936" s="35"/>
      <c r="L936" s="36"/>
      <c r="M936" s="32"/>
    </row>
    <row r="937" spans="2:13" ht="15.75" customHeight="1">
      <c r="B937" s="32"/>
      <c r="C937" s="33" t="str">
        <f t="shared" si="3"/>
        <v/>
      </c>
      <c r="D937" s="32"/>
      <c r="E937" s="33"/>
      <c r="F937" s="34"/>
      <c r="G937" s="32"/>
      <c r="H937" s="32"/>
      <c r="I937" s="32"/>
      <c r="J937" s="34"/>
      <c r="K937" s="35"/>
      <c r="L937" s="36"/>
      <c r="M937" s="32"/>
    </row>
    <row r="938" spans="2:13" ht="15.75" customHeight="1">
      <c r="B938" s="32"/>
      <c r="C938" s="33" t="str">
        <f t="shared" si="3"/>
        <v/>
      </c>
      <c r="D938" s="32"/>
      <c r="E938" s="33"/>
      <c r="F938" s="34"/>
      <c r="G938" s="32"/>
      <c r="H938" s="32"/>
      <c r="I938" s="32"/>
      <c r="J938" s="34"/>
      <c r="K938" s="35"/>
      <c r="L938" s="36"/>
      <c r="M938" s="32"/>
    </row>
    <row r="939" spans="2:13" ht="15.75" customHeight="1">
      <c r="B939" s="32"/>
      <c r="C939" s="33" t="str">
        <f t="shared" si="3"/>
        <v/>
      </c>
      <c r="D939" s="32"/>
      <c r="E939" s="33"/>
      <c r="F939" s="34"/>
      <c r="G939" s="32"/>
      <c r="H939" s="32"/>
      <c r="I939" s="32"/>
      <c r="J939" s="34"/>
      <c r="K939" s="35"/>
      <c r="L939" s="36"/>
      <c r="M939" s="32"/>
    </row>
    <row r="940" spans="2:13" ht="15.75" customHeight="1">
      <c r="B940" s="32"/>
      <c r="C940" s="33" t="str">
        <f t="shared" si="3"/>
        <v/>
      </c>
      <c r="D940" s="32"/>
      <c r="E940" s="33"/>
      <c r="F940" s="34"/>
      <c r="G940" s="32"/>
      <c r="H940" s="32"/>
      <c r="I940" s="32"/>
      <c r="J940" s="34"/>
      <c r="K940" s="35"/>
      <c r="L940" s="36"/>
      <c r="M940" s="32"/>
    </row>
    <row r="941" spans="2:13" ht="15.75" customHeight="1">
      <c r="B941" s="32"/>
      <c r="C941" s="33" t="str">
        <f t="shared" si="3"/>
        <v/>
      </c>
      <c r="D941" s="32"/>
      <c r="E941" s="33"/>
      <c r="F941" s="34"/>
      <c r="G941" s="32"/>
      <c r="H941" s="32"/>
      <c r="I941" s="32"/>
      <c r="J941" s="34"/>
      <c r="K941" s="35"/>
      <c r="L941" s="36"/>
      <c r="M941" s="32"/>
    </row>
    <row r="942" spans="2:13" ht="15.75" customHeight="1">
      <c r="B942" s="32"/>
      <c r="C942" s="33" t="str">
        <f t="shared" si="3"/>
        <v/>
      </c>
      <c r="D942" s="32"/>
      <c r="E942" s="33"/>
      <c r="F942" s="34"/>
      <c r="G942" s="32"/>
      <c r="H942" s="32"/>
      <c r="I942" s="32"/>
      <c r="J942" s="34"/>
      <c r="K942" s="35"/>
      <c r="L942" s="36"/>
      <c r="M942" s="32"/>
    </row>
    <row r="943" spans="2:13" ht="15.75" customHeight="1">
      <c r="B943" s="32"/>
      <c r="C943" s="33" t="str">
        <f t="shared" si="3"/>
        <v/>
      </c>
      <c r="D943" s="32"/>
      <c r="E943" s="33"/>
      <c r="F943" s="34"/>
      <c r="G943" s="32"/>
      <c r="H943" s="32"/>
      <c r="I943" s="32"/>
      <c r="J943" s="34"/>
      <c r="K943" s="35"/>
      <c r="L943" s="36"/>
      <c r="M943" s="32"/>
    </row>
    <row r="944" spans="2:13" ht="15.75" customHeight="1">
      <c r="B944" s="32"/>
      <c r="C944" s="33" t="str">
        <f t="shared" si="3"/>
        <v/>
      </c>
      <c r="D944" s="32"/>
      <c r="E944" s="33"/>
      <c r="F944" s="34"/>
      <c r="G944" s="32"/>
      <c r="H944" s="32"/>
      <c r="I944" s="32"/>
      <c r="J944" s="34"/>
      <c r="K944" s="35"/>
      <c r="L944" s="36"/>
      <c r="M944" s="32"/>
    </row>
    <row r="945" spans="2:13" ht="15.75" customHeight="1">
      <c r="B945" s="32"/>
      <c r="C945" s="33" t="str">
        <f t="shared" si="3"/>
        <v/>
      </c>
      <c r="D945" s="32"/>
      <c r="E945" s="33"/>
      <c r="F945" s="34"/>
      <c r="G945" s="32"/>
      <c r="H945" s="32"/>
      <c r="I945" s="32"/>
      <c r="J945" s="34"/>
      <c r="K945" s="35"/>
      <c r="L945" s="36"/>
      <c r="M945" s="32"/>
    </row>
    <row r="946" spans="2:13" ht="15.75" customHeight="1">
      <c r="B946" s="32"/>
      <c r="C946" s="33" t="str">
        <f t="shared" si="3"/>
        <v/>
      </c>
      <c r="D946" s="32"/>
      <c r="E946" s="33"/>
      <c r="F946" s="34"/>
      <c r="G946" s="32"/>
      <c r="H946" s="32"/>
      <c r="I946" s="32"/>
      <c r="J946" s="34"/>
      <c r="K946" s="35"/>
      <c r="L946" s="36"/>
      <c r="M946" s="32"/>
    </row>
    <row r="947" spans="2:13" ht="15.75" customHeight="1">
      <c r="B947" s="32"/>
      <c r="C947" s="33" t="str">
        <f t="shared" si="3"/>
        <v/>
      </c>
      <c r="D947" s="32"/>
      <c r="E947" s="33"/>
      <c r="F947" s="34"/>
      <c r="G947" s="32"/>
      <c r="H947" s="32"/>
      <c r="I947" s="32"/>
      <c r="J947" s="34"/>
      <c r="K947" s="35"/>
      <c r="L947" s="36"/>
      <c r="M947" s="32"/>
    </row>
    <row r="948" spans="2:13" ht="15.75" customHeight="1">
      <c r="B948" s="32"/>
      <c r="C948" s="33" t="str">
        <f t="shared" si="3"/>
        <v/>
      </c>
      <c r="D948" s="32"/>
      <c r="E948" s="33"/>
      <c r="F948" s="34"/>
      <c r="G948" s="32"/>
      <c r="H948" s="32"/>
      <c r="I948" s="32"/>
      <c r="J948" s="34"/>
      <c r="K948" s="35"/>
      <c r="L948" s="36"/>
      <c r="M948" s="32"/>
    </row>
    <row r="949" spans="2:13" ht="15.75" customHeight="1">
      <c r="B949" s="32"/>
      <c r="C949" s="33" t="str">
        <f t="shared" si="3"/>
        <v/>
      </c>
      <c r="D949" s="32"/>
      <c r="E949" s="33"/>
      <c r="F949" s="34"/>
      <c r="G949" s="32"/>
      <c r="H949" s="32"/>
      <c r="I949" s="32"/>
      <c r="J949" s="34"/>
      <c r="K949" s="35"/>
      <c r="L949" s="36"/>
      <c r="M949" s="32"/>
    </row>
    <row r="950" spans="2:13" ht="15.75" customHeight="1">
      <c r="B950" s="32"/>
      <c r="C950" s="33" t="str">
        <f t="shared" si="3"/>
        <v/>
      </c>
      <c r="D950" s="32"/>
      <c r="E950" s="33"/>
      <c r="F950" s="34"/>
      <c r="G950" s="32"/>
      <c r="H950" s="32"/>
      <c r="I950" s="32"/>
      <c r="J950" s="34"/>
      <c r="K950" s="35"/>
      <c r="L950" s="36"/>
      <c r="M950" s="32"/>
    </row>
    <row r="951" spans="2:13" ht="15.75" customHeight="1">
      <c r="B951" s="32"/>
      <c r="C951" s="33" t="str">
        <f t="shared" si="3"/>
        <v/>
      </c>
      <c r="D951" s="32"/>
      <c r="E951" s="33"/>
      <c r="F951" s="34"/>
      <c r="G951" s="32"/>
      <c r="H951" s="32"/>
      <c r="I951" s="32"/>
      <c r="J951" s="34"/>
      <c r="K951" s="35"/>
      <c r="L951" s="36"/>
      <c r="M951" s="32"/>
    </row>
    <row r="952" spans="2:13" ht="15.75" customHeight="1">
      <c r="B952" s="32"/>
      <c r="C952" s="33" t="str">
        <f t="shared" si="3"/>
        <v/>
      </c>
      <c r="D952" s="32"/>
      <c r="E952" s="33"/>
      <c r="F952" s="34"/>
      <c r="G952" s="32"/>
      <c r="H952" s="32"/>
      <c r="I952" s="32"/>
      <c r="J952" s="34"/>
      <c r="K952" s="35"/>
      <c r="L952" s="36"/>
      <c r="M952" s="32"/>
    </row>
    <row r="953" spans="2:13" ht="15.75" customHeight="1">
      <c r="B953" s="32"/>
      <c r="C953" s="33" t="str">
        <f t="shared" si="3"/>
        <v/>
      </c>
      <c r="D953" s="32"/>
      <c r="E953" s="33"/>
      <c r="F953" s="34"/>
      <c r="G953" s="32"/>
      <c r="H953" s="32"/>
      <c r="I953" s="32"/>
      <c r="J953" s="34"/>
      <c r="K953" s="35"/>
      <c r="L953" s="36"/>
      <c r="M953" s="32"/>
    </row>
    <row r="954" spans="2:13" ht="15.75" customHeight="1">
      <c r="B954" s="32"/>
      <c r="C954" s="33" t="str">
        <f t="shared" si="3"/>
        <v/>
      </c>
      <c r="D954" s="32"/>
      <c r="E954" s="33"/>
      <c r="F954" s="34"/>
      <c r="G954" s="32"/>
      <c r="H954" s="32"/>
      <c r="I954" s="32"/>
      <c r="J954" s="34"/>
      <c r="K954" s="35"/>
      <c r="L954" s="36"/>
      <c r="M954" s="32"/>
    </row>
    <row r="955" spans="2:13" ht="15.75" customHeight="1">
      <c r="B955" s="32"/>
      <c r="C955" s="33" t="str">
        <f t="shared" si="3"/>
        <v/>
      </c>
      <c r="D955" s="32"/>
      <c r="E955" s="33"/>
      <c r="F955" s="34"/>
      <c r="G955" s="32"/>
      <c r="H955" s="32"/>
      <c r="I955" s="32"/>
      <c r="J955" s="34"/>
      <c r="K955" s="35"/>
      <c r="L955" s="36"/>
      <c r="M955" s="32"/>
    </row>
    <row r="956" spans="2:13" ht="15.75" customHeight="1">
      <c r="B956" s="32"/>
      <c r="C956" s="33" t="str">
        <f t="shared" si="3"/>
        <v/>
      </c>
      <c r="D956" s="32"/>
      <c r="E956" s="33"/>
      <c r="F956" s="34"/>
      <c r="G956" s="32"/>
      <c r="H956" s="32"/>
      <c r="I956" s="32"/>
      <c r="J956" s="34"/>
      <c r="K956" s="35"/>
      <c r="L956" s="36"/>
      <c r="M956" s="32"/>
    </row>
    <row r="957" spans="2:13" ht="15.75" customHeight="1">
      <c r="B957" s="32"/>
      <c r="C957" s="33" t="str">
        <f t="shared" si="3"/>
        <v/>
      </c>
      <c r="D957" s="32"/>
      <c r="E957" s="33"/>
      <c r="F957" s="34"/>
      <c r="G957" s="32"/>
      <c r="H957" s="32"/>
      <c r="I957" s="32"/>
      <c r="J957" s="34"/>
      <c r="K957" s="35"/>
      <c r="L957" s="36"/>
      <c r="M957" s="32"/>
    </row>
    <row r="958" spans="2:13" ht="15.75" customHeight="1">
      <c r="B958" s="32"/>
      <c r="C958" s="33" t="str">
        <f t="shared" si="3"/>
        <v/>
      </c>
      <c r="D958" s="32"/>
      <c r="E958" s="33"/>
      <c r="F958" s="34"/>
      <c r="G958" s="32"/>
      <c r="H958" s="32"/>
      <c r="I958" s="32"/>
      <c r="J958" s="34"/>
      <c r="K958" s="35"/>
      <c r="L958" s="36"/>
      <c r="M958" s="32"/>
    </row>
    <row r="959" spans="2:13" ht="15.75" customHeight="1">
      <c r="B959" s="32"/>
      <c r="C959" s="33" t="str">
        <f t="shared" si="3"/>
        <v/>
      </c>
      <c r="D959" s="32"/>
      <c r="E959" s="33"/>
      <c r="F959" s="34"/>
      <c r="G959" s="32"/>
      <c r="H959" s="32"/>
      <c r="I959" s="32"/>
      <c r="J959" s="34"/>
      <c r="K959" s="35"/>
      <c r="L959" s="36"/>
      <c r="M959" s="32"/>
    </row>
    <row r="960" spans="2:13" ht="15.75" customHeight="1">
      <c r="B960" s="32"/>
      <c r="C960" s="33" t="str">
        <f t="shared" si="3"/>
        <v/>
      </c>
      <c r="D960" s="32"/>
      <c r="E960" s="33"/>
      <c r="F960" s="34"/>
      <c r="G960" s="32"/>
      <c r="H960" s="32"/>
      <c r="I960" s="32"/>
      <c r="J960" s="34"/>
      <c r="K960" s="35"/>
      <c r="L960" s="36"/>
      <c r="M960" s="32"/>
    </row>
    <row r="961" spans="2:13" ht="15.75" customHeight="1">
      <c r="B961" s="32"/>
      <c r="C961" s="33" t="str">
        <f t="shared" si="3"/>
        <v/>
      </c>
      <c r="D961" s="32"/>
      <c r="E961" s="33"/>
      <c r="F961" s="34"/>
      <c r="G961" s="32"/>
      <c r="H961" s="32"/>
      <c r="I961" s="32"/>
      <c r="J961" s="34"/>
      <c r="K961" s="35"/>
      <c r="L961" s="36"/>
      <c r="M961" s="32"/>
    </row>
    <row r="962" spans="2:13" ht="15.75" customHeight="1">
      <c r="B962" s="32"/>
      <c r="C962" s="33" t="str">
        <f t="shared" si="3"/>
        <v/>
      </c>
      <c r="D962" s="32"/>
      <c r="E962" s="33"/>
      <c r="F962" s="34"/>
      <c r="G962" s="32"/>
      <c r="H962" s="32"/>
      <c r="I962" s="32"/>
      <c r="J962" s="34"/>
      <c r="K962" s="35"/>
      <c r="L962" s="36"/>
      <c r="M962" s="32"/>
    </row>
    <row r="963" spans="2:13" ht="15.75" customHeight="1">
      <c r="B963" s="32"/>
      <c r="C963" s="33" t="str">
        <f t="shared" si="3"/>
        <v/>
      </c>
      <c r="D963" s="32"/>
      <c r="E963" s="33"/>
      <c r="F963" s="34"/>
      <c r="G963" s="32"/>
      <c r="H963" s="32"/>
      <c r="I963" s="32"/>
      <c r="J963" s="34"/>
      <c r="K963" s="35"/>
      <c r="L963" s="36"/>
      <c r="M963" s="32"/>
    </row>
    <row r="964" spans="2:13" ht="15.75" customHeight="1">
      <c r="B964" s="32"/>
      <c r="C964" s="33" t="str">
        <f t="shared" si="3"/>
        <v/>
      </c>
      <c r="D964" s="32"/>
      <c r="E964" s="33"/>
      <c r="F964" s="34"/>
      <c r="G964" s="32"/>
      <c r="H964" s="32"/>
      <c r="I964" s="32"/>
      <c r="J964" s="34"/>
      <c r="K964" s="35"/>
      <c r="L964" s="36"/>
      <c r="M964" s="32"/>
    </row>
    <row r="965" spans="2:13" ht="15.75" customHeight="1">
      <c r="B965" s="32"/>
      <c r="C965" s="33" t="str">
        <f t="shared" si="3"/>
        <v/>
      </c>
      <c r="D965" s="32"/>
      <c r="E965" s="33"/>
      <c r="F965" s="34"/>
      <c r="G965" s="32"/>
      <c r="H965" s="32"/>
      <c r="I965" s="32"/>
      <c r="J965" s="34"/>
      <c r="K965" s="35"/>
      <c r="L965" s="36"/>
      <c r="M965" s="32"/>
    </row>
    <row r="966" spans="2:13" ht="15.75" customHeight="1">
      <c r="B966" s="32"/>
      <c r="C966" s="33" t="str">
        <f t="shared" si="3"/>
        <v/>
      </c>
      <c r="D966" s="32"/>
      <c r="E966" s="33"/>
      <c r="F966" s="34"/>
      <c r="G966" s="32"/>
      <c r="H966" s="32"/>
      <c r="I966" s="32"/>
      <c r="J966" s="34"/>
      <c r="K966" s="35"/>
      <c r="L966" s="36"/>
      <c r="M966" s="32"/>
    </row>
    <row r="967" spans="2:13" ht="15.75" customHeight="1">
      <c r="B967" s="32"/>
      <c r="C967" s="33" t="str">
        <f t="shared" si="3"/>
        <v/>
      </c>
      <c r="D967" s="32"/>
      <c r="E967" s="33"/>
      <c r="F967" s="34"/>
      <c r="G967" s="32"/>
      <c r="H967" s="32"/>
      <c r="I967" s="32"/>
      <c r="J967" s="34"/>
      <c r="K967" s="35"/>
      <c r="L967" s="36"/>
      <c r="M967" s="32"/>
    </row>
    <row r="968" spans="2:13" ht="15.75" customHeight="1">
      <c r="B968" s="32"/>
      <c r="C968" s="33" t="str">
        <f t="shared" si="3"/>
        <v/>
      </c>
      <c r="D968" s="32"/>
      <c r="E968" s="33"/>
      <c r="F968" s="34"/>
      <c r="G968" s="32"/>
      <c r="H968" s="32"/>
      <c r="I968" s="32"/>
      <c r="J968" s="34"/>
      <c r="K968" s="35"/>
      <c r="L968" s="36"/>
      <c r="M968" s="32"/>
    </row>
    <row r="969" spans="2:13" ht="15.75" customHeight="1">
      <c r="B969" s="32"/>
      <c r="C969" s="33" t="str">
        <f t="shared" si="3"/>
        <v/>
      </c>
      <c r="D969" s="32"/>
      <c r="E969" s="33"/>
      <c r="F969" s="34"/>
      <c r="G969" s="32"/>
      <c r="H969" s="32"/>
      <c r="I969" s="32"/>
      <c r="J969" s="34"/>
      <c r="K969" s="35"/>
      <c r="L969" s="36"/>
      <c r="M969" s="32"/>
    </row>
    <row r="970" spans="2:13" ht="15.75" customHeight="1">
      <c r="B970" s="32"/>
      <c r="C970" s="33" t="str">
        <f t="shared" si="3"/>
        <v/>
      </c>
      <c r="D970" s="32"/>
      <c r="E970" s="33"/>
      <c r="F970" s="34"/>
      <c r="G970" s="32"/>
      <c r="H970" s="32"/>
      <c r="I970" s="32"/>
      <c r="J970" s="34"/>
      <c r="K970" s="35"/>
      <c r="L970" s="36"/>
      <c r="M970" s="32"/>
    </row>
    <row r="971" spans="2:13" ht="15.75" customHeight="1">
      <c r="B971" s="32"/>
      <c r="C971" s="33" t="str">
        <f t="shared" si="3"/>
        <v/>
      </c>
      <c r="D971" s="32"/>
      <c r="E971" s="33"/>
      <c r="F971" s="34"/>
      <c r="G971" s="32"/>
      <c r="H971" s="32"/>
      <c r="I971" s="32"/>
      <c r="J971" s="34"/>
      <c r="K971" s="35"/>
      <c r="L971" s="36"/>
      <c r="M971" s="32"/>
    </row>
    <row r="972" spans="2:13" ht="15.75" customHeight="1">
      <c r="B972" s="32"/>
      <c r="C972" s="33" t="str">
        <f t="shared" si="3"/>
        <v/>
      </c>
      <c r="D972" s="32"/>
      <c r="E972" s="33"/>
      <c r="F972" s="34"/>
      <c r="G972" s="32"/>
      <c r="H972" s="32"/>
      <c r="I972" s="32"/>
      <c r="J972" s="34"/>
      <c r="K972" s="35"/>
      <c r="L972" s="36"/>
      <c r="M972" s="32"/>
    </row>
    <row r="973" spans="2:13" ht="15.75" customHeight="1">
      <c r="B973" s="32"/>
      <c r="C973" s="33" t="str">
        <f t="shared" si="3"/>
        <v/>
      </c>
      <c r="D973" s="32"/>
      <c r="E973" s="33"/>
      <c r="F973" s="34"/>
      <c r="G973" s="32"/>
      <c r="H973" s="32"/>
      <c r="I973" s="32"/>
      <c r="J973" s="34"/>
      <c r="K973" s="35"/>
      <c r="L973" s="36"/>
      <c r="M973" s="32"/>
    </row>
    <row r="974" spans="2:13" ht="15.75" customHeight="1">
      <c r="B974" s="32"/>
      <c r="C974" s="33" t="str">
        <f t="shared" si="3"/>
        <v/>
      </c>
      <c r="D974" s="32"/>
      <c r="E974" s="33"/>
      <c r="F974" s="34"/>
      <c r="G974" s="32"/>
      <c r="H974" s="32"/>
      <c r="I974" s="32"/>
      <c r="J974" s="34"/>
      <c r="K974" s="35"/>
      <c r="L974" s="36"/>
      <c r="M974" s="32"/>
    </row>
    <row r="975" spans="2:13" ht="15.75" customHeight="1">
      <c r="B975" s="32"/>
      <c r="C975" s="33" t="str">
        <f t="shared" si="3"/>
        <v/>
      </c>
      <c r="D975" s="32"/>
      <c r="E975" s="33"/>
      <c r="F975" s="34"/>
      <c r="G975" s="32"/>
      <c r="H975" s="32"/>
      <c r="I975" s="32"/>
      <c r="J975" s="34"/>
      <c r="K975" s="35"/>
      <c r="L975" s="36"/>
      <c r="M975" s="32"/>
    </row>
    <row r="976" spans="2:13" ht="15.75" customHeight="1">
      <c r="B976" s="32"/>
      <c r="C976" s="33" t="str">
        <f t="shared" si="3"/>
        <v/>
      </c>
      <c r="D976" s="32"/>
      <c r="E976" s="33"/>
      <c r="F976" s="34"/>
      <c r="G976" s="32"/>
      <c r="H976" s="32"/>
      <c r="I976" s="32"/>
      <c r="J976" s="34"/>
      <c r="K976" s="35"/>
      <c r="L976" s="36"/>
      <c r="M976" s="32"/>
    </row>
    <row r="977" spans="2:13" ht="15.75" customHeight="1">
      <c r="B977" s="32"/>
      <c r="C977" s="33" t="str">
        <f t="shared" si="3"/>
        <v/>
      </c>
      <c r="D977" s="32"/>
      <c r="E977" s="33"/>
      <c r="F977" s="34"/>
      <c r="G977" s="32"/>
      <c r="H977" s="32"/>
      <c r="I977" s="32"/>
      <c r="J977" s="34"/>
      <c r="K977" s="35"/>
      <c r="L977" s="36"/>
      <c r="M977" s="32"/>
    </row>
    <row r="978" spans="2:13" ht="15.75" customHeight="1">
      <c r="B978" s="32"/>
      <c r="C978" s="33" t="str">
        <f t="shared" si="3"/>
        <v/>
      </c>
      <c r="D978" s="32"/>
      <c r="E978" s="33"/>
      <c r="F978" s="34"/>
      <c r="G978" s="32"/>
      <c r="H978" s="32"/>
      <c r="I978" s="32"/>
      <c r="J978" s="34"/>
      <c r="K978" s="35"/>
      <c r="L978" s="36"/>
      <c r="M978" s="32"/>
    </row>
    <row r="979" spans="2:13" ht="15.75" customHeight="1">
      <c r="B979" s="32"/>
      <c r="C979" s="33" t="str">
        <f t="shared" si="3"/>
        <v/>
      </c>
      <c r="D979" s="32"/>
      <c r="E979" s="33"/>
      <c r="F979" s="34"/>
      <c r="G979" s="32"/>
      <c r="H979" s="32"/>
      <c r="I979" s="32"/>
      <c r="J979" s="34"/>
      <c r="K979" s="35"/>
      <c r="L979" s="36"/>
      <c r="M979" s="32"/>
    </row>
    <row r="980" spans="2:13" ht="15.75" customHeight="1">
      <c r="B980" s="32"/>
      <c r="C980" s="33" t="str">
        <f t="shared" si="3"/>
        <v/>
      </c>
      <c r="D980" s="32"/>
      <c r="E980" s="33"/>
      <c r="F980" s="34"/>
      <c r="G980" s="32"/>
      <c r="H980" s="32"/>
      <c r="I980" s="32"/>
      <c r="J980" s="34"/>
      <c r="K980" s="35"/>
      <c r="L980" s="36"/>
      <c r="M980" s="32"/>
    </row>
    <row r="981" spans="2:13" ht="15.75" customHeight="1">
      <c r="B981" s="32"/>
      <c r="C981" s="33" t="str">
        <f t="shared" si="3"/>
        <v/>
      </c>
      <c r="D981" s="32"/>
      <c r="E981" s="33"/>
      <c r="F981" s="34"/>
      <c r="G981" s="32"/>
      <c r="H981" s="32"/>
      <c r="I981" s="32"/>
      <c r="J981" s="34"/>
      <c r="K981" s="35"/>
      <c r="L981" s="36"/>
      <c r="M981" s="32"/>
    </row>
    <row r="982" spans="2:13" ht="15.75" customHeight="1">
      <c r="B982" s="32"/>
      <c r="C982" s="33" t="str">
        <f t="shared" si="3"/>
        <v/>
      </c>
      <c r="D982" s="32"/>
      <c r="E982" s="33"/>
      <c r="F982" s="34"/>
      <c r="G982" s="32"/>
      <c r="H982" s="32"/>
      <c r="I982" s="32"/>
      <c r="J982" s="34"/>
      <c r="K982" s="35"/>
      <c r="L982" s="36"/>
      <c r="M982" s="32"/>
    </row>
    <row r="983" spans="2:13" ht="15.75" customHeight="1">
      <c r="B983" s="32"/>
      <c r="C983" s="33" t="str">
        <f t="shared" si="3"/>
        <v/>
      </c>
      <c r="D983" s="32"/>
      <c r="E983" s="33"/>
      <c r="F983" s="34"/>
      <c r="G983" s="32"/>
      <c r="H983" s="32"/>
      <c r="I983" s="32"/>
      <c r="J983" s="34"/>
      <c r="K983" s="35"/>
      <c r="L983" s="36"/>
      <c r="M983" s="32"/>
    </row>
    <row r="984" spans="2:13" ht="15.75" customHeight="1">
      <c r="B984" s="32"/>
      <c r="C984" s="33" t="str">
        <f t="shared" si="3"/>
        <v/>
      </c>
      <c r="D984" s="32"/>
      <c r="E984" s="33"/>
      <c r="F984" s="34"/>
      <c r="G984" s="32"/>
      <c r="H984" s="32"/>
      <c r="I984" s="32"/>
      <c r="J984" s="34"/>
      <c r="K984" s="35"/>
      <c r="L984" s="36"/>
      <c r="M984" s="32"/>
    </row>
    <row r="985" spans="2:13" ht="15.75" customHeight="1">
      <c r="B985" s="32"/>
      <c r="C985" s="33" t="str">
        <f t="shared" si="3"/>
        <v/>
      </c>
      <c r="D985" s="32"/>
      <c r="E985" s="33"/>
      <c r="F985" s="34"/>
      <c r="G985" s="32"/>
      <c r="H985" s="32"/>
      <c r="I985" s="32"/>
      <c r="J985" s="34"/>
      <c r="K985" s="35"/>
      <c r="L985" s="36"/>
      <c r="M985" s="32"/>
    </row>
    <row r="986" spans="2:13" ht="15.75" customHeight="1">
      <c r="B986" s="32"/>
      <c r="C986" s="33" t="str">
        <f t="shared" si="3"/>
        <v/>
      </c>
      <c r="D986" s="32"/>
      <c r="E986" s="33"/>
      <c r="F986" s="34"/>
      <c r="G986" s="32"/>
      <c r="H986" s="32"/>
      <c r="I986" s="32"/>
      <c r="J986" s="34"/>
      <c r="K986" s="35"/>
      <c r="L986" s="36"/>
      <c r="M986" s="32"/>
    </row>
    <row r="987" spans="2:13" ht="15.75" customHeight="1">
      <c r="B987" s="32"/>
      <c r="C987" s="33" t="str">
        <f t="shared" si="3"/>
        <v/>
      </c>
      <c r="D987" s="32"/>
      <c r="E987" s="33"/>
      <c r="F987" s="34"/>
      <c r="G987" s="32"/>
      <c r="H987" s="32"/>
      <c r="I987" s="32"/>
      <c r="J987" s="34"/>
      <c r="K987" s="35"/>
      <c r="L987" s="36"/>
      <c r="M987" s="32"/>
    </row>
    <row r="988" spans="2:13" ht="15.75" customHeight="1">
      <c r="B988" s="32"/>
      <c r="C988" s="33" t="str">
        <f t="shared" si="3"/>
        <v/>
      </c>
      <c r="D988" s="32"/>
      <c r="E988" s="33"/>
      <c r="F988" s="34"/>
      <c r="G988" s="32"/>
      <c r="H988" s="32"/>
      <c r="I988" s="32"/>
      <c r="J988" s="34"/>
      <c r="K988" s="35"/>
      <c r="L988" s="36"/>
      <c r="M988" s="32"/>
    </row>
    <row r="989" spans="2:13" ht="15.75" customHeight="1">
      <c r="B989" s="32"/>
      <c r="C989" s="33" t="str">
        <f t="shared" si="3"/>
        <v/>
      </c>
      <c r="D989" s="32"/>
      <c r="E989" s="33"/>
      <c r="F989" s="34"/>
      <c r="G989" s="32"/>
      <c r="H989" s="32"/>
      <c r="I989" s="32"/>
      <c r="J989" s="34"/>
      <c r="K989" s="35"/>
      <c r="L989" s="36"/>
      <c r="M989" s="32"/>
    </row>
    <row r="990" spans="2:13" ht="15.75" customHeight="1">
      <c r="B990" s="32"/>
      <c r="C990" s="33" t="str">
        <f t="shared" si="3"/>
        <v/>
      </c>
      <c r="D990" s="32"/>
      <c r="E990" s="33"/>
      <c r="F990" s="34"/>
      <c r="G990" s="32"/>
      <c r="H990" s="32"/>
      <c r="I990" s="32"/>
      <c r="J990" s="34"/>
      <c r="K990" s="35"/>
      <c r="L990" s="36"/>
      <c r="M990" s="32"/>
    </row>
    <row r="991" spans="2:13" ht="15.75" customHeight="1">
      <c r="B991" s="32"/>
      <c r="C991" s="33" t="str">
        <f t="shared" si="3"/>
        <v/>
      </c>
      <c r="D991" s="32"/>
      <c r="E991" s="33"/>
      <c r="F991" s="34"/>
      <c r="G991" s="32"/>
      <c r="H991" s="32"/>
      <c r="I991" s="32"/>
      <c r="J991" s="34"/>
      <c r="K991" s="35"/>
      <c r="L991" s="36"/>
      <c r="M991" s="32"/>
    </row>
    <row r="992" spans="2:13" ht="15.75" customHeight="1">
      <c r="B992" s="32"/>
      <c r="C992" s="33" t="str">
        <f t="shared" si="3"/>
        <v/>
      </c>
      <c r="D992" s="32"/>
      <c r="E992" s="33"/>
      <c r="F992" s="34"/>
      <c r="G992" s="32"/>
      <c r="H992" s="32"/>
      <c r="I992" s="32"/>
      <c r="J992" s="34"/>
      <c r="K992" s="35"/>
      <c r="L992" s="36"/>
      <c r="M992" s="32"/>
    </row>
    <row r="993" spans="2:13" ht="15.75" customHeight="1">
      <c r="B993" s="32"/>
      <c r="C993" s="33" t="str">
        <f t="shared" si="3"/>
        <v/>
      </c>
      <c r="D993" s="32"/>
      <c r="E993" s="33"/>
      <c r="F993" s="34"/>
      <c r="G993" s="32"/>
      <c r="H993" s="32"/>
      <c r="I993" s="32"/>
      <c r="J993" s="34"/>
      <c r="K993" s="35"/>
      <c r="L993" s="36"/>
      <c r="M993" s="32"/>
    </row>
    <row r="994" spans="2:13" ht="15.75" customHeight="1">
      <c r="B994" s="32"/>
      <c r="C994" s="33" t="str">
        <f t="shared" si="3"/>
        <v/>
      </c>
      <c r="D994" s="32"/>
      <c r="E994" s="33"/>
      <c r="F994" s="34"/>
      <c r="G994" s="32"/>
      <c r="H994" s="32"/>
      <c r="I994" s="32"/>
      <c r="J994" s="34"/>
      <c r="K994" s="35"/>
      <c r="L994" s="36"/>
      <c r="M994" s="32"/>
    </row>
    <row r="995" spans="2:13" ht="15.75" customHeight="1">
      <c r="B995" s="32"/>
      <c r="C995" s="33" t="str">
        <f t="shared" si="3"/>
        <v/>
      </c>
      <c r="D995" s="32"/>
      <c r="E995" s="33"/>
      <c r="F995" s="34"/>
      <c r="G995" s="32"/>
      <c r="H995" s="32"/>
      <c r="I995" s="32"/>
      <c r="J995" s="34"/>
      <c r="K995" s="35"/>
      <c r="L995" s="36"/>
      <c r="M995" s="32"/>
    </row>
    <row r="996" spans="2:13" ht="15.75" customHeight="1">
      <c r="B996" s="32"/>
      <c r="C996" s="33" t="str">
        <f t="shared" si="3"/>
        <v/>
      </c>
      <c r="D996" s="32"/>
      <c r="E996" s="33"/>
      <c r="F996" s="34"/>
      <c r="G996" s="32"/>
      <c r="H996" s="32"/>
      <c r="I996" s="32"/>
      <c r="J996" s="34"/>
      <c r="K996" s="35"/>
      <c r="L996" s="36"/>
      <c r="M996" s="32"/>
    </row>
    <row r="997" spans="2:13" ht="15.75" customHeight="1">
      <c r="B997" s="32"/>
      <c r="C997" s="33" t="str">
        <f t="shared" si="3"/>
        <v/>
      </c>
      <c r="D997" s="32"/>
      <c r="E997" s="33"/>
      <c r="F997" s="34"/>
      <c r="G997" s="32"/>
      <c r="H997" s="32"/>
      <c r="I997" s="32"/>
      <c r="J997" s="34"/>
      <c r="K997" s="35"/>
      <c r="L997" s="36"/>
      <c r="M997" s="32"/>
    </row>
    <row r="998" spans="2:13" ht="15.75" customHeight="1">
      <c r="B998" s="32"/>
      <c r="C998" s="33" t="str">
        <f t="shared" si="3"/>
        <v/>
      </c>
      <c r="D998" s="32"/>
      <c r="E998" s="33"/>
      <c r="F998" s="34"/>
      <c r="G998" s="32"/>
      <c r="H998" s="32"/>
      <c r="I998" s="32"/>
      <c r="J998" s="34"/>
      <c r="K998" s="35"/>
      <c r="L998" s="36"/>
      <c r="M998" s="32"/>
    </row>
    <row r="999" spans="2:13" ht="15.75" customHeight="1">
      <c r="B999" s="32"/>
      <c r="C999" s="33" t="str">
        <f t="shared" si="3"/>
        <v/>
      </c>
      <c r="D999" s="32"/>
      <c r="E999" s="33"/>
      <c r="F999" s="34"/>
      <c r="G999" s="32"/>
      <c r="H999" s="32"/>
      <c r="I999" s="32"/>
      <c r="J999" s="34"/>
      <c r="K999" s="35"/>
      <c r="L999" s="36"/>
      <c r="M999" s="32"/>
    </row>
    <row r="1000" spans="2:13" ht="15.75" customHeight="1">
      <c r="B1000" s="32"/>
      <c r="C1000" s="33" t="str">
        <f t="shared" si="3"/>
        <v/>
      </c>
      <c r="D1000" s="32"/>
      <c r="E1000" s="33"/>
      <c r="F1000" s="34"/>
      <c r="G1000" s="32"/>
      <c r="H1000" s="32"/>
      <c r="I1000" s="32"/>
      <c r="J1000" s="34"/>
      <c r="K1000" s="35"/>
      <c r="L1000" s="36"/>
      <c r="M1000" s="32"/>
    </row>
  </sheetData>
  <mergeCells count="5">
    <mergeCell ref="B9:C9"/>
    <mergeCell ref="B10:C10"/>
    <mergeCell ref="B11:C11"/>
    <mergeCell ref="C14:G14"/>
    <mergeCell ref="C17:G17"/>
  </mergeCells>
  <pageMargins left="0.7" right="0.7" top="0.75" bottom="0.75" header="0" footer="0"/>
  <pageSetup paperSize="5" scale="4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O133" sqref="A1:O133"/>
    </sheetView>
  </sheetViews>
  <sheetFormatPr baseColWidth="10" defaultColWidth="12.5703125" defaultRowHeight="15" customHeight="1"/>
  <cols>
    <col min="1" max="1" width="2.140625" customWidth="1"/>
    <col min="2" max="2" width="49.85546875" customWidth="1"/>
    <col min="3" max="3" width="41.42578125" customWidth="1"/>
    <col min="4" max="4" width="27.28515625" customWidth="1"/>
    <col min="5" max="5" width="52" customWidth="1"/>
    <col min="6" max="6" width="17.85546875" customWidth="1"/>
    <col min="7" max="7" width="21.7109375" customWidth="1"/>
    <col min="8" max="8" width="18.42578125" customWidth="1"/>
    <col min="9" max="9" width="15.42578125" customWidth="1"/>
    <col min="10" max="10" width="36.42578125" customWidth="1"/>
    <col min="11" max="11" width="11.42578125" customWidth="1"/>
    <col min="12" max="12" width="21.140625" customWidth="1"/>
    <col min="13" max="13" width="21.5703125" customWidth="1"/>
    <col min="14" max="26" width="11.42578125" customWidth="1"/>
  </cols>
  <sheetData>
    <row r="1" spans="1:26" ht="12.75" customHeight="1">
      <c r="A1" s="1"/>
      <c r="B1" s="46"/>
      <c r="C1" s="1"/>
      <c r="D1" s="1"/>
      <c r="E1" s="1"/>
      <c r="F1" s="1"/>
      <c r="G1" s="1"/>
      <c r="H1" s="1"/>
      <c r="I1" s="1"/>
      <c r="J1" s="16"/>
      <c r="K1" s="1"/>
      <c r="L1" s="1"/>
      <c r="M1" s="1"/>
      <c r="N1" s="1"/>
      <c r="O1" s="1"/>
      <c r="P1" s="1"/>
      <c r="Q1" s="1"/>
      <c r="R1" s="1"/>
      <c r="S1" s="1"/>
      <c r="T1" s="1"/>
      <c r="U1" s="1"/>
      <c r="V1" s="1"/>
      <c r="W1" s="1"/>
      <c r="X1" s="1"/>
      <c r="Y1" s="1"/>
      <c r="Z1" s="1"/>
    </row>
    <row r="2" spans="1:26" ht="12.75" customHeight="1">
      <c r="A2" s="1"/>
      <c r="B2" s="46"/>
      <c r="C2" s="1"/>
      <c r="D2" s="1"/>
      <c r="E2" s="1"/>
      <c r="F2" s="1"/>
      <c r="G2" s="1"/>
      <c r="H2" s="1"/>
      <c r="I2" s="1"/>
      <c r="J2" s="16"/>
      <c r="K2" s="1"/>
      <c r="L2" s="1"/>
      <c r="M2" s="1"/>
      <c r="N2" s="1"/>
      <c r="O2" s="1"/>
      <c r="P2" s="1"/>
      <c r="Q2" s="1"/>
      <c r="R2" s="1"/>
      <c r="S2" s="1"/>
      <c r="T2" s="1"/>
      <c r="U2" s="1"/>
      <c r="V2" s="1"/>
      <c r="W2" s="1"/>
      <c r="X2" s="1"/>
      <c r="Y2" s="1"/>
      <c r="Z2" s="1"/>
    </row>
    <row r="3" spans="1:26" ht="12.75" customHeight="1">
      <c r="A3" s="1"/>
      <c r="B3" s="46"/>
      <c r="C3" s="1"/>
      <c r="D3" s="1"/>
      <c r="E3" s="1"/>
      <c r="F3" s="1"/>
      <c r="G3" s="1"/>
      <c r="H3" s="1"/>
      <c r="I3" s="1"/>
      <c r="J3" s="16"/>
      <c r="K3" s="1"/>
      <c r="L3" s="1"/>
      <c r="M3" s="1"/>
      <c r="N3" s="1"/>
      <c r="O3" s="1"/>
      <c r="P3" s="1"/>
      <c r="Q3" s="1"/>
      <c r="R3" s="1"/>
      <c r="S3" s="1"/>
      <c r="T3" s="1"/>
      <c r="U3" s="1"/>
      <c r="V3" s="1"/>
      <c r="W3" s="1"/>
      <c r="X3" s="1"/>
      <c r="Y3" s="1"/>
      <c r="Z3" s="1"/>
    </row>
    <row r="4" spans="1:26" ht="12.75" customHeight="1">
      <c r="A4" s="1"/>
      <c r="B4" s="46"/>
      <c r="C4" s="1"/>
      <c r="D4" s="1"/>
      <c r="E4" s="1"/>
      <c r="F4" s="1"/>
      <c r="G4" s="1"/>
      <c r="H4" s="1"/>
      <c r="I4" s="1"/>
      <c r="J4" s="16"/>
      <c r="K4" s="1"/>
      <c r="L4" s="1"/>
      <c r="M4" s="1"/>
      <c r="N4" s="1"/>
      <c r="O4" s="1"/>
      <c r="P4" s="1"/>
      <c r="Q4" s="1"/>
      <c r="R4" s="1"/>
      <c r="S4" s="1"/>
      <c r="T4" s="1"/>
      <c r="U4" s="1"/>
      <c r="V4" s="1"/>
      <c r="W4" s="1"/>
      <c r="X4" s="1"/>
      <c r="Y4" s="1"/>
      <c r="Z4" s="1"/>
    </row>
    <row r="5" spans="1:26" ht="12.75" customHeight="1">
      <c r="A5" s="1"/>
      <c r="B5" s="46"/>
      <c r="C5" s="1"/>
      <c r="D5" s="1"/>
      <c r="E5" s="1"/>
      <c r="F5" s="1"/>
      <c r="G5" s="1"/>
      <c r="H5" s="1"/>
      <c r="I5" s="1"/>
      <c r="J5" s="16"/>
      <c r="K5" s="1"/>
      <c r="L5" s="1"/>
      <c r="M5" s="1"/>
      <c r="N5" s="1"/>
      <c r="O5" s="1"/>
      <c r="P5" s="1"/>
      <c r="Q5" s="1"/>
      <c r="R5" s="1"/>
      <c r="S5" s="1"/>
      <c r="T5" s="1"/>
      <c r="U5" s="1"/>
      <c r="V5" s="1"/>
      <c r="W5" s="1"/>
      <c r="X5" s="1"/>
      <c r="Y5" s="1"/>
      <c r="Z5" s="1"/>
    </row>
    <row r="6" spans="1:26" ht="12.75" customHeight="1">
      <c r="A6" s="1"/>
      <c r="B6" s="46"/>
      <c r="C6" s="1"/>
      <c r="D6" s="1"/>
      <c r="E6" s="1"/>
      <c r="F6" s="1"/>
      <c r="G6" s="1"/>
      <c r="H6" s="1"/>
      <c r="I6" s="1"/>
      <c r="J6" s="16"/>
      <c r="K6" s="1"/>
      <c r="L6" s="1"/>
      <c r="M6" s="1"/>
      <c r="N6" s="1"/>
      <c r="O6" s="1"/>
      <c r="P6" s="1"/>
      <c r="Q6" s="1"/>
      <c r="R6" s="1"/>
      <c r="S6" s="1"/>
      <c r="T6" s="1"/>
      <c r="U6" s="1"/>
      <c r="V6" s="1"/>
      <c r="W6" s="1"/>
      <c r="X6" s="1"/>
      <c r="Y6" s="1"/>
      <c r="Z6" s="1"/>
    </row>
    <row r="7" spans="1:26" ht="12.75" customHeight="1">
      <c r="A7" s="1"/>
      <c r="B7" s="46"/>
      <c r="C7" s="1"/>
      <c r="D7" s="1"/>
      <c r="E7" s="1"/>
      <c r="F7" s="1"/>
      <c r="G7" s="1"/>
      <c r="H7" s="1"/>
      <c r="I7" s="1"/>
      <c r="J7" s="16"/>
      <c r="K7" s="1"/>
      <c r="L7" s="1"/>
      <c r="M7" s="1"/>
      <c r="N7" s="1"/>
      <c r="O7" s="1"/>
      <c r="P7" s="1"/>
      <c r="Q7" s="1"/>
      <c r="R7" s="1"/>
      <c r="S7" s="1"/>
      <c r="T7" s="1"/>
      <c r="U7" s="1"/>
      <c r="V7" s="1"/>
      <c r="W7" s="1"/>
      <c r="X7" s="1"/>
      <c r="Y7" s="1"/>
      <c r="Z7" s="1"/>
    </row>
    <row r="8" spans="1:26" ht="12.75" customHeight="1">
      <c r="A8" s="1"/>
      <c r="B8" s="2" t="str">
        <f>'24.03.034'!B8</f>
        <v>4° Trimestre</v>
      </c>
      <c r="C8" s="3"/>
      <c r="D8" s="1"/>
      <c r="E8" s="1"/>
      <c r="F8" s="1"/>
      <c r="G8" s="1"/>
      <c r="H8" s="1"/>
      <c r="I8" s="1"/>
      <c r="J8" s="16"/>
      <c r="K8" s="1"/>
      <c r="L8" s="1"/>
      <c r="M8" s="1"/>
      <c r="N8" s="1"/>
      <c r="O8" s="1"/>
      <c r="P8" s="1"/>
      <c r="Q8" s="1"/>
      <c r="R8" s="1"/>
      <c r="S8" s="1"/>
      <c r="T8" s="1"/>
      <c r="U8" s="1"/>
      <c r="V8" s="1"/>
      <c r="W8" s="1"/>
      <c r="X8" s="1"/>
      <c r="Y8" s="1"/>
      <c r="Z8" s="1"/>
    </row>
    <row r="9" spans="1:26" ht="12.75" customHeight="1">
      <c r="A9" s="1"/>
      <c r="B9" s="110" t="s">
        <v>1</v>
      </c>
      <c r="C9" s="111"/>
      <c r="D9" s="1"/>
      <c r="E9" s="1"/>
      <c r="F9" s="1"/>
      <c r="G9" s="1"/>
      <c r="H9" s="1"/>
      <c r="I9" s="1"/>
      <c r="J9" s="16"/>
      <c r="K9" s="1"/>
      <c r="L9" s="1"/>
      <c r="M9" s="1"/>
      <c r="N9" s="1"/>
      <c r="O9" s="1"/>
      <c r="P9" s="1"/>
      <c r="Q9" s="1"/>
      <c r="R9" s="1"/>
      <c r="S9" s="1"/>
      <c r="T9" s="1"/>
      <c r="U9" s="1"/>
      <c r="V9" s="1"/>
      <c r="W9" s="1"/>
      <c r="X9" s="1"/>
      <c r="Y9" s="1"/>
      <c r="Z9" s="1"/>
    </row>
    <row r="10" spans="1:26" ht="12.75" customHeight="1">
      <c r="A10" s="1"/>
      <c r="B10" s="110" t="s">
        <v>22</v>
      </c>
      <c r="C10" s="111"/>
      <c r="D10" s="1"/>
      <c r="E10" s="1"/>
      <c r="F10" s="1"/>
      <c r="G10" s="1"/>
      <c r="H10" s="1"/>
      <c r="I10" s="1"/>
      <c r="J10" s="16"/>
      <c r="K10" s="1"/>
      <c r="L10" s="1"/>
      <c r="M10" s="1"/>
      <c r="N10" s="1"/>
      <c r="O10" s="1"/>
      <c r="P10" s="1"/>
      <c r="Q10" s="1"/>
      <c r="R10" s="1"/>
      <c r="S10" s="1"/>
      <c r="T10" s="1"/>
      <c r="U10" s="1"/>
      <c r="V10" s="1"/>
      <c r="W10" s="1"/>
      <c r="X10" s="1"/>
      <c r="Y10" s="1"/>
      <c r="Z10" s="1"/>
    </row>
    <row r="11" spans="1:26" ht="12.75" customHeight="1">
      <c r="A11" s="1"/>
      <c r="B11" s="110" t="s">
        <v>42</v>
      </c>
      <c r="C11" s="111"/>
      <c r="D11" s="1"/>
      <c r="E11" s="1"/>
      <c r="F11" s="1"/>
      <c r="G11" s="1"/>
      <c r="H11" s="1"/>
      <c r="I11" s="1"/>
      <c r="J11" s="16"/>
      <c r="K11" s="1"/>
      <c r="L11" s="1"/>
      <c r="M11" s="1"/>
      <c r="N11" s="1"/>
      <c r="O11" s="1"/>
      <c r="P11" s="1"/>
      <c r="Q11" s="1"/>
      <c r="R11" s="1"/>
      <c r="S11" s="1"/>
      <c r="T11" s="1"/>
      <c r="U11" s="1"/>
      <c r="V11" s="1"/>
      <c r="W11" s="1"/>
      <c r="X11" s="1"/>
      <c r="Y11" s="1"/>
      <c r="Z11" s="1"/>
    </row>
    <row r="12" spans="1:26" ht="12.75" customHeight="1">
      <c r="A12" s="1"/>
      <c r="B12" s="47" t="s">
        <v>24</v>
      </c>
      <c r="C12" s="5"/>
      <c r="D12" s="1"/>
      <c r="E12" s="1"/>
      <c r="F12" s="1"/>
      <c r="G12" s="1"/>
      <c r="H12" s="1"/>
      <c r="I12" s="1"/>
      <c r="J12" s="16"/>
      <c r="K12" s="1"/>
      <c r="L12" s="1"/>
      <c r="M12" s="1"/>
      <c r="N12" s="1"/>
      <c r="O12" s="1"/>
      <c r="P12" s="1"/>
      <c r="Q12" s="1"/>
      <c r="R12" s="1"/>
      <c r="S12" s="1"/>
      <c r="T12" s="1"/>
      <c r="U12" s="1"/>
      <c r="V12" s="1"/>
      <c r="W12" s="1"/>
      <c r="X12" s="1"/>
      <c r="Y12" s="1"/>
      <c r="Z12" s="1"/>
    </row>
    <row r="13" spans="1:26" ht="12.75" customHeight="1">
      <c r="A13" s="1"/>
      <c r="B13" s="47"/>
      <c r="C13" s="5"/>
      <c r="D13" s="1"/>
      <c r="E13" s="1"/>
      <c r="F13" s="1"/>
      <c r="G13" s="1"/>
      <c r="H13" s="1"/>
      <c r="I13" s="1"/>
      <c r="J13" s="16"/>
      <c r="K13" s="1"/>
      <c r="L13" s="1"/>
      <c r="M13" s="1"/>
      <c r="N13" s="1"/>
      <c r="O13" s="1"/>
      <c r="P13" s="1"/>
      <c r="Q13" s="1"/>
      <c r="R13" s="1"/>
      <c r="S13" s="1"/>
      <c r="T13" s="1"/>
      <c r="U13" s="1"/>
      <c r="V13" s="1"/>
      <c r="W13" s="1"/>
      <c r="X13" s="1"/>
      <c r="Y13" s="1"/>
      <c r="Z13" s="1"/>
    </row>
    <row r="14" spans="1:26" ht="96.75" customHeight="1">
      <c r="A14" s="1"/>
      <c r="B14" s="48" t="s">
        <v>5</v>
      </c>
      <c r="C14" s="114" t="s">
        <v>6</v>
      </c>
      <c r="D14" s="115"/>
      <c r="E14" s="115"/>
      <c r="F14" s="115"/>
      <c r="G14" s="116"/>
      <c r="H14" s="1"/>
      <c r="I14" s="1"/>
      <c r="J14" s="16"/>
      <c r="K14" s="1"/>
      <c r="L14" s="1"/>
      <c r="M14" s="1"/>
      <c r="N14" s="1"/>
      <c r="O14" s="1"/>
      <c r="P14" s="1"/>
      <c r="Q14" s="1"/>
      <c r="R14" s="1"/>
      <c r="S14" s="1"/>
      <c r="T14" s="1"/>
      <c r="U14" s="1"/>
      <c r="V14" s="1"/>
      <c r="W14" s="1"/>
      <c r="X14" s="1"/>
      <c r="Y14" s="1"/>
      <c r="Z14" s="1"/>
    </row>
    <row r="15" spans="1:26" ht="12.75" customHeight="1">
      <c r="A15" s="1"/>
      <c r="B15" s="49"/>
      <c r="C15" s="5"/>
      <c r="D15" s="1"/>
      <c r="E15" s="1"/>
      <c r="F15" s="1"/>
      <c r="G15" s="1"/>
      <c r="H15" s="1"/>
      <c r="I15" s="1"/>
      <c r="J15" s="16"/>
      <c r="K15" s="1"/>
      <c r="L15" s="1"/>
      <c r="M15" s="1"/>
      <c r="N15" s="1"/>
      <c r="O15" s="1"/>
      <c r="P15" s="1"/>
      <c r="Q15" s="1"/>
      <c r="R15" s="1"/>
      <c r="S15" s="1"/>
      <c r="T15" s="1"/>
      <c r="U15" s="1"/>
      <c r="V15" s="1"/>
      <c r="W15" s="1"/>
      <c r="X15" s="1"/>
      <c r="Y15" s="1"/>
      <c r="Z15" s="1"/>
    </row>
    <row r="16" spans="1:26" ht="12.75" customHeight="1">
      <c r="A16" s="1"/>
      <c r="B16" s="49"/>
      <c r="C16" s="5"/>
      <c r="D16" s="1"/>
      <c r="E16" s="1"/>
      <c r="F16" s="1"/>
      <c r="G16" s="1"/>
      <c r="H16" s="1"/>
      <c r="I16" s="1"/>
      <c r="J16" s="16"/>
      <c r="K16" s="1"/>
      <c r="L16" s="1"/>
      <c r="M16" s="1"/>
      <c r="N16" s="1"/>
      <c r="O16" s="1"/>
      <c r="P16" s="1"/>
      <c r="Q16" s="1"/>
      <c r="R16" s="1"/>
      <c r="S16" s="1"/>
      <c r="T16" s="1"/>
      <c r="U16" s="1"/>
      <c r="V16" s="1"/>
      <c r="W16" s="1"/>
      <c r="X16" s="1"/>
      <c r="Y16" s="1"/>
      <c r="Z16" s="1"/>
    </row>
    <row r="17" spans="1:26" ht="55.5" customHeight="1">
      <c r="A17" s="1"/>
      <c r="B17" s="48" t="s">
        <v>7</v>
      </c>
      <c r="C17" s="114" t="s">
        <v>8</v>
      </c>
      <c r="D17" s="115"/>
      <c r="E17" s="115"/>
      <c r="F17" s="115"/>
      <c r="G17" s="116"/>
      <c r="H17" s="1"/>
      <c r="I17" s="1"/>
      <c r="J17" s="16"/>
      <c r="K17" s="1"/>
      <c r="L17" s="1"/>
      <c r="M17" s="1"/>
      <c r="N17" s="1"/>
      <c r="O17" s="1"/>
      <c r="P17" s="1"/>
      <c r="Q17" s="1"/>
      <c r="R17" s="1"/>
      <c r="S17" s="1"/>
      <c r="T17" s="1"/>
      <c r="U17" s="1"/>
      <c r="V17" s="1"/>
      <c r="W17" s="1"/>
      <c r="X17" s="1"/>
      <c r="Y17" s="1"/>
      <c r="Z17" s="1"/>
    </row>
    <row r="18" spans="1:26" ht="12.75" customHeight="1">
      <c r="A18" s="1"/>
      <c r="B18" s="47"/>
      <c r="C18" s="6"/>
      <c r="D18" s="1"/>
      <c r="E18" s="1"/>
      <c r="F18" s="1"/>
      <c r="G18" s="1"/>
      <c r="H18" s="1"/>
      <c r="I18" s="1"/>
      <c r="J18" s="16"/>
      <c r="K18" s="1"/>
      <c r="L18" s="1"/>
      <c r="M18" s="1"/>
      <c r="N18" s="1"/>
      <c r="O18" s="1"/>
      <c r="P18" s="1"/>
      <c r="Q18" s="1"/>
      <c r="R18" s="1"/>
      <c r="S18" s="1"/>
      <c r="T18" s="1"/>
      <c r="U18" s="1"/>
      <c r="V18" s="1"/>
      <c r="W18" s="1"/>
      <c r="X18" s="1"/>
      <c r="Y18" s="1"/>
      <c r="Z18" s="1"/>
    </row>
    <row r="19" spans="1:26" ht="12.75" customHeight="1">
      <c r="A19" s="1"/>
      <c r="B19" s="46"/>
      <c r="C19" s="1"/>
      <c r="D19" s="1"/>
      <c r="E19" s="1"/>
      <c r="F19" s="1"/>
      <c r="G19" s="1"/>
      <c r="H19" s="1"/>
      <c r="I19" s="1"/>
      <c r="J19" s="16"/>
      <c r="K19" s="1"/>
      <c r="L19" s="1"/>
      <c r="M19" s="1"/>
      <c r="N19" s="1"/>
      <c r="O19" s="1"/>
      <c r="P19" s="1"/>
      <c r="Q19" s="1"/>
      <c r="R19" s="1"/>
      <c r="S19" s="1"/>
      <c r="T19" s="1"/>
      <c r="U19" s="1"/>
      <c r="V19" s="1"/>
      <c r="W19" s="1"/>
      <c r="X19" s="1"/>
      <c r="Y19" s="1"/>
      <c r="Z19" s="1"/>
    </row>
    <row r="20" spans="1:26" ht="12.75" customHeight="1">
      <c r="A20" s="1"/>
      <c r="B20" s="46"/>
      <c r="C20" s="1"/>
      <c r="D20" s="1"/>
      <c r="E20" s="1"/>
      <c r="F20" s="1"/>
      <c r="G20" s="1"/>
      <c r="H20" s="1"/>
      <c r="I20" s="1"/>
      <c r="J20" s="16"/>
      <c r="K20" s="1"/>
      <c r="L20" s="1"/>
      <c r="M20" s="1"/>
      <c r="N20" s="1"/>
      <c r="O20" s="1"/>
      <c r="P20" s="1"/>
      <c r="Q20" s="1"/>
      <c r="R20" s="1"/>
      <c r="S20" s="1"/>
      <c r="T20" s="1"/>
      <c r="U20" s="1"/>
      <c r="V20" s="1"/>
      <c r="W20" s="1"/>
      <c r="X20" s="1"/>
      <c r="Y20" s="1"/>
      <c r="Z20" s="1"/>
    </row>
    <row r="21" spans="1:26" ht="44.25" customHeight="1">
      <c r="A21" s="1"/>
      <c r="B21" s="50" t="s">
        <v>10</v>
      </c>
      <c r="C21" s="50" t="s">
        <v>9</v>
      </c>
      <c r="D21" s="50" t="s">
        <v>11</v>
      </c>
      <c r="E21" s="50" t="s">
        <v>12</v>
      </c>
      <c r="F21" s="50" t="s">
        <v>13</v>
      </c>
      <c r="G21" s="50" t="s">
        <v>14</v>
      </c>
      <c r="H21" s="7" t="s">
        <v>15</v>
      </c>
      <c r="I21" s="8" t="s">
        <v>16</v>
      </c>
      <c r="J21" s="7" t="s">
        <v>17</v>
      </c>
      <c r="K21" s="7" t="s">
        <v>18</v>
      </c>
      <c r="L21" s="7" t="s">
        <v>19</v>
      </c>
      <c r="M21" s="7" t="s">
        <v>20</v>
      </c>
      <c r="N21" s="1"/>
      <c r="O21" s="1"/>
      <c r="P21" s="1"/>
      <c r="Q21" s="1"/>
      <c r="R21" s="1"/>
      <c r="S21" s="1"/>
      <c r="T21" s="1"/>
      <c r="U21" s="1"/>
      <c r="V21" s="1"/>
      <c r="W21" s="1"/>
      <c r="X21" s="1"/>
      <c r="Y21" s="1"/>
      <c r="Z21" s="1"/>
    </row>
    <row r="22" spans="1:26" ht="12.75" customHeight="1">
      <c r="A22" s="25"/>
      <c r="B22" s="10" t="str">
        <f ca="1">IFERROR(__xludf.DUMMYFUNCTION("IMPORTRANGE(""https://docs.google.com/spreadsheets/d/1326rdUM6oOTA_5T6U_eA-Yqy4OMk6d_RGd_Z1bKVaC8/edit#gid=1459860096"",""'33.03.602 DFM'!i10:i100"")"),"ACTUALIZACIÓN DE SISTEMA SIFIM Y ADQUISICIÓN DE EQUIPAMIENTO COMPUTACIONAL")</f>
        <v>ACTUALIZACIÓN DE SISTEMA SIFIM Y ADQUISICIÓN DE EQUIPAMIENTO COMPUTACIONAL</v>
      </c>
      <c r="C22" s="26" t="str">
        <f t="shared" ref="C22:C49" ca="1" si="0">MID(E22,17,30)</f>
        <v xml:space="preserve"> SAN ROSENDO</v>
      </c>
      <c r="D22" s="10" t="str">
        <f ca="1">IFERROR(__xludf.DUMMYFUNCTION("IMPORTRANGE(""https://docs.google.com/spreadsheets/d/1326rdUM6oOTA_5T6U_eA-Yqy4OMk6d_RGd_Z1bKVaC8/edit#gid=1459860096"",""'33.03.602 DFM'!k10:k100"")"),"Guía Operativa")</f>
        <v>Guía Operativa</v>
      </c>
      <c r="E22" s="26" t="str">
        <f ca="1">IFERROR(__xludf.DUMMYFUNCTION("IMPORTRANGE(""https://docs.google.com/spreadsheets/d/1326rdUM6oOTA_5T6U_eA-Yqy4OMk6d_RGd_Z1bKVaC8/edit#gid=1459860096"",""'33.03.602 DFM'!f10:f100"")"),"MUNICIPALIDAD DE SAN ROSENDO")</f>
        <v>MUNICIPALIDAD DE SAN ROSENDO</v>
      </c>
      <c r="F22" s="11">
        <f ca="1">IFERROR(__xludf.DUMMYFUNCTION("IMPORTRANGE(""https://docs.google.com/spreadsheets/d/1326rdUM6oOTA_5T6U_eA-Yqy4OMk6d_RGd_Z1bKVaC8/edit#gid=1459860096"",""'33.03.602 DFM'!p10:p100"")"),15000000)</f>
        <v>15000000</v>
      </c>
      <c r="G22" s="10" t="str">
        <f ca="1">IFERROR(__xludf.DUMMYFUNCTION("IMPORTRANGE(""https://docs.google.com/spreadsheets/d/1326rdUM6oOTA_5T6U_eA-Yqy4OMk6d_RGd_Z1bKVaC8/edit#gid=1459860096"",""'33.03.602 DFM'!j10:j100"")"),"Resolución")</f>
        <v>Resolución</v>
      </c>
      <c r="H22" s="10" t="str">
        <f ca="1">IFERROR(__xludf.DUMMYFUNCTION("IMPORTRANGE(""https://docs.google.com/spreadsheets/d/1326rdUM6oOTA_5T6U_eA-Yqy4OMk6d_RGd_Z1bKVaC8/edit#gid=1459860096"",""'33.03.602 DFM'!I10:I100"")"),"ACTUALIZACIÓN DE SISTEMA SIFIM Y ADQUISICIÓN DE EQUIPAMIENTO COMPUTACIONAL")</f>
        <v>ACTUALIZACIÓN DE SISTEMA SIFIM Y ADQUISICIÓN DE EQUIPAMIENTO COMPUTACIONAL</v>
      </c>
      <c r="I22" s="10" t="str">
        <f ca="1">IFERROR(__xludf.DUMMYFUNCTION("IMPORTRANGE(""https://docs.google.com/spreadsheets/d/1326rdUM6oOTA_5T6U_eA-Yqy4OMk6d_RGd_Z1bKVaC8/edit#gid=1459860096"",""'33.03.602 DFM'!o10:o100"")"),"Cumplir con normativa y reglamentos internos del programa en base a los objetivos.")</f>
        <v>Cumplir con normativa y reglamentos internos del programa en base a los objetivos.</v>
      </c>
      <c r="J22" s="11">
        <f ca="1">IFERROR(__xludf.DUMMYFUNCTION("IMPORTRANGE(""https://docs.google.com/spreadsheets/d/1326rdUM6oOTA_5T6U_eA-Yqy4OMk6d_RGd_Z1bKVaC8/edit#gid=1459860096"",""'33.03.602 DFM'!ad10:ad100"")"),15000000)</f>
        <v>15000000</v>
      </c>
      <c r="K22" s="27">
        <f ca="1">IFERROR(__xludf.DUMMYFUNCTION("IMPORTRANGE(""https://docs.google.com/spreadsheets/d/1326rdUM6oOTA_5T6U_eA-Yqy4OMk6d_RGd_Z1bKVaC8/edit#gid=1459860096"",""'33.03.602 DFM'!ae10:ae100"")"),1)</f>
        <v>1</v>
      </c>
      <c r="L22" s="28">
        <f ca="1">IFERROR(__xludf.DUMMYFUNCTION("IMPORTRANGE(""https://docs.google.com/spreadsheets/d/1326rdUM6oOTA_5T6U_eA-Yqy4OMk6d_RGd_Z1bKVaC8/edit#gid=1459860096"",""'33.03.602 DFM'!l10:l100"")"),1602)</f>
        <v>1602</v>
      </c>
      <c r="M22" s="10" t="str">
        <f ca="1">IFERROR(__xludf.DUMMYFUNCTION("IMPORTRANGE(""https://docs.google.com/spreadsheets/d/1326rdUM6oOTA_5T6U_eA-Yqy4OMk6d_RGd_Z1bKVaC8/edit#gid=1459860096"",""'33.03.602 DFM'!b10:b100"")"),"Programa Modernización Municipal")</f>
        <v>Programa Modernización Municipal</v>
      </c>
      <c r="N22" s="29"/>
      <c r="O22" s="30"/>
      <c r="P22" s="30"/>
      <c r="Q22" s="30"/>
      <c r="R22" s="30"/>
      <c r="S22" s="30"/>
      <c r="T22" s="30"/>
      <c r="U22" s="30"/>
      <c r="V22" s="30"/>
      <c r="W22" s="30"/>
      <c r="X22" s="30"/>
      <c r="Y22" s="30"/>
      <c r="Z22" s="30"/>
    </row>
    <row r="23" spans="1:26" ht="12.75" customHeight="1">
      <c r="A23" s="25"/>
      <c r="B23" s="10" t="str">
        <f ca="1">IFERROR(__xludf.DUMMYFUNCTION("""COMPUTED_VALUE"""),"AESORAMIENTO FINANCIERO CONTABLE")</f>
        <v>AESORAMIENTO FINANCIERO CONTABLE</v>
      </c>
      <c r="C23" s="26" t="str">
        <f t="shared" ca="1" si="0"/>
        <v xml:space="preserve"> RÍO IBÁÑEZ</v>
      </c>
      <c r="D23" s="10" t="str">
        <f ca="1">IFERROR(__xludf.DUMMYFUNCTION("""COMPUTED_VALUE"""),"Guía Operativa")</f>
        <v>Guía Operativa</v>
      </c>
      <c r="E23" s="26" t="str">
        <f ca="1">IFERROR(__xludf.DUMMYFUNCTION("""COMPUTED_VALUE"""),"MUNICIPALIDAD DE RÍO IBÁÑEZ")</f>
        <v>MUNICIPALIDAD DE RÍO IBÁÑEZ</v>
      </c>
      <c r="F23" s="11">
        <f ca="1">IFERROR(__xludf.DUMMYFUNCTION("""COMPUTED_VALUE"""),10000000)</f>
        <v>10000000</v>
      </c>
      <c r="G23" s="10" t="str">
        <f ca="1">IFERROR(__xludf.DUMMYFUNCTION("""COMPUTED_VALUE"""),"Resolución")</f>
        <v>Resolución</v>
      </c>
      <c r="H23" s="10" t="str">
        <f ca="1">IFERROR(__xludf.DUMMYFUNCTION("""COMPUTED_VALUE"""),"AESORAMIENTO FINANCIERO CONTABLE")</f>
        <v>AESORAMIENTO FINANCIERO CONTABLE</v>
      </c>
      <c r="I23" s="10" t="str">
        <f ca="1">IFERROR(__xludf.DUMMYFUNCTION("""COMPUTED_VALUE"""),"Cumplir con normativa y reglamentos internos del programa en base a los objetivos.")</f>
        <v>Cumplir con normativa y reglamentos internos del programa en base a los objetivos.</v>
      </c>
      <c r="J23" s="11">
        <f ca="1">IFERROR(__xludf.DUMMYFUNCTION("""COMPUTED_VALUE"""),10000000)</f>
        <v>10000000</v>
      </c>
      <c r="K23" s="27">
        <f ca="1">IFERROR(__xludf.DUMMYFUNCTION("""COMPUTED_VALUE"""),1)</f>
        <v>1</v>
      </c>
      <c r="L23" s="28">
        <f ca="1">IFERROR(__xludf.DUMMYFUNCTION("""COMPUTED_VALUE"""),1602)</f>
        <v>1602</v>
      </c>
      <c r="M23" s="10" t="str">
        <f ca="1">IFERROR(__xludf.DUMMYFUNCTION("""COMPUTED_VALUE"""),"Programa Modernización Municipal")</f>
        <v>Programa Modernización Municipal</v>
      </c>
      <c r="N23" s="29"/>
      <c r="O23" s="30"/>
      <c r="P23" s="30"/>
      <c r="Q23" s="30"/>
      <c r="R23" s="30"/>
      <c r="S23" s="30"/>
      <c r="T23" s="30"/>
      <c r="U23" s="30"/>
      <c r="V23" s="30"/>
      <c r="W23" s="30"/>
      <c r="X23" s="30"/>
      <c r="Y23" s="30"/>
      <c r="Z23" s="30"/>
    </row>
    <row r="24" spans="1:26" ht="12.75" customHeight="1">
      <c r="A24" s="25"/>
      <c r="B24" s="10" t="str">
        <f ca="1">IFERROR(__xludf.DUMMYFUNCTION("""COMPUTED_VALUE"""),"ACTUALIZACIÓN DE SISTEMAS SIFIM, ADQUISICIÓN GIRADOR LICENCIAS DE CONDUCIR - EXAMENES TEORICOS CONASET E INSTALACIÓN, CONFIGURACIÓN Y CAPACITAICÓN LICENCIAS DE CONDUCIR")</f>
        <v>ACTUALIZACIÓN DE SISTEMAS SIFIM, ADQUISICIÓN GIRADOR LICENCIAS DE CONDUCIR - EXAMENES TEORICOS CONASET E INSTALACIÓN, CONFIGURACIÓN Y CAPACITAICÓN LICENCIAS DE CONDUCIR</v>
      </c>
      <c r="C24" s="26" t="str">
        <f t="shared" ca="1" si="0"/>
        <v xml:space="preserve"> PAREDONES</v>
      </c>
      <c r="D24" s="10" t="str">
        <f ca="1">IFERROR(__xludf.DUMMYFUNCTION("""COMPUTED_VALUE"""),"Guía Operativa")</f>
        <v>Guía Operativa</v>
      </c>
      <c r="E24" s="26" t="str">
        <f ca="1">IFERROR(__xludf.DUMMYFUNCTION("""COMPUTED_VALUE"""),"MUNICIPALIDAD DE PAREDONES")</f>
        <v>MUNICIPALIDAD DE PAREDONES</v>
      </c>
      <c r="F24" s="11">
        <f ca="1">IFERROR(__xludf.DUMMYFUNCTION("""COMPUTED_VALUE"""),11498672)</f>
        <v>11498672</v>
      </c>
      <c r="G24" s="10" t="str">
        <f ca="1">IFERROR(__xludf.DUMMYFUNCTION("""COMPUTED_VALUE"""),"Resolución")</f>
        <v>Resolución</v>
      </c>
      <c r="H24" s="10" t="str">
        <f ca="1">IFERROR(__xludf.DUMMYFUNCTION("""COMPUTED_VALUE"""),"ACTUALIZACIÓN DE SISTEMAS SIFIM, ADQUISICIÓN GIRADOR LICENCIAS DE CONDUCIR - EXAMENES TEORICOS CONASET E INSTALACIÓN, CONFIGURACIÓN Y CAPACITAICÓN LICENCIAS DE CONDUCIR")</f>
        <v>ACTUALIZACIÓN DE SISTEMAS SIFIM, ADQUISICIÓN GIRADOR LICENCIAS DE CONDUCIR - EXAMENES TEORICOS CONASET E INSTALACIÓN, CONFIGURACIÓN Y CAPACITAICÓN LICENCIAS DE CONDUCIR</v>
      </c>
      <c r="I24" s="10" t="str">
        <f ca="1">IFERROR(__xludf.DUMMYFUNCTION("""COMPUTED_VALUE"""),"Cumplir con normativa y reglamentos internos del programa en base a los objetivos.")</f>
        <v>Cumplir con normativa y reglamentos internos del programa en base a los objetivos.</v>
      </c>
      <c r="J24" s="11">
        <f ca="1">IFERROR(__xludf.DUMMYFUNCTION("""COMPUTED_VALUE"""),11498672)</f>
        <v>11498672</v>
      </c>
      <c r="K24" s="27">
        <f ca="1">IFERROR(__xludf.DUMMYFUNCTION("""COMPUTED_VALUE"""),1)</f>
        <v>1</v>
      </c>
      <c r="L24" s="28">
        <f ca="1">IFERROR(__xludf.DUMMYFUNCTION("""COMPUTED_VALUE"""),1602)</f>
        <v>1602</v>
      </c>
      <c r="M24" s="10" t="str">
        <f ca="1">IFERROR(__xludf.DUMMYFUNCTION("""COMPUTED_VALUE"""),"Programa Modernización Municipal")</f>
        <v>Programa Modernización Municipal</v>
      </c>
      <c r="N24" s="29"/>
      <c r="O24" s="30"/>
      <c r="P24" s="30"/>
      <c r="Q24" s="30"/>
      <c r="R24" s="30"/>
      <c r="S24" s="30"/>
      <c r="T24" s="30"/>
      <c r="U24" s="30"/>
      <c r="V24" s="30"/>
      <c r="W24" s="30"/>
      <c r="X24" s="30"/>
      <c r="Y24" s="30"/>
      <c r="Z24" s="30"/>
    </row>
    <row r="25" spans="1:26" ht="12.75" customHeight="1">
      <c r="A25" s="25"/>
      <c r="B25" s="10" t="str">
        <f ca="1">IFERROR(__xludf.DUMMYFUNCTION("""COMPUTED_VALUE"""),"ACTUALIZACIÓN DE SISTEMA SIFIM , ASISTENCIA TÉCNICA ACTIVO FIJO Y PUESTA EN MARCHA DE SISTEMA DE ADQUISICIONES Y ADQUISICIÓN DE EQUIPOS COMPUTACIONALES")</f>
        <v>ACTUALIZACIÓN DE SISTEMA SIFIM , ASISTENCIA TÉCNICA ACTIVO FIJO Y PUESTA EN MARCHA DE SISTEMA DE ADQUISICIONES Y ADQUISICIÓN DE EQUIPOS COMPUTACIONALES</v>
      </c>
      <c r="C25" s="26" t="str">
        <f t="shared" ca="1" si="0"/>
        <v xml:space="preserve"> MARIQUINA</v>
      </c>
      <c r="D25" s="10" t="str">
        <f ca="1">IFERROR(__xludf.DUMMYFUNCTION("""COMPUTED_VALUE"""),"Guía Operativa")</f>
        <v>Guía Operativa</v>
      </c>
      <c r="E25" s="26" t="str">
        <f ca="1">IFERROR(__xludf.DUMMYFUNCTION("""COMPUTED_VALUE"""),"MUNICIPALIDAD DE MARIQUINA")</f>
        <v>MUNICIPALIDAD DE MARIQUINA</v>
      </c>
      <c r="F25" s="11">
        <f ca="1">IFERROR(__xludf.DUMMYFUNCTION("""COMPUTED_VALUE"""),14000000)</f>
        <v>14000000</v>
      </c>
      <c r="G25" s="10" t="str">
        <f ca="1">IFERROR(__xludf.DUMMYFUNCTION("""COMPUTED_VALUE"""),"Resolución")</f>
        <v>Resolución</v>
      </c>
      <c r="H25" s="10" t="str">
        <f ca="1">IFERROR(__xludf.DUMMYFUNCTION("""COMPUTED_VALUE"""),"ACTUALIZACIÓN DE SISTEMA SIFIM , ASISTENCIA TÉCNICA ACTIVO FIJO Y PUESTA EN MARCHA DE SISTEMA DE ADQUISICIONES Y ADQUISICIÓN DE EQUIPOS COMPUTACIONALES")</f>
        <v>ACTUALIZACIÓN DE SISTEMA SIFIM , ASISTENCIA TÉCNICA ACTIVO FIJO Y PUESTA EN MARCHA DE SISTEMA DE ADQUISICIONES Y ADQUISICIÓN DE EQUIPOS COMPUTACIONALES</v>
      </c>
      <c r="I25" s="10" t="str">
        <f ca="1">IFERROR(__xludf.DUMMYFUNCTION("""COMPUTED_VALUE"""),"Cumplir con normativa y reglamentos internos del programa en base a los objetivos.")</f>
        <v>Cumplir con normativa y reglamentos internos del programa en base a los objetivos.</v>
      </c>
      <c r="J25" s="11">
        <f ca="1">IFERROR(__xludf.DUMMYFUNCTION("""COMPUTED_VALUE"""),14000000)</f>
        <v>14000000</v>
      </c>
      <c r="K25" s="27">
        <f ca="1">IFERROR(__xludf.DUMMYFUNCTION("""COMPUTED_VALUE"""),1)</f>
        <v>1</v>
      </c>
      <c r="L25" s="28">
        <f ca="1">IFERROR(__xludf.DUMMYFUNCTION("""COMPUTED_VALUE"""),1602)</f>
        <v>1602</v>
      </c>
      <c r="M25" s="10" t="str">
        <f ca="1">IFERROR(__xludf.DUMMYFUNCTION("""COMPUTED_VALUE"""),"Programa Modernización Municipal")</f>
        <v>Programa Modernización Municipal</v>
      </c>
      <c r="N25" s="29"/>
      <c r="O25" s="30"/>
      <c r="P25" s="30"/>
      <c r="Q25" s="30"/>
      <c r="R25" s="30"/>
      <c r="S25" s="30"/>
      <c r="T25" s="30"/>
      <c r="U25" s="30"/>
      <c r="V25" s="30"/>
      <c r="W25" s="30"/>
      <c r="X25" s="30"/>
      <c r="Y25" s="30"/>
      <c r="Z25" s="30"/>
    </row>
    <row r="26" spans="1:26" ht="12.75" customHeight="1">
      <c r="A26" s="25"/>
      <c r="B26" s="10" t="str">
        <f ca="1">IFERROR(__xludf.DUMMYFUNCTION("""COMPUTED_VALUE"""),"ACTUALIZACIÓN DE SISTEMA CONTABLE -RRHH Y ABASTECIMIENTO Y ACTUALIZACIÓN DE GIRADORES - PERMISOS DE CIRCULACIÓN, PATENTES COMERCIALES Y LICENCIAS DE CONDUCIR")</f>
        <v>ACTUALIZACIÓN DE SISTEMA CONTABLE -RRHH Y ABASTECIMIENTO Y ACTUALIZACIÓN DE GIRADORES - PERMISOS DE CIRCULACIÓN, PATENTES COMERCIALES Y LICENCIAS DE CONDUCIR</v>
      </c>
      <c r="C26" s="26" t="str">
        <f t="shared" ca="1" si="0"/>
        <v xml:space="preserve"> FUTALEUFÚ</v>
      </c>
      <c r="D26" s="10" t="str">
        <f ca="1">IFERROR(__xludf.DUMMYFUNCTION("""COMPUTED_VALUE"""),"Guía Operativa")</f>
        <v>Guía Operativa</v>
      </c>
      <c r="E26" s="26" t="str">
        <f ca="1">IFERROR(__xludf.DUMMYFUNCTION("""COMPUTED_VALUE"""),"MUNICIPALIDAD DE FUTALEUFÚ")</f>
        <v>MUNICIPALIDAD DE FUTALEUFÚ</v>
      </c>
      <c r="F26" s="11">
        <f ca="1">IFERROR(__xludf.DUMMYFUNCTION("""COMPUTED_VALUE"""),17730632)</f>
        <v>17730632</v>
      </c>
      <c r="G26" s="10" t="str">
        <f ca="1">IFERROR(__xludf.DUMMYFUNCTION("""COMPUTED_VALUE"""),"Resolución")</f>
        <v>Resolución</v>
      </c>
      <c r="H26" s="10" t="str">
        <f ca="1">IFERROR(__xludf.DUMMYFUNCTION("""COMPUTED_VALUE"""),"ACTUALIZACIÓN DE SISTEMA CONTABLE -RRHH Y ABASTECIMIENTO Y ACTUALIZACIÓN DE GIRADORES - PERMISOS DE CIRCULACIÓN, PATENTES COMERCIALES Y LICENCIAS DE CONDUCIR")</f>
        <v>ACTUALIZACIÓN DE SISTEMA CONTABLE -RRHH Y ABASTECIMIENTO Y ACTUALIZACIÓN DE GIRADORES - PERMISOS DE CIRCULACIÓN, PATENTES COMERCIALES Y LICENCIAS DE CONDUCIR</v>
      </c>
      <c r="I26" s="10" t="str">
        <f ca="1">IFERROR(__xludf.DUMMYFUNCTION("""COMPUTED_VALUE"""),"Cumplir con normativa y reglamentos internos del programa en base a los objetivos.")</f>
        <v>Cumplir con normativa y reglamentos internos del programa en base a los objetivos.</v>
      </c>
      <c r="J26" s="11">
        <f ca="1">IFERROR(__xludf.DUMMYFUNCTION("""COMPUTED_VALUE"""),17730632)</f>
        <v>17730632</v>
      </c>
      <c r="K26" s="27">
        <f ca="1">IFERROR(__xludf.DUMMYFUNCTION("""COMPUTED_VALUE"""),1)</f>
        <v>1</v>
      </c>
      <c r="L26" s="28">
        <f ca="1">IFERROR(__xludf.DUMMYFUNCTION("""COMPUTED_VALUE"""),1602)</f>
        <v>1602</v>
      </c>
      <c r="M26" s="10" t="str">
        <f ca="1">IFERROR(__xludf.DUMMYFUNCTION("""COMPUTED_VALUE"""),"Programa Modernización Municipal")</f>
        <v>Programa Modernización Municipal</v>
      </c>
      <c r="N26" s="29"/>
      <c r="O26" s="30"/>
      <c r="P26" s="30"/>
      <c r="Q26" s="30"/>
      <c r="R26" s="30"/>
      <c r="S26" s="30"/>
      <c r="T26" s="30"/>
      <c r="U26" s="30"/>
      <c r="V26" s="30"/>
      <c r="W26" s="30"/>
      <c r="X26" s="30"/>
      <c r="Y26" s="30"/>
      <c r="Z26" s="30"/>
    </row>
    <row r="27" spans="1:26" ht="12.75" customHeight="1">
      <c r="A27" s="25"/>
      <c r="B27" s="10" t="str">
        <f ca="1">IFERROR(__xludf.DUMMYFUNCTION("""COMPUTED_VALUE"""),"ADQUISICIÓN SOFTWARE DE GESTIÓN DOCUMENTAL")</f>
        <v>ADQUISICIÓN SOFTWARE DE GESTIÓN DOCUMENTAL</v>
      </c>
      <c r="C27" s="26" t="str">
        <f t="shared" ca="1" si="0"/>
        <v xml:space="preserve"> COLTAUCO</v>
      </c>
      <c r="D27" s="10" t="str">
        <f ca="1">IFERROR(__xludf.DUMMYFUNCTION("""COMPUTED_VALUE"""),"Guía Operativa")</f>
        <v>Guía Operativa</v>
      </c>
      <c r="E27" s="26" t="str">
        <f ca="1">IFERROR(__xludf.DUMMYFUNCTION("""COMPUTED_VALUE"""),"MUNICIPALIDAD DE COLTAUCO")</f>
        <v>MUNICIPALIDAD DE COLTAUCO</v>
      </c>
      <c r="F27" s="11">
        <f ca="1">IFERROR(__xludf.DUMMYFUNCTION("""COMPUTED_VALUE"""),17000000)</f>
        <v>17000000</v>
      </c>
      <c r="G27" s="10" t="str">
        <f ca="1">IFERROR(__xludf.DUMMYFUNCTION("""COMPUTED_VALUE"""),"Resolución")</f>
        <v>Resolución</v>
      </c>
      <c r="H27" s="10" t="str">
        <f ca="1">IFERROR(__xludf.DUMMYFUNCTION("""COMPUTED_VALUE"""),"ADQUISICIÓN SOFTWARE DE GESTIÓN DOCUMENTAL")</f>
        <v>ADQUISICIÓN SOFTWARE DE GESTIÓN DOCUMENTAL</v>
      </c>
      <c r="I27" s="10" t="str">
        <f ca="1">IFERROR(__xludf.DUMMYFUNCTION("""COMPUTED_VALUE"""),"Cumplir con normativa y reglamentos internos del programa en base a los objetivos.")</f>
        <v>Cumplir con normativa y reglamentos internos del programa en base a los objetivos.</v>
      </c>
      <c r="J27" s="11">
        <f ca="1">IFERROR(__xludf.DUMMYFUNCTION("""COMPUTED_VALUE"""),17000000)</f>
        <v>17000000</v>
      </c>
      <c r="K27" s="27">
        <f ca="1">IFERROR(__xludf.DUMMYFUNCTION("""COMPUTED_VALUE"""),1)</f>
        <v>1</v>
      </c>
      <c r="L27" s="28">
        <f ca="1">IFERROR(__xludf.DUMMYFUNCTION("""COMPUTED_VALUE"""),1602)</f>
        <v>1602</v>
      </c>
      <c r="M27" s="10" t="str">
        <f ca="1">IFERROR(__xludf.DUMMYFUNCTION("""COMPUTED_VALUE"""),"Programa Modernización Municipal")</f>
        <v>Programa Modernización Municipal</v>
      </c>
      <c r="N27" s="29"/>
      <c r="O27" s="30"/>
      <c r="P27" s="30"/>
      <c r="Q27" s="30"/>
      <c r="R27" s="30"/>
      <c r="S27" s="30"/>
      <c r="T27" s="30"/>
      <c r="U27" s="30"/>
      <c r="V27" s="30"/>
      <c r="W27" s="30"/>
      <c r="X27" s="30"/>
      <c r="Y27" s="30"/>
      <c r="Z27" s="30"/>
    </row>
    <row r="28" spans="1:26" ht="12.75" customHeight="1">
      <c r="A28" s="25"/>
      <c r="B28" s="10" t="str">
        <f ca="1">IFERROR(__xludf.DUMMYFUNCTION("""COMPUTED_VALUE"""),"CAPACITACIÓN RENTA Y PATENTES MUNICIPALES - NORMATIVA Y LEGISLACIÓN, CAPACITACIÓN EN MÓDULOS DE RENTA Y PATENTES COMERCIALES, CAPACITACIÓN CONTABILIDAD NICSP Y ADQUISICIÓN DE EQUIPAMIENTO COMPUTACIONAL ")</f>
        <v xml:space="preserve">CAPACITACIÓN RENTA Y PATENTES MUNICIPALES - NORMATIVA Y LEGISLACIÓN, CAPACITACIÓN EN MÓDULOS DE RENTA Y PATENTES COMERCIALES, CAPACITACIÓN CONTABILIDAD NICSP Y ADQUISICIÓN DE EQUIPAMIENTO COMPUTACIONAL </v>
      </c>
      <c r="C28" s="26" t="str">
        <f t="shared" ca="1" si="0"/>
        <v xml:space="preserve"> CISNES</v>
      </c>
      <c r="D28" s="10" t="str">
        <f ca="1">IFERROR(__xludf.DUMMYFUNCTION("""COMPUTED_VALUE"""),"Guía Operativa")</f>
        <v>Guía Operativa</v>
      </c>
      <c r="E28" s="26" t="str">
        <f ca="1">IFERROR(__xludf.DUMMYFUNCTION("""COMPUTED_VALUE"""),"MUNICIPALIDAD DE CISNES")</f>
        <v>MUNICIPALIDAD DE CISNES</v>
      </c>
      <c r="F28" s="11">
        <f ca="1">IFERROR(__xludf.DUMMYFUNCTION("""COMPUTED_VALUE"""),20000000)</f>
        <v>20000000</v>
      </c>
      <c r="G28" s="10" t="str">
        <f ca="1">IFERROR(__xludf.DUMMYFUNCTION("""COMPUTED_VALUE"""),"Resolución")</f>
        <v>Resolución</v>
      </c>
      <c r="H28" s="10" t="str">
        <f ca="1">IFERROR(__xludf.DUMMYFUNCTION("""COMPUTED_VALUE"""),"CAPACITACIÓN RENTA Y PATENTES MUNICIPALES - NORMATIVA Y LEGISLACIÓN, CAPACITACIÓN EN MÓDULOS DE RENTA Y PATENTES COMERCIALES, CAPACITACIÓN CONTABILIDAD NICSP Y ADQUISICIÓN DE EQUIPAMIENTO COMPUTACIONAL ")</f>
        <v xml:space="preserve">CAPACITACIÓN RENTA Y PATENTES MUNICIPALES - NORMATIVA Y LEGISLACIÓN, CAPACITACIÓN EN MÓDULOS DE RENTA Y PATENTES COMERCIALES, CAPACITACIÓN CONTABILIDAD NICSP Y ADQUISICIÓN DE EQUIPAMIENTO COMPUTACIONAL </v>
      </c>
      <c r="I28" s="10" t="str">
        <f ca="1">IFERROR(__xludf.DUMMYFUNCTION("""COMPUTED_VALUE"""),"Cumplir con normativa y reglamentos internos del programa en base a los objetivos.")</f>
        <v>Cumplir con normativa y reglamentos internos del programa en base a los objetivos.</v>
      </c>
      <c r="J28" s="11">
        <f ca="1">IFERROR(__xludf.DUMMYFUNCTION("""COMPUTED_VALUE"""),20000000)</f>
        <v>20000000</v>
      </c>
      <c r="K28" s="27">
        <f ca="1">IFERROR(__xludf.DUMMYFUNCTION("""COMPUTED_VALUE"""),1)</f>
        <v>1</v>
      </c>
      <c r="L28" s="28">
        <f ca="1">IFERROR(__xludf.DUMMYFUNCTION("""COMPUTED_VALUE"""),1602)</f>
        <v>1602</v>
      </c>
      <c r="M28" s="10" t="str">
        <f ca="1">IFERROR(__xludf.DUMMYFUNCTION("""COMPUTED_VALUE"""),"Programa Modernización Municipal")</f>
        <v>Programa Modernización Municipal</v>
      </c>
      <c r="N28" s="29"/>
      <c r="O28" s="30"/>
      <c r="P28" s="30"/>
      <c r="Q28" s="30"/>
      <c r="R28" s="30"/>
      <c r="S28" s="30"/>
      <c r="T28" s="30"/>
      <c r="U28" s="30"/>
      <c r="V28" s="30"/>
      <c r="W28" s="30"/>
      <c r="X28" s="30"/>
      <c r="Y28" s="30"/>
      <c r="Z28" s="30"/>
    </row>
    <row r="29" spans="1:26" ht="12.75" customHeight="1">
      <c r="A29" s="25"/>
      <c r="B29" s="10" t="str">
        <f ca="1">IFERROR(__xludf.DUMMYFUNCTION("""COMPUTED_VALUE"""),"ADQUISICIÓN SERVIDOR DE RESPALDO Y CAPACITACIÓN EN MODULOS CAS CHILE")</f>
        <v>ADQUISICIÓN SERVIDOR DE RESPALDO Y CAPACITACIÓN EN MODULOS CAS CHILE</v>
      </c>
      <c r="C29" s="26" t="str">
        <f t="shared" ca="1" si="0"/>
        <v xml:space="preserve"> CHILE CHICO</v>
      </c>
      <c r="D29" s="10" t="str">
        <f ca="1">IFERROR(__xludf.DUMMYFUNCTION("""COMPUTED_VALUE"""),"Guía Operativa")</f>
        <v>Guía Operativa</v>
      </c>
      <c r="E29" s="26" t="str">
        <f ca="1">IFERROR(__xludf.DUMMYFUNCTION("""COMPUTED_VALUE"""),"MUNICIPALIDAD DE CHILE CHICO")</f>
        <v>MUNICIPALIDAD DE CHILE CHICO</v>
      </c>
      <c r="F29" s="11">
        <f ca="1">IFERROR(__xludf.DUMMYFUNCTION("""COMPUTED_VALUE"""),9700000)</f>
        <v>9700000</v>
      </c>
      <c r="G29" s="10" t="str">
        <f ca="1">IFERROR(__xludf.DUMMYFUNCTION("""COMPUTED_VALUE"""),"Resolución")</f>
        <v>Resolución</v>
      </c>
      <c r="H29" s="10" t="str">
        <f ca="1">IFERROR(__xludf.DUMMYFUNCTION("""COMPUTED_VALUE"""),"ADQUISICIÓN SERVIDOR DE RESPALDO Y CAPACITACIÓN EN MODULOS CAS CHILE")</f>
        <v>ADQUISICIÓN SERVIDOR DE RESPALDO Y CAPACITACIÓN EN MODULOS CAS CHILE</v>
      </c>
      <c r="I29" s="10" t="str">
        <f ca="1">IFERROR(__xludf.DUMMYFUNCTION("""COMPUTED_VALUE"""),"Cumplir con normativa y reglamentos internos del programa en base a los objetivos.")</f>
        <v>Cumplir con normativa y reglamentos internos del programa en base a los objetivos.</v>
      </c>
      <c r="J29" s="11">
        <f ca="1">IFERROR(__xludf.DUMMYFUNCTION("""COMPUTED_VALUE"""),9700000)</f>
        <v>9700000</v>
      </c>
      <c r="K29" s="27">
        <f ca="1">IFERROR(__xludf.DUMMYFUNCTION("""COMPUTED_VALUE"""),1)</f>
        <v>1</v>
      </c>
      <c r="L29" s="28">
        <f ca="1">IFERROR(__xludf.DUMMYFUNCTION("""COMPUTED_VALUE"""),1602)</f>
        <v>1602</v>
      </c>
      <c r="M29" s="10" t="str">
        <f ca="1">IFERROR(__xludf.DUMMYFUNCTION("""COMPUTED_VALUE"""),"Programa Modernización Municipal")</f>
        <v>Programa Modernización Municipal</v>
      </c>
      <c r="N29" s="29"/>
      <c r="O29" s="30"/>
      <c r="P29" s="30"/>
      <c r="Q29" s="30"/>
      <c r="R29" s="30"/>
      <c r="S29" s="30"/>
      <c r="T29" s="30"/>
      <c r="U29" s="30"/>
      <c r="V29" s="30"/>
      <c r="W29" s="30"/>
      <c r="X29" s="30"/>
      <c r="Y29" s="30"/>
      <c r="Z29" s="30"/>
    </row>
    <row r="30" spans="1:26" ht="12.75" customHeight="1">
      <c r="A30" s="25"/>
      <c r="B30" s="10" t="str">
        <f ca="1">IFERROR(__xludf.DUMMYFUNCTION("""COMPUTED_VALUE"""),"SERVICIO ASESORÍA CONTABLE PARA LA EMISIÓN DE INFORMES CONTABLES")</f>
        <v>SERVICIO ASESORÍA CONTABLE PARA LA EMISIÓN DE INFORMES CONTABLES</v>
      </c>
      <c r="C30" s="26" t="str">
        <f t="shared" ca="1" si="0"/>
        <v xml:space="preserve"> CAMARONES</v>
      </c>
      <c r="D30" s="10" t="str">
        <f ca="1">IFERROR(__xludf.DUMMYFUNCTION("""COMPUTED_VALUE"""),"Guía Operativa")</f>
        <v>Guía Operativa</v>
      </c>
      <c r="E30" s="26" t="str">
        <f ca="1">IFERROR(__xludf.DUMMYFUNCTION("""COMPUTED_VALUE"""),"MUNICIPALIDAD DE CAMARONES")</f>
        <v>MUNICIPALIDAD DE CAMARONES</v>
      </c>
      <c r="F30" s="11">
        <f ca="1">IFERROR(__xludf.DUMMYFUNCTION("""COMPUTED_VALUE"""),20000000)</f>
        <v>20000000</v>
      </c>
      <c r="G30" s="10" t="str">
        <f ca="1">IFERROR(__xludf.DUMMYFUNCTION("""COMPUTED_VALUE"""),"Resolución")</f>
        <v>Resolución</v>
      </c>
      <c r="H30" s="10" t="str">
        <f ca="1">IFERROR(__xludf.DUMMYFUNCTION("""COMPUTED_VALUE"""),"SERVICIO ASESORÍA CONTABLE PARA LA EMISIÓN DE INFORMES CONTABLES")</f>
        <v>SERVICIO ASESORÍA CONTABLE PARA LA EMISIÓN DE INFORMES CONTABLES</v>
      </c>
      <c r="I30" s="10" t="str">
        <f ca="1">IFERROR(__xludf.DUMMYFUNCTION("""COMPUTED_VALUE"""),"Cumplir con normativa y reglamentos internos del programa en base a los objetivos.")</f>
        <v>Cumplir con normativa y reglamentos internos del programa en base a los objetivos.</v>
      </c>
      <c r="J30" s="11">
        <f ca="1">IFERROR(__xludf.DUMMYFUNCTION("""COMPUTED_VALUE"""),20000000)</f>
        <v>20000000</v>
      </c>
      <c r="K30" s="27">
        <f ca="1">IFERROR(__xludf.DUMMYFUNCTION("""COMPUTED_VALUE"""),1)</f>
        <v>1</v>
      </c>
      <c r="L30" s="28">
        <f ca="1">IFERROR(__xludf.DUMMYFUNCTION("""COMPUTED_VALUE"""),1602)</f>
        <v>1602</v>
      </c>
      <c r="M30" s="10" t="str">
        <f ca="1">IFERROR(__xludf.DUMMYFUNCTION("""COMPUTED_VALUE"""),"Programa Modernización Municipal")</f>
        <v>Programa Modernización Municipal</v>
      </c>
      <c r="N30" s="29"/>
      <c r="O30" s="30"/>
      <c r="P30" s="30"/>
      <c r="Q30" s="30"/>
      <c r="R30" s="30"/>
      <c r="S30" s="30"/>
      <c r="T30" s="30"/>
      <c r="U30" s="30"/>
      <c r="V30" s="30"/>
      <c r="W30" s="30"/>
      <c r="X30" s="30"/>
      <c r="Y30" s="30"/>
      <c r="Z30" s="30"/>
    </row>
    <row r="31" spans="1:26" ht="12.75" customHeight="1">
      <c r="A31" s="25"/>
      <c r="B31" s="10" t="str">
        <f ca="1">IFERROR(__xludf.DUMMYFUNCTION("""COMPUTED_VALUE"""),"Actualización Sistemas SIFIM,  Fotocopiadora, Computadores, Servicio De Capacitación ")</f>
        <v xml:space="preserve">Actualización Sistemas SIFIM,  Fotocopiadora, Computadores, Servicio De Capacitación </v>
      </c>
      <c r="C31" s="26" t="str">
        <f t="shared" ca="1" si="0"/>
        <v xml:space="preserve"> PAIGUANO</v>
      </c>
      <c r="D31" s="10" t="str">
        <f ca="1">IFERROR(__xludf.DUMMYFUNCTION("""COMPUTED_VALUE"""),"Guía Operativa")</f>
        <v>Guía Operativa</v>
      </c>
      <c r="E31" s="26" t="str">
        <f ca="1">IFERROR(__xludf.DUMMYFUNCTION("""COMPUTED_VALUE"""),"MUNICIPALIDAD DE PAIGUANO")</f>
        <v>MUNICIPALIDAD DE PAIGUANO</v>
      </c>
      <c r="F31" s="11">
        <f ca="1">IFERROR(__xludf.DUMMYFUNCTION("""COMPUTED_VALUE"""),14426000)</f>
        <v>14426000</v>
      </c>
      <c r="G31" s="10" t="str">
        <f ca="1">IFERROR(__xludf.DUMMYFUNCTION("""COMPUTED_VALUE"""),"Resolución")</f>
        <v>Resolución</v>
      </c>
      <c r="H31" s="10" t="str">
        <f ca="1">IFERROR(__xludf.DUMMYFUNCTION("""COMPUTED_VALUE"""),"Actualización Sistemas SIFIM,  Fotocopiadora, Computadores, Servicio De Capacitación ")</f>
        <v xml:space="preserve">Actualización Sistemas SIFIM,  Fotocopiadora, Computadores, Servicio De Capacitación </v>
      </c>
      <c r="I31" s="10" t="str">
        <f ca="1">IFERROR(__xludf.DUMMYFUNCTION("""COMPUTED_VALUE"""),"Cumplir con normativa y reglamentos internos del programa en base a los objetivos.")</f>
        <v>Cumplir con normativa y reglamentos internos del programa en base a los objetivos.</v>
      </c>
      <c r="J31" s="11">
        <f ca="1">IFERROR(__xludf.DUMMYFUNCTION("""COMPUTED_VALUE"""),14426000)</f>
        <v>14426000</v>
      </c>
      <c r="K31" s="27">
        <f ca="1">IFERROR(__xludf.DUMMYFUNCTION("""COMPUTED_VALUE"""),1)</f>
        <v>1</v>
      </c>
      <c r="L31" s="28">
        <f ca="1">IFERROR(__xludf.DUMMYFUNCTION("""COMPUTED_VALUE"""),12451)</f>
        <v>12451</v>
      </c>
      <c r="M31" s="10" t="str">
        <f ca="1">IFERROR(__xludf.DUMMYFUNCTION("""COMPUTED_VALUE"""),"Programa Modernización Municipal")</f>
        <v>Programa Modernización Municipal</v>
      </c>
      <c r="N31" s="29"/>
      <c r="O31" s="30"/>
      <c r="P31" s="30"/>
      <c r="Q31" s="30"/>
      <c r="R31" s="30"/>
      <c r="S31" s="30"/>
      <c r="T31" s="30"/>
      <c r="U31" s="30"/>
      <c r="V31" s="30"/>
      <c r="W31" s="30"/>
      <c r="X31" s="30"/>
      <c r="Y31" s="30"/>
      <c r="Z31" s="30"/>
    </row>
    <row r="32" spans="1:26" ht="12.75" customHeight="1">
      <c r="A32" s="25"/>
      <c r="B32" s="10" t="str">
        <f ca="1">IFERROR(__xludf.DUMMYFUNCTION("""COMPUTED_VALUE"""),"Actualización Sistemas Sifim Y Giradores, Licencia Para Equipos Computacionales")</f>
        <v>Actualización Sistemas Sifim Y Giradores, Licencia Para Equipos Computacionales</v>
      </c>
      <c r="C32" s="26" t="str">
        <f t="shared" ca="1" si="0"/>
        <v xml:space="preserve"> RÍO HURTADO</v>
      </c>
      <c r="D32" s="10" t="str">
        <f ca="1">IFERROR(__xludf.DUMMYFUNCTION("""COMPUTED_VALUE"""),"Guía Operativa")</f>
        <v>Guía Operativa</v>
      </c>
      <c r="E32" s="26" t="str">
        <f ca="1">IFERROR(__xludf.DUMMYFUNCTION("""COMPUTED_VALUE"""),"MUNICIPALIDAD DE RÍO HURTADO")</f>
        <v>MUNICIPALIDAD DE RÍO HURTADO</v>
      </c>
      <c r="F32" s="11">
        <f ca="1">IFERROR(__xludf.DUMMYFUNCTION("""COMPUTED_VALUE"""),18000000)</f>
        <v>18000000</v>
      </c>
      <c r="G32" s="10" t="str">
        <f ca="1">IFERROR(__xludf.DUMMYFUNCTION("""COMPUTED_VALUE"""),"Resolución")</f>
        <v>Resolución</v>
      </c>
      <c r="H32" s="10" t="str">
        <f ca="1">IFERROR(__xludf.DUMMYFUNCTION("""COMPUTED_VALUE"""),"Actualización Sistemas Sifim Y Giradores, Licencia Para Equipos Computacionales")</f>
        <v>Actualización Sistemas Sifim Y Giradores, Licencia Para Equipos Computacionales</v>
      </c>
      <c r="I32" s="10" t="str">
        <f ca="1">IFERROR(__xludf.DUMMYFUNCTION("""COMPUTED_VALUE"""),"Cumplir con normativa y reglamentos internos del programa en base a los objetivos.")</f>
        <v>Cumplir con normativa y reglamentos internos del programa en base a los objetivos.</v>
      </c>
      <c r="J32" s="11">
        <f ca="1">IFERROR(__xludf.DUMMYFUNCTION("""COMPUTED_VALUE"""),18000000)</f>
        <v>18000000</v>
      </c>
      <c r="K32" s="27">
        <f ca="1">IFERROR(__xludf.DUMMYFUNCTION("""COMPUTED_VALUE"""),1)</f>
        <v>1</v>
      </c>
      <c r="L32" s="28">
        <f ca="1">IFERROR(__xludf.DUMMYFUNCTION("""COMPUTED_VALUE"""),12451)</f>
        <v>12451</v>
      </c>
      <c r="M32" s="10" t="str">
        <f ca="1">IFERROR(__xludf.DUMMYFUNCTION("""COMPUTED_VALUE"""),"Programa Modernización Municipal")</f>
        <v>Programa Modernización Municipal</v>
      </c>
      <c r="N32" s="29"/>
      <c r="O32" s="30"/>
      <c r="P32" s="30"/>
      <c r="Q32" s="30"/>
      <c r="R32" s="30"/>
      <c r="S32" s="30"/>
      <c r="T32" s="30"/>
      <c r="U32" s="30"/>
      <c r="V32" s="30"/>
      <c r="W32" s="30"/>
      <c r="X32" s="30"/>
      <c r="Y32" s="30"/>
      <c r="Z32" s="30"/>
    </row>
    <row r="33" spans="1:26" ht="12.75" customHeight="1">
      <c r="A33" s="25"/>
      <c r="B33" s="10" t="str">
        <f ca="1">IFERROR(__xludf.DUMMYFUNCTION("""COMPUTED_VALUE"""),"Adquisición Equipamiento Computacional")</f>
        <v>Adquisición Equipamiento Computacional</v>
      </c>
      <c r="C33" s="26" t="str">
        <f t="shared" ca="1" si="0"/>
        <v xml:space="preserve"> CATEMU</v>
      </c>
      <c r="D33" s="10" t="str">
        <f ca="1">IFERROR(__xludf.DUMMYFUNCTION("""COMPUTED_VALUE"""),"Guía Operativa")</f>
        <v>Guía Operativa</v>
      </c>
      <c r="E33" s="26" t="str">
        <f ca="1">IFERROR(__xludf.DUMMYFUNCTION("""COMPUTED_VALUE"""),"MUNICIPALIDAD DE CATEMU")</f>
        <v>MUNICIPALIDAD DE CATEMU</v>
      </c>
      <c r="F33" s="11">
        <f ca="1">IFERROR(__xludf.DUMMYFUNCTION("""COMPUTED_VALUE"""),16673200)</f>
        <v>16673200</v>
      </c>
      <c r="G33" s="10" t="str">
        <f ca="1">IFERROR(__xludf.DUMMYFUNCTION("""COMPUTED_VALUE"""),"Resolución")</f>
        <v>Resolución</v>
      </c>
      <c r="H33" s="10" t="str">
        <f ca="1">IFERROR(__xludf.DUMMYFUNCTION("""COMPUTED_VALUE"""),"Adquisición Equipamiento Computacional")</f>
        <v>Adquisición Equipamiento Computacional</v>
      </c>
      <c r="I33" s="10" t="str">
        <f ca="1">IFERROR(__xludf.DUMMYFUNCTION("""COMPUTED_VALUE"""),"Cumplir con normativa y reglamentos internos del programa en base a los objetivos.")</f>
        <v>Cumplir con normativa y reglamentos internos del programa en base a los objetivos.</v>
      </c>
      <c r="J33" s="11">
        <f ca="1">IFERROR(__xludf.DUMMYFUNCTION("""COMPUTED_VALUE"""),16673200)</f>
        <v>16673200</v>
      </c>
      <c r="K33" s="27">
        <f ca="1">IFERROR(__xludf.DUMMYFUNCTION("""COMPUTED_VALUE"""),1)</f>
        <v>1</v>
      </c>
      <c r="L33" s="28">
        <f ca="1">IFERROR(__xludf.DUMMYFUNCTION("""COMPUTED_VALUE"""),12451)</f>
        <v>12451</v>
      </c>
      <c r="M33" s="10" t="str">
        <f ca="1">IFERROR(__xludf.DUMMYFUNCTION("""COMPUTED_VALUE"""),"Programa Modernización Municipal")</f>
        <v>Programa Modernización Municipal</v>
      </c>
      <c r="N33" s="29"/>
      <c r="O33" s="30"/>
      <c r="P33" s="30"/>
      <c r="Q33" s="30"/>
      <c r="R33" s="30"/>
      <c r="S33" s="30"/>
      <c r="T33" s="30"/>
      <c r="U33" s="30"/>
      <c r="V33" s="30"/>
      <c r="W33" s="30"/>
      <c r="X33" s="30"/>
      <c r="Y33" s="30"/>
      <c r="Z33" s="30"/>
    </row>
    <row r="34" spans="1:26" ht="12.75" customHeight="1">
      <c r="A34" s="25"/>
      <c r="B34" s="10" t="str">
        <f ca="1">IFERROR(__xludf.DUMMYFUNCTION("""COMPUTED_VALUE"""),"Adquisición Equipamiento Computacional")</f>
        <v>Adquisición Equipamiento Computacional</v>
      </c>
      <c r="C34" s="26" t="str">
        <f t="shared" ca="1" si="0"/>
        <v xml:space="preserve"> SANTA MARÍA</v>
      </c>
      <c r="D34" s="10" t="str">
        <f ca="1">IFERROR(__xludf.DUMMYFUNCTION("""COMPUTED_VALUE"""),"Guía Operativa")</f>
        <v>Guía Operativa</v>
      </c>
      <c r="E34" s="26" t="str">
        <f ca="1">IFERROR(__xludf.DUMMYFUNCTION("""COMPUTED_VALUE"""),"MUNICIPALIDAD DE SANTA MARÍA")</f>
        <v>MUNICIPALIDAD DE SANTA MARÍA</v>
      </c>
      <c r="F34" s="11">
        <f ca="1">IFERROR(__xludf.DUMMYFUNCTION("""COMPUTED_VALUE"""),5400000)</f>
        <v>5400000</v>
      </c>
      <c r="G34" s="10" t="str">
        <f ca="1">IFERROR(__xludf.DUMMYFUNCTION("""COMPUTED_VALUE"""),"Resolución")</f>
        <v>Resolución</v>
      </c>
      <c r="H34" s="10" t="str">
        <f ca="1">IFERROR(__xludf.DUMMYFUNCTION("""COMPUTED_VALUE"""),"Adquisición Equipamiento Computacional")</f>
        <v>Adquisición Equipamiento Computacional</v>
      </c>
      <c r="I34" s="10" t="str">
        <f ca="1">IFERROR(__xludf.DUMMYFUNCTION("""COMPUTED_VALUE"""),"Cumplir con normativa y reglamentos internos del programa en base a los objetivos.")</f>
        <v>Cumplir con normativa y reglamentos internos del programa en base a los objetivos.</v>
      </c>
      <c r="J34" s="11">
        <f ca="1">IFERROR(__xludf.DUMMYFUNCTION("""COMPUTED_VALUE"""),5400000)</f>
        <v>5400000</v>
      </c>
      <c r="K34" s="27">
        <f ca="1">IFERROR(__xludf.DUMMYFUNCTION("""COMPUTED_VALUE"""),1)</f>
        <v>1</v>
      </c>
      <c r="L34" s="28">
        <f ca="1">IFERROR(__xludf.DUMMYFUNCTION("""COMPUTED_VALUE"""),12451)</f>
        <v>12451</v>
      </c>
      <c r="M34" s="10" t="str">
        <f ca="1">IFERROR(__xludf.DUMMYFUNCTION("""COMPUTED_VALUE"""),"Programa Modernización Municipal")</f>
        <v>Programa Modernización Municipal</v>
      </c>
      <c r="N34" s="29"/>
      <c r="O34" s="30"/>
      <c r="P34" s="30"/>
      <c r="Q34" s="30"/>
      <c r="R34" s="30"/>
      <c r="S34" s="30"/>
      <c r="T34" s="30"/>
      <c r="U34" s="30"/>
      <c r="V34" s="30"/>
      <c r="W34" s="30"/>
      <c r="X34" s="30"/>
      <c r="Y34" s="30"/>
      <c r="Z34" s="30"/>
    </row>
    <row r="35" spans="1:26" ht="12.75" customHeight="1">
      <c r="A35" s="25"/>
      <c r="B35" s="10" t="str">
        <f ca="1">IFERROR(__xludf.DUMMYFUNCTION("""COMPUTED_VALUE"""),"Adquisición Equipamiento Computacional")</f>
        <v>Adquisición Equipamiento Computacional</v>
      </c>
      <c r="C35" s="26" t="str">
        <f t="shared" ca="1" si="0"/>
        <v xml:space="preserve"> OLMUÉ</v>
      </c>
      <c r="D35" s="10" t="str">
        <f ca="1">IFERROR(__xludf.DUMMYFUNCTION("""COMPUTED_VALUE"""),"Guía Operativa")</f>
        <v>Guía Operativa</v>
      </c>
      <c r="E35" s="26" t="str">
        <f ca="1">IFERROR(__xludf.DUMMYFUNCTION("""COMPUTED_VALUE"""),"MUNICIPALIDAD DE OLMUÉ")</f>
        <v>MUNICIPALIDAD DE OLMUÉ</v>
      </c>
      <c r="F35" s="11">
        <f ca="1">IFERROR(__xludf.DUMMYFUNCTION("""COMPUTED_VALUE"""),8200000)</f>
        <v>8200000</v>
      </c>
      <c r="G35" s="10" t="str">
        <f ca="1">IFERROR(__xludf.DUMMYFUNCTION("""COMPUTED_VALUE"""),"Resolución")</f>
        <v>Resolución</v>
      </c>
      <c r="H35" s="10" t="str">
        <f ca="1">IFERROR(__xludf.DUMMYFUNCTION("""COMPUTED_VALUE"""),"Adquisición Equipamiento Computacional")</f>
        <v>Adquisición Equipamiento Computacional</v>
      </c>
      <c r="I35" s="10" t="str">
        <f ca="1">IFERROR(__xludf.DUMMYFUNCTION("""COMPUTED_VALUE"""),"Cumplir con normativa y reglamentos internos del programa en base a los objetivos.")</f>
        <v>Cumplir con normativa y reglamentos internos del programa en base a los objetivos.</v>
      </c>
      <c r="J35" s="11">
        <f ca="1">IFERROR(__xludf.DUMMYFUNCTION("""COMPUTED_VALUE"""),8200000)</f>
        <v>8200000</v>
      </c>
      <c r="K35" s="27">
        <f ca="1">IFERROR(__xludf.DUMMYFUNCTION("""COMPUTED_VALUE"""),1)</f>
        <v>1</v>
      </c>
      <c r="L35" s="28">
        <f ca="1">IFERROR(__xludf.DUMMYFUNCTION("""COMPUTED_VALUE"""),12451)</f>
        <v>12451</v>
      </c>
      <c r="M35" s="10" t="str">
        <f ca="1">IFERROR(__xludf.DUMMYFUNCTION("""COMPUTED_VALUE"""),"Programa Modernización Municipal")</f>
        <v>Programa Modernización Municipal</v>
      </c>
      <c r="N35" s="29"/>
      <c r="O35" s="30"/>
      <c r="P35" s="30"/>
      <c r="Q35" s="30"/>
      <c r="R35" s="30"/>
      <c r="S35" s="30"/>
      <c r="T35" s="30"/>
      <c r="U35" s="30"/>
      <c r="V35" s="30"/>
      <c r="W35" s="30"/>
      <c r="X35" s="30"/>
      <c r="Y35" s="30"/>
      <c r="Z35" s="30"/>
    </row>
    <row r="36" spans="1:26" ht="12.75" customHeight="1">
      <c r="A36" s="25"/>
      <c r="B36" s="10" t="str">
        <f ca="1">IFERROR(__xludf.DUMMYFUNCTION("""COMPUTED_VALUE"""),"Adquisición Equipamiento Computacional")</f>
        <v>Adquisición Equipamiento Computacional</v>
      </c>
      <c r="C36" s="26" t="str">
        <f t="shared" ca="1" si="0"/>
        <v xml:space="preserve"> TILTIL</v>
      </c>
      <c r="D36" s="10" t="str">
        <f ca="1">IFERROR(__xludf.DUMMYFUNCTION("""COMPUTED_VALUE"""),"Guía Operativa")</f>
        <v>Guía Operativa</v>
      </c>
      <c r="E36" s="26" t="str">
        <f ca="1">IFERROR(__xludf.DUMMYFUNCTION("""COMPUTED_VALUE"""),"MUNICIPALIDAD DE TILTIL")</f>
        <v>MUNICIPALIDAD DE TILTIL</v>
      </c>
      <c r="F36" s="11">
        <f ca="1">IFERROR(__xludf.DUMMYFUNCTION("""COMPUTED_VALUE"""),12000000)</f>
        <v>12000000</v>
      </c>
      <c r="G36" s="10" t="str">
        <f ca="1">IFERROR(__xludf.DUMMYFUNCTION("""COMPUTED_VALUE"""),"Resolución")</f>
        <v>Resolución</v>
      </c>
      <c r="H36" s="10" t="str">
        <f ca="1">IFERROR(__xludf.DUMMYFUNCTION("""COMPUTED_VALUE"""),"Adquisición Equipamiento Computacional")</f>
        <v>Adquisición Equipamiento Computacional</v>
      </c>
      <c r="I36" s="10" t="str">
        <f ca="1">IFERROR(__xludf.DUMMYFUNCTION("""COMPUTED_VALUE"""),"Cumplir con normativa y reglamentos internos del programa en base a los objetivos.")</f>
        <v>Cumplir con normativa y reglamentos internos del programa en base a los objetivos.</v>
      </c>
      <c r="J36" s="11">
        <f ca="1">IFERROR(__xludf.DUMMYFUNCTION("""COMPUTED_VALUE"""),12000000)</f>
        <v>12000000</v>
      </c>
      <c r="K36" s="27">
        <f ca="1">IFERROR(__xludf.DUMMYFUNCTION("""COMPUTED_VALUE"""),1)</f>
        <v>1</v>
      </c>
      <c r="L36" s="28">
        <f ca="1">IFERROR(__xludf.DUMMYFUNCTION("""COMPUTED_VALUE"""),12451)</f>
        <v>12451</v>
      </c>
      <c r="M36" s="10" t="str">
        <f ca="1">IFERROR(__xludf.DUMMYFUNCTION("""COMPUTED_VALUE"""),"Programa Modernización Municipal")</f>
        <v>Programa Modernización Municipal</v>
      </c>
      <c r="N36" s="29"/>
      <c r="O36" s="30"/>
      <c r="P36" s="30"/>
      <c r="Q36" s="30"/>
      <c r="R36" s="30"/>
      <c r="S36" s="30"/>
      <c r="T36" s="30"/>
      <c r="U36" s="30"/>
      <c r="V36" s="30"/>
      <c r="W36" s="30"/>
      <c r="X36" s="30"/>
      <c r="Y36" s="30"/>
      <c r="Z36" s="30"/>
    </row>
    <row r="37" spans="1:26" ht="12.75" customHeight="1">
      <c r="A37" s="25"/>
      <c r="B37" s="10" t="str">
        <f ca="1">IFERROR(__xludf.DUMMYFUNCTION("""COMPUTED_VALUE"""),"Adquisición Sistema Para Transformación Digital Del Estado")</f>
        <v>Adquisición Sistema Para Transformación Digital Del Estado</v>
      </c>
      <c r="C37" s="26" t="str">
        <f t="shared" ca="1" si="0"/>
        <v xml:space="preserve"> LITUECHE</v>
      </c>
      <c r="D37" s="10" t="str">
        <f ca="1">IFERROR(__xludf.DUMMYFUNCTION("""COMPUTED_VALUE"""),"Guía Operativa")</f>
        <v>Guía Operativa</v>
      </c>
      <c r="E37" s="26" t="str">
        <f ca="1">IFERROR(__xludf.DUMMYFUNCTION("""COMPUTED_VALUE"""),"MUNICIPALIDAD DE LITUECHE")</f>
        <v>MUNICIPALIDAD DE LITUECHE</v>
      </c>
      <c r="F37" s="11">
        <f ca="1">IFERROR(__xludf.DUMMYFUNCTION("""COMPUTED_VALUE"""),12000000)</f>
        <v>12000000</v>
      </c>
      <c r="G37" s="10" t="str">
        <f ca="1">IFERROR(__xludf.DUMMYFUNCTION("""COMPUTED_VALUE"""),"Resolución")</f>
        <v>Resolución</v>
      </c>
      <c r="H37" s="10" t="str">
        <f ca="1">IFERROR(__xludf.DUMMYFUNCTION("""COMPUTED_VALUE"""),"Adquisición Sistema Para Transformación Digital Del Estado")</f>
        <v>Adquisición Sistema Para Transformación Digital Del Estado</v>
      </c>
      <c r="I37" s="10" t="str">
        <f ca="1">IFERROR(__xludf.DUMMYFUNCTION("""COMPUTED_VALUE"""),"Cumplir con normativa y reglamentos internos del programa en base a los objetivos.")</f>
        <v>Cumplir con normativa y reglamentos internos del programa en base a los objetivos.</v>
      </c>
      <c r="J37" s="11">
        <f ca="1">IFERROR(__xludf.DUMMYFUNCTION("""COMPUTED_VALUE"""),12000000)</f>
        <v>12000000</v>
      </c>
      <c r="K37" s="27">
        <f ca="1">IFERROR(__xludf.DUMMYFUNCTION("""COMPUTED_VALUE"""),1)</f>
        <v>1</v>
      </c>
      <c r="L37" s="28">
        <f ca="1">IFERROR(__xludf.DUMMYFUNCTION("""COMPUTED_VALUE"""),12451)</f>
        <v>12451</v>
      </c>
      <c r="M37" s="10" t="str">
        <f ca="1">IFERROR(__xludf.DUMMYFUNCTION("""COMPUTED_VALUE"""),"Programa Modernización Municipal")</f>
        <v>Programa Modernización Municipal</v>
      </c>
      <c r="N37" s="29"/>
      <c r="O37" s="30"/>
      <c r="P37" s="30"/>
      <c r="Q37" s="30"/>
      <c r="R37" s="30"/>
      <c r="S37" s="30"/>
      <c r="T37" s="30"/>
      <c r="U37" s="30"/>
      <c r="V37" s="30"/>
      <c r="W37" s="30"/>
      <c r="X37" s="30"/>
      <c r="Y37" s="30"/>
      <c r="Z37" s="30"/>
    </row>
    <row r="38" spans="1:26" ht="12.75" customHeight="1">
      <c r="A38" s="25"/>
      <c r="B38" s="10" t="str">
        <f ca="1">IFERROR(__xludf.DUMMYFUNCTION("""COMPUTED_VALUE"""),"Actualización Sistema Sifim")</f>
        <v>Actualización Sistema Sifim</v>
      </c>
      <c r="C38" s="26" t="str">
        <f t="shared" ca="1" si="0"/>
        <v xml:space="preserve"> LA ESTRELLA</v>
      </c>
      <c r="D38" s="10" t="str">
        <f ca="1">IFERROR(__xludf.DUMMYFUNCTION("""COMPUTED_VALUE"""),"Guía Operativa")</f>
        <v>Guía Operativa</v>
      </c>
      <c r="E38" s="26" t="str">
        <f ca="1">IFERROR(__xludf.DUMMYFUNCTION("""COMPUTED_VALUE"""),"MUNICIPALIDAD DE LA ESTRELLA")</f>
        <v>MUNICIPALIDAD DE LA ESTRELLA</v>
      </c>
      <c r="F38" s="11">
        <f ca="1">IFERROR(__xludf.DUMMYFUNCTION("""COMPUTED_VALUE"""),15200000)</f>
        <v>15200000</v>
      </c>
      <c r="G38" s="10" t="str">
        <f ca="1">IFERROR(__xludf.DUMMYFUNCTION("""COMPUTED_VALUE"""),"Resolución")</f>
        <v>Resolución</v>
      </c>
      <c r="H38" s="10" t="str">
        <f ca="1">IFERROR(__xludf.DUMMYFUNCTION("""COMPUTED_VALUE"""),"Actualización Sistema Sifim")</f>
        <v>Actualización Sistema Sifim</v>
      </c>
      <c r="I38" s="10" t="str">
        <f ca="1">IFERROR(__xludf.DUMMYFUNCTION("""COMPUTED_VALUE"""),"Cumplir con normativa y reglamentos internos del programa en base a los objetivos.")</f>
        <v>Cumplir con normativa y reglamentos internos del programa en base a los objetivos.</v>
      </c>
      <c r="J38" s="11">
        <f ca="1">IFERROR(__xludf.DUMMYFUNCTION("""COMPUTED_VALUE"""),15200000)</f>
        <v>15200000</v>
      </c>
      <c r="K38" s="27">
        <f ca="1">IFERROR(__xludf.DUMMYFUNCTION("""COMPUTED_VALUE"""),1)</f>
        <v>1</v>
      </c>
      <c r="L38" s="28">
        <f ca="1">IFERROR(__xludf.DUMMYFUNCTION("""COMPUTED_VALUE"""),12451)</f>
        <v>12451</v>
      </c>
      <c r="M38" s="10" t="str">
        <f ca="1">IFERROR(__xludf.DUMMYFUNCTION("""COMPUTED_VALUE"""),"Programa Modernización Municipal")</f>
        <v>Programa Modernización Municipal</v>
      </c>
      <c r="N38" s="29"/>
      <c r="O38" s="30"/>
      <c r="P38" s="30"/>
      <c r="Q38" s="30"/>
      <c r="R38" s="30"/>
      <c r="S38" s="30"/>
      <c r="T38" s="30"/>
      <c r="U38" s="30"/>
      <c r="V38" s="30"/>
      <c r="W38" s="30"/>
      <c r="X38" s="30"/>
      <c r="Y38" s="30"/>
      <c r="Z38" s="30"/>
    </row>
    <row r="39" spans="1:26" ht="12.75" customHeight="1">
      <c r="A39" s="25"/>
      <c r="B39" s="10" t="str">
        <f ca="1">IFERROR(__xludf.DUMMYFUNCTION("""COMPUTED_VALUE"""),"Equipamiento Computacional")</f>
        <v>Equipamiento Computacional</v>
      </c>
      <c r="C39" s="26" t="str">
        <f t="shared" ca="1" si="0"/>
        <v xml:space="preserve"> YERBAS BUENAS</v>
      </c>
      <c r="D39" s="10" t="str">
        <f ca="1">IFERROR(__xludf.DUMMYFUNCTION("""COMPUTED_VALUE"""),"Guía Operativa")</f>
        <v>Guía Operativa</v>
      </c>
      <c r="E39" s="26" t="str">
        <f ca="1">IFERROR(__xludf.DUMMYFUNCTION("""COMPUTED_VALUE"""),"MUNICIPALIDAD DE YERBAS BUENAS")</f>
        <v>MUNICIPALIDAD DE YERBAS BUENAS</v>
      </c>
      <c r="F39" s="11">
        <f ca="1">IFERROR(__xludf.DUMMYFUNCTION("""COMPUTED_VALUE"""),13000000)</f>
        <v>13000000</v>
      </c>
      <c r="G39" s="10" t="str">
        <f ca="1">IFERROR(__xludf.DUMMYFUNCTION("""COMPUTED_VALUE"""),"Resolución")</f>
        <v>Resolución</v>
      </c>
      <c r="H39" s="10" t="str">
        <f ca="1">IFERROR(__xludf.DUMMYFUNCTION("""COMPUTED_VALUE"""),"Equipamiento Computacional")</f>
        <v>Equipamiento Computacional</v>
      </c>
      <c r="I39" s="10" t="str">
        <f ca="1">IFERROR(__xludf.DUMMYFUNCTION("""COMPUTED_VALUE"""),"Cumplir con normativa y reglamentos internos del programa en base a los objetivos.")</f>
        <v>Cumplir con normativa y reglamentos internos del programa en base a los objetivos.</v>
      </c>
      <c r="J39" s="11">
        <f ca="1">IFERROR(__xludf.DUMMYFUNCTION("""COMPUTED_VALUE"""),13000000)</f>
        <v>13000000</v>
      </c>
      <c r="K39" s="27">
        <f ca="1">IFERROR(__xludf.DUMMYFUNCTION("""COMPUTED_VALUE"""),1)</f>
        <v>1</v>
      </c>
      <c r="L39" s="28">
        <f ca="1">IFERROR(__xludf.DUMMYFUNCTION("""COMPUTED_VALUE"""),12451)</f>
        <v>12451</v>
      </c>
      <c r="M39" s="10" t="str">
        <f ca="1">IFERROR(__xludf.DUMMYFUNCTION("""COMPUTED_VALUE"""),"Programa Modernización Municipal")</f>
        <v>Programa Modernización Municipal</v>
      </c>
      <c r="N39" s="29"/>
      <c r="O39" s="30"/>
      <c r="P39" s="30"/>
      <c r="Q39" s="30"/>
      <c r="R39" s="30"/>
      <c r="S39" s="30"/>
      <c r="T39" s="30"/>
      <c r="U39" s="30"/>
      <c r="V39" s="30"/>
      <c r="W39" s="30"/>
      <c r="X39" s="30"/>
      <c r="Y39" s="30"/>
      <c r="Z39" s="30"/>
    </row>
    <row r="40" spans="1:26" ht="12.75" customHeight="1">
      <c r="A40" s="25"/>
      <c r="B40" s="10" t="str">
        <f ca="1">IFERROR(__xludf.DUMMYFUNCTION("""COMPUTED_VALUE"""),"Asistencia Técnica")</f>
        <v>Asistencia Técnica</v>
      </c>
      <c r="C40" s="26" t="str">
        <f t="shared" ca="1" si="0"/>
        <v xml:space="preserve"> SAN NICOLÁS</v>
      </c>
      <c r="D40" s="10" t="str">
        <f ca="1">IFERROR(__xludf.DUMMYFUNCTION("""COMPUTED_VALUE"""),"Guía Operativa")</f>
        <v>Guía Operativa</v>
      </c>
      <c r="E40" s="26" t="str">
        <f ca="1">IFERROR(__xludf.DUMMYFUNCTION("""COMPUTED_VALUE"""),"MUNICIPALIDAD DE SAN NICOLÁS")</f>
        <v>MUNICIPALIDAD DE SAN NICOLÁS</v>
      </c>
      <c r="F40" s="11">
        <f ca="1">IFERROR(__xludf.DUMMYFUNCTION("""COMPUTED_VALUE"""),20000000)</f>
        <v>20000000</v>
      </c>
      <c r="G40" s="10" t="str">
        <f ca="1">IFERROR(__xludf.DUMMYFUNCTION("""COMPUTED_VALUE"""),"Resolución")</f>
        <v>Resolución</v>
      </c>
      <c r="H40" s="10" t="str">
        <f ca="1">IFERROR(__xludf.DUMMYFUNCTION("""COMPUTED_VALUE"""),"Asistencia Técnica")</f>
        <v>Asistencia Técnica</v>
      </c>
      <c r="I40" s="10" t="str">
        <f ca="1">IFERROR(__xludf.DUMMYFUNCTION("""COMPUTED_VALUE"""),"Cumplir con normativa y reglamentos internos del programa en base a los objetivos.")</f>
        <v>Cumplir con normativa y reglamentos internos del programa en base a los objetivos.</v>
      </c>
      <c r="J40" s="11">
        <f ca="1">IFERROR(__xludf.DUMMYFUNCTION("""COMPUTED_VALUE"""),20000000)</f>
        <v>20000000</v>
      </c>
      <c r="K40" s="27">
        <f ca="1">IFERROR(__xludf.DUMMYFUNCTION("""COMPUTED_VALUE"""),1)</f>
        <v>1</v>
      </c>
      <c r="L40" s="28">
        <f ca="1">IFERROR(__xludf.DUMMYFUNCTION("""COMPUTED_VALUE"""),12451)</f>
        <v>12451</v>
      </c>
      <c r="M40" s="10" t="str">
        <f ca="1">IFERROR(__xludf.DUMMYFUNCTION("""COMPUTED_VALUE"""),"Programa Modernización Municipal")</f>
        <v>Programa Modernización Municipal</v>
      </c>
      <c r="N40" s="29"/>
      <c r="O40" s="30"/>
      <c r="P40" s="30"/>
      <c r="Q40" s="30"/>
      <c r="R40" s="30"/>
      <c r="S40" s="30"/>
      <c r="T40" s="30"/>
      <c r="U40" s="30"/>
      <c r="V40" s="30"/>
      <c r="W40" s="30"/>
      <c r="X40" s="30"/>
      <c r="Y40" s="30"/>
      <c r="Z40" s="30"/>
    </row>
    <row r="41" spans="1:26" ht="12.75" customHeight="1">
      <c r="A41" s="25"/>
      <c r="B41" s="10" t="str">
        <f ca="1">IFERROR(__xludf.DUMMYFUNCTION("""COMPUTED_VALUE"""),"Adquisición Equipamiento Computacional, Actualización Sistemas Sifim")</f>
        <v>Adquisición Equipamiento Computacional, Actualización Sistemas Sifim</v>
      </c>
      <c r="C41" s="26" t="str">
        <f t="shared" ca="1" si="0"/>
        <v xml:space="preserve"> PINTO</v>
      </c>
      <c r="D41" s="10" t="str">
        <f ca="1">IFERROR(__xludf.DUMMYFUNCTION("""COMPUTED_VALUE"""),"Guía Operativa")</f>
        <v>Guía Operativa</v>
      </c>
      <c r="E41" s="26" t="str">
        <f ca="1">IFERROR(__xludf.DUMMYFUNCTION("""COMPUTED_VALUE"""),"MUNICIPALIDAD DE PINTO")</f>
        <v>MUNICIPALIDAD DE PINTO</v>
      </c>
      <c r="F41" s="11">
        <f ca="1">IFERROR(__xludf.DUMMYFUNCTION("""COMPUTED_VALUE"""),20000000)</f>
        <v>20000000</v>
      </c>
      <c r="G41" s="10" t="str">
        <f ca="1">IFERROR(__xludf.DUMMYFUNCTION("""COMPUTED_VALUE"""),"Resolución")</f>
        <v>Resolución</v>
      </c>
      <c r="H41" s="10" t="str">
        <f ca="1">IFERROR(__xludf.DUMMYFUNCTION("""COMPUTED_VALUE"""),"Adquisición Equipamiento Computacional, Actualización Sistemas Sifim")</f>
        <v>Adquisición Equipamiento Computacional, Actualización Sistemas Sifim</v>
      </c>
      <c r="I41" s="10" t="str">
        <f ca="1">IFERROR(__xludf.DUMMYFUNCTION("""COMPUTED_VALUE"""),"Cumplir con normativa y reglamentos internos del programa en base a los objetivos.")</f>
        <v>Cumplir con normativa y reglamentos internos del programa en base a los objetivos.</v>
      </c>
      <c r="J41" s="11">
        <f ca="1">IFERROR(__xludf.DUMMYFUNCTION("""COMPUTED_VALUE"""),20000000)</f>
        <v>20000000</v>
      </c>
      <c r="K41" s="27">
        <f ca="1">IFERROR(__xludf.DUMMYFUNCTION("""COMPUTED_VALUE"""),1)</f>
        <v>1</v>
      </c>
      <c r="L41" s="28">
        <f ca="1">IFERROR(__xludf.DUMMYFUNCTION("""COMPUTED_VALUE"""),12451)</f>
        <v>12451</v>
      </c>
      <c r="M41" s="10" t="str">
        <f ca="1">IFERROR(__xludf.DUMMYFUNCTION("""COMPUTED_VALUE"""),"Programa Modernización Municipal")</f>
        <v>Programa Modernización Municipal</v>
      </c>
      <c r="N41" s="29"/>
      <c r="O41" s="30"/>
      <c r="P41" s="30"/>
      <c r="Q41" s="30"/>
      <c r="R41" s="30"/>
      <c r="S41" s="30"/>
      <c r="T41" s="30"/>
      <c r="U41" s="30"/>
      <c r="V41" s="30"/>
      <c r="W41" s="30"/>
      <c r="X41" s="30"/>
      <c r="Y41" s="30"/>
      <c r="Z41" s="30"/>
    </row>
    <row r="42" spans="1:26" ht="12.75" customHeight="1">
      <c r="A42" s="25"/>
      <c r="B42" s="10" t="str">
        <f ca="1">IFERROR(__xludf.DUMMYFUNCTION("""COMPUTED_VALUE"""),"Apoyos Contables Especialistas, Adquisición Equipamiento Computacional")</f>
        <v>Apoyos Contables Especialistas, Adquisición Equipamiento Computacional</v>
      </c>
      <c r="C42" s="26" t="str">
        <f t="shared" ca="1" si="0"/>
        <v xml:space="preserve"> QUILACO</v>
      </c>
      <c r="D42" s="10" t="str">
        <f ca="1">IFERROR(__xludf.DUMMYFUNCTION("""COMPUTED_VALUE"""),"Guía Operativa")</f>
        <v>Guía Operativa</v>
      </c>
      <c r="E42" s="26" t="str">
        <f ca="1">IFERROR(__xludf.DUMMYFUNCTION("""COMPUTED_VALUE"""),"MUNICIPALIDAD DE QUILACO")</f>
        <v>MUNICIPALIDAD DE QUILACO</v>
      </c>
      <c r="F42" s="11">
        <f ca="1">IFERROR(__xludf.DUMMYFUNCTION("""COMPUTED_VALUE"""),20000000)</f>
        <v>20000000</v>
      </c>
      <c r="G42" s="10" t="str">
        <f ca="1">IFERROR(__xludf.DUMMYFUNCTION("""COMPUTED_VALUE"""),"Resolución")</f>
        <v>Resolución</v>
      </c>
      <c r="H42" s="10" t="str">
        <f ca="1">IFERROR(__xludf.DUMMYFUNCTION("""COMPUTED_VALUE"""),"Apoyos Contables Especialistas, Adquisición Equipamiento Computacional")</f>
        <v>Apoyos Contables Especialistas, Adquisición Equipamiento Computacional</v>
      </c>
      <c r="I42" s="10" t="str">
        <f ca="1">IFERROR(__xludf.DUMMYFUNCTION("""COMPUTED_VALUE"""),"Cumplir con normativa y reglamentos internos del programa en base a los objetivos.")</f>
        <v>Cumplir con normativa y reglamentos internos del programa en base a los objetivos.</v>
      </c>
      <c r="J42" s="11">
        <f ca="1">IFERROR(__xludf.DUMMYFUNCTION("""COMPUTED_VALUE"""),20000000)</f>
        <v>20000000</v>
      </c>
      <c r="K42" s="27">
        <f ca="1">IFERROR(__xludf.DUMMYFUNCTION("""COMPUTED_VALUE"""),1)</f>
        <v>1</v>
      </c>
      <c r="L42" s="28">
        <f ca="1">IFERROR(__xludf.DUMMYFUNCTION("""COMPUTED_VALUE"""),12451)</f>
        <v>12451</v>
      </c>
      <c r="M42" s="10" t="str">
        <f ca="1">IFERROR(__xludf.DUMMYFUNCTION("""COMPUTED_VALUE"""),"Programa Modernización Municipal")</f>
        <v>Programa Modernización Municipal</v>
      </c>
      <c r="N42" s="29"/>
      <c r="O42" s="30"/>
      <c r="P42" s="30"/>
      <c r="Q42" s="30"/>
      <c r="R42" s="30"/>
      <c r="S42" s="30"/>
      <c r="T42" s="30"/>
      <c r="U42" s="30"/>
      <c r="V42" s="30"/>
      <c r="W42" s="30"/>
      <c r="X42" s="30"/>
      <c r="Y42" s="30"/>
      <c r="Z42" s="30"/>
    </row>
    <row r="43" spans="1:26" ht="12.75" customHeight="1">
      <c r="A43" s="25"/>
      <c r="B43" s="10" t="str">
        <f ca="1">IFERROR(__xludf.DUMMYFUNCTION("""COMPUTED_VALUE"""),"Adquisición Computadores Y Ups")</f>
        <v>Adquisición Computadores Y Ups</v>
      </c>
      <c r="C43" s="26" t="str">
        <f t="shared" ca="1" si="0"/>
        <v xml:space="preserve"> SAAVEDRA</v>
      </c>
      <c r="D43" s="10" t="str">
        <f ca="1">IFERROR(__xludf.DUMMYFUNCTION("""COMPUTED_VALUE"""),"Guía Operativa")</f>
        <v>Guía Operativa</v>
      </c>
      <c r="E43" s="26" t="str">
        <f ca="1">IFERROR(__xludf.DUMMYFUNCTION("""COMPUTED_VALUE"""),"MUNICIPALIDAD DE SAAVEDRA")</f>
        <v>MUNICIPALIDAD DE SAAVEDRA</v>
      </c>
      <c r="F43" s="11">
        <f ca="1">IFERROR(__xludf.DUMMYFUNCTION("""COMPUTED_VALUE"""),20000000)</f>
        <v>20000000</v>
      </c>
      <c r="G43" s="10" t="str">
        <f ca="1">IFERROR(__xludf.DUMMYFUNCTION("""COMPUTED_VALUE"""),"Resolución")</f>
        <v>Resolución</v>
      </c>
      <c r="H43" s="10" t="str">
        <f ca="1">IFERROR(__xludf.DUMMYFUNCTION("""COMPUTED_VALUE"""),"Adquisición Computadores Y Ups")</f>
        <v>Adquisición Computadores Y Ups</v>
      </c>
      <c r="I43" s="10" t="str">
        <f ca="1">IFERROR(__xludf.DUMMYFUNCTION("""COMPUTED_VALUE"""),"Cumplir con normativa y reglamentos internos del programa en base a los objetivos.")</f>
        <v>Cumplir con normativa y reglamentos internos del programa en base a los objetivos.</v>
      </c>
      <c r="J43" s="11">
        <f ca="1">IFERROR(__xludf.DUMMYFUNCTION("""COMPUTED_VALUE"""),20000000)</f>
        <v>20000000</v>
      </c>
      <c r="K43" s="27">
        <f ca="1">IFERROR(__xludf.DUMMYFUNCTION("""COMPUTED_VALUE"""),1)</f>
        <v>1</v>
      </c>
      <c r="L43" s="28">
        <f ca="1">IFERROR(__xludf.DUMMYFUNCTION("""COMPUTED_VALUE"""),12451)</f>
        <v>12451</v>
      </c>
      <c r="M43" s="10" t="str">
        <f ca="1">IFERROR(__xludf.DUMMYFUNCTION("""COMPUTED_VALUE"""),"Programa Modernización Municipal")</f>
        <v>Programa Modernización Municipal</v>
      </c>
      <c r="N43" s="29"/>
      <c r="O43" s="30"/>
      <c r="P43" s="30"/>
      <c r="Q43" s="30"/>
      <c r="R43" s="30"/>
      <c r="S43" s="30"/>
      <c r="T43" s="30"/>
      <c r="U43" s="30"/>
      <c r="V43" s="30"/>
      <c r="W43" s="30"/>
      <c r="X43" s="30"/>
      <c r="Y43" s="30"/>
      <c r="Z43" s="30"/>
    </row>
    <row r="44" spans="1:26" ht="12.75" customHeight="1">
      <c r="A44" s="25"/>
      <c r="B44" s="10" t="str">
        <f ca="1">IFERROR(__xludf.DUMMYFUNCTION("""COMPUTED_VALUE"""),"Adquisición Firewall")</f>
        <v>Adquisición Firewall</v>
      </c>
      <c r="C44" s="26" t="str">
        <f t="shared" ca="1" si="0"/>
        <v xml:space="preserve"> MÁFIL</v>
      </c>
      <c r="D44" s="10" t="str">
        <f ca="1">IFERROR(__xludf.DUMMYFUNCTION("""COMPUTED_VALUE"""),"Guía Operativa")</f>
        <v>Guía Operativa</v>
      </c>
      <c r="E44" s="26" t="str">
        <f ca="1">IFERROR(__xludf.DUMMYFUNCTION("""COMPUTED_VALUE"""),"MUNICIPALIDAD DE MÁFIL")</f>
        <v>MUNICIPALIDAD DE MÁFIL</v>
      </c>
      <c r="F44" s="11">
        <f ca="1">IFERROR(__xludf.DUMMYFUNCTION("""COMPUTED_VALUE"""),2800000)</f>
        <v>2800000</v>
      </c>
      <c r="G44" s="10" t="str">
        <f ca="1">IFERROR(__xludf.DUMMYFUNCTION("""COMPUTED_VALUE"""),"Resolución")</f>
        <v>Resolución</v>
      </c>
      <c r="H44" s="10" t="str">
        <f ca="1">IFERROR(__xludf.DUMMYFUNCTION("""COMPUTED_VALUE"""),"Adquisición Firewall")</f>
        <v>Adquisición Firewall</v>
      </c>
      <c r="I44" s="10" t="str">
        <f ca="1">IFERROR(__xludf.DUMMYFUNCTION("""COMPUTED_VALUE"""),"Cumplir con normativa y reglamentos internos del programa en base a los objetivos.")</f>
        <v>Cumplir con normativa y reglamentos internos del programa en base a los objetivos.</v>
      </c>
      <c r="J44" s="11">
        <f ca="1">IFERROR(__xludf.DUMMYFUNCTION("""COMPUTED_VALUE"""),2800000)</f>
        <v>2800000</v>
      </c>
      <c r="K44" s="27">
        <f ca="1">IFERROR(__xludf.DUMMYFUNCTION("""COMPUTED_VALUE"""),1)</f>
        <v>1</v>
      </c>
      <c r="L44" s="28">
        <f ca="1">IFERROR(__xludf.DUMMYFUNCTION("""COMPUTED_VALUE"""),12451)</f>
        <v>12451</v>
      </c>
      <c r="M44" s="10" t="str">
        <f ca="1">IFERROR(__xludf.DUMMYFUNCTION("""COMPUTED_VALUE"""),"Programa Modernización Municipal")</f>
        <v>Programa Modernización Municipal</v>
      </c>
      <c r="N44" s="29"/>
      <c r="O44" s="30"/>
      <c r="P44" s="30"/>
      <c r="Q44" s="30"/>
      <c r="R44" s="30"/>
      <c r="S44" s="30"/>
      <c r="T44" s="30"/>
      <c r="U44" s="30"/>
      <c r="V44" s="30"/>
      <c r="W44" s="30"/>
      <c r="X44" s="30"/>
      <c r="Y44" s="30"/>
      <c r="Z44" s="30"/>
    </row>
    <row r="45" spans="1:26" ht="12.75" customHeight="1">
      <c r="A45" s="25"/>
      <c r="B45" s="10" t="str">
        <f ca="1">IFERROR(__xludf.DUMMYFUNCTION("""COMPUTED_VALUE"""),"Adquisición Equipamiento Computacional")</f>
        <v>Adquisición Equipamiento Computacional</v>
      </c>
      <c r="C45" s="26" t="str">
        <f t="shared" ca="1" si="0"/>
        <v xml:space="preserve"> LAGO RANCO</v>
      </c>
      <c r="D45" s="10" t="str">
        <f ca="1">IFERROR(__xludf.DUMMYFUNCTION("""COMPUTED_VALUE"""),"Guía Operativa")</f>
        <v>Guía Operativa</v>
      </c>
      <c r="E45" s="26" t="str">
        <f ca="1">IFERROR(__xludf.DUMMYFUNCTION("""COMPUTED_VALUE"""),"MUNICIPALIDAD DE LAGO RANCO")</f>
        <v>MUNICIPALIDAD DE LAGO RANCO</v>
      </c>
      <c r="F45" s="11">
        <f ca="1">IFERROR(__xludf.DUMMYFUNCTION("""COMPUTED_VALUE"""),10000000)</f>
        <v>10000000</v>
      </c>
      <c r="G45" s="10" t="str">
        <f ca="1">IFERROR(__xludf.DUMMYFUNCTION("""COMPUTED_VALUE"""),"Resolución")</f>
        <v>Resolución</v>
      </c>
      <c r="H45" s="10" t="str">
        <f ca="1">IFERROR(__xludf.DUMMYFUNCTION("""COMPUTED_VALUE"""),"Adquisición Equipamiento Computacional")</f>
        <v>Adquisición Equipamiento Computacional</v>
      </c>
      <c r="I45" s="10" t="str">
        <f ca="1">IFERROR(__xludf.DUMMYFUNCTION("""COMPUTED_VALUE"""),"Cumplir con normativa y reglamentos internos del programa en base a los objetivos.")</f>
        <v>Cumplir con normativa y reglamentos internos del programa en base a los objetivos.</v>
      </c>
      <c r="J45" s="11">
        <f ca="1">IFERROR(__xludf.DUMMYFUNCTION("""COMPUTED_VALUE"""),10000000)</f>
        <v>10000000</v>
      </c>
      <c r="K45" s="27">
        <f ca="1">IFERROR(__xludf.DUMMYFUNCTION("""COMPUTED_VALUE"""),1)</f>
        <v>1</v>
      </c>
      <c r="L45" s="28">
        <f ca="1">IFERROR(__xludf.DUMMYFUNCTION("""COMPUTED_VALUE"""),12451)</f>
        <v>12451</v>
      </c>
      <c r="M45" s="10" t="str">
        <f ca="1">IFERROR(__xludf.DUMMYFUNCTION("""COMPUTED_VALUE"""),"Programa Modernización Municipal")</f>
        <v>Programa Modernización Municipal</v>
      </c>
      <c r="N45" s="29"/>
      <c r="O45" s="30"/>
      <c r="P45" s="30"/>
      <c r="Q45" s="30"/>
      <c r="R45" s="30"/>
      <c r="S45" s="30"/>
      <c r="T45" s="30"/>
      <c r="U45" s="30"/>
      <c r="V45" s="30"/>
      <c r="W45" s="30"/>
      <c r="X45" s="30"/>
      <c r="Y45" s="30"/>
      <c r="Z45" s="30"/>
    </row>
    <row r="46" spans="1:26" ht="12.75" customHeight="1">
      <c r="A46" s="25"/>
      <c r="B46" s="10" t="str">
        <f ca="1">IFERROR(__xludf.DUMMYFUNCTION("""COMPUTED_VALUE"""),"Servicio De Gestor Documental Por 2 Años")</f>
        <v>Servicio De Gestor Documental Por 2 Años</v>
      </c>
      <c r="C46" s="26" t="str">
        <f t="shared" ca="1" si="0"/>
        <v xml:space="preserve"> PUQUELDÓN</v>
      </c>
      <c r="D46" s="10" t="str">
        <f ca="1">IFERROR(__xludf.DUMMYFUNCTION("""COMPUTED_VALUE"""),"Guía Operativa")</f>
        <v>Guía Operativa</v>
      </c>
      <c r="E46" s="26" t="str">
        <f ca="1">IFERROR(__xludf.DUMMYFUNCTION("""COMPUTED_VALUE"""),"MUNICIPALIDAD DE PUQUELDÓN")</f>
        <v>MUNICIPALIDAD DE PUQUELDÓN</v>
      </c>
      <c r="F46" s="11">
        <f ca="1">IFERROR(__xludf.DUMMYFUNCTION("""COMPUTED_VALUE"""),20000000)</f>
        <v>20000000</v>
      </c>
      <c r="G46" s="10" t="str">
        <f ca="1">IFERROR(__xludf.DUMMYFUNCTION("""COMPUTED_VALUE"""),"Resolución")</f>
        <v>Resolución</v>
      </c>
      <c r="H46" s="10" t="str">
        <f ca="1">IFERROR(__xludf.DUMMYFUNCTION("""COMPUTED_VALUE"""),"Servicio De Gestor Documental Por 2 Años")</f>
        <v>Servicio De Gestor Documental Por 2 Años</v>
      </c>
      <c r="I46" s="10" t="str">
        <f ca="1">IFERROR(__xludf.DUMMYFUNCTION("""COMPUTED_VALUE"""),"Cumplir con normativa y reglamentos internos del programa en base a los objetivos.")</f>
        <v>Cumplir con normativa y reglamentos internos del programa en base a los objetivos.</v>
      </c>
      <c r="J46" s="11">
        <f ca="1">IFERROR(__xludf.DUMMYFUNCTION("""COMPUTED_VALUE"""),20000000)</f>
        <v>20000000</v>
      </c>
      <c r="K46" s="27">
        <f ca="1">IFERROR(__xludf.DUMMYFUNCTION("""COMPUTED_VALUE"""),1)</f>
        <v>1</v>
      </c>
      <c r="L46" s="28">
        <f ca="1">IFERROR(__xludf.DUMMYFUNCTION("""COMPUTED_VALUE"""),12451)</f>
        <v>12451</v>
      </c>
      <c r="M46" s="10" t="str">
        <f ca="1">IFERROR(__xludf.DUMMYFUNCTION("""COMPUTED_VALUE"""),"Programa Modernización Municipal")</f>
        <v>Programa Modernización Municipal</v>
      </c>
      <c r="N46" s="29"/>
      <c r="O46" s="30"/>
      <c r="P46" s="30"/>
      <c r="Q46" s="30"/>
      <c r="R46" s="30"/>
      <c r="S46" s="30"/>
      <c r="T46" s="30"/>
      <c r="U46" s="30"/>
      <c r="V46" s="30"/>
      <c r="W46" s="30"/>
      <c r="X46" s="30"/>
      <c r="Y46" s="30"/>
      <c r="Z46" s="30"/>
    </row>
    <row r="47" spans="1:26" ht="12.75" customHeight="1">
      <c r="A47" s="25"/>
      <c r="B47" s="10" t="str">
        <f ca="1">IFERROR(__xludf.DUMMYFUNCTION("""COMPUTED_VALUE"""),"Servicio Asesoría Contable Y Sistemas Sifim , Actualización Permisos De Circulación")</f>
        <v>Servicio Asesoría Contable Y Sistemas Sifim , Actualización Permisos De Circulación</v>
      </c>
      <c r="C47" s="26" t="str">
        <f t="shared" ca="1" si="0"/>
        <v xml:space="preserve"> LAGUNA BLANCA</v>
      </c>
      <c r="D47" s="10" t="str">
        <f ca="1">IFERROR(__xludf.DUMMYFUNCTION("""COMPUTED_VALUE"""),"Guía Operativa")</f>
        <v>Guía Operativa</v>
      </c>
      <c r="E47" s="26" t="str">
        <f ca="1">IFERROR(__xludf.DUMMYFUNCTION("""COMPUTED_VALUE"""),"MUNICIPALIDAD DE LAGUNA BLANCA")</f>
        <v>MUNICIPALIDAD DE LAGUNA BLANCA</v>
      </c>
      <c r="F47" s="11">
        <f ca="1">IFERROR(__xludf.DUMMYFUNCTION("""COMPUTED_VALUE"""),10000000)</f>
        <v>10000000</v>
      </c>
      <c r="G47" s="10" t="str">
        <f ca="1">IFERROR(__xludf.DUMMYFUNCTION("""COMPUTED_VALUE"""),"Resolución")</f>
        <v>Resolución</v>
      </c>
      <c r="H47" s="10" t="str">
        <f ca="1">IFERROR(__xludf.DUMMYFUNCTION("""COMPUTED_VALUE"""),"Servicio Asesoría Contable Y Sistemas Sifim , Actualización Permisos De Circulación")</f>
        <v>Servicio Asesoría Contable Y Sistemas Sifim , Actualización Permisos De Circulación</v>
      </c>
      <c r="I47" s="10" t="str">
        <f ca="1">IFERROR(__xludf.DUMMYFUNCTION("""COMPUTED_VALUE"""),"Cumplir con normativa y reglamentos internos del programa en base a los objetivos.")</f>
        <v>Cumplir con normativa y reglamentos internos del programa en base a los objetivos.</v>
      </c>
      <c r="J47" s="11">
        <f ca="1">IFERROR(__xludf.DUMMYFUNCTION("""COMPUTED_VALUE"""),10000000)</f>
        <v>10000000</v>
      </c>
      <c r="K47" s="27">
        <f ca="1">IFERROR(__xludf.DUMMYFUNCTION("""COMPUTED_VALUE"""),1)</f>
        <v>1</v>
      </c>
      <c r="L47" s="28">
        <f ca="1">IFERROR(__xludf.DUMMYFUNCTION("""COMPUTED_VALUE"""),12451)</f>
        <v>12451</v>
      </c>
      <c r="M47" s="10" t="str">
        <f ca="1">IFERROR(__xludf.DUMMYFUNCTION("""COMPUTED_VALUE"""),"Programa Modernización Municipal")</f>
        <v>Programa Modernización Municipal</v>
      </c>
      <c r="N47" s="29"/>
      <c r="O47" s="30"/>
      <c r="P47" s="30"/>
      <c r="Q47" s="30"/>
      <c r="R47" s="30"/>
      <c r="S47" s="30"/>
      <c r="T47" s="30"/>
      <c r="U47" s="30"/>
      <c r="V47" s="30"/>
      <c r="W47" s="30"/>
      <c r="X47" s="30"/>
      <c r="Y47" s="30"/>
      <c r="Z47" s="30"/>
    </row>
    <row r="48" spans="1:26" ht="12.75" customHeight="1">
      <c r="A48" s="25"/>
      <c r="B48" s="10" t="str">
        <f ca="1">IFERROR(__xludf.DUMMYFUNCTION("""COMPUTED_VALUE"""),"Actualización Sistemas Sifim, Conectividad Satelital Portatil Para El Desarrollo Municipal En Terreno")</f>
        <v>Actualización Sistemas Sifim, Conectividad Satelital Portatil Para El Desarrollo Municipal En Terreno</v>
      </c>
      <c r="C48" s="26" t="str">
        <f t="shared" ca="1" si="0"/>
        <v xml:space="preserve"> SAN GREGORIO</v>
      </c>
      <c r="D48" s="10" t="str">
        <f ca="1">IFERROR(__xludf.DUMMYFUNCTION("""COMPUTED_VALUE"""),"Guía Operativa")</f>
        <v>Guía Operativa</v>
      </c>
      <c r="E48" s="26" t="str">
        <f ca="1">IFERROR(__xludf.DUMMYFUNCTION("""COMPUTED_VALUE"""),"MUNICIPALIDAD DE SAN GREGORIO")</f>
        <v>MUNICIPALIDAD DE SAN GREGORIO</v>
      </c>
      <c r="F48" s="11">
        <f ca="1">IFERROR(__xludf.DUMMYFUNCTION("""COMPUTED_VALUE"""),11300000)</f>
        <v>11300000</v>
      </c>
      <c r="G48" s="10" t="str">
        <f ca="1">IFERROR(__xludf.DUMMYFUNCTION("""COMPUTED_VALUE"""),"Resolución")</f>
        <v>Resolución</v>
      </c>
      <c r="H48" s="10" t="str">
        <f ca="1">IFERROR(__xludf.DUMMYFUNCTION("""COMPUTED_VALUE"""),"Actualización Sistemas Sifim, Conectividad Satelital Portatil Para El Desarrollo Municipal En Terreno")</f>
        <v>Actualización Sistemas Sifim, Conectividad Satelital Portatil Para El Desarrollo Municipal En Terreno</v>
      </c>
      <c r="I48" s="10" t="str">
        <f ca="1">IFERROR(__xludf.DUMMYFUNCTION("""COMPUTED_VALUE"""),"Cumplir con normativa y reglamentos internos del programa en base a los objetivos.")</f>
        <v>Cumplir con normativa y reglamentos internos del programa en base a los objetivos.</v>
      </c>
      <c r="J48" s="11">
        <f ca="1">IFERROR(__xludf.DUMMYFUNCTION("""COMPUTED_VALUE"""),11300000)</f>
        <v>11300000</v>
      </c>
      <c r="K48" s="27">
        <f ca="1">IFERROR(__xludf.DUMMYFUNCTION("""COMPUTED_VALUE"""),1)</f>
        <v>1</v>
      </c>
      <c r="L48" s="28">
        <f ca="1">IFERROR(__xludf.DUMMYFUNCTION("""COMPUTED_VALUE"""),12451)</f>
        <v>12451</v>
      </c>
      <c r="M48" s="10" t="str">
        <f ca="1">IFERROR(__xludf.DUMMYFUNCTION("""COMPUTED_VALUE"""),"Programa Modernización Municipal")</f>
        <v>Programa Modernización Municipal</v>
      </c>
      <c r="N48" s="29"/>
      <c r="O48" s="30"/>
      <c r="P48" s="30"/>
      <c r="Q48" s="30"/>
      <c r="R48" s="30"/>
      <c r="S48" s="30"/>
      <c r="T48" s="30"/>
      <c r="U48" s="30"/>
      <c r="V48" s="30"/>
      <c r="W48" s="30"/>
      <c r="X48" s="30"/>
      <c r="Y48" s="30"/>
      <c r="Z48" s="30"/>
    </row>
    <row r="49" spans="1:26" ht="12.75" customHeight="1">
      <c r="A49" s="25"/>
      <c r="B49" s="10" t="str">
        <f ca="1">IFERROR(__xludf.DUMMYFUNCTION("""COMPUTED_VALUE"""),"Recambio De Computadores")</f>
        <v>Recambio De Computadores</v>
      </c>
      <c r="C49" s="26" t="str">
        <f t="shared" ca="1" si="0"/>
        <v xml:space="preserve"> RÍO IBÁÑEZ</v>
      </c>
      <c r="D49" s="10" t="str">
        <f ca="1">IFERROR(__xludf.DUMMYFUNCTION("""COMPUTED_VALUE"""),"Guía Operativa")</f>
        <v>Guía Operativa</v>
      </c>
      <c r="E49" s="26" t="str">
        <f ca="1">IFERROR(__xludf.DUMMYFUNCTION("""COMPUTED_VALUE"""),"MUNICIPALIDAD DE RÍO IBÁÑEZ")</f>
        <v>MUNICIPALIDAD DE RÍO IBÁÑEZ</v>
      </c>
      <c r="F49" s="11">
        <f ca="1">IFERROR(__xludf.DUMMYFUNCTION("""COMPUTED_VALUE"""),10000000)</f>
        <v>10000000</v>
      </c>
      <c r="G49" s="10" t="str">
        <f ca="1">IFERROR(__xludf.DUMMYFUNCTION("""COMPUTED_VALUE"""),"Resolución")</f>
        <v>Resolución</v>
      </c>
      <c r="H49" s="10" t="str">
        <f ca="1">IFERROR(__xludf.DUMMYFUNCTION("""COMPUTED_VALUE"""),"Recambio De Computadores")</f>
        <v>Recambio De Computadores</v>
      </c>
      <c r="I49" s="10" t="str">
        <f ca="1">IFERROR(__xludf.DUMMYFUNCTION("""COMPUTED_VALUE"""),"Cumplir con normativa y reglamentos internos del programa en base a los objetivos.")</f>
        <v>Cumplir con normativa y reglamentos internos del programa en base a los objetivos.</v>
      </c>
      <c r="J49" s="11">
        <f ca="1">IFERROR(__xludf.DUMMYFUNCTION("""COMPUTED_VALUE"""),10000000)</f>
        <v>10000000</v>
      </c>
      <c r="K49" s="27">
        <f ca="1">IFERROR(__xludf.DUMMYFUNCTION("""COMPUTED_VALUE"""),1)</f>
        <v>1</v>
      </c>
      <c r="L49" s="28">
        <f ca="1">IFERROR(__xludf.DUMMYFUNCTION("""COMPUTED_VALUE"""),12451)</f>
        <v>12451</v>
      </c>
      <c r="M49" s="10" t="str">
        <f ca="1">IFERROR(__xludf.DUMMYFUNCTION("""COMPUTED_VALUE"""),"Programa Modernización Municipal")</f>
        <v>Programa Modernización Municipal</v>
      </c>
      <c r="N49" s="29"/>
      <c r="O49" s="30"/>
      <c r="P49" s="30"/>
      <c r="Q49" s="30"/>
      <c r="R49" s="30"/>
      <c r="S49" s="30"/>
      <c r="T49" s="30"/>
      <c r="U49" s="30"/>
      <c r="V49" s="30"/>
      <c r="W49" s="30"/>
      <c r="X49" s="30"/>
      <c r="Y49" s="30"/>
      <c r="Z49" s="30"/>
    </row>
    <row r="50" spans="1:26" ht="12.75" customHeight="1">
      <c r="A50" s="25"/>
      <c r="B50" s="10"/>
      <c r="C50" s="26"/>
      <c r="D50" s="10"/>
      <c r="E50" s="26"/>
      <c r="F50" s="11"/>
      <c r="G50" s="10"/>
      <c r="H50" s="10"/>
      <c r="I50" s="10"/>
      <c r="J50" s="11"/>
      <c r="K50" s="27"/>
      <c r="L50" s="28"/>
      <c r="M50" s="10"/>
      <c r="N50" s="29"/>
      <c r="O50" s="30"/>
      <c r="P50" s="30"/>
      <c r="Q50" s="30"/>
      <c r="R50" s="30"/>
      <c r="S50" s="30"/>
      <c r="T50" s="30"/>
      <c r="U50" s="30"/>
      <c r="V50" s="30"/>
      <c r="W50" s="30"/>
      <c r="X50" s="30"/>
      <c r="Y50" s="30"/>
      <c r="Z50" s="30"/>
    </row>
    <row r="51" spans="1:26" ht="12.75" customHeight="1">
      <c r="A51" s="25"/>
      <c r="B51" s="10"/>
      <c r="C51" s="26"/>
      <c r="D51" s="10"/>
      <c r="E51" s="26"/>
      <c r="F51" s="11"/>
      <c r="G51" s="10"/>
      <c r="H51" s="10"/>
      <c r="I51" s="10"/>
      <c r="J51" s="11"/>
      <c r="K51" s="27"/>
      <c r="L51" s="28"/>
      <c r="M51" s="10"/>
      <c r="N51" s="29"/>
      <c r="O51" s="30"/>
      <c r="P51" s="30"/>
      <c r="Q51" s="30"/>
      <c r="R51" s="30"/>
      <c r="S51" s="30"/>
      <c r="T51" s="30"/>
      <c r="U51" s="30"/>
      <c r="V51" s="30"/>
      <c r="W51" s="30"/>
      <c r="X51" s="30"/>
      <c r="Y51" s="30"/>
      <c r="Z51" s="30"/>
    </row>
    <row r="52" spans="1:26" ht="12.75" hidden="1" customHeight="1">
      <c r="A52" s="25"/>
      <c r="B52" s="10"/>
      <c r="C52" s="26"/>
      <c r="D52" s="10"/>
      <c r="E52" s="26"/>
      <c r="F52" s="11"/>
      <c r="G52" s="10"/>
      <c r="H52" s="10"/>
      <c r="I52" s="10"/>
      <c r="J52" s="11"/>
      <c r="K52" s="27"/>
      <c r="L52" s="28"/>
      <c r="M52" s="10"/>
      <c r="N52" s="29"/>
      <c r="O52" s="30"/>
      <c r="P52" s="30"/>
      <c r="Q52" s="30"/>
      <c r="R52" s="30"/>
      <c r="S52" s="30"/>
      <c r="T52" s="30"/>
      <c r="U52" s="30"/>
      <c r="V52" s="30"/>
      <c r="W52" s="30"/>
      <c r="X52" s="30"/>
      <c r="Y52" s="30"/>
      <c r="Z52" s="30"/>
    </row>
    <row r="53" spans="1:26" ht="12.75" hidden="1" customHeight="1">
      <c r="A53" s="25"/>
      <c r="B53" s="10"/>
      <c r="C53" s="26"/>
      <c r="D53" s="10"/>
      <c r="E53" s="26"/>
      <c r="F53" s="11"/>
      <c r="G53" s="10"/>
      <c r="H53" s="10"/>
      <c r="I53" s="10"/>
      <c r="J53" s="11"/>
      <c r="K53" s="27"/>
      <c r="L53" s="28"/>
      <c r="M53" s="10"/>
      <c r="N53" s="29"/>
      <c r="O53" s="30"/>
      <c r="P53" s="30"/>
      <c r="Q53" s="30"/>
      <c r="R53" s="30"/>
      <c r="S53" s="30"/>
      <c r="T53" s="30"/>
      <c r="U53" s="30"/>
      <c r="V53" s="30"/>
      <c r="W53" s="30"/>
      <c r="X53" s="30"/>
      <c r="Y53" s="30"/>
      <c r="Z53" s="30"/>
    </row>
    <row r="54" spans="1:26" ht="12.75" hidden="1" customHeight="1">
      <c r="A54" s="25"/>
      <c r="B54" s="10"/>
      <c r="C54" s="26"/>
      <c r="D54" s="10"/>
      <c r="E54" s="26"/>
      <c r="F54" s="11"/>
      <c r="G54" s="10"/>
      <c r="H54" s="10"/>
      <c r="I54" s="10"/>
      <c r="J54" s="11"/>
      <c r="K54" s="27"/>
      <c r="L54" s="28"/>
      <c r="M54" s="10"/>
      <c r="N54" s="29"/>
      <c r="O54" s="30"/>
      <c r="P54" s="30"/>
      <c r="Q54" s="30"/>
      <c r="R54" s="30"/>
      <c r="S54" s="30"/>
      <c r="T54" s="30"/>
      <c r="U54" s="30"/>
      <c r="V54" s="30"/>
      <c r="W54" s="30"/>
      <c r="X54" s="30"/>
      <c r="Y54" s="30"/>
      <c r="Z54" s="30"/>
    </row>
    <row r="55" spans="1:26" ht="12.75" hidden="1" customHeight="1">
      <c r="A55" s="25"/>
      <c r="B55" s="10"/>
      <c r="C55" s="26"/>
      <c r="D55" s="10"/>
      <c r="E55" s="26"/>
      <c r="F55" s="11"/>
      <c r="G55" s="10"/>
      <c r="H55" s="10"/>
      <c r="I55" s="10"/>
      <c r="J55" s="11"/>
      <c r="K55" s="27"/>
      <c r="L55" s="28"/>
      <c r="M55" s="10"/>
      <c r="N55" s="29"/>
      <c r="O55" s="30"/>
      <c r="P55" s="30"/>
      <c r="Q55" s="30"/>
      <c r="R55" s="30"/>
      <c r="S55" s="30"/>
      <c r="T55" s="30"/>
      <c r="U55" s="30"/>
      <c r="V55" s="30"/>
      <c r="W55" s="30"/>
      <c r="X55" s="30"/>
      <c r="Y55" s="30"/>
      <c r="Z55" s="30"/>
    </row>
    <row r="56" spans="1:26" ht="12.75" hidden="1" customHeight="1">
      <c r="A56" s="25"/>
      <c r="B56" s="10"/>
      <c r="C56" s="26"/>
      <c r="D56" s="10"/>
      <c r="E56" s="26"/>
      <c r="F56" s="11"/>
      <c r="G56" s="10"/>
      <c r="H56" s="10"/>
      <c r="I56" s="10"/>
      <c r="J56" s="11"/>
      <c r="K56" s="27"/>
      <c r="L56" s="28"/>
      <c r="M56" s="10"/>
      <c r="N56" s="29"/>
      <c r="O56" s="30"/>
      <c r="P56" s="30"/>
      <c r="Q56" s="30"/>
      <c r="R56" s="30"/>
      <c r="S56" s="30"/>
      <c r="T56" s="30"/>
      <c r="U56" s="30"/>
      <c r="V56" s="30"/>
      <c r="W56" s="30"/>
      <c r="X56" s="30"/>
      <c r="Y56" s="30"/>
      <c r="Z56" s="30"/>
    </row>
    <row r="57" spans="1:26" ht="12.75" hidden="1" customHeight="1">
      <c r="A57" s="25"/>
      <c r="B57" s="10"/>
      <c r="C57" s="26"/>
      <c r="D57" s="10"/>
      <c r="E57" s="26"/>
      <c r="F57" s="11"/>
      <c r="G57" s="10"/>
      <c r="H57" s="10"/>
      <c r="I57" s="10"/>
      <c r="J57" s="11"/>
      <c r="K57" s="27"/>
      <c r="L57" s="28"/>
      <c r="M57" s="10"/>
      <c r="N57" s="29"/>
      <c r="O57" s="30"/>
      <c r="P57" s="30"/>
      <c r="Q57" s="30"/>
      <c r="R57" s="30"/>
      <c r="S57" s="30"/>
      <c r="T57" s="30"/>
      <c r="U57" s="30"/>
      <c r="V57" s="30"/>
      <c r="W57" s="30"/>
      <c r="X57" s="30"/>
      <c r="Y57" s="30"/>
      <c r="Z57" s="30"/>
    </row>
    <row r="58" spans="1:26" ht="12.75" hidden="1" customHeight="1">
      <c r="A58" s="25"/>
      <c r="B58" s="10"/>
      <c r="C58" s="26"/>
      <c r="D58" s="10"/>
      <c r="E58" s="26"/>
      <c r="F58" s="11"/>
      <c r="G58" s="10"/>
      <c r="H58" s="10"/>
      <c r="I58" s="10"/>
      <c r="J58" s="11"/>
      <c r="K58" s="27"/>
      <c r="L58" s="28"/>
      <c r="M58" s="10"/>
      <c r="N58" s="29"/>
      <c r="O58" s="30"/>
      <c r="P58" s="30"/>
      <c r="Q58" s="30"/>
      <c r="R58" s="30"/>
      <c r="S58" s="30"/>
      <c r="T58" s="30"/>
      <c r="U58" s="30"/>
      <c r="V58" s="30"/>
      <c r="W58" s="30"/>
      <c r="X58" s="30"/>
      <c r="Y58" s="30"/>
      <c r="Z58" s="30"/>
    </row>
    <row r="59" spans="1:26" ht="12.75" hidden="1" customHeight="1">
      <c r="A59" s="25"/>
      <c r="B59" s="10"/>
      <c r="C59" s="26"/>
      <c r="D59" s="10"/>
      <c r="E59" s="26"/>
      <c r="F59" s="11"/>
      <c r="G59" s="10"/>
      <c r="H59" s="10"/>
      <c r="I59" s="10"/>
      <c r="J59" s="11"/>
      <c r="K59" s="27"/>
      <c r="L59" s="28"/>
      <c r="M59" s="10"/>
      <c r="N59" s="29"/>
      <c r="O59" s="30"/>
      <c r="P59" s="30"/>
      <c r="Q59" s="30"/>
      <c r="R59" s="30"/>
      <c r="S59" s="30"/>
      <c r="T59" s="30"/>
      <c r="U59" s="30"/>
      <c r="V59" s="30"/>
      <c r="W59" s="30"/>
      <c r="X59" s="30"/>
      <c r="Y59" s="30"/>
      <c r="Z59" s="30"/>
    </row>
    <row r="60" spans="1:26" ht="12.75" hidden="1" customHeight="1">
      <c r="A60" s="25"/>
      <c r="B60" s="10"/>
      <c r="C60" s="26"/>
      <c r="D60" s="10"/>
      <c r="E60" s="26"/>
      <c r="F60" s="11"/>
      <c r="G60" s="10"/>
      <c r="H60" s="10"/>
      <c r="I60" s="10"/>
      <c r="J60" s="11"/>
      <c r="K60" s="27"/>
      <c r="L60" s="28"/>
      <c r="M60" s="10"/>
      <c r="N60" s="29"/>
      <c r="O60" s="30"/>
      <c r="P60" s="30"/>
      <c r="Q60" s="30"/>
      <c r="R60" s="30"/>
      <c r="S60" s="30"/>
      <c r="T60" s="30"/>
      <c r="U60" s="30"/>
      <c r="V60" s="30"/>
      <c r="W60" s="30"/>
      <c r="X60" s="30"/>
      <c r="Y60" s="30"/>
      <c r="Z60" s="30"/>
    </row>
    <row r="61" spans="1:26" ht="12.75" hidden="1" customHeight="1">
      <c r="A61" s="25"/>
      <c r="B61" s="10"/>
      <c r="C61" s="26"/>
      <c r="D61" s="10"/>
      <c r="E61" s="26"/>
      <c r="F61" s="11"/>
      <c r="G61" s="10"/>
      <c r="H61" s="10"/>
      <c r="I61" s="10"/>
      <c r="J61" s="11"/>
      <c r="K61" s="27"/>
      <c r="L61" s="28"/>
      <c r="M61" s="10"/>
      <c r="N61" s="29"/>
      <c r="O61" s="30"/>
      <c r="P61" s="30"/>
      <c r="Q61" s="30"/>
      <c r="R61" s="30"/>
      <c r="S61" s="30"/>
      <c r="T61" s="30"/>
      <c r="U61" s="30"/>
      <c r="V61" s="30"/>
      <c r="W61" s="30"/>
      <c r="X61" s="30"/>
      <c r="Y61" s="30"/>
      <c r="Z61" s="30"/>
    </row>
    <row r="62" spans="1:26" ht="12.75" hidden="1" customHeight="1">
      <c r="A62" s="25"/>
      <c r="B62" s="10"/>
      <c r="C62" s="26"/>
      <c r="D62" s="10"/>
      <c r="E62" s="26"/>
      <c r="F62" s="11"/>
      <c r="G62" s="10"/>
      <c r="H62" s="10"/>
      <c r="I62" s="10"/>
      <c r="J62" s="11"/>
      <c r="K62" s="27"/>
      <c r="L62" s="28"/>
      <c r="M62" s="10"/>
      <c r="N62" s="29"/>
      <c r="O62" s="30"/>
      <c r="P62" s="30"/>
      <c r="Q62" s="30"/>
      <c r="R62" s="30"/>
      <c r="S62" s="30"/>
      <c r="T62" s="30"/>
      <c r="U62" s="30"/>
      <c r="V62" s="30"/>
      <c r="W62" s="30"/>
      <c r="X62" s="30"/>
      <c r="Y62" s="30"/>
      <c r="Z62" s="30"/>
    </row>
    <row r="63" spans="1:26" ht="12.75" hidden="1" customHeight="1">
      <c r="A63" s="25"/>
      <c r="B63" s="10"/>
      <c r="C63" s="26"/>
      <c r="D63" s="10"/>
      <c r="E63" s="26"/>
      <c r="F63" s="11"/>
      <c r="G63" s="10"/>
      <c r="H63" s="10"/>
      <c r="I63" s="10"/>
      <c r="J63" s="11"/>
      <c r="K63" s="27"/>
      <c r="L63" s="28"/>
      <c r="M63" s="10"/>
      <c r="N63" s="29"/>
      <c r="O63" s="30"/>
      <c r="P63" s="30"/>
      <c r="Q63" s="30"/>
      <c r="R63" s="30"/>
      <c r="S63" s="30"/>
      <c r="T63" s="30"/>
      <c r="U63" s="30"/>
      <c r="V63" s="30"/>
      <c r="W63" s="30"/>
      <c r="X63" s="30"/>
      <c r="Y63" s="30"/>
      <c r="Z63" s="30"/>
    </row>
    <row r="64" spans="1:26" ht="12.75" hidden="1" customHeight="1">
      <c r="A64" s="25"/>
      <c r="B64" s="10"/>
      <c r="C64" s="26"/>
      <c r="D64" s="10"/>
      <c r="E64" s="26"/>
      <c r="F64" s="11"/>
      <c r="G64" s="10"/>
      <c r="H64" s="10"/>
      <c r="I64" s="10"/>
      <c r="J64" s="11"/>
      <c r="K64" s="27"/>
      <c r="L64" s="28"/>
      <c r="M64" s="10"/>
      <c r="N64" s="29"/>
      <c r="O64" s="30"/>
      <c r="P64" s="30"/>
      <c r="Q64" s="30"/>
      <c r="R64" s="30"/>
      <c r="S64" s="30"/>
      <c r="T64" s="30"/>
      <c r="U64" s="30"/>
      <c r="V64" s="30"/>
      <c r="W64" s="30"/>
      <c r="X64" s="30"/>
      <c r="Y64" s="30"/>
      <c r="Z64" s="30"/>
    </row>
    <row r="65" spans="1:26" ht="12.75" hidden="1" customHeight="1">
      <c r="A65" s="25"/>
      <c r="B65" s="10"/>
      <c r="C65" s="26"/>
      <c r="D65" s="10"/>
      <c r="E65" s="26"/>
      <c r="F65" s="11"/>
      <c r="G65" s="10"/>
      <c r="H65" s="10"/>
      <c r="I65" s="10"/>
      <c r="J65" s="11"/>
      <c r="K65" s="27"/>
      <c r="L65" s="28"/>
      <c r="M65" s="10"/>
      <c r="N65" s="29"/>
      <c r="O65" s="30"/>
      <c r="P65" s="30"/>
      <c r="Q65" s="30"/>
      <c r="R65" s="30"/>
      <c r="S65" s="30"/>
      <c r="T65" s="30"/>
      <c r="U65" s="30"/>
      <c r="V65" s="30"/>
      <c r="W65" s="30"/>
      <c r="X65" s="30"/>
      <c r="Y65" s="30"/>
      <c r="Z65" s="30"/>
    </row>
    <row r="66" spans="1:26" ht="12.75" hidden="1" customHeight="1">
      <c r="A66" s="25"/>
      <c r="B66" s="10"/>
      <c r="C66" s="26"/>
      <c r="D66" s="10"/>
      <c r="E66" s="26"/>
      <c r="F66" s="11"/>
      <c r="G66" s="10"/>
      <c r="H66" s="10"/>
      <c r="I66" s="10"/>
      <c r="J66" s="11"/>
      <c r="K66" s="27"/>
      <c r="L66" s="28"/>
      <c r="M66" s="10"/>
      <c r="N66" s="29"/>
      <c r="O66" s="30"/>
      <c r="P66" s="30"/>
      <c r="Q66" s="30"/>
      <c r="R66" s="30"/>
      <c r="S66" s="30"/>
      <c r="T66" s="30"/>
      <c r="U66" s="30"/>
      <c r="V66" s="30"/>
      <c r="W66" s="30"/>
      <c r="X66" s="30"/>
      <c r="Y66" s="30"/>
      <c r="Z66" s="30"/>
    </row>
    <row r="67" spans="1:26" ht="12.75" hidden="1" customHeight="1">
      <c r="A67" s="25"/>
      <c r="B67" s="10"/>
      <c r="C67" s="26"/>
      <c r="D67" s="10"/>
      <c r="E67" s="26"/>
      <c r="F67" s="11"/>
      <c r="G67" s="10"/>
      <c r="H67" s="10"/>
      <c r="I67" s="10"/>
      <c r="J67" s="11"/>
      <c r="K67" s="27"/>
      <c r="L67" s="28"/>
      <c r="M67" s="10"/>
      <c r="N67" s="29"/>
      <c r="O67" s="30"/>
      <c r="P67" s="30"/>
      <c r="Q67" s="30"/>
      <c r="R67" s="30"/>
      <c r="S67" s="30"/>
      <c r="T67" s="30"/>
      <c r="U67" s="30"/>
      <c r="V67" s="30"/>
      <c r="W67" s="30"/>
      <c r="X67" s="30"/>
      <c r="Y67" s="30"/>
      <c r="Z67" s="30"/>
    </row>
    <row r="68" spans="1:26" ht="12.75" hidden="1" customHeight="1">
      <c r="A68" s="25"/>
      <c r="B68" s="10"/>
      <c r="C68" s="26"/>
      <c r="D68" s="10"/>
      <c r="E68" s="26"/>
      <c r="F68" s="11"/>
      <c r="G68" s="10"/>
      <c r="H68" s="10"/>
      <c r="I68" s="10"/>
      <c r="J68" s="11"/>
      <c r="K68" s="27"/>
      <c r="L68" s="28"/>
      <c r="M68" s="10"/>
      <c r="N68" s="29"/>
      <c r="O68" s="30"/>
      <c r="P68" s="30"/>
      <c r="Q68" s="30"/>
      <c r="R68" s="30"/>
      <c r="S68" s="30"/>
      <c r="T68" s="30"/>
      <c r="U68" s="30"/>
      <c r="V68" s="30"/>
      <c r="W68" s="30"/>
      <c r="X68" s="30"/>
      <c r="Y68" s="30"/>
      <c r="Z68" s="30"/>
    </row>
    <row r="69" spans="1:26" ht="12.75" hidden="1" customHeight="1">
      <c r="A69" s="25"/>
      <c r="B69" s="10"/>
      <c r="C69" s="26"/>
      <c r="D69" s="10"/>
      <c r="E69" s="26"/>
      <c r="F69" s="11"/>
      <c r="G69" s="10"/>
      <c r="H69" s="10"/>
      <c r="I69" s="10"/>
      <c r="J69" s="11"/>
      <c r="K69" s="27"/>
      <c r="L69" s="28"/>
      <c r="M69" s="10"/>
      <c r="N69" s="29"/>
      <c r="O69" s="30"/>
      <c r="P69" s="30"/>
      <c r="Q69" s="30"/>
      <c r="R69" s="30"/>
      <c r="S69" s="30"/>
      <c r="T69" s="30"/>
      <c r="U69" s="30"/>
      <c r="V69" s="30"/>
      <c r="W69" s="30"/>
      <c r="X69" s="30"/>
      <c r="Y69" s="30"/>
      <c r="Z69" s="30"/>
    </row>
    <row r="70" spans="1:26" ht="12.75" hidden="1" customHeight="1">
      <c r="A70" s="25"/>
      <c r="B70" s="10"/>
      <c r="C70" s="26"/>
      <c r="D70" s="10"/>
      <c r="E70" s="26"/>
      <c r="F70" s="11"/>
      <c r="G70" s="10"/>
      <c r="H70" s="10"/>
      <c r="I70" s="10"/>
      <c r="J70" s="11"/>
      <c r="K70" s="27"/>
      <c r="L70" s="28"/>
      <c r="M70" s="10"/>
      <c r="N70" s="29"/>
      <c r="O70" s="30"/>
      <c r="P70" s="30"/>
      <c r="Q70" s="30"/>
      <c r="R70" s="30"/>
      <c r="S70" s="30"/>
      <c r="T70" s="30"/>
      <c r="U70" s="30"/>
      <c r="V70" s="30"/>
      <c r="W70" s="30"/>
      <c r="X70" s="30"/>
      <c r="Y70" s="30"/>
      <c r="Z70" s="30"/>
    </row>
    <row r="71" spans="1:26" ht="12.75" hidden="1" customHeight="1">
      <c r="A71" s="25"/>
      <c r="B71" s="10"/>
      <c r="C71" s="26"/>
      <c r="D71" s="10"/>
      <c r="E71" s="26"/>
      <c r="F71" s="11"/>
      <c r="G71" s="10"/>
      <c r="H71" s="10"/>
      <c r="I71" s="10"/>
      <c r="J71" s="11"/>
      <c r="K71" s="27"/>
      <c r="L71" s="28"/>
      <c r="M71" s="10"/>
      <c r="N71" s="29"/>
      <c r="O71" s="30"/>
      <c r="P71" s="30"/>
      <c r="Q71" s="30"/>
      <c r="R71" s="30"/>
      <c r="S71" s="30"/>
      <c r="T71" s="30"/>
      <c r="U71" s="30"/>
      <c r="V71" s="30"/>
      <c r="W71" s="30"/>
      <c r="X71" s="30"/>
      <c r="Y71" s="30"/>
      <c r="Z71" s="30"/>
    </row>
    <row r="72" spans="1:26" ht="12.75" hidden="1" customHeight="1">
      <c r="A72" s="25"/>
      <c r="B72" s="10"/>
      <c r="C72" s="26"/>
      <c r="D72" s="10"/>
      <c r="E72" s="26"/>
      <c r="F72" s="11"/>
      <c r="G72" s="10"/>
      <c r="H72" s="10"/>
      <c r="I72" s="10"/>
      <c r="J72" s="11"/>
      <c r="K72" s="27"/>
      <c r="L72" s="28"/>
      <c r="M72" s="10"/>
      <c r="N72" s="29"/>
      <c r="O72" s="30"/>
      <c r="P72" s="30"/>
      <c r="Q72" s="30"/>
      <c r="R72" s="30"/>
      <c r="S72" s="30"/>
      <c r="T72" s="30"/>
      <c r="U72" s="30"/>
      <c r="V72" s="30"/>
      <c r="W72" s="30"/>
      <c r="X72" s="30"/>
      <c r="Y72" s="30"/>
      <c r="Z72" s="30"/>
    </row>
    <row r="73" spans="1:26" ht="12.75" hidden="1" customHeight="1">
      <c r="A73" s="25"/>
      <c r="B73" s="10"/>
      <c r="C73" s="26"/>
      <c r="D73" s="10"/>
      <c r="E73" s="26"/>
      <c r="F73" s="11"/>
      <c r="G73" s="10"/>
      <c r="H73" s="10"/>
      <c r="I73" s="10"/>
      <c r="J73" s="11"/>
      <c r="K73" s="27"/>
      <c r="L73" s="28"/>
      <c r="M73" s="10"/>
      <c r="N73" s="29"/>
      <c r="O73" s="30"/>
      <c r="P73" s="30"/>
      <c r="Q73" s="30"/>
      <c r="R73" s="30"/>
      <c r="S73" s="30"/>
      <c r="T73" s="30"/>
      <c r="U73" s="30"/>
      <c r="V73" s="30"/>
      <c r="W73" s="30"/>
      <c r="X73" s="30"/>
      <c r="Y73" s="30"/>
      <c r="Z73" s="30"/>
    </row>
    <row r="74" spans="1:26" ht="12.75" hidden="1" customHeight="1">
      <c r="A74" s="25"/>
      <c r="B74" s="10"/>
      <c r="C74" s="26"/>
      <c r="D74" s="10"/>
      <c r="E74" s="26"/>
      <c r="F74" s="11"/>
      <c r="G74" s="10"/>
      <c r="H74" s="10"/>
      <c r="I74" s="10"/>
      <c r="J74" s="11"/>
      <c r="K74" s="27"/>
      <c r="L74" s="28"/>
      <c r="M74" s="10"/>
      <c r="N74" s="29"/>
      <c r="O74" s="30"/>
      <c r="P74" s="30"/>
      <c r="Q74" s="30"/>
      <c r="R74" s="30"/>
      <c r="S74" s="30"/>
      <c r="T74" s="30"/>
      <c r="U74" s="30"/>
      <c r="V74" s="30"/>
      <c r="W74" s="30"/>
      <c r="X74" s="30"/>
      <c r="Y74" s="30"/>
      <c r="Z74" s="30"/>
    </row>
    <row r="75" spans="1:26" ht="12.75" hidden="1" customHeight="1">
      <c r="A75" s="25"/>
      <c r="B75" s="10"/>
      <c r="C75" s="26"/>
      <c r="D75" s="10"/>
      <c r="E75" s="26"/>
      <c r="F75" s="11"/>
      <c r="G75" s="10"/>
      <c r="H75" s="10"/>
      <c r="I75" s="10"/>
      <c r="J75" s="11"/>
      <c r="K75" s="27"/>
      <c r="L75" s="28"/>
      <c r="M75" s="10"/>
      <c r="N75" s="29"/>
      <c r="O75" s="30"/>
      <c r="P75" s="30"/>
      <c r="Q75" s="30"/>
      <c r="R75" s="30"/>
      <c r="S75" s="30"/>
      <c r="T75" s="30"/>
      <c r="U75" s="30"/>
      <c r="V75" s="30"/>
      <c r="W75" s="30"/>
      <c r="X75" s="30"/>
      <c r="Y75" s="30"/>
      <c r="Z75" s="30"/>
    </row>
    <row r="76" spans="1:26" ht="12.75" hidden="1" customHeight="1">
      <c r="A76" s="25"/>
      <c r="B76" s="10"/>
      <c r="C76" s="26"/>
      <c r="D76" s="10"/>
      <c r="E76" s="26"/>
      <c r="F76" s="11"/>
      <c r="G76" s="10"/>
      <c r="H76" s="10"/>
      <c r="I76" s="10"/>
      <c r="J76" s="11"/>
      <c r="K76" s="27"/>
      <c r="L76" s="28"/>
      <c r="M76" s="10"/>
      <c r="N76" s="29"/>
      <c r="O76" s="30"/>
      <c r="P76" s="30"/>
      <c r="Q76" s="30"/>
      <c r="R76" s="30"/>
      <c r="S76" s="30"/>
      <c r="T76" s="30"/>
      <c r="U76" s="30"/>
      <c r="V76" s="30"/>
      <c r="W76" s="30"/>
      <c r="X76" s="30"/>
      <c r="Y76" s="30"/>
      <c r="Z76" s="30"/>
    </row>
    <row r="77" spans="1:26" ht="12.75" hidden="1" customHeight="1">
      <c r="A77" s="25"/>
      <c r="B77" s="10"/>
      <c r="C77" s="26"/>
      <c r="D77" s="10"/>
      <c r="E77" s="26"/>
      <c r="F77" s="11"/>
      <c r="G77" s="10"/>
      <c r="H77" s="10"/>
      <c r="I77" s="10"/>
      <c r="J77" s="11"/>
      <c r="K77" s="27"/>
      <c r="L77" s="28"/>
      <c r="M77" s="10"/>
      <c r="N77" s="29"/>
      <c r="O77" s="30"/>
      <c r="P77" s="30"/>
      <c r="Q77" s="30"/>
      <c r="R77" s="30"/>
      <c r="S77" s="30"/>
      <c r="T77" s="30"/>
      <c r="U77" s="30"/>
      <c r="V77" s="30"/>
      <c r="W77" s="30"/>
      <c r="X77" s="30"/>
      <c r="Y77" s="30"/>
      <c r="Z77" s="30"/>
    </row>
    <row r="78" spans="1:26" ht="12.75" hidden="1" customHeight="1">
      <c r="A78" s="25"/>
      <c r="B78" s="10"/>
      <c r="C78" s="26"/>
      <c r="D78" s="10"/>
      <c r="E78" s="26"/>
      <c r="F78" s="11"/>
      <c r="G78" s="10"/>
      <c r="H78" s="10"/>
      <c r="I78" s="10"/>
      <c r="J78" s="11"/>
      <c r="K78" s="27"/>
      <c r="L78" s="28"/>
      <c r="M78" s="10"/>
      <c r="N78" s="29"/>
      <c r="O78" s="30"/>
      <c r="P78" s="30"/>
      <c r="Q78" s="30"/>
      <c r="R78" s="30"/>
      <c r="S78" s="30"/>
      <c r="T78" s="30"/>
      <c r="U78" s="30"/>
      <c r="V78" s="30"/>
      <c r="W78" s="30"/>
      <c r="X78" s="30"/>
      <c r="Y78" s="30"/>
      <c r="Z78" s="30"/>
    </row>
    <row r="79" spans="1:26" ht="12.75" hidden="1" customHeight="1">
      <c r="A79" s="25"/>
      <c r="B79" s="10"/>
      <c r="C79" s="26"/>
      <c r="D79" s="10"/>
      <c r="E79" s="26"/>
      <c r="F79" s="11"/>
      <c r="G79" s="10"/>
      <c r="H79" s="10"/>
      <c r="I79" s="10"/>
      <c r="J79" s="11"/>
      <c r="K79" s="27"/>
      <c r="L79" s="28"/>
      <c r="M79" s="10"/>
      <c r="N79" s="29"/>
      <c r="O79" s="30"/>
      <c r="P79" s="30"/>
      <c r="Q79" s="30"/>
      <c r="R79" s="30"/>
      <c r="S79" s="30"/>
      <c r="T79" s="30"/>
      <c r="U79" s="30"/>
      <c r="V79" s="30"/>
      <c r="W79" s="30"/>
      <c r="X79" s="30"/>
      <c r="Y79" s="30"/>
      <c r="Z79" s="30"/>
    </row>
    <row r="80" spans="1:26" ht="12.75" hidden="1" customHeight="1">
      <c r="A80" s="25"/>
      <c r="B80" s="10"/>
      <c r="C80" s="26"/>
      <c r="D80" s="10"/>
      <c r="E80" s="26"/>
      <c r="F80" s="11"/>
      <c r="G80" s="10"/>
      <c r="H80" s="10"/>
      <c r="I80" s="10"/>
      <c r="J80" s="11"/>
      <c r="K80" s="27"/>
      <c r="L80" s="28"/>
      <c r="M80" s="10"/>
      <c r="N80" s="29"/>
      <c r="O80" s="30"/>
      <c r="P80" s="30"/>
      <c r="Q80" s="30"/>
      <c r="R80" s="30"/>
      <c r="S80" s="30"/>
      <c r="T80" s="30"/>
      <c r="U80" s="30"/>
      <c r="V80" s="30"/>
      <c r="W80" s="30"/>
      <c r="X80" s="30"/>
      <c r="Y80" s="30"/>
      <c r="Z80" s="30"/>
    </row>
    <row r="81" spans="1:26" ht="12.75" hidden="1" customHeight="1">
      <c r="A81" s="25"/>
      <c r="B81" s="10"/>
      <c r="C81" s="26"/>
      <c r="D81" s="10"/>
      <c r="E81" s="26"/>
      <c r="F81" s="11"/>
      <c r="G81" s="10"/>
      <c r="H81" s="10"/>
      <c r="I81" s="10"/>
      <c r="J81" s="11"/>
      <c r="K81" s="27"/>
      <c r="L81" s="28"/>
      <c r="M81" s="10"/>
      <c r="N81" s="29"/>
      <c r="O81" s="30"/>
      <c r="P81" s="30"/>
      <c r="Q81" s="30"/>
      <c r="R81" s="30"/>
      <c r="S81" s="30"/>
      <c r="T81" s="30"/>
      <c r="U81" s="30"/>
      <c r="V81" s="30"/>
      <c r="W81" s="30"/>
      <c r="X81" s="30"/>
      <c r="Y81" s="30"/>
      <c r="Z81" s="30"/>
    </row>
    <row r="82" spans="1:26" ht="12.75" hidden="1" customHeight="1">
      <c r="A82" s="25"/>
      <c r="B82" s="10"/>
      <c r="C82" s="26"/>
      <c r="D82" s="10"/>
      <c r="E82" s="26"/>
      <c r="F82" s="11"/>
      <c r="G82" s="10"/>
      <c r="H82" s="10"/>
      <c r="I82" s="10"/>
      <c r="J82" s="11"/>
      <c r="K82" s="27"/>
      <c r="L82" s="28"/>
      <c r="M82" s="10"/>
      <c r="N82" s="29"/>
      <c r="O82" s="30"/>
      <c r="P82" s="30"/>
      <c r="Q82" s="30"/>
      <c r="R82" s="30"/>
      <c r="S82" s="30"/>
      <c r="T82" s="30"/>
      <c r="U82" s="30"/>
      <c r="V82" s="30"/>
      <c r="W82" s="30"/>
      <c r="X82" s="30"/>
      <c r="Y82" s="30"/>
      <c r="Z82" s="30"/>
    </row>
    <row r="83" spans="1:26" ht="12.75" hidden="1" customHeight="1">
      <c r="A83" s="25"/>
      <c r="B83" s="10"/>
      <c r="C83" s="26"/>
      <c r="D83" s="10"/>
      <c r="E83" s="26"/>
      <c r="F83" s="11"/>
      <c r="G83" s="10"/>
      <c r="H83" s="10"/>
      <c r="I83" s="10"/>
      <c r="J83" s="11"/>
      <c r="K83" s="27"/>
      <c r="L83" s="28"/>
      <c r="M83" s="10"/>
      <c r="N83" s="29"/>
      <c r="O83" s="30"/>
      <c r="P83" s="30"/>
      <c r="Q83" s="30"/>
      <c r="R83" s="30"/>
      <c r="S83" s="30"/>
      <c r="T83" s="30"/>
      <c r="U83" s="30"/>
      <c r="V83" s="30"/>
      <c r="W83" s="30"/>
      <c r="X83" s="30"/>
      <c r="Y83" s="30"/>
      <c r="Z83" s="30"/>
    </row>
    <row r="84" spans="1:26" ht="12.75" hidden="1" customHeight="1">
      <c r="A84" s="25"/>
      <c r="B84" s="10"/>
      <c r="C84" s="26"/>
      <c r="D84" s="10"/>
      <c r="E84" s="26"/>
      <c r="F84" s="11"/>
      <c r="G84" s="10"/>
      <c r="H84" s="10"/>
      <c r="I84" s="10"/>
      <c r="J84" s="11"/>
      <c r="K84" s="27"/>
      <c r="L84" s="28"/>
      <c r="M84" s="10"/>
      <c r="N84" s="29"/>
      <c r="O84" s="30"/>
      <c r="P84" s="30"/>
      <c r="Q84" s="30"/>
      <c r="R84" s="30"/>
      <c r="S84" s="30"/>
      <c r="T84" s="30"/>
      <c r="U84" s="30"/>
      <c r="V84" s="30"/>
      <c r="W84" s="30"/>
      <c r="X84" s="30"/>
      <c r="Y84" s="30"/>
      <c r="Z84" s="30"/>
    </row>
    <row r="85" spans="1:26" ht="12.75" hidden="1" customHeight="1">
      <c r="A85" s="25"/>
      <c r="B85" s="10"/>
      <c r="C85" s="26"/>
      <c r="D85" s="10"/>
      <c r="E85" s="26"/>
      <c r="F85" s="11"/>
      <c r="G85" s="10"/>
      <c r="H85" s="10"/>
      <c r="I85" s="10"/>
      <c r="J85" s="11"/>
      <c r="K85" s="27"/>
      <c r="L85" s="28"/>
      <c r="M85" s="10"/>
      <c r="N85" s="29"/>
      <c r="O85" s="30"/>
      <c r="P85" s="30"/>
      <c r="Q85" s="30"/>
      <c r="R85" s="30"/>
      <c r="S85" s="30"/>
      <c r="T85" s="30"/>
      <c r="U85" s="30"/>
      <c r="V85" s="30"/>
      <c r="W85" s="30"/>
      <c r="X85" s="30"/>
      <c r="Y85" s="30"/>
      <c r="Z85" s="30"/>
    </row>
    <row r="86" spans="1:26" ht="12.75" hidden="1" customHeight="1">
      <c r="A86" s="25"/>
      <c r="B86" s="10"/>
      <c r="C86" s="26"/>
      <c r="D86" s="10"/>
      <c r="E86" s="26"/>
      <c r="F86" s="11"/>
      <c r="G86" s="10"/>
      <c r="H86" s="10"/>
      <c r="I86" s="10"/>
      <c r="J86" s="11"/>
      <c r="K86" s="27"/>
      <c r="L86" s="28"/>
      <c r="M86" s="10"/>
      <c r="N86" s="29"/>
      <c r="O86" s="30"/>
      <c r="P86" s="30"/>
      <c r="Q86" s="30"/>
      <c r="R86" s="30"/>
      <c r="S86" s="30"/>
      <c r="T86" s="30"/>
      <c r="U86" s="30"/>
      <c r="V86" s="30"/>
      <c r="W86" s="30"/>
      <c r="X86" s="30"/>
      <c r="Y86" s="30"/>
      <c r="Z86" s="30"/>
    </row>
    <row r="87" spans="1:26" ht="12.75" hidden="1" customHeight="1">
      <c r="A87" s="25"/>
      <c r="B87" s="10"/>
      <c r="C87" s="26"/>
      <c r="D87" s="10"/>
      <c r="E87" s="26"/>
      <c r="F87" s="11"/>
      <c r="G87" s="10"/>
      <c r="H87" s="10"/>
      <c r="I87" s="10"/>
      <c r="J87" s="11"/>
      <c r="K87" s="27"/>
      <c r="L87" s="28"/>
      <c r="M87" s="10"/>
      <c r="N87" s="29"/>
      <c r="O87" s="30"/>
      <c r="P87" s="30"/>
      <c r="Q87" s="30"/>
      <c r="R87" s="30"/>
      <c r="S87" s="30"/>
      <c r="T87" s="30"/>
      <c r="U87" s="30"/>
      <c r="V87" s="30"/>
      <c r="W87" s="30"/>
      <c r="X87" s="30"/>
      <c r="Y87" s="30"/>
      <c r="Z87" s="30"/>
    </row>
    <row r="88" spans="1:26" ht="12.75" hidden="1" customHeight="1">
      <c r="A88" s="25"/>
      <c r="B88" s="10"/>
      <c r="C88" s="26"/>
      <c r="D88" s="10"/>
      <c r="E88" s="26"/>
      <c r="F88" s="11"/>
      <c r="G88" s="10"/>
      <c r="H88" s="10"/>
      <c r="I88" s="10"/>
      <c r="J88" s="11"/>
      <c r="K88" s="27"/>
      <c r="L88" s="28"/>
      <c r="M88" s="10"/>
      <c r="N88" s="29"/>
      <c r="O88" s="30"/>
      <c r="P88" s="30"/>
      <c r="Q88" s="30"/>
      <c r="R88" s="30"/>
      <c r="S88" s="30"/>
      <c r="T88" s="30"/>
      <c r="U88" s="30"/>
      <c r="V88" s="30"/>
      <c r="W88" s="30"/>
      <c r="X88" s="30"/>
      <c r="Y88" s="30"/>
      <c r="Z88" s="30"/>
    </row>
    <row r="89" spans="1:26" ht="12.75" hidden="1" customHeight="1">
      <c r="A89" s="25"/>
      <c r="B89" s="10"/>
      <c r="C89" s="26"/>
      <c r="D89" s="10"/>
      <c r="E89" s="26"/>
      <c r="F89" s="11"/>
      <c r="G89" s="10"/>
      <c r="H89" s="10"/>
      <c r="I89" s="10"/>
      <c r="J89" s="11"/>
      <c r="K89" s="27"/>
      <c r="L89" s="28"/>
      <c r="M89" s="10"/>
      <c r="N89" s="29"/>
      <c r="O89" s="30"/>
      <c r="P89" s="30"/>
      <c r="Q89" s="30"/>
      <c r="R89" s="30"/>
      <c r="S89" s="30"/>
      <c r="T89" s="30"/>
      <c r="U89" s="30"/>
      <c r="V89" s="30"/>
      <c r="W89" s="30"/>
      <c r="X89" s="30"/>
      <c r="Y89" s="30"/>
      <c r="Z89" s="30"/>
    </row>
    <row r="90" spans="1:26" ht="12.75" hidden="1" customHeight="1">
      <c r="A90" s="25"/>
      <c r="B90" s="10"/>
      <c r="C90" s="26"/>
      <c r="D90" s="10"/>
      <c r="E90" s="26"/>
      <c r="F90" s="11"/>
      <c r="G90" s="10"/>
      <c r="H90" s="10"/>
      <c r="I90" s="10"/>
      <c r="J90" s="11"/>
      <c r="K90" s="27"/>
      <c r="L90" s="28"/>
      <c r="M90" s="10"/>
      <c r="N90" s="29"/>
      <c r="O90" s="30"/>
      <c r="P90" s="30"/>
      <c r="Q90" s="30"/>
      <c r="R90" s="30"/>
      <c r="S90" s="30"/>
      <c r="T90" s="30"/>
      <c r="U90" s="30"/>
      <c r="V90" s="30"/>
      <c r="W90" s="30"/>
      <c r="X90" s="30"/>
      <c r="Y90" s="30"/>
      <c r="Z90" s="30"/>
    </row>
    <row r="91" spans="1:26" ht="12.75" hidden="1" customHeight="1">
      <c r="A91" s="25"/>
      <c r="B91" s="10"/>
      <c r="C91" s="26"/>
      <c r="D91" s="10"/>
      <c r="E91" s="26"/>
      <c r="F91" s="11"/>
      <c r="G91" s="10"/>
      <c r="H91" s="10"/>
      <c r="I91" s="10"/>
      <c r="J91" s="11"/>
      <c r="K91" s="27"/>
      <c r="L91" s="28"/>
      <c r="M91" s="10"/>
      <c r="N91" s="29"/>
      <c r="O91" s="30"/>
      <c r="P91" s="30"/>
      <c r="Q91" s="30"/>
      <c r="R91" s="30"/>
      <c r="S91" s="30"/>
      <c r="T91" s="30"/>
      <c r="U91" s="30"/>
      <c r="V91" s="30"/>
      <c r="W91" s="30"/>
      <c r="X91" s="30"/>
      <c r="Y91" s="30"/>
      <c r="Z91" s="30"/>
    </row>
    <row r="92" spans="1:26" ht="12.75" hidden="1" customHeight="1">
      <c r="A92" s="25"/>
      <c r="B92" s="10"/>
      <c r="C92" s="26"/>
      <c r="D92" s="10"/>
      <c r="E92" s="26"/>
      <c r="F92" s="11"/>
      <c r="G92" s="10"/>
      <c r="H92" s="10"/>
      <c r="I92" s="10"/>
      <c r="J92" s="11"/>
      <c r="K92" s="27"/>
      <c r="L92" s="28"/>
      <c r="M92" s="10"/>
      <c r="N92" s="29"/>
      <c r="O92" s="30"/>
      <c r="P92" s="30"/>
      <c r="Q92" s="30"/>
      <c r="R92" s="30"/>
      <c r="S92" s="30"/>
      <c r="T92" s="30"/>
      <c r="U92" s="30"/>
      <c r="V92" s="30"/>
      <c r="W92" s="30"/>
      <c r="X92" s="30"/>
      <c r="Y92" s="30"/>
      <c r="Z92" s="30"/>
    </row>
    <row r="93" spans="1:26" ht="12.75" hidden="1" customHeight="1">
      <c r="A93" s="25"/>
      <c r="B93" s="10"/>
      <c r="C93" s="26"/>
      <c r="D93" s="10"/>
      <c r="E93" s="26"/>
      <c r="F93" s="11"/>
      <c r="G93" s="10"/>
      <c r="H93" s="10"/>
      <c r="I93" s="10"/>
      <c r="J93" s="11"/>
      <c r="K93" s="27"/>
      <c r="L93" s="28"/>
      <c r="M93" s="10"/>
      <c r="N93" s="29"/>
      <c r="O93" s="30"/>
      <c r="P93" s="30"/>
      <c r="Q93" s="30"/>
      <c r="R93" s="30"/>
      <c r="S93" s="30"/>
      <c r="T93" s="30"/>
      <c r="U93" s="30"/>
      <c r="V93" s="30"/>
      <c r="W93" s="30"/>
      <c r="X93" s="30"/>
      <c r="Y93" s="30"/>
      <c r="Z93" s="30"/>
    </row>
    <row r="94" spans="1:26" ht="12.75" hidden="1" customHeight="1">
      <c r="A94" s="25"/>
      <c r="B94" s="10"/>
      <c r="C94" s="26"/>
      <c r="D94" s="10"/>
      <c r="E94" s="26"/>
      <c r="F94" s="11"/>
      <c r="G94" s="10"/>
      <c r="H94" s="10"/>
      <c r="I94" s="10"/>
      <c r="J94" s="11"/>
      <c r="K94" s="27"/>
      <c r="L94" s="28"/>
      <c r="M94" s="10"/>
      <c r="N94" s="29"/>
      <c r="O94" s="30"/>
      <c r="P94" s="30"/>
      <c r="Q94" s="30"/>
      <c r="R94" s="30"/>
      <c r="S94" s="30"/>
      <c r="T94" s="30"/>
      <c r="U94" s="30"/>
      <c r="V94" s="30"/>
      <c r="W94" s="30"/>
      <c r="X94" s="30"/>
      <c r="Y94" s="30"/>
      <c r="Z94" s="30"/>
    </row>
    <row r="95" spans="1:26" ht="12.75" hidden="1" customHeight="1">
      <c r="A95" s="25"/>
      <c r="B95" s="10"/>
      <c r="C95" s="26"/>
      <c r="D95" s="10"/>
      <c r="E95" s="26"/>
      <c r="F95" s="11"/>
      <c r="G95" s="10"/>
      <c r="H95" s="10"/>
      <c r="I95" s="10"/>
      <c r="J95" s="11"/>
      <c r="K95" s="27"/>
      <c r="L95" s="28"/>
      <c r="M95" s="10"/>
      <c r="N95" s="29"/>
      <c r="O95" s="30"/>
      <c r="P95" s="30"/>
      <c r="Q95" s="30"/>
      <c r="R95" s="30"/>
      <c r="S95" s="30"/>
      <c r="T95" s="30"/>
      <c r="U95" s="30"/>
      <c r="V95" s="30"/>
      <c r="W95" s="30"/>
      <c r="X95" s="30"/>
      <c r="Y95" s="30"/>
      <c r="Z95" s="30"/>
    </row>
    <row r="96" spans="1:26" ht="12.75" hidden="1" customHeight="1">
      <c r="A96" s="25"/>
      <c r="B96" s="10"/>
      <c r="C96" s="26"/>
      <c r="D96" s="10"/>
      <c r="E96" s="26"/>
      <c r="F96" s="11"/>
      <c r="G96" s="10"/>
      <c r="H96" s="10"/>
      <c r="I96" s="10"/>
      <c r="J96" s="11"/>
      <c r="K96" s="27"/>
      <c r="L96" s="28"/>
      <c r="M96" s="10"/>
      <c r="N96" s="29"/>
      <c r="O96" s="30"/>
      <c r="P96" s="30"/>
      <c r="Q96" s="30"/>
      <c r="R96" s="30"/>
      <c r="S96" s="30"/>
      <c r="T96" s="30"/>
      <c r="U96" s="30"/>
      <c r="V96" s="30"/>
      <c r="W96" s="30"/>
      <c r="X96" s="30"/>
      <c r="Y96" s="30"/>
      <c r="Z96" s="30"/>
    </row>
    <row r="97" spans="1:26" ht="12.75" hidden="1" customHeight="1">
      <c r="A97" s="25"/>
      <c r="B97" s="10"/>
      <c r="C97" s="26"/>
      <c r="D97" s="10"/>
      <c r="E97" s="26"/>
      <c r="F97" s="11"/>
      <c r="G97" s="10"/>
      <c r="H97" s="10"/>
      <c r="I97" s="10"/>
      <c r="J97" s="11"/>
      <c r="K97" s="27"/>
      <c r="L97" s="28"/>
      <c r="M97" s="10"/>
      <c r="N97" s="29"/>
      <c r="O97" s="30"/>
      <c r="P97" s="30"/>
      <c r="Q97" s="30"/>
      <c r="R97" s="30"/>
      <c r="S97" s="30"/>
      <c r="T97" s="30"/>
      <c r="U97" s="30"/>
      <c r="V97" s="30"/>
      <c r="W97" s="30"/>
      <c r="X97" s="30"/>
      <c r="Y97" s="30"/>
      <c r="Z97" s="30"/>
    </row>
    <row r="98" spans="1:26" ht="12.75" hidden="1" customHeight="1">
      <c r="A98" s="25"/>
      <c r="B98" s="10"/>
      <c r="C98" s="26"/>
      <c r="D98" s="10"/>
      <c r="E98" s="26"/>
      <c r="F98" s="11"/>
      <c r="G98" s="10"/>
      <c r="H98" s="10"/>
      <c r="I98" s="10"/>
      <c r="J98" s="11"/>
      <c r="K98" s="27"/>
      <c r="L98" s="28"/>
      <c r="M98" s="10"/>
      <c r="N98" s="29"/>
      <c r="O98" s="30"/>
      <c r="P98" s="30"/>
      <c r="Q98" s="30"/>
      <c r="R98" s="30"/>
      <c r="S98" s="30"/>
      <c r="T98" s="30"/>
      <c r="U98" s="30"/>
      <c r="V98" s="30"/>
      <c r="W98" s="30"/>
      <c r="X98" s="30"/>
      <c r="Y98" s="30"/>
      <c r="Z98" s="30"/>
    </row>
    <row r="99" spans="1:26" ht="12.75" hidden="1" customHeight="1">
      <c r="A99" s="25"/>
      <c r="B99" s="10"/>
      <c r="C99" s="26"/>
      <c r="D99" s="10"/>
      <c r="E99" s="26"/>
      <c r="F99" s="11"/>
      <c r="G99" s="10"/>
      <c r="H99" s="10"/>
      <c r="I99" s="10"/>
      <c r="J99" s="11"/>
      <c r="K99" s="27"/>
      <c r="L99" s="28"/>
      <c r="M99" s="10"/>
      <c r="N99" s="29"/>
      <c r="O99" s="30"/>
      <c r="P99" s="30"/>
      <c r="Q99" s="30"/>
      <c r="R99" s="30"/>
      <c r="S99" s="30"/>
      <c r="T99" s="30"/>
      <c r="U99" s="30"/>
      <c r="V99" s="30"/>
      <c r="W99" s="30"/>
      <c r="X99" s="30"/>
      <c r="Y99" s="30"/>
      <c r="Z99" s="30"/>
    </row>
    <row r="100" spans="1:26" ht="12.75" hidden="1" customHeight="1">
      <c r="A100" s="25"/>
      <c r="B100" s="10"/>
      <c r="C100" s="26"/>
      <c r="D100" s="10"/>
      <c r="E100" s="26"/>
      <c r="F100" s="11"/>
      <c r="G100" s="10"/>
      <c r="H100" s="10"/>
      <c r="I100" s="10"/>
      <c r="J100" s="11"/>
      <c r="K100" s="27"/>
      <c r="L100" s="28"/>
      <c r="M100" s="10"/>
      <c r="N100" s="29"/>
      <c r="O100" s="30"/>
      <c r="P100" s="30"/>
      <c r="Q100" s="30"/>
      <c r="R100" s="30"/>
      <c r="S100" s="30"/>
      <c r="T100" s="30"/>
      <c r="U100" s="30"/>
      <c r="V100" s="30"/>
      <c r="W100" s="30"/>
      <c r="X100" s="30"/>
      <c r="Y100" s="30"/>
      <c r="Z100" s="30"/>
    </row>
    <row r="101" spans="1:26" ht="12.75" hidden="1" customHeight="1">
      <c r="A101" s="25"/>
      <c r="B101" s="10"/>
      <c r="C101" s="26"/>
      <c r="D101" s="10"/>
      <c r="E101" s="26"/>
      <c r="F101" s="11"/>
      <c r="G101" s="10"/>
      <c r="H101" s="10"/>
      <c r="I101" s="10"/>
      <c r="J101" s="11"/>
      <c r="K101" s="27"/>
      <c r="L101" s="28"/>
      <c r="M101" s="10"/>
      <c r="N101" s="29"/>
      <c r="O101" s="30"/>
      <c r="P101" s="30"/>
      <c r="Q101" s="30"/>
      <c r="R101" s="30"/>
      <c r="S101" s="30"/>
      <c r="T101" s="30"/>
      <c r="U101" s="30"/>
      <c r="V101" s="30"/>
      <c r="W101" s="30"/>
      <c r="X101" s="30"/>
      <c r="Y101" s="30"/>
      <c r="Z101" s="30"/>
    </row>
    <row r="102" spans="1:26" ht="12.75" hidden="1" customHeight="1">
      <c r="A102" s="25"/>
      <c r="B102" s="10"/>
      <c r="C102" s="26"/>
      <c r="D102" s="10"/>
      <c r="E102" s="26"/>
      <c r="F102" s="11"/>
      <c r="G102" s="10"/>
      <c r="H102" s="10"/>
      <c r="I102" s="10"/>
      <c r="J102" s="11"/>
      <c r="K102" s="27"/>
      <c r="L102" s="28"/>
      <c r="M102" s="10"/>
      <c r="N102" s="29"/>
      <c r="O102" s="30"/>
      <c r="P102" s="30"/>
      <c r="Q102" s="30"/>
      <c r="R102" s="30"/>
      <c r="S102" s="30"/>
      <c r="T102" s="30"/>
      <c r="U102" s="30"/>
      <c r="V102" s="30"/>
      <c r="W102" s="30"/>
      <c r="X102" s="30"/>
      <c r="Y102" s="30"/>
      <c r="Z102" s="30"/>
    </row>
    <row r="103" spans="1:26" ht="12.75" hidden="1" customHeight="1">
      <c r="A103" s="25"/>
      <c r="B103" s="10"/>
      <c r="C103" s="26"/>
      <c r="D103" s="10"/>
      <c r="E103" s="26"/>
      <c r="F103" s="11"/>
      <c r="G103" s="10"/>
      <c r="H103" s="10"/>
      <c r="I103" s="10"/>
      <c r="J103" s="11"/>
      <c r="K103" s="27"/>
      <c r="L103" s="28"/>
      <c r="M103" s="10"/>
      <c r="N103" s="29"/>
      <c r="O103" s="30"/>
      <c r="P103" s="30"/>
      <c r="Q103" s="30"/>
      <c r="R103" s="30"/>
      <c r="S103" s="30"/>
      <c r="T103" s="30"/>
      <c r="U103" s="30"/>
      <c r="V103" s="30"/>
      <c r="W103" s="30"/>
      <c r="X103" s="30"/>
      <c r="Y103" s="30"/>
      <c r="Z103" s="30"/>
    </row>
    <row r="104" spans="1:26" ht="12.75" hidden="1" customHeight="1">
      <c r="A104" s="25"/>
      <c r="B104" s="10"/>
      <c r="C104" s="26"/>
      <c r="D104" s="10"/>
      <c r="E104" s="26"/>
      <c r="F104" s="11"/>
      <c r="G104" s="10"/>
      <c r="H104" s="10"/>
      <c r="I104" s="10"/>
      <c r="J104" s="11"/>
      <c r="K104" s="27"/>
      <c r="L104" s="28"/>
      <c r="M104" s="10"/>
      <c r="N104" s="29"/>
      <c r="O104" s="30"/>
      <c r="P104" s="30"/>
      <c r="Q104" s="30"/>
      <c r="R104" s="30"/>
      <c r="S104" s="30"/>
      <c r="T104" s="30"/>
      <c r="U104" s="30"/>
      <c r="V104" s="30"/>
      <c r="W104" s="30"/>
      <c r="X104" s="30"/>
      <c r="Y104" s="30"/>
      <c r="Z104" s="30"/>
    </row>
    <row r="105" spans="1:26" ht="12.75" hidden="1" customHeight="1">
      <c r="A105" s="25"/>
      <c r="B105" s="10"/>
      <c r="C105" s="26"/>
      <c r="D105" s="10"/>
      <c r="E105" s="26"/>
      <c r="F105" s="11"/>
      <c r="G105" s="10"/>
      <c r="H105" s="10"/>
      <c r="I105" s="10"/>
      <c r="J105" s="11"/>
      <c r="K105" s="27"/>
      <c r="L105" s="28"/>
      <c r="M105" s="10"/>
      <c r="N105" s="29"/>
      <c r="O105" s="30"/>
      <c r="P105" s="30"/>
      <c r="Q105" s="30"/>
      <c r="R105" s="30"/>
      <c r="S105" s="30"/>
      <c r="T105" s="30"/>
      <c r="U105" s="30"/>
      <c r="V105" s="30"/>
      <c r="W105" s="30"/>
      <c r="X105" s="30"/>
      <c r="Y105" s="30"/>
      <c r="Z105" s="30"/>
    </row>
    <row r="106" spans="1:26" ht="12.75" hidden="1" customHeight="1">
      <c r="A106" s="25"/>
      <c r="B106" s="10"/>
      <c r="C106" s="26"/>
      <c r="D106" s="10"/>
      <c r="E106" s="26"/>
      <c r="F106" s="11"/>
      <c r="G106" s="10"/>
      <c r="H106" s="10"/>
      <c r="I106" s="10"/>
      <c r="J106" s="11"/>
      <c r="K106" s="27"/>
      <c r="L106" s="28"/>
      <c r="M106" s="10"/>
      <c r="N106" s="29"/>
      <c r="O106" s="30"/>
      <c r="P106" s="30"/>
      <c r="Q106" s="30"/>
      <c r="R106" s="30"/>
      <c r="S106" s="30"/>
      <c r="T106" s="30"/>
      <c r="U106" s="30"/>
      <c r="V106" s="30"/>
      <c r="W106" s="30"/>
      <c r="X106" s="30"/>
      <c r="Y106" s="30"/>
      <c r="Z106" s="30"/>
    </row>
    <row r="107" spans="1:26" ht="12.75" hidden="1" customHeight="1">
      <c r="A107" s="25"/>
      <c r="B107" s="10"/>
      <c r="C107" s="26"/>
      <c r="D107" s="10"/>
      <c r="E107" s="26"/>
      <c r="F107" s="11"/>
      <c r="G107" s="10"/>
      <c r="H107" s="10"/>
      <c r="I107" s="10"/>
      <c r="J107" s="11"/>
      <c r="K107" s="27"/>
      <c r="L107" s="28"/>
      <c r="M107" s="10"/>
      <c r="N107" s="29"/>
      <c r="O107" s="30"/>
      <c r="P107" s="30"/>
      <c r="Q107" s="30"/>
      <c r="R107" s="30"/>
      <c r="S107" s="30"/>
      <c r="T107" s="30"/>
      <c r="U107" s="30"/>
      <c r="V107" s="30"/>
      <c r="W107" s="30"/>
      <c r="X107" s="30"/>
      <c r="Y107" s="30"/>
      <c r="Z107" s="30"/>
    </row>
    <row r="108" spans="1:26" ht="12.75" hidden="1" customHeight="1">
      <c r="A108" s="25"/>
      <c r="B108" s="10"/>
      <c r="C108" s="26"/>
      <c r="D108" s="10"/>
      <c r="E108" s="26"/>
      <c r="F108" s="11"/>
      <c r="G108" s="10"/>
      <c r="H108" s="10"/>
      <c r="I108" s="10"/>
      <c r="J108" s="11"/>
      <c r="K108" s="27"/>
      <c r="L108" s="28"/>
      <c r="M108" s="10"/>
      <c r="N108" s="29"/>
      <c r="O108" s="30"/>
      <c r="P108" s="30"/>
      <c r="Q108" s="30"/>
      <c r="R108" s="30"/>
      <c r="S108" s="30"/>
      <c r="T108" s="30"/>
      <c r="U108" s="30"/>
      <c r="V108" s="30"/>
      <c r="W108" s="30"/>
      <c r="X108" s="30"/>
      <c r="Y108" s="30"/>
      <c r="Z108" s="30"/>
    </row>
    <row r="109" spans="1:26" ht="12.75" hidden="1" customHeight="1">
      <c r="A109" s="25"/>
      <c r="B109" s="10"/>
      <c r="C109" s="26"/>
      <c r="D109" s="10"/>
      <c r="E109" s="26"/>
      <c r="F109" s="11"/>
      <c r="G109" s="10"/>
      <c r="H109" s="10"/>
      <c r="I109" s="10"/>
      <c r="J109" s="11"/>
      <c r="K109" s="27"/>
      <c r="L109" s="28"/>
      <c r="M109" s="10"/>
      <c r="N109" s="29"/>
      <c r="O109" s="30"/>
      <c r="P109" s="30"/>
      <c r="Q109" s="30"/>
      <c r="R109" s="30"/>
      <c r="S109" s="30"/>
      <c r="T109" s="30"/>
      <c r="U109" s="30"/>
      <c r="V109" s="30"/>
      <c r="W109" s="30"/>
      <c r="X109" s="30"/>
      <c r="Y109" s="30"/>
      <c r="Z109" s="30"/>
    </row>
    <row r="110" spans="1:26" ht="12.75" hidden="1" customHeight="1">
      <c r="A110" s="25"/>
      <c r="B110" s="10"/>
      <c r="C110" s="26"/>
      <c r="D110" s="10"/>
      <c r="E110" s="26"/>
      <c r="F110" s="11"/>
      <c r="G110" s="10"/>
      <c r="H110" s="10"/>
      <c r="I110" s="10"/>
      <c r="J110" s="11"/>
      <c r="K110" s="27"/>
      <c r="L110" s="28"/>
      <c r="M110" s="10"/>
      <c r="N110" s="29"/>
      <c r="O110" s="30"/>
      <c r="P110" s="30"/>
      <c r="Q110" s="30"/>
      <c r="R110" s="30"/>
      <c r="S110" s="30"/>
      <c r="T110" s="30"/>
      <c r="U110" s="30"/>
      <c r="V110" s="30"/>
      <c r="W110" s="30"/>
      <c r="X110" s="30"/>
      <c r="Y110" s="30"/>
      <c r="Z110" s="30"/>
    </row>
    <row r="111" spans="1:26" ht="12.75" hidden="1" customHeight="1">
      <c r="A111" s="25"/>
      <c r="B111" s="10"/>
      <c r="C111" s="26"/>
      <c r="D111" s="10"/>
      <c r="E111" s="26"/>
      <c r="F111" s="11"/>
      <c r="G111" s="10"/>
      <c r="H111" s="10"/>
      <c r="I111" s="10"/>
      <c r="J111" s="11"/>
      <c r="K111" s="27"/>
      <c r="L111" s="28"/>
      <c r="M111" s="10"/>
      <c r="N111" s="29"/>
      <c r="O111" s="30"/>
      <c r="P111" s="30"/>
      <c r="Q111" s="30"/>
      <c r="R111" s="30"/>
      <c r="S111" s="30"/>
      <c r="T111" s="30"/>
      <c r="U111" s="30"/>
      <c r="V111" s="30"/>
      <c r="W111" s="30"/>
      <c r="X111" s="30"/>
      <c r="Y111" s="30"/>
      <c r="Z111" s="30"/>
    </row>
    <row r="112" spans="1:26" ht="12.75" hidden="1" customHeight="1">
      <c r="A112" s="25"/>
      <c r="B112" s="10"/>
      <c r="C112" s="26"/>
      <c r="D112" s="10"/>
      <c r="E112" s="26"/>
      <c r="F112" s="11"/>
      <c r="G112" s="10"/>
      <c r="H112" s="10"/>
      <c r="I112" s="10"/>
      <c r="J112" s="11"/>
      <c r="K112" s="27"/>
      <c r="L112" s="28"/>
      <c r="M112" s="10"/>
      <c r="N112" s="29"/>
      <c r="O112" s="30"/>
      <c r="P112" s="30"/>
      <c r="Q112" s="30"/>
      <c r="R112" s="30"/>
      <c r="S112" s="30"/>
      <c r="T112" s="30"/>
      <c r="U112" s="30"/>
      <c r="V112" s="30"/>
      <c r="W112" s="30"/>
      <c r="X112" s="30"/>
      <c r="Y112" s="30"/>
      <c r="Z112" s="30"/>
    </row>
    <row r="113" spans="1:26" ht="12.75" hidden="1" customHeight="1">
      <c r="A113" s="25"/>
      <c r="B113" s="10"/>
      <c r="C113" s="26"/>
      <c r="D113" s="10"/>
      <c r="E113" s="26"/>
      <c r="F113" s="11"/>
      <c r="G113" s="10"/>
      <c r="H113" s="10"/>
      <c r="I113" s="10"/>
      <c r="J113" s="11"/>
      <c r="K113" s="27"/>
      <c r="L113" s="28"/>
      <c r="M113" s="10"/>
      <c r="N113" s="29"/>
      <c r="O113" s="30"/>
      <c r="P113" s="30"/>
      <c r="Q113" s="30"/>
      <c r="R113" s="30"/>
      <c r="S113" s="30"/>
      <c r="T113" s="30"/>
      <c r="U113" s="30"/>
      <c r="V113" s="30"/>
      <c r="W113" s="30"/>
      <c r="X113" s="30"/>
      <c r="Y113" s="30"/>
      <c r="Z113" s="30"/>
    </row>
    <row r="114" spans="1:26" ht="12.75" hidden="1" customHeight="1">
      <c r="A114" s="25"/>
      <c r="B114" s="10"/>
      <c r="C114" s="26"/>
      <c r="D114" s="10"/>
      <c r="E114" s="26"/>
      <c r="F114" s="11"/>
      <c r="G114" s="10"/>
      <c r="H114" s="10"/>
      <c r="I114" s="10"/>
      <c r="J114" s="11"/>
      <c r="K114" s="27"/>
      <c r="L114" s="28"/>
      <c r="M114" s="10"/>
      <c r="N114" s="29"/>
      <c r="O114" s="30"/>
      <c r="P114" s="30"/>
      <c r="Q114" s="30"/>
      <c r="R114" s="30"/>
      <c r="S114" s="30"/>
      <c r="T114" s="30"/>
      <c r="U114" s="30"/>
      <c r="V114" s="30"/>
      <c r="W114" s="30"/>
      <c r="X114" s="30"/>
      <c r="Y114" s="30"/>
      <c r="Z114" s="30"/>
    </row>
    <row r="115" spans="1:26" ht="12.75" hidden="1" customHeight="1">
      <c r="A115" s="25"/>
      <c r="B115" s="10"/>
      <c r="C115" s="26"/>
      <c r="D115" s="10"/>
      <c r="E115" s="26"/>
      <c r="F115" s="11"/>
      <c r="G115" s="10"/>
      <c r="H115" s="10"/>
      <c r="I115" s="10"/>
      <c r="J115" s="11"/>
      <c r="K115" s="27"/>
      <c r="L115" s="28"/>
      <c r="M115" s="10"/>
      <c r="N115" s="29"/>
      <c r="O115" s="30"/>
      <c r="P115" s="30"/>
      <c r="Q115" s="30"/>
      <c r="R115" s="30"/>
      <c r="S115" s="30"/>
      <c r="T115" s="30"/>
      <c r="U115" s="30"/>
      <c r="V115" s="30"/>
      <c r="W115" s="30"/>
      <c r="X115" s="30"/>
      <c r="Y115" s="30"/>
      <c r="Z115" s="30"/>
    </row>
    <row r="116" spans="1:26" ht="12.75" hidden="1" customHeight="1">
      <c r="A116" s="25"/>
      <c r="B116" s="10"/>
      <c r="C116" s="26"/>
      <c r="D116" s="10"/>
      <c r="E116" s="26"/>
      <c r="F116" s="11"/>
      <c r="G116" s="10"/>
      <c r="H116" s="10"/>
      <c r="I116" s="10"/>
      <c r="J116" s="11"/>
      <c r="K116" s="27"/>
      <c r="L116" s="28"/>
      <c r="M116" s="10"/>
      <c r="N116" s="29"/>
      <c r="O116" s="30"/>
      <c r="P116" s="30"/>
      <c r="Q116" s="30"/>
      <c r="R116" s="30"/>
      <c r="S116" s="30"/>
      <c r="T116" s="30"/>
      <c r="U116" s="30"/>
      <c r="V116" s="30"/>
      <c r="W116" s="30"/>
      <c r="X116" s="30"/>
      <c r="Y116" s="30"/>
      <c r="Z116" s="30"/>
    </row>
    <row r="117" spans="1:26" ht="12.75" hidden="1" customHeight="1">
      <c r="A117" s="25"/>
      <c r="B117" s="10"/>
      <c r="C117" s="26"/>
      <c r="D117" s="10"/>
      <c r="E117" s="26"/>
      <c r="F117" s="11"/>
      <c r="G117" s="10"/>
      <c r="H117" s="10"/>
      <c r="I117" s="10"/>
      <c r="J117" s="11"/>
      <c r="K117" s="27"/>
      <c r="L117" s="28"/>
      <c r="M117" s="10"/>
      <c r="N117" s="29"/>
      <c r="O117" s="30"/>
      <c r="P117" s="30"/>
      <c r="Q117" s="30"/>
      <c r="R117" s="30"/>
      <c r="S117" s="30"/>
      <c r="T117" s="30"/>
      <c r="U117" s="30"/>
      <c r="V117" s="30"/>
      <c r="W117" s="30"/>
      <c r="X117" s="30"/>
      <c r="Y117" s="30"/>
      <c r="Z117" s="30"/>
    </row>
    <row r="118" spans="1:26" ht="12.75" hidden="1" customHeight="1">
      <c r="A118" s="25"/>
      <c r="B118" s="10"/>
      <c r="C118" s="26"/>
      <c r="D118" s="10"/>
      <c r="E118" s="26"/>
      <c r="F118" s="11"/>
      <c r="G118" s="10"/>
      <c r="H118" s="10"/>
      <c r="I118" s="10"/>
      <c r="J118" s="11"/>
      <c r="K118" s="27"/>
      <c r="L118" s="28"/>
      <c r="M118" s="10"/>
      <c r="N118" s="29"/>
      <c r="O118" s="30"/>
      <c r="P118" s="30"/>
      <c r="Q118" s="30"/>
      <c r="R118" s="30"/>
      <c r="S118" s="30"/>
      <c r="T118" s="30"/>
      <c r="U118" s="30"/>
      <c r="V118" s="30"/>
      <c r="W118" s="30"/>
      <c r="X118" s="30"/>
      <c r="Y118" s="30"/>
      <c r="Z118" s="30"/>
    </row>
    <row r="119" spans="1:26" ht="12.75" hidden="1" customHeight="1">
      <c r="A119" s="25"/>
      <c r="B119" s="10"/>
      <c r="C119" s="26"/>
      <c r="D119" s="10"/>
      <c r="E119" s="26"/>
      <c r="F119" s="11"/>
      <c r="G119" s="10"/>
      <c r="H119" s="10"/>
      <c r="I119" s="10"/>
      <c r="J119" s="11"/>
      <c r="K119" s="27"/>
      <c r="L119" s="28"/>
      <c r="M119" s="10"/>
      <c r="N119" s="29"/>
      <c r="O119" s="30"/>
      <c r="P119" s="30"/>
      <c r="Q119" s="30"/>
      <c r="R119" s="30"/>
      <c r="S119" s="30"/>
      <c r="T119" s="30"/>
      <c r="U119" s="30"/>
      <c r="V119" s="30"/>
      <c r="W119" s="30"/>
      <c r="X119" s="30"/>
      <c r="Y119" s="30"/>
      <c r="Z119" s="30"/>
    </row>
    <row r="120" spans="1:26" ht="12.75" hidden="1" customHeight="1">
      <c r="A120" s="25"/>
      <c r="B120" s="10"/>
      <c r="C120" s="26"/>
      <c r="D120" s="10"/>
      <c r="E120" s="26"/>
      <c r="F120" s="11"/>
      <c r="G120" s="10"/>
      <c r="H120" s="10"/>
      <c r="I120" s="10"/>
      <c r="J120" s="11"/>
      <c r="K120" s="27"/>
      <c r="L120" s="28"/>
      <c r="M120" s="10"/>
      <c r="N120" s="29"/>
      <c r="O120" s="30"/>
      <c r="P120" s="30"/>
      <c r="Q120" s="30"/>
      <c r="R120" s="30"/>
      <c r="S120" s="30"/>
      <c r="T120" s="30"/>
      <c r="U120" s="30"/>
      <c r="V120" s="30"/>
      <c r="W120" s="30"/>
      <c r="X120" s="30"/>
      <c r="Y120" s="30"/>
      <c r="Z120" s="30"/>
    </row>
    <row r="121" spans="1:26" ht="12.75" hidden="1" customHeight="1">
      <c r="A121" s="25"/>
      <c r="B121" s="10"/>
      <c r="C121" s="26"/>
      <c r="D121" s="10"/>
      <c r="E121" s="26"/>
      <c r="F121" s="11"/>
      <c r="G121" s="10"/>
      <c r="H121" s="10"/>
      <c r="I121" s="10"/>
      <c r="J121" s="11"/>
      <c r="K121" s="27"/>
      <c r="L121" s="28"/>
      <c r="M121" s="10"/>
      <c r="N121" s="29"/>
      <c r="O121" s="30"/>
      <c r="P121" s="30"/>
      <c r="Q121" s="30"/>
      <c r="R121" s="30"/>
      <c r="S121" s="30"/>
      <c r="T121" s="30"/>
      <c r="U121" s="30"/>
      <c r="V121" s="30"/>
      <c r="W121" s="30"/>
      <c r="X121" s="30"/>
      <c r="Y121" s="30"/>
      <c r="Z121" s="30"/>
    </row>
    <row r="122" spans="1:26" ht="12.75" hidden="1" customHeight="1">
      <c r="A122" s="25"/>
      <c r="B122" s="10"/>
      <c r="C122" s="26"/>
      <c r="D122" s="10"/>
      <c r="E122" s="26"/>
      <c r="F122" s="11"/>
      <c r="G122" s="10"/>
      <c r="H122" s="10"/>
      <c r="I122" s="10"/>
      <c r="J122" s="11"/>
      <c r="K122" s="27"/>
      <c r="L122" s="28"/>
      <c r="M122" s="10"/>
      <c r="N122" s="29"/>
      <c r="O122" s="30"/>
      <c r="P122" s="30"/>
      <c r="Q122" s="30"/>
      <c r="R122" s="30"/>
      <c r="S122" s="30"/>
      <c r="T122" s="30"/>
      <c r="U122" s="30"/>
      <c r="V122" s="30"/>
      <c r="W122" s="30"/>
      <c r="X122" s="30"/>
      <c r="Y122" s="30"/>
      <c r="Z122" s="30"/>
    </row>
    <row r="123" spans="1:26" ht="12.75" customHeight="1">
      <c r="A123" s="1"/>
      <c r="B123" s="46"/>
      <c r="C123" s="1"/>
      <c r="D123" s="1"/>
      <c r="E123" s="1"/>
      <c r="F123" s="1"/>
      <c r="G123" s="1"/>
      <c r="H123" s="1"/>
      <c r="I123" s="1"/>
      <c r="J123" s="16"/>
      <c r="K123" s="1"/>
      <c r="L123" s="1"/>
      <c r="M123" s="1"/>
      <c r="N123" s="1"/>
      <c r="O123" s="1"/>
      <c r="P123" s="1"/>
      <c r="Q123" s="1"/>
      <c r="R123" s="1"/>
      <c r="S123" s="1"/>
      <c r="T123" s="1"/>
      <c r="U123" s="1"/>
      <c r="V123" s="1"/>
      <c r="W123" s="1"/>
      <c r="X123" s="1"/>
      <c r="Y123" s="1"/>
      <c r="Z123" s="1"/>
    </row>
    <row r="124" spans="1:26" ht="12.75" customHeight="1">
      <c r="A124" s="1"/>
      <c r="B124" s="46"/>
      <c r="C124" s="1"/>
      <c r="D124" s="1"/>
      <c r="E124" s="1"/>
      <c r="F124" s="1"/>
      <c r="G124" s="1"/>
      <c r="H124" s="1"/>
      <c r="I124" s="1"/>
      <c r="J124" s="16"/>
      <c r="K124" s="1"/>
      <c r="L124" s="1"/>
      <c r="M124" s="1"/>
      <c r="N124" s="1"/>
      <c r="O124" s="1"/>
      <c r="P124" s="1"/>
      <c r="Q124" s="1"/>
      <c r="R124" s="1"/>
      <c r="S124" s="1"/>
      <c r="T124" s="1"/>
      <c r="U124" s="1"/>
      <c r="V124" s="1"/>
      <c r="W124" s="1"/>
      <c r="X124" s="1"/>
      <c r="Y124" s="1"/>
      <c r="Z124" s="1"/>
    </row>
    <row r="125" spans="1:26" ht="21" customHeight="1">
      <c r="A125" s="16"/>
      <c r="B125" s="51" t="s">
        <v>43</v>
      </c>
      <c r="C125" s="52"/>
      <c r="D125" s="52"/>
      <c r="E125" s="52"/>
      <c r="F125" s="53">
        <f ca="1">SUM(F22:F122)</f>
        <v>393928504</v>
      </c>
      <c r="G125" s="52"/>
      <c r="H125" s="52"/>
      <c r="I125" s="52"/>
      <c r="J125" s="53">
        <f ca="1">SUM(J22:J122)</f>
        <v>393928504</v>
      </c>
      <c r="K125" s="52"/>
      <c r="L125" s="52"/>
      <c r="M125" s="52"/>
      <c r="N125" s="16"/>
      <c r="O125" s="16"/>
      <c r="P125" s="16"/>
      <c r="Q125" s="16"/>
      <c r="R125" s="16"/>
      <c r="S125" s="16"/>
      <c r="T125" s="16"/>
      <c r="U125" s="16"/>
      <c r="V125" s="16"/>
      <c r="W125" s="16"/>
      <c r="X125" s="16"/>
      <c r="Y125" s="16"/>
      <c r="Z125" s="16"/>
    </row>
    <row r="126" spans="1:26" ht="12.75" customHeight="1">
      <c r="A126" s="1"/>
      <c r="B126" s="46"/>
      <c r="C126" s="1"/>
      <c r="D126" s="1"/>
      <c r="E126" s="1"/>
      <c r="F126" s="1"/>
      <c r="G126" s="1"/>
      <c r="H126" s="1"/>
      <c r="I126" s="1"/>
      <c r="J126" s="16"/>
      <c r="K126" s="1"/>
      <c r="L126" s="1"/>
      <c r="M126" s="1"/>
      <c r="N126" s="1"/>
      <c r="O126" s="1"/>
      <c r="P126" s="1"/>
      <c r="Q126" s="1"/>
      <c r="R126" s="1"/>
      <c r="S126" s="1"/>
      <c r="T126" s="1"/>
      <c r="U126" s="1"/>
      <c r="V126" s="1"/>
      <c r="W126" s="1"/>
      <c r="X126" s="1"/>
      <c r="Y126" s="1"/>
      <c r="Z126" s="1"/>
    </row>
    <row r="127" spans="1:26" ht="12.75" customHeight="1">
      <c r="A127" s="1"/>
      <c r="B127" s="46"/>
      <c r="C127" s="1"/>
      <c r="D127" s="1"/>
      <c r="E127" s="1"/>
      <c r="F127" s="1"/>
      <c r="G127" s="1"/>
      <c r="H127" s="1"/>
      <c r="I127" s="1"/>
      <c r="J127" s="16"/>
      <c r="K127" s="1"/>
      <c r="L127" s="1"/>
      <c r="M127" s="1"/>
      <c r="N127" s="1"/>
      <c r="O127" s="1"/>
      <c r="P127" s="1"/>
      <c r="Q127" s="1"/>
      <c r="R127" s="1"/>
      <c r="S127" s="1"/>
      <c r="T127" s="1"/>
      <c r="U127" s="1"/>
      <c r="V127" s="1"/>
      <c r="W127" s="1"/>
      <c r="X127" s="1"/>
      <c r="Y127" s="1"/>
      <c r="Z127" s="1"/>
    </row>
    <row r="128" spans="1:26" ht="12.75" customHeight="1">
      <c r="A128" s="1"/>
      <c r="B128" s="44" t="s">
        <v>41</v>
      </c>
      <c r="C128" s="45" t="s">
        <v>196</v>
      </c>
      <c r="D128" s="1"/>
      <c r="E128" s="1"/>
      <c r="F128" s="1"/>
      <c r="G128" s="1"/>
      <c r="H128" s="1"/>
      <c r="I128" s="1"/>
      <c r="J128" s="16"/>
      <c r="K128" s="1"/>
      <c r="L128" s="1"/>
      <c r="M128" s="1"/>
      <c r="N128" s="1"/>
      <c r="O128" s="1"/>
      <c r="P128" s="1"/>
      <c r="Q128" s="1"/>
      <c r="R128" s="1"/>
      <c r="S128" s="1"/>
      <c r="T128" s="1"/>
      <c r="U128" s="1"/>
      <c r="V128" s="1"/>
      <c r="W128" s="1"/>
      <c r="X128" s="1"/>
      <c r="Y128" s="1"/>
      <c r="Z128" s="1"/>
    </row>
    <row r="129" spans="1:26" ht="12.75" customHeight="1">
      <c r="A129" s="1"/>
      <c r="B129" s="46"/>
      <c r="C129" s="1" t="s">
        <v>195</v>
      </c>
      <c r="D129" s="1"/>
      <c r="E129" s="1"/>
      <c r="F129" s="1"/>
      <c r="G129" s="1"/>
      <c r="H129" s="1"/>
      <c r="I129" s="1"/>
      <c r="J129" s="16"/>
      <c r="K129" s="1"/>
      <c r="L129" s="1"/>
      <c r="M129" s="1"/>
      <c r="N129" s="1"/>
      <c r="O129" s="1"/>
      <c r="P129" s="1"/>
      <c r="Q129" s="1"/>
      <c r="R129" s="1"/>
      <c r="S129" s="1"/>
      <c r="T129" s="1"/>
      <c r="U129" s="1"/>
      <c r="V129" s="1"/>
      <c r="W129" s="1"/>
      <c r="X129" s="1"/>
      <c r="Y129" s="1"/>
      <c r="Z129" s="1"/>
    </row>
    <row r="130" spans="1:26" ht="12.75" customHeight="1">
      <c r="A130" s="1"/>
      <c r="B130" s="46"/>
      <c r="C130" s="1"/>
      <c r="D130" s="1"/>
      <c r="E130" s="1"/>
      <c r="F130" s="1"/>
      <c r="G130" s="1"/>
      <c r="H130" s="1"/>
      <c r="I130" s="1"/>
      <c r="J130" s="16"/>
      <c r="K130" s="1"/>
      <c r="L130" s="1"/>
      <c r="M130" s="1"/>
      <c r="N130" s="1"/>
      <c r="O130" s="1"/>
      <c r="P130" s="1"/>
      <c r="Q130" s="1"/>
      <c r="R130" s="1"/>
      <c r="S130" s="1"/>
      <c r="T130" s="1"/>
      <c r="U130" s="1"/>
      <c r="V130" s="1"/>
      <c r="W130" s="1"/>
      <c r="X130" s="1"/>
      <c r="Y130" s="1"/>
      <c r="Z130" s="1"/>
    </row>
    <row r="131" spans="1:26" ht="12.75" customHeight="1">
      <c r="A131" s="1"/>
      <c r="B131" s="46"/>
      <c r="C131" s="1"/>
      <c r="D131" s="1"/>
      <c r="E131" s="1"/>
      <c r="F131" s="1"/>
      <c r="G131" s="1"/>
      <c r="H131" s="1"/>
      <c r="I131" s="1"/>
      <c r="J131" s="16"/>
      <c r="K131" s="1"/>
      <c r="L131" s="1"/>
      <c r="M131" s="1"/>
      <c r="N131" s="1"/>
      <c r="O131" s="1"/>
      <c r="P131" s="1"/>
      <c r="Q131" s="1"/>
      <c r="R131" s="1"/>
      <c r="S131" s="1"/>
      <c r="T131" s="1"/>
      <c r="U131" s="1"/>
      <c r="V131" s="1"/>
      <c r="W131" s="1"/>
      <c r="X131" s="1"/>
      <c r="Y131" s="1"/>
      <c r="Z131" s="1"/>
    </row>
    <row r="132" spans="1:26" ht="12.75" customHeight="1">
      <c r="A132" s="1"/>
      <c r="B132" s="46"/>
      <c r="C132" s="1"/>
      <c r="D132" s="1"/>
      <c r="E132" s="1"/>
      <c r="F132" s="1"/>
      <c r="G132" s="1"/>
      <c r="H132" s="1"/>
      <c r="I132" s="1"/>
      <c r="J132" s="16"/>
      <c r="K132" s="1"/>
      <c r="L132" s="1"/>
      <c r="M132" s="1"/>
      <c r="N132" s="1"/>
      <c r="O132" s="1"/>
      <c r="P132" s="1"/>
      <c r="Q132" s="1"/>
      <c r="R132" s="1"/>
      <c r="S132" s="1"/>
      <c r="T132" s="1"/>
      <c r="U132" s="1"/>
      <c r="V132" s="1"/>
      <c r="W132" s="1"/>
      <c r="X132" s="1"/>
      <c r="Y132" s="1"/>
      <c r="Z132" s="1"/>
    </row>
    <row r="133" spans="1:26" ht="12.75" customHeight="1">
      <c r="A133" s="1"/>
      <c r="B133" s="46"/>
      <c r="C133" s="1"/>
      <c r="D133" s="1"/>
      <c r="E133" s="1"/>
      <c r="F133" s="1"/>
      <c r="G133" s="1"/>
      <c r="H133" s="1"/>
      <c r="I133" s="1"/>
      <c r="J133" s="16"/>
      <c r="K133" s="1"/>
      <c r="L133" s="1"/>
      <c r="M133" s="1"/>
      <c r="N133" s="1"/>
      <c r="O133" s="1"/>
      <c r="P133" s="1"/>
      <c r="Q133" s="1"/>
      <c r="R133" s="1"/>
      <c r="S133" s="1"/>
      <c r="T133" s="1"/>
      <c r="U133" s="1"/>
      <c r="V133" s="1"/>
      <c r="W133" s="1"/>
      <c r="X133" s="1"/>
      <c r="Y133" s="1"/>
      <c r="Z133" s="1"/>
    </row>
    <row r="134" spans="1:26" ht="12.75" customHeight="1">
      <c r="A134" s="1"/>
      <c r="B134" s="46"/>
      <c r="C134" s="1"/>
      <c r="D134" s="1"/>
      <c r="E134" s="1"/>
      <c r="F134" s="1"/>
      <c r="G134" s="1"/>
      <c r="H134" s="1"/>
      <c r="I134" s="1"/>
      <c r="J134" s="16"/>
      <c r="K134" s="1"/>
      <c r="L134" s="1"/>
      <c r="M134" s="1"/>
      <c r="N134" s="1"/>
      <c r="O134" s="1"/>
      <c r="P134" s="1"/>
      <c r="Q134" s="1"/>
      <c r="R134" s="1"/>
      <c r="S134" s="1"/>
      <c r="T134" s="1"/>
      <c r="U134" s="1"/>
      <c r="V134" s="1"/>
      <c r="W134" s="1"/>
      <c r="X134" s="1"/>
      <c r="Y134" s="1"/>
      <c r="Z134" s="1"/>
    </row>
    <row r="135" spans="1:26" ht="12.75" customHeight="1">
      <c r="A135" s="1"/>
      <c r="B135" s="46"/>
      <c r="C135" s="1"/>
      <c r="D135" s="1"/>
      <c r="E135" s="1"/>
      <c r="F135" s="1"/>
      <c r="G135" s="1"/>
      <c r="H135" s="1"/>
      <c r="I135" s="1"/>
      <c r="J135" s="16"/>
      <c r="K135" s="1"/>
      <c r="L135" s="1"/>
      <c r="M135" s="1"/>
      <c r="N135" s="1"/>
      <c r="O135" s="1"/>
      <c r="P135" s="1"/>
      <c r="Q135" s="1"/>
      <c r="R135" s="1"/>
      <c r="S135" s="1"/>
      <c r="T135" s="1"/>
      <c r="U135" s="1"/>
      <c r="V135" s="1"/>
      <c r="W135" s="1"/>
      <c r="X135" s="1"/>
      <c r="Y135" s="1"/>
      <c r="Z135" s="1"/>
    </row>
    <row r="136" spans="1:26" ht="12.75" customHeight="1">
      <c r="A136" s="1"/>
      <c r="B136" s="46"/>
      <c r="C136" s="1"/>
      <c r="D136" s="1"/>
      <c r="E136" s="1"/>
      <c r="F136" s="1"/>
      <c r="G136" s="1"/>
      <c r="H136" s="1"/>
      <c r="I136" s="1"/>
      <c r="J136" s="16"/>
      <c r="K136" s="1"/>
      <c r="L136" s="1"/>
      <c r="M136" s="1"/>
      <c r="N136" s="1"/>
      <c r="O136" s="1"/>
      <c r="P136" s="1"/>
      <c r="Q136" s="1"/>
      <c r="R136" s="1"/>
      <c r="S136" s="1"/>
      <c r="T136" s="1"/>
      <c r="U136" s="1"/>
      <c r="V136" s="1"/>
      <c r="W136" s="1"/>
      <c r="X136" s="1"/>
      <c r="Y136" s="1"/>
      <c r="Z136" s="1"/>
    </row>
    <row r="137" spans="1:26" ht="12.75" customHeight="1">
      <c r="A137" s="1"/>
      <c r="B137" s="46"/>
      <c r="C137" s="1"/>
      <c r="D137" s="1"/>
      <c r="E137" s="1"/>
      <c r="F137" s="1"/>
      <c r="G137" s="1"/>
      <c r="H137" s="1"/>
      <c r="I137" s="1"/>
      <c r="J137" s="16"/>
      <c r="K137" s="1"/>
      <c r="L137" s="1"/>
      <c r="M137" s="1"/>
      <c r="N137" s="1"/>
      <c r="O137" s="1"/>
      <c r="P137" s="1"/>
      <c r="Q137" s="1"/>
      <c r="R137" s="1"/>
      <c r="S137" s="1"/>
      <c r="T137" s="1"/>
      <c r="U137" s="1"/>
      <c r="V137" s="1"/>
      <c r="W137" s="1"/>
      <c r="X137" s="1"/>
      <c r="Y137" s="1"/>
      <c r="Z137" s="1"/>
    </row>
    <row r="138" spans="1:26" ht="12.75" customHeight="1">
      <c r="A138" s="1"/>
      <c r="B138" s="46"/>
      <c r="C138" s="1"/>
      <c r="D138" s="1"/>
      <c r="E138" s="1"/>
      <c r="F138" s="1"/>
      <c r="G138" s="1"/>
      <c r="H138" s="1"/>
      <c r="I138" s="1"/>
      <c r="J138" s="16"/>
      <c r="K138" s="1"/>
      <c r="L138" s="1"/>
      <c r="M138" s="1"/>
      <c r="N138" s="1"/>
      <c r="O138" s="1"/>
      <c r="P138" s="1"/>
      <c r="Q138" s="1"/>
      <c r="R138" s="1"/>
      <c r="S138" s="1"/>
      <c r="T138" s="1"/>
      <c r="U138" s="1"/>
      <c r="V138" s="1"/>
      <c r="W138" s="1"/>
      <c r="X138" s="1"/>
      <c r="Y138" s="1"/>
      <c r="Z138" s="1"/>
    </row>
    <row r="139" spans="1:26" ht="12.75" customHeight="1">
      <c r="A139" s="1"/>
      <c r="B139" s="46"/>
      <c r="C139" s="1"/>
      <c r="D139" s="1"/>
      <c r="E139" s="1"/>
      <c r="F139" s="1"/>
      <c r="G139" s="1"/>
      <c r="H139" s="1"/>
      <c r="I139" s="1"/>
      <c r="J139" s="16"/>
      <c r="K139" s="1"/>
      <c r="L139" s="1"/>
      <c r="M139" s="1"/>
      <c r="N139" s="1"/>
      <c r="O139" s="1"/>
      <c r="P139" s="1"/>
      <c r="Q139" s="1"/>
      <c r="R139" s="1"/>
      <c r="S139" s="1"/>
      <c r="T139" s="1"/>
      <c r="U139" s="1"/>
      <c r="V139" s="1"/>
      <c r="W139" s="1"/>
      <c r="X139" s="1"/>
      <c r="Y139" s="1"/>
      <c r="Z139" s="1"/>
    </row>
    <row r="140" spans="1:26" ht="12.75" customHeight="1">
      <c r="A140" s="1"/>
      <c r="B140" s="46"/>
      <c r="C140" s="1"/>
      <c r="D140" s="1"/>
      <c r="E140" s="1"/>
      <c r="F140" s="1"/>
      <c r="G140" s="1"/>
      <c r="H140" s="1"/>
      <c r="I140" s="1"/>
      <c r="J140" s="16"/>
      <c r="K140" s="1"/>
      <c r="L140" s="1"/>
      <c r="M140" s="1"/>
      <c r="N140" s="1"/>
      <c r="O140" s="1"/>
      <c r="P140" s="1"/>
      <c r="Q140" s="1"/>
      <c r="R140" s="1"/>
      <c r="S140" s="1"/>
      <c r="T140" s="1"/>
      <c r="U140" s="1"/>
      <c r="V140" s="1"/>
      <c r="W140" s="1"/>
      <c r="X140" s="1"/>
      <c r="Y140" s="1"/>
      <c r="Z140" s="1"/>
    </row>
    <row r="141" spans="1:26" ht="12.75" customHeight="1">
      <c r="A141" s="1"/>
      <c r="B141" s="46"/>
      <c r="C141" s="1"/>
      <c r="D141" s="1"/>
      <c r="E141" s="1"/>
      <c r="F141" s="1"/>
      <c r="G141" s="1"/>
      <c r="H141" s="1"/>
      <c r="I141" s="1"/>
      <c r="J141" s="16"/>
      <c r="K141" s="1"/>
      <c r="L141" s="1"/>
      <c r="M141" s="1"/>
      <c r="N141" s="1"/>
      <c r="O141" s="1"/>
      <c r="P141" s="1"/>
      <c r="Q141" s="1"/>
      <c r="R141" s="1"/>
      <c r="S141" s="1"/>
      <c r="T141" s="1"/>
      <c r="U141" s="1"/>
      <c r="V141" s="1"/>
      <c r="W141" s="1"/>
      <c r="X141" s="1"/>
      <c r="Y141" s="1"/>
      <c r="Z141" s="1"/>
    </row>
    <row r="142" spans="1:26" ht="12.75" customHeight="1">
      <c r="A142" s="1"/>
      <c r="B142" s="46"/>
      <c r="C142" s="1"/>
      <c r="D142" s="1"/>
      <c r="E142" s="1"/>
      <c r="F142" s="1"/>
      <c r="G142" s="1"/>
      <c r="H142" s="1"/>
      <c r="I142" s="1"/>
      <c r="J142" s="16"/>
      <c r="K142" s="1"/>
      <c r="L142" s="1"/>
      <c r="M142" s="1"/>
      <c r="N142" s="1"/>
      <c r="O142" s="1"/>
      <c r="P142" s="1"/>
      <c r="Q142" s="1"/>
      <c r="R142" s="1"/>
      <c r="S142" s="1"/>
      <c r="T142" s="1"/>
      <c r="U142" s="1"/>
      <c r="V142" s="1"/>
      <c r="W142" s="1"/>
      <c r="X142" s="1"/>
      <c r="Y142" s="1"/>
      <c r="Z142" s="1"/>
    </row>
    <row r="143" spans="1:26" ht="12.75" customHeight="1">
      <c r="A143" s="1"/>
      <c r="B143" s="46"/>
      <c r="C143" s="1"/>
      <c r="D143" s="1"/>
      <c r="E143" s="1"/>
      <c r="F143" s="1"/>
      <c r="G143" s="1"/>
      <c r="H143" s="1"/>
      <c r="I143" s="1"/>
      <c r="J143" s="16"/>
      <c r="K143" s="1"/>
      <c r="L143" s="1"/>
      <c r="M143" s="1"/>
      <c r="N143" s="1"/>
      <c r="O143" s="1"/>
      <c r="P143" s="1"/>
      <c r="Q143" s="1"/>
      <c r="R143" s="1"/>
      <c r="S143" s="1"/>
      <c r="T143" s="1"/>
      <c r="U143" s="1"/>
      <c r="V143" s="1"/>
      <c r="W143" s="1"/>
      <c r="X143" s="1"/>
      <c r="Y143" s="1"/>
      <c r="Z143" s="1"/>
    </row>
    <row r="144" spans="1:26" ht="12.75" customHeight="1">
      <c r="A144" s="1"/>
      <c r="B144" s="46"/>
      <c r="C144" s="1"/>
      <c r="D144" s="1"/>
      <c r="E144" s="1"/>
      <c r="F144" s="1"/>
      <c r="G144" s="1"/>
      <c r="H144" s="1"/>
      <c r="I144" s="1"/>
      <c r="J144" s="16"/>
      <c r="K144" s="1"/>
      <c r="L144" s="1"/>
      <c r="M144" s="1"/>
      <c r="N144" s="1"/>
      <c r="O144" s="1"/>
      <c r="P144" s="1"/>
      <c r="Q144" s="1"/>
      <c r="R144" s="1"/>
      <c r="S144" s="1"/>
      <c r="T144" s="1"/>
      <c r="U144" s="1"/>
      <c r="V144" s="1"/>
      <c r="W144" s="1"/>
      <c r="X144" s="1"/>
      <c r="Y144" s="1"/>
      <c r="Z144" s="1"/>
    </row>
    <row r="145" spans="1:26" ht="12.75" customHeight="1">
      <c r="A145" s="1"/>
      <c r="B145" s="46"/>
      <c r="C145" s="1"/>
      <c r="D145" s="1"/>
      <c r="E145" s="1"/>
      <c r="F145" s="1"/>
      <c r="G145" s="1"/>
      <c r="H145" s="1"/>
      <c r="I145" s="1"/>
      <c r="J145" s="16"/>
      <c r="K145" s="1"/>
      <c r="L145" s="1"/>
      <c r="M145" s="1"/>
      <c r="N145" s="1"/>
      <c r="O145" s="1"/>
      <c r="P145" s="1"/>
      <c r="Q145" s="1"/>
      <c r="R145" s="1"/>
      <c r="S145" s="1"/>
      <c r="T145" s="1"/>
      <c r="U145" s="1"/>
      <c r="V145" s="1"/>
      <c r="W145" s="1"/>
      <c r="X145" s="1"/>
      <c r="Y145" s="1"/>
      <c r="Z145" s="1"/>
    </row>
    <row r="146" spans="1:26" ht="12.75" customHeight="1">
      <c r="A146" s="1"/>
      <c r="B146" s="46"/>
      <c r="C146" s="1"/>
      <c r="D146" s="1"/>
      <c r="E146" s="1"/>
      <c r="F146" s="1"/>
      <c r="G146" s="1"/>
      <c r="H146" s="1"/>
      <c r="I146" s="1"/>
      <c r="J146" s="16"/>
      <c r="K146" s="1"/>
      <c r="L146" s="1"/>
      <c r="M146" s="1"/>
      <c r="N146" s="1"/>
      <c r="O146" s="1"/>
      <c r="P146" s="1"/>
      <c r="Q146" s="1"/>
      <c r="R146" s="1"/>
      <c r="S146" s="1"/>
      <c r="T146" s="1"/>
      <c r="U146" s="1"/>
      <c r="V146" s="1"/>
      <c r="W146" s="1"/>
      <c r="X146" s="1"/>
      <c r="Y146" s="1"/>
      <c r="Z146" s="1"/>
    </row>
    <row r="147" spans="1:26" ht="12.75" customHeight="1">
      <c r="A147" s="1"/>
      <c r="B147" s="46"/>
      <c r="C147" s="1"/>
      <c r="D147" s="1"/>
      <c r="E147" s="1"/>
      <c r="F147" s="1"/>
      <c r="G147" s="1"/>
      <c r="H147" s="1"/>
      <c r="I147" s="1"/>
      <c r="J147" s="16"/>
      <c r="K147" s="1"/>
      <c r="L147" s="1"/>
      <c r="M147" s="1"/>
      <c r="N147" s="1"/>
      <c r="O147" s="1"/>
      <c r="P147" s="1"/>
      <c r="Q147" s="1"/>
      <c r="R147" s="1"/>
      <c r="S147" s="1"/>
      <c r="T147" s="1"/>
      <c r="U147" s="1"/>
      <c r="V147" s="1"/>
      <c r="W147" s="1"/>
      <c r="X147" s="1"/>
      <c r="Y147" s="1"/>
      <c r="Z147" s="1"/>
    </row>
    <row r="148" spans="1:26" ht="12.75" customHeight="1">
      <c r="A148" s="1"/>
      <c r="B148" s="46"/>
      <c r="C148" s="1"/>
      <c r="D148" s="1"/>
      <c r="E148" s="1"/>
      <c r="F148" s="1"/>
      <c r="G148" s="1"/>
      <c r="H148" s="1"/>
      <c r="I148" s="1"/>
      <c r="J148" s="16"/>
      <c r="K148" s="1"/>
      <c r="L148" s="1"/>
      <c r="M148" s="1"/>
      <c r="N148" s="1"/>
      <c r="O148" s="1"/>
      <c r="P148" s="1"/>
      <c r="Q148" s="1"/>
      <c r="R148" s="1"/>
      <c r="S148" s="1"/>
      <c r="T148" s="1"/>
      <c r="U148" s="1"/>
      <c r="V148" s="1"/>
      <c r="W148" s="1"/>
      <c r="X148" s="1"/>
      <c r="Y148" s="1"/>
      <c r="Z148" s="1"/>
    </row>
    <row r="149" spans="1:26" ht="12.75" customHeight="1">
      <c r="A149" s="1"/>
      <c r="B149" s="46"/>
      <c r="C149" s="1"/>
      <c r="D149" s="1"/>
      <c r="E149" s="1"/>
      <c r="F149" s="1"/>
      <c r="G149" s="1"/>
      <c r="H149" s="1"/>
      <c r="I149" s="1"/>
      <c r="J149" s="16"/>
      <c r="K149" s="1"/>
      <c r="L149" s="1"/>
      <c r="M149" s="1"/>
      <c r="N149" s="1"/>
      <c r="O149" s="1"/>
      <c r="P149" s="1"/>
      <c r="Q149" s="1"/>
      <c r="R149" s="1"/>
      <c r="S149" s="1"/>
      <c r="T149" s="1"/>
      <c r="U149" s="1"/>
      <c r="V149" s="1"/>
      <c r="W149" s="1"/>
      <c r="X149" s="1"/>
      <c r="Y149" s="1"/>
      <c r="Z149" s="1"/>
    </row>
    <row r="150" spans="1:26" ht="12.75" customHeight="1">
      <c r="A150" s="1"/>
      <c r="B150" s="46"/>
      <c r="C150" s="1"/>
      <c r="D150" s="1"/>
      <c r="E150" s="1"/>
      <c r="F150" s="1"/>
      <c r="G150" s="1"/>
      <c r="H150" s="1"/>
      <c r="I150" s="1"/>
      <c r="J150" s="16"/>
      <c r="K150" s="1"/>
      <c r="L150" s="1"/>
      <c r="M150" s="1"/>
      <c r="N150" s="1"/>
      <c r="O150" s="1"/>
      <c r="P150" s="1"/>
      <c r="Q150" s="1"/>
      <c r="R150" s="1"/>
      <c r="S150" s="1"/>
      <c r="T150" s="1"/>
      <c r="U150" s="1"/>
      <c r="V150" s="1"/>
      <c r="W150" s="1"/>
      <c r="X150" s="1"/>
      <c r="Y150" s="1"/>
      <c r="Z150" s="1"/>
    </row>
    <row r="151" spans="1:26" ht="12.75" customHeight="1">
      <c r="A151" s="1"/>
      <c r="B151" s="46"/>
      <c r="C151" s="1"/>
      <c r="D151" s="1"/>
      <c r="E151" s="1"/>
      <c r="F151" s="1"/>
      <c r="G151" s="1"/>
      <c r="H151" s="1"/>
      <c r="I151" s="1"/>
      <c r="J151" s="16"/>
      <c r="K151" s="1"/>
      <c r="L151" s="1"/>
      <c r="M151" s="1"/>
      <c r="N151" s="1"/>
      <c r="O151" s="1"/>
      <c r="P151" s="1"/>
      <c r="Q151" s="1"/>
      <c r="R151" s="1"/>
      <c r="S151" s="1"/>
      <c r="T151" s="1"/>
      <c r="U151" s="1"/>
      <c r="V151" s="1"/>
      <c r="W151" s="1"/>
      <c r="X151" s="1"/>
      <c r="Y151" s="1"/>
      <c r="Z151" s="1"/>
    </row>
    <row r="152" spans="1:26" ht="12.75" customHeight="1">
      <c r="A152" s="1"/>
      <c r="B152" s="46"/>
      <c r="C152" s="1"/>
      <c r="D152" s="1"/>
      <c r="E152" s="1"/>
      <c r="F152" s="1"/>
      <c r="G152" s="1"/>
      <c r="H152" s="1"/>
      <c r="I152" s="1"/>
      <c r="J152" s="16"/>
      <c r="K152" s="1"/>
      <c r="L152" s="1"/>
      <c r="M152" s="1"/>
      <c r="N152" s="1"/>
      <c r="O152" s="1"/>
      <c r="P152" s="1"/>
      <c r="Q152" s="1"/>
      <c r="R152" s="1"/>
      <c r="S152" s="1"/>
      <c r="T152" s="1"/>
      <c r="U152" s="1"/>
      <c r="V152" s="1"/>
      <c r="W152" s="1"/>
      <c r="X152" s="1"/>
      <c r="Y152" s="1"/>
      <c r="Z152" s="1"/>
    </row>
    <row r="153" spans="1:26" ht="12.75" customHeight="1">
      <c r="A153" s="1"/>
      <c r="B153" s="46"/>
      <c r="C153" s="1"/>
      <c r="D153" s="1"/>
      <c r="E153" s="1"/>
      <c r="F153" s="1"/>
      <c r="G153" s="1"/>
      <c r="H153" s="1"/>
      <c r="I153" s="1"/>
      <c r="J153" s="16"/>
      <c r="K153" s="1"/>
      <c r="L153" s="1"/>
      <c r="M153" s="1"/>
      <c r="N153" s="1"/>
      <c r="O153" s="1"/>
      <c r="P153" s="1"/>
      <c r="Q153" s="1"/>
      <c r="R153" s="1"/>
      <c r="S153" s="1"/>
      <c r="T153" s="1"/>
      <c r="U153" s="1"/>
      <c r="V153" s="1"/>
      <c r="W153" s="1"/>
      <c r="X153" s="1"/>
      <c r="Y153" s="1"/>
      <c r="Z153" s="1"/>
    </row>
    <row r="154" spans="1:26" ht="12.75" customHeight="1">
      <c r="A154" s="1"/>
      <c r="B154" s="46"/>
      <c r="C154" s="1"/>
      <c r="D154" s="1"/>
      <c r="E154" s="1"/>
      <c r="F154" s="1"/>
      <c r="G154" s="1"/>
      <c r="H154" s="1"/>
      <c r="I154" s="1"/>
      <c r="J154" s="16"/>
      <c r="K154" s="1"/>
      <c r="L154" s="1"/>
      <c r="M154" s="1"/>
      <c r="N154" s="1"/>
      <c r="O154" s="1"/>
      <c r="P154" s="1"/>
      <c r="Q154" s="1"/>
      <c r="R154" s="1"/>
      <c r="S154" s="1"/>
      <c r="T154" s="1"/>
      <c r="U154" s="1"/>
      <c r="V154" s="1"/>
      <c r="W154" s="1"/>
      <c r="X154" s="1"/>
      <c r="Y154" s="1"/>
      <c r="Z154" s="1"/>
    </row>
    <row r="155" spans="1:26" ht="12.75" customHeight="1">
      <c r="A155" s="1"/>
      <c r="B155" s="46"/>
      <c r="C155" s="1"/>
      <c r="D155" s="1"/>
      <c r="E155" s="1"/>
      <c r="F155" s="1"/>
      <c r="G155" s="1"/>
      <c r="H155" s="1"/>
      <c r="I155" s="1"/>
      <c r="J155" s="16"/>
      <c r="K155" s="1"/>
      <c r="L155" s="1"/>
      <c r="M155" s="1"/>
      <c r="N155" s="1"/>
      <c r="O155" s="1"/>
      <c r="P155" s="1"/>
      <c r="Q155" s="1"/>
      <c r="R155" s="1"/>
      <c r="S155" s="1"/>
      <c r="T155" s="1"/>
      <c r="U155" s="1"/>
      <c r="V155" s="1"/>
      <c r="W155" s="1"/>
      <c r="X155" s="1"/>
      <c r="Y155" s="1"/>
      <c r="Z155" s="1"/>
    </row>
    <row r="156" spans="1:26" ht="12.75" customHeight="1">
      <c r="A156" s="1"/>
      <c r="B156" s="46"/>
      <c r="C156" s="1"/>
      <c r="D156" s="1"/>
      <c r="E156" s="1"/>
      <c r="F156" s="1"/>
      <c r="G156" s="1"/>
      <c r="H156" s="1"/>
      <c r="I156" s="1"/>
      <c r="J156" s="16"/>
      <c r="K156" s="1"/>
      <c r="L156" s="1"/>
      <c r="M156" s="1"/>
      <c r="N156" s="1"/>
      <c r="O156" s="1"/>
      <c r="P156" s="1"/>
      <c r="Q156" s="1"/>
      <c r="R156" s="1"/>
      <c r="S156" s="1"/>
      <c r="T156" s="1"/>
      <c r="U156" s="1"/>
      <c r="V156" s="1"/>
      <c r="W156" s="1"/>
      <c r="X156" s="1"/>
      <c r="Y156" s="1"/>
      <c r="Z156" s="1"/>
    </row>
    <row r="157" spans="1:26" ht="12.75" customHeight="1">
      <c r="A157" s="1"/>
      <c r="B157" s="46"/>
      <c r="C157" s="1"/>
      <c r="D157" s="1"/>
      <c r="E157" s="1"/>
      <c r="F157" s="1"/>
      <c r="G157" s="1"/>
      <c r="H157" s="1"/>
      <c r="I157" s="1"/>
      <c r="J157" s="16"/>
      <c r="K157" s="1"/>
      <c r="L157" s="1"/>
      <c r="M157" s="1"/>
      <c r="N157" s="1"/>
      <c r="O157" s="1"/>
      <c r="P157" s="1"/>
      <c r="Q157" s="1"/>
      <c r="R157" s="1"/>
      <c r="S157" s="1"/>
      <c r="T157" s="1"/>
      <c r="U157" s="1"/>
      <c r="V157" s="1"/>
      <c r="W157" s="1"/>
      <c r="X157" s="1"/>
      <c r="Y157" s="1"/>
      <c r="Z157" s="1"/>
    </row>
    <row r="158" spans="1:26" ht="12.75" customHeight="1">
      <c r="A158" s="1"/>
      <c r="B158" s="46"/>
      <c r="C158" s="1"/>
      <c r="D158" s="1"/>
      <c r="E158" s="1"/>
      <c r="F158" s="1"/>
      <c r="G158" s="1"/>
      <c r="H158" s="1"/>
      <c r="I158" s="1"/>
      <c r="J158" s="16"/>
      <c r="K158" s="1"/>
      <c r="L158" s="1"/>
      <c r="M158" s="1"/>
      <c r="N158" s="1"/>
      <c r="O158" s="1"/>
      <c r="P158" s="1"/>
      <c r="Q158" s="1"/>
      <c r="R158" s="1"/>
      <c r="S158" s="1"/>
      <c r="T158" s="1"/>
      <c r="U158" s="1"/>
      <c r="V158" s="1"/>
      <c r="W158" s="1"/>
      <c r="X158" s="1"/>
      <c r="Y158" s="1"/>
      <c r="Z158" s="1"/>
    </row>
    <row r="159" spans="1:26" ht="12.75" customHeight="1">
      <c r="A159" s="1"/>
      <c r="B159" s="46"/>
      <c r="C159" s="1"/>
      <c r="D159" s="1"/>
      <c r="E159" s="1"/>
      <c r="F159" s="1"/>
      <c r="G159" s="1"/>
      <c r="H159" s="1"/>
      <c r="I159" s="1"/>
      <c r="J159" s="16"/>
      <c r="K159" s="1"/>
      <c r="L159" s="1"/>
      <c r="M159" s="1"/>
      <c r="N159" s="1"/>
      <c r="O159" s="1"/>
      <c r="P159" s="1"/>
      <c r="Q159" s="1"/>
      <c r="R159" s="1"/>
      <c r="S159" s="1"/>
      <c r="T159" s="1"/>
      <c r="U159" s="1"/>
      <c r="V159" s="1"/>
      <c r="W159" s="1"/>
      <c r="X159" s="1"/>
      <c r="Y159" s="1"/>
      <c r="Z159" s="1"/>
    </row>
    <row r="160" spans="1:26" ht="12.75" customHeight="1">
      <c r="A160" s="1"/>
      <c r="B160" s="46"/>
      <c r="C160" s="1"/>
      <c r="D160" s="1"/>
      <c r="E160" s="1"/>
      <c r="F160" s="1"/>
      <c r="G160" s="1"/>
      <c r="H160" s="1"/>
      <c r="I160" s="1"/>
      <c r="J160" s="16"/>
      <c r="K160" s="1"/>
      <c r="L160" s="1"/>
      <c r="M160" s="1"/>
      <c r="N160" s="1"/>
      <c r="O160" s="1"/>
      <c r="P160" s="1"/>
      <c r="Q160" s="1"/>
      <c r="R160" s="1"/>
      <c r="S160" s="1"/>
      <c r="T160" s="1"/>
      <c r="U160" s="1"/>
      <c r="V160" s="1"/>
      <c r="W160" s="1"/>
      <c r="X160" s="1"/>
      <c r="Y160" s="1"/>
      <c r="Z160" s="1"/>
    </row>
    <row r="161" spans="1:26" ht="12.75" customHeight="1">
      <c r="A161" s="1"/>
      <c r="B161" s="46"/>
      <c r="C161" s="1"/>
      <c r="D161" s="1"/>
      <c r="E161" s="1"/>
      <c r="F161" s="1"/>
      <c r="G161" s="1"/>
      <c r="H161" s="1"/>
      <c r="I161" s="1"/>
      <c r="J161" s="16"/>
      <c r="K161" s="1"/>
      <c r="L161" s="1"/>
      <c r="M161" s="1"/>
      <c r="N161" s="1"/>
      <c r="O161" s="1"/>
      <c r="P161" s="1"/>
      <c r="Q161" s="1"/>
      <c r="R161" s="1"/>
      <c r="S161" s="1"/>
      <c r="T161" s="1"/>
      <c r="U161" s="1"/>
      <c r="V161" s="1"/>
      <c r="W161" s="1"/>
      <c r="X161" s="1"/>
      <c r="Y161" s="1"/>
      <c r="Z161" s="1"/>
    </row>
    <row r="162" spans="1:26" ht="12.75" customHeight="1">
      <c r="A162" s="1"/>
      <c r="B162" s="46"/>
      <c r="C162" s="1"/>
      <c r="D162" s="1"/>
      <c r="E162" s="1"/>
      <c r="F162" s="1"/>
      <c r="G162" s="1"/>
      <c r="H162" s="1"/>
      <c r="I162" s="1"/>
      <c r="J162" s="16"/>
      <c r="K162" s="1"/>
      <c r="L162" s="1"/>
      <c r="M162" s="1"/>
      <c r="N162" s="1"/>
      <c r="O162" s="1"/>
      <c r="P162" s="1"/>
      <c r="Q162" s="1"/>
      <c r="R162" s="1"/>
      <c r="S162" s="1"/>
      <c r="T162" s="1"/>
      <c r="U162" s="1"/>
      <c r="V162" s="1"/>
      <c r="W162" s="1"/>
      <c r="X162" s="1"/>
      <c r="Y162" s="1"/>
      <c r="Z162" s="1"/>
    </row>
    <row r="163" spans="1:26" ht="12.75" customHeight="1">
      <c r="A163" s="1"/>
      <c r="B163" s="46"/>
      <c r="C163" s="1"/>
      <c r="D163" s="1"/>
      <c r="E163" s="1"/>
      <c r="F163" s="1"/>
      <c r="G163" s="1"/>
      <c r="H163" s="1"/>
      <c r="I163" s="1"/>
      <c r="J163" s="16"/>
      <c r="K163" s="1"/>
      <c r="L163" s="1"/>
      <c r="M163" s="1"/>
      <c r="N163" s="1"/>
      <c r="O163" s="1"/>
      <c r="P163" s="1"/>
      <c r="Q163" s="1"/>
      <c r="R163" s="1"/>
      <c r="S163" s="1"/>
      <c r="T163" s="1"/>
      <c r="U163" s="1"/>
      <c r="V163" s="1"/>
      <c r="W163" s="1"/>
      <c r="X163" s="1"/>
      <c r="Y163" s="1"/>
      <c r="Z163" s="1"/>
    </row>
    <row r="164" spans="1:26" ht="12.75" customHeight="1">
      <c r="A164" s="1"/>
      <c r="B164" s="46"/>
      <c r="C164" s="1"/>
      <c r="D164" s="1"/>
      <c r="E164" s="1"/>
      <c r="F164" s="1"/>
      <c r="G164" s="1"/>
      <c r="H164" s="1"/>
      <c r="I164" s="1"/>
      <c r="J164" s="16"/>
      <c r="K164" s="1"/>
      <c r="L164" s="1"/>
      <c r="M164" s="1"/>
      <c r="N164" s="1"/>
      <c r="O164" s="1"/>
      <c r="P164" s="1"/>
      <c r="Q164" s="1"/>
      <c r="R164" s="1"/>
      <c r="S164" s="1"/>
      <c r="T164" s="1"/>
      <c r="U164" s="1"/>
      <c r="V164" s="1"/>
      <c r="W164" s="1"/>
      <c r="X164" s="1"/>
      <c r="Y164" s="1"/>
      <c r="Z164" s="1"/>
    </row>
    <row r="165" spans="1:26" ht="12.75" customHeight="1">
      <c r="A165" s="1"/>
      <c r="B165" s="46"/>
      <c r="C165" s="1"/>
      <c r="D165" s="1"/>
      <c r="E165" s="1"/>
      <c r="F165" s="1"/>
      <c r="G165" s="1"/>
      <c r="H165" s="1"/>
      <c r="I165" s="1"/>
      <c r="J165" s="16"/>
      <c r="K165" s="1"/>
      <c r="L165" s="1"/>
      <c r="M165" s="1"/>
      <c r="N165" s="1"/>
      <c r="O165" s="1"/>
      <c r="P165" s="1"/>
      <c r="Q165" s="1"/>
      <c r="R165" s="1"/>
      <c r="S165" s="1"/>
      <c r="T165" s="1"/>
      <c r="U165" s="1"/>
      <c r="V165" s="1"/>
      <c r="W165" s="1"/>
      <c r="X165" s="1"/>
      <c r="Y165" s="1"/>
      <c r="Z165" s="1"/>
    </row>
    <row r="166" spans="1:26" ht="12.75" customHeight="1">
      <c r="A166" s="1"/>
      <c r="B166" s="46"/>
      <c r="C166" s="1"/>
      <c r="D166" s="1"/>
      <c r="E166" s="1"/>
      <c r="F166" s="1"/>
      <c r="G166" s="1"/>
      <c r="H166" s="1"/>
      <c r="I166" s="1"/>
      <c r="J166" s="16"/>
      <c r="K166" s="1"/>
      <c r="L166" s="1"/>
      <c r="M166" s="1"/>
      <c r="N166" s="1"/>
      <c r="O166" s="1"/>
      <c r="P166" s="1"/>
      <c r="Q166" s="1"/>
      <c r="R166" s="1"/>
      <c r="S166" s="1"/>
      <c r="T166" s="1"/>
      <c r="U166" s="1"/>
      <c r="V166" s="1"/>
      <c r="W166" s="1"/>
      <c r="X166" s="1"/>
      <c r="Y166" s="1"/>
      <c r="Z166" s="1"/>
    </row>
    <row r="167" spans="1:26" ht="12.75" customHeight="1">
      <c r="A167" s="1"/>
      <c r="B167" s="46"/>
      <c r="C167" s="1"/>
      <c r="D167" s="1"/>
      <c r="E167" s="1"/>
      <c r="F167" s="1"/>
      <c r="G167" s="1"/>
      <c r="H167" s="1"/>
      <c r="I167" s="1"/>
      <c r="J167" s="16"/>
      <c r="K167" s="1"/>
      <c r="L167" s="1"/>
      <c r="M167" s="1"/>
      <c r="N167" s="1"/>
      <c r="O167" s="1"/>
      <c r="P167" s="1"/>
      <c r="Q167" s="1"/>
      <c r="R167" s="1"/>
      <c r="S167" s="1"/>
      <c r="T167" s="1"/>
      <c r="U167" s="1"/>
      <c r="V167" s="1"/>
      <c r="W167" s="1"/>
      <c r="X167" s="1"/>
      <c r="Y167" s="1"/>
      <c r="Z167" s="1"/>
    </row>
    <row r="168" spans="1:26" ht="12.75" customHeight="1">
      <c r="A168" s="1"/>
      <c r="B168" s="46"/>
      <c r="C168" s="1"/>
      <c r="D168" s="1"/>
      <c r="E168" s="1"/>
      <c r="F168" s="1"/>
      <c r="G168" s="1"/>
      <c r="H168" s="1"/>
      <c r="I168" s="1"/>
      <c r="J168" s="16"/>
      <c r="K168" s="1"/>
      <c r="L168" s="1"/>
      <c r="M168" s="1"/>
      <c r="N168" s="1"/>
      <c r="O168" s="1"/>
      <c r="P168" s="1"/>
      <c r="Q168" s="1"/>
      <c r="R168" s="1"/>
      <c r="S168" s="1"/>
      <c r="T168" s="1"/>
      <c r="U168" s="1"/>
      <c r="V168" s="1"/>
      <c r="W168" s="1"/>
      <c r="X168" s="1"/>
      <c r="Y168" s="1"/>
      <c r="Z168" s="1"/>
    </row>
    <row r="169" spans="1:26" ht="12.75" customHeight="1">
      <c r="A169" s="1"/>
      <c r="B169" s="46"/>
      <c r="C169" s="1"/>
      <c r="D169" s="1"/>
      <c r="E169" s="1"/>
      <c r="F169" s="1"/>
      <c r="G169" s="1"/>
      <c r="H169" s="1"/>
      <c r="I169" s="1"/>
      <c r="J169" s="16"/>
      <c r="K169" s="1"/>
      <c r="L169" s="1"/>
      <c r="M169" s="1"/>
      <c r="N169" s="1"/>
      <c r="O169" s="1"/>
      <c r="P169" s="1"/>
      <c r="Q169" s="1"/>
      <c r="R169" s="1"/>
      <c r="S169" s="1"/>
      <c r="T169" s="1"/>
      <c r="U169" s="1"/>
      <c r="V169" s="1"/>
      <c r="W169" s="1"/>
      <c r="X169" s="1"/>
      <c r="Y169" s="1"/>
      <c r="Z169" s="1"/>
    </row>
    <row r="170" spans="1:26" ht="12.75" customHeight="1">
      <c r="A170" s="1"/>
      <c r="B170" s="46"/>
      <c r="C170" s="1"/>
      <c r="D170" s="1"/>
      <c r="E170" s="1"/>
      <c r="F170" s="1"/>
      <c r="G170" s="1"/>
      <c r="H170" s="1"/>
      <c r="I170" s="1"/>
      <c r="J170" s="16"/>
      <c r="K170" s="1"/>
      <c r="L170" s="1"/>
      <c r="M170" s="1"/>
      <c r="N170" s="1"/>
      <c r="O170" s="1"/>
      <c r="P170" s="1"/>
      <c r="Q170" s="1"/>
      <c r="R170" s="1"/>
      <c r="S170" s="1"/>
      <c r="T170" s="1"/>
      <c r="U170" s="1"/>
      <c r="V170" s="1"/>
      <c r="W170" s="1"/>
      <c r="X170" s="1"/>
      <c r="Y170" s="1"/>
      <c r="Z170" s="1"/>
    </row>
    <row r="171" spans="1:26" ht="12.75" customHeight="1">
      <c r="A171" s="1"/>
      <c r="B171" s="46"/>
      <c r="C171" s="1"/>
      <c r="D171" s="1"/>
      <c r="E171" s="1"/>
      <c r="F171" s="1"/>
      <c r="G171" s="1"/>
      <c r="H171" s="1"/>
      <c r="I171" s="1"/>
      <c r="J171" s="16"/>
      <c r="K171" s="1"/>
      <c r="L171" s="1"/>
      <c r="M171" s="1"/>
      <c r="N171" s="1"/>
      <c r="O171" s="1"/>
      <c r="P171" s="1"/>
      <c r="Q171" s="1"/>
      <c r="R171" s="1"/>
      <c r="S171" s="1"/>
      <c r="T171" s="1"/>
      <c r="U171" s="1"/>
      <c r="V171" s="1"/>
      <c r="W171" s="1"/>
      <c r="X171" s="1"/>
      <c r="Y171" s="1"/>
      <c r="Z171" s="1"/>
    </row>
    <row r="172" spans="1:26" ht="12.75" customHeight="1">
      <c r="A172" s="1"/>
      <c r="B172" s="46"/>
      <c r="C172" s="1"/>
      <c r="D172" s="1"/>
      <c r="E172" s="1"/>
      <c r="F172" s="1"/>
      <c r="G172" s="1"/>
      <c r="H172" s="1"/>
      <c r="I172" s="1"/>
      <c r="J172" s="16"/>
      <c r="K172" s="1"/>
      <c r="L172" s="1"/>
      <c r="M172" s="1"/>
      <c r="N172" s="1"/>
      <c r="O172" s="1"/>
      <c r="P172" s="1"/>
      <c r="Q172" s="1"/>
      <c r="R172" s="1"/>
      <c r="S172" s="1"/>
      <c r="T172" s="1"/>
      <c r="U172" s="1"/>
      <c r="V172" s="1"/>
      <c r="W172" s="1"/>
      <c r="X172" s="1"/>
      <c r="Y172" s="1"/>
      <c r="Z172" s="1"/>
    </row>
    <row r="173" spans="1:26" ht="12.75" customHeight="1">
      <c r="A173" s="1"/>
      <c r="B173" s="46"/>
      <c r="C173" s="1"/>
      <c r="D173" s="1"/>
      <c r="E173" s="1"/>
      <c r="F173" s="1"/>
      <c r="G173" s="1"/>
      <c r="H173" s="1"/>
      <c r="I173" s="1"/>
      <c r="J173" s="16"/>
      <c r="K173" s="1"/>
      <c r="L173" s="1"/>
      <c r="M173" s="1"/>
      <c r="N173" s="1"/>
      <c r="O173" s="1"/>
      <c r="P173" s="1"/>
      <c r="Q173" s="1"/>
      <c r="R173" s="1"/>
      <c r="S173" s="1"/>
      <c r="T173" s="1"/>
      <c r="U173" s="1"/>
      <c r="V173" s="1"/>
      <c r="W173" s="1"/>
      <c r="X173" s="1"/>
      <c r="Y173" s="1"/>
      <c r="Z173" s="1"/>
    </row>
    <row r="174" spans="1:26" ht="12.75" customHeight="1">
      <c r="A174" s="1"/>
      <c r="B174" s="46"/>
      <c r="C174" s="1"/>
      <c r="D174" s="1"/>
      <c r="E174" s="1"/>
      <c r="F174" s="1"/>
      <c r="G174" s="1"/>
      <c r="H174" s="1"/>
      <c r="I174" s="1"/>
      <c r="J174" s="16"/>
      <c r="K174" s="1"/>
      <c r="L174" s="1"/>
      <c r="M174" s="1"/>
      <c r="N174" s="1"/>
      <c r="O174" s="1"/>
      <c r="P174" s="1"/>
      <c r="Q174" s="1"/>
      <c r="R174" s="1"/>
      <c r="S174" s="1"/>
      <c r="T174" s="1"/>
      <c r="U174" s="1"/>
      <c r="V174" s="1"/>
      <c r="W174" s="1"/>
      <c r="X174" s="1"/>
      <c r="Y174" s="1"/>
      <c r="Z174" s="1"/>
    </row>
    <row r="175" spans="1:26" ht="12.75" customHeight="1">
      <c r="A175" s="1"/>
      <c r="B175" s="46"/>
      <c r="C175" s="1"/>
      <c r="D175" s="1"/>
      <c r="E175" s="1"/>
      <c r="F175" s="1"/>
      <c r="G175" s="1"/>
      <c r="H175" s="1"/>
      <c r="I175" s="1"/>
      <c r="J175" s="16"/>
      <c r="K175" s="1"/>
      <c r="L175" s="1"/>
      <c r="M175" s="1"/>
      <c r="N175" s="1"/>
      <c r="O175" s="1"/>
      <c r="P175" s="1"/>
      <c r="Q175" s="1"/>
      <c r="R175" s="1"/>
      <c r="S175" s="1"/>
      <c r="T175" s="1"/>
      <c r="U175" s="1"/>
      <c r="V175" s="1"/>
      <c r="W175" s="1"/>
      <c r="X175" s="1"/>
      <c r="Y175" s="1"/>
      <c r="Z175" s="1"/>
    </row>
    <row r="176" spans="1:26" ht="12.75" customHeight="1">
      <c r="A176" s="1"/>
      <c r="B176" s="46"/>
      <c r="C176" s="1"/>
      <c r="D176" s="1"/>
      <c r="E176" s="1"/>
      <c r="F176" s="1"/>
      <c r="G176" s="1"/>
      <c r="H176" s="1"/>
      <c r="I176" s="1"/>
      <c r="J176" s="16"/>
      <c r="K176" s="1"/>
      <c r="L176" s="1"/>
      <c r="M176" s="1"/>
      <c r="N176" s="1"/>
      <c r="O176" s="1"/>
      <c r="P176" s="1"/>
      <c r="Q176" s="1"/>
      <c r="R176" s="1"/>
      <c r="S176" s="1"/>
      <c r="T176" s="1"/>
      <c r="U176" s="1"/>
      <c r="V176" s="1"/>
      <c r="W176" s="1"/>
      <c r="X176" s="1"/>
      <c r="Y176" s="1"/>
      <c r="Z176" s="1"/>
    </row>
    <row r="177" spans="1:26" ht="12.75" customHeight="1">
      <c r="A177" s="1"/>
      <c r="B177" s="46"/>
      <c r="C177" s="1"/>
      <c r="D177" s="1"/>
      <c r="E177" s="1"/>
      <c r="F177" s="1"/>
      <c r="G177" s="1"/>
      <c r="H177" s="1"/>
      <c r="I177" s="1"/>
      <c r="J177" s="16"/>
      <c r="K177" s="1"/>
      <c r="L177" s="1"/>
      <c r="M177" s="1"/>
      <c r="N177" s="1"/>
      <c r="O177" s="1"/>
      <c r="P177" s="1"/>
      <c r="Q177" s="1"/>
      <c r="R177" s="1"/>
      <c r="S177" s="1"/>
      <c r="T177" s="1"/>
      <c r="U177" s="1"/>
      <c r="V177" s="1"/>
      <c r="W177" s="1"/>
      <c r="X177" s="1"/>
      <c r="Y177" s="1"/>
      <c r="Z177" s="1"/>
    </row>
    <row r="178" spans="1:26" ht="12.75" customHeight="1">
      <c r="A178" s="1"/>
      <c r="B178" s="46"/>
      <c r="C178" s="1"/>
      <c r="D178" s="1"/>
      <c r="E178" s="1"/>
      <c r="F178" s="1"/>
      <c r="G178" s="1"/>
      <c r="H178" s="1"/>
      <c r="I178" s="1"/>
      <c r="J178" s="16"/>
      <c r="K178" s="1"/>
      <c r="L178" s="1"/>
      <c r="M178" s="1"/>
      <c r="N178" s="1"/>
      <c r="O178" s="1"/>
      <c r="P178" s="1"/>
      <c r="Q178" s="1"/>
      <c r="R178" s="1"/>
      <c r="S178" s="1"/>
      <c r="T178" s="1"/>
      <c r="U178" s="1"/>
      <c r="V178" s="1"/>
      <c r="W178" s="1"/>
      <c r="X178" s="1"/>
      <c r="Y178" s="1"/>
      <c r="Z178" s="1"/>
    </row>
    <row r="179" spans="1:26" ht="12.75" customHeight="1">
      <c r="A179" s="1"/>
      <c r="B179" s="46"/>
      <c r="C179" s="1"/>
      <c r="D179" s="1"/>
      <c r="E179" s="1"/>
      <c r="F179" s="1"/>
      <c r="G179" s="1"/>
      <c r="H179" s="1"/>
      <c r="I179" s="1"/>
      <c r="J179" s="16"/>
      <c r="K179" s="1"/>
      <c r="L179" s="1"/>
      <c r="M179" s="1"/>
      <c r="N179" s="1"/>
      <c r="O179" s="1"/>
      <c r="P179" s="1"/>
      <c r="Q179" s="1"/>
      <c r="R179" s="1"/>
      <c r="S179" s="1"/>
      <c r="T179" s="1"/>
      <c r="U179" s="1"/>
      <c r="V179" s="1"/>
      <c r="W179" s="1"/>
      <c r="X179" s="1"/>
      <c r="Y179" s="1"/>
      <c r="Z179" s="1"/>
    </row>
    <row r="180" spans="1:26" ht="12.75" customHeight="1">
      <c r="A180" s="1"/>
      <c r="B180" s="46"/>
      <c r="C180" s="1"/>
      <c r="D180" s="1"/>
      <c r="E180" s="1"/>
      <c r="F180" s="1"/>
      <c r="G180" s="1"/>
      <c r="H180" s="1"/>
      <c r="I180" s="1"/>
      <c r="J180" s="16"/>
      <c r="K180" s="1"/>
      <c r="L180" s="1"/>
      <c r="M180" s="1"/>
      <c r="N180" s="1"/>
      <c r="O180" s="1"/>
      <c r="P180" s="1"/>
      <c r="Q180" s="1"/>
      <c r="R180" s="1"/>
      <c r="S180" s="1"/>
      <c r="T180" s="1"/>
      <c r="U180" s="1"/>
      <c r="V180" s="1"/>
      <c r="W180" s="1"/>
      <c r="X180" s="1"/>
      <c r="Y180" s="1"/>
      <c r="Z180" s="1"/>
    </row>
    <row r="181" spans="1:26" ht="12.75" customHeight="1">
      <c r="A181" s="1"/>
      <c r="B181" s="46"/>
      <c r="C181" s="1"/>
      <c r="D181" s="1"/>
      <c r="E181" s="1"/>
      <c r="F181" s="1"/>
      <c r="G181" s="1"/>
      <c r="H181" s="1"/>
      <c r="I181" s="1"/>
      <c r="J181" s="16"/>
      <c r="K181" s="1"/>
      <c r="L181" s="1"/>
      <c r="M181" s="1"/>
      <c r="N181" s="1"/>
      <c r="O181" s="1"/>
      <c r="P181" s="1"/>
      <c r="Q181" s="1"/>
      <c r="R181" s="1"/>
      <c r="S181" s="1"/>
      <c r="T181" s="1"/>
      <c r="U181" s="1"/>
      <c r="V181" s="1"/>
      <c r="W181" s="1"/>
      <c r="X181" s="1"/>
      <c r="Y181" s="1"/>
      <c r="Z181" s="1"/>
    </row>
    <row r="182" spans="1:26" ht="12.75" customHeight="1">
      <c r="A182" s="1"/>
      <c r="B182" s="46"/>
      <c r="C182" s="1"/>
      <c r="D182" s="1"/>
      <c r="E182" s="1"/>
      <c r="F182" s="1"/>
      <c r="G182" s="1"/>
      <c r="H182" s="1"/>
      <c r="I182" s="1"/>
      <c r="J182" s="16"/>
      <c r="K182" s="1"/>
      <c r="L182" s="1"/>
      <c r="M182" s="1"/>
      <c r="N182" s="1"/>
      <c r="O182" s="1"/>
      <c r="P182" s="1"/>
      <c r="Q182" s="1"/>
      <c r="R182" s="1"/>
      <c r="S182" s="1"/>
      <c r="T182" s="1"/>
      <c r="U182" s="1"/>
      <c r="V182" s="1"/>
      <c r="W182" s="1"/>
      <c r="X182" s="1"/>
      <c r="Y182" s="1"/>
      <c r="Z182" s="1"/>
    </row>
    <row r="183" spans="1:26" ht="12.75" customHeight="1">
      <c r="A183" s="1"/>
      <c r="B183" s="46"/>
      <c r="C183" s="1"/>
      <c r="D183" s="1"/>
      <c r="E183" s="1"/>
      <c r="F183" s="1"/>
      <c r="G183" s="1"/>
      <c r="H183" s="1"/>
      <c r="I183" s="1"/>
      <c r="J183" s="16"/>
      <c r="K183" s="1"/>
      <c r="L183" s="1"/>
      <c r="M183" s="1"/>
      <c r="N183" s="1"/>
      <c r="O183" s="1"/>
      <c r="P183" s="1"/>
      <c r="Q183" s="1"/>
      <c r="R183" s="1"/>
      <c r="S183" s="1"/>
      <c r="T183" s="1"/>
      <c r="U183" s="1"/>
      <c r="V183" s="1"/>
      <c r="W183" s="1"/>
      <c r="X183" s="1"/>
      <c r="Y183" s="1"/>
      <c r="Z183" s="1"/>
    </row>
    <row r="184" spans="1:26" ht="12.75" customHeight="1">
      <c r="A184" s="1"/>
      <c r="B184" s="46"/>
      <c r="C184" s="1"/>
      <c r="D184" s="1"/>
      <c r="E184" s="1"/>
      <c r="F184" s="1"/>
      <c r="G184" s="1"/>
      <c r="H184" s="1"/>
      <c r="I184" s="1"/>
      <c r="J184" s="16"/>
      <c r="K184" s="1"/>
      <c r="L184" s="1"/>
      <c r="M184" s="1"/>
      <c r="N184" s="1"/>
      <c r="O184" s="1"/>
      <c r="P184" s="1"/>
      <c r="Q184" s="1"/>
      <c r="R184" s="1"/>
      <c r="S184" s="1"/>
      <c r="T184" s="1"/>
      <c r="U184" s="1"/>
      <c r="V184" s="1"/>
      <c r="W184" s="1"/>
      <c r="X184" s="1"/>
      <c r="Y184" s="1"/>
      <c r="Z184" s="1"/>
    </row>
    <row r="185" spans="1:26" ht="12.75" customHeight="1">
      <c r="A185" s="1"/>
      <c r="B185" s="46"/>
      <c r="C185" s="1"/>
      <c r="D185" s="1"/>
      <c r="E185" s="1"/>
      <c r="F185" s="1"/>
      <c r="G185" s="1"/>
      <c r="H185" s="1"/>
      <c r="I185" s="1"/>
      <c r="J185" s="16"/>
      <c r="K185" s="1"/>
      <c r="L185" s="1"/>
      <c r="M185" s="1"/>
      <c r="N185" s="1"/>
      <c r="O185" s="1"/>
      <c r="P185" s="1"/>
      <c r="Q185" s="1"/>
      <c r="R185" s="1"/>
      <c r="S185" s="1"/>
      <c r="T185" s="1"/>
      <c r="U185" s="1"/>
      <c r="V185" s="1"/>
      <c r="W185" s="1"/>
      <c r="X185" s="1"/>
      <c r="Y185" s="1"/>
      <c r="Z185" s="1"/>
    </row>
    <row r="186" spans="1:26" ht="12.75" customHeight="1">
      <c r="A186" s="1"/>
      <c r="B186" s="46"/>
      <c r="C186" s="1"/>
      <c r="D186" s="1"/>
      <c r="E186" s="1"/>
      <c r="F186" s="1"/>
      <c r="G186" s="1"/>
      <c r="H186" s="1"/>
      <c r="I186" s="1"/>
      <c r="J186" s="16"/>
      <c r="K186" s="1"/>
      <c r="L186" s="1"/>
      <c r="M186" s="1"/>
      <c r="N186" s="1"/>
      <c r="O186" s="1"/>
      <c r="P186" s="1"/>
      <c r="Q186" s="1"/>
      <c r="R186" s="1"/>
      <c r="S186" s="1"/>
      <c r="T186" s="1"/>
      <c r="U186" s="1"/>
      <c r="V186" s="1"/>
      <c r="W186" s="1"/>
      <c r="X186" s="1"/>
      <c r="Y186" s="1"/>
      <c r="Z186" s="1"/>
    </row>
    <row r="187" spans="1:26" ht="12.75" customHeight="1">
      <c r="A187" s="1"/>
      <c r="B187" s="46"/>
      <c r="C187" s="1"/>
      <c r="D187" s="1"/>
      <c r="E187" s="1"/>
      <c r="F187" s="1"/>
      <c r="G187" s="1"/>
      <c r="H187" s="1"/>
      <c r="I187" s="1"/>
      <c r="J187" s="16"/>
      <c r="K187" s="1"/>
      <c r="L187" s="1"/>
      <c r="M187" s="1"/>
      <c r="N187" s="1"/>
      <c r="O187" s="1"/>
      <c r="P187" s="1"/>
      <c r="Q187" s="1"/>
      <c r="R187" s="1"/>
      <c r="S187" s="1"/>
      <c r="T187" s="1"/>
      <c r="U187" s="1"/>
      <c r="V187" s="1"/>
      <c r="W187" s="1"/>
      <c r="X187" s="1"/>
      <c r="Y187" s="1"/>
      <c r="Z187" s="1"/>
    </row>
    <row r="188" spans="1:26" ht="12.75" customHeight="1">
      <c r="A188" s="1"/>
      <c r="B188" s="46"/>
      <c r="C188" s="1"/>
      <c r="D188" s="1"/>
      <c r="E188" s="1"/>
      <c r="F188" s="1"/>
      <c r="G188" s="1"/>
      <c r="H188" s="1"/>
      <c r="I188" s="1"/>
      <c r="J188" s="16"/>
      <c r="K188" s="1"/>
      <c r="L188" s="1"/>
      <c r="M188" s="1"/>
      <c r="N188" s="1"/>
      <c r="O188" s="1"/>
      <c r="P188" s="1"/>
      <c r="Q188" s="1"/>
      <c r="R188" s="1"/>
      <c r="S188" s="1"/>
      <c r="T188" s="1"/>
      <c r="U188" s="1"/>
      <c r="V188" s="1"/>
      <c r="W188" s="1"/>
      <c r="X188" s="1"/>
      <c r="Y188" s="1"/>
      <c r="Z188" s="1"/>
    </row>
    <row r="189" spans="1:26" ht="12.75" customHeight="1">
      <c r="A189" s="1"/>
      <c r="B189" s="46"/>
      <c r="C189" s="1"/>
      <c r="D189" s="1"/>
      <c r="E189" s="1"/>
      <c r="F189" s="1"/>
      <c r="G189" s="1"/>
      <c r="H189" s="1"/>
      <c r="I189" s="1"/>
      <c r="J189" s="16"/>
      <c r="K189" s="1"/>
      <c r="L189" s="1"/>
      <c r="M189" s="1"/>
      <c r="N189" s="1"/>
      <c r="O189" s="1"/>
      <c r="P189" s="1"/>
      <c r="Q189" s="1"/>
      <c r="R189" s="1"/>
      <c r="S189" s="1"/>
      <c r="T189" s="1"/>
      <c r="U189" s="1"/>
      <c r="V189" s="1"/>
      <c r="W189" s="1"/>
      <c r="X189" s="1"/>
      <c r="Y189" s="1"/>
      <c r="Z189" s="1"/>
    </row>
    <row r="190" spans="1:26" ht="12.75" customHeight="1">
      <c r="A190" s="1"/>
      <c r="B190" s="46"/>
      <c r="C190" s="1"/>
      <c r="D190" s="1"/>
      <c r="E190" s="1"/>
      <c r="F190" s="1"/>
      <c r="G190" s="1"/>
      <c r="H190" s="1"/>
      <c r="I190" s="1"/>
      <c r="J190" s="16"/>
      <c r="K190" s="1"/>
      <c r="L190" s="1"/>
      <c r="M190" s="1"/>
      <c r="N190" s="1"/>
      <c r="O190" s="1"/>
      <c r="P190" s="1"/>
      <c r="Q190" s="1"/>
      <c r="R190" s="1"/>
      <c r="S190" s="1"/>
      <c r="T190" s="1"/>
      <c r="U190" s="1"/>
      <c r="V190" s="1"/>
      <c r="W190" s="1"/>
      <c r="X190" s="1"/>
      <c r="Y190" s="1"/>
      <c r="Z190" s="1"/>
    </row>
    <row r="191" spans="1:26" ht="12.75" customHeight="1">
      <c r="A191" s="1"/>
      <c r="B191" s="46"/>
      <c r="C191" s="1"/>
      <c r="D191" s="1"/>
      <c r="E191" s="1"/>
      <c r="F191" s="1"/>
      <c r="G191" s="1"/>
      <c r="H191" s="1"/>
      <c r="I191" s="1"/>
      <c r="J191" s="16"/>
      <c r="K191" s="1"/>
      <c r="L191" s="1"/>
      <c r="M191" s="1"/>
      <c r="N191" s="1"/>
      <c r="O191" s="1"/>
      <c r="P191" s="1"/>
      <c r="Q191" s="1"/>
      <c r="R191" s="1"/>
      <c r="S191" s="1"/>
      <c r="T191" s="1"/>
      <c r="U191" s="1"/>
      <c r="V191" s="1"/>
      <c r="W191" s="1"/>
      <c r="X191" s="1"/>
      <c r="Y191" s="1"/>
      <c r="Z191" s="1"/>
    </row>
    <row r="192" spans="1:26" ht="12.75" customHeight="1">
      <c r="A192" s="1"/>
      <c r="B192" s="46"/>
      <c r="C192" s="1"/>
      <c r="D192" s="1"/>
      <c r="E192" s="1"/>
      <c r="F192" s="1"/>
      <c r="G192" s="1"/>
      <c r="H192" s="1"/>
      <c r="I192" s="1"/>
      <c r="J192" s="16"/>
      <c r="K192" s="1"/>
      <c r="L192" s="1"/>
      <c r="M192" s="1"/>
      <c r="N192" s="1"/>
      <c r="O192" s="1"/>
      <c r="P192" s="1"/>
      <c r="Q192" s="1"/>
      <c r="R192" s="1"/>
      <c r="S192" s="1"/>
      <c r="T192" s="1"/>
      <c r="U192" s="1"/>
      <c r="V192" s="1"/>
      <c r="W192" s="1"/>
      <c r="X192" s="1"/>
      <c r="Y192" s="1"/>
      <c r="Z192" s="1"/>
    </row>
    <row r="193" spans="1:26" ht="12.75" customHeight="1">
      <c r="A193" s="1"/>
      <c r="B193" s="46"/>
      <c r="C193" s="1"/>
      <c r="D193" s="1"/>
      <c r="E193" s="1"/>
      <c r="F193" s="1"/>
      <c r="G193" s="1"/>
      <c r="H193" s="1"/>
      <c r="I193" s="1"/>
      <c r="J193" s="16"/>
      <c r="K193" s="1"/>
      <c r="L193" s="1"/>
      <c r="M193" s="1"/>
      <c r="N193" s="1"/>
      <c r="O193" s="1"/>
      <c r="P193" s="1"/>
      <c r="Q193" s="1"/>
      <c r="R193" s="1"/>
      <c r="S193" s="1"/>
      <c r="T193" s="1"/>
      <c r="U193" s="1"/>
      <c r="V193" s="1"/>
      <c r="W193" s="1"/>
      <c r="X193" s="1"/>
      <c r="Y193" s="1"/>
      <c r="Z193" s="1"/>
    </row>
    <row r="194" spans="1:26" ht="12.75" customHeight="1">
      <c r="A194" s="1"/>
      <c r="B194" s="46"/>
      <c r="C194" s="1"/>
      <c r="D194" s="1"/>
      <c r="E194" s="1"/>
      <c r="F194" s="1"/>
      <c r="G194" s="1"/>
      <c r="H194" s="1"/>
      <c r="I194" s="1"/>
      <c r="J194" s="16"/>
      <c r="K194" s="1"/>
      <c r="L194" s="1"/>
      <c r="M194" s="1"/>
      <c r="N194" s="1"/>
      <c r="O194" s="1"/>
      <c r="P194" s="1"/>
      <c r="Q194" s="1"/>
      <c r="R194" s="1"/>
      <c r="S194" s="1"/>
      <c r="T194" s="1"/>
      <c r="U194" s="1"/>
      <c r="V194" s="1"/>
      <c r="W194" s="1"/>
      <c r="X194" s="1"/>
      <c r="Y194" s="1"/>
      <c r="Z194" s="1"/>
    </row>
    <row r="195" spans="1:26" ht="12.75" customHeight="1">
      <c r="A195" s="1"/>
      <c r="B195" s="46"/>
      <c r="C195" s="1"/>
      <c r="D195" s="1"/>
      <c r="E195" s="1"/>
      <c r="F195" s="1"/>
      <c r="G195" s="1"/>
      <c r="H195" s="1"/>
      <c r="I195" s="1"/>
      <c r="J195" s="16"/>
      <c r="K195" s="1"/>
      <c r="L195" s="1"/>
      <c r="M195" s="1"/>
      <c r="N195" s="1"/>
      <c r="O195" s="1"/>
      <c r="P195" s="1"/>
      <c r="Q195" s="1"/>
      <c r="R195" s="1"/>
      <c r="S195" s="1"/>
      <c r="T195" s="1"/>
      <c r="U195" s="1"/>
      <c r="V195" s="1"/>
      <c r="W195" s="1"/>
      <c r="X195" s="1"/>
      <c r="Y195" s="1"/>
      <c r="Z195" s="1"/>
    </row>
    <row r="196" spans="1:26" ht="12.75" customHeight="1">
      <c r="A196" s="1"/>
      <c r="B196" s="46"/>
      <c r="C196" s="1"/>
      <c r="D196" s="1"/>
      <c r="E196" s="1"/>
      <c r="F196" s="1"/>
      <c r="G196" s="1"/>
      <c r="H196" s="1"/>
      <c r="I196" s="1"/>
      <c r="J196" s="16"/>
      <c r="K196" s="1"/>
      <c r="L196" s="1"/>
      <c r="M196" s="1"/>
      <c r="N196" s="1"/>
      <c r="O196" s="1"/>
      <c r="P196" s="1"/>
      <c r="Q196" s="1"/>
      <c r="R196" s="1"/>
      <c r="S196" s="1"/>
      <c r="T196" s="1"/>
      <c r="U196" s="1"/>
      <c r="V196" s="1"/>
      <c r="W196" s="1"/>
      <c r="X196" s="1"/>
      <c r="Y196" s="1"/>
      <c r="Z196" s="1"/>
    </row>
    <row r="197" spans="1:26" ht="12.75" customHeight="1">
      <c r="A197" s="1"/>
      <c r="B197" s="46"/>
      <c r="C197" s="1"/>
      <c r="D197" s="1"/>
      <c r="E197" s="1"/>
      <c r="F197" s="1"/>
      <c r="G197" s="1"/>
      <c r="H197" s="1"/>
      <c r="I197" s="1"/>
      <c r="J197" s="16"/>
      <c r="K197" s="1"/>
      <c r="L197" s="1"/>
      <c r="M197" s="1"/>
      <c r="N197" s="1"/>
      <c r="O197" s="1"/>
      <c r="P197" s="1"/>
      <c r="Q197" s="1"/>
      <c r="R197" s="1"/>
      <c r="S197" s="1"/>
      <c r="T197" s="1"/>
      <c r="U197" s="1"/>
      <c r="V197" s="1"/>
      <c r="W197" s="1"/>
      <c r="X197" s="1"/>
      <c r="Y197" s="1"/>
      <c r="Z197" s="1"/>
    </row>
    <row r="198" spans="1:26" ht="12.75" customHeight="1">
      <c r="A198" s="1"/>
      <c r="B198" s="46"/>
      <c r="C198" s="1"/>
      <c r="D198" s="1"/>
      <c r="E198" s="1"/>
      <c r="F198" s="1"/>
      <c r="G198" s="1"/>
      <c r="H198" s="1"/>
      <c r="I198" s="1"/>
      <c r="J198" s="16"/>
      <c r="K198" s="1"/>
      <c r="L198" s="1"/>
      <c r="M198" s="1"/>
      <c r="N198" s="1"/>
      <c r="O198" s="1"/>
      <c r="P198" s="1"/>
      <c r="Q198" s="1"/>
      <c r="R198" s="1"/>
      <c r="S198" s="1"/>
      <c r="T198" s="1"/>
      <c r="U198" s="1"/>
      <c r="V198" s="1"/>
      <c r="W198" s="1"/>
      <c r="X198" s="1"/>
      <c r="Y198" s="1"/>
      <c r="Z198" s="1"/>
    </row>
    <row r="199" spans="1:26" ht="12.75" customHeight="1">
      <c r="A199" s="1"/>
      <c r="B199" s="46"/>
      <c r="C199" s="1"/>
      <c r="D199" s="1"/>
      <c r="E199" s="1"/>
      <c r="F199" s="1"/>
      <c r="G199" s="1"/>
      <c r="H199" s="1"/>
      <c r="I199" s="1"/>
      <c r="J199" s="16"/>
      <c r="K199" s="1"/>
      <c r="L199" s="1"/>
      <c r="M199" s="1"/>
      <c r="N199" s="1"/>
      <c r="O199" s="1"/>
      <c r="P199" s="1"/>
      <c r="Q199" s="1"/>
      <c r="R199" s="1"/>
      <c r="S199" s="1"/>
      <c r="T199" s="1"/>
      <c r="U199" s="1"/>
      <c r="V199" s="1"/>
      <c r="W199" s="1"/>
      <c r="X199" s="1"/>
      <c r="Y199" s="1"/>
      <c r="Z199" s="1"/>
    </row>
    <row r="200" spans="1:26" ht="12.75" customHeight="1">
      <c r="A200" s="1"/>
      <c r="B200" s="46"/>
      <c r="C200" s="1"/>
      <c r="D200" s="1"/>
      <c r="E200" s="1"/>
      <c r="F200" s="1"/>
      <c r="G200" s="1"/>
      <c r="H200" s="1"/>
      <c r="I200" s="1"/>
      <c r="J200" s="16"/>
      <c r="K200" s="1"/>
      <c r="L200" s="1"/>
      <c r="M200" s="1"/>
      <c r="N200" s="1"/>
      <c r="O200" s="1"/>
      <c r="P200" s="1"/>
      <c r="Q200" s="1"/>
      <c r="R200" s="1"/>
      <c r="S200" s="1"/>
      <c r="T200" s="1"/>
      <c r="U200" s="1"/>
      <c r="V200" s="1"/>
      <c r="W200" s="1"/>
      <c r="X200" s="1"/>
      <c r="Y200" s="1"/>
      <c r="Z200" s="1"/>
    </row>
    <row r="201" spans="1:26" ht="12.75" customHeight="1">
      <c r="A201" s="1"/>
      <c r="B201" s="46"/>
      <c r="C201" s="1"/>
      <c r="D201" s="1"/>
      <c r="E201" s="1"/>
      <c r="F201" s="1"/>
      <c r="G201" s="1"/>
      <c r="H201" s="1"/>
      <c r="I201" s="1"/>
      <c r="J201" s="16"/>
      <c r="K201" s="1"/>
      <c r="L201" s="1"/>
      <c r="M201" s="1"/>
      <c r="N201" s="1"/>
      <c r="O201" s="1"/>
      <c r="P201" s="1"/>
      <c r="Q201" s="1"/>
      <c r="R201" s="1"/>
      <c r="S201" s="1"/>
      <c r="T201" s="1"/>
      <c r="U201" s="1"/>
      <c r="V201" s="1"/>
      <c r="W201" s="1"/>
      <c r="X201" s="1"/>
      <c r="Y201" s="1"/>
      <c r="Z201" s="1"/>
    </row>
    <row r="202" spans="1:26" ht="12.75" customHeight="1">
      <c r="A202" s="1"/>
      <c r="B202" s="46"/>
      <c r="C202" s="1"/>
      <c r="D202" s="1"/>
      <c r="E202" s="1"/>
      <c r="F202" s="1"/>
      <c r="G202" s="1"/>
      <c r="H202" s="1"/>
      <c r="I202" s="1"/>
      <c r="J202" s="16"/>
      <c r="K202" s="1"/>
      <c r="L202" s="1"/>
      <c r="M202" s="1"/>
      <c r="N202" s="1"/>
      <c r="O202" s="1"/>
      <c r="P202" s="1"/>
      <c r="Q202" s="1"/>
      <c r="R202" s="1"/>
      <c r="S202" s="1"/>
      <c r="T202" s="1"/>
      <c r="U202" s="1"/>
      <c r="V202" s="1"/>
      <c r="W202" s="1"/>
      <c r="X202" s="1"/>
      <c r="Y202" s="1"/>
      <c r="Z202" s="1"/>
    </row>
    <row r="203" spans="1:26" ht="12.75" customHeight="1">
      <c r="A203" s="1"/>
      <c r="B203" s="46"/>
      <c r="C203" s="1"/>
      <c r="D203" s="1"/>
      <c r="E203" s="1"/>
      <c r="F203" s="1"/>
      <c r="G203" s="1"/>
      <c r="H203" s="1"/>
      <c r="I203" s="1"/>
      <c r="J203" s="16"/>
      <c r="K203" s="1"/>
      <c r="L203" s="1"/>
      <c r="M203" s="1"/>
      <c r="N203" s="1"/>
      <c r="O203" s="1"/>
      <c r="P203" s="1"/>
      <c r="Q203" s="1"/>
      <c r="R203" s="1"/>
      <c r="S203" s="1"/>
      <c r="T203" s="1"/>
      <c r="U203" s="1"/>
      <c r="V203" s="1"/>
      <c r="W203" s="1"/>
      <c r="X203" s="1"/>
      <c r="Y203" s="1"/>
      <c r="Z203" s="1"/>
    </row>
    <row r="204" spans="1:26" ht="12.75" customHeight="1">
      <c r="A204" s="1"/>
      <c r="B204" s="46"/>
      <c r="C204" s="1"/>
      <c r="D204" s="1"/>
      <c r="E204" s="1"/>
      <c r="F204" s="1"/>
      <c r="G204" s="1"/>
      <c r="H204" s="1"/>
      <c r="I204" s="1"/>
      <c r="J204" s="16"/>
      <c r="K204" s="1"/>
      <c r="L204" s="1"/>
      <c r="M204" s="1"/>
      <c r="N204" s="1"/>
      <c r="O204" s="1"/>
      <c r="P204" s="1"/>
      <c r="Q204" s="1"/>
      <c r="R204" s="1"/>
      <c r="S204" s="1"/>
      <c r="T204" s="1"/>
      <c r="U204" s="1"/>
      <c r="V204" s="1"/>
      <c r="W204" s="1"/>
      <c r="X204" s="1"/>
      <c r="Y204" s="1"/>
      <c r="Z204" s="1"/>
    </row>
    <row r="205" spans="1:26" ht="12.75" customHeight="1">
      <c r="A205" s="1"/>
      <c r="B205" s="46"/>
      <c r="C205" s="1"/>
      <c r="D205" s="1"/>
      <c r="E205" s="1"/>
      <c r="F205" s="1"/>
      <c r="G205" s="1"/>
      <c r="H205" s="1"/>
      <c r="I205" s="1"/>
      <c r="J205" s="16"/>
      <c r="K205" s="1"/>
      <c r="L205" s="1"/>
      <c r="M205" s="1"/>
      <c r="N205" s="1"/>
      <c r="O205" s="1"/>
      <c r="P205" s="1"/>
      <c r="Q205" s="1"/>
      <c r="R205" s="1"/>
      <c r="S205" s="1"/>
      <c r="T205" s="1"/>
      <c r="U205" s="1"/>
      <c r="V205" s="1"/>
      <c r="W205" s="1"/>
      <c r="X205" s="1"/>
      <c r="Y205" s="1"/>
      <c r="Z205" s="1"/>
    </row>
    <row r="206" spans="1:26" ht="12.75" customHeight="1">
      <c r="A206" s="1"/>
      <c r="B206" s="46"/>
      <c r="C206" s="1"/>
      <c r="D206" s="1"/>
      <c r="E206" s="1"/>
      <c r="F206" s="1"/>
      <c r="G206" s="1"/>
      <c r="H206" s="1"/>
      <c r="I206" s="1"/>
      <c r="J206" s="16"/>
      <c r="K206" s="1"/>
      <c r="L206" s="1"/>
      <c r="M206" s="1"/>
      <c r="N206" s="1"/>
      <c r="O206" s="1"/>
      <c r="P206" s="1"/>
      <c r="Q206" s="1"/>
      <c r="R206" s="1"/>
      <c r="S206" s="1"/>
      <c r="T206" s="1"/>
      <c r="U206" s="1"/>
      <c r="V206" s="1"/>
      <c r="W206" s="1"/>
      <c r="X206" s="1"/>
      <c r="Y206" s="1"/>
      <c r="Z206" s="1"/>
    </row>
    <row r="207" spans="1:26" ht="12.75" customHeight="1">
      <c r="A207" s="1"/>
      <c r="B207" s="46"/>
      <c r="C207" s="1"/>
      <c r="D207" s="1"/>
      <c r="E207" s="1"/>
      <c r="F207" s="1"/>
      <c r="G207" s="1"/>
      <c r="H207" s="1"/>
      <c r="I207" s="1"/>
      <c r="J207" s="16"/>
      <c r="K207" s="1"/>
      <c r="L207" s="1"/>
      <c r="M207" s="1"/>
      <c r="N207" s="1"/>
      <c r="O207" s="1"/>
      <c r="P207" s="1"/>
      <c r="Q207" s="1"/>
      <c r="R207" s="1"/>
      <c r="S207" s="1"/>
      <c r="T207" s="1"/>
      <c r="U207" s="1"/>
      <c r="V207" s="1"/>
      <c r="W207" s="1"/>
      <c r="X207" s="1"/>
      <c r="Y207" s="1"/>
      <c r="Z207" s="1"/>
    </row>
    <row r="208" spans="1:26" ht="12.75" customHeight="1">
      <c r="A208" s="1"/>
      <c r="B208" s="46"/>
      <c r="C208" s="1"/>
      <c r="D208" s="1"/>
      <c r="E208" s="1"/>
      <c r="F208" s="1"/>
      <c r="G208" s="1"/>
      <c r="H208" s="1"/>
      <c r="I208" s="1"/>
      <c r="J208" s="16"/>
      <c r="K208" s="1"/>
      <c r="L208" s="1"/>
      <c r="M208" s="1"/>
      <c r="N208" s="1"/>
      <c r="O208" s="1"/>
      <c r="P208" s="1"/>
      <c r="Q208" s="1"/>
      <c r="R208" s="1"/>
      <c r="S208" s="1"/>
      <c r="T208" s="1"/>
      <c r="U208" s="1"/>
      <c r="V208" s="1"/>
      <c r="W208" s="1"/>
      <c r="X208" s="1"/>
      <c r="Y208" s="1"/>
      <c r="Z208" s="1"/>
    </row>
    <row r="209" spans="1:26" ht="12.75" customHeight="1">
      <c r="A209" s="1"/>
      <c r="B209" s="46"/>
      <c r="C209" s="1"/>
      <c r="D209" s="1"/>
      <c r="E209" s="1"/>
      <c r="F209" s="1"/>
      <c r="G209" s="1"/>
      <c r="H209" s="1"/>
      <c r="I209" s="1"/>
      <c r="J209" s="16"/>
      <c r="K209" s="1"/>
      <c r="L209" s="1"/>
      <c r="M209" s="1"/>
      <c r="N209" s="1"/>
      <c r="O209" s="1"/>
      <c r="P209" s="1"/>
      <c r="Q209" s="1"/>
      <c r="R209" s="1"/>
      <c r="S209" s="1"/>
      <c r="T209" s="1"/>
      <c r="U209" s="1"/>
      <c r="V209" s="1"/>
      <c r="W209" s="1"/>
      <c r="X209" s="1"/>
      <c r="Y209" s="1"/>
      <c r="Z209" s="1"/>
    </row>
    <row r="210" spans="1:26" ht="12.75" customHeight="1">
      <c r="A210" s="1"/>
      <c r="B210" s="46"/>
      <c r="C210" s="1"/>
      <c r="D210" s="1"/>
      <c r="E210" s="1"/>
      <c r="F210" s="1"/>
      <c r="G210" s="1"/>
      <c r="H210" s="1"/>
      <c r="I210" s="1"/>
      <c r="J210" s="16"/>
      <c r="K210" s="1"/>
      <c r="L210" s="1"/>
      <c r="M210" s="1"/>
      <c r="N210" s="1"/>
      <c r="O210" s="1"/>
      <c r="P210" s="1"/>
      <c r="Q210" s="1"/>
      <c r="R210" s="1"/>
      <c r="S210" s="1"/>
      <c r="T210" s="1"/>
      <c r="U210" s="1"/>
      <c r="V210" s="1"/>
      <c r="W210" s="1"/>
      <c r="X210" s="1"/>
      <c r="Y210" s="1"/>
      <c r="Z210" s="1"/>
    </row>
    <row r="211" spans="1:26" ht="12.75" customHeight="1">
      <c r="A211" s="1"/>
      <c r="B211" s="46"/>
      <c r="C211" s="1"/>
      <c r="D211" s="1"/>
      <c r="E211" s="1"/>
      <c r="F211" s="1"/>
      <c r="G211" s="1"/>
      <c r="H211" s="1"/>
      <c r="I211" s="1"/>
      <c r="J211" s="16"/>
      <c r="K211" s="1"/>
      <c r="L211" s="1"/>
      <c r="M211" s="1"/>
      <c r="N211" s="1"/>
      <c r="O211" s="1"/>
      <c r="P211" s="1"/>
      <c r="Q211" s="1"/>
      <c r="R211" s="1"/>
      <c r="S211" s="1"/>
      <c r="T211" s="1"/>
      <c r="U211" s="1"/>
      <c r="V211" s="1"/>
      <c r="W211" s="1"/>
      <c r="X211" s="1"/>
      <c r="Y211" s="1"/>
      <c r="Z211" s="1"/>
    </row>
    <row r="212" spans="1:26" ht="12.75" customHeight="1">
      <c r="A212" s="1"/>
      <c r="B212" s="46"/>
      <c r="C212" s="1"/>
      <c r="D212" s="1"/>
      <c r="E212" s="1"/>
      <c r="F212" s="1"/>
      <c r="G212" s="1"/>
      <c r="H212" s="1"/>
      <c r="I212" s="1"/>
      <c r="J212" s="16"/>
      <c r="K212" s="1"/>
      <c r="L212" s="1"/>
      <c r="M212" s="1"/>
      <c r="N212" s="1"/>
      <c r="O212" s="1"/>
      <c r="P212" s="1"/>
      <c r="Q212" s="1"/>
      <c r="R212" s="1"/>
      <c r="S212" s="1"/>
      <c r="T212" s="1"/>
      <c r="U212" s="1"/>
      <c r="V212" s="1"/>
      <c r="W212" s="1"/>
      <c r="X212" s="1"/>
      <c r="Y212" s="1"/>
      <c r="Z212" s="1"/>
    </row>
    <row r="213" spans="1:26" ht="12.75" customHeight="1">
      <c r="A213" s="1"/>
      <c r="B213" s="46"/>
      <c r="C213" s="1"/>
      <c r="D213" s="1"/>
      <c r="E213" s="1"/>
      <c r="F213" s="1"/>
      <c r="G213" s="1"/>
      <c r="H213" s="1"/>
      <c r="I213" s="1"/>
      <c r="J213" s="16"/>
      <c r="K213" s="1"/>
      <c r="L213" s="1"/>
      <c r="M213" s="1"/>
      <c r="N213" s="1"/>
      <c r="O213" s="1"/>
      <c r="P213" s="1"/>
      <c r="Q213" s="1"/>
      <c r="R213" s="1"/>
      <c r="S213" s="1"/>
      <c r="T213" s="1"/>
      <c r="U213" s="1"/>
      <c r="V213" s="1"/>
      <c r="W213" s="1"/>
      <c r="X213" s="1"/>
      <c r="Y213" s="1"/>
      <c r="Z213" s="1"/>
    </row>
    <row r="214" spans="1:26" ht="12.75" customHeight="1">
      <c r="A214" s="1"/>
      <c r="B214" s="46"/>
      <c r="C214" s="1"/>
      <c r="D214" s="1"/>
      <c r="E214" s="1"/>
      <c r="F214" s="1"/>
      <c r="G214" s="1"/>
      <c r="H214" s="1"/>
      <c r="I214" s="1"/>
      <c r="J214" s="16"/>
      <c r="K214" s="1"/>
      <c r="L214" s="1"/>
      <c r="M214" s="1"/>
      <c r="N214" s="1"/>
      <c r="O214" s="1"/>
      <c r="P214" s="1"/>
      <c r="Q214" s="1"/>
      <c r="R214" s="1"/>
      <c r="S214" s="1"/>
      <c r="T214" s="1"/>
      <c r="U214" s="1"/>
      <c r="V214" s="1"/>
      <c r="W214" s="1"/>
      <c r="X214" s="1"/>
      <c r="Y214" s="1"/>
      <c r="Z214" s="1"/>
    </row>
    <row r="215" spans="1:26" ht="12.75" customHeight="1">
      <c r="A215" s="1"/>
      <c r="B215" s="46"/>
      <c r="C215" s="1"/>
      <c r="D215" s="1"/>
      <c r="E215" s="1"/>
      <c r="F215" s="1"/>
      <c r="G215" s="1"/>
      <c r="H215" s="1"/>
      <c r="I215" s="1"/>
      <c r="J215" s="16"/>
      <c r="K215" s="1"/>
      <c r="L215" s="1"/>
      <c r="M215" s="1"/>
      <c r="N215" s="1"/>
      <c r="O215" s="1"/>
      <c r="P215" s="1"/>
      <c r="Q215" s="1"/>
      <c r="R215" s="1"/>
      <c r="S215" s="1"/>
      <c r="T215" s="1"/>
      <c r="U215" s="1"/>
      <c r="V215" s="1"/>
      <c r="W215" s="1"/>
      <c r="X215" s="1"/>
      <c r="Y215" s="1"/>
      <c r="Z215" s="1"/>
    </row>
    <row r="216" spans="1:26" ht="12.75" customHeight="1">
      <c r="A216" s="1"/>
      <c r="B216" s="46"/>
      <c r="C216" s="1"/>
      <c r="D216" s="1"/>
      <c r="E216" s="1"/>
      <c r="F216" s="1"/>
      <c r="G216" s="1"/>
      <c r="H216" s="1"/>
      <c r="I216" s="1"/>
      <c r="J216" s="16"/>
      <c r="K216" s="1"/>
      <c r="L216" s="1"/>
      <c r="M216" s="1"/>
      <c r="N216" s="1"/>
      <c r="O216" s="1"/>
      <c r="P216" s="1"/>
      <c r="Q216" s="1"/>
      <c r="R216" s="1"/>
      <c r="S216" s="1"/>
      <c r="T216" s="1"/>
      <c r="U216" s="1"/>
      <c r="V216" s="1"/>
      <c r="W216" s="1"/>
      <c r="X216" s="1"/>
      <c r="Y216" s="1"/>
      <c r="Z216" s="1"/>
    </row>
    <row r="217" spans="1:26" ht="12.75" customHeight="1">
      <c r="A217" s="1"/>
      <c r="B217" s="46"/>
      <c r="C217" s="1"/>
      <c r="D217" s="1"/>
      <c r="E217" s="1"/>
      <c r="F217" s="1"/>
      <c r="G217" s="1"/>
      <c r="H217" s="1"/>
      <c r="I217" s="1"/>
      <c r="J217" s="16"/>
      <c r="K217" s="1"/>
      <c r="L217" s="1"/>
      <c r="M217" s="1"/>
      <c r="N217" s="1"/>
      <c r="O217" s="1"/>
      <c r="P217" s="1"/>
      <c r="Q217" s="1"/>
      <c r="R217" s="1"/>
      <c r="S217" s="1"/>
      <c r="T217" s="1"/>
      <c r="U217" s="1"/>
      <c r="V217" s="1"/>
      <c r="W217" s="1"/>
      <c r="X217" s="1"/>
      <c r="Y217" s="1"/>
      <c r="Z217" s="1"/>
    </row>
    <row r="218" spans="1:26" ht="12.75" customHeight="1">
      <c r="A218" s="1"/>
      <c r="B218" s="46"/>
      <c r="C218" s="1"/>
      <c r="D218" s="1"/>
      <c r="E218" s="1"/>
      <c r="F218" s="1"/>
      <c r="G218" s="1"/>
      <c r="H218" s="1"/>
      <c r="I218" s="1"/>
      <c r="J218" s="16"/>
      <c r="K218" s="1"/>
      <c r="L218" s="1"/>
      <c r="M218" s="1"/>
      <c r="N218" s="1"/>
      <c r="O218" s="1"/>
      <c r="P218" s="1"/>
      <c r="Q218" s="1"/>
      <c r="R218" s="1"/>
      <c r="S218" s="1"/>
      <c r="T218" s="1"/>
      <c r="U218" s="1"/>
      <c r="V218" s="1"/>
      <c r="W218" s="1"/>
      <c r="X218" s="1"/>
      <c r="Y218" s="1"/>
      <c r="Z218" s="1"/>
    </row>
    <row r="219" spans="1:26" ht="12.75" customHeight="1">
      <c r="A219" s="1"/>
      <c r="B219" s="46"/>
      <c r="C219" s="1"/>
      <c r="D219" s="1"/>
      <c r="E219" s="1"/>
      <c r="F219" s="1"/>
      <c r="G219" s="1"/>
      <c r="H219" s="1"/>
      <c r="I219" s="1"/>
      <c r="J219" s="16"/>
      <c r="K219" s="1"/>
      <c r="L219" s="1"/>
      <c r="M219" s="1"/>
      <c r="N219" s="1"/>
      <c r="O219" s="1"/>
      <c r="P219" s="1"/>
      <c r="Q219" s="1"/>
      <c r="R219" s="1"/>
      <c r="S219" s="1"/>
      <c r="T219" s="1"/>
      <c r="U219" s="1"/>
      <c r="V219" s="1"/>
      <c r="W219" s="1"/>
      <c r="X219" s="1"/>
      <c r="Y219" s="1"/>
      <c r="Z219" s="1"/>
    </row>
    <row r="220" spans="1:26" ht="12.75" customHeight="1">
      <c r="A220" s="1"/>
      <c r="B220" s="46"/>
      <c r="C220" s="1"/>
      <c r="D220" s="1"/>
      <c r="E220" s="1"/>
      <c r="F220" s="1"/>
      <c r="G220" s="1"/>
      <c r="H220" s="1"/>
      <c r="I220" s="1"/>
      <c r="J220" s="16"/>
      <c r="K220" s="1"/>
      <c r="L220" s="1"/>
      <c r="M220" s="1"/>
      <c r="N220" s="1"/>
      <c r="O220" s="1"/>
      <c r="P220" s="1"/>
      <c r="Q220" s="1"/>
      <c r="R220" s="1"/>
      <c r="S220" s="1"/>
      <c r="T220" s="1"/>
      <c r="U220" s="1"/>
      <c r="V220" s="1"/>
      <c r="W220" s="1"/>
      <c r="X220" s="1"/>
      <c r="Y220" s="1"/>
      <c r="Z220" s="1"/>
    </row>
    <row r="221" spans="1:26" ht="12.75" customHeight="1">
      <c r="A221" s="1"/>
      <c r="B221" s="46"/>
      <c r="C221" s="1"/>
      <c r="D221" s="1"/>
      <c r="E221" s="1"/>
      <c r="F221" s="1"/>
      <c r="G221" s="1"/>
      <c r="H221" s="1"/>
      <c r="I221" s="1"/>
      <c r="J221" s="16"/>
      <c r="K221" s="1"/>
      <c r="L221" s="1"/>
      <c r="M221" s="1"/>
      <c r="N221" s="1"/>
      <c r="O221" s="1"/>
      <c r="P221" s="1"/>
      <c r="Q221" s="1"/>
      <c r="R221" s="1"/>
      <c r="S221" s="1"/>
      <c r="T221" s="1"/>
      <c r="U221" s="1"/>
      <c r="V221" s="1"/>
      <c r="W221" s="1"/>
      <c r="X221" s="1"/>
      <c r="Y221" s="1"/>
      <c r="Z221" s="1"/>
    </row>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9:C9"/>
    <mergeCell ref="B10:C10"/>
    <mergeCell ref="B11:C11"/>
    <mergeCell ref="C14:G14"/>
    <mergeCell ref="C17:G17"/>
  </mergeCells>
  <pageMargins left="0.7" right="0.7" top="0.75" bottom="0.75" header="0" footer="0"/>
  <pageSetup paperSize="5" scale="4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O734" sqref="A1:O734"/>
    </sheetView>
  </sheetViews>
  <sheetFormatPr baseColWidth="10" defaultColWidth="12.5703125" defaultRowHeight="15" customHeight="1"/>
  <cols>
    <col min="1" max="1" width="2.140625" customWidth="1"/>
    <col min="2" max="2" width="38.42578125" customWidth="1"/>
    <col min="3" max="3" width="41.42578125" customWidth="1"/>
    <col min="4" max="4" width="47.7109375" customWidth="1"/>
    <col min="5" max="5" width="43.85546875" customWidth="1"/>
    <col min="6" max="6" width="18.85546875" bestFit="1" customWidth="1"/>
    <col min="7" max="7" width="27.140625" customWidth="1"/>
    <col min="8" max="8" width="25.42578125" customWidth="1"/>
    <col min="9" max="9" width="20.140625" customWidth="1"/>
    <col min="10" max="10" width="34.7109375" customWidth="1"/>
    <col min="11" max="11" width="11.42578125" customWidth="1"/>
    <col min="12" max="12" width="16.5703125" customWidth="1"/>
    <col min="13" max="13" width="33.42578125" customWidth="1"/>
    <col min="14" max="26" width="11.42578125" customWidth="1"/>
  </cols>
  <sheetData>
    <row r="1" spans="1:26" ht="12.75" customHeight="1">
      <c r="A1" s="1"/>
      <c r="B1" s="1"/>
      <c r="C1" s="1"/>
      <c r="D1" s="1"/>
      <c r="E1" s="1"/>
      <c r="F1" s="1"/>
      <c r="G1" s="1"/>
      <c r="H1" s="1"/>
      <c r="I1" s="1"/>
      <c r="J1" s="1"/>
      <c r="K1" s="1"/>
      <c r="L1" s="1"/>
      <c r="M1" s="1"/>
      <c r="N1" s="1"/>
      <c r="O1" s="1"/>
      <c r="P1" s="1"/>
      <c r="Q1" s="1"/>
      <c r="R1" s="1"/>
      <c r="S1" s="1"/>
      <c r="T1" s="1"/>
      <c r="U1" s="1"/>
      <c r="V1" s="1"/>
      <c r="W1" s="1"/>
      <c r="X1" s="1"/>
      <c r="Y1" s="1"/>
      <c r="Z1" s="1"/>
    </row>
    <row r="2" spans="1:26" ht="12.75" customHeight="1">
      <c r="A2" s="1"/>
      <c r="B2" s="1"/>
      <c r="C2" s="1"/>
      <c r="D2" s="1"/>
      <c r="E2" s="1"/>
      <c r="F2" s="1"/>
      <c r="G2" s="1"/>
      <c r="H2" s="1"/>
      <c r="I2" s="1"/>
      <c r="J2" s="1"/>
      <c r="K2" s="1"/>
      <c r="L2" s="1"/>
      <c r="M2" s="1"/>
      <c r="N2" s="1"/>
      <c r="O2" s="1"/>
      <c r="P2" s="1"/>
      <c r="Q2" s="1"/>
      <c r="R2" s="1"/>
      <c r="S2" s="1"/>
      <c r="T2" s="1"/>
      <c r="U2" s="1"/>
      <c r="V2" s="1"/>
      <c r="W2" s="1"/>
      <c r="X2" s="1"/>
      <c r="Y2" s="1"/>
      <c r="Z2" s="1"/>
    </row>
    <row r="3" spans="1:26" ht="12.75" customHeight="1">
      <c r="A3" s="1"/>
      <c r="B3" s="1"/>
      <c r="C3" s="1"/>
      <c r="D3" s="1"/>
      <c r="E3" s="1"/>
      <c r="F3" s="1"/>
      <c r="G3" s="1"/>
      <c r="H3" s="1"/>
      <c r="I3" s="1"/>
      <c r="J3" s="1"/>
      <c r="K3" s="1"/>
      <c r="L3" s="1"/>
      <c r="M3" s="1"/>
      <c r="N3" s="1"/>
      <c r="O3" s="1"/>
      <c r="P3" s="1"/>
      <c r="Q3" s="1"/>
      <c r="R3" s="1"/>
      <c r="S3" s="1"/>
      <c r="T3" s="1"/>
      <c r="U3" s="1"/>
      <c r="V3" s="1"/>
      <c r="W3" s="1"/>
      <c r="X3" s="1"/>
      <c r="Y3" s="1"/>
      <c r="Z3" s="1"/>
    </row>
    <row r="4" spans="1:26" ht="12.75" customHeight="1">
      <c r="A4" s="1"/>
      <c r="B4" s="1"/>
      <c r="C4" s="1"/>
      <c r="D4" s="1"/>
      <c r="E4" s="1"/>
      <c r="F4" s="1"/>
      <c r="G4" s="1"/>
      <c r="H4" s="1"/>
      <c r="I4" s="1"/>
      <c r="J4" s="1"/>
      <c r="K4" s="1"/>
      <c r="L4" s="1"/>
      <c r="M4" s="1"/>
      <c r="N4" s="1"/>
      <c r="O4" s="1"/>
      <c r="P4" s="1"/>
      <c r="Q4" s="1"/>
      <c r="R4" s="1"/>
      <c r="S4" s="1"/>
      <c r="T4" s="1"/>
      <c r="U4" s="1"/>
      <c r="V4" s="1"/>
      <c r="W4" s="1"/>
      <c r="X4" s="1"/>
      <c r="Y4" s="1"/>
      <c r="Z4" s="1"/>
    </row>
    <row r="5" spans="1:26" ht="12.75" customHeight="1">
      <c r="A5" s="1"/>
      <c r="B5" s="1"/>
      <c r="C5" s="1"/>
      <c r="D5" s="1"/>
      <c r="E5" s="1"/>
      <c r="F5" s="1"/>
      <c r="G5" s="1"/>
      <c r="H5" s="1"/>
      <c r="I5" s="1"/>
      <c r="J5" s="1"/>
      <c r="K5" s="1"/>
      <c r="L5" s="1"/>
      <c r="M5" s="1"/>
      <c r="N5" s="1"/>
      <c r="O5" s="1"/>
      <c r="P5" s="1"/>
      <c r="Q5" s="1"/>
      <c r="R5" s="1"/>
      <c r="S5" s="1"/>
      <c r="T5" s="1"/>
      <c r="U5" s="1"/>
      <c r="V5" s="1"/>
      <c r="W5" s="1"/>
      <c r="X5" s="1"/>
      <c r="Y5" s="1"/>
      <c r="Z5" s="1"/>
    </row>
    <row r="6" spans="1:26" ht="12.75" customHeight="1">
      <c r="A6" s="1"/>
      <c r="B6" s="1"/>
      <c r="C6" s="1"/>
      <c r="D6" s="1"/>
      <c r="E6" s="1"/>
      <c r="F6" s="1"/>
      <c r="G6" s="1"/>
      <c r="H6" s="1"/>
      <c r="I6" s="1"/>
      <c r="J6" s="1"/>
      <c r="K6" s="1"/>
      <c r="L6" s="1"/>
      <c r="M6" s="1"/>
      <c r="N6" s="1"/>
      <c r="O6" s="1"/>
      <c r="P6" s="1"/>
      <c r="Q6" s="1"/>
      <c r="R6" s="1"/>
      <c r="S6" s="1"/>
      <c r="T6" s="1"/>
      <c r="U6" s="1"/>
      <c r="V6" s="1"/>
      <c r="W6" s="1"/>
      <c r="X6" s="1"/>
      <c r="Y6" s="1"/>
      <c r="Z6" s="1"/>
    </row>
    <row r="7" spans="1:26" ht="12.75" customHeight="1">
      <c r="A7" s="1"/>
      <c r="B7" s="1"/>
      <c r="C7" s="1"/>
      <c r="D7" s="1"/>
      <c r="E7" s="1"/>
      <c r="F7" s="1"/>
      <c r="G7" s="1"/>
      <c r="H7" s="1"/>
      <c r="I7" s="1"/>
      <c r="J7" s="1"/>
      <c r="K7" s="1"/>
      <c r="L7" s="1"/>
      <c r="M7" s="1"/>
      <c r="N7" s="1"/>
      <c r="O7" s="1"/>
      <c r="P7" s="1"/>
      <c r="Q7" s="1"/>
      <c r="R7" s="1"/>
      <c r="S7" s="1"/>
      <c r="T7" s="1"/>
      <c r="U7" s="1"/>
      <c r="V7" s="1"/>
      <c r="W7" s="1"/>
      <c r="X7" s="1"/>
      <c r="Y7" s="1"/>
      <c r="Z7" s="1"/>
    </row>
    <row r="8" spans="1:26" ht="12.75" customHeight="1">
      <c r="A8" s="1"/>
      <c r="B8" s="2" t="str">
        <f>'24.03.034'!B8</f>
        <v>4° Trimestre</v>
      </c>
      <c r="C8" s="3"/>
      <c r="D8" s="1"/>
      <c r="E8" s="1"/>
      <c r="F8" s="1"/>
      <c r="G8" s="1"/>
      <c r="H8" s="1"/>
      <c r="I8" s="1"/>
      <c r="J8" s="1"/>
      <c r="K8" s="1"/>
      <c r="L8" s="1"/>
      <c r="M8" s="1"/>
      <c r="N8" s="1"/>
      <c r="O8" s="1"/>
      <c r="P8" s="1"/>
      <c r="Q8" s="1"/>
      <c r="R8" s="1"/>
      <c r="S8" s="1"/>
      <c r="T8" s="1"/>
      <c r="U8" s="1"/>
      <c r="V8" s="1"/>
      <c r="W8" s="1"/>
      <c r="X8" s="1"/>
      <c r="Y8" s="1"/>
      <c r="Z8" s="1"/>
    </row>
    <row r="9" spans="1:26" ht="12.75" customHeight="1">
      <c r="A9" s="1"/>
      <c r="B9" s="110" t="s">
        <v>1</v>
      </c>
      <c r="C9" s="111"/>
      <c r="D9" s="1"/>
      <c r="E9" s="1"/>
      <c r="F9" s="1"/>
      <c r="G9" s="1"/>
      <c r="H9" s="1"/>
      <c r="I9" s="1"/>
      <c r="J9" s="1"/>
      <c r="K9" s="1"/>
      <c r="L9" s="1"/>
      <c r="M9" s="1"/>
      <c r="N9" s="1"/>
      <c r="O9" s="1"/>
      <c r="P9" s="1"/>
      <c r="Q9" s="1"/>
      <c r="R9" s="1"/>
      <c r="S9" s="1"/>
      <c r="T9" s="1"/>
      <c r="U9" s="1"/>
      <c r="V9" s="1"/>
      <c r="W9" s="1"/>
      <c r="X9" s="1"/>
      <c r="Y9" s="1"/>
      <c r="Z9" s="1"/>
    </row>
    <row r="10" spans="1:26" ht="12.75" customHeight="1">
      <c r="A10" s="1"/>
      <c r="B10" s="110" t="s">
        <v>22</v>
      </c>
      <c r="C10" s="111"/>
      <c r="D10" s="1"/>
      <c r="E10" s="1"/>
      <c r="F10" s="1"/>
      <c r="G10" s="1"/>
      <c r="H10" s="1"/>
      <c r="I10" s="1"/>
      <c r="J10" s="1"/>
      <c r="K10" s="1"/>
      <c r="L10" s="1"/>
      <c r="M10" s="1"/>
      <c r="N10" s="1"/>
      <c r="O10" s="1"/>
      <c r="P10" s="1"/>
      <c r="Q10" s="1"/>
      <c r="R10" s="1"/>
      <c r="S10" s="1"/>
      <c r="T10" s="1"/>
      <c r="U10" s="1"/>
      <c r="V10" s="1"/>
      <c r="W10" s="1"/>
      <c r="X10" s="1"/>
      <c r="Y10" s="1"/>
      <c r="Z10" s="1"/>
    </row>
    <row r="11" spans="1:26" ht="12.75" customHeight="1">
      <c r="A11" s="1"/>
      <c r="B11" s="110" t="s">
        <v>44</v>
      </c>
      <c r="C11" s="111"/>
      <c r="D11" s="15"/>
      <c r="E11" s="1"/>
      <c r="F11" s="1"/>
      <c r="G11" s="1"/>
      <c r="H11" s="1"/>
      <c r="I11" s="1"/>
      <c r="J11" s="1"/>
      <c r="K11" s="1"/>
      <c r="L11" s="1"/>
      <c r="M11" s="1"/>
      <c r="N11" s="1"/>
      <c r="O11" s="1"/>
      <c r="P11" s="1"/>
      <c r="Q11" s="1"/>
      <c r="R11" s="1"/>
      <c r="S11" s="1"/>
      <c r="T11" s="1"/>
      <c r="U11" s="1"/>
      <c r="V11" s="1"/>
      <c r="W11" s="1"/>
      <c r="X11" s="1"/>
      <c r="Y11" s="1"/>
      <c r="Z11" s="1"/>
    </row>
    <row r="12" spans="1:26" ht="12.75" customHeight="1">
      <c r="A12" s="1"/>
      <c r="B12" s="110" t="s">
        <v>45</v>
      </c>
      <c r="C12" s="111"/>
      <c r="D12" s="1"/>
      <c r="E12" s="1"/>
      <c r="F12" s="1"/>
      <c r="G12" s="1"/>
      <c r="H12" s="1"/>
      <c r="I12" s="1"/>
      <c r="J12" s="1"/>
      <c r="K12" s="1"/>
      <c r="L12" s="1"/>
      <c r="M12" s="1"/>
      <c r="N12" s="1"/>
      <c r="O12" s="1"/>
      <c r="P12" s="1"/>
      <c r="Q12" s="1"/>
      <c r="R12" s="1"/>
      <c r="S12" s="1"/>
      <c r="T12" s="1"/>
      <c r="U12" s="1"/>
      <c r="V12" s="1"/>
      <c r="W12" s="1"/>
      <c r="X12" s="1"/>
      <c r="Y12" s="1"/>
      <c r="Z12" s="1"/>
    </row>
    <row r="13" spans="1:26" ht="12.75" customHeight="1">
      <c r="A13" s="1"/>
      <c r="B13" s="6"/>
      <c r="C13" s="6"/>
      <c r="D13" s="1"/>
      <c r="E13" s="1"/>
      <c r="F13" s="1"/>
      <c r="G13" s="1"/>
      <c r="H13" s="1"/>
      <c r="I13" s="1"/>
      <c r="J13" s="1"/>
      <c r="K13" s="1"/>
      <c r="L13" s="1"/>
      <c r="M13" s="1"/>
      <c r="N13" s="1"/>
      <c r="O13" s="1"/>
      <c r="P13" s="1"/>
      <c r="Q13" s="1"/>
      <c r="R13" s="1"/>
      <c r="S13" s="1"/>
      <c r="T13" s="1"/>
      <c r="U13" s="1"/>
      <c r="V13" s="1"/>
      <c r="W13" s="1"/>
      <c r="X13" s="1"/>
      <c r="Y13" s="1"/>
      <c r="Z13" s="1"/>
    </row>
    <row r="14" spans="1:26" ht="96.75" customHeight="1">
      <c r="A14" s="1"/>
      <c r="B14" s="4" t="s">
        <v>5</v>
      </c>
      <c r="C14" s="114" t="s">
        <v>6</v>
      </c>
      <c r="D14" s="115"/>
      <c r="E14" s="115"/>
      <c r="F14" s="115"/>
      <c r="G14" s="116"/>
      <c r="H14" s="1"/>
      <c r="I14" s="1"/>
      <c r="J14" s="1"/>
      <c r="K14" s="1"/>
      <c r="L14" s="1"/>
      <c r="M14" s="1"/>
      <c r="N14" s="1"/>
      <c r="O14" s="1"/>
      <c r="P14" s="1"/>
      <c r="Q14" s="1"/>
      <c r="R14" s="1"/>
      <c r="S14" s="1"/>
      <c r="T14" s="1"/>
      <c r="U14" s="1"/>
      <c r="V14" s="1"/>
      <c r="W14" s="1"/>
      <c r="X14" s="1"/>
      <c r="Y14" s="1"/>
      <c r="Z14" s="1"/>
    </row>
    <row r="15" spans="1:26" ht="12.75" customHeight="1">
      <c r="A15" s="1"/>
      <c r="B15" s="5"/>
      <c r="C15" s="5"/>
      <c r="D15" s="1"/>
      <c r="E15" s="1"/>
      <c r="F15" s="1"/>
      <c r="G15" s="1"/>
      <c r="H15" s="1"/>
      <c r="I15" s="1"/>
      <c r="J15" s="1"/>
      <c r="K15" s="1"/>
      <c r="L15" s="1"/>
      <c r="M15" s="1"/>
      <c r="N15" s="1"/>
      <c r="O15" s="1"/>
      <c r="P15" s="1"/>
      <c r="Q15" s="1"/>
      <c r="R15" s="1"/>
      <c r="S15" s="1"/>
      <c r="T15" s="1"/>
      <c r="U15" s="1"/>
      <c r="V15" s="1"/>
      <c r="W15" s="1"/>
      <c r="X15" s="1"/>
      <c r="Y15" s="1"/>
      <c r="Z15" s="1"/>
    </row>
    <row r="16" spans="1:26" ht="12.75" customHeight="1">
      <c r="A16" s="1"/>
      <c r="B16" s="5"/>
      <c r="C16" s="5"/>
      <c r="D16" s="1"/>
      <c r="E16" s="1"/>
      <c r="F16" s="1"/>
      <c r="G16" s="1"/>
      <c r="H16" s="1"/>
      <c r="I16" s="1"/>
      <c r="J16" s="1"/>
      <c r="K16" s="1"/>
      <c r="L16" s="1"/>
      <c r="M16" s="1"/>
      <c r="N16" s="1"/>
      <c r="O16" s="1"/>
      <c r="P16" s="1"/>
      <c r="Q16" s="1"/>
      <c r="R16" s="1"/>
      <c r="S16" s="1"/>
      <c r="T16" s="1"/>
      <c r="U16" s="1"/>
      <c r="V16" s="1"/>
      <c r="W16" s="1"/>
      <c r="X16" s="1"/>
      <c r="Y16" s="1"/>
      <c r="Z16" s="1"/>
    </row>
    <row r="17" spans="1:26" ht="55.5" customHeight="1">
      <c r="A17" s="1"/>
      <c r="B17" s="4" t="s">
        <v>7</v>
      </c>
      <c r="C17" s="114" t="s">
        <v>8</v>
      </c>
      <c r="D17" s="115"/>
      <c r="E17" s="115"/>
      <c r="F17" s="115"/>
      <c r="G17" s="116"/>
      <c r="H17" s="1"/>
      <c r="I17" s="1"/>
      <c r="J17" s="1"/>
      <c r="K17" s="1"/>
      <c r="L17" s="1"/>
      <c r="M17" s="1"/>
      <c r="N17" s="1"/>
      <c r="O17" s="1"/>
      <c r="P17" s="1"/>
      <c r="Q17" s="1"/>
      <c r="R17" s="1"/>
      <c r="S17" s="1"/>
      <c r="T17" s="1"/>
      <c r="U17" s="1"/>
      <c r="V17" s="1"/>
      <c r="W17" s="1"/>
      <c r="X17" s="1"/>
      <c r="Y17" s="1"/>
      <c r="Z17" s="1"/>
    </row>
    <row r="18" spans="1:26" ht="12.75" customHeight="1">
      <c r="A18" s="1"/>
      <c r="B18" s="6"/>
      <c r="C18" s="6"/>
      <c r="D18" s="1"/>
      <c r="E18" s="1"/>
      <c r="F18" s="1"/>
      <c r="G18" s="1"/>
      <c r="H18" s="1"/>
      <c r="I18" s="1"/>
      <c r="J18" s="1"/>
      <c r="K18" s="1"/>
      <c r="L18" s="1"/>
      <c r="M18" s="1"/>
      <c r="N18" s="1"/>
      <c r="O18" s="1"/>
      <c r="P18" s="1"/>
      <c r="Q18" s="1"/>
      <c r="R18" s="1"/>
      <c r="S18" s="1"/>
      <c r="T18" s="1"/>
      <c r="U18" s="1"/>
      <c r="V18" s="1"/>
      <c r="W18" s="1"/>
      <c r="X18" s="1"/>
      <c r="Y18" s="1"/>
      <c r="Z18" s="1"/>
    </row>
    <row r="19" spans="1:26" ht="12.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29.25" customHeight="1">
      <c r="A21" s="1"/>
      <c r="B21" s="54" t="s">
        <v>10</v>
      </c>
      <c r="C21" s="54" t="s">
        <v>9</v>
      </c>
      <c r="D21" s="54" t="s">
        <v>11</v>
      </c>
      <c r="E21" s="54" t="s">
        <v>12</v>
      </c>
      <c r="F21" s="54" t="s">
        <v>13</v>
      </c>
      <c r="G21" s="54" t="s">
        <v>14</v>
      </c>
      <c r="H21" s="7" t="s">
        <v>15</v>
      </c>
      <c r="I21" s="8" t="s">
        <v>16</v>
      </c>
      <c r="J21" s="7" t="s">
        <v>17</v>
      </c>
      <c r="K21" s="7" t="s">
        <v>18</v>
      </c>
      <c r="L21" s="7" t="s">
        <v>19</v>
      </c>
      <c r="M21" s="7" t="s">
        <v>20</v>
      </c>
      <c r="N21" s="1"/>
      <c r="O21" s="1"/>
      <c r="P21" s="1"/>
      <c r="Q21" s="1"/>
      <c r="R21" s="1"/>
      <c r="S21" s="1"/>
      <c r="T21" s="1"/>
      <c r="U21" s="1"/>
      <c r="V21" s="1"/>
      <c r="W21" s="1"/>
      <c r="X21" s="1"/>
      <c r="Y21" s="1"/>
      <c r="Z21" s="1"/>
    </row>
    <row r="22" spans="1:26" ht="12.75" customHeight="1">
      <c r="A22" s="1"/>
      <c r="B22" s="10" t="str">
        <f ca="1">IFERROR(__xludf.DUMMYFUNCTION("IMPORTRANGE(""https://docs.google.com/spreadsheets/d/1326rdUM6oOTA_5T6U_eA-Yqy4OMk6d_RGd_Z1bKVaC8/edit#gid=1459860096"",""'24.03.403 Predios Exentos'!i10:i700"")"),"Bono de aseo externalizado 2024")</f>
        <v>Bono de aseo externalizado 2024</v>
      </c>
      <c r="C22" s="26" t="str">
        <f t="shared" ref="C22:C631" ca="1" si="0">MID(E22,17,30)</f>
        <v xml:space="preserve"> IQUIQUE</v>
      </c>
      <c r="D22" s="10" t="str">
        <f ca="1">IFERROR(__xludf.DUMMYFUNCTION("IMPORTRANGE(""https://docs.google.com/spreadsheets/d/1326rdUM6oOTA_5T6U_eA-Yqy4OMk6d_RGd_Z1bKVaC8/edit#gid=1459860096"",""'24.03.403 Predios Exentos'!k10:k700"")"),"Resolución de Transferencia")</f>
        <v>Resolución de Transferencia</v>
      </c>
      <c r="E22" s="26" t="str">
        <f ca="1">IFERROR(__xludf.DUMMYFUNCTION("IMPORTRANGE(""https://docs.google.com/spreadsheets/d/1326rdUM6oOTA_5T6U_eA-Yqy4OMk6d_RGd_Z1bKVaC8/edit#gid=1459860096"",""'24.03.403 Predios Exentos'!f10:f700"")"),"MUNICIPALIDAD DE IQUIQUE")</f>
        <v>MUNICIPALIDAD DE IQUIQUE</v>
      </c>
      <c r="F22" s="11">
        <f ca="1">IFERROR(__xludf.DUMMYFUNCTION("IMPORTRANGE(""https://docs.google.com/spreadsheets/d/1326rdUM6oOTA_5T6U_eA-Yqy4OMk6d_RGd_Z1bKVaC8/edit#gid=1459860096"",""'24.03.403 Predios Exentos'!ad10:ad700"")"),129426768)</f>
        <v>129426768</v>
      </c>
      <c r="G22" s="10" t="str">
        <f ca="1">IFERROR(__xludf.DUMMYFUNCTION("IMPORTRANGE(""https://docs.google.com/spreadsheets/d/1326rdUM6oOTA_5T6U_eA-Yqy4OMk6d_RGd_Z1bKVaC8/edit#gid=1459860096"",""'24.03.403 Predios Exentos'!j10:j700"")"),"Resolución")</f>
        <v>Resolución</v>
      </c>
      <c r="H22" s="10" t="str">
        <f ca="1">IFERROR(__xludf.DUMMYFUNCTION("IMPORTRANGE(""https://docs.google.com/spreadsheets/d/1326rdUM6oOTA_5T6U_eA-Yqy4OMk6d_RGd_Z1bKVaC8/edit#gid=1459860096"",""'24.03.403 Predios Exentos'!d10:d700"")"),"BONO ASEO EXTERNALIZADO")</f>
        <v>BONO ASEO EXTERNALIZADO</v>
      </c>
      <c r="I22" s="10" t="str">
        <f ca="1">IFERROR(__xludf.DUMMYFUNCTION("IMPORTRANGE(""https://docs.google.com/spreadsheets/d/1326rdUM6oOTA_5T6U_eA-Yqy4OMk6d_RGd_Z1bKVaC8/edit#gid=1459860096"",""'24.03.403 Predios Exentos'!o10:o700"")"),"Cumplir con normativa y reglamentos internos del programa en base a los objetivos.")</f>
        <v>Cumplir con normativa y reglamentos internos del programa en base a los objetivos.</v>
      </c>
      <c r="J22" s="11">
        <f ca="1">IFERROR(__xludf.DUMMYFUNCTION("IMPORTRANGE(""https://docs.google.com/spreadsheets/d/1326rdUM6oOTA_5T6U_eA-Yqy4OMk6d_RGd_Z1bKVaC8/edit#gid=1459860096"",""'24.03.403 Predios Exentos'!ad10:ad700"")"),129426768)</f>
        <v>129426768</v>
      </c>
      <c r="K22" s="27">
        <f ca="1">IFERROR(__xludf.DUMMYFUNCTION("IMPORTRANGE(""https://docs.google.com/spreadsheets/d/1326rdUM6oOTA_5T6U_eA-Yqy4OMk6d_RGd_Z1bKVaC8/edit#gid=1459860096"",""'24.03.403 Predios Exentos'!ae10:ae700"")"),1)</f>
        <v>1</v>
      </c>
      <c r="L22" s="28" t="str">
        <f ca="1">IFERROR(__xludf.DUMMYFUNCTION("IMPORTRANGE(""https://docs.google.com/spreadsheets/d/1326rdUM6oOTA_5T6U_eA-Yqy4OMk6d_RGd_Z1bKVaC8/edit#gid=1459860096"",""'24.03.403 Predios Exentos'!l10:l700"")"),"5/2024")</f>
        <v>5/2024</v>
      </c>
      <c r="M22" s="10" t="str">
        <f ca="1">IFERROR(__xludf.DUMMYFUNCTION("IMPORTRANGE(""https://docs.google.com/spreadsheets/d/1326rdUM6oOTA_5T6U_eA-Yqy4OMk6d_RGd_Z1bKVaC8/edit#gid=1459860096"",""'24.03.403 Predios Exentos'!b10:b700"")"),"Predios Exentos")</f>
        <v>Predios Exentos</v>
      </c>
      <c r="N22" s="1"/>
      <c r="O22" s="1"/>
      <c r="P22" s="1"/>
      <c r="Q22" s="1"/>
      <c r="R22" s="1"/>
      <c r="S22" s="1"/>
      <c r="T22" s="1"/>
      <c r="U22" s="1"/>
      <c r="V22" s="1"/>
      <c r="W22" s="1"/>
      <c r="X22" s="1"/>
      <c r="Y22" s="1"/>
      <c r="Z22" s="1"/>
    </row>
    <row r="23" spans="1:26" ht="12.75" customHeight="1">
      <c r="A23" s="1"/>
      <c r="B23" s="10" t="str">
        <f ca="1">IFERROR(__xludf.DUMMYFUNCTION("""COMPUTED_VALUE"""),"Bono de aseo externalizado 2024")</f>
        <v>Bono de aseo externalizado 2024</v>
      </c>
      <c r="C23" s="26" t="str">
        <f t="shared" ca="1" si="0"/>
        <v xml:space="preserve"> ALTO HOSPICIO</v>
      </c>
      <c r="D23" s="10" t="str">
        <f ca="1">IFERROR(__xludf.DUMMYFUNCTION("""COMPUTED_VALUE"""),"Resolución de Transferencia")</f>
        <v>Resolución de Transferencia</v>
      </c>
      <c r="E23" s="26" t="str">
        <f ca="1">IFERROR(__xludf.DUMMYFUNCTION("""COMPUTED_VALUE"""),"MUNICIPALIDAD DE ALTO HOSPICIO")</f>
        <v>MUNICIPALIDAD DE ALTO HOSPICIO</v>
      </c>
      <c r="F23" s="11">
        <f ca="1">IFERROR(__xludf.DUMMYFUNCTION("""COMPUTED_VALUE"""),54671652)</f>
        <v>54671652</v>
      </c>
      <c r="G23" s="10" t="str">
        <f ca="1">IFERROR(__xludf.DUMMYFUNCTION("""COMPUTED_VALUE"""),"Resolución")</f>
        <v>Resolución</v>
      </c>
      <c r="H23" s="10" t="str">
        <f ca="1">IFERROR(__xludf.DUMMYFUNCTION("""COMPUTED_VALUE"""),"BONO ASEO EXTERNALIZADO")</f>
        <v>BONO ASEO EXTERNALIZADO</v>
      </c>
      <c r="I23" s="10" t="str">
        <f ca="1">IFERROR(__xludf.DUMMYFUNCTION("""COMPUTED_VALUE"""),"Cumplir con normativa y reglamentos internos del programa en base a los objetivos.")</f>
        <v>Cumplir con normativa y reglamentos internos del programa en base a los objetivos.</v>
      </c>
      <c r="J23" s="11">
        <f ca="1">IFERROR(__xludf.DUMMYFUNCTION("""COMPUTED_VALUE"""),54671652)</f>
        <v>54671652</v>
      </c>
      <c r="K23" s="27">
        <f ca="1">IFERROR(__xludf.DUMMYFUNCTION("""COMPUTED_VALUE"""),1)</f>
        <v>1</v>
      </c>
      <c r="L23" s="28" t="str">
        <f ca="1">IFERROR(__xludf.DUMMYFUNCTION("""COMPUTED_VALUE"""),"5/2024")</f>
        <v>5/2024</v>
      </c>
      <c r="M23" s="10" t="str">
        <f ca="1">IFERROR(__xludf.DUMMYFUNCTION("""COMPUTED_VALUE"""),"Predios Exentos")</f>
        <v>Predios Exentos</v>
      </c>
      <c r="N23" s="1"/>
      <c r="O23" s="1"/>
      <c r="P23" s="1"/>
      <c r="Q23" s="1"/>
      <c r="R23" s="1"/>
      <c r="S23" s="1"/>
      <c r="T23" s="1"/>
      <c r="U23" s="1"/>
      <c r="V23" s="1"/>
      <c r="W23" s="1"/>
      <c r="X23" s="1"/>
      <c r="Y23" s="1"/>
      <c r="Z23" s="1"/>
    </row>
    <row r="24" spans="1:26" ht="12.75" customHeight="1">
      <c r="A24" s="1"/>
      <c r="B24" s="10" t="str">
        <f ca="1">IFERROR(__xludf.DUMMYFUNCTION("""COMPUTED_VALUE"""),"Bono de aseo externalizado 2024")</f>
        <v>Bono de aseo externalizado 2024</v>
      </c>
      <c r="C24" s="26" t="str">
        <f t="shared" ca="1" si="0"/>
        <v xml:space="preserve"> POZO ALMONTE</v>
      </c>
      <c r="D24" s="10" t="str">
        <f ca="1">IFERROR(__xludf.DUMMYFUNCTION("""COMPUTED_VALUE"""),"Resolución de Transferencia")</f>
        <v>Resolución de Transferencia</v>
      </c>
      <c r="E24" s="26" t="str">
        <f ca="1">IFERROR(__xludf.DUMMYFUNCTION("""COMPUTED_VALUE"""),"MUNICIPALIDAD DE POZO ALMONTE")</f>
        <v>MUNICIPALIDAD DE POZO ALMONTE</v>
      </c>
      <c r="F24" s="11">
        <f ca="1">IFERROR(__xludf.DUMMYFUNCTION("""COMPUTED_VALUE"""),13388976)</f>
        <v>13388976</v>
      </c>
      <c r="G24" s="10" t="str">
        <f ca="1">IFERROR(__xludf.DUMMYFUNCTION("""COMPUTED_VALUE"""),"Resolución")</f>
        <v>Resolución</v>
      </c>
      <c r="H24" s="10" t="str">
        <f ca="1">IFERROR(__xludf.DUMMYFUNCTION("""COMPUTED_VALUE"""),"BONO ASEO EXTERNALIZADO")</f>
        <v>BONO ASEO EXTERNALIZADO</v>
      </c>
      <c r="I24" s="10" t="str">
        <f ca="1">IFERROR(__xludf.DUMMYFUNCTION("""COMPUTED_VALUE"""),"Cumplir con normativa y reglamentos internos del programa en base a los objetivos.")</f>
        <v>Cumplir con normativa y reglamentos internos del programa en base a los objetivos.</v>
      </c>
      <c r="J24" s="11">
        <f ca="1">IFERROR(__xludf.DUMMYFUNCTION("""COMPUTED_VALUE"""),13388976)</f>
        <v>13388976</v>
      </c>
      <c r="K24" s="27">
        <f ca="1">IFERROR(__xludf.DUMMYFUNCTION("""COMPUTED_VALUE"""),1)</f>
        <v>1</v>
      </c>
      <c r="L24" s="28" t="str">
        <f ca="1">IFERROR(__xludf.DUMMYFUNCTION("""COMPUTED_VALUE"""),"5/2024")</f>
        <v>5/2024</v>
      </c>
      <c r="M24" s="10" t="str">
        <f ca="1">IFERROR(__xludf.DUMMYFUNCTION("""COMPUTED_VALUE"""),"Predios Exentos")</f>
        <v>Predios Exentos</v>
      </c>
      <c r="N24" s="1"/>
      <c r="O24" s="1"/>
      <c r="P24" s="1"/>
      <c r="Q24" s="1"/>
      <c r="R24" s="1"/>
      <c r="S24" s="1"/>
      <c r="T24" s="1"/>
      <c r="U24" s="1"/>
      <c r="V24" s="1"/>
      <c r="W24" s="1"/>
      <c r="X24" s="1"/>
      <c r="Y24" s="1"/>
      <c r="Z24" s="1"/>
    </row>
    <row r="25" spans="1:26" ht="12.75" customHeight="1">
      <c r="A25" s="1"/>
      <c r="B25" s="10" t="str">
        <f ca="1">IFERROR(__xludf.DUMMYFUNCTION("""COMPUTED_VALUE"""),"Bono de aseo externalizado 2024")</f>
        <v>Bono de aseo externalizado 2024</v>
      </c>
      <c r="C25" s="26" t="str">
        <f t="shared" ca="1" si="0"/>
        <v xml:space="preserve"> COLCHANE</v>
      </c>
      <c r="D25" s="10" t="str">
        <f ca="1">IFERROR(__xludf.DUMMYFUNCTION("""COMPUTED_VALUE"""),"Resolución de Transferencia")</f>
        <v>Resolución de Transferencia</v>
      </c>
      <c r="E25" s="26" t="str">
        <f ca="1">IFERROR(__xludf.DUMMYFUNCTION("""COMPUTED_VALUE"""),"MUNICIPALIDAD DE COLCHANE")</f>
        <v>MUNICIPALIDAD DE COLCHANE</v>
      </c>
      <c r="F25" s="11">
        <f ca="1">IFERROR(__xludf.DUMMYFUNCTION("""COMPUTED_VALUE"""),3347244)</f>
        <v>3347244</v>
      </c>
      <c r="G25" s="10" t="str">
        <f ca="1">IFERROR(__xludf.DUMMYFUNCTION("""COMPUTED_VALUE"""),"Resolución")</f>
        <v>Resolución</v>
      </c>
      <c r="H25" s="10" t="str">
        <f ca="1">IFERROR(__xludf.DUMMYFUNCTION("""COMPUTED_VALUE"""),"BONO ASEO EXTERNALIZADO")</f>
        <v>BONO ASEO EXTERNALIZADO</v>
      </c>
      <c r="I25" s="10" t="str">
        <f ca="1">IFERROR(__xludf.DUMMYFUNCTION("""COMPUTED_VALUE"""),"Cumplir con normativa y reglamentos internos del programa en base a los objetivos.")</f>
        <v>Cumplir con normativa y reglamentos internos del programa en base a los objetivos.</v>
      </c>
      <c r="J25" s="11">
        <f ca="1">IFERROR(__xludf.DUMMYFUNCTION("""COMPUTED_VALUE"""),3347244)</f>
        <v>3347244</v>
      </c>
      <c r="K25" s="27">
        <f ca="1">IFERROR(__xludf.DUMMYFUNCTION("""COMPUTED_VALUE"""),1)</f>
        <v>1</v>
      </c>
      <c r="L25" s="28" t="str">
        <f ca="1">IFERROR(__xludf.DUMMYFUNCTION("""COMPUTED_VALUE"""),"5/2024")</f>
        <v>5/2024</v>
      </c>
      <c r="M25" s="10" t="str">
        <f ca="1">IFERROR(__xludf.DUMMYFUNCTION("""COMPUTED_VALUE"""),"Predios Exentos")</f>
        <v>Predios Exentos</v>
      </c>
      <c r="N25" s="1"/>
      <c r="O25" s="1"/>
      <c r="P25" s="1"/>
      <c r="Q25" s="1"/>
      <c r="R25" s="1"/>
      <c r="S25" s="1"/>
      <c r="T25" s="1"/>
      <c r="U25" s="1"/>
      <c r="V25" s="1"/>
      <c r="W25" s="1"/>
      <c r="X25" s="1"/>
      <c r="Y25" s="1"/>
      <c r="Z25" s="1"/>
    </row>
    <row r="26" spans="1:26" ht="12.75" customHeight="1">
      <c r="A26" s="1"/>
      <c r="B26" s="10" t="str">
        <f ca="1">IFERROR(__xludf.DUMMYFUNCTION("""COMPUTED_VALUE"""),"Bono de aseo externalizado 2024")</f>
        <v>Bono de aseo externalizado 2024</v>
      </c>
      <c r="C26" s="26" t="str">
        <f t="shared" ca="1" si="0"/>
        <v xml:space="preserve"> PICA</v>
      </c>
      <c r="D26" s="10" t="str">
        <f ca="1">IFERROR(__xludf.DUMMYFUNCTION("""COMPUTED_VALUE"""),"Resolución de Transferencia")</f>
        <v>Resolución de Transferencia</v>
      </c>
      <c r="E26" s="26" t="str">
        <f ca="1">IFERROR(__xludf.DUMMYFUNCTION("""COMPUTED_VALUE"""),"MUNICIPALIDAD DE PICA")</f>
        <v>MUNICIPALIDAD DE PICA</v>
      </c>
      <c r="F26" s="11">
        <f ca="1">IFERROR(__xludf.DUMMYFUNCTION("""COMPUTED_VALUE"""),17851968)</f>
        <v>17851968</v>
      </c>
      <c r="G26" s="10" t="str">
        <f ca="1">IFERROR(__xludf.DUMMYFUNCTION("""COMPUTED_VALUE"""),"Resolución")</f>
        <v>Resolución</v>
      </c>
      <c r="H26" s="10" t="str">
        <f ca="1">IFERROR(__xludf.DUMMYFUNCTION("""COMPUTED_VALUE"""),"BONO ASEO EXTERNALIZADO")</f>
        <v>BONO ASEO EXTERNALIZADO</v>
      </c>
      <c r="I26" s="10" t="str">
        <f ca="1">IFERROR(__xludf.DUMMYFUNCTION("""COMPUTED_VALUE"""),"Cumplir con normativa y reglamentos internos del programa en base a los objetivos.")</f>
        <v>Cumplir con normativa y reglamentos internos del programa en base a los objetivos.</v>
      </c>
      <c r="J26" s="11">
        <f ca="1">IFERROR(__xludf.DUMMYFUNCTION("""COMPUTED_VALUE"""),17851968)</f>
        <v>17851968</v>
      </c>
      <c r="K26" s="27">
        <f ca="1">IFERROR(__xludf.DUMMYFUNCTION("""COMPUTED_VALUE"""),1)</f>
        <v>1</v>
      </c>
      <c r="L26" s="28" t="str">
        <f ca="1">IFERROR(__xludf.DUMMYFUNCTION("""COMPUTED_VALUE"""),"5/2024")</f>
        <v>5/2024</v>
      </c>
      <c r="M26" s="10" t="str">
        <f ca="1">IFERROR(__xludf.DUMMYFUNCTION("""COMPUTED_VALUE"""),"Predios Exentos")</f>
        <v>Predios Exentos</v>
      </c>
      <c r="N26" s="1"/>
      <c r="O26" s="1"/>
      <c r="P26" s="1"/>
      <c r="Q26" s="1"/>
      <c r="R26" s="1"/>
      <c r="S26" s="1"/>
      <c r="T26" s="1"/>
      <c r="U26" s="1"/>
      <c r="V26" s="1"/>
      <c r="W26" s="1"/>
      <c r="X26" s="1"/>
      <c r="Y26" s="1"/>
      <c r="Z26" s="1"/>
    </row>
    <row r="27" spans="1:26" ht="12.75" customHeight="1">
      <c r="A27" s="1"/>
      <c r="B27" s="10" t="str">
        <f ca="1">IFERROR(__xludf.DUMMYFUNCTION("""COMPUTED_VALUE"""),"Bono de aseo externalizado 2024")</f>
        <v>Bono de aseo externalizado 2024</v>
      </c>
      <c r="C27" s="26" t="str">
        <f t="shared" ca="1" si="0"/>
        <v xml:space="preserve"> ANTOFAGASTA</v>
      </c>
      <c r="D27" s="10" t="str">
        <f ca="1">IFERROR(__xludf.DUMMYFUNCTION("""COMPUTED_VALUE"""),"Resolución de Transferencia")</f>
        <v>Resolución de Transferencia</v>
      </c>
      <c r="E27" s="26" t="str">
        <f ca="1">IFERROR(__xludf.DUMMYFUNCTION("""COMPUTED_VALUE"""),"MUNICIPALIDAD DE ANTOFAGASTA")</f>
        <v>MUNICIPALIDAD DE ANTOFAGASTA</v>
      </c>
      <c r="F27" s="11">
        <f ca="1">IFERROR(__xludf.DUMMYFUNCTION("""COMPUTED_VALUE"""),421752744)</f>
        <v>421752744</v>
      </c>
      <c r="G27" s="10" t="str">
        <f ca="1">IFERROR(__xludf.DUMMYFUNCTION("""COMPUTED_VALUE"""),"Resolución")</f>
        <v>Resolución</v>
      </c>
      <c r="H27" s="10" t="str">
        <f ca="1">IFERROR(__xludf.DUMMYFUNCTION("""COMPUTED_VALUE"""),"BONO ASEO EXTERNALIZADO")</f>
        <v>BONO ASEO EXTERNALIZADO</v>
      </c>
      <c r="I27" s="10" t="str">
        <f ca="1">IFERROR(__xludf.DUMMYFUNCTION("""COMPUTED_VALUE"""),"Cumplir con normativa y reglamentos internos del programa en base a los objetivos.")</f>
        <v>Cumplir con normativa y reglamentos internos del programa en base a los objetivos.</v>
      </c>
      <c r="J27" s="11">
        <f ca="1">IFERROR(__xludf.DUMMYFUNCTION("""COMPUTED_VALUE"""),421752744)</f>
        <v>421752744</v>
      </c>
      <c r="K27" s="27">
        <f ca="1">IFERROR(__xludf.DUMMYFUNCTION("""COMPUTED_VALUE"""),1)</f>
        <v>1</v>
      </c>
      <c r="L27" s="28" t="str">
        <f ca="1">IFERROR(__xludf.DUMMYFUNCTION("""COMPUTED_VALUE"""),"5/2024")</f>
        <v>5/2024</v>
      </c>
      <c r="M27" s="10" t="str">
        <f ca="1">IFERROR(__xludf.DUMMYFUNCTION("""COMPUTED_VALUE"""),"Predios Exentos")</f>
        <v>Predios Exentos</v>
      </c>
      <c r="N27" s="1"/>
      <c r="O27" s="1"/>
      <c r="P27" s="1"/>
      <c r="Q27" s="1"/>
      <c r="R27" s="1"/>
      <c r="S27" s="1"/>
      <c r="T27" s="1"/>
      <c r="U27" s="1"/>
      <c r="V27" s="1"/>
      <c r="W27" s="1"/>
      <c r="X27" s="1"/>
      <c r="Y27" s="1"/>
      <c r="Z27" s="1"/>
    </row>
    <row r="28" spans="1:26" ht="12.75" customHeight="1">
      <c r="A28" s="1"/>
      <c r="B28" s="10" t="str">
        <f ca="1">IFERROR(__xludf.DUMMYFUNCTION("""COMPUTED_VALUE"""),"Bono de aseo externalizado 2024")</f>
        <v>Bono de aseo externalizado 2024</v>
      </c>
      <c r="C28" s="26" t="str">
        <f t="shared" ca="1" si="0"/>
        <v xml:space="preserve"> MEJILLONES</v>
      </c>
      <c r="D28" s="10" t="str">
        <f ca="1">IFERROR(__xludf.DUMMYFUNCTION("""COMPUTED_VALUE"""),"Resolución de Transferencia")</f>
        <v>Resolución de Transferencia</v>
      </c>
      <c r="E28" s="26" t="str">
        <f ca="1">IFERROR(__xludf.DUMMYFUNCTION("""COMPUTED_VALUE"""),"MUNICIPALIDAD DE MEJILLONES")</f>
        <v>MUNICIPALIDAD DE MEJILLONES</v>
      </c>
      <c r="F28" s="11">
        <f ca="1">IFERROR(__xludf.DUMMYFUNCTION("""COMPUTED_VALUE"""),20083464)</f>
        <v>20083464</v>
      </c>
      <c r="G28" s="10" t="str">
        <f ca="1">IFERROR(__xludf.DUMMYFUNCTION("""COMPUTED_VALUE"""),"Resolución")</f>
        <v>Resolución</v>
      </c>
      <c r="H28" s="10" t="str">
        <f ca="1">IFERROR(__xludf.DUMMYFUNCTION("""COMPUTED_VALUE"""),"BONO ASEO EXTERNALIZADO")</f>
        <v>BONO ASEO EXTERNALIZADO</v>
      </c>
      <c r="I28" s="10" t="str">
        <f ca="1">IFERROR(__xludf.DUMMYFUNCTION("""COMPUTED_VALUE"""),"Cumplir con normativa y reglamentos internos del programa en base a los objetivos.")</f>
        <v>Cumplir con normativa y reglamentos internos del programa en base a los objetivos.</v>
      </c>
      <c r="J28" s="11">
        <f ca="1">IFERROR(__xludf.DUMMYFUNCTION("""COMPUTED_VALUE"""),20083464)</f>
        <v>20083464</v>
      </c>
      <c r="K28" s="27">
        <f ca="1">IFERROR(__xludf.DUMMYFUNCTION("""COMPUTED_VALUE"""),1)</f>
        <v>1</v>
      </c>
      <c r="L28" s="28" t="str">
        <f ca="1">IFERROR(__xludf.DUMMYFUNCTION("""COMPUTED_VALUE"""),"5/2024")</f>
        <v>5/2024</v>
      </c>
      <c r="M28" s="10" t="str">
        <f ca="1">IFERROR(__xludf.DUMMYFUNCTION("""COMPUTED_VALUE"""),"Predios Exentos")</f>
        <v>Predios Exentos</v>
      </c>
      <c r="N28" s="1"/>
      <c r="O28" s="1"/>
      <c r="P28" s="1"/>
      <c r="Q28" s="1"/>
      <c r="R28" s="1"/>
      <c r="S28" s="1"/>
      <c r="T28" s="1"/>
      <c r="U28" s="1"/>
      <c r="V28" s="1"/>
      <c r="W28" s="1"/>
      <c r="X28" s="1"/>
      <c r="Y28" s="1"/>
      <c r="Z28" s="1"/>
    </row>
    <row r="29" spans="1:26" ht="12.75" customHeight="1">
      <c r="A29" s="1"/>
      <c r="B29" s="10" t="str">
        <f ca="1">IFERROR(__xludf.DUMMYFUNCTION("""COMPUTED_VALUE"""),"Bono de aseo externalizado 2024")</f>
        <v>Bono de aseo externalizado 2024</v>
      </c>
      <c r="C29" s="26" t="str">
        <f t="shared" ca="1" si="0"/>
        <v xml:space="preserve"> SIERRA GORDA</v>
      </c>
      <c r="D29" s="10" t="str">
        <f ca="1">IFERROR(__xludf.DUMMYFUNCTION("""COMPUTED_VALUE"""),"Resolución de Transferencia")</f>
        <v>Resolución de Transferencia</v>
      </c>
      <c r="E29" s="26" t="str">
        <f ca="1">IFERROR(__xludf.DUMMYFUNCTION("""COMPUTED_VALUE"""),"MUNICIPALIDAD DE SIERRA GORDA")</f>
        <v>MUNICIPALIDAD DE SIERRA GORDA</v>
      </c>
      <c r="F29" s="11">
        <f ca="1">IFERROR(__xludf.DUMMYFUNCTION("""COMPUTED_VALUE"""),20083464)</f>
        <v>20083464</v>
      </c>
      <c r="G29" s="10" t="str">
        <f ca="1">IFERROR(__xludf.DUMMYFUNCTION("""COMPUTED_VALUE"""),"Resolución")</f>
        <v>Resolución</v>
      </c>
      <c r="H29" s="10" t="str">
        <f ca="1">IFERROR(__xludf.DUMMYFUNCTION("""COMPUTED_VALUE"""),"BONO ASEO EXTERNALIZADO")</f>
        <v>BONO ASEO EXTERNALIZADO</v>
      </c>
      <c r="I29" s="10" t="str">
        <f ca="1">IFERROR(__xludf.DUMMYFUNCTION("""COMPUTED_VALUE"""),"Cumplir con normativa y reglamentos internos del programa en base a los objetivos.")</f>
        <v>Cumplir con normativa y reglamentos internos del programa en base a los objetivos.</v>
      </c>
      <c r="J29" s="11">
        <f ca="1">IFERROR(__xludf.DUMMYFUNCTION("""COMPUTED_VALUE"""),20083464)</f>
        <v>20083464</v>
      </c>
      <c r="K29" s="27">
        <f ca="1">IFERROR(__xludf.DUMMYFUNCTION("""COMPUTED_VALUE"""),1)</f>
        <v>1</v>
      </c>
      <c r="L29" s="28" t="str">
        <f ca="1">IFERROR(__xludf.DUMMYFUNCTION("""COMPUTED_VALUE"""),"5/2024")</f>
        <v>5/2024</v>
      </c>
      <c r="M29" s="10" t="str">
        <f ca="1">IFERROR(__xludf.DUMMYFUNCTION("""COMPUTED_VALUE"""),"Predios Exentos")</f>
        <v>Predios Exentos</v>
      </c>
      <c r="N29" s="1"/>
      <c r="O29" s="1"/>
      <c r="P29" s="1"/>
      <c r="Q29" s="1"/>
      <c r="R29" s="1"/>
      <c r="S29" s="1"/>
      <c r="T29" s="1"/>
      <c r="U29" s="1"/>
      <c r="V29" s="1"/>
      <c r="W29" s="1"/>
      <c r="X29" s="1"/>
      <c r="Y29" s="1"/>
      <c r="Z29" s="1"/>
    </row>
    <row r="30" spans="1:26" ht="12.75" customHeight="1">
      <c r="A30" s="1"/>
      <c r="B30" s="10" t="str">
        <f ca="1">IFERROR(__xludf.DUMMYFUNCTION("""COMPUTED_VALUE"""),"Bono de aseo externalizado 2024")</f>
        <v>Bono de aseo externalizado 2024</v>
      </c>
      <c r="C30" s="26" t="str">
        <f t="shared" ca="1" si="0"/>
        <v xml:space="preserve"> CALAMA</v>
      </c>
      <c r="D30" s="10" t="str">
        <f ca="1">IFERROR(__xludf.DUMMYFUNCTION("""COMPUTED_VALUE"""),"Resolución de Transferencia")</f>
        <v>Resolución de Transferencia</v>
      </c>
      <c r="E30" s="26" t="str">
        <f ca="1">IFERROR(__xludf.DUMMYFUNCTION("""COMPUTED_VALUE"""),"MUNICIPALIDAD DE CALAMA")</f>
        <v>MUNICIPALIDAD DE CALAMA</v>
      </c>
      <c r="F30" s="11">
        <f ca="1">IFERROR(__xludf.DUMMYFUNCTION("""COMPUTED_VALUE"""),188561412)</f>
        <v>188561412</v>
      </c>
      <c r="G30" s="10" t="str">
        <f ca="1">IFERROR(__xludf.DUMMYFUNCTION("""COMPUTED_VALUE"""),"Resolución")</f>
        <v>Resolución</v>
      </c>
      <c r="H30" s="10" t="str">
        <f ca="1">IFERROR(__xludf.DUMMYFUNCTION("""COMPUTED_VALUE"""),"BONO ASEO EXTERNALIZADO")</f>
        <v>BONO ASEO EXTERNALIZADO</v>
      </c>
      <c r="I30" s="10" t="str">
        <f ca="1">IFERROR(__xludf.DUMMYFUNCTION("""COMPUTED_VALUE"""),"Cumplir con normativa y reglamentos internos del programa en base a los objetivos.")</f>
        <v>Cumplir con normativa y reglamentos internos del programa en base a los objetivos.</v>
      </c>
      <c r="J30" s="11">
        <f ca="1">IFERROR(__xludf.DUMMYFUNCTION("""COMPUTED_VALUE"""),188561412)</f>
        <v>188561412</v>
      </c>
      <c r="K30" s="27">
        <f ca="1">IFERROR(__xludf.DUMMYFUNCTION("""COMPUTED_VALUE"""),1)</f>
        <v>1</v>
      </c>
      <c r="L30" s="28" t="str">
        <f ca="1">IFERROR(__xludf.DUMMYFUNCTION("""COMPUTED_VALUE"""),"5/2024")</f>
        <v>5/2024</v>
      </c>
      <c r="M30" s="10" t="str">
        <f ca="1">IFERROR(__xludf.DUMMYFUNCTION("""COMPUTED_VALUE"""),"Predios Exentos")</f>
        <v>Predios Exentos</v>
      </c>
      <c r="N30" s="1"/>
      <c r="O30" s="1"/>
      <c r="P30" s="1"/>
      <c r="Q30" s="1"/>
      <c r="R30" s="1"/>
      <c r="S30" s="1"/>
      <c r="T30" s="1"/>
      <c r="U30" s="1"/>
      <c r="V30" s="1"/>
      <c r="W30" s="1"/>
      <c r="X30" s="1"/>
      <c r="Y30" s="1"/>
      <c r="Z30" s="1"/>
    </row>
    <row r="31" spans="1:26" ht="12.75" customHeight="1">
      <c r="A31" s="1"/>
      <c r="B31" s="10" t="str">
        <f ca="1">IFERROR(__xludf.DUMMYFUNCTION("""COMPUTED_VALUE"""),"Bono de aseo externalizado 2024")</f>
        <v>Bono de aseo externalizado 2024</v>
      </c>
      <c r="C31" s="26" t="str">
        <f t="shared" ca="1" si="0"/>
        <v xml:space="preserve"> OLLAGÜE</v>
      </c>
      <c r="D31" s="10" t="str">
        <f ca="1">IFERROR(__xludf.DUMMYFUNCTION("""COMPUTED_VALUE"""),"Resolución de Transferencia")</f>
        <v>Resolución de Transferencia</v>
      </c>
      <c r="E31" s="26" t="str">
        <f ca="1">IFERROR(__xludf.DUMMYFUNCTION("""COMPUTED_VALUE"""),"MUNICIPALIDAD DE OLLAGÜE")</f>
        <v>MUNICIPALIDAD DE OLLAGÜE</v>
      </c>
      <c r="F31" s="11">
        <f ca="1">IFERROR(__xludf.DUMMYFUNCTION("""COMPUTED_VALUE"""),4462992)</f>
        <v>4462992</v>
      </c>
      <c r="G31" s="10" t="str">
        <f ca="1">IFERROR(__xludf.DUMMYFUNCTION("""COMPUTED_VALUE"""),"Resolución")</f>
        <v>Resolución</v>
      </c>
      <c r="H31" s="10" t="str">
        <f ca="1">IFERROR(__xludf.DUMMYFUNCTION("""COMPUTED_VALUE"""),"BONO ASEO EXTERNALIZADO")</f>
        <v>BONO ASEO EXTERNALIZADO</v>
      </c>
      <c r="I31" s="10" t="str">
        <f ca="1">IFERROR(__xludf.DUMMYFUNCTION("""COMPUTED_VALUE"""),"Cumplir con normativa y reglamentos internos del programa en base a los objetivos.")</f>
        <v>Cumplir con normativa y reglamentos internos del programa en base a los objetivos.</v>
      </c>
      <c r="J31" s="11">
        <f ca="1">IFERROR(__xludf.DUMMYFUNCTION("""COMPUTED_VALUE"""),4462992)</f>
        <v>4462992</v>
      </c>
      <c r="K31" s="27">
        <f ca="1">IFERROR(__xludf.DUMMYFUNCTION("""COMPUTED_VALUE"""),1)</f>
        <v>1</v>
      </c>
      <c r="L31" s="28" t="str">
        <f ca="1">IFERROR(__xludf.DUMMYFUNCTION("""COMPUTED_VALUE"""),"5/2024")</f>
        <v>5/2024</v>
      </c>
      <c r="M31" s="10" t="str">
        <f ca="1">IFERROR(__xludf.DUMMYFUNCTION("""COMPUTED_VALUE"""),"Predios Exentos")</f>
        <v>Predios Exentos</v>
      </c>
      <c r="N31" s="1"/>
      <c r="O31" s="1"/>
      <c r="P31" s="1"/>
      <c r="Q31" s="1"/>
      <c r="R31" s="1"/>
      <c r="S31" s="1"/>
      <c r="T31" s="1"/>
      <c r="U31" s="1"/>
      <c r="V31" s="1"/>
      <c r="W31" s="1"/>
      <c r="X31" s="1"/>
      <c r="Y31" s="1"/>
      <c r="Z31" s="1"/>
    </row>
    <row r="32" spans="1:26" ht="12.75" customHeight="1">
      <c r="A32" s="1"/>
      <c r="B32" s="10" t="str">
        <f ca="1">IFERROR(__xludf.DUMMYFUNCTION("""COMPUTED_VALUE"""),"Bono de aseo externalizado 2024")</f>
        <v>Bono de aseo externalizado 2024</v>
      </c>
      <c r="C32" s="26" t="str">
        <f t="shared" ca="1" si="0"/>
        <v xml:space="preserve"> SAN PEDRO DE ATACAMA</v>
      </c>
      <c r="D32" s="10" t="str">
        <f ca="1">IFERROR(__xludf.DUMMYFUNCTION("""COMPUTED_VALUE"""),"Resolución de Transferencia")</f>
        <v>Resolución de Transferencia</v>
      </c>
      <c r="E32" s="26" t="str">
        <f ca="1">IFERROR(__xludf.DUMMYFUNCTION("""COMPUTED_VALUE"""),"MUNICIPALIDAD DE SAN PEDRO DE ATACAMA")</f>
        <v>MUNICIPALIDAD DE SAN PEDRO DE ATACAMA</v>
      </c>
      <c r="F32" s="11">
        <f ca="1">IFERROR(__xludf.DUMMYFUNCTION("""COMPUTED_VALUE"""),24546456)</f>
        <v>24546456</v>
      </c>
      <c r="G32" s="10" t="str">
        <f ca="1">IFERROR(__xludf.DUMMYFUNCTION("""COMPUTED_VALUE"""),"Resolución")</f>
        <v>Resolución</v>
      </c>
      <c r="H32" s="10" t="str">
        <f ca="1">IFERROR(__xludf.DUMMYFUNCTION("""COMPUTED_VALUE"""),"BONO ASEO EXTERNALIZADO")</f>
        <v>BONO ASEO EXTERNALIZADO</v>
      </c>
      <c r="I32" s="10" t="str">
        <f ca="1">IFERROR(__xludf.DUMMYFUNCTION("""COMPUTED_VALUE"""),"Cumplir con normativa y reglamentos internos del programa en base a los objetivos.")</f>
        <v>Cumplir con normativa y reglamentos internos del programa en base a los objetivos.</v>
      </c>
      <c r="J32" s="11">
        <f ca="1">IFERROR(__xludf.DUMMYFUNCTION("""COMPUTED_VALUE"""),24546456)</f>
        <v>24546456</v>
      </c>
      <c r="K32" s="27">
        <f ca="1">IFERROR(__xludf.DUMMYFUNCTION("""COMPUTED_VALUE"""),1.29411764705882)</f>
        <v>1.29411764705882</v>
      </c>
      <c r="L32" s="28" t="str">
        <f ca="1">IFERROR(__xludf.DUMMYFUNCTION("""COMPUTED_VALUE"""),"5/2024")</f>
        <v>5/2024</v>
      </c>
      <c r="M32" s="10" t="str">
        <f ca="1">IFERROR(__xludf.DUMMYFUNCTION("""COMPUTED_VALUE"""),"Predios Exentos")</f>
        <v>Predios Exentos</v>
      </c>
      <c r="N32" s="1"/>
      <c r="O32" s="1"/>
      <c r="P32" s="1"/>
      <c r="Q32" s="1"/>
      <c r="R32" s="1"/>
      <c r="S32" s="1"/>
      <c r="T32" s="1"/>
      <c r="U32" s="1"/>
      <c r="V32" s="1"/>
      <c r="W32" s="1"/>
      <c r="X32" s="1"/>
      <c r="Y32" s="1"/>
      <c r="Z32" s="1"/>
    </row>
    <row r="33" spans="1:26" ht="12.75" customHeight="1">
      <c r="A33" s="1"/>
      <c r="B33" s="10" t="str">
        <f ca="1">IFERROR(__xludf.DUMMYFUNCTION("""COMPUTED_VALUE"""),"Bono de aseo externalizado 2024")</f>
        <v>Bono de aseo externalizado 2024</v>
      </c>
      <c r="C33" s="26" t="str">
        <f t="shared" ca="1" si="0"/>
        <v xml:space="preserve"> TOCOPILLA</v>
      </c>
      <c r="D33" s="10" t="str">
        <f ca="1">IFERROR(__xludf.DUMMYFUNCTION("""COMPUTED_VALUE"""),"Resolución de Transferencia")</f>
        <v>Resolución de Transferencia</v>
      </c>
      <c r="E33" s="26" t="str">
        <f ca="1">IFERROR(__xludf.DUMMYFUNCTION("""COMPUTED_VALUE"""),"MUNICIPALIDAD DE TOCOPILLA")</f>
        <v>MUNICIPALIDAD DE TOCOPILLA</v>
      </c>
      <c r="F33" s="11">
        <f ca="1">IFERROR(__xludf.DUMMYFUNCTION("""COMPUTED_VALUE"""),64713384)</f>
        <v>64713384</v>
      </c>
      <c r="G33" s="10" t="str">
        <f ca="1">IFERROR(__xludf.DUMMYFUNCTION("""COMPUTED_VALUE"""),"Resolución")</f>
        <v>Resolución</v>
      </c>
      <c r="H33" s="10" t="str">
        <f ca="1">IFERROR(__xludf.DUMMYFUNCTION("""COMPUTED_VALUE"""),"BONO ASEO EXTERNALIZADO")</f>
        <v>BONO ASEO EXTERNALIZADO</v>
      </c>
      <c r="I33" s="10" t="str">
        <f ca="1">IFERROR(__xludf.DUMMYFUNCTION("""COMPUTED_VALUE"""),"Cumplir con normativa y reglamentos internos del programa en base a los objetivos.")</f>
        <v>Cumplir con normativa y reglamentos internos del programa en base a los objetivos.</v>
      </c>
      <c r="J33" s="11">
        <f ca="1">IFERROR(__xludf.DUMMYFUNCTION("""COMPUTED_VALUE"""),64713384)</f>
        <v>64713384</v>
      </c>
      <c r="K33" s="27">
        <f ca="1">IFERROR(__xludf.DUMMYFUNCTION("""COMPUTED_VALUE"""),1)</f>
        <v>1</v>
      </c>
      <c r="L33" s="28" t="str">
        <f ca="1">IFERROR(__xludf.DUMMYFUNCTION("""COMPUTED_VALUE"""),"5/2024")</f>
        <v>5/2024</v>
      </c>
      <c r="M33" s="10" t="str">
        <f ca="1">IFERROR(__xludf.DUMMYFUNCTION("""COMPUTED_VALUE"""),"Predios Exentos")</f>
        <v>Predios Exentos</v>
      </c>
      <c r="N33" s="1"/>
      <c r="O33" s="1"/>
      <c r="P33" s="1"/>
      <c r="Q33" s="1"/>
      <c r="R33" s="1"/>
      <c r="S33" s="1"/>
      <c r="T33" s="1"/>
      <c r="U33" s="1"/>
      <c r="V33" s="1"/>
      <c r="W33" s="1"/>
      <c r="X33" s="1"/>
      <c r="Y33" s="1"/>
      <c r="Z33" s="1"/>
    </row>
    <row r="34" spans="1:26" ht="12.75" customHeight="1">
      <c r="A34" s="1"/>
      <c r="B34" s="10" t="str">
        <f ca="1">IFERROR(__xludf.DUMMYFUNCTION("""COMPUTED_VALUE"""),"Bono de aseo externalizado 2024")</f>
        <v>Bono de aseo externalizado 2024</v>
      </c>
      <c r="C34" s="26" t="str">
        <f t="shared" ca="1" si="0"/>
        <v xml:space="preserve"> COPIAPÓ</v>
      </c>
      <c r="D34" s="10" t="str">
        <f ca="1">IFERROR(__xludf.DUMMYFUNCTION("""COMPUTED_VALUE"""),"Resolución de Transferencia")</f>
        <v>Resolución de Transferencia</v>
      </c>
      <c r="E34" s="26" t="str">
        <f ca="1">IFERROR(__xludf.DUMMYFUNCTION("""COMPUTED_VALUE"""),"MUNICIPALIDAD DE COPIAPÓ")</f>
        <v>MUNICIPALIDAD DE COPIAPÓ</v>
      </c>
      <c r="F34" s="11">
        <f ca="1">IFERROR(__xludf.DUMMYFUNCTION("""COMPUTED_VALUE"""),133889760)</f>
        <v>133889760</v>
      </c>
      <c r="G34" s="10" t="str">
        <f ca="1">IFERROR(__xludf.DUMMYFUNCTION("""COMPUTED_VALUE"""),"Resolución")</f>
        <v>Resolución</v>
      </c>
      <c r="H34" s="10" t="str">
        <f ca="1">IFERROR(__xludf.DUMMYFUNCTION("""COMPUTED_VALUE"""),"BONO ASEO EXTERNALIZADO")</f>
        <v>BONO ASEO EXTERNALIZADO</v>
      </c>
      <c r="I34" s="10" t="str">
        <f ca="1">IFERROR(__xludf.DUMMYFUNCTION("""COMPUTED_VALUE"""),"Cumplir con normativa y reglamentos internos del programa en base a los objetivos.")</f>
        <v>Cumplir con normativa y reglamentos internos del programa en base a los objetivos.</v>
      </c>
      <c r="J34" s="11">
        <f ca="1">IFERROR(__xludf.DUMMYFUNCTION("""COMPUTED_VALUE"""),133889760)</f>
        <v>133889760</v>
      </c>
      <c r="K34" s="27">
        <f ca="1">IFERROR(__xludf.DUMMYFUNCTION("""COMPUTED_VALUE"""),1)</f>
        <v>1</v>
      </c>
      <c r="L34" s="28" t="str">
        <f ca="1">IFERROR(__xludf.DUMMYFUNCTION("""COMPUTED_VALUE"""),"5/2024")</f>
        <v>5/2024</v>
      </c>
      <c r="M34" s="10" t="str">
        <f ca="1">IFERROR(__xludf.DUMMYFUNCTION("""COMPUTED_VALUE"""),"Predios Exentos")</f>
        <v>Predios Exentos</v>
      </c>
      <c r="N34" s="1"/>
      <c r="O34" s="1"/>
      <c r="P34" s="1"/>
      <c r="Q34" s="1"/>
      <c r="R34" s="1"/>
      <c r="S34" s="1"/>
      <c r="T34" s="1"/>
      <c r="U34" s="1"/>
      <c r="V34" s="1"/>
      <c r="W34" s="1"/>
      <c r="X34" s="1"/>
      <c r="Y34" s="1"/>
      <c r="Z34" s="1"/>
    </row>
    <row r="35" spans="1:26" ht="12.75" customHeight="1">
      <c r="A35" s="1"/>
      <c r="B35" s="10" t="str">
        <f ca="1">IFERROR(__xludf.DUMMYFUNCTION("""COMPUTED_VALUE"""),"Bono de aseo externalizado 2024")</f>
        <v>Bono de aseo externalizado 2024</v>
      </c>
      <c r="C35" s="26" t="str">
        <f t="shared" ca="1" si="0"/>
        <v xml:space="preserve"> VALLENAR</v>
      </c>
      <c r="D35" s="10" t="str">
        <f ca="1">IFERROR(__xludf.DUMMYFUNCTION("""COMPUTED_VALUE"""),"Resolución de Transferencia")</f>
        <v>Resolución de Transferencia</v>
      </c>
      <c r="E35" s="26" t="str">
        <f ca="1">IFERROR(__xludf.DUMMYFUNCTION("""COMPUTED_VALUE"""),"MUNICIPALIDAD DE VALLENAR")</f>
        <v>MUNICIPALIDAD DE VALLENAR</v>
      </c>
      <c r="F35" s="11">
        <f ca="1">IFERROR(__xludf.DUMMYFUNCTION("""COMPUTED_VALUE"""),18967716)</f>
        <v>18967716</v>
      </c>
      <c r="G35" s="10" t="str">
        <f ca="1">IFERROR(__xludf.DUMMYFUNCTION("""COMPUTED_VALUE"""),"Resolución")</f>
        <v>Resolución</v>
      </c>
      <c r="H35" s="10" t="str">
        <f ca="1">IFERROR(__xludf.DUMMYFUNCTION("""COMPUTED_VALUE"""),"BONO ASEO EXTERNALIZADO")</f>
        <v>BONO ASEO EXTERNALIZADO</v>
      </c>
      <c r="I35" s="10" t="str">
        <f ca="1">IFERROR(__xludf.DUMMYFUNCTION("""COMPUTED_VALUE"""),"Cumplir con normativa y reglamentos internos del programa en base a los objetivos.")</f>
        <v>Cumplir con normativa y reglamentos internos del programa en base a los objetivos.</v>
      </c>
      <c r="J35" s="11">
        <f ca="1">IFERROR(__xludf.DUMMYFUNCTION("""COMPUTED_VALUE"""),18967716)</f>
        <v>18967716</v>
      </c>
      <c r="K35" s="27">
        <f ca="1">IFERROR(__xludf.DUMMYFUNCTION("""COMPUTED_VALUE"""),1)</f>
        <v>1</v>
      </c>
      <c r="L35" s="28" t="str">
        <f ca="1">IFERROR(__xludf.DUMMYFUNCTION("""COMPUTED_VALUE"""),"5/2024")</f>
        <v>5/2024</v>
      </c>
      <c r="M35" s="10" t="str">
        <f ca="1">IFERROR(__xludf.DUMMYFUNCTION("""COMPUTED_VALUE"""),"Predios Exentos")</f>
        <v>Predios Exentos</v>
      </c>
      <c r="N35" s="1"/>
      <c r="O35" s="1"/>
      <c r="P35" s="1"/>
      <c r="Q35" s="1"/>
      <c r="R35" s="1"/>
      <c r="S35" s="1"/>
      <c r="T35" s="1"/>
      <c r="U35" s="1"/>
      <c r="V35" s="1"/>
      <c r="W35" s="1"/>
      <c r="X35" s="1"/>
      <c r="Y35" s="1"/>
      <c r="Z35" s="1"/>
    </row>
    <row r="36" spans="1:26" ht="12.75" customHeight="1">
      <c r="A36" s="1"/>
      <c r="B36" s="10" t="str">
        <f ca="1">IFERROR(__xludf.DUMMYFUNCTION("""COMPUTED_VALUE"""),"Bono de aseo externalizado 2024")</f>
        <v>Bono de aseo externalizado 2024</v>
      </c>
      <c r="C36" s="26" t="str">
        <f t="shared" ca="1" si="0"/>
        <v xml:space="preserve"> FREIRINA</v>
      </c>
      <c r="D36" s="10" t="str">
        <f ca="1">IFERROR(__xludf.DUMMYFUNCTION("""COMPUTED_VALUE"""),"Resolución de Transferencia")</f>
        <v>Resolución de Transferencia</v>
      </c>
      <c r="E36" s="26" t="str">
        <f ca="1">IFERROR(__xludf.DUMMYFUNCTION("""COMPUTED_VALUE"""),"MUNICIPALIDAD DE FREIRINA")</f>
        <v>MUNICIPALIDAD DE FREIRINA</v>
      </c>
      <c r="F36" s="11">
        <f ca="1">IFERROR(__xludf.DUMMYFUNCTION("""COMPUTED_VALUE"""),14504724)</f>
        <v>14504724</v>
      </c>
      <c r="G36" s="10" t="str">
        <f ca="1">IFERROR(__xludf.DUMMYFUNCTION("""COMPUTED_VALUE"""),"Resolución")</f>
        <v>Resolución</v>
      </c>
      <c r="H36" s="10" t="str">
        <f ca="1">IFERROR(__xludf.DUMMYFUNCTION("""COMPUTED_VALUE"""),"BONO ASEO EXTERNALIZADO")</f>
        <v>BONO ASEO EXTERNALIZADO</v>
      </c>
      <c r="I36" s="10" t="str">
        <f ca="1">IFERROR(__xludf.DUMMYFUNCTION("""COMPUTED_VALUE"""),"Cumplir con normativa y reglamentos internos del programa en base a los objetivos.")</f>
        <v>Cumplir con normativa y reglamentos internos del programa en base a los objetivos.</v>
      </c>
      <c r="J36" s="11">
        <f ca="1">IFERROR(__xludf.DUMMYFUNCTION("""COMPUTED_VALUE"""),14504724)</f>
        <v>14504724</v>
      </c>
      <c r="K36" s="27">
        <f ca="1">IFERROR(__xludf.DUMMYFUNCTION("""COMPUTED_VALUE"""),1)</f>
        <v>1</v>
      </c>
      <c r="L36" s="28" t="str">
        <f ca="1">IFERROR(__xludf.DUMMYFUNCTION("""COMPUTED_VALUE"""),"5/2024")</f>
        <v>5/2024</v>
      </c>
      <c r="M36" s="10" t="str">
        <f ca="1">IFERROR(__xludf.DUMMYFUNCTION("""COMPUTED_VALUE"""),"Predios Exentos")</f>
        <v>Predios Exentos</v>
      </c>
      <c r="N36" s="1"/>
      <c r="O36" s="1"/>
      <c r="P36" s="1"/>
      <c r="Q36" s="1"/>
      <c r="R36" s="1"/>
      <c r="S36" s="1"/>
      <c r="T36" s="1"/>
      <c r="U36" s="1"/>
      <c r="V36" s="1"/>
      <c r="W36" s="1"/>
      <c r="X36" s="1"/>
      <c r="Y36" s="1"/>
      <c r="Z36" s="1"/>
    </row>
    <row r="37" spans="1:26" ht="12.75" customHeight="1">
      <c r="A37" s="1"/>
      <c r="B37" s="10" t="str">
        <f ca="1">IFERROR(__xludf.DUMMYFUNCTION("""COMPUTED_VALUE"""),"Bono de aseo externalizado 2024")</f>
        <v>Bono de aseo externalizado 2024</v>
      </c>
      <c r="C37" s="26" t="str">
        <f t="shared" ca="1" si="0"/>
        <v xml:space="preserve"> HUASCO</v>
      </c>
      <c r="D37" s="10" t="str">
        <f ca="1">IFERROR(__xludf.DUMMYFUNCTION("""COMPUTED_VALUE"""),"Resolución de Transferencia")</f>
        <v>Resolución de Transferencia</v>
      </c>
      <c r="E37" s="26" t="str">
        <f ca="1">IFERROR(__xludf.DUMMYFUNCTION("""COMPUTED_VALUE"""),"MUNICIPALIDAD DE HUASCO")</f>
        <v>MUNICIPALIDAD DE HUASCO</v>
      </c>
      <c r="F37" s="11">
        <f ca="1">IFERROR(__xludf.DUMMYFUNCTION("""COMPUTED_VALUE"""),31240944)</f>
        <v>31240944</v>
      </c>
      <c r="G37" s="10" t="str">
        <f ca="1">IFERROR(__xludf.DUMMYFUNCTION("""COMPUTED_VALUE"""),"Resolución")</f>
        <v>Resolución</v>
      </c>
      <c r="H37" s="10" t="str">
        <f ca="1">IFERROR(__xludf.DUMMYFUNCTION("""COMPUTED_VALUE"""),"BONO ASEO EXTERNALIZADO")</f>
        <v>BONO ASEO EXTERNALIZADO</v>
      </c>
      <c r="I37" s="10" t="str">
        <f ca="1">IFERROR(__xludf.DUMMYFUNCTION("""COMPUTED_VALUE"""),"Cumplir con normativa y reglamentos internos del programa en base a los objetivos.")</f>
        <v>Cumplir con normativa y reglamentos internos del programa en base a los objetivos.</v>
      </c>
      <c r="J37" s="11">
        <f ca="1">IFERROR(__xludf.DUMMYFUNCTION("""COMPUTED_VALUE"""),31240944)</f>
        <v>31240944</v>
      </c>
      <c r="K37" s="27">
        <f ca="1">IFERROR(__xludf.DUMMYFUNCTION("""COMPUTED_VALUE"""),1)</f>
        <v>1</v>
      </c>
      <c r="L37" s="28" t="str">
        <f ca="1">IFERROR(__xludf.DUMMYFUNCTION("""COMPUTED_VALUE"""),"5/2024")</f>
        <v>5/2024</v>
      </c>
      <c r="M37" s="10" t="str">
        <f ca="1">IFERROR(__xludf.DUMMYFUNCTION("""COMPUTED_VALUE"""),"Predios Exentos")</f>
        <v>Predios Exentos</v>
      </c>
      <c r="N37" s="1"/>
      <c r="O37" s="1"/>
      <c r="P37" s="1"/>
      <c r="Q37" s="1"/>
      <c r="R37" s="1"/>
      <c r="S37" s="1"/>
      <c r="T37" s="1"/>
      <c r="U37" s="1"/>
      <c r="V37" s="1"/>
      <c r="W37" s="1"/>
      <c r="X37" s="1"/>
      <c r="Y37" s="1"/>
      <c r="Z37" s="1"/>
    </row>
    <row r="38" spans="1:26" ht="12.75" customHeight="1">
      <c r="A38" s="1"/>
      <c r="B38" s="10" t="str">
        <f ca="1">IFERROR(__xludf.DUMMYFUNCTION("""COMPUTED_VALUE"""),"Bono de aseo externalizado 2024")</f>
        <v>Bono de aseo externalizado 2024</v>
      </c>
      <c r="C38" s="26" t="str">
        <f t="shared" ca="1" si="0"/>
        <v xml:space="preserve"> LA SERENA</v>
      </c>
      <c r="D38" s="10" t="str">
        <f ca="1">IFERROR(__xludf.DUMMYFUNCTION("""COMPUTED_VALUE"""),"Resolución de Transferencia")</f>
        <v>Resolución de Transferencia</v>
      </c>
      <c r="E38" s="26" t="str">
        <f ca="1">IFERROR(__xludf.DUMMYFUNCTION("""COMPUTED_VALUE"""),"MUNICIPALIDAD DE LA SERENA")</f>
        <v>MUNICIPALIDAD DE LA SERENA</v>
      </c>
      <c r="F38" s="11">
        <f ca="1">IFERROR(__xludf.DUMMYFUNCTION("""COMPUTED_VALUE"""),239885820)</f>
        <v>239885820</v>
      </c>
      <c r="G38" s="10" t="str">
        <f ca="1">IFERROR(__xludf.DUMMYFUNCTION("""COMPUTED_VALUE"""),"Resolución")</f>
        <v>Resolución</v>
      </c>
      <c r="H38" s="10" t="str">
        <f ca="1">IFERROR(__xludf.DUMMYFUNCTION("""COMPUTED_VALUE"""),"BONO ASEO EXTERNALIZADO")</f>
        <v>BONO ASEO EXTERNALIZADO</v>
      </c>
      <c r="I38" s="10" t="str">
        <f ca="1">IFERROR(__xludf.DUMMYFUNCTION("""COMPUTED_VALUE"""),"Cumplir con normativa y reglamentos internos del programa en base a los objetivos.")</f>
        <v>Cumplir con normativa y reglamentos internos del programa en base a los objetivos.</v>
      </c>
      <c r="J38" s="11">
        <f ca="1">IFERROR(__xludf.DUMMYFUNCTION("""COMPUTED_VALUE"""),239885820)</f>
        <v>239885820</v>
      </c>
      <c r="K38" s="27">
        <f ca="1">IFERROR(__xludf.DUMMYFUNCTION("""COMPUTED_VALUE"""),1)</f>
        <v>1</v>
      </c>
      <c r="L38" s="28" t="str">
        <f ca="1">IFERROR(__xludf.DUMMYFUNCTION("""COMPUTED_VALUE"""),"5/2024")</f>
        <v>5/2024</v>
      </c>
      <c r="M38" s="10" t="str">
        <f ca="1">IFERROR(__xludf.DUMMYFUNCTION("""COMPUTED_VALUE"""),"Predios Exentos")</f>
        <v>Predios Exentos</v>
      </c>
      <c r="N38" s="1"/>
      <c r="O38" s="1"/>
      <c r="P38" s="1"/>
      <c r="Q38" s="1"/>
      <c r="R38" s="1"/>
      <c r="S38" s="1"/>
      <c r="T38" s="1"/>
      <c r="U38" s="1"/>
      <c r="V38" s="1"/>
      <c r="W38" s="1"/>
      <c r="X38" s="1"/>
      <c r="Y38" s="1"/>
      <c r="Z38" s="1"/>
    </row>
    <row r="39" spans="1:26" ht="12.75" customHeight="1">
      <c r="A39" s="1"/>
      <c r="B39" s="10" t="str">
        <f ca="1">IFERROR(__xludf.DUMMYFUNCTION("""COMPUTED_VALUE"""),"Bono de aseo externalizado 2024")</f>
        <v>Bono de aseo externalizado 2024</v>
      </c>
      <c r="C39" s="26" t="str">
        <f t="shared" ca="1" si="0"/>
        <v xml:space="preserve"> COQUIMBO</v>
      </c>
      <c r="D39" s="10" t="str">
        <f ca="1">IFERROR(__xludf.DUMMYFUNCTION("""COMPUTED_VALUE"""),"Resolución de Transferencia")</f>
        <v>Resolución de Transferencia</v>
      </c>
      <c r="E39" s="26" t="str">
        <f ca="1">IFERROR(__xludf.DUMMYFUNCTION("""COMPUTED_VALUE"""),"MUNICIPALIDAD DE COQUIMBO")</f>
        <v>MUNICIPALIDAD DE COQUIMBO</v>
      </c>
      <c r="F39" s="11">
        <f ca="1">IFERROR(__xludf.DUMMYFUNCTION("""COMPUTED_VALUE"""),210876372)</f>
        <v>210876372</v>
      </c>
      <c r="G39" s="10" t="str">
        <f ca="1">IFERROR(__xludf.DUMMYFUNCTION("""COMPUTED_VALUE"""),"Resolución")</f>
        <v>Resolución</v>
      </c>
      <c r="H39" s="10" t="str">
        <f ca="1">IFERROR(__xludf.DUMMYFUNCTION("""COMPUTED_VALUE"""),"BONO ASEO EXTERNALIZADO")</f>
        <v>BONO ASEO EXTERNALIZADO</v>
      </c>
      <c r="I39" s="10" t="str">
        <f ca="1">IFERROR(__xludf.DUMMYFUNCTION("""COMPUTED_VALUE"""),"Cumplir con normativa y reglamentos internos del programa en base a los objetivos.")</f>
        <v>Cumplir con normativa y reglamentos internos del programa en base a los objetivos.</v>
      </c>
      <c r="J39" s="11">
        <f ca="1">IFERROR(__xludf.DUMMYFUNCTION("""COMPUTED_VALUE"""),210876372)</f>
        <v>210876372</v>
      </c>
      <c r="K39" s="27">
        <f ca="1">IFERROR(__xludf.DUMMYFUNCTION("""COMPUTED_VALUE"""),1)</f>
        <v>1</v>
      </c>
      <c r="L39" s="28" t="str">
        <f ca="1">IFERROR(__xludf.DUMMYFUNCTION("""COMPUTED_VALUE"""),"5/2024")</f>
        <v>5/2024</v>
      </c>
      <c r="M39" s="10" t="str">
        <f ca="1">IFERROR(__xludf.DUMMYFUNCTION("""COMPUTED_VALUE"""),"Predios Exentos")</f>
        <v>Predios Exentos</v>
      </c>
      <c r="N39" s="1"/>
      <c r="O39" s="1"/>
      <c r="P39" s="1"/>
      <c r="Q39" s="1"/>
      <c r="R39" s="1"/>
      <c r="S39" s="1"/>
      <c r="T39" s="1"/>
      <c r="U39" s="1"/>
      <c r="V39" s="1"/>
      <c r="W39" s="1"/>
      <c r="X39" s="1"/>
      <c r="Y39" s="1"/>
      <c r="Z39" s="1"/>
    </row>
    <row r="40" spans="1:26" ht="12.75" customHeight="1">
      <c r="A40" s="1"/>
      <c r="B40" s="10" t="str">
        <f ca="1">IFERROR(__xludf.DUMMYFUNCTION("""COMPUTED_VALUE"""),"Bono de aseo externalizado 2024")</f>
        <v>Bono de aseo externalizado 2024</v>
      </c>
      <c r="C40" s="26" t="str">
        <f t="shared" ca="1" si="0"/>
        <v xml:space="preserve"> VICUÑA</v>
      </c>
      <c r="D40" s="10" t="str">
        <f ca="1">IFERROR(__xludf.DUMMYFUNCTION("""COMPUTED_VALUE"""),"Resolución de Transferencia")</f>
        <v>Resolución de Transferencia</v>
      </c>
      <c r="E40" s="26" t="str">
        <f ca="1">IFERROR(__xludf.DUMMYFUNCTION("""COMPUTED_VALUE"""),"MUNICIPALIDAD DE VICUÑA")</f>
        <v>MUNICIPALIDAD DE VICUÑA</v>
      </c>
      <c r="F40" s="11">
        <f ca="1">IFERROR(__xludf.DUMMYFUNCTION("""COMPUTED_VALUE"""),44629920)</f>
        <v>44629920</v>
      </c>
      <c r="G40" s="10" t="str">
        <f ca="1">IFERROR(__xludf.DUMMYFUNCTION("""COMPUTED_VALUE"""),"Resolución")</f>
        <v>Resolución</v>
      </c>
      <c r="H40" s="10" t="str">
        <f ca="1">IFERROR(__xludf.DUMMYFUNCTION("""COMPUTED_VALUE"""),"BONO ASEO EXTERNALIZADO")</f>
        <v>BONO ASEO EXTERNALIZADO</v>
      </c>
      <c r="I40" s="10" t="str">
        <f ca="1">IFERROR(__xludf.DUMMYFUNCTION("""COMPUTED_VALUE"""),"Cumplir con normativa y reglamentos internos del programa en base a los objetivos.")</f>
        <v>Cumplir con normativa y reglamentos internos del programa en base a los objetivos.</v>
      </c>
      <c r="J40" s="11">
        <f ca="1">IFERROR(__xludf.DUMMYFUNCTION("""COMPUTED_VALUE"""),44629920)</f>
        <v>44629920</v>
      </c>
      <c r="K40" s="27">
        <f ca="1">IFERROR(__xludf.DUMMYFUNCTION("""COMPUTED_VALUE"""),1)</f>
        <v>1</v>
      </c>
      <c r="L40" s="28" t="str">
        <f ca="1">IFERROR(__xludf.DUMMYFUNCTION("""COMPUTED_VALUE"""),"5/2024")</f>
        <v>5/2024</v>
      </c>
      <c r="M40" s="10" t="str">
        <f ca="1">IFERROR(__xludf.DUMMYFUNCTION("""COMPUTED_VALUE"""),"Predios Exentos")</f>
        <v>Predios Exentos</v>
      </c>
      <c r="N40" s="1"/>
      <c r="O40" s="1"/>
      <c r="P40" s="1"/>
      <c r="Q40" s="1"/>
      <c r="R40" s="1"/>
      <c r="S40" s="1"/>
      <c r="T40" s="1"/>
      <c r="U40" s="1"/>
      <c r="V40" s="1"/>
      <c r="W40" s="1"/>
      <c r="X40" s="1"/>
      <c r="Y40" s="1"/>
      <c r="Z40" s="1"/>
    </row>
    <row r="41" spans="1:26" ht="12.75" customHeight="1">
      <c r="A41" s="1"/>
      <c r="B41" s="10" t="str">
        <f ca="1">IFERROR(__xludf.DUMMYFUNCTION("""COMPUTED_VALUE"""),"Bono de aseo externalizado 2024")</f>
        <v>Bono de aseo externalizado 2024</v>
      </c>
      <c r="C41" s="26" t="str">
        <f t="shared" ca="1" si="0"/>
        <v xml:space="preserve"> LOS VILOS</v>
      </c>
      <c r="D41" s="10" t="str">
        <f ca="1">IFERROR(__xludf.DUMMYFUNCTION("""COMPUTED_VALUE"""),"Resolución de Transferencia")</f>
        <v>Resolución de Transferencia</v>
      </c>
      <c r="E41" s="26" t="str">
        <f ca="1">IFERROR(__xludf.DUMMYFUNCTION("""COMPUTED_VALUE"""),"MUNICIPALIDAD DE LOS VILOS")</f>
        <v>MUNICIPALIDAD DE LOS VILOS</v>
      </c>
      <c r="F41" s="11">
        <f ca="1">IFERROR(__xludf.DUMMYFUNCTION("""COMPUTED_VALUE"""),62481888)</f>
        <v>62481888</v>
      </c>
      <c r="G41" s="10" t="str">
        <f ca="1">IFERROR(__xludf.DUMMYFUNCTION("""COMPUTED_VALUE"""),"Resolución")</f>
        <v>Resolución</v>
      </c>
      <c r="H41" s="10" t="str">
        <f ca="1">IFERROR(__xludf.DUMMYFUNCTION("""COMPUTED_VALUE"""),"BONO ASEO EXTERNALIZADO")</f>
        <v>BONO ASEO EXTERNALIZADO</v>
      </c>
      <c r="I41" s="10" t="str">
        <f ca="1">IFERROR(__xludf.DUMMYFUNCTION("""COMPUTED_VALUE"""),"Cumplir con normativa y reglamentos internos del programa en base a los objetivos.")</f>
        <v>Cumplir con normativa y reglamentos internos del programa en base a los objetivos.</v>
      </c>
      <c r="J41" s="11">
        <f ca="1">IFERROR(__xludf.DUMMYFUNCTION("""COMPUTED_VALUE"""),62481888)</f>
        <v>62481888</v>
      </c>
      <c r="K41" s="27">
        <f ca="1">IFERROR(__xludf.DUMMYFUNCTION("""COMPUTED_VALUE"""),1)</f>
        <v>1</v>
      </c>
      <c r="L41" s="28" t="str">
        <f ca="1">IFERROR(__xludf.DUMMYFUNCTION("""COMPUTED_VALUE"""),"5/2024")</f>
        <v>5/2024</v>
      </c>
      <c r="M41" s="10" t="str">
        <f ca="1">IFERROR(__xludf.DUMMYFUNCTION("""COMPUTED_VALUE"""),"Predios Exentos")</f>
        <v>Predios Exentos</v>
      </c>
      <c r="N41" s="1"/>
      <c r="O41" s="1"/>
      <c r="P41" s="1"/>
      <c r="Q41" s="1"/>
      <c r="R41" s="1"/>
      <c r="S41" s="1"/>
      <c r="T41" s="1"/>
      <c r="U41" s="1"/>
      <c r="V41" s="1"/>
      <c r="W41" s="1"/>
      <c r="X41" s="1"/>
      <c r="Y41" s="1"/>
      <c r="Z41" s="1"/>
    </row>
    <row r="42" spans="1:26" ht="12.75" customHeight="1">
      <c r="A42" s="1"/>
      <c r="B42" s="10" t="str">
        <f ca="1">IFERROR(__xludf.DUMMYFUNCTION("""COMPUTED_VALUE"""),"Bono de aseo externalizado 2024")</f>
        <v>Bono de aseo externalizado 2024</v>
      </c>
      <c r="C42" s="26" t="str">
        <f t="shared" ca="1" si="0"/>
        <v xml:space="preserve"> OVALLE</v>
      </c>
      <c r="D42" s="10" t="str">
        <f ca="1">IFERROR(__xludf.DUMMYFUNCTION("""COMPUTED_VALUE"""),"Resolución de Transferencia")</f>
        <v>Resolución de Transferencia</v>
      </c>
      <c r="E42" s="26" t="str">
        <f ca="1">IFERROR(__xludf.DUMMYFUNCTION("""COMPUTED_VALUE"""),"MUNICIPALIDAD DE OVALLE")</f>
        <v>MUNICIPALIDAD DE OVALLE</v>
      </c>
      <c r="F42" s="11">
        <f ca="1">IFERROR(__xludf.DUMMYFUNCTION("""COMPUTED_VALUE"""),169593696)</f>
        <v>169593696</v>
      </c>
      <c r="G42" s="10" t="str">
        <f ca="1">IFERROR(__xludf.DUMMYFUNCTION("""COMPUTED_VALUE"""),"Resolución")</f>
        <v>Resolución</v>
      </c>
      <c r="H42" s="10" t="str">
        <f ca="1">IFERROR(__xludf.DUMMYFUNCTION("""COMPUTED_VALUE"""),"BONO ASEO EXTERNALIZADO")</f>
        <v>BONO ASEO EXTERNALIZADO</v>
      </c>
      <c r="I42" s="10" t="str">
        <f ca="1">IFERROR(__xludf.DUMMYFUNCTION("""COMPUTED_VALUE"""),"Cumplir con normativa y reglamentos internos del programa en base a los objetivos.")</f>
        <v>Cumplir con normativa y reglamentos internos del programa en base a los objetivos.</v>
      </c>
      <c r="J42" s="11">
        <f ca="1">IFERROR(__xludf.DUMMYFUNCTION("""COMPUTED_VALUE"""),169593696)</f>
        <v>169593696</v>
      </c>
      <c r="K42" s="27">
        <f ca="1">IFERROR(__xludf.DUMMYFUNCTION("""COMPUTED_VALUE"""),1)</f>
        <v>1</v>
      </c>
      <c r="L42" s="28" t="str">
        <f ca="1">IFERROR(__xludf.DUMMYFUNCTION("""COMPUTED_VALUE"""),"5/2024")</f>
        <v>5/2024</v>
      </c>
      <c r="M42" s="10" t="str">
        <f ca="1">IFERROR(__xludf.DUMMYFUNCTION("""COMPUTED_VALUE"""),"Predios Exentos")</f>
        <v>Predios Exentos</v>
      </c>
      <c r="N42" s="1"/>
      <c r="O42" s="1"/>
      <c r="P42" s="1"/>
      <c r="Q42" s="1"/>
      <c r="R42" s="1"/>
      <c r="S42" s="1"/>
      <c r="T42" s="1"/>
      <c r="U42" s="1"/>
      <c r="V42" s="1"/>
      <c r="W42" s="1"/>
      <c r="X42" s="1"/>
      <c r="Y42" s="1"/>
      <c r="Z42" s="1"/>
    </row>
    <row r="43" spans="1:26" ht="12.75" customHeight="1">
      <c r="A43" s="1"/>
      <c r="B43" s="10" t="str">
        <f ca="1">IFERROR(__xludf.DUMMYFUNCTION("""COMPUTED_VALUE"""),"Bono de aseo externalizado 2024")</f>
        <v>Bono de aseo externalizado 2024</v>
      </c>
      <c r="C43" s="26" t="str">
        <f t="shared" ca="1" si="0"/>
        <v xml:space="preserve"> VALPARAÍSO</v>
      </c>
      <c r="D43" s="10" t="str">
        <f ca="1">IFERROR(__xludf.DUMMYFUNCTION("""COMPUTED_VALUE"""),"Resolución de Transferencia")</f>
        <v>Resolución de Transferencia</v>
      </c>
      <c r="E43" s="26" t="str">
        <f ca="1">IFERROR(__xludf.DUMMYFUNCTION("""COMPUTED_VALUE"""),"MUNICIPALIDAD DE VALPARAÍSO")</f>
        <v>MUNICIPALIDAD DE VALPARAÍSO</v>
      </c>
      <c r="F43" s="11">
        <f ca="1">IFERROR(__xludf.DUMMYFUNCTION("""COMPUTED_VALUE"""),277821252)</f>
        <v>277821252</v>
      </c>
      <c r="G43" s="10" t="str">
        <f ca="1">IFERROR(__xludf.DUMMYFUNCTION("""COMPUTED_VALUE"""),"Resolución")</f>
        <v>Resolución</v>
      </c>
      <c r="H43" s="10" t="str">
        <f ca="1">IFERROR(__xludf.DUMMYFUNCTION("""COMPUTED_VALUE"""),"BONO ASEO EXTERNALIZADO")</f>
        <v>BONO ASEO EXTERNALIZADO</v>
      </c>
      <c r="I43" s="10" t="str">
        <f ca="1">IFERROR(__xludf.DUMMYFUNCTION("""COMPUTED_VALUE"""),"Cumplir con normativa y reglamentos internos del programa en base a los objetivos.")</f>
        <v>Cumplir con normativa y reglamentos internos del programa en base a los objetivos.</v>
      </c>
      <c r="J43" s="11">
        <f ca="1">IFERROR(__xludf.DUMMYFUNCTION("""COMPUTED_VALUE"""),277821252)</f>
        <v>277821252</v>
      </c>
      <c r="K43" s="27">
        <f ca="1">IFERROR(__xludf.DUMMYFUNCTION("""COMPUTED_VALUE"""),1)</f>
        <v>1</v>
      </c>
      <c r="L43" s="28" t="str">
        <f ca="1">IFERROR(__xludf.DUMMYFUNCTION("""COMPUTED_VALUE"""),"5/2024")</f>
        <v>5/2024</v>
      </c>
      <c r="M43" s="10" t="str">
        <f ca="1">IFERROR(__xludf.DUMMYFUNCTION("""COMPUTED_VALUE"""),"Predios Exentos")</f>
        <v>Predios Exentos</v>
      </c>
      <c r="N43" s="1"/>
      <c r="O43" s="1"/>
      <c r="P43" s="1"/>
      <c r="Q43" s="1"/>
      <c r="R43" s="1"/>
      <c r="S43" s="1"/>
      <c r="T43" s="1"/>
      <c r="U43" s="1"/>
      <c r="V43" s="1"/>
      <c r="W43" s="1"/>
      <c r="X43" s="1"/>
      <c r="Y43" s="1"/>
      <c r="Z43" s="1"/>
    </row>
    <row r="44" spans="1:26" ht="12.75" customHeight="1">
      <c r="A44" s="1"/>
      <c r="B44" s="10" t="str">
        <f ca="1">IFERROR(__xludf.DUMMYFUNCTION("""COMPUTED_VALUE"""),"Bono de aseo externalizado 2024")</f>
        <v>Bono de aseo externalizado 2024</v>
      </c>
      <c r="C44" s="26" t="str">
        <f t="shared" ca="1" si="0"/>
        <v xml:space="preserve"> CASABLANCA</v>
      </c>
      <c r="D44" s="10" t="str">
        <f ca="1">IFERROR(__xludf.DUMMYFUNCTION("""COMPUTED_VALUE"""),"Resolución de Transferencia")</f>
        <v>Resolución de Transferencia</v>
      </c>
      <c r="E44" s="26" t="str">
        <f ca="1">IFERROR(__xludf.DUMMYFUNCTION("""COMPUTED_VALUE"""),"MUNICIPALIDAD DE CASABLANCA")</f>
        <v>MUNICIPALIDAD DE CASABLANCA</v>
      </c>
      <c r="F44" s="11">
        <f ca="1">IFERROR(__xludf.DUMMYFUNCTION("""COMPUTED_VALUE"""),23430708)</f>
        <v>23430708</v>
      </c>
      <c r="G44" s="10" t="str">
        <f ca="1">IFERROR(__xludf.DUMMYFUNCTION("""COMPUTED_VALUE"""),"Resolución")</f>
        <v>Resolución</v>
      </c>
      <c r="H44" s="10" t="str">
        <f ca="1">IFERROR(__xludf.DUMMYFUNCTION("""COMPUTED_VALUE"""),"BONO ASEO EXTERNALIZADO")</f>
        <v>BONO ASEO EXTERNALIZADO</v>
      </c>
      <c r="I44" s="10" t="str">
        <f ca="1">IFERROR(__xludf.DUMMYFUNCTION("""COMPUTED_VALUE"""),"Cumplir con normativa y reglamentos internos del programa en base a los objetivos.")</f>
        <v>Cumplir con normativa y reglamentos internos del programa en base a los objetivos.</v>
      </c>
      <c r="J44" s="11">
        <f ca="1">IFERROR(__xludf.DUMMYFUNCTION("""COMPUTED_VALUE"""),23430708)</f>
        <v>23430708</v>
      </c>
      <c r="K44" s="27">
        <f ca="1">IFERROR(__xludf.DUMMYFUNCTION("""COMPUTED_VALUE"""),1)</f>
        <v>1</v>
      </c>
      <c r="L44" s="28" t="str">
        <f ca="1">IFERROR(__xludf.DUMMYFUNCTION("""COMPUTED_VALUE"""),"5/2024")</f>
        <v>5/2024</v>
      </c>
      <c r="M44" s="10" t="str">
        <f ca="1">IFERROR(__xludf.DUMMYFUNCTION("""COMPUTED_VALUE"""),"Predios Exentos")</f>
        <v>Predios Exentos</v>
      </c>
      <c r="N44" s="1"/>
      <c r="O44" s="1"/>
      <c r="P44" s="1"/>
      <c r="Q44" s="1"/>
      <c r="R44" s="1"/>
      <c r="S44" s="1"/>
      <c r="T44" s="1"/>
      <c r="U44" s="1"/>
      <c r="V44" s="1"/>
      <c r="W44" s="1"/>
      <c r="X44" s="1"/>
      <c r="Y44" s="1"/>
      <c r="Z44" s="1"/>
    </row>
    <row r="45" spans="1:26" ht="12.75" customHeight="1">
      <c r="A45" s="1"/>
      <c r="B45" s="10" t="str">
        <f ca="1">IFERROR(__xludf.DUMMYFUNCTION("""COMPUTED_VALUE"""),"Bono de aseo externalizado 2024")</f>
        <v>Bono de aseo externalizado 2024</v>
      </c>
      <c r="C45" s="26" t="str">
        <f t="shared" ca="1" si="0"/>
        <v xml:space="preserve"> CONCÓN</v>
      </c>
      <c r="D45" s="10" t="str">
        <f ca="1">IFERROR(__xludf.DUMMYFUNCTION("""COMPUTED_VALUE"""),"Resolución de Transferencia")</f>
        <v>Resolución de Transferencia</v>
      </c>
      <c r="E45" s="26" t="str">
        <f ca="1">IFERROR(__xludf.DUMMYFUNCTION("""COMPUTED_VALUE"""),"MUNICIPALIDAD DE CONCÓN")</f>
        <v>MUNICIPALIDAD DE CONCÓN</v>
      </c>
      <c r="F45" s="11">
        <f ca="1">IFERROR(__xludf.DUMMYFUNCTION("""COMPUTED_VALUE"""),100417320)</f>
        <v>100417320</v>
      </c>
      <c r="G45" s="10" t="str">
        <f ca="1">IFERROR(__xludf.DUMMYFUNCTION("""COMPUTED_VALUE"""),"Resolución")</f>
        <v>Resolución</v>
      </c>
      <c r="H45" s="10" t="str">
        <f ca="1">IFERROR(__xludf.DUMMYFUNCTION("""COMPUTED_VALUE"""),"BONO ASEO EXTERNALIZADO")</f>
        <v>BONO ASEO EXTERNALIZADO</v>
      </c>
      <c r="I45" s="10" t="str">
        <f ca="1">IFERROR(__xludf.DUMMYFUNCTION("""COMPUTED_VALUE"""),"Cumplir con normativa y reglamentos internos del programa en base a los objetivos.")</f>
        <v>Cumplir con normativa y reglamentos internos del programa en base a los objetivos.</v>
      </c>
      <c r="J45" s="11">
        <f ca="1">IFERROR(__xludf.DUMMYFUNCTION("""COMPUTED_VALUE"""),100417320)</f>
        <v>100417320</v>
      </c>
      <c r="K45" s="27">
        <f ca="1">IFERROR(__xludf.DUMMYFUNCTION("""COMPUTED_VALUE"""),1)</f>
        <v>1</v>
      </c>
      <c r="L45" s="28" t="str">
        <f ca="1">IFERROR(__xludf.DUMMYFUNCTION("""COMPUTED_VALUE"""),"5/2024")</f>
        <v>5/2024</v>
      </c>
      <c r="M45" s="10" t="str">
        <f ca="1">IFERROR(__xludf.DUMMYFUNCTION("""COMPUTED_VALUE"""),"Predios Exentos")</f>
        <v>Predios Exentos</v>
      </c>
      <c r="N45" s="1"/>
      <c r="O45" s="1"/>
      <c r="P45" s="1"/>
      <c r="Q45" s="1"/>
      <c r="R45" s="1"/>
      <c r="S45" s="1"/>
      <c r="T45" s="1"/>
      <c r="U45" s="1"/>
      <c r="V45" s="1"/>
      <c r="W45" s="1"/>
      <c r="X45" s="1"/>
      <c r="Y45" s="1"/>
      <c r="Z45" s="1"/>
    </row>
    <row r="46" spans="1:26" ht="12.75" customHeight="1">
      <c r="A46" s="1"/>
      <c r="B46" s="10" t="str">
        <f ca="1">IFERROR(__xludf.DUMMYFUNCTION("""COMPUTED_VALUE"""),"Bono de aseo externalizado 2024")</f>
        <v>Bono de aseo externalizado 2024</v>
      </c>
      <c r="C46" s="26" t="str">
        <f t="shared" ca="1" si="0"/>
        <v xml:space="preserve"> JUAN FERNÁNDEZ</v>
      </c>
      <c r="D46" s="10" t="str">
        <f ca="1">IFERROR(__xludf.DUMMYFUNCTION("""COMPUTED_VALUE"""),"Resolución de Transferencia")</f>
        <v>Resolución de Transferencia</v>
      </c>
      <c r="E46" s="26" t="str">
        <f ca="1">IFERROR(__xludf.DUMMYFUNCTION("""COMPUTED_VALUE"""),"MUNICIPALIDAD DE JUAN FERNÁNDEZ")</f>
        <v>MUNICIPALIDAD DE JUAN FERNÁNDEZ</v>
      </c>
      <c r="F46" s="11">
        <f ca="1">IFERROR(__xludf.DUMMYFUNCTION("""COMPUTED_VALUE"""),6694488)</f>
        <v>6694488</v>
      </c>
      <c r="G46" s="10" t="str">
        <f ca="1">IFERROR(__xludf.DUMMYFUNCTION("""COMPUTED_VALUE"""),"Resolución")</f>
        <v>Resolución</v>
      </c>
      <c r="H46" s="10" t="str">
        <f ca="1">IFERROR(__xludf.DUMMYFUNCTION("""COMPUTED_VALUE"""),"BONO ASEO EXTERNALIZADO")</f>
        <v>BONO ASEO EXTERNALIZADO</v>
      </c>
      <c r="I46" s="10" t="str">
        <f ca="1">IFERROR(__xludf.DUMMYFUNCTION("""COMPUTED_VALUE"""),"Cumplir con normativa y reglamentos internos del programa en base a los objetivos.")</f>
        <v>Cumplir con normativa y reglamentos internos del programa en base a los objetivos.</v>
      </c>
      <c r="J46" s="11">
        <f ca="1">IFERROR(__xludf.DUMMYFUNCTION("""COMPUTED_VALUE"""),6694488)</f>
        <v>6694488</v>
      </c>
      <c r="K46" s="27">
        <f ca="1">IFERROR(__xludf.DUMMYFUNCTION("""COMPUTED_VALUE"""),1)</f>
        <v>1</v>
      </c>
      <c r="L46" s="28" t="str">
        <f ca="1">IFERROR(__xludf.DUMMYFUNCTION("""COMPUTED_VALUE"""),"5/2024")</f>
        <v>5/2024</v>
      </c>
      <c r="M46" s="10" t="str">
        <f ca="1">IFERROR(__xludf.DUMMYFUNCTION("""COMPUTED_VALUE"""),"Predios Exentos")</f>
        <v>Predios Exentos</v>
      </c>
      <c r="N46" s="1"/>
      <c r="O46" s="1"/>
      <c r="P46" s="1"/>
      <c r="Q46" s="1"/>
      <c r="R46" s="1"/>
      <c r="S46" s="1"/>
      <c r="T46" s="1"/>
      <c r="U46" s="1"/>
      <c r="V46" s="1"/>
      <c r="W46" s="1"/>
      <c r="X46" s="1"/>
      <c r="Y46" s="1"/>
      <c r="Z46" s="1"/>
    </row>
    <row r="47" spans="1:26" ht="12.75" customHeight="1">
      <c r="A47" s="1"/>
      <c r="B47" s="10" t="str">
        <f ca="1">IFERROR(__xludf.DUMMYFUNCTION("""COMPUTED_VALUE"""),"Bono de aseo externalizado 2024")</f>
        <v>Bono de aseo externalizado 2024</v>
      </c>
      <c r="C47" s="26" t="str">
        <f t="shared" ca="1" si="0"/>
        <v xml:space="preserve"> PUCHUNCAVÍ</v>
      </c>
      <c r="D47" s="10" t="str">
        <f ca="1">IFERROR(__xludf.DUMMYFUNCTION("""COMPUTED_VALUE"""),"Resolución de Transferencia")</f>
        <v>Resolución de Transferencia</v>
      </c>
      <c r="E47" s="26" t="str">
        <f ca="1">IFERROR(__xludf.DUMMYFUNCTION("""COMPUTED_VALUE"""),"MUNICIPALIDAD DE PUCHUNCAVÍ")</f>
        <v>MUNICIPALIDAD DE PUCHUNCAVÍ</v>
      </c>
      <c r="F47" s="11">
        <f ca="1">IFERROR(__xludf.DUMMYFUNCTION("""COMPUTED_VALUE"""),76986612)</f>
        <v>76986612</v>
      </c>
      <c r="G47" s="10" t="str">
        <f ca="1">IFERROR(__xludf.DUMMYFUNCTION("""COMPUTED_VALUE"""),"Resolución")</f>
        <v>Resolución</v>
      </c>
      <c r="H47" s="10" t="str">
        <f ca="1">IFERROR(__xludf.DUMMYFUNCTION("""COMPUTED_VALUE"""),"BONO ASEO EXTERNALIZADO")</f>
        <v>BONO ASEO EXTERNALIZADO</v>
      </c>
      <c r="I47" s="10" t="str">
        <f ca="1">IFERROR(__xludf.DUMMYFUNCTION("""COMPUTED_VALUE"""),"Cumplir con normativa y reglamentos internos del programa en base a los objetivos.")</f>
        <v>Cumplir con normativa y reglamentos internos del programa en base a los objetivos.</v>
      </c>
      <c r="J47" s="11">
        <f ca="1">IFERROR(__xludf.DUMMYFUNCTION("""COMPUTED_VALUE"""),76986612)</f>
        <v>76986612</v>
      </c>
      <c r="K47" s="27">
        <f ca="1">IFERROR(__xludf.DUMMYFUNCTION("""COMPUTED_VALUE"""),1)</f>
        <v>1</v>
      </c>
      <c r="L47" s="28" t="str">
        <f ca="1">IFERROR(__xludf.DUMMYFUNCTION("""COMPUTED_VALUE"""),"5/2024")</f>
        <v>5/2024</v>
      </c>
      <c r="M47" s="10" t="str">
        <f ca="1">IFERROR(__xludf.DUMMYFUNCTION("""COMPUTED_VALUE"""),"Predios Exentos")</f>
        <v>Predios Exentos</v>
      </c>
      <c r="N47" s="1"/>
      <c r="O47" s="1"/>
      <c r="P47" s="1"/>
      <c r="Q47" s="1"/>
      <c r="R47" s="1"/>
      <c r="S47" s="1"/>
      <c r="T47" s="1"/>
      <c r="U47" s="1"/>
      <c r="V47" s="1"/>
      <c r="W47" s="1"/>
      <c r="X47" s="1"/>
      <c r="Y47" s="1"/>
      <c r="Z47" s="1"/>
    </row>
    <row r="48" spans="1:26" ht="12.75" customHeight="1">
      <c r="A48" s="1"/>
      <c r="B48" s="10" t="str">
        <f ca="1">IFERROR(__xludf.DUMMYFUNCTION("""COMPUTED_VALUE"""),"Bono de aseo externalizado 2024")</f>
        <v>Bono de aseo externalizado 2024</v>
      </c>
      <c r="C48" s="26" t="str">
        <f t="shared" ca="1" si="0"/>
        <v xml:space="preserve"> VIÑA DEL MAR</v>
      </c>
      <c r="D48" s="10" t="str">
        <f ca="1">IFERROR(__xludf.DUMMYFUNCTION("""COMPUTED_VALUE"""),"Resolución de Transferencia")</f>
        <v>Resolución de Transferencia</v>
      </c>
      <c r="E48" s="26" t="str">
        <f ca="1">IFERROR(__xludf.DUMMYFUNCTION("""COMPUTED_VALUE"""),"MUNICIPALIDAD DE VIÑA DEL MAR")</f>
        <v>MUNICIPALIDAD DE VIÑA DEL MAR</v>
      </c>
      <c r="F48" s="11">
        <f ca="1">IFERROR(__xludf.DUMMYFUNCTION("""COMPUTED_VALUE"""),709615728)</f>
        <v>709615728</v>
      </c>
      <c r="G48" s="10" t="str">
        <f ca="1">IFERROR(__xludf.DUMMYFUNCTION("""COMPUTED_VALUE"""),"Resolución")</f>
        <v>Resolución</v>
      </c>
      <c r="H48" s="10" t="str">
        <f ca="1">IFERROR(__xludf.DUMMYFUNCTION("""COMPUTED_VALUE"""),"BONO ASEO EXTERNALIZADO")</f>
        <v>BONO ASEO EXTERNALIZADO</v>
      </c>
      <c r="I48" s="10" t="str">
        <f ca="1">IFERROR(__xludf.DUMMYFUNCTION("""COMPUTED_VALUE"""),"Cumplir con normativa y reglamentos internos del programa en base a los objetivos.")</f>
        <v>Cumplir con normativa y reglamentos internos del programa en base a los objetivos.</v>
      </c>
      <c r="J48" s="11">
        <f ca="1">IFERROR(__xludf.DUMMYFUNCTION("""COMPUTED_VALUE"""),709615728)</f>
        <v>709615728</v>
      </c>
      <c r="K48" s="27">
        <f ca="1">IFERROR(__xludf.DUMMYFUNCTION("""COMPUTED_VALUE"""),1)</f>
        <v>1</v>
      </c>
      <c r="L48" s="28" t="str">
        <f ca="1">IFERROR(__xludf.DUMMYFUNCTION("""COMPUTED_VALUE"""),"5/2024")</f>
        <v>5/2024</v>
      </c>
      <c r="M48" s="10" t="str">
        <f ca="1">IFERROR(__xludf.DUMMYFUNCTION("""COMPUTED_VALUE"""),"Predios Exentos")</f>
        <v>Predios Exentos</v>
      </c>
      <c r="N48" s="1"/>
      <c r="O48" s="1"/>
      <c r="P48" s="1"/>
      <c r="Q48" s="1"/>
      <c r="R48" s="1"/>
      <c r="S48" s="1"/>
      <c r="T48" s="1"/>
      <c r="U48" s="1"/>
      <c r="V48" s="1"/>
      <c r="W48" s="1"/>
      <c r="X48" s="1"/>
      <c r="Y48" s="1"/>
      <c r="Z48" s="1"/>
    </row>
    <row r="49" spans="1:26" ht="12.75" customHeight="1">
      <c r="A49" s="1"/>
      <c r="B49" s="10" t="str">
        <f ca="1">IFERROR(__xludf.DUMMYFUNCTION("""COMPUTED_VALUE"""),"Bono de aseo externalizado 2024")</f>
        <v>Bono de aseo externalizado 2024</v>
      </c>
      <c r="C49" s="26" t="str">
        <f t="shared" ca="1" si="0"/>
        <v xml:space="preserve"> LOS ANDES</v>
      </c>
      <c r="D49" s="10" t="str">
        <f ca="1">IFERROR(__xludf.DUMMYFUNCTION("""COMPUTED_VALUE"""),"Resolución de Transferencia")</f>
        <v>Resolución de Transferencia</v>
      </c>
      <c r="E49" s="26" t="str">
        <f ca="1">IFERROR(__xludf.DUMMYFUNCTION("""COMPUTED_VALUE"""),"MUNICIPALIDAD DE LOS ANDES")</f>
        <v>MUNICIPALIDAD DE LOS ANDES</v>
      </c>
      <c r="F49" s="11">
        <f ca="1">IFERROR(__xludf.DUMMYFUNCTION("""COMPUTED_VALUE"""),73639368)</f>
        <v>73639368</v>
      </c>
      <c r="G49" s="10" t="str">
        <f ca="1">IFERROR(__xludf.DUMMYFUNCTION("""COMPUTED_VALUE"""),"Resolución")</f>
        <v>Resolución</v>
      </c>
      <c r="H49" s="10" t="str">
        <f ca="1">IFERROR(__xludf.DUMMYFUNCTION("""COMPUTED_VALUE"""),"BONO ASEO EXTERNALIZADO")</f>
        <v>BONO ASEO EXTERNALIZADO</v>
      </c>
      <c r="I49" s="10" t="str">
        <f ca="1">IFERROR(__xludf.DUMMYFUNCTION("""COMPUTED_VALUE"""),"Cumplir con normativa y reglamentos internos del programa en base a los objetivos.")</f>
        <v>Cumplir con normativa y reglamentos internos del programa en base a los objetivos.</v>
      </c>
      <c r="J49" s="11">
        <f ca="1">IFERROR(__xludf.DUMMYFUNCTION("""COMPUTED_VALUE"""),73639368)</f>
        <v>73639368</v>
      </c>
      <c r="K49" s="27">
        <f ca="1">IFERROR(__xludf.DUMMYFUNCTION("""COMPUTED_VALUE"""),1)</f>
        <v>1</v>
      </c>
      <c r="L49" s="28" t="str">
        <f ca="1">IFERROR(__xludf.DUMMYFUNCTION("""COMPUTED_VALUE"""),"5/2024")</f>
        <v>5/2024</v>
      </c>
      <c r="M49" s="10" t="str">
        <f ca="1">IFERROR(__xludf.DUMMYFUNCTION("""COMPUTED_VALUE"""),"Predios Exentos")</f>
        <v>Predios Exentos</v>
      </c>
      <c r="N49" s="1"/>
      <c r="O49" s="1"/>
      <c r="P49" s="1"/>
      <c r="Q49" s="1"/>
      <c r="R49" s="1"/>
      <c r="S49" s="1"/>
      <c r="T49" s="1"/>
      <c r="U49" s="1"/>
      <c r="V49" s="1"/>
      <c r="W49" s="1"/>
      <c r="X49" s="1"/>
      <c r="Y49" s="1"/>
      <c r="Z49" s="1"/>
    </row>
    <row r="50" spans="1:26" ht="12.75" customHeight="1">
      <c r="A50" s="1"/>
      <c r="B50" s="10" t="str">
        <f ca="1">IFERROR(__xludf.DUMMYFUNCTION("""COMPUTED_VALUE"""),"Bono de aseo externalizado 2024")</f>
        <v>Bono de aseo externalizado 2024</v>
      </c>
      <c r="C50" s="26" t="str">
        <f t="shared" ca="1" si="0"/>
        <v xml:space="preserve"> CALLE LARGA</v>
      </c>
      <c r="D50" s="10" t="str">
        <f ca="1">IFERROR(__xludf.DUMMYFUNCTION("""COMPUTED_VALUE"""),"Resolución de Transferencia")</f>
        <v>Resolución de Transferencia</v>
      </c>
      <c r="E50" s="26" t="str">
        <f ca="1">IFERROR(__xludf.DUMMYFUNCTION("""COMPUTED_VALUE"""),"MUNICIPALIDAD DE CALLE LARGA")</f>
        <v>MUNICIPALIDAD DE CALLE LARGA</v>
      </c>
      <c r="F50" s="11">
        <f ca="1">IFERROR(__xludf.DUMMYFUNCTION("""COMPUTED_VALUE"""),17851968)</f>
        <v>17851968</v>
      </c>
      <c r="G50" s="10" t="str">
        <f ca="1">IFERROR(__xludf.DUMMYFUNCTION("""COMPUTED_VALUE"""),"Resolución")</f>
        <v>Resolución</v>
      </c>
      <c r="H50" s="10" t="str">
        <f ca="1">IFERROR(__xludf.DUMMYFUNCTION("""COMPUTED_VALUE"""),"BONO ASEO EXTERNALIZADO")</f>
        <v>BONO ASEO EXTERNALIZADO</v>
      </c>
      <c r="I50" s="10" t="str">
        <f ca="1">IFERROR(__xludf.DUMMYFUNCTION("""COMPUTED_VALUE"""),"Cumplir con normativa y reglamentos internos del programa en base a los objetivos.")</f>
        <v>Cumplir con normativa y reglamentos internos del programa en base a los objetivos.</v>
      </c>
      <c r="J50" s="11">
        <f ca="1">IFERROR(__xludf.DUMMYFUNCTION("""COMPUTED_VALUE"""),17851968)</f>
        <v>17851968</v>
      </c>
      <c r="K50" s="27">
        <f ca="1">IFERROR(__xludf.DUMMYFUNCTION("""COMPUTED_VALUE"""),1)</f>
        <v>1</v>
      </c>
      <c r="L50" s="28" t="str">
        <f ca="1">IFERROR(__xludf.DUMMYFUNCTION("""COMPUTED_VALUE"""),"5/2024")</f>
        <v>5/2024</v>
      </c>
      <c r="M50" s="10" t="str">
        <f ca="1">IFERROR(__xludf.DUMMYFUNCTION("""COMPUTED_VALUE"""),"Predios Exentos")</f>
        <v>Predios Exentos</v>
      </c>
      <c r="N50" s="1"/>
      <c r="O50" s="1"/>
      <c r="P50" s="1"/>
      <c r="Q50" s="1"/>
      <c r="R50" s="1"/>
      <c r="S50" s="1"/>
      <c r="T50" s="1"/>
      <c r="U50" s="1"/>
      <c r="V50" s="1"/>
      <c r="W50" s="1"/>
      <c r="X50" s="1"/>
      <c r="Y50" s="1"/>
      <c r="Z50" s="1"/>
    </row>
    <row r="51" spans="1:26" ht="12.75" customHeight="1">
      <c r="A51" s="1"/>
      <c r="B51" s="10" t="str">
        <f ca="1">IFERROR(__xludf.DUMMYFUNCTION("""COMPUTED_VALUE"""),"Bono de aseo externalizado 2024")</f>
        <v>Bono de aseo externalizado 2024</v>
      </c>
      <c r="C51" s="26" t="str">
        <f t="shared" ca="1" si="0"/>
        <v xml:space="preserve"> SAN ESTEBAN</v>
      </c>
      <c r="D51" s="10" t="str">
        <f ca="1">IFERROR(__xludf.DUMMYFUNCTION("""COMPUTED_VALUE"""),"Resolución de Transferencia")</f>
        <v>Resolución de Transferencia</v>
      </c>
      <c r="E51" s="26" t="str">
        <f ca="1">IFERROR(__xludf.DUMMYFUNCTION("""COMPUTED_VALUE"""),"MUNICIPALIDAD DE SAN ESTEBAN")</f>
        <v>MUNICIPALIDAD DE SAN ESTEBAN</v>
      </c>
      <c r="F51" s="11">
        <f ca="1">IFERROR(__xludf.DUMMYFUNCTION("""COMPUTED_VALUE"""),17851968)</f>
        <v>17851968</v>
      </c>
      <c r="G51" s="10" t="str">
        <f ca="1">IFERROR(__xludf.DUMMYFUNCTION("""COMPUTED_VALUE"""),"Resolución")</f>
        <v>Resolución</v>
      </c>
      <c r="H51" s="10" t="str">
        <f ca="1">IFERROR(__xludf.DUMMYFUNCTION("""COMPUTED_VALUE"""),"BONO ASEO EXTERNALIZADO")</f>
        <v>BONO ASEO EXTERNALIZADO</v>
      </c>
      <c r="I51" s="10" t="str">
        <f ca="1">IFERROR(__xludf.DUMMYFUNCTION("""COMPUTED_VALUE"""),"Cumplir con normativa y reglamentos internos del programa en base a los objetivos.")</f>
        <v>Cumplir con normativa y reglamentos internos del programa en base a los objetivos.</v>
      </c>
      <c r="J51" s="11">
        <f ca="1">IFERROR(__xludf.DUMMYFUNCTION("""COMPUTED_VALUE"""),17851968)</f>
        <v>17851968</v>
      </c>
      <c r="K51" s="27">
        <f ca="1">IFERROR(__xludf.DUMMYFUNCTION("""COMPUTED_VALUE"""),1)</f>
        <v>1</v>
      </c>
      <c r="L51" s="28" t="str">
        <f ca="1">IFERROR(__xludf.DUMMYFUNCTION("""COMPUTED_VALUE"""),"5/2024")</f>
        <v>5/2024</v>
      </c>
      <c r="M51" s="10" t="str">
        <f ca="1">IFERROR(__xludf.DUMMYFUNCTION("""COMPUTED_VALUE"""),"Predios Exentos")</f>
        <v>Predios Exentos</v>
      </c>
      <c r="N51" s="1"/>
      <c r="O51" s="1"/>
      <c r="P51" s="1"/>
      <c r="Q51" s="1"/>
      <c r="R51" s="1"/>
      <c r="S51" s="1"/>
      <c r="T51" s="1"/>
      <c r="U51" s="1"/>
      <c r="V51" s="1"/>
      <c r="W51" s="1"/>
      <c r="X51" s="1"/>
      <c r="Y51" s="1"/>
      <c r="Z51" s="1"/>
    </row>
    <row r="52" spans="1:26" ht="12.75" customHeight="1">
      <c r="A52" s="1"/>
      <c r="B52" s="10" t="str">
        <f ca="1">IFERROR(__xludf.DUMMYFUNCTION("""COMPUTED_VALUE"""),"Bono de aseo externalizado 2024")</f>
        <v>Bono de aseo externalizado 2024</v>
      </c>
      <c r="C52" s="26" t="str">
        <f t="shared" ca="1" si="0"/>
        <v xml:space="preserve"> LA LIGUA</v>
      </c>
      <c r="D52" s="10" t="str">
        <f ca="1">IFERROR(__xludf.DUMMYFUNCTION("""COMPUTED_VALUE"""),"Resolución de Transferencia")</f>
        <v>Resolución de Transferencia</v>
      </c>
      <c r="E52" s="26" t="str">
        <f ca="1">IFERROR(__xludf.DUMMYFUNCTION("""COMPUTED_VALUE"""),"MUNICIPALIDAD DE LA LIGUA")</f>
        <v>MUNICIPALIDAD DE LA LIGUA</v>
      </c>
      <c r="F52" s="11">
        <f ca="1">IFERROR(__xludf.DUMMYFUNCTION("""COMPUTED_VALUE"""),73639368)</f>
        <v>73639368</v>
      </c>
      <c r="G52" s="10" t="str">
        <f ca="1">IFERROR(__xludf.DUMMYFUNCTION("""COMPUTED_VALUE"""),"Resolución")</f>
        <v>Resolución</v>
      </c>
      <c r="H52" s="10" t="str">
        <f ca="1">IFERROR(__xludf.DUMMYFUNCTION("""COMPUTED_VALUE"""),"BONO ASEO EXTERNALIZADO")</f>
        <v>BONO ASEO EXTERNALIZADO</v>
      </c>
      <c r="I52" s="10" t="str">
        <f ca="1">IFERROR(__xludf.DUMMYFUNCTION("""COMPUTED_VALUE"""),"Cumplir con normativa y reglamentos internos del programa en base a los objetivos.")</f>
        <v>Cumplir con normativa y reglamentos internos del programa en base a los objetivos.</v>
      </c>
      <c r="J52" s="11">
        <f ca="1">IFERROR(__xludf.DUMMYFUNCTION("""COMPUTED_VALUE"""),73639368)</f>
        <v>73639368</v>
      </c>
      <c r="K52" s="27">
        <f ca="1">IFERROR(__xludf.DUMMYFUNCTION("""COMPUTED_VALUE"""),1)</f>
        <v>1</v>
      </c>
      <c r="L52" s="28" t="str">
        <f ca="1">IFERROR(__xludf.DUMMYFUNCTION("""COMPUTED_VALUE"""),"5/2024")</f>
        <v>5/2024</v>
      </c>
      <c r="M52" s="10" t="str">
        <f ca="1">IFERROR(__xludf.DUMMYFUNCTION("""COMPUTED_VALUE"""),"Predios Exentos")</f>
        <v>Predios Exentos</v>
      </c>
      <c r="N52" s="1"/>
      <c r="O52" s="1"/>
      <c r="P52" s="1"/>
      <c r="Q52" s="1"/>
      <c r="R52" s="1"/>
      <c r="S52" s="1"/>
      <c r="T52" s="1"/>
      <c r="U52" s="1"/>
      <c r="V52" s="1"/>
      <c r="W52" s="1"/>
      <c r="X52" s="1"/>
      <c r="Y52" s="1"/>
      <c r="Z52" s="1"/>
    </row>
    <row r="53" spans="1:26" ht="12.75" customHeight="1">
      <c r="A53" s="1"/>
      <c r="B53" s="10" t="str">
        <f ca="1">IFERROR(__xludf.DUMMYFUNCTION("""COMPUTED_VALUE"""),"Bono de aseo externalizado 2024")</f>
        <v>Bono de aseo externalizado 2024</v>
      </c>
      <c r="C53" s="26" t="str">
        <f t="shared" ca="1" si="0"/>
        <v xml:space="preserve"> CABILDO</v>
      </c>
      <c r="D53" s="10" t="str">
        <f ca="1">IFERROR(__xludf.DUMMYFUNCTION("""COMPUTED_VALUE"""),"Resolución de Transferencia")</f>
        <v>Resolución de Transferencia</v>
      </c>
      <c r="E53" s="26" t="str">
        <f ca="1">IFERROR(__xludf.DUMMYFUNCTION("""COMPUTED_VALUE"""),"MUNICIPALIDAD DE CABILDO")</f>
        <v>MUNICIPALIDAD DE CABILDO</v>
      </c>
      <c r="F53" s="11">
        <f ca="1">IFERROR(__xludf.DUMMYFUNCTION("""COMPUTED_VALUE"""),21199212)</f>
        <v>21199212</v>
      </c>
      <c r="G53" s="10" t="str">
        <f ca="1">IFERROR(__xludf.DUMMYFUNCTION("""COMPUTED_VALUE"""),"Resolución")</f>
        <v>Resolución</v>
      </c>
      <c r="H53" s="10" t="str">
        <f ca="1">IFERROR(__xludf.DUMMYFUNCTION("""COMPUTED_VALUE"""),"BONO ASEO EXTERNALIZADO")</f>
        <v>BONO ASEO EXTERNALIZADO</v>
      </c>
      <c r="I53" s="10" t="str">
        <f ca="1">IFERROR(__xludf.DUMMYFUNCTION("""COMPUTED_VALUE"""),"Cumplir con normativa y reglamentos internos del programa en base a los objetivos.")</f>
        <v>Cumplir con normativa y reglamentos internos del programa en base a los objetivos.</v>
      </c>
      <c r="J53" s="11">
        <f ca="1">IFERROR(__xludf.DUMMYFUNCTION("""COMPUTED_VALUE"""),21199212)</f>
        <v>21199212</v>
      </c>
      <c r="K53" s="27">
        <f ca="1">IFERROR(__xludf.DUMMYFUNCTION("""COMPUTED_VALUE"""),1)</f>
        <v>1</v>
      </c>
      <c r="L53" s="28" t="str">
        <f ca="1">IFERROR(__xludf.DUMMYFUNCTION("""COMPUTED_VALUE"""),"5/2024")</f>
        <v>5/2024</v>
      </c>
      <c r="M53" s="10" t="str">
        <f ca="1">IFERROR(__xludf.DUMMYFUNCTION("""COMPUTED_VALUE"""),"Predios Exentos")</f>
        <v>Predios Exentos</v>
      </c>
      <c r="N53" s="1"/>
      <c r="O53" s="1"/>
      <c r="P53" s="1"/>
      <c r="Q53" s="1"/>
      <c r="R53" s="1"/>
      <c r="S53" s="1"/>
      <c r="T53" s="1"/>
      <c r="U53" s="1"/>
      <c r="V53" s="1"/>
      <c r="W53" s="1"/>
      <c r="X53" s="1"/>
      <c r="Y53" s="1"/>
      <c r="Z53" s="1"/>
    </row>
    <row r="54" spans="1:26" ht="12.75" customHeight="1">
      <c r="A54" s="1"/>
      <c r="B54" s="10" t="str">
        <f ca="1">IFERROR(__xludf.DUMMYFUNCTION("""COMPUTED_VALUE"""),"Bono de aseo externalizado 2024")</f>
        <v>Bono de aseo externalizado 2024</v>
      </c>
      <c r="C54" s="26" t="str">
        <f t="shared" ca="1" si="0"/>
        <v xml:space="preserve"> PAPUDO</v>
      </c>
      <c r="D54" s="10" t="str">
        <f ca="1">IFERROR(__xludf.DUMMYFUNCTION("""COMPUTED_VALUE"""),"Resolución de Transferencia")</f>
        <v>Resolución de Transferencia</v>
      </c>
      <c r="E54" s="26" t="str">
        <f ca="1">IFERROR(__xludf.DUMMYFUNCTION("""COMPUTED_VALUE"""),"MUNICIPALIDAD DE PAPUDO")</f>
        <v>MUNICIPALIDAD DE PAPUDO</v>
      </c>
      <c r="F54" s="11">
        <f ca="1">IFERROR(__xludf.DUMMYFUNCTION("""COMPUTED_VALUE"""),18967716)</f>
        <v>18967716</v>
      </c>
      <c r="G54" s="10" t="str">
        <f ca="1">IFERROR(__xludf.DUMMYFUNCTION("""COMPUTED_VALUE"""),"Resolución")</f>
        <v>Resolución</v>
      </c>
      <c r="H54" s="10" t="str">
        <f ca="1">IFERROR(__xludf.DUMMYFUNCTION("""COMPUTED_VALUE"""),"BONO ASEO EXTERNALIZADO")</f>
        <v>BONO ASEO EXTERNALIZADO</v>
      </c>
      <c r="I54" s="10" t="str">
        <f ca="1">IFERROR(__xludf.DUMMYFUNCTION("""COMPUTED_VALUE"""),"Cumplir con normativa y reglamentos internos del programa en base a los objetivos.")</f>
        <v>Cumplir con normativa y reglamentos internos del programa en base a los objetivos.</v>
      </c>
      <c r="J54" s="11">
        <f ca="1">IFERROR(__xludf.DUMMYFUNCTION("""COMPUTED_VALUE"""),18967716)</f>
        <v>18967716</v>
      </c>
      <c r="K54" s="27">
        <f ca="1">IFERROR(__xludf.DUMMYFUNCTION("""COMPUTED_VALUE"""),1)</f>
        <v>1</v>
      </c>
      <c r="L54" s="28" t="str">
        <f ca="1">IFERROR(__xludf.DUMMYFUNCTION("""COMPUTED_VALUE"""),"5/2024")</f>
        <v>5/2024</v>
      </c>
      <c r="M54" s="10" t="str">
        <f ca="1">IFERROR(__xludf.DUMMYFUNCTION("""COMPUTED_VALUE"""),"Predios Exentos")</f>
        <v>Predios Exentos</v>
      </c>
      <c r="N54" s="1"/>
      <c r="O54" s="1"/>
      <c r="P54" s="1"/>
      <c r="Q54" s="1"/>
      <c r="R54" s="1"/>
      <c r="S54" s="1"/>
      <c r="T54" s="1"/>
      <c r="U54" s="1"/>
      <c r="V54" s="1"/>
      <c r="W54" s="1"/>
      <c r="X54" s="1"/>
      <c r="Y54" s="1"/>
      <c r="Z54" s="1"/>
    </row>
    <row r="55" spans="1:26" ht="12.75" customHeight="1">
      <c r="A55" s="1"/>
      <c r="B55" s="10" t="str">
        <f ca="1">IFERROR(__xludf.DUMMYFUNCTION("""COMPUTED_VALUE"""),"Bono de aseo externalizado 2024")</f>
        <v>Bono de aseo externalizado 2024</v>
      </c>
      <c r="C55" s="26" t="str">
        <f t="shared" ca="1" si="0"/>
        <v xml:space="preserve"> PETORCA</v>
      </c>
      <c r="D55" s="10" t="str">
        <f ca="1">IFERROR(__xludf.DUMMYFUNCTION("""COMPUTED_VALUE"""),"Resolución de Transferencia")</f>
        <v>Resolución de Transferencia</v>
      </c>
      <c r="E55" s="26" t="str">
        <f ca="1">IFERROR(__xludf.DUMMYFUNCTION("""COMPUTED_VALUE"""),"MUNICIPALIDAD DE PETORCA")</f>
        <v>MUNICIPALIDAD DE PETORCA</v>
      </c>
      <c r="F55" s="11">
        <f ca="1">IFERROR(__xludf.DUMMYFUNCTION("""COMPUTED_VALUE"""),8925984)</f>
        <v>8925984</v>
      </c>
      <c r="G55" s="10" t="str">
        <f ca="1">IFERROR(__xludf.DUMMYFUNCTION("""COMPUTED_VALUE"""),"Resolución")</f>
        <v>Resolución</v>
      </c>
      <c r="H55" s="10" t="str">
        <f ca="1">IFERROR(__xludf.DUMMYFUNCTION("""COMPUTED_VALUE"""),"BONO ASEO EXTERNALIZADO")</f>
        <v>BONO ASEO EXTERNALIZADO</v>
      </c>
      <c r="I55" s="10" t="str">
        <f ca="1">IFERROR(__xludf.DUMMYFUNCTION("""COMPUTED_VALUE"""),"Cumplir con normativa y reglamentos internos del programa en base a los objetivos.")</f>
        <v>Cumplir con normativa y reglamentos internos del programa en base a los objetivos.</v>
      </c>
      <c r="J55" s="11">
        <f ca="1">IFERROR(__xludf.DUMMYFUNCTION("""COMPUTED_VALUE"""),8925984)</f>
        <v>8925984</v>
      </c>
      <c r="K55" s="27">
        <f ca="1">IFERROR(__xludf.DUMMYFUNCTION("""COMPUTED_VALUE"""),1)</f>
        <v>1</v>
      </c>
      <c r="L55" s="28" t="str">
        <f ca="1">IFERROR(__xludf.DUMMYFUNCTION("""COMPUTED_VALUE"""),"5/2024")</f>
        <v>5/2024</v>
      </c>
      <c r="M55" s="10" t="str">
        <f ca="1">IFERROR(__xludf.DUMMYFUNCTION("""COMPUTED_VALUE"""),"Predios Exentos")</f>
        <v>Predios Exentos</v>
      </c>
      <c r="N55" s="1"/>
      <c r="O55" s="1"/>
      <c r="P55" s="1"/>
      <c r="Q55" s="1"/>
      <c r="R55" s="1"/>
      <c r="S55" s="1"/>
      <c r="T55" s="1"/>
      <c r="U55" s="1"/>
      <c r="V55" s="1"/>
      <c r="W55" s="1"/>
      <c r="X55" s="1"/>
      <c r="Y55" s="1"/>
      <c r="Z55" s="1"/>
    </row>
    <row r="56" spans="1:26" ht="12.75" customHeight="1">
      <c r="A56" s="1"/>
      <c r="B56" s="10" t="str">
        <f ca="1">IFERROR(__xludf.DUMMYFUNCTION("""COMPUTED_VALUE"""),"Bono de aseo externalizado 2024")</f>
        <v>Bono de aseo externalizado 2024</v>
      </c>
      <c r="C56" s="26" t="str">
        <f t="shared" ca="1" si="0"/>
        <v xml:space="preserve"> ZAPALLAR</v>
      </c>
      <c r="D56" s="10" t="str">
        <f ca="1">IFERROR(__xludf.DUMMYFUNCTION("""COMPUTED_VALUE"""),"Resolución de Transferencia")</f>
        <v>Resolución de Transferencia</v>
      </c>
      <c r="E56" s="26" t="str">
        <f ca="1">IFERROR(__xludf.DUMMYFUNCTION("""COMPUTED_VALUE"""),"MUNICIPALIDAD DE ZAPALLAR")</f>
        <v>MUNICIPALIDAD DE ZAPALLAR</v>
      </c>
      <c r="F56" s="11">
        <f ca="1">IFERROR(__xludf.DUMMYFUNCTION("""COMPUTED_VALUE"""),73639368)</f>
        <v>73639368</v>
      </c>
      <c r="G56" s="10" t="str">
        <f ca="1">IFERROR(__xludf.DUMMYFUNCTION("""COMPUTED_VALUE"""),"Resolución")</f>
        <v>Resolución</v>
      </c>
      <c r="H56" s="10" t="str">
        <f ca="1">IFERROR(__xludf.DUMMYFUNCTION("""COMPUTED_VALUE"""),"BONO ASEO EXTERNALIZADO")</f>
        <v>BONO ASEO EXTERNALIZADO</v>
      </c>
      <c r="I56" s="10" t="str">
        <f ca="1">IFERROR(__xludf.DUMMYFUNCTION("""COMPUTED_VALUE"""),"Cumplir con normativa y reglamentos internos del programa en base a los objetivos.")</f>
        <v>Cumplir con normativa y reglamentos internos del programa en base a los objetivos.</v>
      </c>
      <c r="J56" s="11">
        <f ca="1">IFERROR(__xludf.DUMMYFUNCTION("""COMPUTED_VALUE"""),73639368)</f>
        <v>73639368</v>
      </c>
      <c r="K56" s="27">
        <f ca="1">IFERROR(__xludf.DUMMYFUNCTION("""COMPUTED_VALUE"""),1)</f>
        <v>1</v>
      </c>
      <c r="L56" s="28" t="str">
        <f ca="1">IFERROR(__xludf.DUMMYFUNCTION("""COMPUTED_VALUE"""),"5/2024")</f>
        <v>5/2024</v>
      </c>
      <c r="M56" s="10" t="str">
        <f ca="1">IFERROR(__xludf.DUMMYFUNCTION("""COMPUTED_VALUE"""),"Predios Exentos")</f>
        <v>Predios Exentos</v>
      </c>
      <c r="N56" s="1"/>
      <c r="O56" s="1"/>
      <c r="P56" s="1"/>
      <c r="Q56" s="1"/>
      <c r="R56" s="1"/>
      <c r="S56" s="1"/>
      <c r="T56" s="1"/>
      <c r="U56" s="1"/>
      <c r="V56" s="1"/>
      <c r="W56" s="1"/>
      <c r="X56" s="1"/>
      <c r="Y56" s="1"/>
      <c r="Z56" s="1"/>
    </row>
    <row r="57" spans="1:26" ht="12.75" customHeight="1">
      <c r="A57" s="1"/>
      <c r="B57" s="10" t="str">
        <f ca="1">IFERROR(__xludf.DUMMYFUNCTION("""COMPUTED_VALUE"""),"Bono de aseo externalizado 2024")</f>
        <v>Bono de aseo externalizado 2024</v>
      </c>
      <c r="C57" s="26" t="str">
        <f t="shared" ca="1" si="0"/>
        <v xml:space="preserve"> QUILLOTA</v>
      </c>
      <c r="D57" s="10" t="str">
        <f ca="1">IFERROR(__xludf.DUMMYFUNCTION("""COMPUTED_VALUE"""),"Resolución de Transferencia")</f>
        <v>Resolución de Transferencia</v>
      </c>
      <c r="E57" s="26" t="str">
        <f ca="1">IFERROR(__xludf.DUMMYFUNCTION("""COMPUTED_VALUE"""),"MUNICIPALIDAD DE QUILLOTA")</f>
        <v>MUNICIPALIDAD DE QUILLOTA</v>
      </c>
      <c r="F57" s="11">
        <f ca="1">IFERROR(__xludf.DUMMYFUNCTION("""COMPUTED_VALUE"""),95954328)</f>
        <v>95954328</v>
      </c>
      <c r="G57" s="10" t="str">
        <f ca="1">IFERROR(__xludf.DUMMYFUNCTION("""COMPUTED_VALUE"""),"Resolución")</f>
        <v>Resolución</v>
      </c>
      <c r="H57" s="10" t="str">
        <f ca="1">IFERROR(__xludf.DUMMYFUNCTION("""COMPUTED_VALUE"""),"BONO ASEO EXTERNALIZADO")</f>
        <v>BONO ASEO EXTERNALIZADO</v>
      </c>
      <c r="I57" s="10" t="str">
        <f ca="1">IFERROR(__xludf.DUMMYFUNCTION("""COMPUTED_VALUE"""),"Cumplir con normativa y reglamentos internos del programa en base a los objetivos.")</f>
        <v>Cumplir con normativa y reglamentos internos del programa en base a los objetivos.</v>
      </c>
      <c r="J57" s="11">
        <f ca="1">IFERROR(__xludf.DUMMYFUNCTION("""COMPUTED_VALUE"""),95954328)</f>
        <v>95954328</v>
      </c>
      <c r="K57" s="27">
        <f ca="1">IFERROR(__xludf.DUMMYFUNCTION("""COMPUTED_VALUE"""),1)</f>
        <v>1</v>
      </c>
      <c r="L57" s="28" t="str">
        <f ca="1">IFERROR(__xludf.DUMMYFUNCTION("""COMPUTED_VALUE"""),"5/2024")</f>
        <v>5/2024</v>
      </c>
      <c r="M57" s="10" t="str">
        <f ca="1">IFERROR(__xludf.DUMMYFUNCTION("""COMPUTED_VALUE"""),"Predios Exentos")</f>
        <v>Predios Exentos</v>
      </c>
      <c r="N57" s="1"/>
      <c r="O57" s="1"/>
      <c r="P57" s="1"/>
      <c r="Q57" s="1"/>
      <c r="R57" s="1"/>
      <c r="S57" s="1"/>
      <c r="T57" s="1"/>
      <c r="U57" s="1"/>
      <c r="V57" s="1"/>
      <c r="W57" s="1"/>
      <c r="X57" s="1"/>
      <c r="Y57" s="1"/>
      <c r="Z57" s="1"/>
    </row>
    <row r="58" spans="1:26" ht="12.75" customHeight="1">
      <c r="A58" s="1"/>
      <c r="B58" s="10" t="str">
        <f ca="1">IFERROR(__xludf.DUMMYFUNCTION("""COMPUTED_VALUE"""),"Bono de aseo externalizado 2024")</f>
        <v>Bono de aseo externalizado 2024</v>
      </c>
      <c r="C58" s="26" t="str">
        <f t="shared" ca="1" si="0"/>
        <v xml:space="preserve"> CALERA</v>
      </c>
      <c r="D58" s="10" t="str">
        <f ca="1">IFERROR(__xludf.DUMMYFUNCTION("""COMPUTED_VALUE"""),"Resolución de Transferencia")</f>
        <v>Resolución de Transferencia</v>
      </c>
      <c r="E58" s="26" t="str">
        <f ca="1">IFERROR(__xludf.DUMMYFUNCTION("""COMPUTED_VALUE"""),"MUNICIPALIDAD DE CALERA")</f>
        <v>MUNICIPALIDAD DE CALERA</v>
      </c>
      <c r="F58" s="11">
        <f ca="1">IFERROR(__xludf.DUMMYFUNCTION("""COMPUTED_VALUE"""),49092912)</f>
        <v>49092912</v>
      </c>
      <c r="G58" s="10" t="str">
        <f ca="1">IFERROR(__xludf.DUMMYFUNCTION("""COMPUTED_VALUE"""),"Resolución")</f>
        <v>Resolución</v>
      </c>
      <c r="H58" s="10" t="str">
        <f ca="1">IFERROR(__xludf.DUMMYFUNCTION("""COMPUTED_VALUE"""),"BONO ASEO EXTERNALIZADO")</f>
        <v>BONO ASEO EXTERNALIZADO</v>
      </c>
      <c r="I58" s="10" t="str">
        <f ca="1">IFERROR(__xludf.DUMMYFUNCTION("""COMPUTED_VALUE"""),"Cumplir con normativa y reglamentos internos del programa en base a los objetivos.")</f>
        <v>Cumplir con normativa y reglamentos internos del programa en base a los objetivos.</v>
      </c>
      <c r="J58" s="11">
        <f ca="1">IFERROR(__xludf.DUMMYFUNCTION("""COMPUTED_VALUE"""),49092912)</f>
        <v>49092912</v>
      </c>
      <c r="K58" s="27">
        <f ca="1">IFERROR(__xludf.DUMMYFUNCTION("""COMPUTED_VALUE"""),1)</f>
        <v>1</v>
      </c>
      <c r="L58" s="28" t="str">
        <f ca="1">IFERROR(__xludf.DUMMYFUNCTION("""COMPUTED_VALUE"""),"5/2024")</f>
        <v>5/2024</v>
      </c>
      <c r="M58" s="10" t="str">
        <f ca="1">IFERROR(__xludf.DUMMYFUNCTION("""COMPUTED_VALUE"""),"Predios Exentos")</f>
        <v>Predios Exentos</v>
      </c>
      <c r="N58" s="1"/>
      <c r="O58" s="1"/>
      <c r="P58" s="1"/>
      <c r="Q58" s="1"/>
      <c r="R58" s="1"/>
      <c r="S58" s="1"/>
      <c r="T58" s="1"/>
      <c r="U58" s="1"/>
      <c r="V58" s="1"/>
      <c r="W58" s="1"/>
      <c r="X58" s="1"/>
      <c r="Y58" s="1"/>
      <c r="Z58" s="1"/>
    </row>
    <row r="59" spans="1:26" ht="12.75" customHeight="1">
      <c r="A59" s="1"/>
      <c r="B59" s="10" t="str">
        <f ca="1">IFERROR(__xludf.DUMMYFUNCTION("""COMPUTED_VALUE"""),"Bono de aseo externalizado 2024")</f>
        <v>Bono de aseo externalizado 2024</v>
      </c>
      <c r="C59" s="26" t="str">
        <f t="shared" ca="1" si="0"/>
        <v xml:space="preserve"> LA CRUZ</v>
      </c>
      <c r="D59" s="10" t="str">
        <f ca="1">IFERROR(__xludf.DUMMYFUNCTION("""COMPUTED_VALUE"""),"Resolución de Transferencia")</f>
        <v>Resolución de Transferencia</v>
      </c>
      <c r="E59" s="26" t="str">
        <f ca="1">IFERROR(__xludf.DUMMYFUNCTION("""COMPUTED_VALUE"""),"MUNICIPALIDAD DE LA CRUZ")</f>
        <v>MUNICIPALIDAD DE LA CRUZ</v>
      </c>
      <c r="F59" s="11">
        <f ca="1">IFERROR(__xludf.DUMMYFUNCTION("""COMPUTED_VALUE"""),15620472)</f>
        <v>15620472</v>
      </c>
      <c r="G59" s="10" t="str">
        <f ca="1">IFERROR(__xludf.DUMMYFUNCTION("""COMPUTED_VALUE"""),"Resolución")</f>
        <v>Resolución</v>
      </c>
      <c r="H59" s="10" t="str">
        <f ca="1">IFERROR(__xludf.DUMMYFUNCTION("""COMPUTED_VALUE"""),"BONO ASEO EXTERNALIZADO")</f>
        <v>BONO ASEO EXTERNALIZADO</v>
      </c>
      <c r="I59" s="10" t="str">
        <f ca="1">IFERROR(__xludf.DUMMYFUNCTION("""COMPUTED_VALUE"""),"Cumplir con normativa y reglamentos internos del programa en base a los objetivos.")</f>
        <v>Cumplir con normativa y reglamentos internos del programa en base a los objetivos.</v>
      </c>
      <c r="J59" s="11">
        <f ca="1">IFERROR(__xludf.DUMMYFUNCTION("""COMPUTED_VALUE"""),15620472)</f>
        <v>15620472</v>
      </c>
      <c r="K59" s="27">
        <f ca="1">IFERROR(__xludf.DUMMYFUNCTION("""COMPUTED_VALUE"""),1)</f>
        <v>1</v>
      </c>
      <c r="L59" s="28" t="str">
        <f ca="1">IFERROR(__xludf.DUMMYFUNCTION("""COMPUTED_VALUE"""),"5/2024")</f>
        <v>5/2024</v>
      </c>
      <c r="M59" s="10" t="str">
        <f ca="1">IFERROR(__xludf.DUMMYFUNCTION("""COMPUTED_VALUE"""),"Predios Exentos")</f>
        <v>Predios Exentos</v>
      </c>
      <c r="N59" s="1"/>
      <c r="O59" s="1"/>
      <c r="P59" s="1"/>
      <c r="Q59" s="1"/>
      <c r="R59" s="1"/>
      <c r="S59" s="1"/>
      <c r="T59" s="1"/>
      <c r="U59" s="1"/>
      <c r="V59" s="1"/>
      <c r="W59" s="1"/>
      <c r="X59" s="1"/>
      <c r="Y59" s="1"/>
      <c r="Z59" s="1"/>
    </row>
    <row r="60" spans="1:26" ht="12.75" customHeight="1">
      <c r="A60" s="1"/>
      <c r="B60" s="10" t="str">
        <f ca="1">IFERROR(__xludf.DUMMYFUNCTION("""COMPUTED_VALUE"""),"Bono de aseo externalizado 2024")</f>
        <v>Bono de aseo externalizado 2024</v>
      </c>
      <c r="C60" s="26" t="str">
        <f t="shared" ca="1" si="0"/>
        <v xml:space="preserve"> NOGALES</v>
      </c>
      <c r="D60" s="10" t="str">
        <f ca="1">IFERROR(__xludf.DUMMYFUNCTION("""COMPUTED_VALUE"""),"Resolución de Transferencia")</f>
        <v>Resolución de Transferencia</v>
      </c>
      <c r="E60" s="26" t="str">
        <f ca="1">IFERROR(__xludf.DUMMYFUNCTION("""COMPUTED_VALUE"""),"MUNICIPALIDAD DE NOGALES")</f>
        <v>MUNICIPALIDAD DE NOGALES</v>
      </c>
      <c r="F60" s="11">
        <f ca="1">IFERROR(__xludf.DUMMYFUNCTION("""COMPUTED_VALUE"""),22314960)</f>
        <v>22314960</v>
      </c>
      <c r="G60" s="10" t="str">
        <f ca="1">IFERROR(__xludf.DUMMYFUNCTION("""COMPUTED_VALUE"""),"Resolución")</f>
        <v>Resolución</v>
      </c>
      <c r="H60" s="10" t="str">
        <f ca="1">IFERROR(__xludf.DUMMYFUNCTION("""COMPUTED_VALUE"""),"BONO ASEO EXTERNALIZADO")</f>
        <v>BONO ASEO EXTERNALIZADO</v>
      </c>
      <c r="I60" s="10" t="str">
        <f ca="1">IFERROR(__xludf.DUMMYFUNCTION("""COMPUTED_VALUE"""),"Cumplir con normativa y reglamentos internos del programa en base a los objetivos.")</f>
        <v>Cumplir con normativa y reglamentos internos del programa en base a los objetivos.</v>
      </c>
      <c r="J60" s="11">
        <f ca="1">IFERROR(__xludf.DUMMYFUNCTION("""COMPUTED_VALUE"""),22314960)</f>
        <v>22314960</v>
      </c>
      <c r="K60" s="27">
        <f ca="1">IFERROR(__xludf.DUMMYFUNCTION("""COMPUTED_VALUE"""),1)</f>
        <v>1</v>
      </c>
      <c r="L60" s="28" t="str">
        <f ca="1">IFERROR(__xludf.DUMMYFUNCTION("""COMPUTED_VALUE"""),"5/2024")</f>
        <v>5/2024</v>
      </c>
      <c r="M60" s="10" t="str">
        <f ca="1">IFERROR(__xludf.DUMMYFUNCTION("""COMPUTED_VALUE"""),"Predios Exentos")</f>
        <v>Predios Exentos</v>
      </c>
      <c r="N60" s="1"/>
      <c r="O60" s="1"/>
      <c r="P60" s="1"/>
      <c r="Q60" s="1"/>
      <c r="R60" s="1"/>
      <c r="S60" s="1"/>
      <c r="T60" s="1"/>
      <c r="U60" s="1"/>
      <c r="V60" s="1"/>
      <c r="W60" s="1"/>
      <c r="X60" s="1"/>
      <c r="Y60" s="1"/>
      <c r="Z60" s="1"/>
    </row>
    <row r="61" spans="1:26" ht="12.75" customHeight="1">
      <c r="A61" s="1"/>
      <c r="B61" s="10" t="str">
        <f ca="1">IFERROR(__xludf.DUMMYFUNCTION("""COMPUTED_VALUE"""),"Bono de aseo externalizado 2024")</f>
        <v>Bono de aseo externalizado 2024</v>
      </c>
      <c r="C61" s="26" t="str">
        <f t="shared" ca="1" si="0"/>
        <v xml:space="preserve"> SAN ANTONIO</v>
      </c>
      <c r="D61" s="10" t="str">
        <f ca="1">IFERROR(__xludf.DUMMYFUNCTION("""COMPUTED_VALUE"""),"Resolución de Transferencia")</f>
        <v>Resolución de Transferencia</v>
      </c>
      <c r="E61" s="26" t="str">
        <f ca="1">IFERROR(__xludf.DUMMYFUNCTION("""COMPUTED_VALUE"""),"MUNICIPALIDAD DE SAN ANTONIO")</f>
        <v>MUNICIPALIDAD DE SAN ANTONIO</v>
      </c>
      <c r="F61" s="11">
        <f ca="1">IFERROR(__xludf.DUMMYFUNCTION("""COMPUTED_VALUE"""),138352752)</f>
        <v>138352752</v>
      </c>
      <c r="G61" s="10" t="str">
        <f ca="1">IFERROR(__xludf.DUMMYFUNCTION("""COMPUTED_VALUE"""),"Resolución")</f>
        <v>Resolución</v>
      </c>
      <c r="H61" s="10" t="str">
        <f ca="1">IFERROR(__xludf.DUMMYFUNCTION("""COMPUTED_VALUE"""),"BONO ASEO EXTERNALIZADO")</f>
        <v>BONO ASEO EXTERNALIZADO</v>
      </c>
      <c r="I61" s="10" t="str">
        <f ca="1">IFERROR(__xludf.DUMMYFUNCTION("""COMPUTED_VALUE"""),"Cumplir con normativa y reglamentos internos del programa en base a los objetivos.")</f>
        <v>Cumplir con normativa y reglamentos internos del programa en base a los objetivos.</v>
      </c>
      <c r="J61" s="11">
        <f ca="1">IFERROR(__xludf.DUMMYFUNCTION("""COMPUTED_VALUE"""),138352752)</f>
        <v>138352752</v>
      </c>
      <c r="K61" s="27">
        <f ca="1">IFERROR(__xludf.DUMMYFUNCTION("""COMPUTED_VALUE"""),1)</f>
        <v>1</v>
      </c>
      <c r="L61" s="28" t="str">
        <f ca="1">IFERROR(__xludf.DUMMYFUNCTION("""COMPUTED_VALUE"""),"5/2024")</f>
        <v>5/2024</v>
      </c>
      <c r="M61" s="10" t="str">
        <f ca="1">IFERROR(__xludf.DUMMYFUNCTION("""COMPUTED_VALUE"""),"Predios Exentos")</f>
        <v>Predios Exentos</v>
      </c>
      <c r="N61" s="1"/>
      <c r="O61" s="1"/>
      <c r="P61" s="1"/>
      <c r="Q61" s="1"/>
      <c r="R61" s="1"/>
      <c r="S61" s="1"/>
      <c r="T61" s="1"/>
      <c r="U61" s="1"/>
      <c r="V61" s="1"/>
      <c r="W61" s="1"/>
      <c r="X61" s="1"/>
      <c r="Y61" s="1"/>
      <c r="Z61" s="1"/>
    </row>
    <row r="62" spans="1:26" ht="12.75" customHeight="1">
      <c r="A62" s="1"/>
      <c r="B62" s="10" t="str">
        <f ca="1">IFERROR(__xludf.DUMMYFUNCTION("""COMPUTED_VALUE"""),"Bono de aseo externalizado 2024")</f>
        <v>Bono de aseo externalizado 2024</v>
      </c>
      <c r="C62" s="26" t="str">
        <f t="shared" ca="1" si="0"/>
        <v xml:space="preserve"> CARTAGENA</v>
      </c>
      <c r="D62" s="10" t="str">
        <f ca="1">IFERROR(__xludf.DUMMYFUNCTION("""COMPUTED_VALUE"""),"Resolución de Transferencia")</f>
        <v>Resolución de Transferencia</v>
      </c>
      <c r="E62" s="26" t="str">
        <f ca="1">IFERROR(__xludf.DUMMYFUNCTION("""COMPUTED_VALUE"""),"MUNICIPALIDAD DE CARTAGENA")</f>
        <v>MUNICIPALIDAD DE CARTAGENA</v>
      </c>
      <c r="F62" s="11">
        <f ca="1">IFERROR(__xludf.DUMMYFUNCTION("""COMPUTED_VALUE"""),128311020)</f>
        <v>128311020</v>
      </c>
      <c r="G62" s="10" t="str">
        <f ca="1">IFERROR(__xludf.DUMMYFUNCTION("""COMPUTED_VALUE"""),"Resolución")</f>
        <v>Resolución</v>
      </c>
      <c r="H62" s="10" t="str">
        <f ca="1">IFERROR(__xludf.DUMMYFUNCTION("""COMPUTED_VALUE"""),"BONO ASEO EXTERNALIZADO")</f>
        <v>BONO ASEO EXTERNALIZADO</v>
      </c>
      <c r="I62" s="10" t="str">
        <f ca="1">IFERROR(__xludf.DUMMYFUNCTION("""COMPUTED_VALUE"""),"Cumplir con normativa y reglamentos internos del programa en base a los objetivos.")</f>
        <v>Cumplir con normativa y reglamentos internos del programa en base a los objetivos.</v>
      </c>
      <c r="J62" s="11">
        <f ca="1">IFERROR(__xludf.DUMMYFUNCTION("""COMPUTED_VALUE"""),128311020)</f>
        <v>128311020</v>
      </c>
      <c r="K62" s="27">
        <f ca="1">IFERROR(__xludf.DUMMYFUNCTION("""COMPUTED_VALUE"""),1)</f>
        <v>1</v>
      </c>
      <c r="L62" s="28" t="str">
        <f ca="1">IFERROR(__xludf.DUMMYFUNCTION("""COMPUTED_VALUE"""),"5/2024")</f>
        <v>5/2024</v>
      </c>
      <c r="M62" s="10" t="str">
        <f ca="1">IFERROR(__xludf.DUMMYFUNCTION("""COMPUTED_VALUE"""),"Predios Exentos")</f>
        <v>Predios Exentos</v>
      </c>
      <c r="N62" s="1"/>
      <c r="O62" s="1"/>
      <c r="P62" s="1"/>
      <c r="Q62" s="1"/>
      <c r="R62" s="1"/>
      <c r="S62" s="1"/>
      <c r="T62" s="1"/>
      <c r="U62" s="1"/>
      <c r="V62" s="1"/>
      <c r="W62" s="1"/>
      <c r="X62" s="1"/>
      <c r="Y62" s="1"/>
      <c r="Z62" s="1"/>
    </row>
    <row r="63" spans="1:26" ht="12.75" customHeight="1">
      <c r="A63" s="1"/>
      <c r="B63" s="10" t="str">
        <f ca="1">IFERROR(__xludf.DUMMYFUNCTION("""COMPUTED_VALUE"""),"Bono de aseo externalizado 2024")</f>
        <v>Bono de aseo externalizado 2024</v>
      </c>
      <c r="C63" s="26" t="str">
        <f t="shared" ca="1" si="0"/>
        <v xml:space="preserve"> EL QUISCO</v>
      </c>
      <c r="D63" s="10" t="str">
        <f ca="1">IFERROR(__xludf.DUMMYFUNCTION("""COMPUTED_VALUE"""),"Resolución de Transferencia")</f>
        <v>Resolución de Transferencia</v>
      </c>
      <c r="E63" s="26" t="str">
        <f ca="1">IFERROR(__xludf.DUMMYFUNCTION("""COMPUTED_VALUE"""),"MUNICIPALIDAD DE EL QUISCO")</f>
        <v>MUNICIPALIDAD DE EL QUISCO</v>
      </c>
      <c r="F63" s="11">
        <f ca="1">IFERROR(__xludf.DUMMYFUNCTION("""COMPUTED_VALUE"""),50208660)</f>
        <v>50208660</v>
      </c>
      <c r="G63" s="10" t="str">
        <f ca="1">IFERROR(__xludf.DUMMYFUNCTION("""COMPUTED_VALUE"""),"Resolución")</f>
        <v>Resolución</v>
      </c>
      <c r="H63" s="10" t="str">
        <f ca="1">IFERROR(__xludf.DUMMYFUNCTION("""COMPUTED_VALUE"""),"BONO ASEO EXTERNALIZADO")</f>
        <v>BONO ASEO EXTERNALIZADO</v>
      </c>
      <c r="I63" s="10" t="str">
        <f ca="1">IFERROR(__xludf.DUMMYFUNCTION("""COMPUTED_VALUE"""),"Cumplir con normativa y reglamentos internos del programa en base a los objetivos.")</f>
        <v>Cumplir con normativa y reglamentos internos del programa en base a los objetivos.</v>
      </c>
      <c r="J63" s="11">
        <f ca="1">IFERROR(__xludf.DUMMYFUNCTION("""COMPUTED_VALUE"""),50208660)</f>
        <v>50208660</v>
      </c>
      <c r="K63" s="27">
        <f ca="1">IFERROR(__xludf.DUMMYFUNCTION("""COMPUTED_VALUE"""),1)</f>
        <v>1</v>
      </c>
      <c r="L63" s="28" t="str">
        <f ca="1">IFERROR(__xludf.DUMMYFUNCTION("""COMPUTED_VALUE"""),"5/2024")</f>
        <v>5/2024</v>
      </c>
      <c r="M63" s="10" t="str">
        <f ca="1">IFERROR(__xludf.DUMMYFUNCTION("""COMPUTED_VALUE"""),"Predios Exentos")</f>
        <v>Predios Exentos</v>
      </c>
      <c r="N63" s="1"/>
      <c r="O63" s="1"/>
      <c r="P63" s="1"/>
      <c r="Q63" s="1"/>
      <c r="R63" s="1"/>
      <c r="S63" s="1"/>
      <c r="T63" s="1"/>
      <c r="U63" s="1"/>
      <c r="V63" s="1"/>
      <c r="W63" s="1"/>
      <c r="X63" s="1"/>
      <c r="Y63" s="1"/>
      <c r="Z63" s="1"/>
    </row>
    <row r="64" spans="1:26" ht="12.75" customHeight="1">
      <c r="A64" s="1"/>
      <c r="B64" s="10" t="str">
        <f ca="1">IFERROR(__xludf.DUMMYFUNCTION("""COMPUTED_VALUE"""),"Bono de aseo externalizado 2024")</f>
        <v>Bono de aseo externalizado 2024</v>
      </c>
      <c r="C64" s="26" t="str">
        <f t="shared" ca="1" si="0"/>
        <v xml:space="preserve"> SANTO DOMINGO</v>
      </c>
      <c r="D64" s="10" t="str">
        <f ca="1">IFERROR(__xludf.DUMMYFUNCTION("""COMPUTED_VALUE"""),"Resolución de Transferencia")</f>
        <v>Resolución de Transferencia</v>
      </c>
      <c r="E64" s="26" t="str">
        <f ca="1">IFERROR(__xludf.DUMMYFUNCTION("""COMPUTED_VALUE"""),"MUNICIPALIDAD DE SANTO DOMINGO")</f>
        <v>MUNICIPALIDAD DE SANTO DOMINGO</v>
      </c>
      <c r="F64" s="11">
        <f ca="1">IFERROR(__xludf.DUMMYFUNCTION("""COMPUTED_VALUE"""),64713384)</f>
        <v>64713384</v>
      </c>
      <c r="G64" s="10" t="str">
        <f ca="1">IFERROR(__xludf.DUMMYFUNCTION("""COMPUTED_VALUE"""),"Resolución")</f>
        <v>Resolución</v>
      </c>
      <c r="H64" s="10" t="str">
        <f ca="1">IFERROR(__xludf.DUMMYFUNCTION("""COMPUTED_VALUE"""),"BONO ASEO EXTERNALIZADO")</f>
        <v>BONO ASEO EXTERNALIZADO</v>
      </c>
      <c r="I64" s="10" t="str">
        <f ca="1">IFERROR(__xludf.DUMMYFUNCTION("""COMPUTED_VALUE"""),"Cumplir con normativa y reglamentos internos del programa en base a los objetivos.")</f>
        <v>Cumplir con normativa y reglamentos internos del programa en base a los objetivos.</v>
      </c>
      <c r="J64" s="11">
        <f ca="1">IFERROR(__xludf.DUMMYFUNCTION("""COMPUTED_VALUE"""),64713384)</f>
        <v>64713384</v>
      </c>
      <c r="K64" s="27">
        <f ca="1">IFERROR(__xludf.DUMMYFUNCTION("""COMPUTED_VALUE"""),1)</f>
        <v>1</v>
      </c>
      <c r="L64" s="28" t="str">
        <f ca="1">IFERROR(__xludf.DUMMYFUNCTION("""COMPUTED_VALUE"""),"5/2024")</f>
        <v>5/2024</v>
      </c>
      <c r="M64" s="10" t="str">
        <f ca="1">IFERROR(__xludf.DUMMYFUNCTION("""COMPUTED_VALUE"""),"Predios Exentos")</f>
        <v>Predios Exentos</v>
      </c>
      <c r="N64" s="1"/>
      <c r="O64" s="1"/>
      <c r="P64" s="1"/>
      <c r="Q64" s="1"/>
      <c r="R64" s="1"/>
      <c r="S64" s="1"/>
      <c r="T64" s="1"/>
      <c r="U64" s="1"/>
      <c r="V64" s="1"/>
      <c r="W64" s="1"/>
      <c r="X64" s="1"/>
      <c r="Y64" s="1"/>
      <c r="Z64" s="1"/>
    </row>
    <row r="65" spans="1:26" ht="12.75" customHeight="1">
      <c r="A65" s="1"/>
      <c r="B65" s="10" t="str">
        <f ca="1">IFERROR(__xludf.DUMMYFUNCTION("""COMPUTED_VALUE"""),"Bono de aseo externalizado 2024")</f>
        <v>Bono de aseo externalizado 2024</v>
      </c>
      <c r="C65" s="26" t="str">
        <f t="shared" ca="1" si="0"/>
        <v xml:space="preserve"> SAN FELIPE</v>
      </c>
      <c r="D65" s="10" t="str">
        <f ca="1">IFERROR(__xludf.DUMMYFUNCTION("""COMPUTED_VALUE"""),"Resolución de Transferencia")</f>
        <v>Resolución de Transferencia</v>
      </c>
      <c r="E65" s="26" t="str">
        <f ca="1">IFERROR(__xludf.DUMMYFUNCTION("""COMPUTED_VALUE"""),"MUNICIPALIDAD DE SAN FELIPE")</f>
        <v>MUNICIPALIDAD DE SAN FELIPE</v>
      </c>
      <c r="F65" s="11">
        <f ca="1">IFERROR(__xludf.DUMMYFUNCTION("""COMPUTED_VALUE"""),70292124)</f>
        <v>70292124</v>
      </c>
      <c r="G65" s="10" t="str">
        <f ca="1">IFERROR(__xludf.DUMMYFUNCTION("""COMPUTED_VALUE"""),"Resolución")</f>
        <v>Resolución</v>
      </c>
      <c r="H65" s="10" t="str">
        <f ca="1">IFERROR(__xludf.DUMMYFUNCTION("""COMPUTED_VALUE"""),"BONO ASEO EXTERNALIZADO")</f>
        <v>BONO ASEO EXTERNALIZADO</v>
      </c>
      <c r="I65" s="10" t="str">
        <f ca="1">IFERROR(__xludf.DUMMYFUNCTION("""COMPUTED_VALUE"""),"Cumplir con normativa y reglamentos internos del programa en base a los objetivos.")</f>
        <v>Cumplir con normativa y reglamentos internos del programa en base a los objetivos.</v>
      </c>
      <c r="J65" s="11">
        <f ca="1">IFERROR(__xludf.DUMMYFUNCTION("""COMPUTED_VALUE"""),70292124)</f>
        <v>70292124</v>
      </c>
      <c r="K65" s="27">
        <f ca="1">IFERROR(__xludf.DUMMYFUNCTION("""COMPUTED_VALUE"""),1)</f>
        <v>1</v>
      </c>
      <c r="L65" s="28" t="str">
        <f ca="1">IFERROR(__xludf.DUMMYFUNCTION("""COMPUTED_VALUE"""),"5/2024")</f>
        <v>5/2024</v>
      </c>
      <c r="M65" s="10" t="str">
        <f ca="1">IFERROR(__xludf.DUMMYFUNCTION("""COMPUTED_VALUE"""),"Predios Exentos")</f>
        <v>Predios Exentos</v>
      </c>
      <c r="N65" s="1"/>
      <c r="O65" s="1"/>
      <c r="P65" s="1"/>
      <c r="Q65" s="1"/>
      <c r="R65" s="1"/>
      <c r="S65" s="1"/>
      <c r="T65" s="1"/>
      <c r="U65" s="1"/>
      <c r="V65" s="1"/>
      <c r="W65" s="1"/>
      <c r="X65" s="1"/>
      <c r="Y65" s="1"/>
      <c r="Z65" s="1"/>
    </row>
    <row r="66" spans="1:26" ht="12.75" customHeight="1">
      <c r="A66" s="1"/>
      <c r="B66" s="10" t="str">
        <f ca="1">IFERROR(__xludf.DUMMYFUNCTION("""COMPUTED_VALUE"""),"Bono de aseo externalizado 2024")</f>
        <v>Bono de aseo externalizado 2024</v>
      </c>
      <c r="C66" s="26" t="str">
        <f t="shared" ca="1" si="0"/>
        <v xml:space="preserve"> CATEMU</v>
      </c>
      <c r="D66" s="10" t="str">
        <f ca="1">IFERROR(__xludf.DUMMYFUNCTION("""COMPUTED_VALUE"""),"Resolución de Transferencia")</f>
        <v>Resolución de Transferencia</v>
      </c>
      <c r="E66" s="26" t="str">
        <f ca="1">IFERROR(__xludf.DUMMYFUNCTION("""COMPUTED_VALUE"""),"MUNICIPALIDAD DE CATEMU")</f>
        <v>MUNICIPALIDAD DE CATEMU</v>
      </c>
      <c r="F66" s="11">
        <f ca="1">IFERROR(__xludf.DUMMYFUNCTION("""COMPUTED_VALUE"""),12273228)</f>
        <v>12273228</v>
      </c>
      <c r="G66" s="10" t="str">
        <f ca="1">IFERROR(__xludf.DUMMYFUNCTION("""COMPUTED_VALUE"""),"Resolución")</f>
        <v>Resolución</v>
      </c>
      <c r="H66" s="10" t="str">
        <f ca="1">IFERROR(__xludf.DUMMYFUNCTION("""COMPUTED_VALUE"""),"BONO ASEO EXTERNALIZADO")</f>
        <v>BONO ASEO EXTERNALIZADO</v>
      </c>
      <c r="I66" s="10" t="str">
        <f ca="1">IFERROR(__xludf.DUMMYFUNCTION("""COMPUTED_VALUE"""),"Cumplir con normativa y reglamentos internos del programa en base a los objetivos.")</f>
        <v>Cumplir con normativa y reglamentos internos del programa en base a los objetivos.</v>
      </c>
      <c r="J66" s="11">
        <f ca="1">IFERROR(__xludf.DUMMYFUNCTION("""COMPUTED_VALUE"""),12273228)</f>
        <v>12273228</v>
      </c>
      <c r="K66" s="27">
        <f ca="1">IFERROR(__xludf.DUMMYFUNCTION("""COMPUTED_VALUE"""),1)</f>
        <v>1</v>
      </c>
      <c r="L66" s="28" t="str">
        <f ca="1">IFERROR(__xludf.DUMMYFUNCTION("""COMPUTED_VALUE"""),"5/2024")</f>
        <v>5/2024</v>
      </c>
      <c r="M66" s="10" t="str">
        <f ca="1">IFERROR(__xludf.DUMMYFUNCTION("""COMPUTED_VALUE"""),"Predios Exentos")</f>
        <v>Predios Exentos</v>
      </c>
      <c r="N66" s="1"/>
      <c r="O66" s="1"/>
      <c r="P66" s="1"/>
      <c r="Q66" s="1"/>
      <c r="R66" s="1"/>
      <c r="S66" s="1"/>
      <c r="T66" s="1"/>
      <c r="U66" s="1"/>
      <c r="V66" s="1"/>
      <c r="W66" s="1"/>
      <c r="X66" s="1"/>
      <c r="Y66" s="1"/>
      <c r="Z66" s="1"/>
    </row>
    <row r="67" spans="1:26" ht="12.75" customHeight="1">
      <c r="A67" s="1"/>
      <c r="B67" s="10" t="str">
        <f ca="1">IFERROR(__xludf.DUMMYFUNCTION("""COMPUTED_VALUE"""),"Bono de aseo externalizado 2024")</f>
        <v>Bono de aseo externalizado 2024</v>
      </c>
      <c r="C67" s="26" t="str">
        <f t="shared" ca="1" si="0"/>
        <v xml:space="preserve"> PUTAENDO</v>
      </c>
      <c r="D67" s="10" t="str">
        <f ca="1">IFERROR(__xludf.DUMMYFUNCTION("""COMPUTED_VALUE"""),"Resolución de Transferencia")</f>
        <v>Resolución de Transferencia</v>
      </c>
      <c r="E67" s="26" t="str">
        <f ca="1">IFERROR(__xludf.DUMMYFUNCTION("""COMPUTED_VALUE"""),"MUNICIPALIDAD DE PUTAENDO")</f>
        <v>MUNICIPALIDAD DE PUTAENDO</v>
      </c>
      <c r="F67" s="11">
        <f ca="1">IFERROR(__xludf.DUMMYFUNCTION("""COMPUTED_VALUE"""),11157480)</f>
        <v>11157480</v>
      </c>
      <c r="G67" s="10" t="str">
        <f ca="1">IFERROR(__xludf.DUMMYFUNCTION("""COMPUTED_VALUE"""),"Resolución")</f>
        <v>Resolución</v>
      </c>
      <c r="H67" s="10" t="str">
        <f ca="1">IFERROR(__xludf.DUMMYFUNCTION("""COMPUTED_VALUE"""),"BONO ASEO EXTERNALIZADO")</f>
        <v>BONO ASEO EXTERNALIZADO</v>
      </c>
      <c r="I67" s="10" t="str">
        <f ca="1">IFERROR(__xludf.DUMMYFUNCTION("""COMPUTED_VALUE"""),"Cumplir con normativa y reglamentos internos del programa en base a los objetivos.")</f>
        <v>Cumplir con normativa y reglamentos internos del programa en base a los objetivos.</v>
      </c>
      <c r="J67" s="11">
        <f ca="1">IFERROR(__xludf.DUMMYFUNCTION("""COMPUTED_VALUE"""),11157480)</f>
        <v>11157480</v>
      </c>
      <c r="K67" s="27">
        <f ca="1">IFERROR(__xludf.DUMMYFUNCTION("""COMPUTED_VALUE"""),1)</f>
        <v>1</v>
      </c>
      <c r="L67" s="28" t="str">
        <f ca="1">IFERROR(__xludf.DUMMYFUNCTION("""COMPUTED_VALUE"""),"5/2024")</f>
        <v>5/2024</v>
      </c>
      <c r="M67" s="10" t="str">
        <f ca="1">IFERROR(__xludf.DUMMYFUNCTION("""COMPUTED_VALUE"""),"Predios Exentos")</f>
        <v>Predios Exentos</v>
      </c>
      <c r="N67" s="1"/>
      <c r="O67" s="1"/>
      <c r="P67" s="1"/>
      <c r="Q67" s="1"/>
      <c r="R67" s="1"/>
      <c r="S67" s="1"/>
      <c r="T67" s="1"/>
      <c r="U67" s="1"/>
      <c r="V67" s="1"/>
      <c r="W67" s="1"/>
      <c r="X67" s="1"/>
      <c r="Y67" s="1"/>
      <c r="Z67" s="1"/>
    </row>
    <row r="68" spans="1:26" ht="12.75" customHeight="1">
      <c r="A68" s="1"/>
      <c r="B68" s="10" t="str">
        <f ca="1">IFERROR(__xludf.DUMMYFUNCTION("""COMPUTED_VALUE"""),"Bono de aseo externalizado 2024")</f>
        <v>Bono de aseo externalizado 2024</v>
      </c>
      <c r="C68" s="26" t="str">
        <f t="shared" ca="1" si="0"/>
        <v xml:space="preserve"> QUILPUÉ</v>
      </c>
      <c r="D68" s="10" t="str">
        <f ca="1">IFERROR(__xludf.DUMMYFUNCTION("""COMPUTED_VALUE"""),"Resolución de Transferencia")</f>
        <v>Resolución de Transferencia</v>
      </c>
      <c r="E68" s="26" t="str">
        <f ca="1">IFERROR(__xludf.DUMMYFUNCTION("""COMPUTED_VALUE"""),"MUNICIPALIDAD DE QUILPUÉ")</f>
        <v>MUNICIPALIDAD DE QUILPUÉ</v>
      </c>
      <c r="F68" s="11">
        <f ca="1">IFERROR(__xludf.DUMMYFUNCTION("""COMPUTED_VALUE"""),170709444)</f>
        <v>170709444</v>
      </c>
      <c r="G68" s="10" t="str">
        <f ca="1">IFERROR(__xludf.DUMMYFUNCTION("""COMPUTED_VALUE"""),"Resolución")</f>
        <v>Resolución</v>
      </c>
      <c r="H68" s="10" t="str">
        <f ca="1">IFERROR(__xludf.DUMMYFUNCTION("""COMPUTED_VALUE"""),"BONO ASEO EXTERNALIZADO")</f>
        <v>BONO ASEO EXTERNALIZADO</v>
      </c>
      <c r="I68" s="10" t="str">
        <f ca="1">IFERROR(__xludf.DUMMYFUNCTION("""COMPUTED_VALUE"""),"Cumplir con normativa y reglamentos internos del programa en base a los objetivos.")</f>
        <v>Cumplir con normativa y reglamentos internos del programa en base a los objetivos.</v>
      </c>
      <c r="J68" s="11">
        <f ca="1">IFERROR(__xludf.DUMMYFUNCTION("""COMPUTED_VALUE"""),170709444)</f>
        <v>170709444</v>
      </c>
      <c r="K68" s="27">
        <f ca="1">IFERROR(__xludf.DUMMYFUNCTION("""COMPUTED_VALUE"""),1)</f>
        <v>1</v>
      </c>
      <c r="L68" s="28" t="str">
        <f ca="1">IFERROR(__xludf.DUMMYFUNCTION("""COMPUTED_VALUE"""),"5/2024")</f>
        <v>5/2024</v>
      </c>
      <c r="M68" s="10" t="str">
        <f ca="1">IFERROR(__xludf.DUMMYFUNCTION("""COMPUTED_VALUE"""),"Predios Exentos")</f>
        <v>Predios Exentos</v>
      </c>
      <c r="N68" s="1"/>
      <c r="O68" s="1"/>
      <c r="P68" s="1"/>
      <c r="Q68" s="1"/>
      <c r="R68" s="1"/>
      <c r="S68" s="1"/>
      <c r="T68" s="1"/>
      <c r="U68" s="1"/>
      <c r="V68" s="1"/>
      <c r="W68" s="1"/>
      <c r="X68" s="1"/>
      <c r="Y68" s="1"/>
      <c r="Z68" s="1"/>
    </row>
    <row r="69" spans="1:26" ht="12.75" customHeight="1">
      <c r="A69" s="1"/>
      <c r="B69" s="10" t="str">
        <f ca="1">IFERROR(__xludf.DUMMYFUNCTION("""COMPUTED_VALUE"""),"Bono de aseo externalizado 2024")</f>
        <v>Bono de aseo externalizado 2024</v>
      </c>
      <c r="C69" s="26" t="str">
        <f t="shared" ca="1" si="0"/>
        <v xml:space="preserve"> LIMACHE</v>
      </c>
      <c r="D69" s="10" t="str">
        <f ca="1">IFERROR(__xludf.DUMMYFUNCTION("""COMPUTED_VALUE"""),"Resolución de Transferencia")</f>
        <v>Resolución de Transferencia</v>
      </c>
      <c r="E69" s="26" t="str">
        <f ca="1">IFERROR(__xludf.DUMMYFUNCTION("""COMPUTED_VALUE"""),"MUNICIPALIDAD DE LIMACHE")</f>
        <v>MUNICIPALIDAD DE LIMACHE</v>
      </c>
      <c r="F69" s="11">
        <f ca="1">IFERROR(__xludf.DUMMYFUNCTION("""COMPUTED_VALUE"""),40166928)</f>
        <v>40166928</v>
      </c>
      <c r="G69" s="10" t="str">
        <f ca="1">IFERROR(__xludf.DUMMYFUNCTION("""COMPUTED_VALUE"""),"Resolución")</f>
        <v>Resolución</v>
      </c>
      <c r="H69" s="10" t="str">
        <f ca="1">IFERROR(__xludf.DUMMYFUNCTION("""COMPUTED_VALUE"""),"BONO ASEO EXTERNALIZADO")</f>
        <v>BONO ASEO EXTERNALIZADO</v>
      </c>
      <c r="I69" s="10" t="str">
        <f ca="1">IFERROR(__xludf.DUMMYFUNCTION("""COMPUTED_VALUE"""),"Cumplir con normativa y reglamentos internos del programa en base a los objetivos.")</f>
        <v>Cumplir con normativa y reglamentos internos del programa en base a los objetivos.</v>
      </c>
      <c r="J69" s="11">
        <f ca="1">IFERROR(__xludf.DUMMYFUNCTION("""COMPUTED_VALUE"""),40166928)</f>
        <v>40166928</v>
      </c>
      <c r="K69" s="27">
        <f ca="1">IFERROR(__xludf.DUMMYFUNCTION("""COMPUTED_VALUE"""),1)</f>
        <v>1</v>
      </c>
      <c r="L69" s="28" t="str">
        <f ca="1">IFERROR(__xludf.DUMMYFUNCTION("""COMPUTED_VALUE"""),"5/2024")</f>
        <v>5/2024</v>
      </c>
      <c r="M69" s="10" t="str">
        <f ca="1">IFERROR(__xludf.DUMMYFUNCTION("""COMPUTED_VALUE"""),"Predios Exentos")</f>
        <v>Predios Exentos</v>
      </c>
      <c r="N69" s="1"/>
      <c r="O69" s="1"/>
      <c r="P69" s="1"/>
      <c r="Q69" s="1"/>
      <c r="R69" s="1"/>
      <c r="S69" s="1"/>
      <c r="T69" s="1"/>
      <c r="U69" s="1"/>
      <c r="V69" s="1"/>
      <c r="W69" s="1"/>
      <c r="X69" s="1"/>
      <c r="Y69" s="1"/>
      <c r="Z69" s="1"/>
    </row>
    <row r="70" spans="1:26" ht="12.75" customHeight="1">
      <c r="A70" s="1"/>
      <c r="B70" s="10" t="str">
        <f ca="1">IFERROR(__xludf.DUMMYFUNCTION("""COMPUTED_VALUE"""),"Bono de aseo externalizado 2024")</f>
        <v>Bono de aseo externalizado 2024</v>
      </c>
      <c r="C70" s="26" t="str">
        <f t="shared" ca="1" si="0"/>
        <v xml:space="preserve"> OLMUÉ</v>
      </c>
      <c r="D70" s="10" t="str">
        <f ca="1">IFERROR(__xludf.DUMMYFUNCTION("""COMPUTED_VALUE"""),"Resolución de Transferencia")</f>
        <v>Resolución de Transferencia</v>
      </c>
      <c r="E70" s="26" t="str">
        <f ca="1">IFERROR(__xludf.DUMMYFUNCTION("""COMPUTED_VALUE"""),"MUNICIPALIDAD DE OLMUÉ")</f>
        <v>MUNICIPALIDAD DE OLMUÉ</v>
      </c>
      <c r="F70" s="11">
        <f ca="1">IFERROR(__xludf.DUMMYFUNCTION("""COMPUTED_VALUE"""),20083464)</f>
        <v>20083464</v>
      </c>
      <c r="G70" s="10" t="str">
        <f ca="1">IFERROR(__xludf.DUMMYFUNCTION("""COMPUTED_VALUE"""),"Resolución")</f>
        <v>Resolución</v>
      </c>
      <c r="H70" s="10" t="str">
        <f ca="1">IFERROR(__xludf.DUMMYFUNCTION("""COMPUTED_VALUE"""),"BONO ASEO EXTERNALIZADO")</f>
        <v>BONO ASEO EXTERNALIZADO</v>
      </c>
      <c r="I70" s="10" t="str">
        <f ca="1">IFERROR(__xludf.DUMMYFUNCTION("""COMPUTED_VALUE"""),"Cumplir con normativa y reglamentos internos del programa en base a los objetivos.")</f>
        <v>Cumplir con normativa y reglamentos internos del programa en base a los objetivos.</v>
      </c>
      <c r="J70" s="11">
        <f ca="1">IFERROR(__xludf.DUMMYFUNCTION("""COMPUTED_VALUE"""),20083464)</f>
        <v>20083464</v>
      </c>
      <c r="K70" s="27">
        <f ca="1">IFERROR(__xludf.DUMMYFUNCTION("""COMPUTED_VALUE"""),1)</f>
        <v>1</v>
      </c>
      <c r="L70" s="28" t="str">
        <f ca="1">IFERROR(__xludf.DUMMYFUNCTION("""COMPUTED_VALUE"""),"5/2024")</f>
        <v>5/2024</v>
      </c>
      <c r="M70" s="10" t="str">
        <f ca="1">IFERROR(__xludf.DUMMYFUNCTION("""COMPUTED_VALUE"""),"Predios Exentos")</f>
        <v>Predios Exentos</v>
      </c>
      <c r="N70" s="1"/>
      <c r="O70" s="1"/>
      <c r="P70" s="1"/>
      <c r="Q70" s="1"/>
      <c r="R70" s="1"/>
      <c r="S70" s="1"/>
      <c r="T70" s="1"/>
      <c r="U70" s="1"/>
      <c r="V70" s="1"/>
      <c r="W70" s="1"/>
      <c r="X70" s="1"/>
      <c r="Y70" s="1"/>
      <c r="Z70" s="1"/>
    </row>
    <row r="71" spans="1:26" ht="12.75" customHeight="1">
      <c r="A71" s="1"/>
      <c r="B71" s="10" t="str">
        <f ca="1">IFERROR(__xludf.DUMMYFUNCTION("""COMPUTED_VALUE"""),"Bono de aseo externalizado 2024")</f>
        <v>Bono de aseo externalizado 2024</v>
      </c>
      <c r="C71" s="26" t="str">
        <f t="shared" ca="1" si="0"/>
        <v xml:space="preserve"> VILLA ALEMANA</v>
      </c>
      <c r="D71" s="10" t="str">
        <f ca="1">IFERROR(__xludf.DUMMYFUNCTION("""COMPUTED_VALUE"""),"Resolución de Transferencia")</f>
        <v>Resolución de Transferencia</v>
      </c>
      <c r="E71" s="26" t="str">
        <f ca="1">IFERROR(__xludf.DUMMYFUNCTION("""COMPUTED_VALUE"""),"MUNICIPALIDAD DE VILLA ALEMANA")</f>
        <v>MUNICIPALIDAD DE VILLA ALEMANA</v>
      </c>
      <c r="F71" s="11">
        <f ca="1">IFERROR(__xludf.DUMMYFUNCTION("""COMPUTED_VALUE"""),158436216)</f>
        <v>158436216</v>
      </c>
      <c r="G71" s="10" t="str">
        <f ca="1">IFERROR(__xludf.DUMMYFUNCTION("""COMPUTED_VALUE"""),"Resolución")</f>
        <v>Resolución</v>
      </c>
      <c r="H71" s="10" t="str">
        <f ca="1">IFERROR(__xludf.DUMMYFUNCTION("""COMPUTED_VALUE"""),"BONO ASEO EXTERNALIZADO")</f>
        <v>BONO ASEO EXTERNALIZADO</v>
      </c>
      <c r="I71" s="10" t="str">
        <f ca="1">IFERROR(__xludf.DUMMYFUNCTION("""COMPUTED_VALUE"""),"Cumplir con normativa y reglamentos internos del programa en base a los objetivos.")</f>
        <v>Cumplir con normativa y reglamentos internos del programa en base a los objetivos.</v>
      </c>
      <c r="J71" s="11">
        <f ca="1">IFERROR(__xludf.DUMMYFUNCTION("""COMPUTED_VALUE"""),158436216)</f>
        <v>158436216</v>
      </c>
      <c r="K71" s="27">
        <f ca="1">IFERROR(__xludf.DUMMYFUNCTION("""COMPUTED_VALUE"""),1)</f>
        <v>1</v>
      </c>
      <c r="L71" s="28" t="str">
        <f ca="1">IFERROR(__xludf.DUMMYFUNCTION("""COMPUTED_VALUE"""),"5/2024")</f>
        <v>5/2024</v>
      </c>
      <c r="M71" s="10" t="str">
        <f ca="1">IFERROR(__xludf.DUMMYFUNCTION("""COMPUTED_VALUE"""),"Predios Exentos")</f>
        <v>Predios Exentos</v>
      </c>
      <c r="N71" s="1"/>
      <c r="O71" s="1"/>
      <c r="P71" s="1"/>
      <c r="Q71" s="1"/>
      <c r="R71" s="1"/>
      <c r="S71" s="1"/>
      <c r="T71" s="1"/>
      <c r="U71" s="1"/>
      <c r="V71" s="1"/>
      <c r="W71" s="1"/>
      <c r="X71" s="1"/>
      <c r="Y71" s="1"/>
      <c r="Z71" s="1"/>
    </row>
    <row r="72" spans="1:26" ht="12.75" customHeight="1">
      <c r="A72" s="1"/>
      <c r="B72" s="10" t="str">
        <f ca="1">IFERROR(__xludf.DUMMYFUNCTION("""COMPUTED_VALUE"""),"Bono de aseo externalizado 2024")</f>
        <v>Bono de aseo externalizado 2024</v>
      </c>
      <c r="C72" s="26" t="str">
        <f t="shared" ca="1" si="0"/>
        <v xml:space="preserve"> RANCAGUA</v>
      </c>
      <c r="D72" s="10" t="str">
        <f ca="1">IFERROR(__xludf.DUMMYFUNCTION("""COMPUTED_VALUE"""),"Resolución de Transferencia")</f>
        <v>Resolución de Transferencia</v>
      </c>
      <c r="E72" s="26" t="str">
        <f ca="1">IFERROR(__xludf.DUMMYFUNCTION("""COMPUTED_VALUE"""),"MUNICIPALIDAD DE RANCAGUA")</f>
        <v>MUNICIPALIDAD DE RANCAGUA</v>
      </c>
      <c r="F72" s="11">
        <f ca="1">IFERROR(__xludf.DUMMYFUNCTION("""COMPUTED_VALUE"""),359270856)</f>
        <v>359270856</v>
      </c>
      <c r="G72" s="10" t="str">
        <f ca="1">IFERROR(__xludf.DUMMYFUNCTION("""COMPUTED_VALUE"""),"Resolución")</f>
        <v>Resolución</v>
      </c>
      <c r="H72" s="10" t="str">
        <f ca="1">IFERROR(__xludf.DUMMYFUNCTION("""COMPUTED_VALUE"""),"BONO ASEO EXTERNALIZADO")</f>
        <v>BONO ASEO EXTERNALIZADO</v>
      </c>
      <c r="I72" s="10" t="str">
        <f ca="1">IFERROR(__xludf.DUMMYFUNCTION("""COMPUTED_VALUE"""),"Cumplir con normativa y reglamentos internos del programa en base a los objetivos.")</f>
        <v>Cumplir con normativa y reglamentos internos del programa en base a los objetivos.</v>
      </c>
      <c r="J72" s="11">
        <f ca="1">IFERROR(__xludf.DUMMYFUNCTION("""COMPUTED_VALUE"""),359270856)</f>
        <v>359270856</v>
      </c>
      <c r="K72" s="27">
        <f ca="1">IFERROR(__xludf.DUMMYFUNCTION("""COMPUTED_VALUE"""),1)</f>
        <v>1</v>
      </c>
      <c r="L72" s="28" t="str">
        <f ca="1">IFERROR(__xludf.DUMMYFUNCTION("""COMPUTED_VALUE"""),"5/2024")</f>
        <v>5/2024</v>
      </c>
      <c r="M72" s="10" t="str">
        <f ca="1">IFERROR(__xludf.DUMMYFUNCTION("""COMPUTED_VALUE"""),"Predios Exentos")</f>
        <v>Predios Exentos</v>
      </c>
      <c r="N72" s="1"/>
      <c r="O72" s="1"/>
      <c r="P72" s="1"/>
      <c r="Q72" s="1"/>
      <c r="R72" s="1"/>
      <c r="S72" s="1"/>
      <c r="T72" s="1"/>
      <c r="U72" s="1"/>
      <c r="V72" s="1"/>
      <c r="W72" s="1"/>
      <c r="X72" s="1"/>
      <c r="Y72" s="1"/>
      <c r="Z72" s="1"/>
    </row>
    <row r="73" spans="1:26" ht="12.75" customHeight="1">
      <c r="A73" s="1"/>
      <c r="B73" s="10" t="str">
        <f ca="1">IFERROR(__xludf.DUMMYFUNCTION("""COMPUTED_VALUE"""),"Bono de aseo externalizado 2024")</f>
        <v>Bono de aseo externalizado 2024</v>
      </c>
      <c r="C73" s="26" t="str">
        <f t="shared" ca="1" si="0"/>
        <v xml:space="preserve"> COINCO</v>
      </c>
      <c r="D73" s="10" t="str">
        <f ca="1">IFERROR(__xludf.DUMMYFUNCTION("""COMPUTED_VALUE"""),"Resolución de Transferencia")</f>
        <v>Resolución de Transferencia</v>
      </c>
      <c r="E73" s="26" t="str">
        <f ca="1">IFERROR(__xludf.DUMMYFUNCTION("""COMPUTED_VALUE"""),"MUNICIPALIDAD DE COINCO")</f>
        <v>MUNICIPALIDAD DE COINCO</v>
      </c>
      <c r="F73" s="11">
        <f ca="1">IFERROR(__xludf.DUMMYFUNCTION("""COMPUTED_VALUE"""),21199212)</f>
        <v>21199212</v>
      </c>
      <c r="G73" s="10" t="str">
        <f ca="1">IFERROR(__xludf.DUMMYFUNCTION("""COMPUTED_VALUE"""),"Resolución")</f>
        <v>Resolución</v>
      </c>
      <c r="H73" s="10" t="str">
        <f ca="1">IFERROR(__xludf.DUMMYFUNCTION("""COMPUTED_VALUE"""),"BONO ASEO EXTERNALIZADO")</f>
        <v>BONO ASEO EXTERNALIZADO</v>
      </c>
      <c r="I73" s="10" t="str">
        <f ca="1">IFERROR(__xludf.DUMMYFUNCTION("""COMPUTED_VALUE"""),"Cumplir con normativa y reglamentos internos del programa en base a los objetivos.")</f>
        <v>Cumplir con normativa y reglamentos internos del programa en base a los objetivos.</v>
      </c>
      <c r="J73" s="11">
        <f ca="1">IFERROR(__xludf.DUMMYFUNCTION("""COMPUTED_VALUE"""),21199212)</f>
        <v>21199212</v>
      </c>
      <c r="K73" s="27">
        <f ca="1">IFERROR(__xludf.DUMMYFUNCTION("""COMPUTED_VALUE"""),1)</f>
        <v>1</v>
      </c>
      <c r="L73" s="28" t="str">
        <f ca="1">IFERROR(__xludf.DUMMYFUNCTION("""COMPUTED_VALUE"""),"5/2024")</f>
        <v>5/2024</v>
      </c>
      <c r="M73" s="10" t="str">
        <f ca="1">IFERROR(__xludf.DUMMYFUNCTION("""COMPUTED_VALUE"""),"Predios Exentos")</f>
        <v>Predios Exentos</v>
      </c>
      <c r="N73" s="1"/>
      <c r="O73" s="1"/>
      <c r="P73" s="1"/>
      <c r="Q73" s="1"/>
      <c r="R73" s="1"/>
      <c r="S73" s="1"/>
      <c r="T73" s="1"/>
      <c r="U73" s="1"/>
      <c r="V73" s="1"/>
      <c r="W73" s="1"/>
      <c r="X73" s="1"/>
      <c r="Y73" s="1"/>
      <c r="Z73" s="1"/>
    </row>
    <row r="74" spans="1:26" ht="12.75" customHeight="1">
      <c r="A74" s="1"/>
      <c r="B74" s="10" t="str">
        <f ca="1">IFERROR(__xludf.DUMMYFUNCTION("""COMPUTED_VALUE"""),"Bono de aseo externalizado 2024")</f>
        <v>Bono de aseo externalizado 2024</v>
      </c>
      <c r="C74" s="26" t="str">
        <f t="shared" ca="1" si="0"/>
        <v xml:space="preserve"> COLTAUCO</v>
      </c>
      <c r="D74" s="10" t="str">
        <f ca="1">IFERROR(__xludf.DUMMYFUNCTION("""COMPUTED_VALUE"""),"Resolución de Transferencia")</f>
        <v>Resolución de Transferencia</v>
      </c>
      <c r="E74" s="26" t="str">
        <f ca="1">IFERROR(__xludf.DUMMYFUNCTION("""COMPUTED_VALUE"""),"MUNICIPALIDAD DE COLTAUCO")</f>
        <v>MUNICIPALIDAD DE COLTAUCO</v>
      </c>
      <c r="F74" s="11">
        <f ca="1">IFERROR(__xludf.DUMMYFUNCTION("""COMPUTED_VALUE"""),16736220)</f>
        <v>16736220</v>
      </c>
      <c r="G74" s="10" t="str">
        <f ca="1">IFERROR(__xludf.DUMMYFUNCTION("""COMPUTED_VALUE"""),"Resolución")</f>
        <v>Resolución</v>
      </c>
      <c r="H74" s="10" t="str">
        <f ca="1">IFERROR(__xludf.DUMMYFUNCTION("""COMPUTED_VALUE"""),"BONO ASEO EXTERNALIZADO")</f>
        <v>BONO ASEO EXTERNALIZADO</v>
      </c>
      <c r="I74" s="10" t="str">
        <f ca="1">IFERROR(__xludf.DUMMYFUNCTION("""COMPUTED_VALUE"""),"Cumplir con normativa y reglamentos internos del programa en base a los objetivos.")</f>
        <v>Cumplir con normativa y reglamentos internos del programa en base a los objetivos.</v>
      </c>
      <c r="J74" s="11">
        <f ca="1">IFERROR(__xludf.DUMMYFUNCTION("""COMPUTED_VALUE"""),16736220)</f>
        <v>16736220</v>
      </c>
      <c r="K74" s="27">
        <f ca="1">IFERROR(__xludf.DUMMYFUNCTION("""COMPUTED_VALUE"""),1)</f>
        <v>1</v>
      </c>
      <c r="L74" s="28" t="str">
        <f ca="1">IFERROR(__xludf.DUMMYFUNCTION("""COMPUTED_VALUE"""),"5/2024")</f>
        <v>5/2024</v>
      </c>
      <c r="M74" s="10" t="str">
        <f ca="1">IFERROR(__xludf.DUMMYFUNCTION("""COMPUTED_VALUE"""),"Predios Exentos")</f>
        <v>Predios Exentos</v>
      </c>
      <c r="N74" s="1"/>
      <c r="O74" s="1"/>
      <c r="P74" s="1"/>
      <c r="Q74" s="1"/>
      <c r="R74" s="1"/>
      <c r="S74" s="1"/>
      <c r="T74" s="1"/>
      <c r="U74" s="1"/>
      <c r="V74" s="1"/>
      <c r="W74" s="1"/>
      <c r="X74" s="1"/>
      <c r="Y74" s="1"/>
      <c r="Z74" s="1"/>
    </row>
    <row r="75" spans="1:26" ht="12.75" customHeight="1">
      <c r="A75" s="1"/>
      <c r="B75" s="10" t="str">
        <f ca="1">IFERROR(__xludf.DUMMYFUNCTION("""COMPUTED_VALUE"""),"Bono de aseo externalizado 2024")</f>
        <v>Bono de aseo externalizado 2024</v>
      </c>
      <c r="C75" s="26" t="str">
        <f t="shared" ca="1" si="0"/>
        <v xml:space="preserve"> DOÑIHUE</v>
      </c>
      <c r="D75" s="10" t="str">
        <f ca="1">IFERROR(__xludf.DUMMYFUNCTION("""COMPUTED_VALUE"""),"Resolución de Transferencia")</f>
        <v>Resolución de Transferencia</v>
      </c>
      <c r="E75" s="26" t="str">
        <f ca="1">IFERROR(__xludf.DUMMYFUNCTION("""COMPUTED_VALUE"""),"MUNICIPALIDAD DE DOÑIHUE")</f>
        <v>MUNICIPALIDAD DE DOÑIHUE</v>
      </c>
      <c r="F75" s="11">
        <f ca="1">IFERROR(__xludf.DUMMYFUNCTION("""COMPUTED_VALUE"""),25662204)</f>
        <v>25662204</v>
      </c>
      <c r="G75" s="10" t="str">
        <f ca="1">IFERROR(__xludf.DUMMYFUNCTION("""COMPUTED_VALUE"""),"Resolución")</f>
        <v>Resolución</v>
      </c>
      <c r="H75" s="10" t="str">
        <f ca="1">IFERROR(__xludf.DUMMYFUNCTION("""COMPUTED_VALUE"""),"BONO ASEO EXTERNALIZADO")</f>
        <v>BONO ASEO EXTERNALIZADO</v>
      </c>
      <c r="I75" s="10" t="str">
        <f ca="1">IFERROR(__xludf.DUMMYFUNCTION("""COMPUTED_VALUE"""),"Cumplir con normativa y reglamentos internos del programa en base a los objetivos.")</f>
        <v>Cumplir con normativa y reglamentos internos del programa en base a los objetivos.</v>
      </c>
      <c r="J75" s="11">
        <f ca="1">IFERROR(__xludf.DUMMYFUNCTION("""COMPUTED_VALUE"""),25662204)</f>
        <v>25662204</v>
      </c>
      <c r="K75" s="27">
        <f ca="1">IFERROR(__xludf.DUMMYFUNCTION("""COMPUTED_VALUE"""),1)</f>
        <v>1</v>
      </c>
      <c r="L75" s="28" t="str">
        <f ca="1">IFERROR(__xludf.DUMMYFUNCTION("""COMPUTED_VALUE"""),"5/2024")</f>
        <v>5/2024</v>
      </c>
      <c r="M75" s="10" t="str">
        <f ca="1">IFERROR(__xludf.DUMMYFUNCTION("""COMPUTED_VALUE"""),"Predios Exentos")</f>
        <v>Predios Exentos</v>
      </c>
      <c r="N75" s="1"/>
      <c r="O75" s="1"/>
      <c r="P75" s="1"/>
      <c r="Q75" s="1"/>
      <c r="R75" s="1"/>
      <c r="S75" s="1"/>
      <c r="T75" s="1"/>
      <c r="U75" s="1"/>
      <c r="V75" s="1"/>
      <c r="W75" s="1"/>
      <c r="X75" s="1"/>
      <c r="Y75" s="1"/>
      <c r="Z75" s="1"/>
    </row>
    <row r="76" spans="1:26" ht="12.75" customHeight="1">
      <c r="A76" s="1"/>
      <c r="B76" s="10" t="str">
        <f ca="1">IFERROR(__xludf.DUMMYFUNCTION("""COMPUTED_VALUE"""),"Bono de aseo externalizado 2024")</f>
        <v>Bono de aseo externalizado 2024</v>
      </c>
      <c r="C76" s="26" t="str">
        <f t="shared" ca="1" si="0"/>
        <v xml:space="preserve"> GRANEROS</v>
      </c>
      <c r="D76" s="10" t="str">
        <f ca="1">IFERROR(__xludf.DUMMYFUNCTION("""COMPUTED_VALUE"""),"Resolución de Transferencia")</f>
        <v>Resolución de Transferencia</v>
      </c>
      <c r="E76" s="26" t="str">
        <f ca="1">IFERROR(__xludf.DUMMYFUNCTION("""COMPUTED_VALUE"""),"MUNICIPALIDAD DE GRANEROS")</f>
        <v>MUNICIPALIDAD DE GRANEROS</v>
      </c>
      <c r="F76" s="11">
        <f ca="1">IFERROR(__xludf.DUMMYFUNCTION("""COMPUTED_VALUE"""),31240944)</f>
        <v>31240944</v>
      </c>
      <c r="G76" s="10" t="str">
        <f ca="1">IFERROR(__xludf.DUMMYFUNCTION("""COMPUTED_VALUE"""),"Resolución")</f>
        <v>Resolución</v>
      </c>
      <c r="H76" s="10" t="str">
        <f ca="1">IFERROR(__xludf.DUMMYFUNCTION("""COMPUTED_VALUE"""),"BONO ASEO EXTERNALIZADO")</f>
        <v>BONO ASEO EXTERNALIZADO</v>
      </c>
      <c r="I76" s="10" t="str">
        <f ca="1">IFERROR(__xludf.DUMMYFUNCTION("""COMPUTED_VALUE"""),"Cumplir con normativa y reglamentos internos del programa en base a los objetivos.")</f>
        <v>Cumplir con normativa y reglamentos internos del programa en base a los objetivos.</v>
      </c>
      <c r="J76" s="11">
        <f ca="1">IFERROR(__xludf.DUMMYFUNCTION("""COMPUTED_VALUE"""),31240944)</f>
        <v>31240944</v>
      </c>
      <c r="K76" s="27">
        <f ca="1">IFERROR(__xludf.DUMMYFUNCTION("""COMPUTED_VALUE"""),1)</f>
        <v>1</v>
      </c>
      <c r="L76" s="28" t="str">
        <f ca="1">IFERROR(__xludf.DUMMYFUNCTION("""COMPUTED_VALUE"""),"5/2024")</f>
        <v>5/2024</v>
      </c>
      <c r="M76" s="10" t="str">
        <f ca="1">IFERROR(__xludf.DUMMYFUNCTION("""COMPUTED_VALUE"""),"Predios Exentos")</f>
        <v>Predios Exentos</v>
      </c>
      <c r="N76" s="1"/>
      <c r="O76" s="1"/>
      <c r="P76" s="1"/>
      <c r="Q76" s="1"/>
      <c r="R76" s="1"/>
      <c r="S76" s="1"/>
      <c r="T76" s="1"/>
      <c r="U76" s="1"/>
      <c r="V76" s="1"/>
      <c r="W76" s="1"/>
      <c r="X76" s="1"/>
      <c r="Y76" s="1"/>
      <c r="Z76" s="1"/>
    </row>
    <row r="77" spans="1:26" ht="12.75" customHeight="1">
      <c r="A77" s="1"/>
      <c r="B77" s="10" t="str">
        <f ca="1">IFERROR(__xludf.DUMMYFUNCTION("""COMPUTED_VALUE"""),"Bono de aseo externalizado 2024")</f>
        <v>Bono de aseo externalizado 2024</v>
      </c>
      <c r="C77" s="26" t="str">
        <f t="shared" ca="1" si="0"/>
        <v xml:space="preserve"> LAS CABRAS</v>
      </c>
      <c r="D77" s="10" t="str">
        <f ca="1">IFERROR(__xludf.DUMMYFUNCTION("""COMPUTED_VALUE"""),"Resolución de Transferencia")</f>
        <v>Resolución de Transferencia</v>
      </c>
      <c r="E77" s="26" t="str">
        <f ca="1">IFERROR(__xludf.DUMMYFUNCTION("""COMPUTED_VALUE"""),"MUNICIPALIDAD DE LAS CABRAS")</f>
        <v>MUNICIPALIDAD DE LAS CABRAS</v>
      </c>
      <c r="F77" s="11">
        <f ca="1">IFERROR(__xludf.DUMMYFUNCTION("""COMPUTED_VALUE"""),35703936)</f>
        <v>35703936</v>
      </c>
      <c r="G77" s="10" t="str">
        <f ca="1">IFERROR(__xludf.DUMMYFUNCTION("""COMPUTED_VALUE"""),"Resolución")</f>
        <v>Resolución</v>
      </c>
      <c r="H77" s="10" t="str">
        <f ca="1">IFERROR(__xludf.DUMMYFUNCTION("""COMPUTED_VALUE"""),"BONO ASEO EXTERNALIZADO")</f>
        <v>BONO ASEO EXTERNALIZADO</v>
      </c>
      <c r="I77" s="10" t="str">
        <f ca="1">IFERROR(__xludf.DUMMYFUNCTION("""COMPUTED_VALUE"""),"Cumplir con normativa y reglamentos internos del programa en base a los objetivos.")</f>
        <v>Cumplir con normativa y reglamentos internos del programa en base a los objetivos.</v>
      </c>
      <c r="J77" s="11">
        <f ca="1">IFERROR(__xludf.DUMMYFUNCTION("""COMPUTED_VALUE"""),35703936)</f>
        <v>35703936</v>
      </c>
      <c r="K77" s="27">
        <f ca="1">IFERROR(__xludf.DUMMYFUNCTION("""COMPUTED_VALUE"""),1)</f>
        <v>1</v>
      </c>
      <c r="L77" s="28" t="str">
        <f ca="1">IFERROR(__xludf.DUMMYFUNCTION("""COMPUTED_VALUE"""),"5/2024")</f>
        <v>5/2024</v>
      </c>
      <c r="M77" s="10" t="str">
        <f ca="1">IFERROR(__xludf.DUMMYFUNCTION("""COMPUTED_VALUE"""),"Predios Exentos")</f>
        <v>Predios Exentos</v>
      </c>
      <c r="N77" s="1"/>
      <c r="O77" s="1"/>
      <c r="P77" s="1"/>
      <c r="Q77" s="1"/>
      <c r="R77" s="1"/>
      <c r="S77" s="1"/>
      <c r="T77" s="1"/>
      <c r="U77" s="1"/>
      <c r="V77" s="1"/>
      <c r="W77" s="1"/>
      <c r="X77" s="1"/>
      <c r="Y77" s="1"/>
      <c r="Z77" s="1"/>
    </row>
    <row r="78" spans="1:26" ht="12.75" customHeight="1">
      <c r="A78" s="1"/>
      <c r="B78" s="10" t="str">
        <f ca="1">IFERROR(__xludf.DUMMYFUNCTION("""COMPUTED_VALUE"""),"Bono de aseo externalizado 2024")</f>
        <v>Bono de aseo externalizado 2024</v>
      </c>
      <c r="C78" s="26" t="str">
        <f t="shared" ca="1" si="0"/>
        <v xml:space="preserve"> MACHALÍ</v>
      </c>
      <c r="D78" s="10" t="str">
        <f ca="1">IFERROR(__xludf.DUMMYFUNCTION("""COMPUTED_VALUE"""),"Resolución de Transferencia")</f>
        <v>Resolución de Transferencia</v>
      </c>
      <c r="E78" s="26" t="str">
        <f ca="1">IFERROR(__xludf.DUMMYFUNCTION("""COMPUTED_VALUE"""),"MUNICIPALIDAD DE MACHALÍ")</f>
        <v>MUNICIPALIDAD DE MACHALÍ</v>
      </c>
      <c r="F78" s="11">
        <f ca="1">IFERROR(__xludf.DUMMYFUNCTION("""COMPUTED_VALUE"""),61366140)</f>
        <v>61366140</v>
      </c>
      <c r="G78" s="10" t="str">
        <f ca="1">IFERROR(__xludf.DUMMYFUNCTION("""COMPUTED_VALUE"""),"Resolución")</f>
        <v>Resolución</v>
      </c>
      <c r="H78" s="10" t="str">
        <f ca="1">IFERROR(__xludf.DUMMYFUNCTION("""COMPUTED_VALUE"""),"BONO ASEO EXTERNALIZADO")</f>
        <v>BONO ASEO EXTERNALIZADO</v>
      </c>
      <c r="I78" s="10" t="str">
        <f ca="1">IFERROR(__xludf.DUMMYFUNCTION("""COMPUTED_VALUE"""),"Cumplir con normativa y reglamentos internos del programa en base a los objetivos.")</f>
        <v>Cumplir con normativa y reglamentos internos del programa en base a los objetivos.</v>
      </c>
      <c r="J78" s="11">
        <f ca="1">IFERROR(__xludf.DUMMYFUNCTION("""COMPUTED_VALUE"""),61366140)</f>
        <v>61366140</v>
      </c>
      <c r="K78" s="27">
        <f ca="1">IFERROR(__xludf.DUMMYFUNCTION("""COMPUTED_VALUE"""),1)</f>
        <v>1</v>
      </c>
      <c r="L78" s="28" t="str">
        <f ca="1">IFERROR(__xludf.DUMMYFUNCTION("""COMPUTED_VALUE"""),"5/2024")</f>
        <v>5/2024</v>
      </c>
      <c r="M78" s="10" t="str">
        <f ca="1">IFERROR(__xludf.DUMMYFUNCTION("""COMPUTED_VALUE"""),"Predios Exentos")</f>
        <v>Predios Exentos</v>
      </c>
      <c r="N78" s="1"/>
      <c r="O78" s="1"/>
      <c r="P78" s="1"/>
      <c r="Q78" s="1"/>
      <c r="R78" s="1"/>
      <c r="S78" s="1"/>
      <c r="T78" s="1"/>
      <c r="U78" s="1"/>
      <c r="V78" s="1"/>
      <c r="W78" s="1"/>
      <c r="X78" s="1"/>
      <c r="Y78" s="1"/>
      <c r="Z78" s="1"/>
    </row>
    <row r="79" spans="1:26" ht="12.75" customHeight="1">
      <c r="A79" s="1"/>
      <c r="B79" s="10" t="str">
        <f ca="1">IFERROR(__xludf.DUMMYFUNCTION("""COMPUTED_VALUE"""),"Bono de aseo externalizado 2024")</f>
        <v>Bono de aseo externalizado 2024</v>
      </c>
      <c r="C79" s="26" t="str">
        <f t="shared" ca="1" si="0"/>
        <v xml:space="preserve"> MALLOA</v>
      </c>
      <c r="D79" s="10" t="str">
        <f ca="1">IFERROR(__xludf.DUMMYFUNCTION("""COMPUTED_VALUE"""),"Resolución de Transferencia")</f>
        <v>Resolución de Transferencia</v>
      </c>
      <c r="E79" s="26" t="str">
        <f ca="1">IFERROR(__xludf.DUMMYFUNCTION("""COMPUTED_VALUE"""),"MUNICIPALIDAD DE MALLOA")</f>
        <v>MUNICIPALIDAD DE MALLOA</v>
      </c>
      <c r="F79" s="11">
        <f ca="1">IFERROR(__xludf.DUMMYFUNCTION("""COMPUTED_VALUE"""),14504724)</f>
        <v>14504724</v>
      </c>
      <c r="G79" s="10" t="str">
        <f ca="1">IFERROR(__xludf.DUMMYFUNCTION("""COMPUTED_VALUE"""),"Resolución")</f>
        <v>Resolución</v>
      </c>
      <c r="H79" s="10" t="str">
        <f ca="1">IFERROR(__xludf.DUMMYFUNCTION("""COMPUTED_VALUE"""),"BONO ASEO EXTERNALIZADO")</f>
        <v>BONO ASEO EXTERNALIZADO</v>
      </c>
      <c r="I79" s="10" t="str">
        <f ca="1">IFERROR(__xludf.DUMMYFUNCTION("""COMPUTED_VALUE"""),"Cumplir con normativa y reglamentos internos del programa en base a los objetivos.")</f>
        <v>Cumplir con normativa y reglamentos internos del programa en base a los objetivos.</v>
      </c>
      <c r="J79" s="11">
        <f ca="1">IFERROR(__xludf.DUMMYFUNCTION("""COMPUTED_VALUE"""),14504724)</f>
        <v>14504724</v>
      </c>
      <c r="K79" s="27">
        <f ca="1">IFERROR(__xludf.DUMMYFUNCTION("""COMPUTED_VALUE"""),1)</f>
        <v>1</v>
      </c>
      <c r="L79" s="28" t="str">
        <f ca="1">IFERROR(__xludf.DUMMYFUNCTION("""COMPUTED_VALUE"""),"5/2024")</f>
        <v>5/2024</v>
      </c>
      <c r="M79" s="10" t="str">
        <f ca="1">IFERROR(__xludf.DUMMYFUNCTION("""COMPUTED_VALUE"""),"Predios Exentos")</f>
        <v>Predios Exentos</v>
      </c>
      <c r="N79" s="1"/>
      <c r="O79" s="1"/>
      <c r="P79" s="1"/>
      <c r="Q79" s="1"/>
      <c r="R79" s="1"/>
      <c r="S79" s="1"/>
      <c r="T79" s="1"/>
      <c r="U79" s="1"/>
      <c r="V79" s="1"/>
      <c r="W79" s="1"/>
      <c r="X79" s="1"/>
      <c r="Y79" s="1"/>
      <c r="Z79" s="1"/>
    </row>
    <row r="80" spans="1:26" ht="12.75" customHeight="1">
      <c r="A80" s="1"/>
      <c r="B80" s="10" t="str">
        <f ca="1">IFERROR(__xludf.DUMMYFUNCTION("""COMPUTED_VALUE"""),"Bono de aseo externalizado 2024")</f>
        <v>Bono de aseo externalizado 2024</v>
      </c>
      <c r="C80" s="26" t="str">
        <f t="shared" ca="1" si="0"/>
        <v xml:space="preserve"> MOSTAZAL</v>
      </c>
      <c r="D80" s="10" t="str">
        <f ca="1">IFERROR(__xludf.DUMMYFUNCTION("""COMPUTED_VALUE"""),"Resolución de Transferencia")</f>
        <v>Resolución de Transferencia</v>
      </c>
      <c r="E80" s="26" t="str">
        <f ca="1">IFERROR(__xludf.DUMMYFUNCTION("""COMPUTED_VALUE"""),"MUNICIPALIDAD DE MOSTAZAL")</f>
        <v>MUNICIPALIDAD DE MOSTAZAL</v>
      </c>
      <c r="F80" s="11">
        <f ca="1">IFERROR(__xludf.DUMMYFUNCTION("""COMPUTED_VALUE"""),31240944)</f>
        <v>31240944</v>
      </c>
      <c r="G80" s="10" t="str">
        <f ca="1">IFERROR(__xludf.DUMMYFUNCTION("""COMPUTED_VALUE"""),"Resolución")</f>
        <v>Resolución</v>
      </c>
      <c r="H80" s="10" t="str">
        <f ca="1">IFERROR(__xludf.DUMMYFUNCTION("""COMPUTED_VALUE"""),"BONO ASEO EXTERNALIZADO")</f>
        <v>BONO ASEO EXTERNALIZADO</v>
      </c>
      <c r="I80" s="10" t="str">
        <f ca="1">IFERROR(__xludf.DUMMYFUNCTION("""COMPUTED_VALUE"""),"Cumplir con normativa y reglamentos internos del programa en base a los objetivos.")</f>
        <v>Cumplir con normativa y reglamentos internos del programa en base a los objetivos.</v>
      </c>
      <c r="J80" s="11">
        <f ca="1">IFERROR(__xludf.DUMMYFUNCTION("""COMPUTED_VALUE"""),31240944)</f>
        <v>31240944</v>
      </c>
      <c r="K80" s="27">
        <f ca="1">IFERROR(__xludf.DUMMYFUNCTION("""COMPUTED_VALUE"""),1)</f>
        <v>1</v>
      </c>
      <c r="L80" s="28" t="str">
        <f ca="1">IFERROR(__xludf.DUMMYFUNCTION("""COMPUTED_VALUE"""),"5/2024")</f>
        <v>5/2024</v>
      </c>
      <c r="M80" s="10" t="str">
        <f ca="1">IFERROR(__xludf.DUMMYFUNCTION("""COMPUTED_VALUE"""),"Predios Exentos")</f>
        <v>Predios Exentos</v>
      </c>
      <c r="N80" s="1"/>
      <c r="O80" s="1"/>
      <c r="P80" s="1"/>
      <c r="Q80" s="1"/>
      <c r="R80" s="1"/>
      <c r="S80" s="1"/>
      <c r="T80" s="1"/>
      <c r="U80" s="1"/>
      <c r="V80" s="1"/>
      <c r="W80" s="1"/>
      <c r="X80" s="1"/>
      <c r="Y80" s="1"/>
      <c r="Z80" s="1"/>
    </row>
    <row r="81" spans="1:26" ht="12.75" customHeight="1">
      <c r="A81" s="1"/>
      <c r="B81" s="10" t="str">
        <f ca="1">IFERROR(__xludf.DUMMYFUNCTION("""COMPUTED_VALUE"""),"Bono de aseo externalizado 2024")</f>
        <v>Bono de aseo externalizado 2024</v>
      </c>
      <c r="C81" s="26" t="str">
        <f t="shared" ca="1" si="0"/>
        <v xml:space="preserve"> OLIVAR</v>
      </c>
      <c r="D81" s="10" t="str">
        <f ca="1">IFERROR(__xludf.DUMMYFUNCTION("""COMPUTED_VALUE"""),"Resolución de Transferencia")</f>
        <v>Resolución de Transferencia</v>
      </c>
      <c r="E81" s="26" t="str">
        <f ca="1">IFERROR(__xludf.DUMMYFUNCTION("""COMPUTED_VALUE"""),"MUNICIPALIDAD DE OLIVAR")</f>
        <v>MUNICIPALIDAD DE OLIVAR</v>
      </c>
      <c r="F81" s="11">
        <f ca="1">IFERROR(__xludf.DUMMYFUNCTION("""COMPUTED_VALUE"""),13388976)</f>
        <v>13388976</v>
      </c>
      <c r="G81" s="10" t="str">
        <f ca="1">IFERROR(__xludf.DUMMYFUNCTION("""COMPUTED_VALUE"""),"Resolución")</f>
        <v>Resolución</v>
      </c>
      <c r="H81" s="10" t="str">
        <f ca="1">IFERROR(__xludf.DUMMYFUNCTION("""COMPUTED_VALUE"""),"BONO ASEO EXTERNALIZADO")</f>
        <v>BONO ASEO EXTERNALIZADO</v>
      </c>
      <c r="I81" s="10" t="str">
        <f ca="1">IFERROR(__xludf.DUMMYFUNCTION("""COMPUTED_VALUE"""),"Cumplir con normativa y reglamentos internos del programa en base a los objetivos.")</f>
        <v>Cumplir con normativa y reglamentos internos del programa en base a los objetivos.</v>
      </c>
      <c r="J81" s="11">
        <f ca="1">IFERROR(__xludf.DUMMYFUNCTION("""COMPUTED_VALUE"""),13388976)</f>
        <v>13388976</v>
      </c>
      <c r="K81" s="27">
        <f ca="1">IFERROR(__xludf.DUMMYFUNCTION("""COMPUTED_VALUE"""),1)</f>
        <v>1</v>
      </c>
      <c r="L81" s="28" t="str">
        <f ca="1">IFERROR(__xludf.DUMMYFUNCTION("""COMPUTED_VALUE"""),"5/2024")</f>
        <v>5/2024</v>
      </c>
      <c r="M81" s="10" t="str">
        <f ca="1">IFERROR(__xludf.DUMMYFUNCTION("""COMPUTED_VALUE"""),"Predios Exentos")</f>
        <v>Predios Exentos</v>
      </c>
      <c r="N81" s="1"/>
      <c r="O81" s="1"/>
      <c r="P81" s="1"/>
      <c r="Q81" s="1"/>
      <c r="R81" s="1"/>
      <c r="S81" s="1"/>
      <c r="T81" s="1"/>
      <c r="U81" s="1"/>
      <c r="V81" s="1"/>
      <c r="W81" s="1"/>
      <c r="X81" s="1"/>
      <c r="Y81" s="1"/>
      <c r="Z81" s="1"/>
    </row>
    <row r="82" spans="1:26" ht="12.75" customHeight="1">
      <c r="A82" s="1"/>
      <c r="B82" s="10" t="str">
        <f ca="1">IFERROR(__xludf.DUMMYFUNCTION("""COMPUTED_VALUE"""),"Bono de aseo externalizado 2024")</f>
        <v>Bono de aseo externalizado 2024</v>
      </c>
      <c r="C82" s="26" t="str">
        <f t="shared" ca="1" si="0"/>
        <v xml:space="preserve"> PEUMO</v>
      </c>
      <c r="D82" s="10" t="str">
        <f ca="1">IFERROR(__xludf.DUMMYFUNCTION("""COMPUTED_VALUE"""),"Resolución de Transferencia")</f>
        <v>Resolución de Transferencia</v>
      </c>
      <c r="E82" s="26" t="str">
        <f ca="1">IFERROR(__xludf.DUMMYFUNCTION("""COMPUTED_VALUE"""),"MUNICIPALIDAD DE PEUMO")</f>
        <v>MUNICIPALIDAD DE PEUMO</v>
      </c>
      <c r="F82" s="11">
        <f ca="1">IFERROR(__xludf.DUMMYFUNCTION("""COMPUTED_VALUE"""),16736220)</f>
        <v>16736220</v>
      </c>
      <c r="G82" s="10" t="str">
        <f ca="1">IFERROR(__xludf.DUMMYFUNCTION("""COMPUTED_VALUE"""),"Resolución")</f>
        <v>Resolución</v>
      </c>
      <c r="H82" s="10" t="str">
        <f ca="1">IFERROR(__xludf.DUMMYFUNCTION("""COMPUTED_VALUE"""),"BONO ASEO EXTERNALIZADO")</f>
        <v>BONO ASEO EXTERNALIZADO</v>
      </c>
      <c r="I82" s="10" t="str">
        <f ca="1">IFERROR(__xludf.DUMMYFUNCTION("""COMPUTED_VALUE"""),"Cumplir con normativa y reglamentos internos del programa en base a los objetivos.")</f>
        <v>Cumplir con normativa y reglamentos internos del programa en base a los objetivos.</v>
      </c>
      <c r="J82" s="11">
        <f ca="1">IFERROR(__xludf.DUMMYFUNCTION("""COMPUTED_VALUE"""),16736220)</f>
        <v>16736220</v>
      </c>
      <c r="K82" s="27">
        <f ca="1">IFERROR(__xludf.DUMMYFUNCTION("""COMPUTED_VALUE"""),1)</f>
        <v>1</v>
      </c>
      <c r="L82" s="28" t="str">
        <f ca="1">IFERROR(__xludf.DUMMYFUNCTION("""COMPUTED_VALUE"""),"5/2024")</f>
        <v>5/2024</v>
      </c>
      <c r="M82" s="10" t="str">
        <f ca="1">IFERROR(__xludf.DUMMYFUNCTION("""COMPUTED_VALUE"""),"Predios Exentos")</f>
        <v>Predios Exentos</v>
      </c>
      <c r="N82" s="1"/>
      <c r="O82" s="1"/>
      <c r="P82" s="1"/>
      <c r="Q82" s="1"/>
      <c r="R82" s="1"/>
      <c r="S82" s="1"/>
      <c r="T82" s="1"/>
      <c r="U82" s="1"/>
      <c r="V82" s="1"/>
      <c r="W82" s="1"/>
      <c r="X82" s="1"/>
      <c r="Y82" s="1"/>
      <c r="Z82" s="1"/>
    </row>
    <row r="83" spans="1:26" ht="12.75" customHeight="1">
      <c r="A83" s="1"/>
      <c r="B83" s="10" t="str">
        <f ca="1">IFERROR(__xludf.DUMMYFUNCTION("""COMPUTED_VALUE"""),"Bono de aseo externalizado 2024")</f>
        <v>Bono de aseo externalizado 2024</v>
      </c>
      <c r="C83" s="26" t="str">
        <f t="shared" ca="1" si="0"/>
        <v xml:space="preserve"> PICHIDEGUA</v>
      </c>
      <c r="D83" s="10" t="str">
        <f ca="1">IFERROR(__xludf.DUMMYFUNCTION("""COMPUTED_VALUE"""),"Resolución de Transferencia")</f>
        <v>Resolución de Transferencia</v>
      </c>
      <c r="E83" s="26" t="str">
        <f ca="1">IFERROR(__xludf.DUMMYFUNCTION("""COMPUTED_VALUE"""),"MUNICIPALIDAD DE PICHIDEGUA")</f>
        <v>MUNICIPALIDAD DE PICHIDEGUA</v>
      </c>
      <c r="F83" s="11">
        <f ca="1">IFERROR(__xludf.DUMMYFUNCTION("""COMPUTED_VALUE"""),21199212)</f>
        <v>21199212</v>
      </c>
      <c r="G83" s="10" t="str">
        <f ca="1">IFERROR(__xludf.DUMMYFUNCTION("""COMPUTED_VALUE"""),"Resolución")</f>
        <v>Resolución</v>
      </c>
      <c r="H83" s="10" t="str">
        <f ca="1">IFERROR(__xludf.DUMMYFUNCTION("""COMPUTED_VALUE"""),"BONO ASEO EXTERNALIZADO")</f>
        <v>BONO ASEO EXTERNALIZADO</v>
      </c>
      <c r="I83" s="10" t="str">
        <f ca="1">IFERROR(__xludf.DUMMYFUNCTION("""COMPUTED_VALUE"""),"Cumplir con normativa y reglamentos internos del programa en base a los objetivos.")</f>
        <v>Cumplir con normativa y reglamentos internos del programa en base a los objetivos.</v>
      </c>
      <c r="J83" s="11">
        <f ca="1">IFERROR(__xludf.DUMMYFUNCTION("""COMPUTED_VALUE"""),21199212)</f>
        <v>21199212</v>
      </c>
      <c r="K83" s="27">
        <f ca="1">IFERROR(__xludf.DUMMYFUNCTION("""COMPUTED_VALUE"""),1)</f>
        <v>1</v>
      </c>
      <c r="L83" s="28" t="str">
        <f ca="1">IFERROR(__xludf.DUMMYFUNCTION("""COMPUTED_VALUE"""),"5/2024")</f>
        <v>5/2024</v>
      </c>
      <c r="M83" s="10" t="str">
        <f ca="1">IFERROR(__xludf.DUMMYFUNCTION("""COMPUTED_VALUE"""),"Predios Exentos")</f>
        <v>Predios Exentos</v>
      </c>
      <c r="N83" s="1"/>
      <c r="O83" s="1"/>
      <c r="P83" s="1"/>
      <c r="Q83" s="1"/>
      <c r="R83" s="1"/>
      <c r="S83" s="1"/>
      <c r="T83" s="1"/>
      <c r="U83" s="1"/>
      <c r="V83" s="1"/>
      <c r="W83" s="1"/>
      <c r="X83" s="1"/>
      <c r="Y83" s="1"/>
      <c r="Z83" s="1"/>
    </row>
    <row r="84" spans="1:26" ht="12.75" customHeight="1">
      <c r="A84" s="1"/>
      <c r="B84" s="10" t="str">
        <f ca="1">IFERROR(__xludf.DUMMYFUNCTION("""COMPUTED_VALUE"""),"Bono de aseo externalizado 2024")</f>
        <v>Bono de aseo externalizado 2024</v>
      </c>
      <c r="C84" s="26" t="str">
        <f t="shared" ca="1" si="0"/>
        <v xml:space="preserve"> QUINTA DE TILCOCO</v>
      </c>
      <c r="D84" s="10" t="str">
        <f ca="1">IFERROR(__xludf.DUMMYFUNCTION("""COMPUTED_VALUE"""),"Resolución de Transferencia")</f>
        <v>Resolución de Transferencia</v>
      </c>
      <c r="E84" s="26" t="str">
        <f ca="1">IFERROR(__xludf.DUMMYFUNCTION("""COMPUTED_VALUE"""),"MUNICIPALIDAD DE QUINTA DE TILCOCO")</f>
        <v>MUNICIPALIDAD DE QUINTA DE TILCOCO</v>
      </c>
      <c r="F84" s="11">
        <f ca="1">IFERROR(__xludf.DUMMYFUNCTION("""COMPUTED_VALUE"""),8925984)</f>
        <v>8925984</v>
      </c>
      <c r="G84" s="10" t="str">
        <f ca="1">IFERROR(__xludf.DUMMYFUNCTION("""COMPUTED_VALUE"""),"Resolución")</f>
        <v>Resolución</v>
      </c>
      <c r="H84" s="10" t="str">
        <f ca="1">IFERROR(__xludf.DUMMYFUNCTION("""COMPUTED_VALUE"""),"BONO ASEO EXTERNALIZADO")</f>
        <v>BONO ASEO EXTERNALIZADO</v>
      </c>
      <c r="I84" s="10" t="str">
        <f ca="1">IFERROR(__xludf.DUMMYFUNCTION("""COMPUTED_VALUE"""),"Cumplir con normativa y reglamentos internos del programa en base a los objetivos.")</f>
        <v>Cumplir con normativa y reglamentos internos del programa en base a los objetivos.</v>
      </c>
      <c r="J84" s="11">
        <f ca="1">IFERROR(__xludf.DUMMYFUNCTION("""COMPUTED_VALUE"""),8925984)</f>
        <v>8925984</v>
      </c>
      <c r="K84" s="27">
        <f ca="1">IFERROR(__xludf.DUMMYFUNCTION("""COMPUTED_VALUE"""),1)</f>
        <v>1</v>
      </c>
      <c r="L84" s="28" t="str">
        <f ca="1">IFERROR(__xludf.DUMMYFUNCTION("""COMPUTED_VALUE"""),"5/2024")</f>
        <v>5/2024</v>
      </c>
      <c r="M84" s="10" t="str">
        <f ca="1">IFERROR(__xludf.DUMMYFUNCTION("""COMPUTED_VALUE"""),"Predios Exentos")</f>
        <v>Predios Exentos</v>
      </c>
      <c r="N84" s="1"/>
      <c r="O84" s="1"/>
      <c r="P84" s="1"/>
      <c r="Q84" s="1"/>
      <c r="R84" s="1"/>
      <c r="S84" s="1"/>
      <c r="T84" s="1"/>
      <c r="U84" s="1"/>
      <c r="V84" s="1"/>
      <c r="W84" s="1"/>
      <c r="X84" s="1"/>
      <c r="Y84" s="1"/>
      <c r="Z84" s="1"/>
    </row>
    <row r="85" spans="1:26" ht="12.75" customHeight="1">
      <c r="A85" s="1"/>
      <c r="B85" s="10" t="str">
        <f ca="1">IFERROR(__xludf.DUMMYFUNCTION("""COMPUTED_VALUE"""),"Bono de aseo externalizado 2024")</f>
        <v>Bono de aseo externalizado 2024</v>
      </c>
      <c r="C85" s="26" t="str">
        <f t="shared" ca="1" si="0"/>
        <v xml:space="preserve"> RENGO</v>
      </c>
      <c r="D85" s="10" t="str">
        <f ca="1">IFERROR(__xludf.DUMMYFUNCTION("""COMPUTED_VALUE"""),"Resolución de Transferencia")</f>
        <v>Resolución de Transferencia</v>
      </c>
      <c r="E85" s="26" t="str">
        <f ca="1">IFERROR(__xludf.DUMMYFUNCTION("""COMPUTED_VALUE"""),"MUNICIPALIDAD DE RENGO")</f>
        <v>MUNICIPALIDAD DE RENGO</v>
      </c>
      <c r="F85" s="11">
        <f ca="1">IFERROR(__xludf.DUMMYFUNCTION("""COMPUTED_VALUE"""),34588188)</f>
        <v>34588188</v>
      </c>
      <c r="G85" s="10" t="str">
        <f ca="1">IFERROR(__xludf.DUMMYFUNCTION("""COMPUTED_VALUE"""),"Resolución")</f>
        <v>Resolución</v>
      </c>
      <c r="H85" s="10" t="str">
        <f ca="1">IFERROR(__xludf.DUMMYFUNCTION("""COMPUTED_VALUE"""),"BONO ASEO EXTERNALIZADO")</f>
        <v>BONO ASEO EXTERNALIZADO</v>
      </c>
      <c r="I85" s="10" t="str">
        <f ca="1">IFERROR(__xludf.DUMMYFUNCTION("""COMPUTED_VALUE"""),"Cumplir con normativa y reglamentos internos del programa en base a los objetivos.")</f>
        <v>Cumplir con normativa y reglamentos internos del programa en base a los objetivos.</v>
      </c>
      <c r="J85" s="11">
        <f ca="1">IFERROR(__xludf.DUMMYFUNCTION("""COMPUTED_VALUE"""),34588188)</f>
        <v>34588188</v>
      </c>
      <c r="K85" s="27">
        <f ca="1">IFERROR(__xludf.DUMMYFUNCTION("""COMPUTED_VALUE"""),1)</f>
        <v>1</v>
      </c>
      <c r="L85" s="28" t="str">
        <f ca="1">IFERROR(__xludf.DUMMYFUNCTION("""COMPUTED_VALUE"""),"5/2024")</f>
        <v>5/2024</v>
      </c>
      <c r="M85" s="10" t="str">
        <f ca="1">IFERROR(__xludf.DUMMYFUNCTION("""COMPUTED_VALUE"""),"Predios Exentos")</f>
        <v>Predios Exentos</v>
      </c>
      <c r="N85" s="1"/>
      <c r="O85" s="1"/>
      <c r="P85" s="1"/>
      <c r="Q85" s="1"/>
      <c r="R85" s="1"/>
      <c r="S85" s="1"/>
      <c r="T85" s="1"/>
      <c r="U85" s="1"/>
      <c r="V85" s="1"/>
      <c r="W85" s="1"/>
      <c r="X85" s="1"/>
      <c r="Y85" s="1"/>
      <c r="Z85" s="1"/>
    </row>
    <row r="86" spans="1:26" ht="12.75" customHeight="1">
      <c r="A86" s="1"/>
      <c r="B86" s="10" t="str">
        <f ca="1">IFERROR(__xludf.DUMMYFUNCTION("""COMPUTED_VALUE"""),"Bono de aseo externalizado 2024")</f>
        <v>Bono de aseo externalizado 2024</v>
      </c>
      <c r="C86" s="26" t="str">
        <f t="shared" ca="1" si="0"/>
        <v xml:space="preserve"> REQUÍNOA</v>
      </c>
      <c r="D86" s="10" t="str">
        <f ca="1">IFERROR(__xludf.DUMMYFUNCTION("""COMPUTED_VALUE"""),"Resolución de Transferencia")</f>
        <v>Resolución de Transferencia</v>
      </c>
      <c r="E86" s="26" t="str">
        <f ca="1">IFERROR(__xludf.DUMMYFUNCTION("""COMPUTED_VALUE"""),"MUNICIPALIDAD DE REQUÍNOA")</f>
        <v>MUNICIPALIDAD DE REQUÍNOA</v>
      </c>
      <c r="F86" s="11">
        <f ca="1">IFERROR(__xludf.DUMMYFUNCTION("""COMPUTED_VALUE"""),23430708)</f>
        <v>23430708</v>
      </c>
      <c r="G86" s="10" t="str">
        <f ca="1">IFERROR(__xludf.DUMMYFUNCTION("""COMPUTED_VALUE"""),"Resolución")</f>
        <v>Resolución</v>
      </c>
      <c r="H86" s="10" t="str">
        <f ca="1">IFERROR(__xludf.DUMMYFUNCTION("""COMPUTED_VALUE"""),"BONO ASEO EXTERNALIZADO")</f>
        <v>BONO ASEO EXTERNALIZADO</v>
      </c>
      <c r="I86" s="10" t="str">
        <f ca="1">IFERROR(__xludf.DUMMYFUNCTION("""COMPUTED_VALUE"""),"Cumplir con normativa y reglamentos internos del programa en base a los objetivos.")</f>
        <v>Cumplir con normativa y reglamentos internos del programa en base a los objetivos.</v>
      </c>
      <c r="J86" s="11">
        <f ca="1">IFERROR(__xludf.DUMMYFUNCTION("""COMPUTED_VALUE"""),23430708)</f>
        <v>23430708</v>
      </c>
      <c r="K86" s="27">
        <f ca="1">IFERROR(__xludf.DUMMYFUNCTION("""COMPUTED_VALUE"""),1)</f>
        <v>1</v>
      </c>
      <c r="L86" s="28" t="str">
        <f ca="1">IFERROR(__xludf.DUMMYFUNCTION("""COMPUTED_VALUE"""),"5/2024")</f>
        <v>5/2024</v>
      </c>
      <c r="M86" s="10" t="str">
        <f ca="1">IFERROR(__xludf.DUMMYFUNCTION("""COMPUTED_VALUE"""),"Predios Exentos")</f>
        <v>Predios Exentos</v>
      </c>
      <c r="N86" s="1"/>
      <c r="O86" s="1"/>
      <c r="P86" s="1"/>
      <c r="Q86" s="1"/>
      <c r="R86" s="1"/>
      <c r="S86" s="1"/>
      <c r="T86" s="1"/>
      <c r="U86" s="1"/>
      <c r="V86" s="1"/>
      <c r="W86" s="1"/>
      <c r="X86" s="1"/>
      <c r="Y86" s="1"/>
      <c r="Z86" s="1"/>
    </row>
    <row r="87" spans="1:26" ht="12.75" customHeight="1">
      <c r="A87" s="1"/>
      <c r="B87" s="10" t="str">
        <f ca="1">IFERROR(__xludf.DUMMYFUNCTION("""COMPUTED_VALUE"""),"Bono de aseo externalizado 2024")</f>
        <v>Bono de aseo externalizado 2024</v>
      </c>
      <c r="C87" s="26" t="str">
        <f t="shared" ca="1" si="0"/>
        <v xml:space="preserve"> SAN VICENTE</v>
      </c>
      <c r="D87" s="10" t="str">
        <f ca="1">IFERROR(__xludf.DUMMYFUNCTION("""COMPUTED_VALUE"""),"Resolución de Transferencia")</f>
        <v>Resolución de Transferencia</v>
      </c>
      <c r="E87" s="26" t="str">
        <f ca="1">IFERROR(__xludf.DUMMYFUNCTION("""COMPUTED_VALUE"""),"MUNICIPALIDAD DE SAN VICENTE")</f>
        <v>MUNICIPALIDAD DE SAN VICENTE</v>
      </c>
      <c r="F87" s="11">
        <f ca="1">IFERROR(__xludf.DUMMYFUNCTION("""COMPUTED_VALUE"""),44629920)</f>
        <v>44629920</v>
      </c>
      <c r="G87" s="10" t="str">
        <f ca="1">IFERROR(__xludf.DUMMYFUNCTION("""COMPUTED_VALUE"""),"Resolución")</f>
        <v>Resolución</v>
      </c>
      <c r="H87" s="10" t="str">
        <f ca="1">IFERROR(__xludf.DUMMYFUNCTION("""COMPUTED_VALUE"""),"BONO ASEO EXTERNALIZADO")</f>
        <v>BONO ASEO EXTERNALIZADO</v>
      </c>
      <c r="I87" s="10" t="str">
        <f ca="1">IFERROR(__xludf.DUMMYFUNCTION("""COMPUTED_VALUE"""),"Cumplir con normativa y reglamentos internos del programa en base a los objetivos.")</f>
        <v>Cumplir con normativa y reglamentos internos del programa en base a los objetivos.</v>
      </c>
      <c r="J87" s="11">
        <f ca="1">IFERROR(__xludf.DUMMYFUNCTION("""COMPUTED_VALUE"""),44629920)</f>
        <v>44629920</v>
      </c>
      <c r="K87" s="27">
        <f ca="1">IFERROR(__xludf.DUMMYFUNCTION("""COMPUTED_VALUE"""),1)</f>
        <v>1</v>
      </c>
      <c r="L87" s="28" t="str">
        <f ca="1">IFERROR(__xludf.DUMMYFUNCTION("""COMPUTED_VALUE"""),"5/2024")</f>
        <v>5/2024</v>
      </c>
      <c r="M87" s="10" t="str">
        <f ca="1">IFERROR(__xludf.DUMMYFUNCTION("""COMPUTED_VALUE"""),"Predios Exentos")</f>
        <v>Predios Exentos</v>
      </c>
      <c r="N87" s="1"/>
      <c r="O87" s="1"/>
      <c r="P87" s="1"/>
      <c r="Q87" s="1"/>
      <c r="R87" s="1"/>
      <c r="S87" s="1"/>
      <c r="T87" s="1"/>
      <c r="U87" s="1"/>
      <c r="V87" s="1"/>
      <c r="W87" s="1"/>
      <c r="X87" s="1"/>
      <c r="Y87" s="1"/>
      <c r="Z87" s="1"/>
    </row>
    <row r="88" spans="1:26" ht="12.75" customHeight="1">
      <c r="A88" s="1"/>
      <c r="B88" s="10" t="str">
        <f ca="1">IFERROR(__xludf.DUMMYFUNCTION("""COMPUTED_VALUE"""),"Bono de aseo externalizado 2024")</f>
        <v>Bono de aseo externalizado 2024</v>
      </c>
      <c r="C88" s="26" t="str">
        <f t="shared" ca="1" si="0"/>
        <v xml:space="preserve"> PICHILEMU</v>
      </c>
      <c r="D88" s="10" t="str">
        <f ca="1">IFERROR(__xludf.DUMMYFUNCTION("""COMPUTED_VALUE"""),"Resolución de Transferencia")</f>
        <v>Resolución de Transferencia</v>
      </c>
      <c r="E88" s="26" t="str">
        <f ca="1">IFERROR(__xludf.DUMMYFUNCTION("""COMPUTED_VALUE"""),"MUNICIPALIDAD DE PICHILEMU")</f>
        <v>MUNICIPALIDAD DE PICHILEMU</v>
      </c>
      <c r="F88" s="11">
        <f ca="1">IFERROR(__xludf.DUMMYFUNCTION("""COMPUTED_VALUE"""),32356692)</f>
        <v>32356692</v>
      </c>
      <c r="G88" s="10" t="str">
        <f ca="1">IFERROR(__xludf.DUMMYFUNCTION("""COMPUTED_VALUE"""),"Resolución")</f>
        <v>Resolución</v>
      </c>
      <c r="H88" s="10" t="str">
        <f ca="1">IFERROR(__xludf.DUMMYFUNCTION("""COMPUTED_VALUE"""),"BONO ASEO EXTERNALIZADO")</f>
        <v>BONO ASEO EXTERNALIZADO</v>
      </c>
      <c r="I88" s="10" t="str">
        <f ca="1">IFERROR(__xludf.DUMMYFUNCTION("""COMPUTED_VALUE"""),"Cumplir con normativa y reglamentos internos del programa en base a los objetivos.")</f>
        <v>Cumplir con normativa y reglamentos internos del programa en base a los objetivos.</v>
      </c>
      <c r="J88" s="11">
        <f ca="1">IFERROR(__xludf.DUMMYFUNCTION("""COMPUTED_VALUE"""),32356692)</f>
        <v>32356692</v>
      </c>
      <c r="K88" s="27">
        <f ca="1">IFERROR(__xludf.DUMMYFUNCTION("""COMPUTED_VALUE"""),1)</f>
        <v>1</v>
      </c>
      <c r="L88" s="28" t="str">
        <f ca="1">IFERROR(__xludf.DUMMYFUNCTION("""COMPUTED_VALUE"""),"5/2024")</f>
        <v>5/2024</v>
      </c>
      <c r="M88" s="10" t="str">
        <f ca="1">IFERROR(__xludf.DUMMYFUNCTION("""COMPUTED_VALUE"""),"Predios Exentos")</f>
        <v>Predios Exentos</v>
      </c>
      <c r="N88" s="1"/>
      <c r="O88" s="1"/>
      <c r="P88" s="1"/>
      <c r="Q88" s="1"/>
      <c r="R88" s="1"/>
      <c r="S88" s="1"/>
      <c r="T88" s="1"/>
      <c r="U88" s="1"/>
      <c r="V88" s="1"/>
      <c r="W88" s="1"/>
      <c r="X88" s="1"/>
      <c r="Y88" s="1"/>
      <c r="Z88" s="1"/>
    </row>
    <row r="89" spans="1:26" ht="12.75" customHeight="1">
      <c r="A89" s="1"/>
      <c r="B89" s="10" t="str">
        <f ca="1">IFERROR(__xludf.DUMMYFUNCTION("""COMPUTED_VALUE"""),"Bono de aseo externalizado 2024")</f>
        <v>Bono de aseo externalizado 2024</v>
      </c>
      <c r="C89" s="26" t="str">
        <f t="shared" ca="1" si="0"/>
        <v xml:space="preserve"> LITUECHE</v>
      </c>
      <c r="D89" s="10" t="str">
        <f ca="1">IFERROR(__xludf.DUMMYFUNCTION("""COMPUTED_VALUE"""),"Resolución de Transferencia")</f>
        <v>Resolución de Transferencia</v>
      </c>
      <c r="E89" s="26" t="str">
        <f ca="1">IFERROR(__xludf.DUMMYFUNCTION("""COMPUTED_VALUE"""),"MUNICIPALIDAD DE LITUECHE")</f>
        <v>MUNICIPALIDAD DE LITUECHE</v>
      </c>
      <c r="F89" s="11">
        <f ca="1">IFERROR(__xludf.DUMMYFUNCTION("""COMPUTED_VALUE"""),11157480)</f>
        <v>11157480</v>
      </c>
      <c r="G89" s="10" t="str">
        <f ca="1">IFERROR(__xludf.DUMMYFUNCTION("""COMPUTED_VALUE"""),"Resolución")</f>
        <v>Resolución</v>
      </c>
      <c r="H89" s="10" t="str">
        <f ca="1">IFERROR(__xludf.DUMMYFUNCTION("""COMPUTED_VALUE"""),"BONO ASEO EXTERNALIZADO")</f>
        <v>BONO ASEO EXTERNALIZADO</v>
      </c>
      <c r="I89" s="10" t="str">
        <f ca="1">IFERROR(__xludf.DUMMYFUNCTION("""COMPUTED_VALUE"""),"Cumplir con normativa y reglamentos internos del programa en base a los objetivos.")</f>
        <v>Cumplir con normativa y reglamentos internos del programa en base a los objetivos.</v>
      </c>
      <c r="J89" s="11">
        <f ca="1">IFERROR(__xludf.DUMMYFUNCTION("""COMPUTED_VALUE"""),11157480)</f>
        <v>11157480</v>
      </c>
      <c r="K89" s="27">
        <f ca="1">IFERROR(__xludf.DUMMYFUNCTION("""COMPUTED_VALUE"""),1)</f>
        <v>1</v>
      </c>
      <c r="L89" s="28" t="str">
        <f ca="1">IFERROR(__xludf.DUMMYFUNCTION("""COMPUTED_VALUE"""),"5/2024")</f>
        <v>5/2024</v>
      </c>
      <c r="M89" s="10" t="str">
        <f ca="1">IFERROR(__xludf.DUMMYFUNCTION("""COMPUTED_VALUE"""),"Predios Exentos")</f>
        <v>Predios Exentos</v>
      </c>
      <c r="N89" s="1"/>
      <c r="O89" s="1"/>
      <c r="P89" s="1"/>
      <c r="Q89" s="1"/>
      <c r="R89" s="1"/>
      <c r="S89" s="1"/>
      <c r="T89" s="1"/>
      <c r="U89" s="1"/>
      <c r="V89" s="1"/>
      <c r="W89" s="1"/>
      <c r="X89" s="1"/>
      <c r="Y89" s="1"/>
      <c r="Z89" s="1"/>
    </row>
    <row r="90" spans="1:26" ht="12.75" customHeight="1">
      <c r="A90" s="1"/>
      <c r="B90" s="10" t="str">
        <f ca="1">IFERROR(__xludf.DUMMYFUNCTION("""COMPUTED_VALUE"""),"Bono de aseo externalizado 2024")</f>
        <v>Bono de aseo externalizado 2024</v>
      </c>
      <c r="C90" s="26" t="str">
        <f t="shared" ca="1" si="0"/>
        <v xml:space="preserve"> NAVIDAD</v>
      </c>
      <c r="D90" s="10" t="str">
        <f ca="1">IFERROR(__xludf.DUMMYFUNCTION("""COMPUTED_VALUE"""),"Resolución de Transferencia")</f>
        <v>Resolución de Transferencia</v>
      </c>
      <c r="E90" s="26" t="str">
        <f ca="1">IFERROR(__xludf.DUMMYFUNCTION("""COMPUTED_VALUE"""),"MUNICIPALIDAD DE NAVIDAD")</f>
        <v>MUNICIPALIDAD DE NAVIDAD</v>
      </c>
      <c r="F90" s="11">
        <f ca="1">IFERROR(__xludf.DUMMYFUNCTION("""COMPUTED_VALUE"""),34588188)</f>
        <v>34588188</v>
      </c>
      <c r="G90" s="10" t="str">
        <f ca="1">IFERROR(__xludf.DUMMYFUNCTION("""COMPUTED_VALUE"""),"Resolución")</f>
        <v>Resolución</v>
      </c>
      <c r="H90" s="10" t="str">
        <f ca="1">IFERROR(__xludf.DUMMYFUNCTION("""COMPUTED_VALUE"""),"BONO ASEO EXTERNALIZADO")</f>
        <v>BONO ASEO EXTERNALIZADO</v>
      </c>
      <c r="I90" s="10" t="str">
        <f ca="1">IFERROR(__xludf.DUMMYFUNCTION("""COMPUTED_VALUE"""),"Cumplir con normativa y reglamentos internos del programa en base a los objetivos.")</f>
        <v>Cumplir con normativa y reglamentos internos del programa en base a los objetivos.</v>
      </c>
      <c r="J90" s="11">
        <f ca="1">IFERROR(__xludf.DUMMYFUNCTION("""COMPUTED_VALUE"""),34588188)</f>
        <v>34588188</v>
      </c>
      <c r="K90" s="27">
        <f ca="1">IFERROR(__xludf.DUMMYFUNCTION("""COMPUTED_VALUE"""),1)</f>
        <v>1</v>
      </c>
      <c r="L90" s="28" t="str">
        <f ca="1">IFERROR(__xludf.DUMMYFUNCTION("""COMPUTED_VALUE"""),"5/2024")</f>
        <v>5/2024</v>
      </c>
      <c r="M90" s="10" t="str">
        <f ca="1">IFERROR(__xludf.DUMMYFUNCTION("""COMPUTED_VALUE"""),"Predios Exentos")</f>
        <v>Predios Exentos</v>
      </c>
      <c r="N90" s="1"/>
      <c r="O90" s="1"/>
      <c r="P90" s="1"/>
      <c r="Q90" s="1"/>
      <c r="R90" s="1"/>
      <c r="S90" s="1"/>
      <c r="T90" s="1"/>
      <c r="U90" s="1"/>
      <c r="V90" s="1"/>
      <c r="W90" s="1"/>
      <c r="X90" s="1"/>
      <c r="Y90" s="1"/>
      <c r="Z90" s="1"/>
    </row>
    <row r="91" spans="1:26" ht="12.75" customHeight="1">
      <c r="A91" s="1"/>
      <c r="B91" s="10" t="str">
        <f ca="1">IFERROR(__xludf.DUMMYFUNCTION("""COMPUTED_VALUE"""),"Bono de aseo externalizado 2024")</f>
        <v>Bono de aseo externalizado 2024</v>
      </c>
      <c r="C91" s="26" t="str">
        <f t="shared" ca="1" si="0"/>
        <v xml:space="preserve"> SAN FERNANDO</v>
      </c>
      <c r="D91" s="10" t="str">
        <f ca="1">IFERROR(__xludf.DUMMYFUNCTION("""COMPUTED_VALUE"""),"Resolución de Transferencia")</f>
        <v>Resolución de Transferencia</v>
      </c>
      <c r="E91" s="26" t="str">
        <f ca="1">IFERROR(__xludf.DUMMYFUNCTION("""COMPUTED_VALUE"""),"MUNICIPALIDAD DE SAN FERNANDO")</f>
        <v>MUNICIPALIDAD DE SAN FERNANDO</v>
      </c>
      <c r="F91" s="11">
        <f ca="1">IFERROR(__xludf.DUMMYFUNCTION("""COMPUTED_VALUE"""),109343304)</f>
        <v>109343304</v>
      </c>
      <c r="G91" s="10" t="str">
        <f ca="1">IFERROR(__xludf.DUMMYFUNCTION("""COMPUTED_VALUE"""),"Resolución")</f>
        <v>Resolución</v>
      </c>
      <c r="H91" s="10" t="str">
        <f ca="1">IFERROR(__xludf.DUMMYFUNCTION("""COMPUTED_VALUE"""),"BONO ASEO EXTERNALIZADO")</f>
        <v>BONO ASEO EXTERNALIZADO</v>
      </c>
      <c r="I91" s="10" t="str">
        <f ca="1">IFERROR(__xludf.DUMMYFUNCTION("""COMPUTED_VALUE"""),"Cumplir con normativa y reglamentos internos del programa en base a los objetivos.")</f>
        <v>Cumplir con normativa y reglamentos internos del programa en base a los objetivos.</v>
      </c>
      <c r="J91" s="11">
        <f ca="1">IFERROR(__xludf.DUMMYFUNCTION("""COMPUTED_VALUE"""),109343304)</f>
        <v>109343304</v>
      </c>
      <c r="K91" s="27">
        <f ca="1">IFERROR(__xludf.DUMMYFUNCTION("""COMPUTED_VALUE"""),1)</f>
        <v>1</v>
      </c>
      <c r="L91" s="28" t="str">
        <f ca="1">IFERROR(__xludf.DUMMYFUNCTION("""COMPUTED_VALUE"""),"5/2024")</f>
        <v>5/2024</v>
      </c>
      <c r="M91" s="10" t="str">
        <f ca="1">IFERROR(__xludf.DUMMYFUNCTION("""COMPUTED_VALUE"""),"Predios Exentos")</f>
        <v>Predios Exentos</v>
      </c>
      <c r="N91" s="1"/>
      <c r="O91" s="1"/>
      <c r="P91" s="1"/>
      <c r="Q91" s="1"/>
      <c r="R91" s="1"/>
      <c r="S91" s="1"/>
      <c r="T91" s="1"/>
      <c r="U91" s="1"/>
      <c r="V91" s="1"/>
      <c r="W91" s="1"/>
      <c r="X91" s="1"/>
      <c r="Y91" s="1"/>
      <c r="Z91" s="1"/>
    </row>
    <row r="92" spans="1:26" ht="12.75" customHeight="1">
      <c r="A92" s="1"/>
      <c r="B92" s="10" t="str">
        <f ca="1">IFERROR(__xludf.DUMMYFUNCTION("""COMPUTED_VALUE"""),"Bono de aseo externalizado 2024")</f>
        <v>Bono de aseo externalizado 2024</v>
      </c>
      <c r="C92" s="26" t="str">
        <f t="shared" ca="1" si="0"/>
        <v xml:space="preserve"> CHÉPICA</v>
      </c>
      <c r="D92" s="10" t="str">
        <f ca="1">IFERROR(__xludf.DUMMYFUNCTION("""COMPUTED_VALUE"""),"Resolución de Transferencia")</f>
        <v>Resolución de Transferencia</v>
      </c>
      <c r="E92" s="26" t="str">
        <f ca="1">IFERROR(__xludf.DUMMYFUNCTION("""COMPUTED_VALUE"""),"MUNICIPALIDAD DE CHÉPICA")</f>
        <v>MUNICIPALIDAD DE CHÉPICA</v>
      </c>
      <c r="F92" s="11">
        <f ca="1">IFERROR(__xludf.DUMMYFUNCTION("""COMPUTED_VALUE"""),12273228)</f>
        <v>12273228</v>
      </c>
      <c r="G92" s="10" t="str">
        <f ca="1">IFERROR(__xludf.DUMMYFUNCTION("""COMPUTED_VALUE"""),"Resolución")</f>
        <v>Resolución</v>
      </c>
      <c r="H92" s="10" t="str">
        <f ca="1">IFERROR(__xludf.DUMMYFUNCTION("""COMPUTED_VALUE"""),"BONO ASEO EXTERNALIZADO")</f>
        <v>BONO ASEO EXTERNALIZADO</v>
      </c>
      <c r="I92" s="10" t="str">
        <f ca="1">IFERROR(__xludf.DUMMYFUNCTION("""COMPUTED_VALUE"""),"Cumplir con normativa y reglamentos internos del programa en base a los objetivos.")</f>
        <v>Cumplir con normativa y reglamentos internos del programa en base a los objetivos.</v>
      </c>
      <c r="J92" s="11">
        <f ca="1">IFERROR(__xludf.DUMMYFUNCTION("""COMPUTED_VALUE"""),12273228)</f>
        <v>12273228</v>
      </c>
      <c r="K92" s="27">
        <f ca="1">IFERROR(__xludf.DUMMYFUNCTION("""COMPUTED_VALUE"""),1)</f>
        <v>1</v>
      </c>
      <c r="L92" s="28" t="str">
        <f ca="1">IFERROR(__xludf.DUMMYFUNCTION("""COMPUTED_VALUE"""),"5/2024")</f>
        <v>5/2024</v>
      </c>
      <c r="M92" s="10" t="str">
        <f ca="1">IFERROR(__xludf.DUMMYFUNCTION("""COMPUTED_VALUE"""),"Predios Exentos")</f>
        <v>Predios Exentos</v>
      </c>
      <c r="N92" s="1"/>
      <c r="O92" s="1"/>
      <c r="P92" s="1"/>
      <c r="Q92" s="1"/>
      <c r="R92" s="1"/>
      <c r="S92" s="1"/>
      <c r="T92" s="1"/>
      <c r="U92" s="1"/>
      <c r="V92" s="1"/>
      <c r="W92" s="1"/>
      <c r="X92" s="1"/>
      <c r="Y92" s="1"/>
      <c r="Z92" s="1"/>
    </row>
    <row r="93" spans="1:26" ht="12.75" customHeight="1">
      <c r="A93" s="1"/>
      <c r="B93" s="10" t="str">
        <f ca="1">IFERROR(__xludf.DUMMYFUNCTION("""COMPUTED_VALUE"""),"Bono de aseo externalizado 2024")</f>
        <v>Bono de aseo externalizado 2024</v>
      </c>
      <c r="C93" s="26" t="str">
        <f t="shared" ca="1" si="0"/>
        <v xml:space="preserve"> CHIMBARONGO</v>
      </c>
      <c r="D93" s="10" t="str">
        <f ca="1">IFERROR(__xludf.DUMMYFUNCTION("""COMPUTED_VALUE"""),"Resolución de Transferencia")</f>
        <v>Resolución de Transferencia</v>
      </c>
      <c r="E93" s="26" t="str">
        <f ca="1">IFERROR(__xludf.DUMMYFUNCTION("""COMPUTED_VALUE"""),"MUNICIPALIDAD DE CHIMBARONGO")</f>
        <v>MUNICIPALIDAD DE CHIMBARONGO</v>
      </c>
      <c r="F93" s="11">
        <f ca="1">IFERROR(__xludf.DUMMYFUNCTION("""COMPUTED_VALUE"""),24546456)</f>
        <v>24546456</v>
      </c>
      <c r="G93" s="10" t="str">
        <f ca="1">IFERROR(__xludf.DUMMYFUNCTION("""COMPUTED_VALUE"""),"Resolución")</f>
        <v>Resolución</v>
      </c>
      <c r="H93" s="10" t="str">
        <f ca="1">IFERROR(__xludf.DUMMYFUNCTION("""COMPUTED_VALUE"""),"BONO ASEO EXTERNALIZADO")</f>
        <v>BONO ASEO EXTERNALIZADO</v>
      </c>
      <c r="I93" s="10" t="str">
        <f ca="1">IFERROR(__xludf.DUMMYFUNCTION("""COMPUTED_VALUE"""),"Cumplir con normativa y reglamentos internos del programa en base a los objetivos.")</f>
        <v>Cumplir con normativa y reglamentos internos del programa en base a los objetivos.</v>
      </c>
      <c r="J93" s="11">
        <f ca="1">IFERROR(__xludf.DUMMYFUNCTION("""COMPUTED_VALUE"""),24546456)</f>
        <v>24546456</v>
      </c>
      <c r="K93" s="27">
        <f ca="1">IFERROR(__xludf.DUMMYFUNCTION("""COMPUTED_VALUE"""),1)</f>
        <v>1</v>
      </c>
      <c r="L93" s="28" t="str">
        <f ca="1">IFERROR(__xludf.DUMMYFUNCTION("""COMPUTED_VALUE"""),"5/2024")</f>
        <v>5/2024</v>
      </c>
      <c r="M93" s="10" t="str">
        <f ca="1">IFERROR(__xludf.DUMMYFUNCTION("""COMPUTED_VALUE"""),"Predios Exentos")</f>
        <v>Predios Exentos</v>
      </c>
      <c r="N93" s="1"/>
      <c r="O93" s="1"/>
      <c r="P93" s="1"/>
      <c r="Q93" s="1"/>
      <c r="R93" s="1"/>
      <c r="S93" s="1"/>
      <c r="T93" s="1"/>
      <c r="U93" s="1"/>
      <c r="V93" s="1"/>
      <c r="W93" s="1"/>
      <c r="X93" s="1"/>
      <c r="Y93" s="1"/>
      <c r="Z93" s="1"/>
    </row>
    <row r="94" spans="1:26" ht="12.75" customHeight="1">
      <c r="A94" s="1"/>
      <c r="B94" s="10" t="str">
        <f ca="1">IFERROR(__xludf.DUMMYFUNCTION("""COMPUTED_VALUE"""),"Bono de aseo externalizado 2024")</f>
        <v>Bono de aseo externalizado 2024</v>
      </c>
      <c r="C94" s="26" t="str">
        <f t="shared" ca="1" si="0"/>
        <v xml:space="preserve"> LOLOL</v>
      </c>
      <c r="D94" s="10" t="str">
        <f ca="1">IFERROR(__xludf.DUMMYFUNCTION("""COMPUTED_VALUE"""),"Resolución de Transferencia")</f>
        <v>Resolución de Transferencia</v>
      </c>
      <c r="E94" s="26" t="str">
        <f ca="1">IFERROR(__xludf.DUMMYFUNCTION("""COMPUTED_VALUE"""),"MUNICIPALIDAD DE LOLOL")</f>
        <v>MUNICIPALIDAD DE LOLOL</v>
      </c>
      <c r="F94" s="11">
        <f ca="1">IFERROR(__xludf.DUMMYFUNCTION("""COMPUTED_VALUE"""),18967716)</f>
        <v>18967716</v>
      </c>
      <c r="G94" s="10" t="str">
        <f ca="1">IFERROR(__xludf.DUMMYFUNCTION("""COMPUTED_VALUE"""),"Resolución")</f>
        <v>Resolución</v>
      </c>
      <c r="H94" s="10" t="str">
        <f ca="1">IFERROR(__xludf.DUMMYFUNCTION("""COMPUTED_VALUE"""),"BONO ASEO EXTERNALIZADO")</f>
        <v>BONO ASEO EXTERNALIZADO</v>
      </c>
      <c r="I94" s="10" t="str">
        <f ca="1">IFERROR(__xludf.DUMMYFUNCTION("""COMPUTED_VALUE"""),"Cumplir con normativa y reglamentos internos del programa en base a los objetivos.")</f>
        <v>Cumplir con normativa y reglamentos internos del programa en base a los objetivos.</v>
      </c>
      <c r="J94" s="11">
        <f ca="1">IFERROR(__xludf.DUMMYFUNCTION("""COMPUTED_VALUE"""),18967716)</f>
        <v>18967716</v>
      </c>
      <c r="K94" s="27">
        <f ca="1">IFERROR(__xludf.DUMMYFUNCTION("""COMPUTED_VALUE"""),1)</f>
        <v>1</v>
      </c>
      <c r="L94" s="28" t="str">
        <f ca="1">IFERROR(__xludf.DUMMYFUNCTION("""COMPUTED_VALUE"""),"5/2024")</f>
        <v>5/2024</v>
      </c>
      <c r="M94" s="10" t="str">
        <f ca="1">IFERROR(__xludf.DUMMYFUNCTION("""COMPUTED_VALUE"""),"Predios Exentos")</f>
        <v>Predios Exentos</v>
      </c>
      <c r="N94" s="1"/>
      <c r="O94" s="1"/>
      <c r="P94" s="1"/>
      <c r="Q94" s="1"/>
      <c r="R94" s="1"/>
      <c r="S94" s="1"/>
      <c r="T94" s="1"/>
      <c r="U94" s="1"/>
      <c r="V94" s="1"/>
      <c r="W94" s="1"/>
      <c r="X94" s="1"/>
      <c r="Y94" s="1"/>
      <c r="Z94" s="1"/>
    </row>
    <row r="95" spans="1:26" ht="12.75" customHeight="1">
      <c r="A95" s="1"/>
      <c r="B95" s="10" t="str">
        <f ca="1">IFERROR(__xludf.DUMMYFUNCTION("""COMPUTED_VALUE"""),"Bono de aseo externalizado 2024")</f>
        <v>Bono de aseo externalizado 2024</v>
      </c>
      <c r="C95" s="26" t="str">
        <f t="shared" ca="1" si="0"/>
        <v xml:space="preserve"> NANCAGUA</v>
      </c>
      <c r="D95" s="10" t="str">
        <f ca="1">IFERROR(__xludf.DUMMYFUNCTION("""COMPUTED_VALUE"""),"Resolución de Transferencia")</f>
        <v>Resolución de Transferencia</v>
      </c>
      <c r="E95" s="26" t="str">
        <f ca="1">IFERROR(__xludf.DUMMYFUNCTION("""COMPUTED_VALUE"""),"MUNICIPALIDAD DE NANCAGUA")</f>
        <v>MUNICIPALIDAD DE NANCAGUA</v>
      </c>
      <c r="F95" s="11">
        <f ca="1">IFERROR(__xludf.DUMMYFUNCTION("""COMPUTED_VALUE"""),23430708)</f>
        <v>23430708</v>
      </c>
      <c r="G95" s="10" t="str">
        <f ca="1">IFERROR(__xludf.DUMMYFUNCTION("""COMPUTED_VALUE"""),"Resolución")</f>
        <v>Resolución</v>
      </c>
      <c r="H95" s="10" t="str">
        <f ca="1">IFERROR(__xludf.DUMMYFUNCTION("""COMPUTED_VALUE"""),"BONO ASEO EXTERNALIZADO")</f>
        <v>BONO ASEO EXTERNALIZADO</v>
      </c>
      <c r="I95" s="10" t="str">
        <f ca="1">IFERROR(__xludf.DUMMYFUNCTION("""COMPUTED_VALUE"""),"Cumplir con normativa y reglamentos internos del programa en base a los objetivos.")</f>
        <v>Cumplir con normativa y reglamentos internos del programa en base a los objetivos.</v>
      </c>
      <c r="J95" s="11">
        <f ca="1">IFERROR(__xludf.DUMMYFUNCTION("""COMPUTED_VALUE"""),23430708)</f>
        <v>23430708</v>
      </c>
      <c r="K95" s="27">
        <f ca="1">IFERROR(__xludf.DUMMYFUNCTION("""COMPUTED_VALUE"""),1)</f>
        <v>1</v>
      </c>
      <c r="L95" s="28" t="str">
        <f ca="1">IFERROR(__xludf.DUMMYFUNCTION("""COMPUTED_VALUE"""),"5/2024")</f>
        <v>5/2024</v>
      </c>
      <c r="M95" s="10" t="str">
        <f ca="1">IFERROR(__xludf.DUMMYFUNCTION("""COMPUTED_VALUE"""),"Predios Exentos")</f>
        <v>Predios Exentos</v>
      </c>
      <c r="N95" s="1"/>
      <c r="O95" s="1"/>
      <c r="P95" s="1"/>
      <c r="Q95" s="1"/>
      <c r="R95" s="1"/>
      <c r="S95" s="1"/>
      <c r="T95" s="1"/>
      <c r="U95" s="1"/>
      <c r="V95" s="1"/>
      <c r="W95" s="1"/>
      <c r="X95" s="1"/>
      <c r="Y95" s="1"/>
      <c r="Z95" s="1"/>
    </row>
    <row r="96" spans="1:26" ht="12.75" customHeight="1">
      <c r="A96" s="1"/>
      <c r="B96" s="10" t="str">
        <f ca="1">IFERROR(__xludf.DUMMYFUNCTION("""COMPUTED_VALUE"""),"Bono de aseo externalizado 2024")</f>
        <v>Bono de aseo externalizado 2024</v>
      </c>
      <c r="C96" s="26" t="str">
        <f t="shared" ca="1" si="0"/>
        <v xml:space="preserve"> PERALILLO</v>
      </c>
      <c r="D96" s="10" t="str">
        <f ca="1">IFERROR(__xludf.DUMMYFUNCTION("""COMPUTED_VALUE"""),"Resolución de Transferencia")</f>
        <v>Resolución de Transferencia</v>
      </c>
      <c r="E96" s="26" t="str">
        <f ca="1">IFERROR(__xludf.DUMMYFUNCTION("""COMPUTED_VALUE"""),"MUNICIPALIDAD DE PERALILLO")</f>
        <v>MUNICIPALIDAD DE PERALILLO</v>
      </c>
      <c r="F96" s="11">
        <f ca="1">IFERROR(__xludf.DUMMYFUNCTION("""COMPUTED_VALUE"""),14504724)</f>
        <v>14504724</v>
      </c>
      <c r="G96" s="10" t="str">
        <f ca="1">IFERROR(__xludf.DUMMYFUNCTION("""COMPUTED_VALUE"""),"Resolución")</f>
        <v>Resolución</v>
      </c>
      <c r="H96" s="10" t="str">
        <f ca="1">IFERROR(__xludf.DUMMYFUNCTION("""COMPUTED_VALUE"""),"BONO ASEO EXTERNALIZADO")</f>
        <v>BONO ASEO EXTERNALIZADO</v>
      </c>
      <c r="I96" s="10" t="str">
        <f ca="1">IFERROR(__xludf.DUMMYFUNCTION("""COMPUTED_VALUE"""),"Cumplir con normativa y reglamentos internos del programa en base a los objetivos.")</f>
        <v>Cumplir con normativa y reglamentos internos del programa en base a los objetivos.</v>
      </c>
      <c r="J96" s="11">
        <f ca="1">IFERROR(__xludf.DUMMYFUNCTION("""COMPUTED_VALUE"""),14504724)</f>
        <v>14504724</v>
      </c>
      <c r="K96" s="27">
        <f ca="1">IFERROR(__xludf.DUMMYFUNCTION("""COMPUTED_VALUE"""),1)</f>
        <v>1</v>
      </c>
      <c r="L96" s="28" t="str">
        <f ca="1">IFERROR(__xludf.DUMMYFUNCTION("""COMPUTED_VALUE"""),"5/2024")</f>
        <v>5/2024</v>
      </c>
      <c r="M96" s="10" t="str">
        <f ca="1">IFERROR(__xludf.DUMMYFUNCTION("""COMPUTED_VALUE"""),"Predios Exentos")</f>
        <v>Predios Exentos</v>
      </c>
      <c r="N96" s="1"/>
      <c r="O96" s="1"/>
      <c r="P96" s="1"/>
      <c r="Q96" s="1"/>
      <c r="R96" s="1"/>
      <c r="S96" s="1"/>
      <c r="T96" s="1"/>
      <c r="U96" s="1"/>
      <c r="V96" s="1"/>
      <c r="W96" s="1"/>
      <c r="X96" s="1"/>
      <c r="Y96" s="1"/>
      <c r="Z96" s="1"/>
    </row>
    <row r="97" spans="1:26" ht="12.75" customHeight="1">
      <c r="A97" s="1"/>
      <c r="B97" s="10" t="str">
        <f ca="1">IFERROR(__xludf.DUMMYFUNCTION("""COMPUTED_VALUE"""),"Bono de aseo externalizado 2024")</f>
        <v>Bono de aseo externalizado 2024</v>
      </c>
      <c r="C97" s="26" t="str">
        <f t="shared" ca="1" si="0"/>
        <v xml:space="preserve"> SANTA CRUZ</v>
      </c>
      <c r="D97" s="10" t="str">
        <f ca="1">IFERROR(__xludf.DUMMYFUNCTION("""COMPUTED_VALUE"""),"Resolución de Transferencia")</f>
        <v>Resolución de Transferencia</v>
      </c>
      <c r="E97" s="26" t="str">
        <f ca="1">IFERROR(__xludf.DUMMYFUNCTION("""COMPUTED_VALUE"""),"MUNICIPALIDAD DE SANTA CRUZ")</f>
        <v>MUNICIPALIDAD DE SANTA CRUZ</v>
      </c>
      <c r="F97" s="11">
        <f ca="1">IFERROR(__xludf.DUMMYFUNCTION("""COMPUTED_VALUE"""),51324408)</f>
        <v>51324408</v>
      </c>
      <c r="G97" s="10" t="str">
        <f ca="1">IFERROR(__xludf.DUMMYFUNCTION("""COMPUTED_VALUE"""),"Resolución")</f>
        <v>Resolución</v>
      </c>
      <c r="H97" s="10" t="str">
        <f ca="1">IFERROR(__xludf.DUMMYFUNCTION("""COMPUTED_VALUE"""),"BONO ASEO EXTERNALIZADO")</f>
        <v>BONO ASEO EXTERNALIZADO</v>
      </c>
      <c r="I97" s="10" t="str">
        <f ca="1">IFERROR(__xludf.DUMMYFUNCTION("""COMPUTED_VALUE"""),"Cumplir con normativa y reglamentos internos del programa en base a los objetivos.")</f>
        <v>Cumplir con normativa y reglamentos internos del programa en base a los objetivos.</v>
      </c>
      <c r="J97" s="11">
        <f ca="1">IFERROR(__xludf.DUMMYFUNCTION("""COMPUTED_VALUE"""),51324408)</f>
        <v>51324408</v>
      </c>
      <c r="K97" s="27">
        <f ca="1">IFERROR(__xludf.DUMMYFUNCTION("""COMPUTED_VALUE"""),1)</f>
        <v>1</v>
      </c>
      <c r="L97" s="28" t="str">
        <f ca="1">IFERROR(__xludf.DUMMYFUNCTION("""COMPUTED_VALUE"""),"5/2024")</f>
        <v>5/2024</v>
      </c>
      <c r="M97" s="10" t="str">
        <f ca="1">IFERROR(__xludf.DUMMYFUNCTION("""COMPUTED_VALUE"""),"Predios Exentos")</f>
        <v>Predios Exentos</v>
      </c>
      <c r="N97" s="1"/>
      <c r="O97" s="1"/>
      <c r="P97" s="1"/>
      <c r="Q97" s="1"/>
      <c r="R97" s="1"/>
      <c r="S97" s="1"/>
      <c r="T97" s="1"/>
      <c r="U97" s="1"/>
      <c r="V97" s="1"/>
      <c r="W97" s="1"/>
      <c r="X97" s="1"/>
      <c r="Y97" s="1"/>
      <c r="Z97" s="1"/>
    </row>
    <row r="98" spans="1:26" ht="12.75" customHeight="1">
      <c r="A98" s="1"/>
      <c r="B98" s="10" t="str">
        <f ca="1">IFERROR(__xludf.DUMMYFUNCTION("""COMPUTED_VALUE"""),"Bono de aseo externalizado 2024")</f>
        <v>Bono de aseo externalizado 2024</v>
      </c>
      <c r="C98" s="26" t="str">
        <f t="shared" ca="1" si="0"/>
        <v xml:space="preserve"> TALCA</v>
      </c>
      <c r="D98" s="10" t="str">
        <f ca="1">IFERROR(__xludf.DUMMYFUNCTION("""COMPUTED_VALUE"""),"Resolución de Transferencia")</f>
        <v>Resolución de Transferencia</v>
      </c>
      <c r="E98" s="26" t="str">
        <f ca="1">IFERROR(__xludf.DUMMYFUNCTION("""COMPUTED_VALUE"""),"MUNICIPALIDAD DE TALCA")</f>
        <v>MUNICIPALIDAD DE TALCA</v>
      </c>
      <c r="F98" s="11">
        <f ca="1">IFERROR(__xludf.DUMMYFUNCTION("""COMPUTED_VALUE"""),319103928)</f>
        <v>319103928</v>
      </c>
      <c r="G98" s="10" t="str">
        <f ca="1">IFERROR(__xludf.DUMMYFUNCTION("""COMPUTED_VALUE"""),"Resolución")</f>
        <v>Resolución</v>
      </c>
      <c r="H98" s="10" t="str">
        <f ca="1">IFERROR(__xludf.DUMMYFUNCTION("""COMPUTED_VALUE"""),"BONO ASEO EXTERNALIZADO")</f>
        <v>BONO ASEO EXTERNALIZADO</v>
      </c>
      <c r="I98" s="10" t="str">
        <f ca="1">IFERROR(__xludf.DUMMYFUNCTION("""COMPUTED_VALUE"""),"Cumplir con normativa y reglamentos internos del programa en base a los objetivos.")</f>
        <v>Cumplir con normativa y reglamentos internos del programa en base a los objetivos.</v>
      </c>
      <c r="J98" s="11">
        <f ca="1">IFERROR(__xludf.DUMMYFUNCTION("""COMPUTED_VALUE"""),319103928)</f>
        <v>319103928</v>
      </c>
      <c r="K98" s="27">
        <f ca="1">IFERROR(__xludf.DUMMYFUNCTION("""COMPUTED_VALUE"""),1)</f>
        <v>1</v>
      </c>
      <c r="L98" s="28" t="str">
        <f ca="1">IFERROR(__xludf.DUMMYFUNCTION("""COMPUTED_VALUE"""),"5/2024")</f>
        <v>5/2024</v>
      </c>
      <c r="M98" s="10" t="str">
        <f ca="1">IFERROR(__xludf.DUMMYFUNCTION("""COMPUTED_VALUE"""),"Predios Exentos")</f>
        <v>Predios Exentos</v>
      </c>
      <c r="N98" s="1"/>
      <c r="O98" s="1"/>
      <c r="P98" s="1"/>
      <c r="Q98" s="1"/>
      <c r="R98" s="1"/>
      <c r="S98" s="1"/>
      <c r="T98" s="1"/>
      <c r="U98" s="1"/>
      <c r="V98" s="1"/>
      <c r="W98" s="1"/>
      <c r="X98" s="1"/>
      <c r="Y98" s="1"/>
      <c r="Z98" s="1"/>
    </row>
    <row r="99" spans="1:26" ht="12.75" customHeight="1">
      <c r="A99" s="1"/>
      <c r="B99" s="10" t="str">
        <f ca="1">IFERROR(__xludf.DUMMYFUNCTION("""COMPUTED_VALUE"""),"Bono de aseo externalizado 2024")</f>
        <v>Bono de aseo externalizado 2024</v>
      </c>
      <c r="C99" s="26" t="str">
        <f t="shared" ca="1" si="0"/>
        <v xml:space="preserve"> CONSTITUCIÓN</v>
      </c>
      <c r="D99" s="10" t="str">
        <f ca="1">IFERROR(__xludf.DUMMYFUNCTION("""COMPUTED_VALUE"""),"Resolución de Transferencia")</f>
        <v>Resolución de Transferencia</v>
      </c>
      <c r="E99" s="26" t="str">
        <f ca="1">IFERROR(__xludf.DUMMYFUNCTION("""COMPUTED_VALUE"""),"MUNICIPALIDAD DE CONSTITUCIÓN")</f>
        <v>MUNICIPALIDAD DE CONSTITUCIÓN</v>
      </c>
      <c r="F99" s="11">
        <f ca="1">IFERROR(__xludf.DUMMYFUNCTION("""COMPUTED_VALUE"""),93722832)</f>
        <v>93722832</v>
      </c>
      <c r="G99" s="10" t="str">
        <f ca="1">IFERROR(__xludf.DUMMYFUNCTION("""COMPUTED_VALUE"""),"Resolución")</f>
        <v>Resolución</v>
      </c>
      <c r="H99" s="10" t="str">
        <f ca="1">IFERROR(__xludf.DUMMYFUNCTION("""COMPUTED_VALUE"""),"BONO ASEO EXTERNALIZADO")</f>
        <v>BONO ASEO EXTERNALIZADO</v>
      </c>
      <c r="I99" s="10" t="str">
        <f ca="1">IFERROR(__xludf.DUMMYFUNCTION("""COMPUTED_VALUE"""),"Cumplir con normativa y reglamentos internos del programa en base a los objetivos.")</f>
        <v>Cumplir con normativa y reglamentos internos del programa en base a los objetivos.</v>
      </c>
      <c r="J99" s="11">
        <f ca="1">IFERROR(__xludf.DUMMYFUNCTION("""COMPUTED_VALUE"""),93722832)</f>
        <v>93722832</v>
      </c>
      <c r="K99" s="27">
        <f ca="1">IFERROR(__xludf.DUMMYFUNCTION("""COMPUTED_VALUE"""),1)</f>
        <v>1</v>
      </c>
      <c r="L99" s="28" t="str">
        <f ca="1">IFERROR(__xludf.DUMMYFUNCTION("""COMPUTED_VALUE"""),"5/2024")</f>
        <v>5/2024</v>
      </c>
      <c r="M99" s="10" t="str">
        <f ca="1">IFERROR(__xludf.DUMMYFUNCTION("""COMPUTED_VALUE"""),"Predios Exentos")</f>
        <v>Predios Exentos</v>
      </c>
      <c r="N99" s="1"/>
      <c r="O99" s="1"/>
      <c r="P99" s="1"/>
      <c r="Q99" s="1"/>
      <c r="R99" s="1"/>
      <c r="S99" s="1"/>
      <c r="T99" s="1"/>
      <c r="U99" s="1"/>
      <c r="V99" s="1"/>
      <c r="W99" s="1"/>
      <c r="X99" s="1"/>
      <c r="Y99" s="1"/>
      <c r="Z99" s="1"/>
    </row>
    <row r="100" spans="1:26" ht="12.75" customHeight="1">
      <c r="A100" s="1"/>
      <c r="B100" s="10" t="str">
        <f ca="1">IFERROR(__xludf.DUMMYFUNCTION("""COMPUTED_VALUE"""),"Bono de aseo externalizado 2024")</f>
        <v>Bono de aseo externalizado 2024</v>
      </c>
      <c r="C100" s="26" t="str">
        <f t="shared" ca="1" si="0"/>
        <v xml:space="preserve"> CUREPTO</v>
      </c>
      <c r="D100" s="10" t="str">
        <f ca="1">IFERROR(__xludf.DUMMYFUNCTION("""COMPUTED_VALUE"""),"Resolución de Transferencia")</f>
        <v>Resolución de Transferencia</v>
      </c>
      <c r="E100" s="26" t="str">
        <f ca="1">IFERROR(__xludf.DUMMYFUNCTION("""COMPUTED_VALUE"""),"MUNICIPALIDAD DE CUREPTO")</f>
        <v>MUNICIPALIDAD DE CUREPTO</v>
      </c>
      <c r="F100" s="11">
        <f ca="1">IFERROR(__xludf.DUMMYFUNCTION("""COMPUTED_VALUE"""),18967716)</f>
        <v>18967716</v>
      </c>
      <c r="G100" s="10" t="str">
        <f ca="1">IFERROR(__xludf.DUMMYFUNCTION("""COMPUTED_VALUE"""),"Resolución")</f>
        <v>Resolución</v>
      </c>
      <c r="H100" s="10" t="str">
        <f ca="1">IFERROR(__xludf.DUMMYFUNCTION("""COMPUTED_VALUE"""),"BONO ASEO EXTERNALIZADO")</f>
        <v>BONO ASEO EXTERNALIZADO</v>
      </c>
      <c r="I100" s="10" t="str">
        <f ca="1">IFERROR(__xludf.DUMMYFUNCTION("""COMPUTED_VALUE"""),"Cumplir con normativa y reglamentos internos del programa en base a los objetivos.")</f>
        <v>Cumplir con normativa y reglamentos internos del programa en base a los objetivos.</v>
      </c>
      <c r="J100" s="11">
        <f ca="1">IFERROR(__xludf.DUMMYFUNCTION("""COMPUTED_VALUE"""),18967716)</f>
        <v>18967716</v>
      </c>
      <c r="K100" s="27">
        <f ca="1">IFERROR(__xludf.DUMMYFUNCTION("""COMPUTED_VALUE"""),1)</f>
        <v>1</v>
      </c>
      <c r="L100" s="28" t="str">
        <f ca="1">IFERROR(__xludf.DUMMYFUNCTION("""COMPUTED_VALUE"""),"5/2024")</f>
        <v>5/2024</v>
      </c>
      <c r="M100" s="10" t="str">
        <f ca="1">IFERROR(__xludf.DUMMYFUNCTION("""COMPUTED_VALUE"""),"Predios Exentos")</f>
        <v>Predios Exentos</v>
      </c>
      <c r="N100" s="1"/>
      <c r="O100" s="1"/>
      <c r="P100" s="1"/>
      <c r="Q100" s="1"/>
      <c r="R100" s="1"/>
      <c r="S100" s="1"/>
      <c r="T100" s="1"/>
      <c r="U100" s="1"/>
      <c r="V100" s="1"/>
      <c r="W100" s="1"/>
      <c r="X100" s="1"/>
      <c r="Y100" s="1"/>
      <c r="Z100" s="1"/>
    </row>
    <row r="101" spans="1:26" ht="12.75" customHeight="1">
      <c r="A101" s="1"/>
      <c r="B101" s="10" t="str">
        <f ca="1">IFERROR(__xludf.DUMMYFUNCTION("""COMPUTED_VALUE"""),"Bono de aseo externalizado 2024")</f>
        <v>Bono de aseo externalizado 2024</v>
      </c>
      <c r="C101" s="26" t="str">
        <f t="shared" ca="1" si="0"/>
        <v xml:space="preserve"> EMPEDRADO</v>
      </c>
      <c r="D101" s="10" t="str">
        <f ca="1">IFERROR(__xludf.DUMMYFUNCTION("""COMPUTED_VALUE"""),"Resolución de Transferencia")</f>
        <v>Resolución de Transferencia</v>
      </c>
      <c r="E101" s="26" t="str">
        <f ca="1">IFERROR(__xludf.DUMMYFUNCTION("""COMPUTED_VALUE"""),"MUNICIPALIDAD DE EMPEDRADO")</f>
        <v>MUNICIPALIDAD DE EMPEDRADO</v>
      </c>
      <c r="F101" s="11">
        <f ca="1">IFERROR(__xludf.DUMMYFUNCTION("""COMPUTED_VALUE"""),4462992)</f>
        <v>4462992</v>
      </c>
      <c r="G101" s="10" t="str">
        <f ca="1">IFERROR(__xludf.DUMMYFUNCTION("""COMPUTED_VALUE"""),"Resolución")</f>
        <v>Resolución</v>
      </c>
      <c r="H101" s="10" t="str">
        <f ca="1">IFERROR(__xludf.DUMMYFUNCTION("""COMPUTED_VALUE"""),"BONO ASEO EXTERNALIZADO")</f>
        <v>BONO ASEO EXTERNALIZADO</v>
      </c>
      <c r="I101" s="10" t="str">
        <f ca="1">IFERROR(__xludf.DUMMYFUNCTION("""COMPUTED_VALUE"""),"Cumplir con normativa y reglamentos internos del programa en base a los objetivos.")</f>
        <v>Cumplir con normativa y reglamentos internos del programa en base a los objetivos.</v>
      </c>
      <c r="J101" s="11">
        <f ca="1">IFERROR(__xludf.DUMMYFUNCTION("""COMPUTED_VALUE"""),4462992)</f>
        <v>4462992</v>
      </c>
      <c r="K101" s="27">
        <f ca="1">IFERROR(__xludf.DUMMYFUNCTION("""COMPUTED_VALUE"""),1)</f>
        <v>1</v>
      </c>
      <c r="L101" s="28" t="str">
        <f ca="1">IFERROR(__xludf.DUMMYFUNCTION("""COMPUTED_VALUE"""),"5/2024")</f>
        <v>5/2024</v>
      </c>
      <c r="M101" s="10" t="str">
        <f ca="1">IFERROR(__xludf.DUMMYFUNCTION("""COMPUTED_VALUE"""),"Predios Exentos")</f>
        <v>Predios Exentos</v>
      </c>
      <c r="N101" s="1"/>
      <c r="O101" s="1"/>
      <c r="P101" s="1"/>
      <c r="Q101" s="1"/>
      <c r="R101" s="1"/>
      <c r="S101" s="1"/>
      <c r="T101" s="1"/>
      <c r="U101" s="1"/>
      <c r="V101" s="1"/>
      <c r="W101" s="1"/>
      <c r="X101" s="1"/>
      <c r="Y101" s="1"/>
      <c r="Z101" s="1"/>
    </row>
    <row r="102" spans="1:26" ht="12.75" customHeight="1">
      <c r="A102" s="1"/>
      <c r="B102" s="10" t="str">
        <f ca="1">IFERROR(__xludf.DUMMYFUNCTION("""COMPUTED_VALUE"""),"Bono de aseo externalizado 2024")</f>
        <v>Bono de aseo externalizado 2024</v>
      </c>
      <c r="C102" s="26" t="str">
        <f t="shared" ca="1" si="0"/>
        <v xml:space="preserve"> MAULE</v>
      </c>
      <c r="D102" s="10" t="str">
        <f ca="1">IFERROR(__xludf.DUMMYFUNCTION("""COMPUTED_VALUE"""),"Resolución de Transferencia")</f>
        <v>Resolución de Transferencia</v>
      </c>
      <c r="E102" s="26" t="str">
        <f ca="1">IFERROR(__xludf.DUMMYFUNCTION("""COMPUTED_VALUE"""),"MUNICIPALIDAD DE MAULE")</f>
        <v>MUNICIPALIDAD DE MAULE</v>
      </c>
      <c r="F102" s="11">
        <f ca="1">IFERROR(__xludf.DUMMYFUNCTION("""COMPUTED_VALUE"""),33472440)</f>
        <v>33472440</v>
      </c>
      <c r="G102" s="10" t="str">
        <f ca="1">IFERROR(__xludf.DUMMYFUNCTION("""COMPUTED_VALUE"""),"Resolución")</f>
        <v>Resolución</v>
      </c>
      <c r="H102" s="10" t="str">
        <f ca="1">IFERROR(__xludf.DUMMYFUNCTION("""COMPUTED_VALUE"""),"BONO ASEO EXTERNALIZADO")</f>
        <v>BONO ASEO EXTERNALIZADO</v>
      </c>
      <c r="I102" s="10" t="str">
        <f ca="1">IFERROR(__xludf.DUMMYFUNCTION("""COMPUTED_VALUE"""),"Cumplir con normativa y reglamentos internos del programa en base a los objetivos.")</f>
        <v>Cumplir con normativa y reglamentos internos del programa en base a los objetivos.</v>
      </c>
      <c r="J102" s="11">
        <f ca="1">IFERROR(__xludf.DUMMYFUNCTION("""COMPUTED_VALUE"""),33472440)</f>
        <v>33472440</v>
      </c>
      <c r="K102" s="27">
        <f ca="1">IFERROR(__xludf.DUMMYFUNCTION("""COMPUTED_VALUE"""),1)</f>
        <v>1</v>
      </c>
      <c r="L102" s="28" t="str">
        <f ca="1">IFERROR(__xludf.DUMMYFUNCTION("""COMPUTED_VALUE"""),"5/2024")</f>
        <v>5/2024</v>
      </c>
      <c r="M102" s="10" t="str">
        <f ca="1">IFERROR(__xludf.DUMMYFUNCTION("""COMPUTED_VALUE"""),"Predios Exentos")</f>
        <v>Predios Exentos</v>
      </c>
      <c r="N102" s="1"/>
      <c r="O102" s="1"/>
      <c r="P102" s="1"/>
      <c r="Q102" s="1"/>
      <c r="R102" s="1"/>
      <c r="S102" s="1"/>
      <c r="T102" s="1"/>
      <c r="U102" s="1"/>
      <c r="V102" s="1"/>
      <c r="W102" s="1"/>
      <c r="X102" s="1"/>
      <c r="Y102" s="1"/>
      <c r="Z102" s="1"/>
    </row>
    <row r="103" spans="1:26" ht="12.75" customHeight="1">
      <c r="A103" s="1"/>
      <c r="B103" s="10" t="str">
        <f ca="1">IFERROR(__xludf.DUMMYFUNCTION("""COMPUTED_VALUE"""),"Bono de aseo externalizado 2024")</f>
        <v>Bono de aseo externalizado 2024</v>
      </c>
      <c r="C103" s="26" t="str">
        <f t="shared" ca="1" si="0"/>
        <v xml:space="preserve"> PENCAHUE</v>
      </c>
      <c r="D103" s="10" t="str">
        <f ca="1">IFERROR(__xludf.DUMMYFUNCTION("""COMPUTED_VALUE"""),"Resolución de Transferencia")</f>
        <v>Resolución de Transferencia</v>
      </c>
      <c r="E103" s="26" t="str">
        <f ca="1">IFERROR(__xludf.DUMMYFUNCTION("""COMPUTED_VALUE"""),"MUNICIPALIDAD DE PENCAHUE")</f>
        <v>MUNICIPALIDAD DE PENCAHUE</v>
      </c>
      <c r="F103" s="11">
        <f ca="1">IFERROR(__xludf.DUMMYFUNCTION("""COMPUTED_VALUE"""),8925984)</f>
        <v>8925984</v>
      </c>
      <c r="G103" s="10" t="str">
        <f ca="1">IFERROR(__xludf.DUMMYFUNCTION("""COMPUTED_VALUE"""),"Resolución")</f>
        <v>Resolución</v>
      </c>
      <c r="H103" s="10" t="str">
        <f ca="1">IFERROR(__xludf.DUMMYFUNCTION("""COMPUTED_VALUE"""),"BONO ASEO EXTERNALIZADO")</f>
        <v>BONO ASEO EXTERNALIZADO</v>
      </c>
      <c r="I103" s="10" t="str">
        <f ca="1">IFERROR(__xludf.DUMMYFUNCTION("""COMPUTED_VALUE"""),"Cumplir con normativa y reglamentos internos del programa en base a los objetivos.")</f>
        <v>Cumplir con normativa y reglamentos internos del programa en base a los objetivos.</v>
      </c>
      <c r="J103" s="11">
        <f ca="1">IFERROR(__xludf.DUMMYFUNCTION("""COMPUTED_VALUE"""),8925984)</f>
        <v>8925984</v>
      </c>
      <c r="K103" s="27">
        <f ca="1">IFERROR(__xludf.DUMMYFUNCTION("""COMPUTED_VALUE"""),1)</f>
        <v>1</v>
      </c>
      <c r="L103" s="28" t="str">
        <f ca="1">IFERROR(__xludf.DUMMYFUNCTION("""COMPUTED_VALUE"""),"5/2024")</f>
        <v>5/2024</v>
      </c>
      <c r="M103" s="10" t="str">
        <f ca="1">IFERROR(__xludf.DUMMYFUNCTION("""COMPUTED_VALUE"""),"Predios Exentos")</f>
        <v>Predios Exentos</v>
      </c>
      <c r="N103" s="1"/>
      <c r="O103" s="1"/>
      <c r="P103" s="1"/>
      <c r="Q103" s="1"/>
      <c r="R103" s="1"/>
      <c r="S103" s="1"/>
      <c r="T103" s="1"/>
      <c r="U103" s="1"/>
      <c r="V103" s="1"/>
      <c r="W103" s="1"/>
      <c r="X103" s="1"/>
      <c r="Y103" s="1"/>
      <c r="Z103" s="1"/>
    </row>
    <row r="104" spans="1:26" ht="12.75" customHeight="1">
      <c r="A104" s="1"/>
      <c r="B104" s="10" t="str">
        <f ca="1">IFERROR(__xludf.DUMMYFUNCTION("""COMPUTED_VALUE"""),"Bono de aseo externalizado 2024")</f>
        <v>Bono de aseo externalizado 2024</v>
      </c>
      <c r="C104" s="26" t="str">
        <f t="shared" ca="1" si="0"/>
        <v xml:space="preserve"> RÍO CLARO</v>
      </c>
      <c r="D104" s="10" t="str">
        <f ca="1">IFERROR(__xludf.DUMMYFUNCTION("""COMPUTED_VALUE"""),"Resolución de Transferencia")</f>
        <v>Resolución de Transferencia</v>
      </c>
      <c r="E104" s="26" t="str">
        <f ca="1">IFERROR(__xludf.DUMMYFUNCTION("""COMPUTED_VALUE"""),"MUNICIPALIDAD DE RÍO CLARO")</f>
        <v>MUNICIPALIDAD DE RÍO CLARO</v>
      </c>
      <c r="F104" s="11">
        <f ca="1">IFERROR(__xludf.DUMMYFUNCTION("""COMPUTED_VALUE"""),13388976)</f>
        <v>13388976</v>
      </c>
      <c r="G104" s="10" t="str">
        <f ca="1">IFERROR(__xludf.DUMMYFUNCTION("""COMPUTED_VALUE"""),"Resolución")</f>
        <v>Resolución</v>
      </c>
      <c r="H104" s="10" t="str">
        <f ca="1">IFERROR(__xludf.DUMMYFUNCTION("""COMPUTED_VALUE"""),"BONO ASEO EXTERNALIZADO")</f>
        <v>BONO ASEO EXTERNALIZADO</v>
      </c>
      <c r="I104" s="10" t="str">
        <f ca="1">IFERROR(__xludf.DUMMYFUNCTION("""COMPUTED_VALUE"""),"Cumplir con normativa y reglamentos internos del programa en base a los objetivos.")</f>
        <v>Cumplir con normativa y reglamentos internos del programa en base a los objetivos.</v>
      </c>
      <c r="J104" s="11">
        <f ca="1">IFERROR(__xludf.DUMMYFUNCTION("""COMPUTED_VALUE"""),13388976)</f>
        <v>13388976</v>
      </c>
      <c r="K104" s="27">
        <f ca="1">IFERROR(__xludf.DUMMYFUNCTION("""COMPUTED_VALUE"""),1)</f>
        <v>1</v>
      </c>
      <c r="L104" s="28" t="str">
        <f ca="1">IFERROR(__xludf.DUMMYFUNCTION("""COMPUTED_VALUE"""),"5/2024")</f>
        <v>5/2024</v>
      </c>
      <c r="M104" s="10" t="str">
        <f ca="1">IFERROR(__xludf.DUMMYFUNCTION("""COMPUTED_VALUE"""),"Predios Exentos")</f>
        <v>Predios Exentos</v>
      </c>
      <c r="N104" s="1"/>
      <c r="O104" s="1"/>
      <c r="P104" s="1"/>
      <c r="Q104" s="1"/>
      <c r="R104" s="1"/>
      <c r="S104" s="1"/>
      <c r="T104" s="1"/>
      <c r="U104" s="1"/>
      <c r="V104" s="1"/>
      <c r="W104" s="1"/>
      <c r="X104" s="1"/>
      <c r="Y104" s="1"/>
      <c r="Z104" s="1"/>
    </row>
    <row r="105" spans="1:26" ht="12.75" customHeight="1">
      <c r="A105" s="1"/>
      <c r="B105" s="10" t="str">
        <f ca="1">IFERROR(__xludf.DUMMYFUNCTION("""COMPUTED_VALUE"""),"Bono de aseo externalizado 2024")</f>
        <v>Bono de aseo externalizado 2024</v>
      </c>
      <c r="C105" s="26" t="str">
        <f t="shared" ca="1" si="0"/>
        <v xml:space="preserve"> SAN CLEMENTE</v>
      </c>
      <c r="D105" s="10" t="str">
        <f ca="1">IFERROR(__xludf.DUMMYFUNCTION("""COMPUTED_VALUE"""),"Resolución de Transferencia")</f>
        <v>Resolución de Transferencia</v>
      </c>
      <c r="E105" s="26" t="str">
        <f ca="1">IFERROR(__xludf.DUMMYFUNCTION("""COMPUTED_VALUE"""),"MUNICIPALIDAD DE SAN CLEMENTE")</f>
        <v>MUNICIPALIDAD DE SAN CLEMENTE</v>
      </c>
      <c r="F105" s="11">
        <f ca="1">IFERROR(__xludf.DUMMYFUNCTION("""COMPUTED_VALUE"""),53555904)</f>
        <v>53555904</v>
      </c>
      <c r="G105" s="10" t="str">
        <f ca="1">IFERROR(__xludf.DUMMYFUNCTION("""COMPUTED_VALUE"""),"Resolución")</f>
        <v>Resolución</v>
      </c>
      <c r="H105" s="10" t="str">
        <f ca="1">IFERROR(__xludf.DUMMYFUNCTION("""COMPUTED_VALUE"""),"BONO ASEO EXTERNALIZADO")</f>
        <v>BONO ASEO EXTERNALIZADO</v>
      </c>
      <c r="I105" s="10" t="str">
        <f ca="1">IFERROR(__xludf.DUMMYFUNCTION("""COMPUTED_VALUE"""),"Cumplir con normativa y reglamentos internos del programa en base a los objetivos.")</f>
        <v>Cumplir con normativa y reglamentos internos del programa en base a los objetivos.</v>
      </c>
      <c r="J105" s="11">
        <f ca="1">IFERROR(__xludf.DUMMYFUNCTION("""COMPUTED_VALUE"""),53555904)</f>
        <v>53555904</v>
      </c>
      <c r="K105" s="27">
        <f ca="1">IFERROR(__xludf.DUMMYFUNCTION("""COMPUTED_VALUE"""),1)</f>
        <v>1</v>
      </c>
      <c r="L105" s="28" t="str">
        <f ca="1">IFERROR(__xludf.DUMMYFUNCTION("""COMPUTED_VALUE"""),"5/2024")</f>
        <v>5/2024</v>
      </c>
      <c r="M105" s="10" t="str">
        <f ca="1">IFERROR(__xludf.DUMMYFUNCTION("""COMPUTED_VALUE"""),"Predios Exentos")</f>
        <v>Predios Exentos</v>
      </c>
      <c r="N105" s="1"/>
      <c r="O105" s="1"/>
      <c r="P105" s="1"/>
      <c r="Q105" s="1"/>
      <c r="R105" s="1"/>
      <c r="S105" s="1"/>
      <c r="T105" s="1"/>
      <c r="U105" s="1"/>
      <c r="V105" s="1"/>
      <c r="W105" s="1"/>
      <c r="X105" s="1"/>
      <c r="Y105" s="1"/>
      <c r="Z105" s="1"/>
    </row>
    <row r="106" spans="1:26" ht="12.75" customHeight="1">
      <c r="A106" s="1"/>
      <c r="B106" s="10" t="str">
        <f ca="1">IFERROR(__xludf.DUMMYFUNCTION("""COMPUTED_VALUE"""),"Bono de aseo externalizado 2024")</f>
        <v>Bono de aseo externalizado 2024</v>
      </c>
      <c r="C106" s="26" t="str">
        <f t="shared" ca="1" si="0"/>
        <v xml:space="preserve"> SAN RAFAEL</v>
      </c>
      <c r="D106" s="10" t="str">
        <f ca="1">IFERROR(__xludf.DUMMYFUNCTION("""COMPUTED_VALUE"""),"Resolución de Transferencia")</f>
        <v>Resolución de Transferencia</v>
      </c>
      <c r="E106" s="26" t="str">
        <f ca="1">IFERROR(__xludf.DUMMYFUNCTION("""COMPUTED_VALUE"""),"MUNICIPALIDAD DE SAN RAFAEL")</f>
        <v>MUNICIPALIDAD DE SAN RAFAEL</v>
      </c>
      <c r="F106" s="11">
        <f ca="1">IFERROR(__xludf.DUMMYFUNCTION("""COMPUTED_VALUE"""),8925984)</f>
        <v>8925984</v>
      </c>
      <c r="G106" s="10" t="str">
        <f ca="1">IFERROR(__xludf.DUMMYFUNCTION("""COMPUTED_VALUE"""),"Resolución")</f>
        <v>Resolución</v>
      </c>
      <c r="H106" s="10" t="str">
        <f ca="1">IFERROR(__xludf.DUMMYFUNCTION("""COMPUTED_VALUE"""),"BONO ASEO EXTERNALIZADO")</f>
        <v>BONO ASEO EXTERNALIZADO</v>
      </c>
      <c r="I106" s="10" t="str">
        <f ca="1">IFERROR(__xludf.DUMMYFUNCTION("""COMPUTED_VALUE"""),"Cumplir con normativa y reglamentos internos del programa en base a los objetivos.")</f>
        <v>Cumplir con normativa y reglamentos internos del programa en base a los objetivos.</v>
      </c>
      <c r="J106" s="11">
        <f ca="1">IFERROR(__xludf.DUMMYFUNCTION("""COMPUTED_VALUE"""),8925984)</f>
        <v>8925984</v>
      </c>
      <c r="K106" s="27">
        <f ca="1">IFERROR(__xludf.DUMMYFUNCTION("""COMPUTED_VALUE"""),1)</f>
        <v>1</v>
      </c>
      <c r="L106" s="28" t="str">
        <f ca="1">IFERROR(__xludf.DUMMYFUNCTION("""COMPUTED_VALUE"""),"5/2024")</f>
        <v>5/2024</v>
      </c>
      <c r="M106" s="10" t="str">
        <f ca="1">IFERROR(__xludf.DUMMYFUNCTION("""COMPUTED_VALUE"""),"Predios Exentos")</f>
        <v>Predios Exentos</v>
      </c>
      <c r="N106" s="1"/>
      <c r="O106" s="1"/>
      <c r="P106" s="1"/>
      <c r="Q106" s="1"/>
      <c r="R106" s="1"/>
      <c r="S106" s="1"/>
      <c r="T106" s="1"/>
      <c r="U106" s="1"/>
      <c r="V106" s="1"/>
      <c r="W106" s="1"/>
      <c r="X106" s="1"/>
      <c r="Y106" s="1"/>
      <c r="Z106" s="1"/>
    </row>
    <row r="107" spans="1:26" ht="12.75" customHeight="1">
      <c r="A107" s="1"/>
      <c r="B107" s="10" t="str">
        <f ca="1">IFERROR(__xludf.DUMMYFUNCTION("""COMPUTED_VALUE"""),"Bono de aseo externalizado 2024")</f>
        <v>Bono de aseo externalizado 2024</v>
      </c>
      <c r="C107" s="26" t="str">
        <f t="shared" ca="1" si="0"/>
        <v xml:space="preserve"> CAUQUENES</v>
      </c>
      <c r="D107" s="10" t="str">
        <f ca="1">IFERROR(__xludf.DUMMYFUNCTION("""COMPUTED_VALUE"""),"Resolución de Transferencia")</f>
        <v>Resolución de Transferencia</v>
      </c>
      <c r="E107" s="26" t="str">
        <f ca="1">IFERROR(__xludf.DUMMYFUNCTION("""COMPUTED_VALUE"""),"MUNICIPALIDAD DE CAUQUENES")</f>
        <v>MUNICIPALIDAD DE CAUQUENES</v>
      </c>
      <c r="F107" s="11">
        <f ca="1">IFERROR(__xludf.DUMMYFUNCTION("""COMPUTED_VALUE"""),92607084)</f>
        <v>92607084</v>
      </c>
      <c r="G107" s="10" t="str">
        <f ca="1">IFERROR(__xludf.DUMMYFUNCTION("""COMPUTED_VALUE"""),"Resolución")</f>
        <v>Resolución</v>
      </c>
      <c r="H107" s="10" t="str">
        <f ca="1">IFERROR(__xludf.DUMMYFUNCTION("""COMPUTED_VALUE"""),"BONO ASEO EXTERNALIZADO")</f>
        <v>BONO ASEO EXTERNALIZADO</v>
      </c>
      <c r="I107" s="10" t="str">
        <f ca="1">IFERROR(__xludf.DUMMYFUNCTION("""COMPUTED_VALUE"""),"Cumplir con normativa y reglamentos internos del programa en base a los objetivos.")</f>
        <v>Cumplir con normativa y reglamentos internos del programa en base a los objetivos.</v>
      </c>
      <c r="J107" s="11">
        <f ca="1">IFERROR(__xludf.DUMMYFUNCTION("""COMPUTED_VALUE"""),92607084)</f>
        <v>92607084</v>
      </c>
      <c r="K107" s="27">
        <f ca="1">IFERROR(__xludf.DUMMYFUNCTION("""COMPUTED_VALUE"""),1)</f>
        <v>1</v>
      </c>
      <c r="L107" s="28" t="str">
        <f ca="1">IFERROR(__xludf.DUMMYFUNCTION("""COMPUTED_VALUE"""),"5/2024")</f>
        <v>5/2024</v>
      </c>
      <c r="M107" s="10" t="str">
        <f ca="1">IFERROR(__xludf.DUMMYFUNCTION("""COMPUTED_VALUE"""),"Predios Exentos")</f>
        <v>Predios Exentos</v>
      </c>
      <c r="N107" s="1"/>
      <c r="O107" s="1"/>
      <c r="P107" s="1"/>
      <c r="Q107" s="1"/>
      <c r="R107" s="1"/>
      <c r="S107" s="1"/>
      <c r="T107" s="1"/>
      <c r="U107" s="1"/>
      <c r="V107" s="1"/>
      <c r="W107" s="1"/>
      <c r="X107" s="1"/>
      <c r="Y107" s="1"/>
      <c r="Z107" s="1"/>
    </row>
    <row r="108" spans="1:26" ht="12.75" customHeight="1">
      <c r="A108" s="1"/>
      <c r="B108" s="10" t="str">
        <f ca="1">IFERROR(__xludf.DUMMYFUNCTION("""COMPUTED_VALUE"""),"Bono de aseo externalizado 2024")</f>
        <v>Bono de aseo externalizado 2024</v>
      </c>
      <c r="C108" s="26" t="str">
        <f t="shared" ca="1" si="0"/>
        <v xml:space="preserve"> CHANCO</v>
      </c>
      <c r="D108" s="10" t="str">
        <f ca="1">IFERROR(__xludf.DUMMYFUNCTION("""COMPUTED_VALUE"""),"Resolución de Transferencia")</f>
        <v>Resolución de Transferencia</v>
      </c>
      <c r="E108" s="26" t="str">
        <f ca="1">IFERROR(__xludf.DUMMYFUNCTION("""COMPUTED_VALUE"""),"MUNICIPALIDAD DE CHANCO")</f>
        <v>MUNICIPALIDAD DE CHANCO</v>
      </c>
      <c r="F108" s="11">
        <f ca="1">IFERROR(__xludf.DUMMYFUNCTION("""COMPUTED_VALUE"""),21199212)</f>
        <v>21199212</v>
      </c>
      <c r="G108" s="10" t="str">
        <f ca="1">IFERROR(__xludf.DUMMYFUNCTION("""COMPUTED_VALUE"""),"Resolución")</f>
        <v>Resolución</v>
      </c>
      <c r="H108" s="10" t="str">
        <f ca="1">IFERROR(__xludf.DUMMYFUNCTION("""COMPUTED_VALUE"""),"BONO ASEO EXTERNALIZADO")</f>
        <v>BONO ASEO EXTERNALIZADO</v>
      </c>
      <c r="I108" s="10" t="str">
        <f ca="1">IFERROR(__xludf.DUMMYFUNCTION("""COMPUTED_VALUE"""),"Cumplir con normativa y reglamentos internos del programa en base a los objetivos.")</f>
        <v>Cumplir con normativa y reglamentos internos del programa en base a los objetivos.</v>
      </c>
      <c r="J108" s="11">
        <f ca="1">IFERROR(__xludf.DUMMYFUNCTION("""COMPUTED_VALUE"""),21199212)</f>
        <v>21199212</v>
      </c>
      <c r="K108" s="27">
        <f ca="1">IFERROR(__xludf.DUMMYFUNCTION("""COMPUTED_VALUE"""),1)</f>
        <v>1</v>
      </c>
      <c r="L108" s="28" t="str">
        <f ca="1">IFERROR(__xludf.DUMMYFUNCTION("""COMPUTED_VALUE"""),"5/2024")</f>
        <v>5/2024</v>
      </c>
      <c r="M108" s="10" t="str">
        <f ca="1">IFERROR(__xludf.DUMMYFUNCTION("""COMPUTED_VALUE"""),"Predios Exentos")</f>
        <v>Predios Exentos</v>
      </c>
      <c r="N108" s="1"/>
      <c r="O108" s="1"/>
      <c r="P108" s="1"/>
      <c r="Q108" s="1"/>
      <c r="R108" s="1"/>
      <c r="S108" s="1"/>
      <c r="T108" s="1"/>
      <c r="U108" s="1"/>
      <c r="V108" s="1"/>
      <c r="W108" s="1"/>
      <c r="X108" s="1"/>
      <c r="Y108" s="1"/>
      <c r="Z108" s="1"/>
    </row>
    <row r="109" spans="1:26" ht="12.75" customHeight="1">
      <c r="A109" s="1"/>
      <c r="B109" s="10" t="str">
        <f ca="1">IFERROR(__xludf.DUMMYFUNCTION("""COMPUTED_VALUE"""),"Bono de aseo externalizado 2024")</f>
        <v>Bono de aseo externalizado 2024</v>
      </c>
      <c r="C109" s="26" t="str">
        <f t="shared" ca="1" si="0"/>
        <v xml:space="preserve"> PELLUHUE</v>
      </c>
      <c r="D109" s="10" t="str">
        <f ca="1">IFERROR(__xludf.DUMMYFUNCTION("""COMPUTED_VALUE"""),"Resolución de Transferencia")</f>
        <v>Resolución de Transferencia</v>
      </c>
      <c r="E109" s="26" t="str">
        <f ca="1">IFERROR(__xludf.DUMMYFUNCTION("""COMPUTED_VALUE"""),"MUNICIPALIDAD DE PELLUHUE")</f>
        <v>MUNICIPALIDAD DE PELLUHUE</v>
      </c>
      <c r="F109" s="11">
        <f ca="1">IFERROR(__xludf.DUMMYFUNCTION("""COMPUTED_VALUE"""),35703936)</f>
        <v>35703936</v>
      </c>
      <c r="G109" s="10" t="str">
        <f ca="1">IFERROR(__xludf.DUMMYFUNCTION("""COMPUTED_VALUE"""),"Resolución")</f>
        <v>Resolución</v>
      </c>
      <c r="H109" s="10" t="str">
        <f ca="1">IFERROR(__xludf.DUMMYFUNCTION("""COMPUTED_VALUE"""),"BONO ASEO EXTERNALIZADO")</f>
        <v>BONO ASEO EXTERNALIZADO</v>
      </c>
      <c r="I109" s="10" t="str">
        <f ca="1">IFERROR(__xludf.DUMMYFUNCTION("""COMPUTED_VALUE"""),"Cumplir con normativa y reglamentos internos del programa en base a los objetivos.")</f>
        <v>Cumplir con normativa y reglamentos internos del programa en base a los objetivos.</v>
      </c>
      <c r="J109" s="11">
        <f ca="1">IFERROR(__xludf.DUMMYFUNCTION("""COMPUTED_VALUE"""),35703936)</f>
        <v>35703936</v>
      </c>
      <c r="K109" s="27">
        <f ca="1">IFERROR(__xludf.DUMMYFUNCTION("""COMPUTED_VALUE"""),1)</f>
        <v>1</v>
      </c>
      <c r="L109" s="28" t="str">
        <f ca="1">IFERROR(__xludf.DUMMYFUNCTION("""COMPUTED_VALUE"""),"5/2024")</f>
        <v>5/2024</v>
      </c>
      <c r="M109" s="10" t="str">
        <f ca="1">IFERROR(__xludf.DUMMYFUNCTION("""COMPUTED_VALUE"""),"Predios Exentos")</f>
        <v>Predios Exentos</v>
      </c>
      <c r="N109" s="1"/>
      <c r="O109" s="1"/>
      <c r="P109" s="1"/>
      <c r="Q109" s="1"/>
      <c r="R109" s="1"/>
      <c r="S109" s="1"/>
      <c r="T109" s="1"/>
      <c r="U109" s="1"/>
      <c r="V109" s="1"/>
      <c r="W109" s="1"/>
      <c r="X109" s="1"/>
      <c r="Y109" s="1"/>
      <c r="Z109" s="1"/>
    </row>
    <row r="110" spans="1:26" ht="12.75" customHeight="1">
      <c r="A110" s="1"/>
      <c r="B110" s="10" t="str">
        <f ca="1">IFERROR(__xludf.DUMMYFUNCTION("""COMPUTED_VALUE"""),"Bono de aseo externalizado 2024")</f>
        <v>Bono de aseo externalizado 2024</v>
      </c>
      <c r="C110" s="26" t="str">
        <f t="shared" ca="1" si="0"/>
        <v xml:space="preserve"> CURICÓ</v>
      </c>
      <c r="D110" s="10" t="str">
        <f ca="1">IFERROR(__xludf.DUMMYFUNCTION("""COMPUTED_VALUE"""),"Resolución de Transferencia")</f>
        <v>Resolución de Transferencia</v>
      </c>
      <c r="E110" s="26" t="str">
        <f ca="1">IFERROR(__xludf.DUMMYFUNCTION("""COMPUTED_VALUE"""),"MUNICIPALIDAD DE CURICÓ")</f>
        <v>MUNICIPALIDAD DE CURICÓ</v>
      </c>
      <c r="F110" s="11">
        <f ca="1">IFERROR(__xludf.DUMMYFUNCTION("""COMPUTED_VALUE"""),227612592)</f>
        <v>227612592</v>
      </c>
      <c r="G110" s="10" t="str">
        <f ca="1">IFERROR(__xludf.DUMMYFUNCTION("""COMPUTED_VALUE"""),"Resolución")</f>
        <v>Resolución</v>
      </c>
      <c r="H110" s="10" t="str">
        <f ca="1">IFERROR(__xludf.DUMMYFUNCTION("""COMPUTED_VALUE"""),"BONO ASEO EXTERNALIZADO")</f>
        <v>BONO ASEO EXTERNALIZADO</v>
      </c>
      <c r="I110" s="10" t="str">
        <f ca="1">IFERROR(__xludf.DUMMYFUNCTION("""COMPUTED_VALUE"""),"Cumplir con normativa y reglamentos internos del programa en base a los objetivos.")</f>
        <v>Cumplir con normativa y reglamentos internos del programa en base a los objetivos.</v>
      </c>
      <c r="J110" s="11">
        <f ca="1">IFERROR(__xludf.DUMMYFUNCTION("""COMPUTED_VALUE"""),227612592)</f>
        <v>227612592</v>
      </c>
      <c r="K110" s="27">
        <f ca="1">IFERROR(__xludf.DUMMYFUNCTION("""COMPUTED_VALUE"""),1)</f>
        <v>1</v>
      </c>
      <c r="L110" s="28" t="str">
        <f ca="1">IFERROR(__xludf.DUMMYFUNCTION("""COMPUTED_VALUE"""),"5/2024")</f>
        <v>5/2024</v>
      </c>
      <c r="M110" s="10" t="str">
        <f ca="1">IFERROR(__xludf.DUMMYFUNCTION("""COMPUTED_VALUE"""),"Predios Exentos")</f>
        <v>Predios Exentos</v>
      </c>
      <c r="N110" s="1"/>
      <c r="O110" s="1"/>
      <c r="P110" s="1"/>
      <c r="Q110" s="1"/>
      <c r="R110" s="1"/>
      <c r="S110" s="1"/>
      <c r="T110" s="1"/>
      <c r="U110" s="1"/>
      <c r="V110" s="1"/>
      <c r="W110" s="1"/>
      <c r="X110" s="1"/>
      <c r="Y110" s="1"/>
      <c r="Z110" s="1"/>
    </row>
    <row r="111" spans="1:26" ht="12.75" customHeight="1">
      <c r="A111" s="1"/>
      <c r="B111" s="10" t="str">
        <f ca="1">IFERROR(__xludf.DUMMYFUNCTION("""COMPUTED_VALUE"""),"Bono de aseo externalizado 2024")</f>
        <v>Bono de aseo externalizado 2024</v>
      </c>
      <c r="C111" s="26" t="str">
        <f t="shared" ca="1" si="0"/>
        <v xml:space="preserve"> HUALAÑÉ</v>
      </c>
      <c r="D111" s="10" t="str">
        <f ca="1">IFERROR(__xludf.DUMMYFUNCTION("""COMPUTED_VALUE"""),"Resolución de Transferencia")</f>
        <v>Resolución de Transferencia</v>
      </c>
      <c r="E111" s="26" t="str">
        <f ca="1">IFERROR(__xludf.DUMMYFUNCTION("""COMPUTED_VALUE"""),"MUNICIPALIDAD DE HUALAÑÉ")</f>
        <v>MUNICIPALIDAD DE HUALAÑÉ</v>
      </c>
      <c r="F111" s="11">
        <f ca="1">IFERROR(__xludf.DUMMYFUNCTION("""COMPUTED_VALUE"""),14504724)</f>
        <v>14504724</v>
      </c>
      <c r="G111" s="10" t="str">
        <f ca="1">IFERROR(__xludf.DUMMYFUNCTION("""COMPUTED_VALUE"""),"Resolución")</f>
        <v>Resolución</v>
      </c>
      <c r="H111" s="10" t="str">
        <f ca="1">IFERROR(__xludf.DUMMYFUNCTION("""COMPUTED_VALUE"""),"BONO ASEO EXTERNALIZADO")</f>
        <v>BONO ASEO EXTERNALIZADO</v>
      </c>
      <c r="I111" s="10" t="str">
        <f ca="1">IFERROR(__xludf.DUMMYFUNCTION("""COMPUTED_VALUE"""),"Cumplir con normativa y reglamentos internos del programa en base a los objetivos.")</f>
        <v>Cumplir con normativa y reglamentos internos del programa en base a los objetivos.</v>
      </c>
      <c r="J111" s="11">
        <f ca="1">IFERROR(__xludf.DUMMYFUNCTION("""COMPUTED_VALUE"""),14504724)</f>
        <v>14504724</v>
      </c>
      <c r="K111" s="27">
        <f ca="1">IFERROR(__xludf.DUMMYFUNCTION("""COMPUTED_VALUE"""),1)</f>
        <v>1</v>
      </c>
      <c r="L111" s="28" t="str">
        <f ca="1">IFERROR(__xludf.DUMMYFUNCTION("""COMPUTED_VALUE"""),"5/2024")</f>
        <v>5/2024</v>
      </c>
      <c r="M111" s="10" t="str">
        <f ca="1">IFERROR(__xludf.DUMMYFUNCTION("""COMPUTED_VALUE"""),"Predios Exentos")</f>
        <v>Predios Exentos</v>
      </c>
      <c r="N111" s="1"/>
      <c r="O111" s="1"/>
      <c r="P111" s="1"/>
      <c r="Q111" s="1"/>
      <c r="R111" s="1"/>
      <c r="S111" s="1"/>
      <c r="T111" s="1"/>
      <c r="U111" s="1"/>
      <c r="V111" s="1"/>
      <c r="W111" s="1"/>
      <c r="X111" s="1"/>
      <c r="Y111" s="1"/>
      <c r="Z111" s="1"/>
    </row>
    <row r="112" spans="1:26" ht="12.75" customHeight="1">
      <c r="A112" s="1"/>
      <c r="B112" s="10" t="str">
        <f ca="1">IFERROR(__xludf.DUMMYFUNCTION("""COMPUTED_VALUE"""),"Bono de aseo externalizado 2024")</f>
        <v>Bono de aseo externalizado 2024</v>
      </c>
      <c r="C112" s="26" t="str">
        <f t="shared" ca="1" si="0"/>
        <v xml:space="preserve"> MOLINA</v>
      </c>
      <c r="D112" s="10" t="str">
        <f ca="1">IFERROR(__xludf.DUMMYFUNCTION("""COMPUTED_VALUE"""),"Resolución de Transferencia")</f>
        <v>Resolución de Transferencia</v>
      </c>
      <c r="E112" s="26" t="str">
        <f ca="1">IFERROR(__xludf.DUMMYFUNCTION("""COMPUTED_VALUE"""),"MUNICIPALIDAD DE MOLINA")</f>
        <v>MUNICIPALIDAD DE MOLINA</v>
      </c>
      <c r="F112" s="11">
        <f ca="1">IFERROR(__xludf.DUMMYFUNCTION("""COMPUTED_VALUE"""),65829132)</f>
        <v>65829132</v>
      </c>
      <c r="G112" s="10" t="str">
        <f ca="1">IFERROR(__xludf.DUMMYFUNCTION("""COMPUTED_VALUE"""),"Resolución")</f>
        <v>Resolución</v>
      </c>
      <c r="H112" s="10" t="str">
        <f ca="1">IFERROR(__xludf.DUMMYFUNCTION("""COMPUTED_VALUE"""),"BONO ASEO EXTERNALIZADO")</f>
        <v>BONO ASEO EXTERNALIZADO</v>
      </c>
      <c r="I112" s="10" t="str">
        <f ca="1">IFERROR(__xludf.DUMMYFUNCTION("""COMPUTED_VALUE"""),"Cumplir con normativa y reglamentos internos del programa en base a los objetivos.")</f>
        <v>Cumplir con normativa y reglamentos internos del programa en base a los objetivos.</v>
      </c>
      <c r="J112" s="11">
        <f ca="1">IFERROR(__xludf.DUMMYFUNCTION("""COMPUTED_VALUE"""),65829132)</f>
        <v>65829132</v>
      </c>
      <c r="K112" s="27">
        <f ca="1">IFERROR(__xludf.DUMMYFUNCTION("""COMPUTED_VALUE"""),1.07272727272727)</f>
        <v>1.0727272727272701</v>
      </c>
      <c r="L112" s="28" t="str">
        <f ca="1">IFERROR(__xludf.DUMMYFUNCTION("""COMPUTED_VALUE"""),"5/2024")</f>
        <v>5/2024</v>
      </c>
      <c r="M112" s="10" t="str">
        <f ca="1">IFERROR(__xludf.DUMMYFUNCTION("""COMPUTED_VALUE"""),"Predios Exentos")</f>
        <v>Predios Exentos</v>
      </c>
      <c r="N112" s="1"/>
      <c r="O112" s="1"/>
      <c r="P112" s="1"/>
      <c r="Q112" s="1"/>
      <c r="R112" s="1"/>
      <c r="S112" s="1"/>
      <c r="T112" s="1"/>
      <c r="U112" s="1"/>
      <c r="V112" s="1"/>
      <c r="W112" s="1"/>
      <c r="X112" s="1"/>
      <c r="Y112" s="1"/>
      <c r="Z112" s="1"/>
    </row>
    <row r="113" spans="1:26" ht="12.75" customHeight="1">
      <c r="A113" s="1"/>
      <c r="B113" s="10" t="str">
        <f ca="1">IFERROR(__xludf.DUMMYFUNCTION("""COMPUTED_VALUE"""),"Bono de aseo externalizado 2024")</f>
        <v>Bono de aseo externalizado 2024</v>
      </c>
      <c r="C113" s="26" t="str">
        <f t="shared" ca="1" si="0"/>
        <v xml:space="preserve"> RAUCO</v>
      </c>
      <c r="D113" s="10" t="str">
        <f ca="1">IFERROR(__xludf.DUMMYFUNCTION("""COMPUTED_VALUE"""),"Resolución de Transferencia")</f>
        <v>Resolución de Transferencia</v>
      </c>
      <c r="E113" s="26" t="str">
        <f ca="1">IFERROR(__xludf.DUMMYFUNCTION("""COMPUTED_VALUE"""),"MUNICIPALIDAD DE RAUCO")</f>
        <v>MUNICIPALIDAD DE RAUCO</v>
      </c>
      <c r="F113" s="11">
        <f ca="1">IFERROR(__xludf.DUMMYFUNCTION("""COMPUTED_VALUE"""),8925984)</f>
        <v>8925984</v>
      </c>
      <c r="G113" s="10" t="str">
        <f ca="1">IFERROR(__xludf.DUMMYFUNCTION("""COMPUTED_VALUE"""),"Resolución")</f>
        <v>Resolución</v>
      </c>
      <c r="H113" s="10" t="str">
        <f ca="1">IFERROR(__xludf.DUMMYFUNCTION("""COMPUTED_VALUE"""),"BONO ASEO EXTERNALIZADO")</f>
        <v>BONO ASEO EXTERNALIZADO</v>
      </c>
      <c r="I113" s="10" t="str">
        <f ca="1">IFERROR(__xludf.DUMMYFUNCTION("""COMPUTED_VALUE"""),"Cumplir con normativa y reglamentos internos del programa en base a los objetivos.")</f>
        <v>Cumplir con normativa y reglamentos internos del programa en base a los objetivos.</v>
      </c>
      <c r="J113" s="11">
        <f ca="1">IFERROR(__xludf.DUMMYFUNCTION("""COMPUTED_VALUE"""),8925984)</f>
        <v>8925984</v>
      </c>
      <c r="K113" s="27">
        <f ca="1">IFERROR(__xludf.DUMMYFUNCTION("""COMPUTED_VALUE"""),1)</f>
        <v>1</v>
      </c>
      <c r="L113" s="28" t="str">
        <f ca="1">IFERROR(__xludf.DUMMYFUNCTION("""COMPUTED_VALUE"""),"5/2024")</f>
        <v>5/2024</v>
      </c>
      <c r="M113" s="10" t="str">
        <f ca="1">IFERROR(__xludf.DUMMYFUNCTION("""COMPUTED_VALUE"""),"Predios Exentos")</f>
        <v>Predios Exentos</v>
      </c>
      <c r="N113" s="1"/>
      <c r="O113" s="1"/>
      <c r="P113" s="1"/>
      <c r="Q113" s="1"/>
      <c r="R113" s="1"/>
      <c r="S113" s="1"/>
      <c r="T113" s="1"/>
      <c r="U113" s="1"/>
      <c r="V113" s="1"/>
      <c r="W113" s="1"/>
      <c r="X113" s="1"/>
      <c r="Y113" s="1"/>
      <c r="Z113" s="1"/>
    </row>
    <row r="114" spans="1:26" ht="12.75" customHeight="1">
      <c r="A114" s="1"/>
      <c r="B114" s="10" t="str">
        <f ca="1">IFERROR(__xludf.DUMMYFUNCTION("""COMPUTED_VALUE"""),"Bono de aseo externalizado 2024")</f>
        <v>Bono de aseo externalizado 2024</v>
      </c>
      <c r="C114" s="26" t="str">
        <f t="shared" ca="1" si="0"/>
        <v xml:space="preserve"> SAGRADA FAMILIA</v>
      </c>
      <c r="D114" s="10" t="str">
        <f ca="1">IFERROR(__xludf.DUMMYFUNCTION("""COMPUTED_VALUE"""),"Resolución de Transferencia")</f>
        <v>Resolución de Transferencia</v>
      </c>
      <c r="E114" s="26" t="str">
        <f ca="1">IFERROR(__xludf.DUMMYFUNCTION("""COMPUTED_VALUE"""),"MUNICIPALIDAD DE SAGRADA FAMILIA")</f>
        <v>MUNICIPALIDAD DE SAGRADA FAMILIA</v>
      </c>
      <c r="F114" s="11">
        <f ca="1">IFERROR(__xludf.DUMMYFUNCTION("""COMPUTED_VALUE"""),16736220)</f>
        <v>16736220</v>
      </c>
      <c r="G114" s="10" t="str">
        <f ca="1">IFERROR(__xludf.DUMMYFUNCTION("""COMPUTED_VALUE"""),"Resolución")</f>
        <v>Resolución</v>
      </c>
      <c r="H114" s="10" t="str">
        <f ca="1">IFERROR(__xludf.DUMMYFUNCTION("""COMPUTED_VALUE"""),"BONO ASEO EXTERNALIZADO")</f>
        <v>BONO ASEO EXTERNALIZADO</v>
      </c>
      <c r="I114" s="10" t="str">
        <f ca="1">IFERROR(__xludf.DUMMYFUNCTION("""COMPUTED_VALUE"""),"Cumplir con normativa y reglamentos internos del programa en base a los objetivos.")</f>
        <v>Cumplir con normativa y reglamentos internos del programa en base a los objetivos.</v>
      </c>
      <c r="J114" s="11">
        <f ca="1">IFERROR(__xludf.DUMMYFUNCTION("""COMPUTED_VALUE"""),16736220)</f>
        <v>16736220</v>
      </c>
      <c r="K114" s="27">
        <f ca="1">IFERROR(__xludf.DUMMYFUNCTION("""COMPUTED_VALUE"""),1)</f>
        <v>1</v>
      </c>
      <c r="L114" s="28" t="str">
        <f ca="1">IFERROR(__xludf.DUMMYFUNCTION("""COMPUTED_VALUE"""),"5/2024")</f>
        <v>5/2024</v>
      </c>
      <c r="M114" s="10" t="str">
        <f ca="1">IFERROR(__xludf.DUMMYFUNCTION("""COMPUTED_VALUE"""),"Predios Exentos")</f>
        <v>Predios Exentos</v>
      </c>
      <c r="N114" s="1"/>
      <c r="O114" s="1"/>
      <c r="P114" s="1"/>
      <c r="Q114" s="1"/>
      <c r="R114" s="1"/>
      <c r="S114" s="1"/>
      <c r="T114" s="1"/>
      <c r="U114" s="1"/>
      <c r="V114" s="1"/>
      <c r="W114" s="1"/>
      <c r="X114" s="1"/>
      <c r="Y114" s="1"/>
      <c r="Z114" s="1"/>
    </row>
    <row r="115" spans="1:26" ht="12.75" customHeight="1">
      <c r="A115" s="1"/>
      <c r="B115" s="10" t="str">
        <f ca="1">IFERROR(__xludf.DUMMYFUNCTION("""COMPUTED_VALUE"""),"Bono de aseo externalizado 2024")</f>
        <v>Bono de aseo externalizado 2024</v>
      </c>
      <c r="C115" s="26" t="str">
        <f t="shared" ca="1" si="0"/>
        <v xml:space="preserve"> TENO</v>
      </c>
      <c r="D115" s="10" t="str">
        <f ca="1">IFERROR(__xludf.DUMMYFUNCTION("""COMPUTED_VALUE"""),"Resolución de Transferencia")</f>
        <v>Resolución de Transferencia</v>
      </c>
      <c r="E115" s="26" t="str">
        <f ca="1">IFERROR(__xludf.DUMMYFUNCTION("""COMPUTED_VALUE"""),"MUNICIPALIDAD DE TENO")</f>
        <v>MUNICIPALIDAD DE TENO</v>
      </c>
      <c r="F115" s="11">
        <f ca="1">IFERROR(__xludf.DUMMYFUNCTION("""COMPUTED_VALUE"""),26777952)</f>
        <v>26777952</v>
      </c>
      <c r="G115" s="10" t="str">
        <f ca="1">IFERROR(__xludf.DUMMYFUNCTION("""COMPUTED_VALUE"""),"Resolución")</f>
        <v>Resolución</v>
      </c>
      <c r="H115" s="10" t="str">
        <f ca="1">IFERROR(__xludf.DUMMYFUNCTION("""COMPUTED_VALUE"""),"BONO ASEO EXTERNALIZADO")</f>
        <v>BONO ASEO EXTERNALIZADO</v>
      </c>
      <c r="I115" s="10" t="str">
        <f ca="1">IFERROR(__xludf.DUMMYFUNCTION("""COMPUTED_VALUE"""),"Cumplir con normativa y reglamentos internos del programa en base a los objetivos.")</f>
        <v>Cumplir con normativa y reglamentos internos del programa en base a los objetivos.</v>
      </c>
      <c r="J115" s="11">
        <f ca="1">IFERROR(__xludf.DUMMYFUNCTION("""COMPUTED_VALUE"""),26777952)</f>
        <v>26777952</v>
      </c>
      <c r="K115" s="27">
        <f ca="1">IFERROR(__xludf.DUMMYFUNCTION("""COMPUTED_VALUE"""),1)</f>
        <v>1</v>
      </c>
      <c r="L115" s="28" t="str">
        <f ca="1">IFERROR(__xludf.DUMMYFUNCTION("""COMPUTED_VALUE"""),"5/2024")</f>
        <v>5/2024</v>
      </c>
      <c r="M115" s="10" t="str">
        <f ca="1">IFERROR(__xludf.DUMMYFUNCTION("""COMPUTED_VALUE"""),"Predios Exentos")</f>
        <v>Predios Exentos</v>
      </c>
      <c r="N115" s="1"/>
      <c r="O115" s="1"/>
      <c r="P115" s="1"/>
      <c r="Q115" s="1"/>
      <c r="R115" s="1"/>
      <c r="S115" s="1"/>
      <c r="T115" s="1"/>
      <c r="U115" s="1"/>
      <c r="V115" s="1"/>
      <c r="W115" s="1"/>
      <c r="X115" s="1"/>
      <c r="Y115" s="1"/>
      <c r="Z115" s="1"/>
    </row>
    <row r="116" spans="1:26" ht="12.75" customHeight="1">
      <c r="A116" s="1"/>
      <c r="B116" s="10" t="str">
        <f ca="1">IFERROR(__xludf.DUMMYFUNCTION("""COMPUTED_VALUE"""),"Bono de aseo externalizado 2024")</f>
        <v>Bono de aseo externalizado 2024</v>
      </c>
      <c r="C116" s="26" t="str">
        <f t="shared" ca="1" si="0"/>
        <v xml:space="preserve"> LINARES</v>
      </c>
      <c r="D116" s="10" t="str">
        <f ca="1">IFERROR(__xludf.DUMMYFUNCTION("""COMPUTED_VALUE"""),"Resolución de Transferencia")</f>
        <v>Resolución de Transferencia</v>
      </c>
      <c r="E116" s="26" t="str">
        <f ca="1">IFERROR(__xludf.DUMMYFUNCTION("""COMPUTED_VALUE"""),"MUNICIPALIDAD DE LINARES")</f>
        <v>MUNICIPALIDAD DE LINARES</v>
      </c>
      <c r="F116" s="11">
        <f ca="1">IFERROR(__xludf.DUMMYFUNCTION("""COMPUTED_VALUE"""),89259840)</f>
        <v>89259840</v>
      </c>
      <c r="G116" s="10" t="str">
        <f ca="1">IFERROR(__xludf.DUMMYFUNCTION("""COMPUTED_VALUE"""),"Resolución")</f>
        <v>Resolución</v>
      </c>
      <c r="H116" s="10" t="str">
        <f ca="1">IFERROR(__xludf.DUMMYFUNCTION("""COMPUTED_VALUE"""),"BONO ASEO EXTERNALIZADO")</f>
        <v>BONO ASEO EXTERNALIZADO</v>
      </c>
      <c r="I116" s="10" t="str">
        <f ca="1">IFERROR(__xludf.DUMMYFUNCTION("""COMPUTED_VALUE"""),"Cumplir con normativa y reglamentos internos del programa en base a los objetivos.")</f>
        <v>Cumplir con normativa y reglamentos internos del programa en base a los objetivos.</v>
      </c>
      <c r="J116" s="11">
        <f ca="1">IFERROR(__xludf.DUMMYFUNCTION("""COMPUTED_VALUE"""),89259840)</f>
        <v>89259840</v>
      </c>
      <c r="K116" s="27">
        <f ca="1">IFERROR(__xludf.DUMMYFUNCTION("""COMPUTED_VALUE"""),1)</f>
        <v>1</v>
      </c>
      <c r="L116" s="28" t="str">
        <f ca="1">IFERROR(__xludf.DUMMYFUNCTION("""COMPUTED_VALUE"""),"5/2024")</f>
        <v>5/2024</v>
      </c>
      <c r="M116" s="10" t="str">
        <f ca="1">IFERROR(__xludf.DUMMYFUNCTION("""COMPUTED_VALUE"""),"Predios Exentos")</f>
        <v>Predios Exentos</v>
      </c>
      <c r="N116" s="1"/>
      <c r="O116" s="1"/>
      <c r="P116" s="1"/>
      <c r="Q116" s="1"/>
      <c r="R116" s="1"/>
      <c r="S116" s="1"/>
      <c r="T116" s="1"/>
      <c r="U116" s="1"/>
      <c r="V116" s="1"/>
      <c r="W116" s="1"/>
      <c r="X116" s="1"/>
      <c r="Y116" s="1"/>
      <c r="Z116" s="1"/>
    </row>
    <row r="117" spans="1:26" ht="12.75" customHeight="1">
      <c r="A117" s="1"/>
      <c r="B117" s="10" t="str">
        <f ca="1">IFERROR(__xludf.DUMMYFUNCTION("""COMPUTED_VALUE"""),"Bono de aseo externalizado 2024")</f>
        <v>Bono de aseo externalizado 2024</v>
      </c>
      <c r="C117" s="26" t="str">
        <f t="shared" ca="1" si="0"/>
        <v xml:space="preserve"> COLBÚN</v>
      </c>
      <c r="D117" s="10" t="str">
        <f ca="1">IFERROR(__xludf.DUMMYFUNCTION("""COMPUTED_VALUE"""),"Resolución de Transferencia")</f>
        <v>Resolución de Transferencia</v>
      </c>
      <c r="E117" s="26" t="str">
        <f ca="1">IFERROR(__xludf.DUMMYFUNCTION("""COMPUTED_VALUE"""),"MUNICIPALIDAD DE COLBÚN")</f>
        <v>MUNICIPALIDAD DE COLBÚN</v>
      </c>
      <c r="F117" s="11">
        <f ca="1">IFERROR(__xludf.DUMMYFUNCTION("""COMPUTED_VALUE"""),20083464)</f>
        <v>20083464</v>
      </c>
      <c r="G117" s="10" t="str">
        <f ca="1">IFERROR(__xludf.DUMMYFUNCTION("""COMPUTED_VALUE"""),"Resolución")</f>
        <v>Resolución</v>
      </c>
      <c r="H117" s="10" t="str">
        <f ca="1">IFERROR(__xludf.DUMMYFUNCTION("""COMPUTED_VALUE"""),"BONO ASEO EXTERNALIZADO")</f>
        <v>BONO ASEO EXTERNALIZADO</v>
      </c>
      <c r="I117" s="10" t="str">
        <f ca="1">IFERROR(__xludf.DUMMYFUNCTION("""COMPUTED_VALUE"""),"Cumplir con normativa y reglamentos internos del programa en base a los objetivos.")</f>
        <v>Cumplir con normativa y reglamentos internos del programa en base a los objetivos.</v>
      </c>
      <c r="J117" s="11">
        <f ca="1">IFERROR(__xludf.DUMMYFUNCTION("""COMPUTED_VALUE"""),20083464)</f>
        <v>20083464</v>
      </c>
      <c r="K117" s="27">
        <f ca="1">IFERROR(__xludf.DUMMYFUNCTION("""COMPUTED_VALUE"""),1)</f>
        <v>1</v>
      </c>
      <c r="L117" s="28" t="str">
        <f ca="1">IFERROR(__xludf.DUMMYFUNCTION("""COMPUTED_VALUE"""),"5/2024")</f>
        <v>5/2024</v>
      </c>
      <c r="M117" s="10" t="str">
        <f ca="1">IFERROR(__xludf.DUMMYFUNCTION("""COMPUTED_VALUE"""),"Predios Exentos")</f>
        <v>Predios Exentos</v>
      </c>
      <c r="N117" s="1"/>
      <c r="O117" s="1"/>
      <c r="P117" s="1"/>
      <c r="Q117" s="1"/>
      <c r="R117" s="1"/>
      <c r="S117" s="1"/>
      <c r="T117" s="1"/>
      <c r="U117" s="1"/>
      <c r="V117" s="1"/>
      <c r="W117" s="1"/>
      <c r="X117" s="1"/>
      <c r="Y117" s="1"/>
      <c r="Z117" s="1"/>
    </row>
    <row r="118" spans="1:26" ht="12.75" customHeight="1">
      <c r="A118" s="1"/>
      <c r="B118" s="10" t="str">
        <f ca="1">IFERROR(__xludf.DUMMYFUNCTION("""COMPUTED_VALUE"""),"Bono de aseo externalizado 2024")</f>
        <v>Bono de aseo externalizado 2024</v>
      </c>
      <c r="C118" s="26" t="str">
        <f t="shared" ca="1" si="0"/>
        <v xml:space="preserve"> LONGAVÍ</v>
      </c>
      <c r="D118" s="10" t="str">
        <f ca="1">IFERROR(__xludf.DUMMYFUNCTION("""COMPUTED_VALUE"""),"Resolución de Transferencia")</f>
        <v>Resolución de Transferencia</v>
      </c>
      <c r="E118" s="26" t="str">
        <f ca="1">IFERROR(__xludf.DUMMYFUNCTION("""COMPUTED_VALUE"""),"MUNICIPALIDAD DE LONGAVÍ")</f>
        <v>MUNICIPALIDAD DE LONGAVÍ</v>
      </c>
      <c r="F118" s="11">
        <f ca="1">IFERROR(__xludf.DUMMYFUNCTION("""COMPUTED_VALUE"""),30125196)</f>
        <v>30125196</v>
      </c>
      <c r="G118" s="10" t="str">
        <f ca="1">IFERROR(__xludf.DUMMYFUNCTION("""COMPUTED_VALUE"""),"Resolución")</f>
        <v>Resolución</v>
      </c>
      <c r="H118" s="10" t="str">
        <f ca="1">IFERROR(__xludf.DUMMYFUNCTION("""COMPUTED_VALUE"""),"BONO ASEO EXTERNALIZADO")</f>
        <v>BONO ASEO EXTERNALIZADO</v>
      </c>
      <c r="I118" s="10" t="str">
        <f ca="1">IFERROR(__xludf.DUMMYFUNCTION("""COMPUTED_VALUE"""),"Cumplir con normativa y reglamentos internos del programa en base a los objetivos.")</f>
        <v>Cumplir con normativa y reglamentos internos del programa en base a los objetivos.</v>
      </c>
      <c r="J118" s="11">
        <f ca="1">IFERROR(__xludf.DUMMYFUNCTION("""COMPUTED_VALUE"""),30125196)</f>
        <v>30125196</v>
      </c>
      <c r="K118" s="27">
        <f ca="1">IFERROR(__xludf.DUMMYFUNCTION("""COMPUTED_VALUE"""),1)</f>
        <v>1</v>
      </c>
      <c r="L118" s="28" t="str">
        <f ca="1">IFERROR(__xludf.DUMMYFUNCTION("""COMPUTED_VALUE"""),"5/2024")</f>
        <v>5/2024</v>
      </c>
      <c r="M118" s="10" t="str">
        <f ca="1">IFERROR(__xludf.DUMMYFUNCTION("""COMPUTED_VALUE"""),"Predios Exentos")</f>
        <v>Predios Exentos</v>
      </c>
      <c r="N118" s="1"/>
      <c r="O118" s="1"/>
      <c r="P118" s="1"/>
      <c r="Q118" s="1"/>
      <c r="R118" s="1"/>
      <c r="S118" s="1"/>
      <c r="T118" s="1"/>
      <c r="U118" s="1"/>
      <c r="V118" s="1"/>
      <c r="W118" s="1"/>
      <c r="X118" s="1"/>
      <c r="Y118" s="1"/>
      <c r="Z118" s="1"/>
    </row>
    <row r="119" spans="1:26" ht="12.75" customHeight="1">
      <c r="A119" s="1"/>
      <c r="B119" s="10" t="str">
        <f ca="1">IFERROR(__xludf.DUMMYFUNCTION("""COMPUTED_VALUE"""),"Bono de aseo externalizado 2024")</f>
        <v>Bono de aseo externalizado 2024</v>
      </c>
      <c r="C119" s="26" t="str">
        <f t="shared" ca="1" si="0"/>
        <v xml:space="preserve"> PARRAL</v>
      </c>
      <c r="D119" s="10" t="str">
        <f ca="1">IFERROR(__xludf.DUMMYFUNCTION("""COMPUTED_VALUE"""),"Resolución de Transferencia")</f>
        <v>Resolución de Transferencia</v>
      </c>
      <c r="E119" s="26" t="str">
        <f ca="1">IFERROR(__xludf.DUMMYFUNCTION("""COMPUTED_VALUE"""),"MUNICIPALIDAD DE PARRAL")</f>
        <v>MUNICIPALIDAD DE PARRAL</v>
      </c>
      <c r="F119" s="11">
        <f ca="1">IFERROR(__xludf.DUMMYFUNCTION("""COMPUTED_VALUE"""),46861416)</f>
        <v>46861416</v>
      </c>
      <c r="G119" s="10" t="str">
        <f ca="1">IFERROR(__xludf.DUMMYFUNCTION("""COMPUTED_VALUE"""),"Resolución")</f>
        <v>Resolución</v>
      </c>
      <c r="H119" s="10" t="str">
        <f ca="1">IFERROR(__xludf.DUMMYFUNCTION("""COMPUTED_VALUE"""),"BONO ASEO EXTERNALIZADO")</f>
        <v>BONO ASEO EXTERNALIZADO</v>
      </c>
      <c r="I119" s="10" t="str">
        <f ca="1">IFERROR(__xludf.DUMMYFUNCTION("""COMPUTED_VALUE"""),"Cumplir con normativa y reglamentos internos del programa en base a los objetivos.")</f>
        <v>Cumplir con normativa y reglamentos internos del programa en base a los objetivos.</v>
      </c>
      <c r="J119" s="11">
        <f ca="1">IFERROR(__xludf.DUMMYFUNCTION("""COMPUTED_VALUE"""),46861416)</f>
        <v>46861416</v>
      </c>
      <c r="K119" s="27">
        <f ca="1">IFERROR(__xludf.DUMMYFUNCTION("""COMPUTED_VALUE"""),1)</f>
        <v>1</v>
      </c>
      <c r="L119" s="28" t="str">
        <f ca="1">IFERROR(__xludf.DUMMYFUNCTION("""COMPUTED_VALUE"""),"5/2024")</f>
        <v>5/2024</v>
      </c>
      <c r="M119" s="10" t="str">
        <f ca="1">IFERROR(__xludf.DUMMYFUNCTION("""COMPUTED_VALUE"""),"Predios Exentos")</f>
        <v>Predios Exentos</v>
      </c>
      <c r="N119" s="1"/>
      <c r="O119" s="1"/>
      <c r="P119" s="1"/>
      <c r="Q119" s="1"/>
      <c r="R119" s="1"/>
      <c r="S119" s="1"/>
      <c r="T119" s="1"/>
      <c r="U119" s="1"/>
      <c r="V119" s="1"/>
      <c r="W119" s="1"/>
      <c r="X119" s="1"/>
      <c r="Y119" s="1"/>
      <c r="Z119" s="1"/>
    </row>
    <row r="120" spans="1:26" ht="12.75" customHeight="1">
      <c r="A120" s="1"/>
      <c r="B120" s="10" t="str">
        <f ca="1">IFERROR(__xludf.DUMMYFUNCTION("""COMPUTED_VALUE"""),"Bono de aseo externalizado 2024")</f>
        <v>Bono de aseo externalizado 2024</v>
      </c>
      <c r="C120" s="26" t="str">
        <f t="shared" ca="1" si="0"/>
        <v xml:space="preserve"> RETIRO</v>
      </c>
      <c r="D120" s="10" t="str">
        <f ca="1">IFERROR(__xludf.DUMMYFUNCTION("""COMPUTED_VALUE"""),"Resolución de Transferencia")</f>
        <v>Resolución de Transferencia</v>
      </c>
      <c r="E120" s="26" t="str">
        <f ca="1">IFERROR(__xludf.DUMMYFUNCTION("""COMPUTED_VALUE"""),"MUNICIPALIDAD DE RETIRO")</f>
        <v>MUNICIPALIDAD DE RETIRO</v>
      </c>
      <c r="F120" s="11">
        <f ca="1">IFERROR(__xludf.DUMMYFUNCTION("""COMPUTED_VALUE"""),13388976)</f>
        <v>13388976</v>
      </c>
      <c r="G120" s="10" t="str">
        <f ca="1">IFERROR(__xludf.DUMMYFUNCTION("""COMPUTED_VALUE"""),"Resolución")</f>
        <v>Resolución</v>
      </c>
      <c r="H120" s="10" t="str">
        <f ca="1">IFERROR(__xludf.DUMMYFUNCTION("""COMPUTED_VALUE"""),"BONO ASEO EXTERNALIZADO")</f>
        <v>BONO ASEO EXTERNALIZADO</v>
      </c>
      <c r="I120" s="10" t="str">
        <f ca="1">IFERROR(__xludf.DUMMYFUNCTION("""COMPUTED_VALUE"""),"Cumplir con normativa y reglamentos internos del programa en base a los objetivos.")</f>
        <v>Cumplir con normativa y reglamentos internos del programa en base a los objetivos.</v>
      </c>
      <c r="J120" s="11">
        <f ca="1">IFERROR(__xludf.DUMMYFUNCTION("""COMPUTED_VALUE"""),13388976)</f>
        <v>13388976</v>
      </c>
      <c r="K120" s="27">
        <f ca="1">IFERROR(__xludf.DUMMYFUNCTION("""COMPUTED_VALUE"""),1)</f>
        <v>1</v>
      </c>
      <c r="L120" s="28" t="str">
        <f ca="1">IFERROR(__xludf.DUMMYFUNCTION("""COMPUTED_VALUE"""),"5/2024")</f>
        <v>5/2024</v>
      </c>
      <c r="M120" s="10" t="str">
        <f ca="1">IFERROR(__xludf.DUMMYFUNCTION("""COMPUTED_VALUE"""),"Predios Exentos")</f>
        <v>Predios Exentos</v>
      </c>
      <c r="N120" s="1"/>
      <c r="O120" s="1"/>
      <c r="P120" s="1"/>
      <c r="Q120" s="1"/>
      <c r="R120" s="1"/>
      <c r="S120" s="1"/>
      <c r="T120" s="1"/>
      <c r="U120" s="1"/>
      <c r="V120" s="1"/>
      <c r="W120" s="1"/>
      <c r="X120" s="1"/>
      <c r="Y120" s="1"/>
      <c r="Z120" s="1"/>
    </row>
    <row r="121" spans="1:26" ht="12.75" customHeight="1">
      <c r="A121" s="1"/>
      <c r="B121" s="10" t="str">
        <f ca="1">IFERROR(__xludf.DUMMYFUNCTION("""COMPUTED_VALUE"""),"Bono de aseo externalizado 2024")</f>
        <v>Bono de aseo externalizado 2024</v>
      </c>
      <c r="C121" s="26" t="str">
        <f t="shared" ca="1" si="0"/>
        <v xml:space="preserve"> SAN JAVIER</v>
      </c>
      <c r="D121" s="10" t="str">
        <f ca="1">IFERROR(__xludf.DUMMYFUNCTION("""COMPUTED_VALUE"""),"Resolución de Transferencia")</f>
        <v>Resolución de Transferencia</v>
      </c>
      <c r="E121" s="26" t="str">
        <f ca="1">IFERROR(__xludf.DUMMYFUNCTION("""COMPUTED_VALUE"""),"MUNICIPALIDAD DE SAN JAVIER")</f>
        <v>MUNICIPALIDAD DE SAN JAVIER</v>
      </c>
      <c r="F121" s="11">
        <f ca="1">IFERROR(__xludf.DUMMYFUNCTION("""COMPUTED_VALUE"""),70292124)</f>
        <v>70292124</v>
      </c>
      <c r="G121" s="10" t="str">
        <f ca="1">IFERROR(__xludf.DUMMYFUNCTION("""COMPUTED_VALUE"""),"Resolución")</f>
        <v>Resolución</v>
      </c>
      <c r="H121" s="10" t="str">
        <f ca="1">IFERROR(__xludf.DUMMYFUNCTION("""COMPUTED_VALUE"""),"BONO ASEO EXTERNALIZADO")</f>
        <v>BONO ASEO EXTERNALIZADO</v>
      </c>
      <c r="I121" s="10" t="str">
        <f ca="1">IFERROR(__xludf.DUMMYFUNCTION("""COMPUTED_VALUE"""),"Cumplir con normativa y reglamentos internos del programa en base a los objetivos.")</f>
        <v>Cumplir con normativa y reglamentos internos del programa en base a los objetivos.</v>
      </c>
      <c r="J121" s="11">
        <f ca="1">IFERROR(__xludf.DUMMYFUNCTION("""COMPUTED_VALUE"""),70292124)</f>
        <v>70292124</v>
      </c>
      <c r="K121" s="27">
        <f ca="1">IFERROR(__xludf.DUMMYFUNCTION("""COMPUTED_VALUE"""),1)</f>
        <v>1</v>
      </c>
      <c r="L121" s="28" t="str">
        <f ca="1">IFERROR(__xludf.DUMMYFUNCTION("""COMPUTED_VALUE"""),"5/2024")</f>
        <v>5/2024</v>
      </c>
      <c r="M121" s="10" t="str">
        <f ca="1">IFERROR(__xludf.DUMMYFUNCTION("""COMPUTED_VALUE"""),"Predios Exentos")</f>
        <v>Predios Exentos</v>
      </c>
      <c r="N121" s="1"/>
      <c r="O121" s="1"/>
      <c r="P121" s="1"/>
      <c r="Q121" s="1"/>
      <c r="R121" s="1"/>
      <c r="S121" s="1"/>
      <c r="T121" s="1"/>
      <c r="U121" s="1"/>
      <c r="V121" s="1"/>
      <c r="W121" s="1"/>
      <c r="X121" s="1"/>
      <c r="Y121" s="1"/>
      <c r="Z121" s="1"/>
    </row>
    <row r="122" spans="1:26" ht="12.75" customHeight="1">
      <c r="A122" s="1"/>
      <c r="B122" s="10" t="str">
        <f ca="1">IFERROR(__xludf.DUMMYFUNCTION("""COMPUTED_VALUE"""),"Bono de aseo externalizado 2024")</f>
        <v>Bono de aseo externalizado 2024</v>
      </c>
      <c r="C122" s="26" t="str">
        <f t="shared" ca="1" si="0"/>
        <v xml:space="preserve"> VILLA ALEGRE</v>
      </c>
      <c r="D122" s="10" t="str">
        <f ca="1">IFERROR(__xludf.DUMMYFUNCTION("""COMPUTED_VALUE"""),"Resolución de Transferencia")</f>
        <v>Resolución de Transferencia</v>
      </c>
      <c r="E122" s="26" t="str">
        <f ca="1">IFERROR(__xludf.DUMMYFUNCTION("""COMPUTED_VALUE"""),"MUNICIPALIDAD DE VILLA ALEGRE")</f>
        <v>MUNICIPALIDAD DE VILLA ALEGRE</v>
      </c>
      <c r="F122" s="11">
        <f ca="1">IFERROR(__xludf.DUMMYFUNCTION("""COMPUTED_VALUE"""),15620472)</f>
        <v>15620472</v>
      </c>
      <c r="G122" s="10" t="str">
        <f ca="1">IFERROR(__xludf.DUMMYFUNCTION("""COMPUTED_VALUE"""),"Resolución")</f>
        <v>Resolución</v>
      </c>
      <c r="H122" s="10" t="str">
        <f ca="1">IFERROR(__xludf.DUMMYFUNCTION("""COMPUTED_VALUE"""),"BONO ASEO EXTERNALIZADO")</f>
        <v>BONO ASEO EXTERNALIZADO</v>
      </c>
      <c r="I122" s="10" t="str">
        <f ca="1">IFERROR(__xludf.DUMMYFUNCTION("""COMPUTED_VALUE"""),"Cumplir con normativa y reglamentos internos del programa en base a los objetivos.")</f>
        <v>Cumplir con normativa y reglamentos internos del programa en base a los objetivos.</v>
      </c>
      <c r="J122" s="11">
        <f ca="1">IFERROR(__xludf.DUMMYFUNCTION("""COMPUTED_VALUE"""),15620472)</f>
        <v>15620472</v>
      </c>
      <c r="K122" s="27">
        <f ca="1">IFERROR(__xludf.DUMMYFUNCTION("""COMPUTED_VALUE"""),1)</f>
        <v>1</v>
      </c>
      <c r="L122" s="28" t="str">
        <f ca="1">IFERROR(__xludf.DUMMYFUNCTION("""COMPUTED_VALUE"""),"5/2024")</f>
        <v>5/2024</v>
      </c>
      <c r="M122" s="10" t="str">
        <f ca="1">IFERROR(__xludf.DUMMYFUNCTION("""COMPUTED_VALUE"""),"Predios Exentos")</f>
        <v>Predios Exentos</v>
      </c>
      <c r="N122" s="1"/>
      <c r="O122" s="1"/>
      <c r="P122" s="1"/>
      <c r="Q122" s="1"/>
      <c r="R122" s="1"/>
      <c r="S122" s="1"/>
      <c r="T122" s="1"/>
      <c r="U122" s="1"/>
      <c r="V122" s="1"/>
      <c r="W122" s="1"/>
      <c r="X122" s="1"/>
      <c r="Y122" s="1"/>
      <c r="Z122" s="1"/>
    </row>
    <row r="123" spans="1:26" ht="12.75" customHeight="1">
      <c r="A123" s="1"/>
      <c r="B123" s="10" t="str">
        <f ca="1">IFERROR(__xludf.DUMMYFUNCTION("""COMPUTED_VALUE"""),"Bono de aseo externalizado 2024")</f>
        <v>Bono de aseo externalizado 2024</v>
      </c>
      <c r="C123" s="26" t="str">
        <f t="shared" ca="1" si="0"/>
        <v xml:space="preserve"> YERBAS BUENAS</v>
      </c>
      <c r="D123" s="10" t="str">
        <f ca="1">IFERROR(__xludf.DUMMYFUNCTION("""COMPUTED_VALUE"""),"Resolución de Transferencia")</f>
        <v>Resolución de Transferencia</v>
      </c>
      <c r="E123" s="26" t="str">
        <f ca="1">IFERROR(__xludf.DUMMYFUNCTION("""COMPUTED_VALUE"""),"MUNICIPALIDAD DE YERBAS BUENAS")</f>
        <v>MUNICIPALIDAD DE YERBAS BUENAS</v>
      </c>
      <c r="F123" s="11">
        <f ca="1">IFERROR(__xludf.DUMMYFUNCTION("""COMPUTED_VALUE"""),14504724)</f>
        <v>14504724</v>
      </c>
      <c r="G123" s="10" t="str">
        <f ca="1">IFERROR(__xludf.DUMMYFUNCTION("""COMPUTED_VALUE"""),"Resolución")</f>
        <v>Resolución</v>
      </c>
      <c r="H123" s="10" t="str">
        <f ca="1">IFERROR(__xludf.DUMMYFUNCTION("""COMPUTED_VALUE"""),"BONO ASEO EXTERNALIZADO")</f>
        <v>BONO ASEO EXTERNALIZADO</v>
      </c>
      <c r="I123" s="10" t="str">
        <f ca="1">IFERROR(__xludf.DUMMYFUNCTION("""COMPUTED_VALUE"""),"Cumplir con normativa y reglamentos internos del programa en base a los objetivos.")</f>
        <v>Cumplir con normativa y reglamentos internos del programa en base a los objetivos.</v>
      </c>
      <c r="J123" s="11">
        <f ca="1">IFERROR(__xludf.DUMMYFUNCTION("""COMPUTED_VALUE"""),14504724)</f>
        <v>14504724</v>
      </c>
      <c r="K123" s="27">
        <f ca="1">IFERROR(__xludf.DUMMYFUNCTION("""COMPUTED_VALUE"""),1)</f>
        <v>1</v>
      </c>
      <c r="L123" s="28" t="str">
        <f ca="1">IFERROR(__xludf.DUMMYFUNCTION("""COMPUTED_VALUE"""),"5/2024")</f>
        <v>5/2024</v>
      </c>
      <c r="M123" s="10" t="str">
        <f ca="1">IFERROR(__xludf.DUMMYFUNCTION("""COMPUTED_VALUE"""),"Predios Exentos")</f>
        <v>Predios Exentos</v>
      </c>
      <c r="N123" s="1"/>
      <c r="O123" s="1"/>
      <c r="P123" s="1"/>
      <c r="Q123" s="1"/>
      <c r="R123" s="1"/>
      <c r="S123" s="1"/>
      <c r="T123" s="1"/>
      <c r="U123" s="1"/>
      <c r="V123" s="1"/>
      <c r="W123" s="1"/>
      <c r="X123" s="1"/>
      <c r="Y123" s="1"/>
      <c r="Z123" s="1"/>
    </row>
    <row r="124" spans="1:26" ht="12.75" customHeight="1">
      <c r="A124" s="1"/>
      <c r="B124" s="10" t="str">
        <f ca="1">IFERROR(__xludf.DUMMYFUNCTION("""COMPUTED_VALUE"""),"Bono de aseo externalizado 2024")</f>
        <v>Bono de aseo externalizado 2024</v>
      </c>
      <c r="C124" s="26" t="str">
        <f t="shared" ca="1" si="0"/>
        <v xml:space="preserve"> CONCEPCIÓN</v>
      </c>
      <c r="D124" s="10" t="str">
        <f ca="1">IFERROR(__xludf.DUMMYFUNCTION("""COMPUTED_VALUE"""),"Resolución de Transferencia")</f>
        <v>Resolución de Transferencia</v>
      </c>
      <c r="E124" s="26" t="str">
        <f ca="1">IFERROR(__xludf.DUMMYFUNCTION("""COMPUTED_VALUE"""),"MUNICIPALIDAD DE CONCEPCIÓN")</f>
        <v>MUNICIPALIDAD DE CONCEPCIÓN</v>
      </c>
      <c r="F124" s="11">
        <f ca="1">IFERROR(__xludf.DUMMYFUNCTION("""COMPUTED_VALUE"""),291210228)</f>
        <v>291210228</v>
      </c>
      <c r="G124" s="10" t="str">
        <f ca="1">IFERROR(__xludf.DUMMYFUNCTION("""COMPUTED_VALUE"""),"Resolución")</f>
        <v>Resolución</v>
      </c>
      <c r="H124" s="10" t="str">
        <f ca="1">IFERROR(__xludf.DUMMYFUNCTION("""COMPUTED_VALUE"""),"BONO ASEO EXTERNALIZADO")</f>
        <v>BONO ASEO EXTERNALIZADO</v>
      </c>
      <c r="I124" s="10" t="str">
        <f ca="1">IFERROR(__xludf.DUMMYFUNCTION("""COMPUTED_VALUE"""),"Cumplir con normativa y reglamentos internos del programa en base a los objetivos.")</f>
        <v>Cumplir con normativa y reglamentos internos del programa en base a los objetivos.</v>
      </c>
      <c r="J124" s="11">
        <f ca="1">IFERROR(__xludf.DUMMYFUNCTION("""COMPUTED_VALUE"""),291210228)</f>
        <v>291210228</v>
      </c>
      <c r="K124" s="27">
        <f ca="1">IFERROR(__xludf.DUMMYFUNCTION("""COMPUTED_VALUE"""),1)</f>
        <v>1</v>
      </c>
      <c r="L124" s="28" t="str">
        <f ca="1">IFERROR(__xludf.DUMMYFUNCTION("""COMPUTED_VALUE"""),"5/2024")</f>
        <v>5/2024</v>
      </c>
      <c r="M124" s="10" t="str">
        <f ca="1">IFERROR(__xludf.DUMMYFUNCTION("""COMPUTED_VALUE"""),"Predios Exentos")</f>
        <v>Predios Exentos</v>
      </c>
      <c r="N124" s="1"/>
      <c r="O124" s="1"/>
      <c r="P124" s="1"/>
      <c r="Q124" s="1"/>
      <c r="R124" s="1"/>
      <c r="S124" s="1"/>
      <c r="T124" s="1"/>
      <c r="U124" s="1"/>
      <c r="V124" s="1"/>
      <c r="W124" s="1"/>
      <c r="X124" s="1"/>
      <c r="Y124" s="1"/>
      <c r="Z124" s="1"/>
    </row>
    <row r="125" spans="1:26" ht="12.75" customHeight="1">
      <c r="A125" s="1"/>
      <c r="B125" s="10" t="str">
        <f ca="1">IFERROR(__xludf.DUMMYFUNCTION("""COMPUTED_VALUE"""),"Bono de aseo externalizado 2024")</f>
        <v>Bono de aseo externalizado 2024</v>
      </c>
      <c r="C125" s="26" t="str">
        <f t="shared" ca="1" si="0"/>
        <v xml:space="preserve"> CORONEL</v>
      </c>
      <c r="D125" s="10" t="str">
        <f ca="1">IFERROR(__xludf.DUMMYFUNCTION("""COMPUTED_VALUE"""),"Resolución de Transferencia")</f>
        <v>Resolución de Transferencia</v>
      </c>
      <c r="E125" s="26" t="str">
        <f ca="1">IFERROR(__xludf.DUMMYFUNCTION("""COMPUTED_VALUE"""),"MUNICIPALIDAD DE CORONEL")</f>
        <v>MUNICIPALIDAD DE CORONEL</v>
      </c>
      <c r="F125" s="11">
        <f ca="1">IFERROR(__xludf.DUMMYFUNCTION("""COMPUTED_VALUE"""),222033852)</f>
        <v>222033852</v>
      </c>
      <c r="G125" s="10" t="str">
        <f ca="1">IFERROR(__xludf.DUMMYFUNCTION("""COMPUTED_VALUE"""),"Resolución")</f>
        <v>Resolución</v>
      </c>
      <c r="H125" s="10" t="str">
        <f ca="1">IFERROR(__xludf.DUMMYFUNCTION("""COMPUTED_VALUE"""),"BONO ASEO EXTERNALIZADO")</f>
        <v>BONO ASEO EXTERNALIZADO</v>
      </c>
      <c r="I125" s="10" t="str">
        <f ca="1">IFERROR(__xludf.DUMMYFUNCTION("""COMPUTED_VALUE"""),"Cumplir con normativa y reglamentos internos del programa en base a los objetivos.")</f>
        <v>Cumplir con normativa y reglamentos internos del programa en base a los objetivos.</v>
      </c>
      <c r="J125" s="11">
        <f ca="1">IFERROR(__xludf.DUMMYFUNCTION("""COMPUTED_VALUE"""),222033852)</f>
        <v>222033852</v>
      </c>
      <c r="K125" s="27">
        <f ca="1">IFERROR(__xludf.DUMMYFUNCTION("""COMPUTED_VALUE"""),1)</f>
        <v>1</v>
      </c>
      <c r="L125" s="28" t="str">
        <f ca="1">IFERROR(__xludf.DUMMYFUNCTION("""COMPUTED_VALUE"""),"5/2024")</f>
        <v>5/2024</v>
      </c>
      <c r="M125" s="10" t="str">
        <f ca="1">IFERROR(__xludf.DUMMYFUNCTION("""COMPUTED_VALUE"""),"Predios Exentos")</f>
        <v>Predios Exentos</v>
      </c>
      <c r="N125" s="1"/>
      <c r="O125" s="1"/>
      <c r="P125" s="1"/>
      <c r="Q125" s="1"/>
      <c r="R125" s="1"/>
      <c r="S125" s="1"/>
      <c r="T125" s="1"/>
      <c r="U125" s="1"/>
      <c r="V125" s="1"/>
      <c r="W125" s="1"/>
      <c r="X125" s="1"/>
      <c r="Y125" s="1"/>
      <c r="Z125" s="1"/>
    </row>
    <row r="126" spans="1:26" ht="12.75" customHeight="1">
      <c r="A126" s="1"/>
      <c r="B126" s="10" t="str">
        <f ca="1">IFERROR(__xludf.DUMMYFUNCTION("""COMPUTED_VALUE"""),"Bono de aseo externalizado 2024")</f>
        <v>Bono de aseo externalizado 2024</v>
      </c>
      <c r="C126" s="26" t="str">
        <f t="shared" ca="1" si="0"/>
        <v xml:space="preserve"> CHIGUAYANTE</v>
      </c>
      <c r="D126" s="10" t="str">
        <f ca="1">IFERROR(__xludf.DUMMYFUNCTION("""COMPUTED_VALUE"""),"Resolución de Transferencia")</f>
        <v>Resolución de Transferencia</v>
      </c>
      <c r="E126" s="26" t="str">
        <f ca="1">IFERROR(__xludf.DUMMYFUNCTION("""COMPUTED_VALUE"""),"MUNICIPALIDAD DE CHIGUAYANTE")</f>
        <v>MUNICIPALIDAD DE CHIGUAYANTE</v>
      </c>
      <c r="F126" s="11">
        <f ca="1">IFERROR(__xludf.DUMMYFUNCTION("""COMPUTED_VALUE"""),127195272)</f>
        <v>127195272</v>
      </c>
      <c r="G126" s="10" t="str">
        <f ca="1">IFERROR(__xludf.DUMMYFUNCTION("""COMPUTED_VALUE"""),"Resolución")</f>
        <v>Resolución</v>
      </c>
      <c r="H126" s="10" t="str">
        <f ca="1">IFERROR(__xludf.DUMMYFUNCTION("""COMPUTED_VALUE"""),"BONO ASEO EXTERNALIZADO")</f>
        <v>BONO ASEO EXTERNALIZADO</v>
      </c>
      <c r="I126" s="10" t="str">
        <f ca="1">IFERROR(__xludf.DUMMYFUNCTION("""COMPUTED_VALUE"""),"Cumplir con normativa y reglamentos internos del programa en base a los objetivos.")</f>
        <v>Cumplir con normativa y reglamentos internos del programa en base a los objetivos.</v>
      </c>
      <c r="J126" s="11">
        <f ca="1">IFERROR(__xludf.DUMMYFUNCTION("""COMPUTED_VALUE"""),127195272)</f>
        <v>127195272</v>
      </c>
      <c r="K126" s="27">
        <f ca="1">IFERROR(__xludf.DUMMYFUNCTION("""COMPUTED_VALUE"""),1)</f>
        <v>1</v>
      </c>
      <c r="L126" s="28" t="str">
        <f ca="1">IFERROR(__xludf.DUMMYFUNCTION("""COMPUTED_VALUE"""),"5/2024")</f>
        <v>5/2024</v>
      </c>
      <c r="M126" s="10" t="str">
        <f ca="1">IFERROR(__xludf.DUMMYFUNCTION("""COMPUTED_VALUE"""),"Predios Exentos")</f>
        <v>Predios Exentos</v>
      </c>
      <c r="N126" s="1"/>
      <c r="O126" s="1"/>
      <c r="P126" s="1"/>
      <c r="Q126" s="1"/>
      <c r="R126" s="1"/>
      <c r="S126" s="1"/>
      <c r="T126" s="1"/>
      <c r="U126" s="1"/>
      <c r="V126" s="1"/>
      <c r="W126" s="1"/>
      <c r="X126" s="1"/>
      <c r="Y126" s="1"/>
      <c r="Z126" s="1"/>
    </row>
    <row r="127" spans="1:26" ht="12.75" customHeight="1">
      <c r="A127" s="1"/>
      <c r="B127" s="10" t="str">
        <f ca="1">IFERROR(__xludf.DUMMYFUNCTION("""COMPUTED_VALUE"""),"Bono de aseo externalizado 2024")</f>
        <v>Bono de aseo externalizado 2024</v>
      </c>
      <c r="C127" s="26" t="str">
        <f t="shared" ca="1" si="0"/>
        <v xml:space="preserve"> FLORIDA</v>
      </c>
      <c r="D127" s="10" t="str">
        <f ca="1">IFERROR(__xludf.DUMMYFUNCTION("""COMPUTED_VALUE"""),"Resolución de Transferencia")</f>
        <v>Resolución de Transferencia</v>
      </c>
      <c r="E127" s="26" t="str">
        <f ca="1">IFERROR(__xludf.DUMMYFUNCTION("""COMPUTED_VALUE"""),"MUNICIPALIDAD DE FLORIDA")</f>
        <v>MUNICIPALIDAD DE FLORIDA</v>
      </c>
      <c r="F127" s="11">
        <f ca="1">IFERROR(__xludf.DUMMYFUNCTION("""COMPUTED_VALUE"""),12273228)</f>
        <v>12273228</v>
      </c>
      <c r="G127" s="10" t="str">
        <f ca="1">IFERROR(__xludf.DUMMYFUNCTION("""COMPUTED_VALUE"""),"Resolución")</f>
        <v>Resolución</v>
      </c>
      <c r="H127" s="10" t="str">
        <f ca="1">IFERROR(__xludf.DUMMYFUNCTION("""COMPUTED_VALUE"""),"BONO ASEO EXTERNALIZADO")</f>
        <v>BONO ASEO EXTERNALIZADO</v>
      </c>
      <c r="I127" s="10" t="str">
        <f ca="1">IFERROR(__xludf.DUMMYFUNCTION("""COMPUTED_VALUE"""),"Cumplir con normativa y reglamentos internos del programa en base a los objetivos.")</f>
        <v>Cumplir con normativa y reglamentos internos del programa en base a los objetivos.</v>
      </c>
      <c r="J127" s="11">
        <f ca="1">IFERROR(__xludf.DUMMYFUNCTION("""COMPUTED_VALUE"""),12273228)</f>
        <v>12273228</v>
      </c>
      <c r="K127" s="27">
        <f ca="1">IFERROR(__xludf.DUMMYFUNCTION("""COMPUTED_VALUE"""),1)</f>
        <v>1</v>
      </c>
      <c r="L127" s="28" t="str">
        <f ca="1">IFERROR(__xludf.DUMMYFUNCTION("""COMPUTED_VALUE"""),"5/2024")</f>
        <v>5/2024</v>
      </c>
      <c r="M127" s="10" t="str">
        <f ca="1">IFERROR(__xludf.DUMMYFUNCTION("""COMPUTED_VALUE"""),"Predios Exentos")</f>
        <v>Predios Exentos</v>
      </c>
      <c r="N127" s="1"/>
      <c r="O127" s="1"/>
      <c r="P127" s="1"/>
      <c r="Q127" s="1"/>
      <c r="R127" s="1"/>
      <c r="S127" s="1"/>
      <c r="T127" s="1"/>
      <c r="U127" s="1"/>
      <c r="V127" s="1"/>
      <c r="W127" s="1"/>
      <c r="X127" s="1"/>
      <c r="Y127" s="1"/>
      <c r="Z127" s="1"/>
    </row>
    <row r="128" spans="1:26" ht="12.75" customHeight="1">
      <c r="A128" s="1"/>
      <c r="B128" s="10" t="str">
        <f ca="1">IFERROR(__xludf.DUMMYFUNCTION("""COMPUTED_VALUE"""),"Bono de aseo externalizado 2024")</f>
        <v>Bono de aseo externalizado 2024</v>
      </c>
      <c r="C128" s="26" t="str">
        <f t="shared" ca="1" si="0"/>
        <v xml:space="preserve"> HUALQUI</v>
      </c>
      <c r="D128" s="10" t="str">
        <f ca="1">IFERROR(__xludf.DUMMYFUNCTION("""COMPUTED_VALUE"""),"Resolución de Transferencia")</f>
        <v>Resolución de Transferencia</v>
      </c>
      <c r="E128" s="26" t="str">
        <f ca="1">IFERROR(__xludf.DUMMYFUNCTION("""COMPUTED_VALUE"""),"MUNICIPALIDAD DE HUALQUI")</f>
        <v>MUNICIPALIDAD DE HUALQUI</v>
      </c>
      <c r="F128" s="11">
        <f ca="1">IFERROR(__xludf.DUMMYFUNCTION("""COMPUTED_VALUE"""),76986612)</f>
        <v>76986612</v>
      </c>
      <c r="G128" s="10" t="str">
        <f ca="1">IFERROR(__xludf.DUMMYFUNCTION("""COMPUTED_VALUE"""),"Resolución")</f>
        <v>Resolución</v>
      </c>
      <c r="H128" s="10" t="str">
        <f ca="1">IFERROR(__xludf.DUMMYFUNCTION("""COMPUTED_VALUE"""),"BONO ASEO EXTERNALIZADO")</f>
        <v>BONO ASEO EXTERNALIZADO</v>
      </c>
      <c r="I128" s="10" t="str">
        <f ca="1">IFERROR(__xludf.DUMMYFUNCTION("""COMPUTED_VALUE"""),"Cumplir con normativa y reglamentos internos del programa en base a los objetivos.")</f>
        <v>Cumplir con normativa y reglamentos internos del programa en base a los objetivos.</v>
      </c>
      <c r="J128" s="11">
        <f ca="1">IFERROR(__xludf.DUMMYFUNCTION("""COMPUTED_VALUE"""),76986612)</f>
        <v>76986612</v>
      </c>
      <c r="K128" s="27">
        <f ca="1">IFERROR(__xludf.DUMMYFUNCTION("""COMPUTED_VALUE"""),1)</f>
        <v>1</v>
      </c>
      <c r="L128" s="28" t="str">
        <f ca="1">IFERROR(__xludf.DUMMYFUNCTION("""COMPUTED_VALUE"""),"5/2024")</f>
        <v>5/2024</v>
      </c>
      <c r="M128" s="10" t="str">
        <f ca="1">IFERROR(__xludf.DUMMYFUNCTION("""COMPUTED_VALUE"""),"Predios Exentos")</f>
        <v>Predios Exentos</v>
      </c>
      <c r="N128" s="1"/>
      <c r="O128" s="1"/>
      <c r="P128" s="1"/>
      <c r="Q128" s="1"/>
      <c r="R128" s="1"/>
      <c r="S128" s="1"/>
      <c r="T128" s="1"/>
      <c r="U128" s="1"/>
      <c r="V128" s="1"/>
      <c r="W128" s="1"/>
      <c r="X128" s="1"/>
      <c r="Y128" s="1"/>
      <c r="Z128" s="1"/>
    </row>
    <row r="129" spans="1:26" ht="12.75" customHeight="1">
      <c r="A129" s="1"/>
      <c r="B129" s="10" t="str">
        <f ca="1">IFERROR(__xludf.DUMMYFUNCTION("""COMPUTED_VALUE"""),"Bono de aseo externalizado 2024")</f>
        <v>Bono de aseo externalizado 2024</v>
      </c>
      <c r="C129" s="26" t="str">
        <f t="shared" ca="1" si="0"/>
        <v xml:space="preserve"> LOTA</v>
      </c>
      <c r="D129" s="10" t="str">
        <f ca="1">IFERROR(__xludf.DUMMYFUNCTION("""COMPUTED_VALUE"""),"Resolución de Transferencia")</f>
        <v>Resolución de Transferencia</v>
      </c>
      <c r="E129" s="26" t="str">
        <f ca="1">IFERROR(__xludf.DUMMYFUNCTION("""COMPUTED_VALUE"""),"MUNICIPALIDAD DE LOTA")</f>
        <v>MUNICIPALIDAD DE LOTA</v>
      </c>
      <c r="F129" s="11">
        <f ca="1">IFERROR(__xludf.DUMMYFUNCTION("""COMPUTED_VALUE"""),74755116)</f>
        <v>74755116</v>
      </c>
      <c r="G129" s="10" t="str">
        <f ca="1">IFERROR(__xludf.DUMMYFUNCTION("""COMPUTED_VALUE"""),"Resolución")</f>
        <v>Resolución</v>
      </c>
      <c r="H129" s="10" t="str">
        <f ca="1">IFERROR(__xludf.DUMMYFUNCTION("""COMPUTED_VALUE"""),"BONO ASEO EXTERNALIZADO")</f>
        <v>BONO ASEO EXTERNALIZADO</v>
      </c>
      <c r="I129" s="10" t="str">
        <f ca="1">IFERROR(__xludf.DUMMYFUNCTION("""COMPUTED_VALUE"""),"Cumplir con normativa y reglamentos internos del programa en base a los objetivos.")</f>
        <v>Cumplir con normativa y reglamentos internos del programa en base a los objetivos.</v>
      </c>
      <c r="J129" s="11">
        <f ca="1">IFERROR(__xludf.DUMMYFUNCTION("""COMPUTED_VALUE"""),74755116)</f>
        <v>74755116</v>
      </c>
      <c r="K129" s="27">
        <f ca="1">IFERROR(__xludf.DUMMYFUNCTION("""COMPUTED_VALUE"""),1)</f>
        <v>1</v>
      </c>
      <c r="L129" s="28" t="str">
        <f ca="1">IFERROR(__xludf.DUMMYFUNCTION("""COMPUTED_VALUE"""),"5/2024")</f>
        <v>5/2024</v>
      </c>
      <c r="M129" s="10" t="str">
        <f ca="1">IFERROR(__xludf.DUMMYFUNCTION("""COMPUTED_VALUE"""),"Predios Exentos")</f>
        <v>Predios Exentos</v>
      </c>
      <c r="N129" s="1"/>
      <c r="O129" s="1"/>
      <c r="P129" s="1"/>
      <c r="Q129" s="1"/>
      <c r="R129" s="1"/>
      <c r="S129" s="1"/>
      <c r="T129" s="1"/>
      <c r="U129" s="1"/>
      <c r="V129" s="1"/>
      <c r="W129" s="1"/>
      <c r="X129" s="1"/>
      <c r="Y129" s="1"/>
      <c r="Z129" s="1"/>
    </row>
    <row r="130" spans="1:26" ht="12.75" customHeight="1">
      <c r="A130" s="1"/>
      <c r="B130" s="10" t="str">
        <f ca="1">IFERROR(__xludf.DUMMYFUNCTION("""COMPUTED_VALUE"""),"Bono de aseo externalizado 2024")</f>
        <v>Bono de aseo externalizado 2024</v>
      </c>
      <c r="C130" s="26" t="str">
        <f t="shared" ca="1" si="0"/>
        <v xml:space="preserve"> PENCO</v>
      </c>
      <c r="D130" s="10" t="str">
        <f ca="1">IFERROR(__xludf.DUMMYFUNCTION("""COMPUTED_VALUE"""),"Resolución de Transferencia")</f>
        <v>Resolución de Transferencia</v>
      </c>
      <c r="E130" s="26" t="str">
        <f ca="1">IFERROR(__xludf.DUMMYFUNCTION("""COMPUTED_VALUE"""),"MUNICIPALIDAD DE PENCO")</f>
        <v>MUNICIPALIDAD DE PENCO</v>
      </c>
      <c r="F130" s="11">
        <f ca="1">IFERROR(__xludf.DUMMYFUNCTION("""COMPUTED_VALUE"""),116037792)</f>
        <v>116037792</v>
      </c>
      <c r="G130" s="10" t="str">
        <f ca="1">IFERROR(__xludf.DUMMYFUNCTION("""COMPUTED_VALUE"""),"Resolución")</f>
        <v>Resolución</v>
      </c>
      <c r="H130" s="10" t="str">
        <f ca="1">IFERROR(__xludf.DUMMYFUNCTION("""COMPUTED_VALUE"""),"BONO ASEO EXTERNALIZADO")</f>
        <v>BONO ASEO EXTERNALIZADO</v>
      </c>
      <c r="I130" s="10" t="str">
        <f ca="1">IFERROR(__xludf.DUMMYFUNCTION("""COMPUTED_VALUE"""),"Cumplir con normativa y reglamentos internos del programa en base a los objetivos.")</f>
        <v>Cumplir con normativa y reglamentos internos del programa en base a los objetivos.</v>
      </c>
      <c r="J130" s="11">
        <f ca="1">IFERROR(__xludf.DUMMYFUNCTION("""COMPUTED_VALUE"""),116037792)</f>
        <v>116037792</v>
      </c>
      <c r="K130" s="27">
        <f ca="1">IFERROR(__xludf.DUMMYFUNCTION("""COMPUTED_VALUE"""),1)</f>
        <v>1</v>
      </c>
      <c r="L130" s="28" t="str">
        <f ca="1">IFERROR(__xludf.DUMMYFUNCTION("""COMPUTED_VALUE"""),"5/2024")</f>
        <v>5/2024</v>
      </c>
      <c r="M130" s="10" t="str">
        <f ca="1">IFERROR(__xludf.DUMMYFUNCTION("""COMPUTED_VALUE"""),"Predios Exentos")</f>
        <v>Predios Exentos</v>
      </c>
      <c r="N130" s="1"/>
      <c r="O130" s="1"/>
      <c r="P130" s="1"/>
      <c r="Q130" s="1"/>
      <c r="R130" s="1"/>
      <c r="S130" s="1"/>
      <c r="T130" s="1"/>
      <c r="U130" s="1"/>
      <c r="V130" s="1"/>
      <c r="W130" s="1"/>
      <c r="X130" s="1"/>
      <c r="Y130" s="1"/>
      <c r="Z130" s="1"/>
    </row>
    <row r="131" spans="1:26" ht="12.75" customHeight="1">
      <c r="A131" s="1"/>
      <c r="B131" s="10" t="str">
        <f ca="1">IFERROR(__xludf.DUMMYFUNCTION("""COMPUTED_VALUE"""),"Bono de aseo externalizado 2024")</f>
        <v>Bono de aseo externalizado 2024</v>
      </c>
      <c r="C131" s="26" t="str">
        <f t="shared" ca="1" si="0"/>
        <v xml:space="preserve"> SAN PEDRO DE LA PAZ</v>
      </c>
      <c r="D131" s="10" t="str">
        <f ca="1">IFERROR(__xludf.DUMMYFUNCTION("""COMPUTED_VALUE"""),"Resolución de Transferencia")</f>
        <v>Resolución de Transferencia</v>
      </c>
      <c r="E131" s="26" t="str">
        <f ca="1">IFERROR(__xludf.DUMMYFUNCTION("""COMPUTED_VALUE"""),"MUNICIPALIDAD DE SAN PEDRO DE LA PAZ")</f>
        <v>MUNICIPALIDAD DE SAN PEDRO DE LA PAZ</v>
      </c>
      <c r="F131" s="11">
        <f ca="1">IFERROR(__xludf.DUMMYFUNCTION("""COMPUTED_VALUE"""),105996060)</f>
        <v>105996060</v>
      </c>
      <c r="G131" s="10" t="str">
        <f ca="1">IFERROR(__xludf.DUMMYFUNCTION("""COMPUTED_VALUE"""),"Resolución")</f>
        <v>Resolución</v>
      </c>
      <c r="H131" s="10" t="str">
        <f ca="1">IFERROR(__xludf.DUMMYFUNCTION("""COMPUTED_VALUE"""),"BONO ASEO EXTERNALIZADO")</f>
        <v>BONO ASEO EXTERNALIZADO</v>
      </c>
      <c r="I131" s="10" t="str">
        <f ca="1">IFERROR(__xludf.DUMMYFUNCTION("""COMPUTED_VALUE"""),"Cumplir con normativa y reglamentos internos del programa en base a los objetivos.")</f>
        <v>Cumplir con normativa y reglamentos internos del programa en base a los objetivos.</v>
      </c>
      <c r="J131" s="11">
        <f ca="1">IFERROR(__xludf.DUMMYFUNCTION("""COMPUTED_VALUE"""),105996060)</f>
        <v>105996060</v>
      </c>
      <c r="K131" s="27">
        <f ca="1">IFERROR(__xludf.DUMMYFUNCTION("""COMPUTED_VALUE"""),1)</f>
        <v>1</v>
      </c>
      <c r="L131" s="28" t="str">
        <f ca="1">IFERROR(__xludf.DUMMYFUNCTION("""COMPUTED_VALUE"""),"5/2024")</f>
        <v>5/2024</v>
      </c>
      <c r="M131" s="10" t="str">
        <f ca="1">IFERROR(__xludf.DUMMYFUNCTION("""COMPUTED_VALUE"""),"Predios Exentos")</f>
        <v>Predios Exentos</v>
      </c>
      <c r="N131" s="1"/>
      <c r="O131" s="1"/>
      <c r="P131" s="1"/>
      <c r="Q131" s="1"/>
      <c r="R131" s="1"/>
      <c r="S131" s="1"/>
      <c r="T131" s="1"/>
      <c r="U131" s="1"/>
      <c r="V131" s="1"/>
      <c r="W131" s="1"/>
      <c r="X131" s="1"/>
      <c r="Y131" s="1"/>
      <c r="Z131" s="1"/>
    </row>
    <row r="132" spans="1:26" ht="12.75" customHeight="1">
      <c r="A132" s="1"/>
      <c r="B132" s="10" t="str">
        <f ca="1">IFERROR(__xludf.DUMMYFUNCTION("""COMPUTED_VALUE"""),"Bono de aseo externalizado 2024")</f>
        <v>Bono de aseo externalizado 2024</v>
      </c>
      <c r="C132" s="26" t="str">
        <f t="shared" ca="1" si="0"/>
        <v xml:space="preserve"> SANTA JUANA</v>
      </c>
      <c r="D132" s="10" t="str">
        <f ca="1">IFERROR(__xludf.DUMMYFUNCTION("""COMPUTED_VALUE"""),"Resolución de Transferencia")</f>
        <v>Resolución de Transferencia</v>
      </c>
      <c r="E132" s="26" t="str">
        <f ca="1">IFERROR(__xludf.DUMMYFUNCTION("""COMPUTED_VALUE"""),"MUNICIPALIDAD DE SANTA JUANA")</f>
        <v>MUNICIPALIDAD DE SANTA JUANA</v>
      </c>
      <c r="F132" s="11">
        <f ca="1">IFERROR(__xludf.DUMMYFUNCTION("""COMPUTED_VALUE"""),26777952)</f>
        <v>26777952</v>
      </c>
      <c r="G132" s="10" t="str">
        <f ca="1">IFERROR(__xludf.DUMMYFUNCTION("""COMPUTED_VALUE"""),"Resolución")</f>
        <v>Resolución</v>
      </c>
      <c r="H132" s="10" t="str">
        <f ca="1">IFERROR(__xludf.DUMMYFUNCTION("""COMPUTED_VALUE"""),"BONO ASEO EXTERNALIZADO")</f>
        <v>BONO ASEO EXTERNALIZADO</v>
      </c>
      <c r="I132" s="10" t="str">
        <f ca="1">IFERROR(__xludf.DUMMYFUNCTION("""COMPUTED_VALUE"""),"Cumplir con normativa y reglamentos internos del programa en base a los objetivos.")</f>
        <v>Cumplir con normativa y reglamentos internos del programa en base a los objetivos.</v>
      </c>
      <c r="J132" s="11">
        <f ca="1">IFERROR(__xludf.DUMMYFUNCTION("""COMPUTED_VALUE"""),26777952)</f>
        <v>26777952</v>
      </c>
      <c r="K132" s="27">
        <f ca="1">IFERROR(__xludf.DUMMYFUNCTION("""COMPUTED_VALUE"""),1)</f>
        <v>1</v>
      </c>
      <c r="L132" s="28" t="str">
        <f ca="1">IFERROR(__xludf.DUMMYFUNCTION("""COMPUTED_VALUE"""),"5/2024")</f>
        <v>5/2024</v>
      </c>
      <c r="M132" s="10" t="str">
        <f ca="1">IFERROR(__xludf.DUMMYFUNCTION("""COMPUTED_VALUE"""),"Predios Exentos")</f>
        <v>Predios Exentos</v>
      </c>
      <c r="N132" s="1"/>
      <c r="O132" s="1"/>
      <c r="P132" s="1"/>
      <c r="Q132" s="1"/>
      <c r="R132" s="1"/>
      <c r="S132" s="1"/>
      <c r="T132" s="1"/>
      <c r="U132" s="1"/>
      <c r="V132" s="1"/>
      <c r="W132" s="1"/>
      <c r="X132" s="1"/>
      <c r="Y132" s="1"/>
      <c r="Z132" s="1"/>
    </row>
    <row r="133" spans="1:26" ht="12.75" customHeight="1">
      <c r="A133" s="1"/>
      <c r="B133" s="10" t="str">
        <f ca="1">IFERROR(__xludf.DUMMYFUNCTION("""COMPUTED_VALUE"""),"Bono de aseo externalizado 2024")</f>
        <v>Bono de aseo externalizado 2024</v>
      </c>
      <c r="C133" s="26" t="str">
        <f t="shared" ca="1" si="0"/>
        <v xml:space="preserve"> TALCAHUANO</v>
      </c>
      <c r="D133" s="10" t="str">
        <f ca="1">IFERROR(__xludf.DUMMYFUNCTION("""COMPUTED_VALUE"""),"Resolución de Transferencia")</f>
        <v>Resolución de Transferencia</v>
      </c>
      <c r="E133" s="26" t="str">
        <f ca="1">IFERROR(__xludf.DUMMYFUNCTION("""COMPUTED_VALUE"""),"MUNICIPALIDAD DE TALCAHUANO")</f>
        <v>MUNICIPALIDAD DE TALCAHUANO</v>
      </c>
      <c r="F133" s="11">
        <f ca="1">IFERROR(__xludf.DUMMYFUNCTION("""COMPUTED_VALUE"""),172940940)</f>
        <v>172940940</v>
      </c>
      <c r="G133" s="10" t="str">
        <f ca="1">IFERROR(__xludf.DUMMYFUNCTION("""COMPUTED_VALUE"""),"Resolución")</f>
        <v>Resolución</v>
      </c>
      <c r="H133" s="10" t="str">
        <f ca="1">IFERROR(__xludf.DUMMYFUNCTION("""COMPUTED_VALUE"""),"BONO ASEO EXTERNALIZADO")</f>
        <v>BONO ASEO EXTERNALIZADO</v>
      </c>
      <c r="I133" s="10" t="str">
        <f ca="1">IFERROR(__xludf.DUMMYFUNCTION("""COMPUTED_VALUE"""),"Cumplir con normativa y reglamentos internos del programa en base a los objetivos.")</f>
        <v>Cumplir con normativa y reglamentos internos del programa en base a los objetivos.</v>
      </c>
      <c r="J133" s="11">
        <f ca="1">IFERROR(__xludf.DUMMYFUNCTION("""COMPUTED_VALUE"""),172940940)</f>
        <v>172940940</v>
      </c>
      <c r="K133" s="27">
        <f ca="1">IFERROR(__xludf.DUMMYFUNCTION("""COMPUTED_VALUE"""),1)</f>
        <v>1</v>
      </c>
      <c r="L133" s="28" t="str">
        <f ca="1">IFERROR(__xludf.DUMMYFUNCTION("""COMPUTED_VALUE"""),"5/2024")</f>
        <v>5/2024</v>
      </c>
      <c r="M133" s="10" t="str">
        <f ca="1">IFERROR(__xludf.DUMMYFUNCTION("""COMPUTED_VALUE"""),"Predios Exentos")</f>
        <v>Predios Exentos</v>
      </c>
      <c r="N133" s="1"/>
      <c r="O133" s="1"/>
      <c r="P133" s="1"/>
      <c r="Q133" s="1"/>
      <c r="R133" s="1"/>
      <c r="S133" s="1"/>
      <c r="T133" s="1"/>
      <c r="U133" s="1"/>
      <c r="V133" s="1"/>
      <c r="W133" s="1"/>
      <c r="X133" s="1"/>
      <c r="Y133" s="1"/>
      <c r="Z133" s="1"/>
    </row>
    <row r="134" spans="1:26" ht="12.75" customHeight="1">
      <c r="A134" s="1"/>
      <c r="B134" s="10" t="str">
        <f ca="1">IFERROR(__xludf.DUMMYFUNCTION("""COMPUTED_VALUE"""),"Bono de aseo externalizado 2024")</f>
        <v>Bono de aseo externalizado 2024</v>
      </c>
      <c r="C134" s="26" t="str">
        <f t="shared" ca="1" si="0"/>
        <v xml:space="preserve"> TOMÉ</v>
      </c>
      <c r="D134" s="10" t="str">
        <f ca="1">IFERROR(__xludf.DUMMYFUNCTION("""COMPUTED_VALUE"""),"Resolución de Transferencia")</f>
        <v>Resolución de Transferencia</v>
      </c>
      <c r="E134" s="26" t="str">
        <f ca="1">IFERROR(__xludf.DUMMYFUNCTION("""COMPUTED_VALUE"""),"MUNICIPALIDAD DE TOMÉ")</f>
        <v>MUNICIPALIDAD DE TOMÉ</v>
      </c>
      <c r="F134" s="11">
        <f ca="1">IFERROR(__xludf.DUMMYFUNCTION("""COMPUTED_VALUE"""),84796848)</f>
        <v>84796848</v>
      </c>
      <c r="G134" s="10" t="str">
        <f ca="1">IFERROR(__xludf.DUMMYFUNCTION("""COMPUTED_VALUE"""),"Resolución")</f>
        <v>Resolución</v>
      </c>
      <c r="H134" s="10" t="str">
        <f ca="1">IFERROR(__xludf.DUMMYFUNCTION("""COMPUTED_VALUE"""),"BONO ASEO EXTERNALIZADO")</f>
        <v>BONO ASEO EXTERNALIZADO</v>
      </c>
      <c r="I134" s="10" t="str">
        <f ca="1">IFERROR(__xludf.DUMMYFUNCTION("""COMPUTED_VALUE"""),"Cumplir con normativa y reglamentos internos del programa en base a los objetivos.")</f>
        <v>Cumplir con normativa y reglamentos internos del programa en base a los objetivos.</v>
      </c>
      <c r="J134" s="11">
        <f ca="1">IFERROR(__xludf.DUMMYFUNCTION("""COMPUTED_VALUE"""),84796848)</f>
        <v>84796848</v>
      </c>
      <c r="K134" s="27">
        <f ca="1">IFERROR(__xludf.DUMMYFUNCTION("""COMPUTED_VALUE"""),1)</f>
        <v>1</v>
      </c>
      <c r="L134" s="28" t="str">
        <f ca="1">IFERROR(__xludf.DUMMYFUNCTION("""COMPUTED_VALUE"""),"5/2024")</f>
        <v>5/2024</v>
      </c>
      <c r="M134" s="10" t="str">
        <f ca="1">IFERROR(__xludf.DUMMYFUNCTION("""COMPUTED_VALUE"""),"Predios Exentos")</f>
        <v>Predios Exentos</v>
      </c>
      <c r="N134" s="1"/>
      <c r="O134" s="1"/>
      <c r="P134" s="1"/>
      <c r="Q134" s="1"/>
      <c r="R134" s="1"/>
      <c r="S134" s="1"/>
      <c r="T134" s="1"/>
      <c r="U134" s="1"/>
      <c r="V134" s="1"/>
      <c r="W134" s="1"/>
      <c r="X134" s="1"/>
      <c r="Y134" s="1"/>
      <c r="Z134" s="1"/>
    </row>
    <row r="135" spans="1:26" ht="12.75" customHeight="1">
      <c r="A135" s="1"/>
      <c r="B135" s="10" t="str">
        <f ca="1">IFERROR(__xludf.DUMMYFUNCTION("""COMPUTED_VALUE"""),"Bono de aseo externalizado 2024")</f>
        <v>Bono de aseo externalizado 2024</v>
      </c>
      <c r="C135" s="26" t="str">
        <f t="shared" ca="1" si="0"/>
        <v xml:space="preserve"> HUALPÉN</v>
      </c>
      <c r="D135" s="10" t="str">
        <f ca="1">IFERROR(__xludf.DUMMYFUNCTION("""COMPUTED_VALUE"""),"Resolución de Transferencia")</f>
        <v>Resolución de Transferencia</v>
      </c>
      <c r="E135" s="26" t="str">
        <f ca="1">IFERROR(__xludf.DUMMYFUNCTION("""COMPUTED_VALUE"""),"MUNICIPALIDAD DE HUALPÉN")</f>
        <v>MUNICIPALIDAD DE HUALPÉN</v>
      </c>
      <c r="F135" s="11">
        <f ca="1">IFERROR(__xludf.DUMMYFUNCTION("""COMPUTED_VALUE"""),148394484)</f>
        <v>148394484</v>
      </c>
      <c r="G135" s="10" t="str">
        <f ca="1">IFERROR(__xludf.DUMMYFUNCTION("""COMPUTED_VALUE"""),"Resolución")</f>
        <v>Resolución</v>
      </c>
      <c r="H135" s="10" t="str">
        <f ca="1">IFERROR(__xludf.DUMMYFUNCTION("""COMPUTED_VALUE"""),"BONO ASEO EXTERNALIZADO")</f>
        <v>BONO ASEO EXTERNALIZADO</v>
      </c>
      <c r="I135" s="10" t="str">
        <f ca="1">IFERROR(__xludf.DUMMYFUNCTION("""COMPUTED_VALUE"""),"Cumplir con normativa y reglamentos internos del programa en base a los objetivos.")</f>
        <v>Cumplir con normativa y reglamentos internos del programa en base a los objetivos.</v>
      </c>
      <c r="J135" s="11">
        <f ca="1">IFERROR(__xludf.DUMMYFUNCTION("""COMPUTED_VALUE"""),148394484)</f>
        <v>148394484</v>
      </c>
      <c r="K135" s="27">
        <f ca="1">IFERROR(__xludf.DUMMYFUNCTION("""COMPUTED_VALUE"""),1)</f>
        <v>1</v>
      </c>
      <c r="L135" s="28" t="str">
        <f ca="1">IFERROR(__xludf.DUMMYFUNCTION("""COMPUTED_VALUE"""),"5/2024")</f>
        <v>5/2024</v>
      </c>
      <c r="M135" s="10" t="str">
        <f ca="1">IFERROR(__xludf.DUMMYFUNCTION("""COMPUTED_VALUE"""),"Predios Exentos")</f>
        <v>Predios Exentos</v>
      </c>
      <c r="N135" s="1"/>
      <c r="O135" s="1"/>
      <c r="P135" s="1"/>
      <c r="Q135" s="1"/>
      <c r="R135" s="1"/>
      <c r="S135" s="1"/>
      <c r="T135" s="1"/>
      <c r="U135" s="1"/>
      <c r="V135" s="1"/>
      <c r="W135" s="1"/>
      <c r="X135" s="1"/>
      <c r="Y135" s="1"/>
      <c r="Z135" s="1"/>
    </row>
    <row r="136" spans="1:26" ht="12.75" customHeight="1">
      <c r="A136" s="1"/>
      <c r="B136" s="10" t="str">
        <f ca="1">IFERROR(__xludf.DUMMYFUNCTION("""COMPUTED_VALUE"""),"Bono de aseo externalizado 2024")</f>
        <v>Bono de aseo externalizado 2024</v>
      </c>
      <c r="C136" s="26" t="str">
        <f t="shared" ca="1" si="0"/>
        <v xml:space="preserve"> LEBU</v>
      </c>
      <c r="D136" s="10" t="str">
        <f ca="1">IFERROR(__xludf.DUMMYFUNCTION("""COMPUTED_VALUE"""),"Resolución de Transferencia")</f>
        <v>Resolución de Transferencia</v>
      </c>
      <c r="E136" s="26" t="str">
        <f ca="1">IFERROR(__xludf.DUMMYFUNCTION("""COMPUTED_VALUE"""),"MUNICIPALIDAD DE LEBU")</f>
        <v>MUNICIPALIDAD DE LEBU</v>
      </c>
      <c r="F136" s="11">
        <f ca="1">IFERROR(__xludf.DUMMYFUNCTION("""COMPUTED_VALUE"""),33472440)</f>
        <v>33472440</v>
      </c>
      <c r="G136" s="10" t="str">
        <f ca="1">IFERROR(__xludf.DUMMYFUNCTION("""COMPUTED_VALUE"""),"Resolución")</f>
        <v>Resolución</v>
      </c>
      <c r="H136" s="10" t="str">
        <f ca="1">IFERROR(__xludf.DUMMYFUNCTION("""COMPUTED_VALUE"""),"BONO ASEO EXTERNALIZADO")</f>
        <v>BONO ASEO EXTERNALIZADO</v>
      </c>
      <c r="I136" s="10" t="str">
        <f ca="1">IFERROR(__xludf.DUMMYFUNCTION("""COMPUTED_VALUE"""),"Cumplir con normativa y reglamentos internos del programa en base a los objetivos.")</f>
        <v>Cumplir con normativa y reglamentos internos del programa en base a los objetivos.</v>
      </c>
      <c r="J136" s="11">
        <f ca="1">IFERROR(__xludf.DUMMYFUNCTION("""COMPUTED_VALUE"""),33472440)</f>
        <v>33472440</v>
      </c>
      <c r="K136" s="27">
        <f ca="1">IFERROR(__xludf.DUMMYFUNCTION("""COMPUTED_VALUE"""),1)</f>
        <v>1</v>
      </c>
      <c r="L136" s="28" t="str">
        <f ca="1">IFERROR(__xludf.DUMMYFUNCTION("""COMPUTED_VALUE"""),"5/2024")</f>
        <v>5/2024</v>
      </c>
      <c r="M136" s="10" t="str">
        <f ca="1">IFERROR(__xludf.DUMMYFUNCTION("""COMPUTED_VALUE"""),"Predios Exentos")</f>
        <v>Predios Exentos</v>
      </c>
      <c r="N136" s="1"/>
      <c r="O136" s="1"/>
      <c r="P136" s="1"/>
      <c r="Q136" s="1"/>
      <c r="R136" s="1"/>
      <c r="S136" s="1"/>
      <c r="T136" s="1"/>
      <c r="U136" s="1"/>
      <c r="V136" s="1"/>
      <c r="W136" s="1"/>
      <c r="X136" s="1"/>
      <c r="Y136" s="1"/>
      <c r="Z136" s="1"/>
    </row>
    <row r="137" spans="1:26" ht="12.75" customHeight="1">
      <c r="A137" s="1"/>
      <c r="B137" s="10" t="str">
        <f ca="1">IFERROR(__xludf.DUMMYFUNCTION("""COMPUTED_VALUE"""),"Bono de aseo externalizado 2024")</f>
        <v>Bono de aseo externalizado 2024</v>
      </c>
      <c r="C137" s="26" t="str">
        <f t="shared" ca="1" si="0"/>
        <v xml:space="preserve"> ARAUCO</v>
      </c>
      <c r="D137" s="10" t="str">
        <f ca="1">IFERROR(__xludf.DUMMYFUNCTION("""COMPUTED_VALUE"""),"Resolución de Transferencia")</f>
        <v>Resolución de Transferencia</v>
      </c>
      <c r="E137" s="26" t="str">
        <f ca="1">IFERROR(__xludf.DUMMYFUNCTION("""COMPUTED_VALUE"""),"MUNICIPALIDAD DE ARAUCO")</f>
        <v>MUNICIPALIDAD DE ARAUCO</v>
      </c>
      <c r="F137" s="11">
        <f ca="1">IFERROR(__xludf.DUMMYFUNCTION("""COMPUTED_VALUE"""),44629920)</f>
        <v>44629920</v>
      </c>
      <c r="G137" s="10" t="str">
        <f ca="1">IFERROR(__xludf.DUMMYFUNCTION("""COMPUTED_VALUE"""),"Resolución")</f>
        <v>Resolución</v>
      </c>
      <c r="H137" s="10" t="str">
        <f ca="1">IFERROR(__xludf.DUMMYFUNCTION("""COMPUTED_VALUE"""),"BONO ASEO EXTERNALIZADO")</f>
        <v>BONO ASEO EXTERNALIZADO</v>
      </c>
      <c r="I137" s="10" t="str">
        <f ca="1">IFERROR(__xludf.DUMMYFUNCTION("""COMPUTED_VALUE"""),"Cumplir con normativa y reglamentos internos del programa en base a los objetivos.")</f>
        <v>Cumplir con normativa y reglamentos internos del programa en base a los objetivos.</v>
      </c>
      <c r="J137" s="11">
        <f ca="1">IFERROR(__xludf.DUMMYFUNCTION("""COMPUTED_VALUE"""),44629920)</f>
        <v>44629920</v>
      </c>
      <c r="K137" s="27">
        <f ca="1">IFERROR(__xludf.DUMMYFUNCTION("""COMPUTED_VALUE"""),1)</f>
        <v>1</v>
      </c>
      <c r="L137" s="28" t="str">
        <f ca="1">IFERROR(__xludf.DUMMYFUNCTION("""COMPUTED_VALUE"""),"5/2024")</f>
        <v>5/2024</v>
      </c>
      <c r="M137" s="10" t="str">
        <f ca="1">IFERROR(__xludf.DUMMYFUNCTION("""COMPUTED_VALUE"""),"Predios Exentos")</f>
        <v>Predios Exentos</v>
      </c>
      <c r="N137" s="1"/>
      <c r="O137" s="1"/>
      <c r="P137" s="1"/>
      <c r="Q137" s="1"/>
      <c r="R137" s="1"/>
      <c r="S137" s="1"/>
      <c r="T137" s="1"/>
      <c r="U137" s="1"/>
      <c r="V137" s="1"/>
      <c r="W137" s="1"/>
      <c r="X137" s="1"/>
      <c r="Y137" s="1"/>
      <c r="Z137" s="1"/>
    </row>
    <row r="138" spans="1:26" ht="12.75" customHeight="1">
      <c r="A138" s="1"/>
      <c r="B138" s="10" t="str">
        <f ca="1">IFERROR(__xludf.DUMMYFUNCTION("""COMPUTED_VALUE"""),"Bono de aseo externalizado 2024")</f>
        <v>Bono de aseo externalizado 2024</v>
      </c>
      <c r="C138" s="26" t="str">
        <f t="shared" ca="1" si="0"/>
        <v xml:space="preserve"> CAÑETE</v>
      </c>
      <c r="D138" s="10" t="str">
        <f ca="1">IFERROR(__xludf.DUMMYFUNCTION("""COMPUTED_VALUE"""),"Resolución de Transferencia")</f>
        <v>Resolución de Transferencia</v>
      </c>
      <c r="E138" s="26" t="str">
        <f ca="1">IFERROR(__xludf.DUMMYFUNCTION("""COMPUTED_VALUE"""),"MUNICIPALIDAD DE CAÑETE")</f>
        <v>MUNICIPALIDAD DE CAÑETE</v>
      </c>
      <c r="F138" s="11">
        <f ca="1">IFERROR(__xludf.DUMMYFUNCTION("""COMPUTED_VALUE"""),45745668)</f>
        <v>45745668</v>
      </c>
      <c r="G138" s="10" t="str">
        <f ca="1">IFERROR(__xludf.DUMMYFUNCTION("""COMPUTED_VALUE"""),"Resolución")</f>
        <v>Resolución</v>
      </c>
      <c r="H138" s="10" t="str">
        <f ca="1">IFERROR(__xludf.DUMMYFUNCTION("""COMPUTED_VALUE"""),"BONO ASEO EXTERNALIZADO")</f>
        <v>BONO ASEO EXTERNALIZADO</v>
      </c>
      <c r="I138" s="10" t="str">
        <f ca="1">IFERROR(__xludf.DUMMYFUNCTION("""COMPUTED_VALUE"""),"Cumplir con normativa y reglamentos internos del programa en base a los objetivos.")</f>
        <v>Cumplir con normativa y reglamentos internos del programa en base a los objetivos.</v>
      </c>
      <c r="J138" s="11">
        <f ca="1">IFERROR(__xludf.DUMMYFUNCTION("""COMPUTED_VALUE"""),45745668)</f>
        <v>45745668</v>
      </c>
      <c r="K138" s="27">
        <f ca="1">IFERROR(__xludf.DUMMYFUNCTION("""COMPUTED_VALUE"""),1)</f>
        <v>1</v>
      </c>
      <c r="L138" s="28" t="str">
        <f ca="1">IFERROR(__xludf.DUMMYFUNCTION("""COMPUTED_VALUE"""),"5/2024")</f>
        <v>5/2024</v>
      </c>
      <c r="M138" s="10" t="str">
        <f ca="1">IFERROR(__xludf.DUMMYFUNCTION("""COMPUTED_VALUE"""),"Predios Exentos")</f>
        <v>Predios Exentos</v>
      </c>
      <c r="N138" s="1"/>
      <c r="O138" s="1"/>
      <c r="P138" s="1"/>
      <c r="Q138" s="1"/>
      <c r="R138" s="1"/>
      <c r="S138" s="1"/>
      <c r="T138" s="1"/>
      <c r="U138" s="1"/>
      <c r="V138" s="1"/>
      <c r="W138" s="1"/>
      <c r="X138" s="1"/>
      <c r="Y138" s="1"/>
      <c r="Z138" s="1"/>
    </row>
    <row r="139" spans="1:26" ht="12.75" customHeight="1">
      <c r="A139" s="1"/>
      <c r="B139" s="10" t="str">
        <f ca="1">IFERROR(__xludf.DUMMYFUNCTION("""COMPUTED_VALUE"""),"Bono de aseo externalizado 2024")</f>
        <v>Bono de aseo externalizado 2024</v>
      </c>
      <c r="C139" s="26" t="str">
        <f t="shared" ca="1" si="0"/>
        <v xml:space="preserve"> CONTULMO</v>
      </c>
      <c r="D139" s="10" t="str">
        <f ca="1">IFERROR(__xludf.DUMMYFUNCTION("""COMPUTED_VALUE"""),"Resolución de Transferencia")</f>
        <v>Resolución de Transferencia</v>
      </c>
      <c r="E139" s="26" t="str">
        <f ca="1">IFERROR(__xludf.DUMMYFUNCTION("""COMPUTED_VALUE"""),"MUNICIPALIDAD DE CONTULMO")</f>
        <v>MUNICIPALIDAD DE CONTULMO</v>
      </c>
      <c r="F139" s="11">
        <f ca="1">IFERROR(__xludf.DUMMYFUNCTION("""COMPUTED_VALUE"""),6694488)</f>
        <v>6694488</v>
      </c>
      <c r="G139" s="10" t="str">
        <f ca="1">IFERROR(__xludf.DUMMYFUNCTION("""COMPUTED_VALUE"""),"Resolución")</f>
        <v>Resolución</v>
      </c>
      <c r="H139" s="10" t="str">
        <f ca="1">IFERROR(__xludf.DUMMYFUNCTION("""COMPUTED_VALUE"""),"BONO ASEO EXTERNALIZADO")</f>
        <v>BONO ASEO EXTERNALIZADO</v>
      </c>
      <c r="I139" s="10" t="str">
        <f ca="1">IFERROR(__xludf.DUMMYFUNCTION("""COMPUTED_VALUE"""),"Cumplir con normativa y reglamentos internos del programa en base a los objetivos.")</f>
        <v>Cumplir con normativa y reglamentos internos del programa en base a los objetivos.</v>
      </c>
      <c r="J139" s="11">
        <f ca="1">IFERROR(__xludf.DUMMYFUNCTION("""COMPUTED_VALUE"""),6694488)</f>
        <v>6694488</v>
      </c>
      <c r="K139" s="27">
        <f ca="1">IFERROR(__xludf.DUMMYFUNCTION("""COMPUTED_VALUE"""),1)</f>
        <v>1</v>
      </c>
      <c r="L139" s="28" t="str">
        <f ca="1">IFERROR(__xludf.DUMMYFUNCTION("""COMPUTED_VALUE"""),"5/2024")</f>
        <v>5/2024</v>
      </c>
      <c r="M139" s="10" t="str">
        <f ca="1">IFERROR(__xludf.DUMMYFUNCTION("""COMPUTED_VALUE"""),"Predios Exentos")</f>
        <v>Predios Exentos</v>
      </c>
      <c r="N139" s="1"/>
      <c r="O139" s="1"/>
      <c r="P139" s="1"/>
      <c r="Q139" s="1"/>
      <c r="R139" s="1"/>
      <c r="S139" s="1"/>
      <c r="T139" s="1"/>
      <c r="U139" s="1"/>
      <c r="V139" s="1"/>
      <c r="W139" s="1"/>
      <c r="X139" s="1"/>
      <c r="Y139" s="1"/>
      <c r="Z139" s="1"/>
    </row>
    <row r="140" spans="1:26" ht="12.75" customHeight="1">
      <c r="A140" s="1"/>
      <c r="B140" s="10" t="str">
        <f ca="1">IFERROR(__xludf.DUMMYFUNCTION("""COMPUTED_VALUE"""),"Bono de aseo externalizado 2024")</f>
        <v>Bono de aseo externalizado 2024</v>
      </c>
      <c r="C140" s="26" t="str">
        <f t="shared" ca="1" si="0"/>
        <v xml:space="preserve"> CURANILAHUE</v>
      </c>
      <c r="D140" s="10" t="str">
        <f ca="1">IFERROR(__xludf.DUMMYFUNCTION("""COMPUTED_VALUE"""),"Resolución de Transferencia")</f>
        <v>Resolución de Transferencia</v>
      </c>
      <c r="E140" s="26" t="str">
        <f ca="1">IFERROR(__xludf.DUMMYFUNCTION("""COMPUTED_VALUE"""),"MUNICIPALIDAD DE CURANILAHUE")</f>
        <v>MUNICIPALIDAD DE CURANILAHUE</v>
      </c>
      <c r="F140" s="11">
        <f ca="1">IFERROR(__xludf.DUMMYFUNCTION("""COMPUTED_VALUE"""),40166928)</f>
        <v>40166928</v>
      </c>
      <c r="G140" s="10" t="str">
        <f ca="1">IFERROR(__xludf.DUMMYFUNCTION("""COMPUTED_VALUE"""),"Resolución")</f>
        <v>Resolución</v>
      </c>
      <c r="H140" s="10" t="str">
        <f ca="1">IFERROR(__xludf.DUMMYFUNCTION("""COMPUTED_VALUE"""),"BONO ASEO EXTERNALIZADO")</f>
        <v>BONO ASEO EXTERNALIZADO</v>
      </c>
      <c r="I140" s="10" t="str">
        <f ca="1">IFERROR(__xludf.DUMMYFUNCTION("""COMPUTED_VALUE"""),"Cumplir con normativa y reglamentos internos del programa en base a los objetivos.")</f>
        <v>Cumplir con normativa y reglamentos internos del programa en base a los objetivos.</v>
      </c>
      <c r="J140" s="11">
        <f ca="1">IFERROR(__xludf.DUMMYFUNCTION("""COMPUTED_VALUE"""),40166928)</f>
        <v>40166928</v>
      </c>
      <c r="K140" s="27">
        <f ca="1">IFERROR(__xludf.DUMMYFUNCTION("""COMPUTED_VALUE"""),1)</f>
        <v>1</v>
      </c>
      <c r="L140" s="28" t="str">
        <f ca="1">IFERROR(__xludf.DUMMYFUNCTION("""COMPUTED_VALUE"""),"5/2024")</f>
        <v>5/2024</v>
      </c>
      <c r="M140" s="10" t="str">
        <f ca="1">IFERROR(__xludf.DUMMYFUNCTION("""COMPUTED_VALUE"""),"Predios Exentos")</f>
        <v>Predios Exentos</v>
      </c>
      <c r="N140" s="1"/>
      <c r="O140" s="1"/>
      <c r="P140" s="1"/>
      <c r="Q140" s="1"/>
      <c r="R140" s="1"/>
      <c r="S140" s="1"/>
      <c r="T140" s="1"/>
      <c r="U140" s="1"/>
      <c r="V140" s="1"/>
      <c r="W140" s="1"/>
      <c r="X140" s="1"/>
      <c r="Y140" s="1"/>
      <c r="Z140" s="1"/>
    </row>
    <row r="141" spans="1:26" ht="12.75" customHeight="1">
      <c r="A141" s="1"/>
      <c r="B141" s="10" t="str">
        <f ca="1">IFERROR(__xludf.DUMMYFUNCTION("""COMPUTED_VALUE"""),"Bono de aseo externalizado 2024")</f>
        <v>Bono de aseo externalizado 2024</v>
      </c>
      <c r="C141" s="26" t="str">
        <f t="shared" ca="1" si="0"/>
        <v xml:space="preserve"> TIRÚA</v>
      </c>
      <c r="D141" s="10" t="str">
        <f ca="1">IFERROR(__xludf.DUMMYFUNCTION("""COMPUTED_VALUE"""),"Resolución de Transferencia")</f>
        <v>Resolución de Transferencia</v>
      </c>
      <c r="E141" s="26" t="str">
        <f ca="1">IFERROR(__xludf.DUMMYFUNCTION("""COMPUTED_VALUE"""),"MUNICIPALIDAD DE TIRÚA")</f>
        <v>MUNICIPALIDAD DE TIRÚA</v>
      </c>
      <c r="F141" s="11">
        <f ca="1">IFERROR(__xludf.DUMMYFUNCTION("""COMPUTED_VALUE"""),15620472)</f>
        <v>15620472</v>
      </c>
      <c r="G141" s="10" t="str">
        <f ca="1">IFERROR(__xludf.DUMMYFUNCTION("""COMPUTED_VALUE"""),"Resolución")</f>
        <v>Resolución</v>
      </c>
      <c r="H141" s="10" t="str">
        <f ca="1">IFERROR(__xludf.DUMMYFUNCTION("""COMPUTED_VALUE"""),"BONO ASEO EXTERNALIZADO")</f>
        <v>BONO ASEO EXTERNALIZADO</v>
      </c>
      <c r="I141" s="10" t="str">
        <f ca="1">IFERROR(__xludf.DUMMYFUNCTION("""COMPUTED_VALUE"""),"Cumplir con normativa y reglamentos internos del programa en base a los objetivos.")</f>
        <v>Cumplir con normativa y reglamentos internos del programa en base a los objetivos.</v>
      </c>
      <c r="J141" s="11">
        <f ca="1">IFERROR(__xludf.DUMMYFUNCTION("""COMPUTED_VALUE"""),15620472)</f>
        <v>15620472</v>
      </c>
      <c r="K141" s="27">
        <f ca="1">IFERROR(__xludf.DUMMYFUNCTION("""COMPUTED_VALUE"""),1)</f>
        <v>1</v>
      </c>
      <c r="L141" s="28" t="str">
        <f ca="1">IFERROR(__xludf.DUMMYFUNCTION("""COMPUTED_VALUE"""),"5/2024")</f>
        <v>5/2024</v>
      </c>
      <c r="M141" s="10" t="str">
        <f ca="1">IFERROR(__xludf.DUMMYFUNCTION("""COMPUTED_VALUE"""),"Predios Exentos")</f>
        <v>Predios Exentos</v>
      </c>
      <c r="N141" s="1"/>
      <c r="O141" s="1"/>
      <c r="P141" s="1"/>
      <c r="Q141" s="1"/>
      <c r="R141" s="1"/>
      <c r="S141" s="1"/>
      <c r="T141" s="1"/>
      <c r="U141" s="1"/>
      <c r="V141" s="1"/>
      <c r="W141" s="1"/>
      <c r="X141" s="1"/>
      <c r="Y141" s="1"/>
      <c r="Z141" s="1"/>
    </row>
    <row r="142" spans="1:26" ht="12.75" customHeight="1">
      <c r="A142" s="1"/>
      <c r="B142" s="10" t="str">
        <f ca="1">IFERROR(__xludf.DUMMYFUNCTION("""COMPUTED_VALUE"""),"Bono de aseo externalizado 2024")</f>
        <v>Bono de aseo externalizado 2024</v>
      </c>
      <c r="C142" s="26" t="str">
        <f t="shared" ca="1" si="0"/>
        <v xml:space="preserve"> LOS ÁNGELES</v>
      </c>
      <c r="D142" s="10" t="str">
        <f ca="1">IFERROR(__xludf.DUMMYFUNCTION("""COMPUTED_VALUE"""),"Resolución de Transferencia")</f>
        <v>Resolución de Transferencia</v>
      </c>
      <c r="E142" s="26" t="str">
        <f ca="1">IFERROR(__xludf.DUMMYFUNCTION("""COMPUTED_VALUE"""),"MUNICIPALIDAD DE LOS ÁNGELES")</f>
        <v>MUNICIPALIDAD DE LOS ÁNGELES</v>
      </c>
      <c r="F142" s="11">
        <f ca="1">IFERROR(__xludf.DUMMYFUNCTION("""COMPUTED_VALUE"""),259969284)</f>
        <v>259969284</v>
      </c>
      <c r="G142" s="10" t="str">
        <f ca="1">IFERROR(__xludf.DUMMYFUNCTION("""COMPUTED_VALUE"""),"Resolución")</f>
        <v>Resolución</v>
      </c>
      <c r="H142" s="10" t="str">
        <f ca="1">IFERROR(__xludf.DUMMYFUNCTION("""COMPUTED_VALUE"""),"BONO ASEO EXTERNALIZADO")</f>
        <v>BONO ASEO EXTERNALIZADO</v>
      </c>
      <c r="I142" s="10" t="str">
        <f ca="1">IFERROR(__xludf.DUMMYFUNCTION("""COMPUTED_VALUE"""),"Cumplir con normativa y reglamentos internos del programa en base a los objetivos.")</f>
        <v>Cumplir con normativa y reglamentos internos del programa en base a los objetivos.</v>
      </c>
      <c r="J142" s="11">
        <f ca="1">IFERROR(__xludf.DUMMYFUNCTION("""COMPUTED_VALUE"""),259969284)</f>
        <v>259969284</v>
      </c>
      <c r="K142" s="27">
        <f ca="1">IFERROR(__xludf.DUMMYFUNCTION("""COMPUTED_VALUE"""),1)</f>
        <v>1</v>
      </c>
      <c r="L142" s="28" t="str">
        <f ca="1">IFERROR(__xludf.DUMMYFUNCTION("""COMPUTED_VALUE"""),"5/2024")</f>
        <v>5/2024</v>
      </c>
      <c r="M142" s="10" t="str">
        <f ca="1">IFERROR(__xludf.DUMMYFUNCTION("""COMPUTED_VALUE"""),"Predios Exentos")</f>
        <v>Predios Exentos</v>
      </c>
      <c r="N142" s="1"/>
      <c r="O142" s="1"/>
      <c r="P142" s="1"/>
      <c r="Q142" s="1"/>
      <c r="R142" s="1"/>
      <c r="S142" s="1"/>
      <c r="T142" s="1"/>
      <c r="U142" s="1"/>
      <c r="V142" s="1"/>
      <c r="W142" s="1"/>
      <c r="X142" s="1"/>
      <c r="Y142" s="1"/>
      <c r="Z142" s="1"/>
    </row>
    <row r="143" spans="1:26" ht="12.75" customHeight="1">
      <c r="A143" s="1"/>
      <c r="B143" s="10" t="str">
        <f ca="1">IFERROR(__xludf.DUMMYFUNCTION("""COMPUTED_VALUE"""),"Bono de aseo externalizado 2024")</f>
        <v>Bono de aseo externalizado 2024</v>
      </c>
      <c r="C143" s="26" t="str">
        <f t="shared" ca="1" si="0"/>
        <v xml:space="preserve"> ANTUCO</v>
      </c>
      <c r="D143" s="10" t="str">
        <f ca="1">IFERROR(__xludf.DUMMYFUNCTION("""COMPUTED_VALUE"""),"Resolución de Transferencia")</f>
        <v>Resolución de Transferencia</v>
      </c>
      <c r="E143" s="26" t="str">
        <f ca="1">IFERROR(__xludf.DUMMYFUNCTION("""COMPUTED_VALUE"""),"MUNICIPALIDAD DE ANTUCO")</f>
        <v>MUNICIPALIDAD DE ANTUCO</v>
      </c>
      <c r="F143" s="11">
        <f ca="1">IFERROR(__xludf.DUMMYFUNCTION("""COMPUTED_VALUE"""),6694488)</f>
        <v>6694488</v>
      </c>
      <c r="G143" s="10" t="str">
        <f ca="1">IFERROR(__xludf.DUMMYFUNCTION("""COMPUTED_VALUE"""),"Resolución")</f>
        <v>Resolución</v>
      </c>
      <c r="H143" s="10" t="str">
        <f ca="1">IFERROR(__xludf.DUMMYFUNCTION("""COMPUTED_VALUE"""),"BONO ASEO EXTERNALIZADO")</f>
        <v>BONO ASEO EXTERNALIZADO</v>
      </c>
      <c r="I143" s="10" t="str">
        <f ca="1">IFERROR(__xludf.DUMMYFUNCTION("""COMPUTED_VALUE"""),"Cumplir con normativa y reglamentos internos del programa en base a los objetivos.")</f>
        <v>Cumplir con normativa y reglamentos internos del programa en base a los objetivos.</v>
      </c>
      <c r="J143" s="11">
        <f ca="1">IFERROR(__xludf.DUMMYFUNCTION("""COMPUTED_VALUE"""),6694488)</f>
        <v>6694488</v>
      </c>
      <c r="K143" s="27">
        <f ca="1">IFERROR(__xludf.DUMMYFUNCTION("""COMPUTED_VALUE"""),1)</f>
        <v>1</v>
      </c>
      <c r="L143" s="28" t="str">
        <f ca="1">IFERROR(__xludf.DUMMYFUNCTION("""COMPUTED_VALUE"""),"5/2024")</f>
        <v>5/2024</v>
      </c>
      <c r="M143" s="10" t="str">
        <f ca="1">IFERROR(__xludf.DUMMYFUNCTION("""COMPUTED_VALUE"""),"Predios Exentos")</f>
        <v>Predios Exentos</v>
      </c>
      <c r="N143" s="1"/>
      <c r="O143" s="1"/>
      <c r="P143" s="1"/>
      <c r="Q143" s="1"/>
      <c r="R143" s="1"/>
      <c r="S143" s="1"/>
      <c r="T143" s="1"/>
      <c r="U143" s="1"/>
      <c r="V143" s="1"/>
      <c r="W143" s="1"/>
      <c r="X143" s="1"/>
      <c r="Y143" s="1"/>
      <c r="Z143" s="1"/>
    </row>
    <row r="144" spans="1:26" ht="12.75" customHeight="1">
      <c r="A144" s="1"/>
      <c r="B144" s="10" t="str">
        <f ca="1">IFERROR(__xludf.DUMMYFUNCTION("""COMPUTED_VALUE"""),"Bono de aseo externalizado 2024")</f>
        <v>Bono de aseo externalizado 2024</v>
      </c>
      <c r="C144" s="26" t="str">
        <f t="shared" ca="1" si="0"/>
        <v xml:space="preserve"> CABRERO</v>
      </c>
      <c r="D144" s="10" t="str">
        <f ca="1">IFERROR(__xludf.DUMMYFUNCTION("""COMPUTED_VALUE"""),"Resolución de Transferencia")</f>
        <v>Resolución de Transferencia</v>
      </c>
      <c r="E144" s="26" t="str">
        <f ca="1">IFERROR(__xludf.DUMMYFUNCTION("""COMPUTED_VALUE"""),"MUNICIPALIDAD DE CABRERO")</f>
        <v>MUNICIPALIDAD DE CABRERO</v>
      </c>
      <c r="F144" s="11">
        <f ca="1">IFERROR(__xludf.DUMMYFUNCTION("""COMPUTED_VALUE"""),50208660)</f>
        <v>50208660</v>
      </c>
      <c r="G144" s="10" t="str">
        <f ca="1">IFERROR(__xludf.DUMMYFUNCTION("""COMPUTED_VALUE"""),"Resolución")</f>
        <v>Resolución</v>
      </c>
      <c r="H144" s="10" t="str">
        <f ca="1">IFERROR(__xludf.DUMMYFUNCTION("""COMPUTED_VALUE"""),"BONO ASEO EXTERNALIZADO")</f>
        <v>BONO ASEO EXTERNALIZADO</v>
      </c>
      <c r="I144" s="10" t="str">
        <f ca="1">IFERROR(__xludf.DUMMYFUNCTION("""COMPUTED_VALUE"""),"Cumplir con normativa y reglamentos internos del programa en base a los objetivos.")</f>
        <v>Cumplir con normativa y reglamentos internos del programa en base a los objetivos.</v>
      </c>
      <c r="J144" s="11">
        <f ca="1">IFERROR(__xludf.DUMMYFUNCTION("""COMPUTED_VALUE"""),50208660)</f>
        <v>50208660</v>
      </c>
      <c r="K144" s="27">
        <f ca="1">IFERROR(__xludf.DUMMYFUNCTION("""COMPUTED_VALUE"""),1)</f>
        <v>1</v>
      </c>
      <c r="L144" s="28" t="str">
        <f ca="1">IFERROR(__xludf.DUMMYFUNCTION("""COMPUTED_VALUE"""),"5/2024")</f>
        <v>5/2024</v>
      </c>
      <c r="M144" s="10" t="str">
        <f ca="1">IFERROR(__xludf.DUMMYFUNCTION("""COMPUTED_VALUE"""),"Predios Exentos")</f>
        <v>Predios Exentos</v>
      </c>
      <c r="N144" s="1"/>
      <c r="O144" s="1"/>
      <c r="P144" s="1"/>
      <c r="Q144" s="1"/>
      <c r="R144" s="1"/>
      <c r="S144" s="1"/>
      <c r="T144" s="1"/>
      <c r="U144" s="1"/>
      <c r="V144" s="1"/>
      <c r="W144" s="1"/>
      <c r="X144" s="1"/>
      <c r="Y144" s="1"/>
      <c r="Z144" s="1"/>
    </row>
    <row r="145" spans="1:26" ht="12.75" customHeight="1">
      <c r="A145" s="1"/>
      <c r="B145" s="10" t="str">
        <f ca="1">IFERROR(__xludf.DUMMYFUNCTION("""COMPUTED_VALUE"""),"Bono de aseo externalizado 2024")</f>
        <v>Bono de aseo externalizado 2024</v>
      </c>
      <c r="C145" s="26" t="str">
        <f t="shared" ca="1" si="0"/>
        <v xml:space="preserve"> LAJA</v>
      </c>
      <c r="D145" s="10" t="str">
        <f ca="1">IFERROR(__xludf.DUMMYFUNCTION("""COMPUTED_VALUE"""),"Resolución de Transferencia")</f>
        <v>Resolución de Transferencia</v>
      </c>
      <c r="E145" s="26" t="str">
        <f ca="1">IFERROR(__xludf.DUMMYFUNCTION("""COMPUTED_VALUE"""),"MUNICIPALIDAD DE LAJA")</f>
        <v>MUNICIPALIDAD DE LAJA</v>
      </c>
      <c r="F145" s="11">
        <f ca="1">IFERROR(__xludf.DUMMYFUNCTION("""COMPUTED_VALUE"""),21199212)</f>
        <v>21199212</v>
      </c>
      <c r="G145" s="10" t="str">
        <f ca="1">IFERROR(__xludf.DUMMYFUNCTION("""COMPUTED_VALUE"""),"Resolución")</f>
        <v>Resolución</v>
      </c>
      <c r="H145" s="10" t="str">
        <f ca="1">IFERROR(__xludf.DUMMYFUNCTION("""COMPUTED_VALUE"""),"BONO ASEO EXTERNALIZADO")</f>
        <v>BONO ASEO EXTERNALIZADO</v>
      </c>
      <c r="I145" s="10" t="str">
        <f ca="1">IFERROR(__xludf.DUMMYFUNCTION("""COMPUTED_VALUE"""),"Cumplir con normativa y reglamentos internos del programa en base a los objetivos.")</f>
        <v>Cumplir con normativa y reglamentos internos del programa en base a los objetivos.</v>
      </c>
      <c r="J145" s="11">
        <f ca="1">IFERROR(__xludf.DUMMYFUNCTION("""COMPUTED_VALUE"""),21199212)</f>
        <v>21199212</v>
      </c>
      <c r="K145" s="27">
        <f ca="1">IFERROR(__xludf.DUMMYFUNCTION("""COMPUTED_VALUE"""),1)</f>
        <v>1</v>
      </c>
      <c r="L145" s="28" t="str">
        <f ca="1">IFERROR(__xludf.DUMMYFUNCTION("""COMPUTED_VALUE"""),"5/2024")</f>
        <v>5/2024</v>
      </c>
      <c r="M145" s="10" t="str">
        <f ca="1">IFERROR(__xludf.DUMMYFUNCTION("""COMPUTED_VALUE"""),"Predios Exentos")</f>
        <v>Predios Exentos</v>
      </c>
      <c r="N145" s="1"/>
      <c r="O145" s="1"/>
      <c r="P145" s="1"/>
      <c r="Q145" s="1"/>
      <c r="R145" s="1"/>
      <c r="S145" s="1"/>
      <c r="T145" s="1"/>
      <c r="U145" s="1"/>
      <c r="V145" s="1"/>
      <c r="W145" s="1"/>
      <c r="X145" s="1"/>
      <c r="Y145" s="1"/>
      <c r="Z145" s="1"/>
    </row>
    <row r="146" spans="1:26" ht="12.75" customHeight="1">
      <c r="A146" s="1"/>
      <c r="B146" s="10" t="str">
        <f ca="1">IFERROR(__xludf.DUMMYFUNCTION("""COMPUTED_VALUE"""),"Bono de aseo externalizado 2024")</f>
        <v>Bono de aseo externalizado 2024</v>
      </c>
      <c r="C146" s="26" t="str">
        <f t="shared" ca="1" si="0"/>
        <v xml:space="preserve"> MULCHÉN</v>
      </c>
      <c r="D146" s="10" t="str">
        <f ca="1">IFERROR(__xludf.DUMMYFUNCTION("""COMPUTED_VALUE"""),"Resolución de Transferencia")</f>
        <v>Resolución de Transferencia</v>
      </c>
      <c r="E146" s="26" t="str">
        <f ca="1">IFERROR(__xludf.DUMMYFUNCTION("""COMPUTED_VALUE"""),"MUNICIPALIDAD DE MULCHÉN")</f>
        <v>MUNICIPALIDAD DE MULCHÉN</v>
      </c>
      <c r="F146" s="11">
        <f ca="1">IFERROR(__xludf.DUMMYFUNCTION("""COMPUTED_VALUE"""),46861416)</f>
        <v>46861416</v>
      </c>
      <c r="G146" s="10" t="str">
        <f ca="1">IFERROR(__xludf.DUMMYFUNCTION("""COMPUTED_VALUE"""),"Resolución")</f>
        <v>Resolución</v>
      </c>
      <c r="H146" s="10" t="str">
        <f ca="1">IFERROR(__xludf.DUMMYFUNCTION("""COMPUTED_VALUE"""),"BONO ASEO EXTERNALIZADO")</f>
        <v>BONO ASEO EXTERNALIZADO</v>
      </c>
      <c r="I146" s="10" t="str">
        <f ca="1">IFERROR(__xludf.DUMMYFUNCTION("""COMPUTED_VALUE"""),"Cumplir con normativa y reglamentos internos del programa en base a los objetivos.")</f>
        <v>Cumplir con normativa y reglamentos internos del programa en base a los objetivos.</v>
      </c>
      <c r="J146" s="11">
        <f ca="1">IFERROR(__xludf.DUMMYFUNCTION("""COMPUTED_VALUE"""),46861416)</f>
        <v>46861416</v>
      </c>
      <c r="K146" s="27">
        <f ca="1">IFERROR(__xludf.DUMMYFUNCTION("""COMPUTED_VALUE"""),1)</f>
        <v>1</v>
      </c>
      <c r="L146" s="28" t="str">
        <f ca="1">IFERROR(__xludf.DUMMYFUNCTION("""COMPUTED_VALUE"""),"5/2024")</f>
        <v>5/2024</v>
      </c>
      <c r="M146" s="10" t="str">
        <f ca="1">IFERROR(__xludf.DUMMYFUNCTION("""COMPUTED_VALUE"""),"Predios Exentos")</f>
        <v>Predios Exentos</v>
      </c>
      <c r="N146" s="1"/>
      <c r="O146" s="1"/>
      <c r="P146" s="1"/>
      <c r="Q146" s="1"/>
      <c r="R146" s="1"/>
      <c r="S146" s="1"/>
      <c r="T146" s="1"/>
      <c r="U146" s="1"/>
      <c r="V146" s="1"/>
      <c r="W146" s="1"/>
      <c r="X146" s="1"/>
      <c r="Y146" s="1"/>
      <c r="Z146" s="1"/>
    </row>
    <row r="147" spans="1:26" ht="12.75" customHeight="1">
      <c r="A147" s="1"/>
      <c r="B147" s="10" t="str">
        <f ca="1">IFERROR(__xludf.DUMMYFUNCTION("""COMPUTED_VALUE"""),"Bono de aseo externalizado 2024")</f>
        <v>Bono de aseo externalizado 2024</v>
      </c>
      <c r="C147" s="26" t="str">
        <f t="shared" ca="1" si="0"/>
        <v xml:space="preserve"> NACIMIENTO</v>
      </c>
      <c r="D147" s="10" t="str">
        <f ca="1">IFERROR(__xludf.DUMMYFUNCTION("""COMPUTED_VALUE"""),"Resolución de Transferencia")</f>
        <v>Resolución de Transferencia</v>
      </c>
      <c r="E147" s="26" t="str">
        <f ca="1">IFERROR(__xludf.DUMMYFUNCTION("""COMPUTED_VALUE"""),"MUNICIPALIDAD DE NACIMIENTO")</f>
        <v>MUNICIPALIDAD DE NACIMIENTO</v>
      </c>
      <c r="F147" s="11">
        <f ca="1">IFERROR(__xludf.DUMMYFUNCTION("""COMPUTED_VALUE"""),31240944)</f>
        <v>31240944</v>
      </c>
      <c r="G147" s="10" t="str">
        <f ca="1">IFERROR(__xludf.DUMMYFUNCTION("""COMPUTED_VALUE"""),"Resolución")</f>
        <v>Resolución</v>
      </c>
      <c r="H147" s="10" t="str">
        <f ca="1">IFERROR(__xludf.DUMMYFUNCTION("""COMPUTED_VALUE"""),"BONO ASEO EXTERNALIZADO")</f>
        <v>BONO ASEO EXTERNALIZADO</v>
      </c>
      <c r="I147" s="10" t="str">
        <f ca="1">IFERROR(__xludf.DUMMYFUNCTION("""COMPUTED_VALUE"""),"Cumplir con normativa y reglamentos internos del programa en base a los objetivos.")</f>
        <v>Cumplir con normativa y reglamentos internos del programa en base a los objetivos.</v>
      </c>
      <c r="J147" s="11">
        <f ca="1">IFERROR(__xludf.DUMMYFUNCTION("""COMPUTED_VALUE"""),31240944)</f>
        <v>31240944</v>
      </c>
      <c r="K147" s="27">
        <f ca="1">IFERROR(__xludf.DUMMYFUNCTION("""COMPUTED_VALUE"""),1)</f>
        <v>1</v>
      </c>
      <c r="L147" s="28" t="str">
        <f ca="1">IFERROR(__xludf.DUMMYFUNCTION("""COMPUTED_VALUE"""),"5/2024")</f>
        <v>5/2024</v>
      </c>
      <c r="M147" s="10" t="str">
        <f ca="1">IFERROR(__xludf.DUMMYFUNCTION("""COMPUTED_VALUE"""),"Predios Exentos")</f>
        <v>Predios Exentos</v>
      </c>
      <c r="N147" s="1"/>
      <c r="O147" s="1"/>
      <c r="P147" s="1"/>
      <c r="Q147" s="1"/>
      <c r="R147" s="1"/>
      <c r="S147" s="1"/>
      <c r="T147" s="1"/>
      <c r="U147" s="1"/>
      <c r="V147" s="1"/>
      <c r="W147" s="1"/>
      <c r="X147" s="1"/>
      <c r="Y147" s="1"/>
      <c r="Z147" s="1"/>
    </row>
    <row r="148" spans="1:26" ht="12.75" customHeight="1">
      <c r="A148" s="1"/>
      <c r="B148" s="10" t="str">
        <f ca="1">IFERROR(__xludf.DUMMYFUNCTION("""COMPUTED_VALUE"""),"Bono de aseo externalizado 2024")</f>
        <v>Bono de aseo externalizado 2024</v>
      </c>
      <c r="C148" s="26" t="str">
        <f t="shared" ca="1" si="0"/>
        <v xml:space="preserve"> NEGRETE</v>
      </c>
      <c r="D148" s="10" t="str">
        <f ca="1">IFERROR(__xludf.DUMMYFUNCTION("""COMPUTED_VALUE"""),"Resolución de Transferencia")</f>
        <v>Resolución de Transferencia</v>
      </c>
      <c r="E148" s="26" t="str">
        <f ca="1">IFERROR(__xludf.DUMMYFUNCTION("""COMPUTED_VALUE"""),"MUNICIPALIDAD DE NEGRETE")</f>
        <v>MUNICIPALIDAD DE NEGRETE</v>
      </c>
      <c r="F148" s="11">
        <f ca="1">IFERROR(__xludf.DUMMYFUNCTION("""COMPUTED_VALUE"""),14504724)</f>
        <v>14504724</v>
      </c>
      <c r="G148" s="10" t="str">
        <f ca="1">IFERROR(__xludf.DUMMYFUNCTION("""COMPUTED_VALUE"""),"Resolución")</f>
        <v>Resolución</v>
      </c>
      <c r="H148" s="10" t="str">
        <f ca="1">IFERROR(__xludf.DUMMYFUNCTION("""COMPUTED_VALUE"""),"BONO ASEO EXTERNALIZADO")</f>
        <v>BONO ASEO EXTERNALIZADO</v>
      </c>
      <c r="I148" s="10" t="str">
        <f ca="1">IFERROR(__xludf.DUMMYFUNCTION("""COMPUTED_VALUE"""),"Cumplir con normativa y reglamentos internos del programa en base a los objetivos.")</f>
        <v>Cumplir con normativa y reglamentos internos del programa en base a los objetivos.</v>
      </c>
      <c r="J148" s="11">
        <f ca="1">IFERROR(__xludf.DUMMYFUNCTION("""COMPUTED_VALUE"""),14504724)</f>
        <v>14504724</v>
      </c>
      <c r="K148" s="27">
        <f ca="1">IFERROR(__xludf.DUMMYFUNCTION("""COMPUTED_VALUE"""),1)</f>
        <v>1</v>
      </c>
      <c r="L148" s="28" t="str">
        <f ca="1">IFERROR(__xludf.DUMMYFUNCTION("""COMPUTED_VALUE"""),"5/2024")</f>
        <v>5/2024</v>
      </c>
      <c r="M148" s="10" t="str">
        <f ca="1">IFERROR(__xludf.DUMMYFUNCTION("""COMPUTED_VALUE"""),"Predios Exentos")</f>
        <v>Predios Exentos</v>
      </c>
      <c r="N148" s="1"/>
      <c r="O148" s="1"/>
      <c r="P148" s="1"/>
      <c r="Q148" s="1"/>
      <c r="R148" s="1"/>
      <c r="S148" s="1"/>
      <c r="T148" s="1"/>
      <c r="U148" s="1"/>
      <c r="V148" s="1"/>
      <c r="W148" s="1"/>
      <c r="X148" s="1"/>
      <c r="Y148" s="1"/>
      <c r="Z148" s="1"/>
    </row>
    <row r="149" spans="1:26" ht="12.75" customHeight="1">
      <c r="A149" s="1"/>
      <c r="B149" s="10" t="str">
        <f ca="1">IFERROR(__xludf.DUMMYFUNCTION("""COMPUTED_VALUE"""),"Bono de aseo externalizado 2024")</f>
        <v>Bono de aseo externalizado 2024</v>
      </c>
      <c r="C149" s="26" t="str">
        <f t="shared" ca="1" si="0"/>
        <v xml:space="preserve"> QUILACO</v>
      </c>
      <c r="D149" s="10" t="str">
        <f ca="1">IFERROR(__xludf.DUMMYFUNCTION("""COMPUTED_VALUE"""),"Resolución de Transferencia")</f>
        <v>Resolución de Transferencia</v>
      </c>
      <c r="E149" s="26" t="str">
        <f ca="1">IFERROR(__xludf.DUMMYFUNCTION("""COMPUTED_VALUE"""),"MUNICIPALIDAD DE QUILACO")</f>
        <v>MUNICIPALIDAD DE QUILACO</v>
      </c>
      <c r="F149" s="11">
        <f ca="1">IFERROR(__xludf.DUMMYFUNCTION("""COMPUTED_VALUE"""),26777952)</f>
        <v>26777952</v>
      </c>
      <c r="G149" s="10" t="str">
        <f ca="1">IFERROR(__xludf.DUMMYFUNCTION("""COMPUTED_VALUE"""),"Resolución")</f>
        <v>Resolución</v>
      </c>
      <c r="H149" s="10" t="str">
        <f ca="1">IFERROR(__xludf.DUMMYFUNCTION("""COMPUTED_VALUE"""),"BONO ASEO EXTERNALIZADO")</f>
        <v>BONO ASEO EXTERNALIZADO</v>
      </c>
      <c r="I149" s="10" t="str">
        <f ca="1">IFERROR(__xludf.DUMMYFUNCTION("""COMPUTED_VALUE"""),"Cumplir con normativa y reglamentos internos del programa en base a los objetivos.")</f>
        <v>Cumplir con normativa y reglamentos internos del programa en base a los objetivos.</v>
      </c>
      <c r="J149" s="11">
        <f ca="1">IFERROR(__xludf.DUMMYFUNCTION("""COMPUTED_VALUE"""),26777952)</f>
        <v>26777952</v>
      </c>
      <c r="K149" s="27">
        <f ca="1">IFERROR(__xludf.DUMMYFUNCTION("""COMPUTED_VALUE"""),1)</f>
        <v>1</v>
      </c>
      <c r="L149" s="28" t="str">
        <f ca="1">IFERROR(__xludf.DUMMYFUNCTION("""COMPUTED_VALUE"""),"5/2024")</f>
        <v>5/2024</v>
      </c>
      <c r="M149" s="10" t="str">
        <f ca="1">IFERROR(__xludf.DUMMYFUNCTION("""COMPUTED_VALUE"""),"Predios Exentos")</f>
        <v>Predios Exentos</v>
      </c>
      <c r="N149" s="1"/>
      <c r="O149" s="1"/>
      <c r="P149" s="1"/>
      <c r="Q149" s="1"/>
      <c r="R149" s="1"/>
      <c r="S149" s="1"/>
      <c r="T149" s="1"/>
      <c r="U149" s="1"/>
      <c r="V149" s="1"/>
      <c r="W149" s="1"/>
      <c r="X149" s="1"/>
      <c r="Y149" s="1"/>
      <c r="Z149" s="1"/>
    </row>
    <row r="150" spans="1:26" ht="12.75" customHeight="1">
      <c r="A150" s="1"/>
      <c r="B150" s="10" t="str">
        <f ca="1">IFERROR(__xludf.DUMMYFUNCTION("""COMPUTED_VALUE"""),"Bono de aseo externalizado 2024")</f>
        <v>Bono de aseo externalizado 2024</v>
      </c>
      <c r="C150" s="26" t="str">
        <f t="shared" ca="1" si="0"/>
        <v xml:space="preserve"> QUILLECO</v>
      </c>
      <c r="D150" s="10" t="str">
        <f ca="1">IFERROR(__xludf.DUMMYFUNCTION("""COMPUTED_VALUE"""),"Resolución de Transferencia")</f>
        <v>Resolución de Transferencia</v>
      </c>
      <c r="E150" s="26" t="str">
        <f ca="1">IFERROR(__xludf.DUMMYFUNCTION("""COMPUTED_VALUE"""),"MUNICIPALIDAD DE QUILLECO")</f>
        <v>MUNICIPALIDAD DE QUILLECO</v>
      </c>
      <c r="F150" s="11">
        <f ca="1">IFERROR(__xludf.DUMMYFUNCTION("""COMPUTED_VALUE"""),5578740)</f>
        <v>5578740</v>
      </c>
      <c r="G150" s="10" t="str">
        <f ca="1">IFERROR(__xludf.DUMMYFUNCTION("""COMPUTED_VALUE"""),"Resolución")</f>
        <v>Resolución</v>
      </c>
      <c r="H150" s="10" t="str">
        <f ca="1">IFERROR(__xludf.DUMMYFUNCTION("""COMPUTED_VALUE"""),"BONO ASEO EXTERNALIZADO")</f>
        <v>BONO ASEO EXTERNALIZADO</v>
      </c>
      <c r="I150" s="10" t="str">
        <f ca="1">IFERROR(__xludf.DUMMYFUNCTION("""COMPUTED_VALUE"""),"Cumplir con normativa y reglamentos internos del programa en base a los objetivos.")</f>
        <v>Cumplir con normativa y reglamentos internos del programa en base a los objetivos.</v>
      </c>
      <c r="J150" s="11">
        <f ca="1">IFERROR(__xludf.DUMMYFUNCTION("""COMPUTED_VALUE"""),5578740)</f>
        <v>5578740</v>
      </c>
      <c r="K150" s="27">
        <f ca="1">IFERROR(__xludf.DUMMYFUNCTION("""COMPUTED_VALUE"""),1)</f>
        <v>1</v>
      </c>
      <c r="L150" s="28" t="str">
        <f ca="1">IFERROR(__xludf.DUMMYFUNCTION("""COMPUTED_VALUE"""),"5/2024")</f>
        <v>5/2024</v>
      </c>
      <c r="M150" s="10" t="str">
        <f ca="1">IFERROR(__xludf.DUMMYFUNCTION("""COMPUTED_VALUE"""),"Predios Exentos")</f>
        <v>Predios Exentos</v>
      </c>
      <c r="N150" s="1"/>
      <c r="O150" s="1"/>
      <c r="P150" s="1"/>
      <c r="Q150" s="1"/>
      <c r="R150" s="1"/>
      <c r="S150" s="1"/>
      <c r="T150" s="1"/>
      <c r="U150" s="1"/>
      <c r="V150" s="1"/>
      <c r="W150" s="1"/>
      <c r="X150" s="1"/>
      <c r="Y150" s="1"/>
      <c r="Z150" s="1"/>
    </row>
    <row r="151" spans="1:26" ht="12.75" customHeight="1">
      <c r="A151" s="1"/>
      <c r="B151" s="10" t="str">
        <f ca="1">IFERROR(__xludf.DUMMYFUNCTION("""COMPUTED_VALUE"""),"Bono de aseo externalizado 2024")</f>
        <v>Bono de aseo externalizado 2024</v>
      </c>
      <c r="C151" s="26" t="str">
        <f t="shared" ca="1" si="0"/>
        <v xml:space="preserve"> SAN ROSENDO</v>
      </c>
      <c r="D151" s="10" t="str">
        <f ca="1">IFERROR(__xludf.DUMMYFUNCTION("""COMPUTED_VALUE"""),"Resolución de Transferencia")</f>
        <v>Resolución de Transferencia</v>
      </c>
      <c r="E151" s="26" t="str">
        <f ca="1">IFERROR(__xludf.DUMMYFUNCTION("""COMPUTED_VALUE"""),"MUNICIPALIDAD DE SAN ROSENDO")</f>
        <v>MUNICIPALIDAD DE SAN ROSENDO</v>
      </c>
      <c r="F151" s="11">
        <f ca="1">IFERROR(__xludf.DUMMYFUNCTION("""COMPUTED_VALUE"""),27893700)</f>
        <v>27893700</v>
      </c>
      <c r="G151" s="10" t="str">
        <f ca="1">IFERROR(__xludf.DUMMYFUNCTION("""COMPUTED_VALUE"""),"Resolución")</f>
        <v>Resolución</v>
      </c>
      <c r="H151" s="10" t="str">
        <f ca="1">IFERROR(__xludf.DUMMYFUNCTION("""COMPUTED_VALUE"""),"BONO ASEO EXTERNALIZADO")</f>
        <v>BONO ASEO EXTERNALIZADO</v>
      </c>
      <c r="I151" s="10" t="str">
        <f ca="1">IFERROR(__xludf.DUMMYFUNCTION("""COMPUTED_VALUE"""),"Cumplir con normativa y reglamentos internos del programa en base a los objetivos.")</f>
        <v>Cumplir con normativa y reglamentos internos del programa en base a los objetivos.</v>
      </c>
      <c r="J151" s="11">
        <f ca="1">IFERROR(__xludf.DUMMYFUNCTION("""COMPUTED_VALUE"""),27893700)</f>
        <v>27893700</v>
      </c>
      <c r="K151" s="27">
        <f ca="1">IFERROR(__xludf.DUMMYFUNCTION("""COMPUTED_VALUE"""),1)</f>
        <v>1</v>
      </c>
      <c r="L151" s="28" t="str">
        <f ca="1">IFERROR(__xludf.DUMMYFUNCTION("""COMPUTED_VALUE"""),"5/2024")</f>
        <v>5/2024</v>
      </c>
      <c r="M151" s="10" t="str">
        <f ca="1">IFERROR(__xludf.DUMMYFUNCTION("""COMPUTED_VALUE"""),"Predios Exentos")</f>
        <v>Predios Exentos</v>
      </c>
      <c r="N151" s="1"/>
      <c r="O151" s="1"/>
      <c r="P151" s="1"/>
      <c r="Q151" s="1"/>
      <c r="R151" s="1"/>
      <c r="S151" s="1"/>
      <c r="T151" s="1"/>
      <c r="U151" s="1"/>
      <c r="V151" s="1"/>
      <c r="W151" s="1"/>
      <c r="X151" s="1"/>
      <c r="Y151" s="1"/>
      <c r="Z151" s="1"/>
    </row>
    <row r="152" spans="1:26" ht="12.75" customHeight="1">
      <c r="A152" s="1"/>
      <c r="B152" s="10" t="str">
        <f ca="1">IFERROR(__xludf.DUMMYFUNCTION("""COMPUTED_VALUE"""),"Bono de aseo externalizado 2024")</f>
        <v>Bono de aseo externalizado 2024</v>
      </c>
      <c r="C152" s="26" t="str">
        <f t="shared" ca="1" si="0"/>
        <v xml:space="preserve"> SANTA BÁRBARA</v>
      </c>
      <c r="D152" s="10" t="str">
        <f ca="1">IFERROR(__xludf.DUMMYFUNCTION("""COMPUTED_VALUE"""),"Resolución de Transferencia")</f>
        <v>Resolución de Transferencia</v>
      </c>
      <c r="E152" s="26" t="str">
        <f ca="1">IFERROR(__xludf.DUMMYFUNCTION("""COMPUTED_VALUE"""),"MUNICIPALIDAD DE SANTA BÁRBARA")</f>
        <v>MUNICIPALIDAD DE SANTA BÁRBARA</v>
      </c>
      <c r="F152" s="11">
        <f ca="1">IFERROR(__xludf.DUMMYFUNCTION("""COMPUTED_VALUE"""),17851968)</f>
        <v>17851968</v>
      </c>
      <c r="G152" s="10" t="str">
        <f ca="1">IFERROR(__xludf.DUMMYFUNCTION("""COMPUTED_VALUE"""),"Resolución")</f>
        <v>Resolución</v>
      </c>
      <c r="H152" s="10" t="str">
        <f ca="1">IFERROR(__xludf.DUMMYFUNCTION("""COMPUTED_VALUE"""),"BONO ASEO EXTERNALIZADO")</f>
        <v>BONO ASEO EXTERNALIZADO</v>
      </c>
      <c r="I152" s="10" t="str">
        <f ca="1">IFERROR(__xludf.DUMMYFUNCTION("""COMPUTED_VALUE"""),"Cumplir con normativa y reglamentos internos del programa en base a los objetivos.")</f>
        <v>Cumplir con normativa y reglamentos internos del programa en base a los objetivos.</v>
      </c>
      <c r="J152" s="11">
        <f ca="1">IFERROR(__xludf.DUMMYFUNCTION("""COMPUTED_VALUE"""),17851968)</f>
        <v>17851968</v>
      </c>
      <c r="K152" s="27">
        <f ca="1">IFERROR(__xludf.DUMMYFUNCTION("""COMPUTED_VALUE"""),1)</f>
        <v>1</v>
      </c>
      <c r="L152" s="28" t="str">
        <f ca="1">IFERROR(__xludf.DUMMYFUNCTION("""COMPUTED_VALUE"""),"5/2024")</f>
        <v>5/2024</v>
      </c>
      <c r="M152" s="10" t="str">
        <f ca="1">IFERROR(__xludf.DUMMYFUNCTION("""COMPUTED_VALUE"""),"Predios Exentos")</f>
        <v>Predios Exentos</v>
      </c>
      <c r="N152" s="1"/>
      <c r="O152" s="1"/>
      <c r="P152" s="1"/>
      <c r="Q152" s="1"/>
      <c r="R152" s="1"/>
      <c r="S152" s="1"/>
      <c r="T152" s="1"/>
      <c r="U152" s="1"/>
      <c r="V152" s="1"/>
      <c r="W152" s="1"/>
      <c r="X152" s="1"/>
      <c r="Y152" s="1"/>
      <c r="Z152" s="1"/>
    </row>
    <row r="153" spans="1:26" ht="12.75" customHeight="1">
      <c r="A153" s="1"/>
      <c r="B153" s="10" t="str">
        <f ca="1">IFERROR(__xludf.DUMMYFUNCTION("""COMPUTED_VALUE"""),"Bono de aseo externalizado 2024")</f>
        <v>Bono de aseo externalizado 2024</v>
      </c>
      <c r="C153" s="26" t="str">
        <f t="shared" ca="1" si="0"/>
        <v xml:space="preserve"> TUCAPEL</v>
      </c>
      <c r="D153" s="10" t="str">
        <f ca="1">IFERROR(__xludf.DUMMYFUNCTION("""COMPUTED_VALUE"""),"Resolución de Transferencia")</f>
        <v>Resolución de Transferencia</v>
      </c>
      <c r="E153" s="26" t="str">
        <f ca="1">IFERROR(__xludf.DUMMYFUNCTION("""COMPUTED_VALUE"""),"MUNICIPALIDAD DE TUCAPEL")</f>
        <v>MUNICIPALIDAD DE TUCAPEL</v>
      </c>
      <c r="F153" s="11">
        <f ca="1">IFERROR(__xludf.DUMMYFUNCTION("""COMPUTED_VALUE"""),45745668)</f>
        <v>45745668</v>
      </c>
      <c r="G153" s="10" t="str">
        <f ca="1">IFERROR(__xludf.DUMMYFUNCTION("""COMPUTED_VALUE"""),"Resolución")</f>
        <v>Resolución</v>
      </c>
      <c r="H153" s="10" t="str">
        <f ca="1">IFERROR(__xludf.DUMMYFUNCTION("""COMPUTED_VALUE"""),"BONO ASEO EXTERNALIZADO")</f>
        <v>BONO ASEO EXTERNALIZADO</v>
      </c>
      <c r="I153" s="10" t="str">
        <f ca="1">IFERROR(__xludf.DUMMYFUNCTION("""COMPUTED_VALUE"""),"Cumplir con normativa y reglamentos internos del programa en base a los objetivos.")</f>
        <v>Cumplir con normativa y reglamentos internos del programa en base a los objetivos.</v>
      </c>
      <c r="J153" s="11">
        <f ca="1">IFERROR(__xludf.DUMMYFUNCTION("""COMPUTED_VALUE"""),45745668)</f>
        <v>45745668</v>
      </c>
      <c r="K153" s="27">
        <f ca="1">IFERROR(__xludf.DUMMYFUNCTION("""COMPUTED_VALUE"""),1.57692307692307)</f>
        <v>1.57692307692307</v>
      </c>
      <c r="L153" s="28" t="str">
        <f ca="1">IFERROR(__xludf.DUMMYFUNCTION("""COMPUTED_VALUE"""),"5/2024")</f>
        <v>5/2024</v>
      </c>
      <c r="M153" s="10" t="str">
        <f ca="1">IFERROR(__xludf.DUMMYFUNCTION("""COMPUTED_VALUE"""),"Predios Exentos")</f>
        <v>Predios Exentos</v>
      </c>
      <c r="N153" s="1"/>
      <c r="O153" s="1"/>
      <c r="P153" s="1"/>
      <c r="Q153" s="1"/>
      <c r="R153" s="1"/>
      <c r="S153" s="1"/>
      <c r="T153" s="1"/>
      <c r="U153" s="1"/>
      <c r="V153" s="1"/>
      <c r="W153" s="1"/>
      <c r="X153" s="1"/>
      <c r="Y153" s="1"/>
      <c r="Z153" s="1"/>
    </row>
    <row r="154" spans="1:26" ht="12.75" customHeight="1">
      <c r="A154" s="1"/>
      <c r="B154" s="10" t="str">
        <f ca="1">IFERROR(__xludf.DUMMYFUNCTION("""COMPUTED_VALUE"""),"Bono de aseo externalizado 2024")</f>
        <v>Bono de aseo externalizado 2024</v>
      </c>
      <c r="C154" s="26" t="str">
        <f t="shared" ca="1" si="0"/>
        <v xml:space="preserve"> YUMBEL</v>
      </c>
      <c r="D154" s="10" t="str">
        <f ca="1">IFERROR(__xludf.DUMMYFUNCTION("""COMPUTED_VALUE"""),"Resolución de Transferencia")</f>
        <v>Resolución de Transferencia</v>
      </c>
      <c r="E154" s="26" t="str">
        <f ca="1">IFERROR(__xludf.DUMMYFUNCTION("""COMPUTED_VALUE"""),"MUNICIPALIDAD DE YUMBEL")</f>
        <v>MUNICIPALIDAD DE YUMBEL</v>
      </c>
      <c r="F154" s="11">
        <f ca="1">IFERROR(__xludf.DUMMYFUNCTION("""COMPUTED_VALUE"""),84796848)</f>
        <v>84796848</v>
      </c>
      <c r="G154" s="10" t="str">
        <f ca="1">IFERROR(__xludf.DUMMYFUNCTION("""COMPUTED_VALUE"""),"Resolución")</f>
        <v>Resolución</v>
      </c>
      <c r="H154" s="10" t="str">
        <f ca="1">IFERROR(__xludf.DUMMYFUNCTION("""COMPUTED_VALUE"""),"BONO ASEO EXTERNALIZADO")</f>
        <v>BONO ASEO EXTERNALIZADO</v>
      </c>
      <c r="I154" s="10" t="str">
        <f ca="1">IFERROR(__xludf.DUMMYFUNCTION("""COMPUTED_VALUE"""),"Cumplir con normativa y reglamentos internos del programa en base a los objetivos.")</f>
        <v>Cumplir con normativa y reglamentos internos del programa en base a los objetivos.</v>
      </c>
      <c r="J154" s="11">
        <f ca="1">IFERROR(__xludf.DUMMYFUNCTION("""COMPUTED_VALUE"""),84796848)</f>
        <v>84796848</v>
      </c>
      <c r="K154" s="27">
        <f ca="1">IFERROR(__xludf.DUMMYFUNCTION("""COMPUTED_VALUE"""),1)</f>
        <v>1</v>
      </c>
      <c r="L154" s="28" t="str">
        <f ca="1">IFERROR(__xludf.DUMMYFUNCTION("""COMPUTED_VALUE"""),"5/2024")</f>
        <v>5/2024</v>
      </c>
      <c r="M154" s="10" t="str">
        <f ca="1">IFERROR(__xludf.DUMMYFUNCTION("""COMPUTED_VALUE"""),"Predios Exentos")</f>
        <v>Predios Exentos</v>
      </c>
      <c r="N154" s="1"/>
      <c r="O154" s="1"/>
      <c r="P154" s="1"/>
      <c r="Q154" s="1"/>
      <c r="R154" s="1"/>
      <c r="S154" s="1"/>
      <c r="T154" s="1"/>
      <c r="U154" s="1"/>
      <c r="V154" s="1"/>
      <c r="W154" s="1"/>
      <c r="X154" s="1"/>
      <c r="Y154" s="1"/>
      <c r="Z154" s="1"/>
    </row>
    <row r="155" spans="1:26" ht="12.75" customHeight="1">
      <c r="A155" s="1"/>
      <c r="B155" s="10" t="str">
        <f ca="1">IFERROR(__xludf.DUMMYFUNCTION("""COMPUTED_VALUE"""),"Bono de aseo externalizado 2024")</f>
        <v>Bono de aseo externalizado 2024</v>
      </c>
      <c r="C155" s="26" t="str">
        <f t="shared" ca="1" si="0"/>
        <v xml:space="preserve"> TEMUCO</v>
      </c>
      <c r="D155" s="10" t="str">
        <f ca="1">IFERROR(__xludf.DUMMYFUNCTION("""COMPUTED_VALUE"""),"Resolución de Transferencia")</f>
        <v>Resolución de Transferencia</v>
      </c>
      <c r="E155" s="26" t="str">
        <f ca="1">IFERROR(__xludf.DUMMYFUNCTION("""COMPUTED_VALUE"""),"MUNICIPALIDAD DE TEMUCO")</f>
        <v>MUNICIPALIDAD DE TEMUCO</v>
      </c>
      <c r="F155" s="11">
        <f ca="1">IFERROR(__xludf.DUMMYFUNCTION("""COMPUTED_VALUE"""),295673220)</f>
        <v>295673220</v>
      </c>
      <c r="G155" s="10" t="str">
        <f ca="1">IFERROR(__xludf.DUMMYFUNCTION("""COMPUTED_VALUE"""),"Resolución")</f>
        <v>Resolución</v>
      </c>
      <c r="H155" s="10" t="str">
        <f ca="1">IFERROR(__xludf.DUMMYFUNCTION("""COMPUTED_VALUE"""),"BONO ASEO EXTERNALIZADO")</f>
        <v>BONO ASEO EXTERNALIZADO</v>
      </c>
      <c r="I155" s="10" t="str">
        <f ca="1">IFERROR(__xludf.DUMMYFUNCTION("""COMPUTED_VALUE"""),"Cumplir con normativa y reglamentos internos del programa en base a los objetivos.")</f>
        <v>Cumplir con normativa y reglamentos internos del programa en base a los objetivos.</v>
      </c>
      <c r="J155" s="11">
        <f ca="1">IFERROR(__xludf.DUMMYFUNCTION("""COMPUTED_VALUE"""),295673220)</f>
        <v>295673220</v>
      </c>
      <c r="K155" s="27">
        <f ca="1">IFERROR(__xludf.DUMMYFUNCTION("""COMPUTED_VALUE"""),1)</f>
        <v>1</v>
      </c>
      <c r="L155" s="28" t="str">
        <f ca="1">IFERROR(__xludf.DUMMYFUNCTION("""COMPUTED_VALUE"""),"5/2024")</f>
        <v>5/2024</v>
      </c>
      <c r="M155" s="10" t="str">
        <f ca="1">IFERROR(__xludf.DUMMYFUNCTION("""COMPUTED_VALUE"""),"Predios Exentos")</f>
        <v>Predios Exentos</v>
      </c>
      <c r="N155" s="1"/>
      <c r="O155" s="1"/>
      <c r="P155" s="1"/>
      <c r="Q155" s="1"/>
      <c r="R155" s="1"/>
      <c r="S155" s="1"/>
      <c r="T155" s="1"/>
      <c r="U155" s="1"/>
      <c r="V155" s="1"/>
      <c r="W155" s="1"/>
      <c r="X155" s="1"/>
      <c r="Y155" s="1"/>
      <c r="Z155" s="1"/>
    </row>
    <row r="156" spans="1:26" ht="12.75" customHeight="1">
      <c r="A156" s="1"/>
      <c r="B156" s="10" t="str">
        <f ca="1">IFERROR(__xludf.DUMMYFUNCTION("""COMPUTED_VALUE"""),"Bono de aseo externalizado 2024")</f>
        <v>Bono de aseo externalizado 2024</v>
      </c>
      <c r="C156" s="26" t="str">
        <f t="shared" ca="1" si="0"/>
        <v xml:space="preserve"> CARAHUE</v>
      </c>
      <c r="D156" s="10" t="str">
        <f ca="1">IFERROR(__xludf.DUMMYFUNCTION("""COMPUTED_VALUE"""),"Resolución de Transferencia")</f>
        <v>Resolución de Transferencia</v>
      </c>
      <c r="E156" s="26" t="str">
        <f ca="1">IFERROR(__xludf.DUMMYFUNCTION("""COMPUTED_VALUE"""),"MUNICIPALIDAD DE CARAHUE")</f>
        <v>MUNICIPALIDAD DE CARAHUE</v>
      </c>
      <c r="F156" s="11">
        <f ca="1">IFERROR(__xludf.DUMMYFUNCTION("""COMPUTED_VALUE"""),59134644)</f>
        <v>59134644</v>
      </c>
      <c r="G156" s="10" t="str">
        <f ca="1">IFERROR(__xludf.DUMMYFUNCTION("""COMPUTED_VALUE"""),"Resolución")</f>
        <v>Resolución</v>
      </c>
      <c r="H156" s="10" t="str">
        <f ca="1">IFERROR(__xludf.DUMMYFUNCTION("""COMPUTED_VALUE"""),"BONO ASEO EXTERNALIZADO")</f>
        <v>BONO ASEO EXTERNALIZADO</v>
      </c>
      <c r="I156" s="10" t="str">
        <f ca="1">IFERROR(__xludf.DUMMYFUNCTION("""COMPUTED_VALUE"""),"Cumplir con normativa y reglamentos internos del programa en base a los objetivos.")</f>
        <v>Cumplir con normativa y reglamentos internos del programa en base a los objetivos.</v>
      </c>
      <c r="J156" s="11">
        <f ca="1">IFERROR(__xludf.DUMMYFUNCTION("""COMPUTED_VALUE"""),59134644)</f>
        <v>59134644</v>
      </c>
      <c r="K156" s="27">
        <f ca="1">IFERROR(__xludf.DUMMYFUNCTION("""COMPUTED_VALUE"""),1)</f>
        <v>1</v>
      </c>
      <c r="L156" s="28" t="str">
        <f ca="1">IFERROR(__xludf.DUMMYFUNCTION("""COMPUTED_VALUE"""),"5/2024")</f>
        <v>5/2024</v>
      </c>
      <c r="M156" s="10" t="str">
        <f ca="1">IFERROR(__xludf.DUMMYFUNCTION("""COMPUTED_VALUE"""),"Predios Exentos")</f>
        <v>Predios Exentos</v>
      </c>
      <c r="N156" s="1"/>
      <c r="O156" s="1"/>
      <c r="P156" s="1"/>
      <c r="Q156" s="1"/>
      <c r="R156" s="1"/>
      <c r="S156" s="1"/>
      <c r="T156" s="1"/>
      <c r="U156" s="1"/>
      <c r="V156" s="1"/>
      <c r="W156" s="1"/>
      <c r="X156" s="1"/>
      <c r="Y156" s="1"/>
      <c r="Z156" s="1"/>
    </row>
    <row r="157" spans="1:26" ht="12.75" customHeight="1">
      <c r="A157" s="1"/>
      <c r="B157" s="10" t="str">
        <f ca="1">IFERROR(__xludf.DUMMYFUNCTION("""COMPUTED_VALUE"""),"Bono de aseo externalizado 2024")</f>
        <v>Bono de aseo externalizado 2024</v>
      </c>
      <c r="C157" s="26" t="str">
        <f t="shared" ca="1" si="0"/>
        <v xml:space="preserve"> CUNCO</v>
      </c>
      <c r="D157" s="10" t="str">
        <f ca="1">IFERROR(__xludf.DUMMYFUNCTION("""COMPUTED_VALUE"""),"Resolución de Transferencia")</f>
        <v>Resolución de Transferencia</v>
      </c>
      <c r="E157" s="26" t="str">
        <f ca="1">IFERROR(__xludf.DUMMYFUNCTION("""COMPUTED_VALUE"""),"MUNICIPALIDAD DE CUNCO")</f>
        <v>MUNICIPALIDAD DE CUNCO</v>
      </c>
      <c r="F157" s="11">
        <f ca="1">IFERROR(__xludf.DUMMYFUNCTION("""COMPUTED_VALUE"""),55787400)</f>
        <v>55787400</v>
      </c>
      <c r="G157" s="10" t="str">
        <f ca="1">IFERROR(__xludf.DUMMYFUNCTION("""COMPUTED_VALUE"""),"Resolución")</f>
        <v>Resolución</v>
      </c>
      <c r="H157" s="10" t="str">
        <f ca="1">IFERROR(__xludf.DUMMYFUNCTION("""COMPUTED_VALUE"""),"BONO ASEO EXTERNALIZADO")</f>
        <v>BONO ASEO EXTERNALIZADO</v>
      </c>
      <c r="I157" s="10" t="str">
        <f ca="1">IFERROR(__xludf.DUMMYFUNCTION("""COMPUTED_VALUE"""),"Cumplir con normativa y reglamentos internos del programa en base a los objetivos.")</f>
        <v>Cumplir con normativa y reglamentos internos del programa en base a los objetivos.</v>
      </c>
      <c r="J157" s="11">
        <f ca="1">IFERROR(__xludf.DUMMYFUNCTION("""COMPUTED_VALUE"""),55787400)</f>
        <v>55787400</v>
      </c>
      <c r="K157" s="27">
        <f ca="1">IFERROR(__xludf.DUMMYFUNCTION("""COMPUTED_VALUE"""),1)</f>
        <v>1</v>
      </c>
      <c r="L157" s="28" t="str">
        <f ca="1">IFERROR(__xludf.DUMMYFUNCTION("""COMPUTED_VALUE"""),"5/2024")</f>
        <v>5/2024</v>
      </c>
      <c r="M157" s="10" t="str">
        <f ca="1">IFERROR(__xludf.DUMMYFUNCTION("""COMPUTED_VALUE"""),"Predios Exentos")</f>
        <v>Predios Exentos</v>
      </c>
      <c r="N157" s="1"/>
      <c r="O157" s="1"/>
      <c r="P157" s="1"/>
      <c r="Q157" s="1"/>
      <c r="R157" s="1"/>
      <c r="S157" s="1"/>
      <c r="T157" s="1"/>
      <c r="U157" s="1"/>
      <c r="V157" s="1"/>
      <c r="W157" s="1"/>
      <c r="X157" s="1"/>
      <c r="Y157" s="1"/>
      <c r="Z157" s="1"/>
    </row>
    <row r="158" spans="1:26" ht="12.75" customHeight="1">
      <c r="A158" s="1"/>
      <c r="B158" s="10" t="str">
        <f ca="1">IFERROR(__xludf.DUMMYFUNCTION("""COMPUTED_VALUE"""),"Bono de aseo externalizado 2024")</f>
        <v>Bono de aseo externalizado 2024</v>
      </c>
      <c r="C158" s="26" t="str">
        <f t="shared" ca="1" si="0"/>
        <v xml:space="preserve"> FREIRE</v>
      </c>
      <c r="D158" s="10" t="str">
        <f ca="1">IFERROR(__xludf.DUMMYFUNCTION("""COMPUTED_VALUE"""),"Resolución de Transferencia")</f>
        <v>Resolución de Transferencia</v>
      </c>
      <c r="E158" s="26" t="str">
        <f ca="1">IFERROR(__xludf.DUMMYFUNCTION("""COMPUTED_VALUE"""),"MUNICIPALIDAD DE FREIRE")</f>
        <v>MUNICIPALIDAD DE FREIRE</v>
      </c>
      <c r="F158" s="11">
        <f ca="1">IFERROR(__xludf.DUMMYFUNCTION("""COMPUTED_VALUE"""),60250392)</f>
        <v>60250392</v>
      </c>
      <c r="G158" s="10" t="str">
        <f ca="1">IFERROR(__xludf.DUMMYFUNCTION("""COMPUTED_VALUE"""),"Resolución")</f>
        <v>Resolución</v>
      </c>
      <c r="H158" s="10" t="str">
        <f ca="1">IFERROR(__xludf.DUMMYFUNCTION("""COMPUTED_VALUE"""),"BONO ASEO EXTERNALIZADO")</f>
        <v>BONO ASEO EXTERNALIZADO</v>
      </c>
      <c r="I158" s="10" t="str">
        <f ca="1">IFERROR(__xludf.DUMMYFUNCTION("""COMPUTED_VALUE"""),"Cumplir con normativa y reglamentos internos del programa en base a los objetivos.")</f>
        <v>Cumplir con normativa y reglamentos internos del programa en base a los objetivos.</v>
      </c>
      <c r="J158" s="11">
        <f ca="1">IFERROR(__xludf.DUMMYFUNCTION("""COMPUTED_VALUE"""),60250392)</f>
        <v>60250392</v>
      </c>
      <c r="K158" s="27">
        <f ca="1">IFERROR(__xludf.DUMMYFUNCTION("""COMPUTED_VALUE"""),1)</f>
        <v>1</v>
      </c>
      <c r="L158" s="28" t="str">
        <f ca="1">IFERROR(__xludf.DUMMYFUNCTION("""COMPUTED_VALUE"""),"5/2024")</f>
        <v>5/2024</v>
      </c>
      <c r="M158" s="10" t="str">
        <f ca="1">IFERROR(__xludf.DUMMYFUNCTION("""COMPUTED_VALUE"""),"Predios Exentos")</f>
        <v>Predios Exentos</v>
      </c>
      <c r="N158" s="1"/>
      <c r="O158" s="1"/>
      <c r="P158" s="1"/>
      <c r="Q158" s="1"/>
      <c r="R158" s="1"/>
      <c r="S158" s="1"/>
      <c r="T158" s="1"/>
      <c r="U158" s="1"/>
      <c r="V158" s="1"/>
      <c r="W158" s="1"/>
      <c r="X158" s="1"/>
      <c r="Y158" s="1"/>
      <c r="Z158" s="1"/>
    </row>
    <row r="159" spans="1:26" ht="12.75" customHeight="1">
      <c r="A159" s="1"/>
      <c r="B159" s="10" t="str">
        <f ca="1">IFERROR(__xludf.DUMMYFUNCTION("""COMPUTED_VALUE"""),"Bono de aseo externalizado 2024")</f>
        <v>Bono de aseo externalizado 2024</v>
      </c>
      <c r="C159" s="26" t="str">
        <f t="shared" ca="1" si="0"/>
        <v xml:space="preserve"> GALVARINO</v>
      </c>
      <c r="D159" s="10" t="str">
        <f ca="1">IFERROR(__xludf.DUMMYFUNCTION("""COMPUTED_VALUE"""),"Resolución de Transferencia")</f>
        <v>Resolución de Transferencia</v>
      </c>
      <c r="E159" s="26" t="str">
        <f ca="1">IFERROR(__xludf.DUMMYFUNCTION("""COMPUTED_VALUE"""),"MUNICIPALIDAD DE GALVARINO")</f>
        <v>MUNICIPALIDAD DE GALVARINO</v>
      </c>
      <c r="F159" s="11">
        <f ca="1">IFERROR(__xludf.DUMMYFUNCTION("""COMPUTED_VALUE"""),21199212)</f>
        <v>21199212</v>
      </c>
      <c r="G159" s="10" t="str">
        <f ca="1">IFERROR(__xludf.DUMMYFUNCTION("""COMPUTED_VALUE"""),"Resolución")</f>
        <v>Resolución</v>
      </c>
      <c r="H159" s="10" t="str">
        <f ca="1">IFERROR(__xludf.DUMMYFUNCTION("""COMPUTED_VALUE"""),"BONO ASEO EXTERNALIZADO")</f>
        <v>BONO ASEO EXTERNALIZADO</v>
      </c>
      <c r="I159" s="10" t="str">
        <f ca="1">IFERROR(__xludf.DUMMYFUNCTION("""COMPUTED_VALUE"""),"Cumplir con normativa y reglamentos internos del programa en base a los objetivos.")</f>
        <v>Cumplir con normativa y reglamentos internos del programa en base a los objetivos.</v>
      </c>
      <c r="J159" s="11">
        <f ca="1">IFERROR(__xludf.DUMMYFUNCTION("""COMPUTED_VALUE"""),21199212)</f>
        <v>21199212</v>
      </c>
      <c r="K159" s="27">
        <f ca="1">IFERROR(__xludf.DUMMYFUNCTION("""COMPUTED_VALUE"""),1)</f>
        <v>1</v>
      </c>
      <c r="L159" s="28" t="str">
        <f ca="1">IFERROR(__xludf.DUMMYFUNCTION("""COMPUTED_VALUE"""),"5/2024")</f>
        <v>5/2024</v>
      </c>
      <c r="M159" s="10" t="str">
        <f ca="1">IFERROR(__xludf.DUMMYFUNCTION("""COMPUTED_VALUE"""),"Predios Exentos")</f>
        <v>Predios Exentos</v>
      </c>
      <c r="N159" s="1"/>
      <c r="O159" s="1"/>
      <c r="P159" s="1"/>
      <c r="Q159" s="1"/>
      <c r="R159" s="1"/>
      <c r="S159" s="1"/>
      <c r="T159" s="1"/>
      <c r="U159" s="1"/>
      <c r="V159" s="1"/>
      <c r="W159" s="1"/>
      <c r="X159" s="1"/>
      <c r="Y159" s="1"/>
      <c r="Z159" s="1"/>
    </row>
    <row r="160" spans="1:26" ht="12.75" customHeight="1">
      <c r="A160" s="1"/>
      <c r="B160" s="10" t="str">
        <f ca="1">IFERROR(__xludf.DUMMYFUNCTION("""COMPUTED_VALUE"""),"Bono de aseo externalizado 2024")</f>
        <v>Bono de aseo externalizado 2024</v>
      </c>
      <c r="C160" s="26" t="str">
        <f t="shared" ca="1" si="0"/>
        <v xml:space="preserve"> GORBEA</v>
      </c>
      <c r="D160" s="10" t="str">
        <f ca="1">IFERROR(__xludf.DUMMYFUNCTION("""COMPUTED_VALUE"""),"Resolución de Transferencia")</f>
        <v>Resolución de Transferencia</v>
      </c>
      <c r="E160" s="26" t="str">
        <f ca="1">IFERROR(__xludf.DUMMYFUNCTION("""COMPUTED_VALUE"""),"MUNICIPALIDAD DE GORBEA")</f>
        <v>MUNICIPALIDAD DE GORBEA</v>
      </c>
      <c r="F160" s="11">
        <f ca="1">IFERROR(__xludf.DUMMYFUNCTION("""COMPUTED_VALUE"""),74755116)</f>
        <v>74755116</v>
      </c>
      <c r="G160" s="10" t="str">
        <f ca="1">IFERROR(__xludf.DUMMYFUNCTION("""COMPUTED_VALUE"""),"Resolución")</f>
        <v>Resolución</v>
      </c>
      <c r="H160" s="10" t="str">
        <f ca="1">IFERROR(__xludf.DUMMYFUNCTION("""COMPUTED_VALUE"""),"BONO ASEO EXTERNALIZADO")</f>
        <v>BONO ASEO EXTERNALIZADO</v>
      </c>
      <c r="I160" s="10" t="str">
        <f ca="1">IFERROR(__xludf.DUMMYFUNCTION("""COMPUTED_VALUE"""),"Cumplir con normativa y reglamentos internos del programa en base a los objetivos.")</f>
        <v>Cumplir con normativa y reglamentos internos del programa en base a los objetivos.</v>
      </c>
      <c r="J160" s="11">
        <f ca="1">IFERROR(__xludf.DUMMYFUNCTION("""COMPUTED_VALUE"""),74755116)</f>
        <v>74755116</v>
      </c>
      <c r="K160" s="27">
        <f ca="1">IFERROR(__xludf.DUMMYFUNCTION("""COMPUTED_VALUE"""),1)</f>
        <v>1</v>
      </c>
      <c r="L160" s="28" t="str">
        <f ca="1">IFERROR(__xludf.DUMMYFUNCTION("""COMPUTED_VALUE"""),"5/2024")</f>
        <v>5/2024</v>
      </c>
      <c r="M160" s="10" t="str">
        <f ca="1">IFERROR(__xludf.DUMMYFUNCTION("""COMPUTED_VALUE"""),"Predios Exentos")</f>
        <v>Predios Exentos</v>
      </c>
      <c r="N160" s="1"/>
      <c r="O160" s="1"/>
      <c r="P160" s="1"/>
      <c r="Q160" s="1"/>
      <c r="R160" s="1"/>
      <c r="S160" s="1"/>
      <c r="T160" s="1"/>
      <c r="U160" s="1"/>
      <c r="V160" s="1"/>
      <c r="W160" s="1"/>
      <c r="X160" s="1"/>
      <c r="Y160" s="1"/>
      <c r="Z160" s="1"/>
    </row>
    <row r="161" spans="1:26" ht="12.75" customHeight="1">
      <c r="A161" s="1"/>
      <c r="B161" s="10" t="str">
        <f ca="1">IFERROR(__xludf.DUMMYFUNCTION("""COMPUTED_VALUE"""),"Bono de aseo externalizado 2024")</f>
        <v>Bono de aseo externalizado 2024</v>
      </c>
      <c r="C161" s="26" t="str">
        <f t="shared" ca="1" si="0"/>
        <v xml:space="preserve"> LAUTARO</v>
      </c>
      <c r="D161" s="10" t="str">
        <f ca="1">IFERROR(__xludf.DUMMYFUNCTION("""COMPUTED_VALUE"""),"Resolución de Transferencia")</f>
        <v>Resolución de Transferencia</v>
      </c>
      <c r="E161" s="26" t="str">
        <f ca="1">IFERROR(__xludf.DUMMYFUNCTION("""COMPUTED_VALUE"""),"MUNICIPALIDAD DE LAUTARO")</f>
        <v>MUNICIPALIDAD DE LAUTARO</v>
      </c>
      <c r="F161" s="11">
        <f ca="1">IFERROR(__xludf.DUMMYFUNCTION("""COMPUTED_VALUE"""),69176376)</f>
        <v>69176376</v>
      </c>
      <c r="G161" s="10" t="str">
        <f ca="1">IFERROR(__xludf.DUMMYFUNCTION("""COMPUTED_VALUE"""),"Resolución")</f>
        <v>Resolución</v>
      </c>
      <c r="H161" s="10" t="str">
        <f ca="1">IFERROR(__xludf.DUMMYFUNCTION("""COMPUTED_VALUE"""),"BONO ASEO EXTERNALIZADO")</f>
        <v>BONO ASEO EXTERNALIZADO</v>
      </c>
      <c r="I161" s="10" t="str">
        <f ca="1">IFERROR(__xludf.DUMMYFUNCTION("""COMPUTED_VALUE"""),"Cumplir con normativa y reglamentos internos del programa en base a los objetivos.")</f>
        <v>Cumplir con normativa y reglamentos internos del programa en base a los objetivos.</v>
      </c>
      <c r="J161" s="11">
        <f ca="1">IFERROR(__xludf.DUMMYFUNCTION("""COMPUTED_VALUE"""),69176376)</f>
        <v>69176376</v>
      </c>
      <c r="K161" s="27">
        <f ca="1">IFERROR(__xludf.DUMMYFUNCTION("""COMPUTED_VALUE"""),1)</f>
        <v>1</v>
      </c>
      <c r="L161" s="28" t="str">
        <f ca="1">IFERROR(__xludf.DUMMYFUNCTION("""COMPUTED_VALUE"""),"5/2024")</f>
        <v>5/2024</v>
      </c>
      <c r="M161" s="10" t="str">
        <f ca="1">IFERROR(__xludf.DUMMYFUNCTION("""COMPUTED_VALUE"""),"Predios Exentos")</f>
        <v>Predios Exentos</v>
      </c>
      <c r="N161" s="1"/>
      <c r="O161" s="1"/>
      <c r="P161" s="1"/>
      <c r="Q161" s="1"/>
      <c r="R161" s="1"/>
      <c r="S161" s="1"/>
      <c r="T161" s="1"/>
      <c r="U161" s="1"/>
      <c r="V161" s="1"/>
      <c r="W161" s="1"/>
      <c r="X161" s="1"/>
      <c r="Y161" s="1"/>
      <c r="Z161" s="1"/>
    </row>
    <row r="162" spans="1:26" ht="12.75" customHeight="1">
      <c r="A162" s="1"/>
      <c r="B162" s="10" t="str">
        <f ca="1">IFERROR(__xludf.DUMMYFUNCTION("""COMPUTED_VALUE"""),"Bono de aseo externalizado 2024")</f>
        <v>Bono de aseo externalizado 2024</v>
      </c>
      <c r="C162" s="26" t="str">
        <f t="shared" ca="1" si="0"/>
        <v xml:space="preserve"> LONCOCHE</v>
      </c>
      <c r="D162" s="10" t="str">
        <f ca="1">IFERROR(__xludf.DUMMYFUNCTION("""COMPUTED_VALUE"""),"Resolución de Transferencia")</f>
        <v>Resolución de Transferencia</v>
      </c>
      <c r="E162" s="26" t="str">
        <f ca="1">IFERROR(__xludf.DUMMYFUNCTION("""COMPUTED_VALUE"""),"MUNICIPALIDAD DE LONCOCHE")</f>
        <v>MUNICIPALIDAD DE LONCOCHE</v>
      </c>
      <c r="F162" s="11">
        <f ca="1">IFERROR(__xludf.DUMMYFUNCTION("""COMPUTED_VALUE"""),49092912)</f>
        <v>49092912</v>
      </c>
      <c r="G162" s="10" t="str">
        <f ca="1">IFERROR(__xludf.DUMMYFUNCTION("""COMPUTED_VALUE"""),"Resolución")</f>
        <v>Resolución</v>
      </c>
      <c r="H162" s="10" t="str">
        <f ca="1">IFERROR(__xludf.DUMMYFUNCTION("""COMPUTED_VALUE"""),"BONO ASEO EXTERNALIZADO")</f>
        <v>BONO ASEO EXTERNALIZADO</v>
      </c>
      <c r="I162" s="10" t="str">
        <f ca="1">IFERROR(__xludf.DUMMYFUNCTION("""COMPUTED_VALUE"""),"Cumplir con normativa y reglamentos internos del programa en base a los objetivos.")</f>
        <v>Cumplir con normativa y reglamentos internos del programa en base a los objetivos.</v>
      </c>
      <c r="J162" s="11">
        <f ca="1">IFERROR(__xludf.DUMMYFUNCTION("""COMPUTED_VALUE"""),49092912)</f>
        <v>49092912</v>
      </c>
      <c r="K162" s="27">
        <f ca="1">IFERROR(__xludf.DUMMYFUNCTION("""COMPUTED_VALUE"""),1)</f>
        <v>1</v>
      </c>
      <c r="L162" s="28" t="str">
        <f ca="1">IFERROR(__xludf.DUMMYFUNCTION("""COMPUTED_VALUE"""),"5/2024")</f>
        <v>5/2024</v>
      </c>
      <c r="M162" s="10" t="str">
        <f ca="1">IFERROR(__xludf.DUMMYFUNCTION("""COMPUTED_VALUE"""),"Predios Exentos")</f>
        <v>Predios Exentos</v>
      </c>
      <c r="N162" s="1"/>
      <c r="O162" s="1"/>
      <c r="P162" s="1"/>
      <c r="Q162" s="1"/>
      <c r="R162" s="1"/>
      <c r="S162" s="1"/>
      <c r="T162" s="1"/>
      <c r="U162" s="1"/>
      <c r="V162" s="1"/>
      <c r="W162" s="1"/>
      <c r="X162" s="1"/>
      <c r="Y162" s="1"/>
      <c r="Z162" s="1"/>
    </row>
    <row r="163" spans="1:26" ht="12.75" customHeight="1">
      <c r="A163" s="1"/>
      <c r="B163" s="10" t="str">
        <f ca="1">IFERROR(__xludf.DUMMYFUNCTION("""COMPUTED_VALUE"""),"Bono de aseo externalizado 2024")</f>
        <v>Bono de aseo externalizado 2024</v>
      </c>
      <c r="C163" s="26" t="str">
        <f t="shared" ca="1" si="0"/>
        <v xml:space="preserve"> NUEVA IMPERIAL</v>
      </c>
      <c r="D163" s="10" t="str">
        <f ca="1">IFERROR(__xludf.DUMMYFUNCTION("""COMPUTED_VALUE"""),"Resolución de Transferencia")</f>
        <v>Resolución de Transferencia</v>
      </c>
      <c r="E163" s="26" t="str">
        <f ca="1">IFERROR(__xludf.DUMMYFUNCTION("""COMPUTED_VALUE"""),"MUNICIPALIDAD DE NUEVA IMPERIAL")</f>
        <v>MUNICIPALIDAD DE NUEVA IMPERIAL</v>
      </c>
      <c r="F163" s="11">
        <f ca="1">IFERROR(__xludf.DUMMYFUNCTION("""COMPUTED_VALUE"""),45745668)</f>
        <v>45745668</v>
      </c>
      <c r="G163" s="10" t="str">
        <f ca="1">IFERROR(__xludf.DUMMYFUNCTION("""COMPUTED_VALUE"""),"Resolución")</f>
        <v>Resolución</v>
      </c>
      <c r="H163" s="10" t="str">
        <f ca="1">IFERROR(__xludf.DUMMYFUNCTION("""COMPUTED_VALUE"""),"BONO ASEO EXTERNALIZADO")</f>
        <v>BONO ASEO EXTERNALIZADO</v>
      </c>
      <c r="I163" s="10" t="str">
        <f ca="1">IFERROR(__xludf.DUMMYFUNCTION("""COMPUTED_VALUE"""),"Cumplir con normativa y reglamentos internos del programa en base a los objetivos.")</f>
        <v>Cumplir con normativa y reglamentos internos del programa en base a los objetivos.</v>
      </c>
      <c r="J163" s="11">
        <f ca="1">IFERROR(__xludf.DUMMYFUNCTION("""COMPUTED_VALUE"""),45745668)</f>
        <v>45745668</v>
      </c>
      <c r="K163" s="27">
        <f ca="1">IFERROR(__xludf.DUMMYFUNCTION("""COMPUTED_VALUE"""),1)</f>
        <v>1</v>
      </c>
      <c r="L163" s="28" t="str">
        <f ca="1">IFERROR(__xludf.DUMMYFUNCTION("""COMPUTED_VALUE"""),"5/2024")</f>
        <v>5/2024</v>
      </c>
      <c r="M163" s="10" t="str">
        <f ca="1">IFERROR(__xludf.DUMMYFUNCTION("""COMPUTED_VALUE"""),"Predios Exentos")</f>
        <v>Predios Exentos</v>
      </c>
      <c r="N163" s="1"/>
      <c r="O163" s="1"/>
      <c r="P163" s="1"/>
      <c r="Q163" s="1"/>
      <c r="R163" s="1"/>
      <c r="S163" s="1"/>
      <c r="T163" s="1"/>
      <c r="U163" s="1"/>
      <c r="V163" s="1"/>
      <c r="W163" s="1"/>
      <c r="X163" s="1"/>
      <c r="Y163" s="1"/>
      <c r="Z163" s="1"/>
    </row>
    <row r="164" spans="1:26" ht="12.75" customHeight="1">
      <c r="A164" s="1"/>
      <c r="B164" s="10" t="str">
        <f ca="1">IFERROR(__xludf.DUMMYFUNCTION("""COMPUTED_VALUE"""),"Bono de aseo externalizado 2024")</f>
        <v>Bono de aseo externalizado 2024</v>
      </c>
      <c r="C164" s="26" t="str">
        <f t="shared" ca="1" si="0"/>
        <v xml:space="preserve"> PADRE LAS CASAS</v>
      </c>
      <c r="D164" s="10" t="str">
        <f ca="1">IFERROR(__xludf.DUMMYFUNCTION("""COMPUTED_VALUE"""),"Resolución de Transferencia")</f>
        <v>Resolución de Transferencia</v>
      </c>
      <c r="E164" s="26" t="str">
        <f ca="1">IFERROR(__xludf.DUMMYFUNCTION("""COMPUTED_VALUE"""),"MUNICIPALIDAD DE PADRE LAS CASAS")</f>
        <v>MUNICIPALIDAD DE PADRE LAS CASAS</v>
      </c>
      <c r="F164" s="11">
        <f ca="1">IFERROR(__xludf.DUMMYFUNCTION("""COMPUTED_VALUE"""),64713384)</f>
        <v>64713384</v>
      </c>
      <c r="G164" s="10" t="str">
        <f ca="1">IFERROR(__xludf.DUMMYFUNCTION("""COMPUTED_VALUE"""),"Resolución")</f>
        <v>Resolución</v>
      </c>
      <c r="H164" s="10" t="str">
        <f ca="1">IFERROR(__xludf.DUMMYFUNCTION("""COMPUTED_VALUE"""),"BONO ASEO EXTERNALIZADO")</f>
        <v>BONO ASEO EXTERNALIZADO</v>
      </c>
      <c r="I164" s="10" t="str">
        <f ca="1">IFERROR(__xludf.DUMMYFUNCTION("""COMPUTED_VALUE"""),"Cumplir con normativa y reglamentos internos del programa en base a los objetivos.")</f>
        <v>Cumplir con normativa y reglamentos internos del programa en base a los objetivos.</v>
      </c>
      <c r="J164" s="11">
        <f ca="1">IFERROR(__xludf.DUMMYFUNCTION("""COMPUTED_VALUE"""),64713384)</f>
        <v>64713384</v>
      </c>
      <c r="K164" s="27">
        <f ca="1">IFERROR(__xludf.DUMMYFUNCTION("""COMPUTED_VALUE"""),1)</f>
        <v>1</v>
      </c>
      <c r="L164" s="28" t="str">
        <f ca="1">IFERROR(__xludf.DUMMYFUNCTION("""COMPUTED_VALUE"""),"5/2024")</f>
        <v>5/2024</v>
      </c>
      <c r="M164" s="10" t="str">
        <f ca="1">IFERROR(__xludf.DUMMYFUNCTION("""COMPUTED_VALUE"""),"Predios Exentos")</f>
        <v>Predios Exentos</v>
      </c>
      <c r="N164" s="1"/>
      <c r="O164" s="1"/>
      <c r="P164" s="1"/>
      <c r="Q164" s="1"/>
      <c r="R164" s="1"/>
      <c r="S164" s="1"/>
      <c r="T164" s="1"/>
      <c r="U164" s="1"/>
      <c r="V164" s="1"/>
      <c r="W164" s="1"/>
      <c r="X164" s="1"/>
      <c r="Y164" s="1"/>
      <c r="Z164" s="1"/>
    </row>
    <row r="165" spans="1:26" ht="12.75" customHeight="1">
      <c r="A165" s="1"/>
      <c r="B165" s="10" t="str">
        <f ca="1">IFERROR(__xludf.DUMMYFUNCTION("""COMPUTED_VALUE"""),"Bono de aseo externalizado 2024")</f>
        <v>Bono de aseo externalizado 2024</v>
      </c>
      <c r="C165" s="26" t="str">
        <f t="shared" ca="1" si="0"/>
        <v xml:space="preserve"> PERQUENCO</v>
      </c>
      <c r="D165" s="10" t="str">
        <f ca="1">IFERROR(__xludf.DUMMYFUNCTION("""COMPUTED_VALUE"""),"Resolución de Transferencia")</f>
        <v>Resolución de Transferencia</v>
      </c>
      <c r="E165" s="26" t="str">
        <f ca="1">IFERROR(__xludf.DUMMYFUNCTION("""COMPUTED_VALUE"""),"MUNICIPALIDAD DE PERQUENCO")</f>
        <v>MUNICIPALIDAD DE PERQUENCO</v>
      </c>
      <c r="F165" s="11">
        <f ca="1">IFERROR(__xludf.DUMMYFUNCTION("""COMPUTED_VALUE"""),41282676)</f>
        <v>41282676</v>
      </c>
      <c r="G165" s="10" t="str">
        <f ca="1">IFERROR(__xludf.DUMMYFUNCTION("""COMPUTED_VALUE"""),"Resolución")</f>
        <v>Resolución</v>
      </c>
      <c r="H165" s="10" t="str">
        <f ca="1">IFERROR(__xludf.DUMMYFUNCTION("""COMPUTED_VALUE"""),"BONO ASEO EXTERNALIZADO")</f>
        <v>BONO ASEO EXTERNALIZADO</v>
      </c>
      <c r="I165" s="10" t="str">
        <f ca="1">IFERROR(__xludf.DUMMYFUNCTION("""COMPUTED_VALUE"""),"Cumplir con normativa y reglamentos internos del programa en base a los objetivos.")</f>
        <v>Cumplir con normativa y reglamentos internos del programa en base a los objetivos.</v>
      </c>
      <c r="J165" s="11">
        <f ca="1">IFERROR(__xludf.DUMMYFUNCTION("""COMPUTED_VALUE"""),41282676)</f>
        <v>41282676</v>
      </c>
      <c r="K165" s="27">
        <f ca="1">IFERROR(__xludf.DUMMYFUNCTION("""COMPUTED_VALUE"""),1)</f>
        <v>1</v>
      </c>
      <c r="L165" s="28" t="str">
        <f ca="1">IFERROR(__xludf.DUMMYFUNCTION("""COMPUTED_VALUE"""),"5/2024")</f>
        <v>5/2024</v>
      </c>
      <c r="M165" s="10" t="str">
        <f ca="1">IFERROR(__xludf.DUMMYFUNCTION("""COMPUTED_VALUE"""),"Predios Exentos")</f>
        <v>Predios Exentos</v>
      </c>
      <c r="N165" s="1"/>
      <c r="O165" s="1"/>
      <c r="P165" s="1"/>
      <c r="Q165" s="1"/>
      <c r="R165" s="1"/>
      <c r="S165" s="1"/>
      <c r="T165" s="1"/>
      <c r="U165" s="1"/>
      <c r="V165" s="1"/>
      <c r="W165" s="1"/>
      <c r="X165" s="1"/>
      <c r="Y165" s="1"/>
      <c r="Z165" s="1"/>
    </row>
    <row r="166" spans="1:26" ht="12.75" customHeight="1">
      <c r="A166" s="1"/>
      <c r="B166" s="10" t="str">
        <f ca="1">IFERROR(__xludf.DUMMYFUNCTION("""COMPUTED_VALUE"""),"Bono de aseo externalizado 2024")</f>
        <v>Bono de aseo externalizado 2024</v>
      </c>
      <c r="C166" s="26" t="str">
        <f t="shared" ca="1" si="0"/>
        <v xml:space="preserve"> PITRUFQUÉN</v>
      </c>
      <c r="D166" s="10" t="str">
        <f ca="1">IFERROR(__xludf.DUMMYFUNCTION("""COMPUTED_VALUE"""),"Resolución de Transferencia")</f>
        <v>Resolución de Transferencia</v>
      </c>
      <c r="E166" s="26" t="str">
        <f ca="1">IFERROR(__xludf.DUMMYFUNCTION("""COMPUTED_VALUE"""),"MUNICIPALIDAD DE PITRUFQUÉN")</f>
        <v>MUNICIPALIDAD DE PITRUFQUÉN</v>
      </c>
      <c r="F166" s="11">
        <f ca="1">IFERROR(__xludf.DUMMYFUNCTION("""COMPUTED_VALUE"""),44629920)</f>
        <v>44629920</v>
      </c>
      <c r="G166" s="10" t="str">
        <f ca="1">IFERROR(__xludf.DUMMYFUNCTION("""COMPUTED_VALUE"""),"Resolución")</f>
        <v>Resolución</v>
      </c>
      <c r="H166" s="10" t="str">
        <f ca="1">IFERROR(__xludf.DUMMYFUNCTION("""COMPUTED_VALUE"""),"BONO ASEO EXTERNALIZADO")</f>
        <v>BONO ASEO EXTERNALIZADO</v>
      </c>
      <c r="I166" s="10" t="str">
        <f ca="1">IFERROR(__xludf.DUMMYFUNCTION("""COMPUTED_VALUE"""),"Cumplir con normativa y reglamentos internos del programa en base a los objetivos.")</f>
        <v>Cumplir con normativa y reglamentos internos del programa en base a los objetivos.</v>
      </c>
      <c r="J166" s="11">
        <f ca="1">IFERROR(__xludf.DUMMYFUNCTION("""COMPUTED_VALUE"""),44629920)</f>
        <v>44629920</v>
      </c>
      <c r="K166" s="27">
        <f ca="1">IFERROR(__xludf.DUMMYFUNCTION("""COMPUTED_VALUE"""),1)</f>
        <v>1</v>
      </c>
      <c r="L166" s="28" t="str">
        <f ca="1">IFERROR(__xludf.DUMMYFUNCTION("""COMPUTED_VALUE"""),"5/2024")</f>
        <v>5/2024</v>
      </c>
      <c r="M166" s="10" t="str">
        <f ca="1">IFERROR(__xludf.DUMMYFUNCTION("""COMPUTED_VALUE"""),"Predios Exentos")</f>
        <v>Predios Exentos</v>
      </c>
      <c r="N166" s="1"/>
      <c r="O166" s="1"/>
      <c r="P166" s="1"/>
      <c r="Q166" s="1"/>
      <c r="R166" s="1"/>
      <c r="S166" s="1"/>
      <c r="T166" s="1"/>
      <c r="U166" s="1"/>
      <c r="V166" s="1"/>
      <c r="W166" s="1"/>
      <c r="X166" s="1"/>
      <c r="Y166" s="1"/>
      <c r="Z166" s="1"/>
    </row>
    <row r="167" spans="1:26" ht="12.75" customHeight="1">
      <c r="A167" s="1"/>
      <c r="B167" s="10" t="str">
        <f ca="1">IFERROR(__xludf.DUMMYFUNCTION("""COMPUTED_VALUE"""),"Bono de aseo externalizado 2024")</f>
        <v>Bono de aseo externalizado 2024</v>
      </c>
      <c r="C167" s="26" t="str">
        <f t="shared" ca="1" si="0"/>
        <v xml:space="preserve"> PUCÓN</v>
      </c>
      <c r="D167" s="10" t="str">
        <f ca="1">IFERROR(__xludf.DUMMYFUNCTION("""COMPUTED_VALUE"""),"Resolución de Transferencia")</f>
        <v>Resolución de Transferencia</v>
      </c>
      <c r="E167" s="26" t="str">
        <f ca="1">IFERROR(__xludf.DUMMYFUNCTION("""COMPUTED_VALUE"""),"MUNICIPALIDAD DE PUCÓN")</f>
        <v>MUNICIPALIDAD DE PUCÓN</v>
      </c>
      <c r="F167" s="11">
        <f ca="1">IFERROR(__xludf.DUMMYFUNCTION("""COMPUTED_VALUE"""),54671652)</f>
        <v>54671652</v>
      </c>
      <c r="G167" s="10" t="str">
        <f ca="1">IFERROR(__xludf.DUMMYFUNCTION("""COMPUTED_VALUE"""),"Resolución")</f>
        <v>Resolución</v>
      </c>
      <c r="H167" s="10" t="str">
        <f ca="1">IFERROR(__xludf.DUMMYFUNCTION("""COMPUTED_VALUE"""),"BONO ASEO EXTERNALIZADO")</f>
        <v>BONO ASEO EXTERNALIZADO</v>
      </c>
      <c r="I167" s="10" t="str">
        <f ca="1">IFERROR(__xludf.DUMMYFUNCTION("""COMPUTED_VALUE"""),"Cumplir con normativa y reglamentos internos del programa en base a los objetivos.")</f>
        <v>Cumplir con normativa y reglamentos internos del programa en base a los objetivos.</v>
      </c>
      <c r="J167" s="11">
        <f ca="1">IFERROR(__xludf.DUMMYFUNCTION("""COMPUTED_VALUE"""),54671652)</f>
        <v>54671652</v>
      </c>
      <c r="K167" s="27">
        <f ca="1">IFERROR(__xludf.DUMMYFUNCTION("""COMPUTED_VALUE"""),1)</f>
        <v>1</v>
      </c>
      <c r="L167" s="28" t="str">
        <f ca="1">IFERROR(__xludf.DUMMYFUNCTION("""COMPUTED_VALUE"""),"5/2024")</f>
        <v>5/2024</v>
      </c>
      <c r="M167" s="10" t="str">
        <f ca="1">IFERROR(__xludf.DUMMYFUNCTION("""COMPUTED_VALUE"""),"Predios Exentos")</f>
        <v>Predios Exentos</v>
      </c>
      <c r="N167" s="1"/>
      <c r="O167" s="1"/>
      <c r="P167" s="1"/>
      <c r="Q167" s="1"/>
      <c r="R167" s="1"/>
      <c r="S167" s="1"/>
      <c r="T167" s="1"/>
      <c r="U167" s="1"/>
      <c r="V167" s="1"/>
      <c r="W167" s="1"/>
      <c r="X167" s="1"/>
      <c r="Y167" s="1"/>
      <c r="Z167" s="1"/>
    </row>
    <row r="168" spans="1:26" ht="12.75" customHeight="1">
      <c r="A168" s="1"/>
      <c r="B168" s="10" t="str">
        <f ca="1">IFERROR(__xludf.DUMMYFUNCTION("""COMPUTED_VALUE"""),"Bono de aseo externalizado 2024")</f>
        <v>Bono de aseo externalizado 2024</v>
      </c>
      <c r="C168" s="26" t="str">
        <f t="shared" ca="1" si="0"/>
        <v xml:space="preserve"> SAAVEDRA</v>
      </c>
      <c r="D168" s="10" t="str">
        <f ca="1">IFERROR(__xludf.DUMMYFUNCTION("""COMPUTED_VALUE"""),"Resolución de Transferencia")</f>
        <v>Resolución de Transferencia</v>
      </c>
      <c r="E168" s="26" t="str">
        <f ca="1">IFERROR(__xludf.DUMMYFUNCTION("""COMPUTED_VALUE"""),"MUNICIPALIDAD DE SAAVEDRA")</f>
        <v>MUNICIPALIDAD DE SAAVEDRA</v>
      </c>
      <c r="F168" s="11">
        <f ca="1">IFERROR(__xludf.DUMMYFUNCTION("""COMPUTED_VALUE"""),11157480)</f>
        <v>11157480</v>
      </c>
      <c r="G168" s="10" t="str">
        <f ca="1">IFERROR(__xludf.DUMMYFUNCTION("""COMPUTED_VALUE"""),"Resolución")</f>
        <v>Resolución</v>
      </c>
      <c r="H168" s="10" t="str">
        <f ca="1">IFERROR(__xludf.DUMMYFUNCTION("""COMPUTED_VALUE"""),"BONO ASEO EXTERNALIZADO")</f>
        <v>BONO ASEO EXTERNALIZADO</v>
      </c>
      <c r="I168" s="10" t="str">
        <f ca="1">IFERROR(__xludf.DUMMYFUNCTION("""COMPUTED_VALUE"""),"Cumplir con normativa y reglamentos internos del programa en base a los objetivos.")</f>
        <v>Cumplir con normativa y reglamentos internos del programa en base a los objetivos.</v>
      </c>
      <c r="J168" s="11">
        <f ca="1">IFERROR(__xludf.DUMMYFUNCTION("""COMPUTED_VALUE"""),11157480)</f>
        <v>11157480</v>
      </c>
      <c r="K168" s="27">
        <f ca="1">IFERROR(__xludf.DUMMYFUNCTION("""COMPUTED_VALUE"""),1)</f>
        <v>1</v>
      </c>
      <c r="L168" s="28" t="str">
        <f ca="1">IFERROR(__xludf.DUMMYFUNCTION("""COMPUTED_VALUE"""),"5/2024")</f>
        <v>5/2024</v>
      </c>
      <c r="M168" s="10" t="str">
        <f ca="1">IFERROR(__xludf.DUMMYFUNCTION("""COMPUTED_VALUE"""),"Predios Exentos")</f>
        <v>Predios Exentos</v>
      </c>
      <c r="N168" s="1"/>
      <c r="O168" s="1"/>
      <c r="P168" s="1"/>
      <c r="Q168" s="1"/>
      <c r="R168" s="1"/>
      <c r="S168" s="1"/>
      <c r="T168" s="1"/>
      <c r="U168" s="1"/>
      <c r="V168" s="1"/>
      <c r="W168" s="1"/>
      <c r="X168" s="1"/>
      <c r="Y168" s="1"/>
      <c r="Z168" s="1"/>
    </row>
    <row r="169" spans="1:26" ht="12.75" customHeight="1">
      <c r="A169" s="1"/>
      <c r="B169" s="10" t="str">
        <f ca="1">IFERROR(__xludf.DUMMYFUNCTION("""COMPUTED_VALUE"""),"Bono de aseo externalizado 2024")</f>
        <v>Bono de aseo externalizado 2024</v>
      </c>
      <c r="C169" s="26" t="str">
        <f t="shared" ca="1" si="0"/>
        <v xml:space="preserve"> TEODORO SCHMIDT</v>
      </c>
      <c r="D169" s="10" t="str">
        <f ca="1">IFERROR(__xludf.DUMMYFUNCTION("""COMPUTED_VALUE"""),"Resolución de Transferencia")</f>
        <v>Resolución de Transferencia</v>
      </c>
      <c r="E169" s="26" t="str">
        <f ca="1">IFERROR(__xludf.DUMMYFUNCTION("""COMPUTED_VALUE"""),"MUNICIPALIDAD DE TEODORO SCHMIDT")</f>
        <v>MUNICIPALIDAD DE TEODORO SCHMIDT</v>
      </c>
      <c r="F169" s="11">
        <f ca="1">IFERROR(__xludf.DUMMYFUNCTION("""COMPUTED_VALUE"""),15620472)</f>
        <v>15620472</v>
      </c>
      <c r="G169" s="10" t="str">
        <f ca="1">IFERROR(__xludf.DUMMYFUNCTION("""COMPUTED_VALUE"""),"Resolución")</f>
        <v>Resolución</v>
      </c>
      <c r="H169" s="10" t="str">
        <f ca="1">IFERROR(__xludf.DUMMYFUNCTION("""COMPUTED_VALUE"""),"BONO ASEO EXTERNALIZADO")</f>
        <v>BONO ASEO EXTERNALIZADO</v>
      </c>
      <c r="I169" s="10" t="str">
        <f ca="1">IFERROR(__xludf.DUMMYFUNCTION("""COMPUTED_VALUE"""),"Cumplir con normativa y reglamentos internos del programa en base a los objetivos.")</f>
        <v>Cumplir con normativa y reglamentos internos del programa en base a los objetivos.</v>
      </c>
      <c r="J169" s="11">
        <f ca="1">IFERROR(__xludf.DUMMYFUNCTION("""COMPUTED_VALUE"""),15620472)</f>
        <v>15620472</v>
      </c>
      <c r="K169" s="27">
        <f ca="1">IFERROR(__xludf.DUMMYFUNCTION("""COMPUTED_VALUE"""),1)</f>
        <v>1</v>
      </c>
      <c r="L169" s="28" t="str">
        <f ca="1">IFERROR(__xludf.DUMMYFUNCTION("""COMPUTED_VALUE"""),"5/2024")</f>
        <v>5/2024</v>
      </c>
      <c r="M169" s="10" t="str">
        <f ca="1">IFERROR(__xludf.DUMMYFUNCTION("""COMPUTED_VALUE"""),"Predios Exentos")</f>
        <v>Predios Exentos</v>
      </c>
      <c r="N169" s="1"/>
      <c r="O169" s="1"/>
      <c r="P169" s="1"/>
      <c r="Q169" s="1"/>
      <c r="R169" s="1"/>
      <c r="S169" s="1"/>
      <c r="T169" s="1"/>
      <c r="U169" s="1"/>
      <c r="V169" s="1"/>
      <c r="W169" s="1"/>
      <c r="X169" s="1"/>
      <c r="Y169" s="1"/>
      <c r="Z169" s="1"/>
    </row>
    <row r="170" spans="1:26" ht="12.75" customHeight="1">
      <c r="A170" s="1"/>
      <c r="B170" s="10" t="str">
        <f ca="1">IFERROR(__xludf.DUMMYFUNCTION("""COMPUTED_VALUE"""),"Bono de aseo externalizado 2024")</f>
        <v>Bono de aseo externalizado 2024</v>
      </c>
      <c r="C170" s="26" t="str">
        <f t="shared" ca="1" si="0"/>
        <v xml:space="preserve"> TOLTÉN</v>
      </c>
      <c r="D170" s="10" t="str">
        <f ca="1">IFERROR(__xludf.DUMMYFUNCTION("""COMPUTED_VALUE"""),"Resolución de Transferencia")</f>
        <v>Resolución de Transferencia</v>
      </c>
      <c r="E170" s="26" t="str">
        <f ca="1">IFERROR(__xludf.DUMMYFUNCTION("""COMPUTED_VALUE"""),"MUNICIPALIDAD DE TOLTÉN")</f>
        <v>MUNICIPALIDAD DE TOLTÉN</v>
      </c>
      <c r="F170" s="11">
        <f ca="1">IFERROR(__xludf.DUMMYFUNCTION("""COMPUTED_VALUE"""),22314960)</f>
        <v>22314960</v>
      </c>
      <c r="G170" s="10" t="str">
        <f ca="1">IFERROR(__xludf.DUMMYFUNCTION("""COMPUTED_VALUE"""),"Resolución")</f>
        <v>Resolución</v>
      </c>
      <c r="H170" s="10" t="str">
        <f ca="1">IFERROR(__xludf.DUMMYFUNCTION("""COMPUTED_VALUE"""),"BONO ASEO EXTERNALIZADO")</f>
        <v>BONO ASEO EXTERNALIZADO</v>
      </c>
      <c r="I170" s="10" t="str">
        <f ca="1">IFERROR(__xludf.DUMMYFUNCTION("""COMPUTED_VALUE"""),"Cumplir con normativa y reglamentos internos del programa en base a los objetivos.")</f>
        <v>Cumplir con normativa y reglamentos internos del programa en base a los objetivos.</v>
      </c>
      <c r="J170" s="11">
        <f ca="1">IFERROR(__xludf.DUMMYFUNCTION("""COMPUTED_VALUE"""),22314960)</f>
        <v>22314960</v>
      </c>
      <c r="K170" s="27">
        <f ca="1">IFERROR(__xludf.DUMMYFUNCTION("""COMPUTED_VALUE"""),1)</f>
        <v>1</v>
      </c>
      <c r="L170" s="28" t="str">
        <f ca="1">IFERROR(__xludf.DUMMYFUNCTION("""COMPUTED_VALUE"""),"5/2024")</f>
        <v>5/2024</v>
      </c>
      <c r="M170" s="10" t="str">
        <f ca="1">IFERROR(__xludf.DUMMYFUNCTION("""COMPUTED_VALUE"""),"Predios Exentos")</f>
        <v>Predios Exentos</v>
      </c>
      <c r="N170" s="1"/>
      <c r="O170" s="1"/>
      <c r="P170" s="1"/>
      <c r="Q170" s="1"/>
      <c r="R170" s="1"/>
      <c r="S170" s="1"/>
      <c r="T170" s="1"/>
      <c r="U170" s="1"/>
      <c r="V170" s="1"/>
      <c r="W170" s="1"/>
      <c r="X170" s="1"/>
      <c r="Y170" s="1"/>
      <c r="Z170" s="1"/>
    </row>
    <row r="171" spans="1:26" ht="12.75" customHeight="1">
      <c r="A171" s="1"/>
      <c r="B171" s="10" t="str">
        <f ca="1">IFERROR(__xludf.DUMMYFUNCTION("""COMPUTED_VALUE"""),"Bono de aseo externalizado 2024")</f>
        <v>Bono de aseo externalizado 2024</v>
      </c>
      <c r="C171" s="26" t="str">
        <f t="shared" ca="1" si="0"/>
        <v xml:space="preserve"> VILCÚN</v>
      </c>
      <c r="D171" s="10" t="str">
        <f ca="1">IFERROR(__xludf.DUMMYFUNCTION("""COMPUTED_VALUE"""),"Resolución de Transferencia")</f>
        <v>Resolución de Transferencia</v>
      </c>
      <c r="E171" s="26" t="str">
        <f ca="1">IFERROR(__xludf.DUMMYFUNCTION("""COMPUTED_VALUE"""),"MUNICIPALIDAD DE VILCÚN")</f>
        <v>MUNICIPALIDAD DE VILCÚN</v>
      </c>
      <c r="F171" s="11">
        <f ca="1">IFERROR(__xludf.DUMMYFUNCTION("""COMPUTED_VALUE"""),34588188)</f>
        <v>34588188</v>
      </c>
      <c r="G171" s="10" t="str">
        <f ca="1">IFERROR(__xludf.DUMMYFUNCTION("""COMPUTED_VALUE"""),"Resolución")</f>
        <v>Resolución</v>
      </c>
      <c r="H171" s="10" t="str">
        <f ca="1">IFERROR(__xludf.DUMMYFUNCTION("""COMPUTED_VALUE"""),"BONO ASEO EXTERNALIZADO")</f>
        <v>BONO ASEO EXTERNALIZADO</v>
      </c>
      <c r="I171" s="10" t="str">
        <f ca="1">IFERROR(__xludf.DUMMYFUNCTION("""COMPUTED_VALUE"""),"Cumplir con normativa y reglamentos internos del programa en base a los objetivos.")</f>
        <v>Cumplir con normativa y reglamentos internos del programa en base a los objetivos.</v>
      </c>
      <c r="J171" s="11">
        <f ca="1">IFERROR(__xludf.DUMMYFUNCTION("""COMPUTED_VALUE"""),34588188)</f>
        <v>34588188</v>
      </c>
      <c r="K171" s="27">
        <f ca="1">IFERROR(__xludf.DUMMYFUNCTION("""COMPUTED_VALUE"""),1)</f>
        <v>1</v>
      </c>
      <c r="L171" s="28" t="str">
        <f ca="1">IFERROR(__xludf.DUMMYFUNCTION("""COMPUTED_VALUE"""),"5/2024")</f>
        <v>5/2024</v>
      </c>
      <c r="M171" s="10" t="str">
        <f ca="1">IFERROR(__xludf.DUMMYFUNCTION("""COMPUTED_VALUE"""),"Predios Exentos")</f>
        <v>Predios Exentos</v>
      </c>
      <c r="N171" s="1"/>
      <c r="O171" s="1"/>
      <c r="P171" s="1"/>
      <c r="Q171" s="1"/>
      <c r="R171" s="1"/>
      <c r="S171" s="1"/>
      <c r="T171" s="1"/>
      <c r="U171" s="1"/>
      <c r="V171" s="1"/>
      <c r="W171" s="1"/>
      <c r="X171" s="1"/>
      <c r="Y171" s="1"/>
      <c r="Z171" s="1"/>
    </row>
    <row r="172" spans="1:26" ht="12.75" customHeight="1">
      <c r="A172" s="1"/>
      <c r="B172" s="10" t="str">
        <f ca="1">IFERROR(__xludf.DUMMYFUNCTION("""COMPUTED_VALUE"""),"Bono de aseo externalizado 2024")</f>
        <v>Bono de aseo externalizado 2024</v>
      </c>
      <c r="C172" s="26" t="str">
        <f t="shared" ca="1" si="0"/>
        <v xml:space="preserve"> VILLARRICA</v>
      </c>
      <c r="D172" s="10" t="str">
        <f ca="1">IFERROR(__xludf.DUMMYFUNCTION("""COMPUTED_VALUE"""),"Resolución de Transferencia")</f>
        <v>Resolución de Transferencia</v>
      </c>
      <c r="E172" s="26" t="str">
        <f ca="1">IFERROR(__xludf.DUMMYFUNCTION("""COMPUTED_VALUE"""),"MUNICIPALIDAD DE VILLARRICA")</f>
        <v>MUNICIPALIDAD DE VILLARRICA</v>
      </c>
      <c r="F172" s="11">
        <f ca="1">IFERROR(__xludf.DUMMYFUNCTION("""COMPUTED_VALUE"""),175172436)</f>
        <v>175172436</v>
      </c>
      <c r="G172" s="10" t="str">
        <f ca="1">IFERROR(__xludf.DUMMYFUNCTION("""COMPUTED_VALUE"""),"Resolución")</f>
        <v>Resolución</v>
      </c>
      <c r="H172" s="10" t="str">
        <f ca="1">IFERROR(__xludf.DUMMYFUNCTION("""COMPUTED_VALUE"""),"BONO ASEO EXTERNALIZADO")</f>
        <v>BONO ASEO EXTERNALIZADO</v>
      </c>
      <c r="I172" s="10" t="str">
        <f ca="1">IFERROR(__xludf.DUMMYFUNCTION("""COMPUTED_VALUE"""),"Cumplir con normativa y reglamentos internos del programa en base a los objetivos.")</f>
        <v>Cumplir con normativa y reglamentos internos del programa en base a los objetivos.</v>
      </c>
      <c r="J172" s="11">
        <f ca="1">IFERROR(__xludf.DUMMYFUNCTION("""COMPUTED_VALUE"""),175172436)</f>
        <v>175172436</v>
      </c>
      <c r="K172" s="27">
        <f ca="1">IFERROR(__xludf.DUMMYFUNCTION("""COMPUTED_VALUE"""),1)</f>
        <v>1</v>
      </c>
      <c r="L172" s="28" t="str">
        <f ca="1">IFERROR(__xludf.DUMMYFUNCTION("""COMPUTED_VALUE"""),"5/2024")</f>
        <v>5/2024</v>
      </c>
      <c r="M172" s="10" t="str">
        <f ca="1">IFERROR(__xludf.DUMMYFUNCTION("""COMPUTED_VALUE"""),"Predios Exentos")</f>
        <v>Predios Exentos</v>
      </c>
      <c r="N172" s="1"/>
      <c r="O172" s="1"/>
      <c r="P172" s="1"/>
      <c r="Q172" s="1"/>
      <c r="R172" s="1"/>
      <c r="S172" s="1"/>
      <c r="T172" s="1"/>
      <c r="U172" s="1"/>
      <c r="V172" s="1"/>
      <c r="W172" s="1"/>
      <c r="X172" s="1"/>
      <c r="Y172" s="1"/>
      <c r="Z172" s="1"/>
    </row>
    <row r="173" spans="1:26" ht="12.75" customHeight="1">
      <c r="A173" s="1"/>
      <c r="B173" s="10" t="str">
        <f ca="1">IFERROR(__xludf.DUMMYFUNCTION("""COMPUTED_VALUE"""),"Bono de aseo externalizado 2024")</f>
        <v>Bono de aseo externalizado 2024</v>
      </c>
      <c r="C173" s="26" t="str">
        <f t="shared" ca="1" si="0"/>
        <v xml:space="preserve"> CHOLCHOL</v>
      </c>
      <c r="D173" s="10" t="str">
        <f ca="1">IFERROR(__xludf.DUMMYFUNCTION("""COMPUTED_VALUE"""),"Resolución de Transferencia")</f>
        <v>Resolución de Transferencia</v>
      </c>
      <c r="E173" s="26" t="str">
        <f ca="1">IFERROR(__xludf.DUMMYFUNCTION("""COMPUTED_VALUE"""),"MUNICIPALIDAD DE CHOLCHOL")</f>
        <v>MUNICIPALIDAD DE CHOLCHOL</v>
      </c>
      <c r="F173" s="11">
        <f ca="1">IFERROR(__xludf.DUMMYFUNCTION("""COMPUTED_VALUE"""),13388976)</f>
        <v>13388976</v>
      </c>
      <c r="G173" s="10" t="str">
        <f ca="1">IFERROR(__xludf.DUMMYFUNCTION("""COMPUTED_VALUE"""),"Resolución")</f>
        <v>Resolución</v>
      </c>
      <c r="H173" s="10" t="str">
        <f ca="1">IFERROR(__xludf.DUMMYFUNCTION("""COMPUTED_VALUE"""),"BONO ASEO EXTERNALIZADO")</f>
        <v>BONO ASEO EXTERNALIZADO</v>
      </c>
      <c r="I173" s="10" t="str">
        <f ca="1">IFERROR(__xludf.DUMMYFUNCTION("""COMPUTED_VALUE"""),"Cumplir con normativa y reglamentos internos del programa en base a los objetivos.")</f>
        <v>Cumplir con normativa y reglamentos internos del programa en base a los objetivos.</v>
      </c>
      <c r="J173" s="11">
        <f ca="1">IFERROR(__xludf.DUMMYFUNCTION("""COMPUTED_VALUE"""),13388976)</f>
        <v>13388976</v>
      </c>
      <c r="K173" s="27">
        <f ca="1">IFERROR(__xludf.DUMMYFUNCTION("""COMPUTED_VALUE"""),1)</f>
        <v>1</v>
      </c>
      <c r="L173" s="28" t="str">
        <f ca="1">IFERROR(__xludf.DUMMYFUNCTION("""COMPUTED_VALUE"""),"5/2024")</f>
        <v>5/2024</v>
      </c>
      <c r="M173" s="10" t="str">
        <f ca="1">IFERROR(__xludf.DUMMYFUNCTION("""COMPUTED_VALUE"""),"Predios Exentos")</f>
        <v>Predios Exentos</v>
      </c>
      <c r="N173" s="1"/>
      <c r="O173" s="1"/>
      <c r="P173" s="1"/>
      <c r="Q173" s="1"/>
      <c r="R173" s="1"/>
      <c r="S173" s="1"/>
      <c r="T173" s="1"/>
      <c r="U173" s="1"/>
      <c r="V173" s="1"/>
      <c r="W173" s="1"/>
      <c r="X173" s="1"/>
      <c r="Y173" s="1"/>
      <c r="Z173" s="1"/>
    </row>
    <row r="174" spans="1:26" ht="12.75" customHeight="1">
      <c r="A174" s="1"/>
      <c r="B174" s="10" t="str">
        <f ca="1">IFERROR(__xludf.DUMMYFUNCTION("""COMPUTED_VALUE"""),"Bono de aseo externalizado 2024")</f>
        <v>Bono de aseo externalizado 2024</v>
      </c>
      <c r="C174" s="26" t="str">
        <f t="shared" ca="1" si="0"/>
        <v xml:space="preserve"> ANGOL</v>
      </c>
      <c r="D174" s="10" t="str">
        <f ca="1">IFERROR(__xludf.DUMMYFUNCTION("""COMPUTED_VALUE"""),"Resolución de Transferencia")</f>
        <v>Resolución de Transferencia</v>
      </c>
      <c r="E174" s="26" t="str">
        <f ca="1">IFERROR(__xludf.DUMMYFUNCTION("""COMPUTED_VALUE"""),"MUNICIPALIDAD DE ANGOL")</f>
        <v>MUNICIPALIDAD DE ANGOL</v>
      </c>
      <c r="F174" s="11">
        <f ca="1">IFERROR(__xludf.DUMMYFUNCTION("""COMPUTED_VALUE"""),95954328)</f>
        <v>95954328</v>
      </c>
      <c r="G174" s="10" t="str">
        <f ca="1">IFERROR(__xludf.DUMMYFUNCTION("""COMPUTED_VALUE"""),"Resolución")</f>
        <v>Resolución</v>
      </c>
      <c r="H174" s="10" t="str">
        <f ca="1">IFERROR(__xludf.DUMMYFUNCTION("""COMPUTED_VALUE"""),"BONO ASEO EXTERNALIZADO")</f>
        <v>BONO ASEO EXTERNALIZADO</v>
      </c>
      <c r="I174" s="10" t="str">
        <f ca="1">IFERROR(__xludf.DUMMYFUNCTION("""COMPUTED_VALUE"""),"Cumplir con normativa y reglamentos internos del programa en base a los objetivos.")</f>
        <v>Cumplir con normativa y reglamentos internos del programa en base a los objetivos.</v>
      </c>
      <c r="J174" s="11">
        <f ca="1">IFERROR(__xludf.DUMMYFUNCTION("""COMPUTED_VALUE"""),95954328)</f>
        <v>95954328</v>
      </c>
      <c r="K174" s="27">
        <f ca="1">IFERROR(__xludf.DUMMYFUNCTION("""COMPUTED_VALUE"""),1)</f>
        <v>1</v>
      </c>
      <c r="L174" s="28" t="str">
        <f ca="1">IFERROR(__xludf.DUMMYFUNCTION("""COMPUTED_VALUE"""),"5/2024")</f>
        <v>5/2024</v>
      </c>
      <c r="M174" s="10" t="str">
        <f ca="1">IFERROR(__xludf.DUMMYFUNCTION("""COMPUTED_VALUE"""),"Predios Exentos")</f>
        <v>Predios Exentos</v>
      </c>
      <c r="N174" s="1"/>
      <c r="O174" s="1"/>
      <c r="P174" s="1"/>
      <c r="Q174" s="1"/>
      <c r="R174" s="1"/>
      <c r="S174" s="1"/>
      <c r="T174" s="1"/>
      <c r="U174" s="1"/>
      <c r="V174" s="1"/>
      <c r="W174" s="1"/>
      <c r="X174" s="1"/>
      <c r="Y174" s="1"/>
      <c r="Z174" s="1"/>
    </row>
    <row r="175" spans="1:26" ht="12.75" customHeight="1">
      <c r="A175" s="1"/>
      <c r="B175" s="10" t="str">
        <f ca="1">IFERROR(__xludf.DUMMYFUNCTION("""COMPUTED_VALUE"""),"Bono de aseo externalizado 2024")</f>
        <v>Bono de aseo externalizado 2024</v>
      </c>
      <c r="C175" s="26" t="str">
        <f t="shared" ca="1" si="0"/>
        <v xml:space="preserve"> COLLIPULLI</v>
      </c>
      <c r="D175" s="10" t="str">
        <f ca="1">IFERROR(__xludf.DUMMYFUNCTION("""COMPUTED_VALUE"""),"Resolución de Transferencia")</f>
        <v>Resolución de Transferencia</v>
      </c>
      <c r="E175" s="26" t="str">
        <f ca="1">IFERROR(__xludf.DUMMYFUNCTION("""COMPUTED_VALUE"""),"MUNICIPALIDAD DE COLLIPULLI")</f>
        <v>MUNICIPALIDAD DE COLLIPULLI</v>
      </c>
      <c r="F175" s="11">
        <f ca="1">IFERROR(__xludf.DUMMYFUNCTION("""COMPUTED_VALUE"""),27893700)</f>
        <v>27893700</v>
      </c>
      <c r="G175" s="10" t="str">
        <f ca="1">IFERROR(__xludf.DUMMYFUNCTION("""COMPUTED_VALUE"""),"Resolución")</f>
        <v>Resolución</v>
      </c>
      <c r="H175" s="10" t="str">
        <f ca="1">IFERROR(__xludf.DUMMYFUNCTION("""COMPUTED_VALUE"""),"BONO ASEO EXTERNALIZADO")</f>
        <v>BONO ASEO EXTERNALIZADO</v>
      </c>
      <c r="I175" s="10" t="str">
        <f ca="1">IFERROR(__xludf.DUMMYFUNCTION("""COMPUTED_VALUE"""),"Cumplir con normativa y reglamentos internos del programa en base a los objetivos.")</f>
        <v>Cumplir con normativa y reglamentos internos del programa en base a los objetivos.</v>
      </c>
      <c r="J175" s="11">
        <f ca="1">IFERROR(__xludf.DUMMYFUNCTION("""COMPUTED_VALUE"""),27893700)</f>
        <v>27893700</v>
      </c>
      <c r="K175" s="27">
        <f ca="1">IFERROR(__xludf.DUMMYFUNCTION("""COMPUTED_VALUE"""),1)</f>
        <v>1</v>
      </c>
      <c r="L175" s="28" t="str">
        <f ca="1">IFERROR(__xludf.DUMMYFUNCTION("""COMPUTED_VALUE"""),"5/2024")</f>
        <v>5/2024</v>
      </c>
      <c r="M175" s="10" t="str">
        <f ca="1">IFERROR(__xludf.DUMMYFUNCTION("""COMPUTED_VALUE"""),"Predios Exentos")</f>
        <v>Predios Exentos</v>
      </c>
      <c r="N175" s="1"/>
      <c r="O175" s="1"/>
      <c r="P175" s="1"/>
      <c r="Q175" s="1"/>
      <c r="R175" s="1"/>
      <c r="S175" s="1"/>
      <c r="T175" s="1"/>
      <c r="U175" s="1"/>
      <c r="V175" s="1"/>
      <c r="W175" s="1"/>
      <c r="X175" s="1"/>
      <c r="Y175" s="1"/>
      <c r="Z175" s="1"/>
    </row>
    <row r="176" spans="1:26" ht="12.75" customHeight="1">
      <c r="A176" s="1"/>
      <c r="B176" s="10" t="str">
        <f ca="1">IFERROR(__xludf.DUMMYFUNCTION("""COMPUTED_VALUE"""),"Bono de aseo externalizado 2024")</f>
        <v>Bono de aseo externalizado 2024</v>
      </c>
      <c r="C176" s="26" t="str">
        <f t="shared" ca="1" si="0"/>
        <v xml:space="preserve"> ERCILLA</v>
      </c>
      <c r="D176" s="10" t="str">
        <f ca="1">IFERROR(__xludf.DUMMYFUNCTION("""COMPUTED_VALUE"""),"Resolución de Transferencia")</f>
        <v>Resolución de Transferencia</v>
      </c>
      <c r="E176" s="26" t="str">
        <f ca="1">IFERROR(__xludf.DUMMYFUNCTION("""COMPUTED_VALUE"""),"MUNICIPALIDAD DE ERCILLA")</f>
        <v>MUNICIPALIDAD DE ERCILLA</v>
      </c>
      <c r="F176" s="11">
        <f ca="1">IFERROR(__xludf.DUMMYFUNCTION("""COMPUTED_VALUE"""),31240944)</f>
        <v>31240944</v>
      </c>
      <c r="G176" s="10" t="str">
        <f ca="1">IFERROR(__xludf.DUMMYFUNCTION("""COMPUTED_VALUE"""),"Resolución")</f>
        <v>Resolución</v>
      </c>
      <c r="H176" s="10" t="str">
        <f ca="1">IFERROR(__xludf.DUMMYFUNCTION("""COMPUTED_VALUE"""),"BONO ASEO EXTERNALIZADO")</f>
        <v>BONO ASEO EXTERNALIZADO</v>
      </c>
      <c r="I176" s="10" t="str">
        <f ca="1">IFERROR(__xludf.DUMMYFUNCTION("""COMPUTED_VALUE"""),"Cumplir con normativa y reglamentos internos del programa en base a los objetivos.")</f>
        <v>Cumplir con normativa y reglamentos internos del programa en base a los objetivos.</v>
      </c>
      <c r="J176" s="11">
        <f ca="1">IFERROR(__xludf.DUMMYFUNCTION("""COMPUTED_VALUE"""),31240944)</f>
        <v>31240944</v>
      </c>
      <c r="K176" s="27">
        <f ca="1">IFERROR(__xludf.DUMMYFUNCTION("""COMPUTED_VALUE"""),1)</f>
        <v>1</v>
      </c>
      <c r="L176" s="28" t="str">
        <f ca="1">IFERROR(__xludf.DUMMYFUNCTION("""COMPUTED_VALUE"""),"5/2024")</f>
        <v>5/2024</v>
      </c>
      <c r="M176" s="10" t="str">
        <f ca="1">IFERROR(__xludf.DUMMYFUNCTION("""COMPUTED_VALUE"""),"Predios Exentos")</f>
        <v>Predios Exentos</v>
      </c>
      <c r="N176" s="1"/>
      <c r="O176" s="1"/>
      <c r="P176" s="1"/>
      <c r="Q176" s="1"/>
      <c r="R176" s="1"/>
      <c r="S176" s="1"/>
      <c r="T176" s="1"/>
      <c r="U176" s="1"/>
      <c r="V176" s="1"/>
      <c r="W176" s="1"/>
      <c r="X176" s="1"/>
      <c r="Y176" s="1"/>
      <c r="Z176" s="1"/>
    </row>
    <row r="177" spans="1:26" ht="12.75" customHeight="1">
      <c r="A177" s="1"/>
      <c r="B177" s="10" t="str">
        <f ca="1">IFERROR(__xludf.DUMMYFUNCTION("""COMPUTED_VALUE"""),"Bono de aseo externalizado 2024")</f>
        <v>Bono de aseo externalizado 2024</v>
      </c>
      <c r="C177" s="26" t="str">
        <f t="shared" ca="1" si="0"/>
        <v xml:space="preserve"> LOS SAUCES</v>
      </c>
      <c r="D177" s="10" t="str">
        <f ca="1">IFERROR(__xludf.DUMMYFUNCTION("""COMPUTED_VALUE"""),"Resolución de Transferencia")</f>
        <v>Resolución de Transferencia</v>
      </c>
      <c r="E177" s="26" t="str">
        <f ca="1">IFERROR(__xludf.DUMMYFUNCTION("""COMPUTED_VALUE"""),"MUNICIPALIDAD DE LOS SAUCES")</f>
        <v>MUNICIPALIDAD DE LOS SAUCES</v>
      </c>
      <c r="F177" s="11">
        <f ca="1">IFERROR(__xludf.DUMMYFUNCTION("""COMPUTED_VALUE"""),29002698)</f>
        <v>29002698</v>
      </c>
      <c r="G177" s="10" t="str">
        <f ca="1">IFERROR(__xludf.DUMMYFUNCTION("""COMPUTED_VALUE"""),"Resolución")</f>
        <v>Resolución</v>
      </c>
      <c r="H177" s="10" t="str">
        <f ca="1">IFERROR(__xludf.DUMMYFUNCTION("""COMPUTED_VALUE"""),"BONO ASEO EXTERNALIZADO")</f>
        <v>BONO ASEO EXTERNALIZADO</v>
      </c>
      <c r="I177" s="10" t="str">
        <f ca="1">IFERROR(__xludf.DUMMYFUNCTION("""COMPUTED_VALUE"""),"Cumplir con normativa y reglamentos internos del programa en base a los objetivos.")</f>
        <v>Cumplir con normativa y reglamentos internos del programa en base a los objetivos.</v>
      </c>
      <c r="J177" s="11">
        <f ca="1">IFERROR(__xludf.DUMMYFUNCTION("""COMPUTED_VALUE"""),29002698)</f>
        <v>29002698</v>
      </c>
      <c r="K177" s="27">
        <f ca="1">IFERROR(__xludf.DUMMYFUNCTION("""COMPUTED_VALUE"""),25.9939502468299)</f>
        <v>25.9939502468299</v>
      </c>
      <c r="L177" s="28" t="str">
        <f ca="1">IFERROR(__xludf.DUMMYFUNCTION("""COMPUTED_VALUE"""),"5/2024")</f>
        <v>5/2024</v>
      </c>
      <c r="M177" s="10" t="str">
        <f ca="1">IFERROR(__xludf.DUMMYFUNCTION("""COMPUTED_VALUE"""),"Predios Exentos")</f>
        <v>Predios Exentos</v>
      </c>
      <c r="N177" s="1"/>
      <c r="O177" s="1"/>
      <c r="P177" s="1"/>
      <c r="Q177" s="1"/>
      <c r="R177" s="1"/>
      <c r="S177" s="1"/>
      <c r="T177" s="1"/>
      <c r="U177" s="1"/>
      <c r="V177" s="1"/>
      <c r="W177" s="1"/>
      <c r="X177" s="1"/>
      <c r="Y177" s="1"/>
      <c r="Z177" s="1"/>
    </row>
    <row r="178" spans="1:26" ht="12.75" customHeight="1">
      <c r="A178" s="1"/>
      <c r="B178" s="10" t="str">
        <f ca="1">IFERROR(__xludf.DUMMYFUNCTION("""COMPUTED_VALUE"""),"Bono de aseo externalizado 2024")</f>
        <v>Bono de aseo externalizado 2024</v>
      </c>
      <c r="C178" s="26" t="str">
        <f t="shared" ca="1" si="0"/>
        <v xml:space="preserve"> LUMACO</v>
      </c>
      <c r="D178" s="10" t="str">
        <f ca="1">IFERROR(__xludf.DUMMYFUNCTION("""COMPUTED_VALUE"""),"Resolución de Transferencia")</f>
        <v>Resolución de Transferencia</v>
      </c>
      <c r="E178" s="26" t="str">
        <f ca="1">IFERROR(__xludf.DUMMYFUNCTION("""COMPUTED_VALUE"""),"MUNICIPALIDAD DE LUMACO")</f>
        <v>MUNICIPALIDAD DE LUMACO</v>
      </c>
      <c r="F178" s="11">
        <f ca="1">IFERROR(__xludf.DUMMYFUNCTION("""COMPUTED_VALUE"""),22314960)</f>
        <v>22314960</v>
      </c>
      <c r="G178" s="10" t="str">
        <f ca="1">IFERROR(__xludf.DUMMYFUNCTION("""COMPUTED_VALUE"""),"Resolución")</f>
        <v>Resolución</v>
      </c>
      <c r="H178" s="10" t="str">
        <f ca="1">IFERROR(__xludf.DUMMYFUNCTION("""COMPUTED_VALUE"""),"BONO ASEO EXTERNALIZADO")</f>
        <v>BONO ASEO EXTERNALIZADO</v>
      </c>
      <c r="I178" s="10" t="str">
        <f ca="1">IFERROR(__xludf.DUMMYFUNCTION("""COMPUTED_VALUE"""),"Cumplir con normativa y reglamentos internos del programa en base a los objetivos.")</f>
        <v>Cumplir con normativa y reglamentos internos del programa en base a los objetivos.</v>
      </c>
      <c r="J178" s="11">
        <f ca="1">IFERROR(__xludf.DUMMYFUNCTION("""COMPUTED_VALUE"""),22314960)</f>
        <v>22314960</v>
      </c>
      <c r="K178" s="27">
        <f ca="1">IFERROR(__xludf.DUMMYFUNCTION("""COMPUTED_VALUE"""),1)</f>
        <v>1</v>
      </c>
      <c r="L178" s="28" t="str">
        <f ca="1">IFERROR(__xludf.DUMMYFUNCTION("""COMPUTED_VALUE"""),"5/2024")</f>
        <v>5/2024</v>
      </c>
      <c r="M178" s="10" t="str">
        <f ca="1">IFERROR(__xludf.DUMMYFUNCTION("""COMPUTED_VALUE"""),"Predios Exentos")</f>
        <v>Predios Exentos</v>
      </c>
      <c r="N178" s="1"/>
      <c r="O178" s="1"/>
      <c r="P178" s="1"/>
      <c r="Q178" s="1"/>
      <c r="R178" s="1"/>
      <c r="S178" s="1"/>
      <c r="T178" s="1"/>
      <c r="U178" s="1"/>
      <c r="V178" s="1"/>
      <c r="W178" s="1"/>
      <c r="X178" s="1"/>
      <c r="Y178" s="1"/>
      <c r="Z178" s="1"/>
    </row>
    <row r="179" spans="1:26" ht="12.75" customHeight="1">
      <c r="A179" s="1"/>
      <c r="B179" s="10" t="str">
        <f ca="1">IFERROR(__xludf.DUMMYFUNCTION("""COMPUTED_VALUE"""),"Bono de aseo externalizado 2024")</f>
        <v>Bono de aseo externalizado 2024</v>
      </c>
      <c r="C179" s="26" t="str">
        <f t="shared" ca="1" si="0"/>
        <v xml:space="preserve"> PURÉN</v>
      </c>
      <c r="D179" s="10" t="str">
        <f ca="1">IFERROR(__xludf.DUMMYFUNCTION("""COMPUTED_VALUE"""),"Resolución de Transferencia")</f>
        <v>Resolución de Transferencia</v>
      </c>
      <c r="E179" s="26" t="str">
        <f ca="1">IFERROR(__xludf.DUMMYFUNCTION("""COMPUTED_VALUE"""),"MUNICIPALIDAD DE PURÉN")</f>
        <v>MUNICIPALIDAD DE PURÉN</v>
      </c>
      <c r="F179" s="11">
        <f ca="1">IFERROR(__xludf.DUMMYFUNCTION("""COMPUTED_VALUE"""),15620472)</f>
        <v>15620472</v>
      </c>
      <c r="G179" s="10" t="str">
        <f ca="1">IFERROR(__xludf.DUMMYFUNCTION("""COMPUTED_VALUE"""),"Resolución")</f>
        <v>Resolución</v>
      </c>
      <c r="H179" s="10" t="str">
        <f ca="1">IFERROR(__xludf.DUMMYFUNCTION("""COMPUTED_VALUE"""),"BONO ASEO EXTERNALIZADO")</f>
        <v>BONO ASEO EXTERNALIZADO</v>
      </c>
      <c r="I179" s="10" t="str">
        <f ca="1">IFERROR(__xludf.DUMMYFUNCTION("""COMPUTED_VALUE"""),"Cumplir con normativa y reglamentos internos del programa en base a los objetivos.")</f>
        <v>Cumplir con normativa y reglamentos internos del programa en base a los objetivos.</v>
      </c>
      <c r="J179" s="11">
        <f ca="1">IFERROR(__xludf.DUMMYFUNCTION("""COMPUTED_VALUE"""),15620472)</f>
        <v>15620472</v>
      </c>
      <c r="K179" s="27">
        <f ca="1">IFERROR(__xludf.DUMMYFUNCTION("""COMPUTED_VALUE"""),1)</f>
        <v>1</v>
      </c>
      <c r="L179" s="28" t="str">
        <f ca="1">IFERROR(__xludf.DUMMYFUNCTION("""COMPUTED_VALUE"""),"5/2024")</f>
        <v>5/2024</v>
      </c>
      <c r="M179" s="10" t="str">
        <f ca="1">IFERROR(__xludf.DUMMYFUNCTION("""COMPUTED_VALUE"""),"Predios Exentos")</f>
        <v>Predios Exentos</v>
      </c>
      <c r="N179" s="1"/>
      <c r="O179" s="1"/>
      <c r="P179" s="1"/>
      <c r="Q179" s="1"/>
      <c r="R179" s="1"/>
      <c r="S179" s="1"/>
      <c r="T179" s="1"/>
      <c r="U179" s="1"/>
      <c r="V179" s="1"/>
      <c r="W179" s="1"/>
      <c r="X179" s="1"/>
      <c r="Y179" s="1"/>
      <c r="Z179" s="1"/>
    </row>
    <row r="180" spans="1:26" ht="12.75" customHeight="1">
      <c r="A180" s="1"/>
      <c r="B180" s="10" t="str">
        <f ca="1">IFERROR(__xludf.DUMMYFUNCTION("""COMPUTED_VALUE"""),"Bono de aseo externalizado 2024")</f>
        <v>Bono de aseo externalizado 2024</v>
      </c>
      <c r="C180" s="26" t="str">
        <f t="shared" ca="1" si="0"/>
        <v xml:space="preserve"> RENAICO</v>
      </c>
      <c r="D180" s="10" t="str">
        <f ca="1">IFERROR(__xludf.DUMMYFUNCTION("""COMPUTED_VALUE"""),"Resolución de Transferencia")</f>
        <v>Resolución de Transferencia</v>
      </c>
      <c r="E180" s="26" t="str">
        <f ca="1">IFERROR(__xludf.DUMMYFUNCTION("""COMPUTED_VALUE"""),"MUNICIPALIDAD DE RENAICO")</f>
        <v>MUNICIPALIDAD DE RENAICO</v>
      </c>
      <c r="F180" s="11">
        <f ca="1">IFERROR(__xludf.DUMMYFUNCTION("""COMPUTED_VALUE"""),13388976)</f>
        <v>13388976</v>
      </c>
      <c r="G180" s="10" t="str">
        <f ca="1">IFERROR(__xludf.DUMMYFUNCTION("""COMPUTED_VALUE"""),"Resolución")</f>
        <v>Resolución</v>
      </c>
      <c r="H180" s="10" t="str">
        <f ca="1">IFERROR(__xludf.DUMMYFUNCTION("""COMPUTED_VALUE"""),"BONO ASEO EXTERNALIZADO")</f>
        <v>BONO ASEO EXTERNALIZADO</v>
      </c>
      <c r="I180" s="10" t="str">
        <f ca="1">IFERROR(__xludf.DUMMYFUNCTION("""COMPUTED_VALUE"""),"Cumplir con normativa y reglamentos internos del programa en base a los objetivos.")</f>
        <v>Cumplir con normativa y reglamentos internos del programa en base a los objetivos.</v>
      </c>
      <c r="J180" s="11">
        <f ca="1">IFERROR(__xludf.DUMMYFUNCTION("""COMPUTED_VALUE"""),13388976)</f>
        <v>13388976</v>
      </c>
      <c r="K180" s="27">
        <f ca="1">IFERROR(__xludf.DUMMYFUNCTION("""COMPUTED_VALUE"""),1)</f>
        <v>1</v>
      </c>
      <c r="L180" s="28" t="str">
        <f ca="1">IFERROR(__xludf.DUMMYFUNCTION("""COMPUTED_VALUE"""),"5/2024")</f>
        <v>5/2024</v>
      </c>
      <c r="M180" s="10" t="str">
        <f ca="1">IFERROR(__xludf.DUMMYFUNCTION("""COMPUTED_VALUE"""),"Predios Exentos")</f>
        <v>Predios Exentos</v>
      </c>
      <c r="N180" s="1"/>
      <c r="O180" s="1"/>
      <c r="P180" s="1"/>
      <c r="Q180" s="1"/>
      <c r="R180" s="1"/>
      <c r="S180" s="1"/>
      <c r="T180" s="1"/>
      <c r="U180" s="1"/>
      <c r="V180" s="1"/>
      <c r="W180" s="1"/>
      <c r="X180" s="1"/>
      <c r="Y180" s="1"/>
      <c r="Z180" s="1"/>
    </row>
    <row r="181" spans="1:26" ht="12.75" customHeight="1">
      <c r="A181" s="1"/>
      <c r="B181" s="10" t="str">
        <f ca="1">IFERROR(__xludf.DUMMYFUNCTION("""COMPUTED_VALUE"""),"Bono de aseo externalizado 2024")</f>
        <v>Bono de aseo externalizado 2024</v>
      </c>
      <c r="C181" s="26" t="str">
        <f t="shared" ca="1" si="0"/>
        <v xml:space="preserve"> TRAIGUÉN</v>
      </c>
      <c r="D181" s="10" t="str">
        <f ca="1">IFERROR(__xludf.DUMMYFUNCTION("""COMPUTED_VALUE"""),"Resolución de Transferencia")</f>
        <v>Resolución de Transferencia</v>
      </c>
      <c r="E181" s="26" t="str">
        <f ca="1">IFERROR(__xludf.DUMMYFUNCTION("""COMPUTED_VALUE"""),"MUNICIPALIDAD DE TRAIGUÉN")</f>
        <v>MUNICIPALIDAD DE TRAIGUÉN</v>
      </c>
      <c r="F181" s="11">
        <f ca="1">IFERROR(__xludf.DUMMYFUNCTION("""COMPUTED_VALUE"""),35703936)</f>
        <v>35703936</v>
      </c>
      <c r="G181" s="10" t="str">
        <f ca="1">IFERROR(__xludf.DUMMYFUNCTION("""COMPUTED_VALUE"""),"Resolución")</f>
        <v>Resolución</v>
      </c>
      <c r="H181" s="10" t="str">
        <f ca="1">IFERROR(__xludf.DUMMYFUNCTION("""COMPUTED_VALUE"""),"BONO ASEO EXTERNALIZADO")</f>
        <v>BONO ASEO EXTERNALIZADO</v>
      </c>
      <c r="I181" s="10" t="str">
        <f ca="1">IFERROR(__xludf.DUMMYFUNCTION("""COMPUTED_VALUE"""),"Cumplir con normativa y reglamentos internos del programa en base a los objetivos.")</f>
        <v>Cumplir con normativa y reglamentos internos del programa en base a los objetivos.</v>
      </c>
      <c r="J181" s="11">
        <f ca="1">IFERROR(__xludf.DUMMYFUNCTION("""COMPUTED_VALUE"""),35703936)</f>
        <v>35703936</v>
      </c>
      <c r="K181" s="27">
        <f ca="1">IFERROR(__xludf.DUMMYFUNCTION("""COMPUTED_VALUE"""),1)</f>
        <v>1</v>
      </c>
      <c r="L181" s="28" t="str">
        <f ca="1">IFERROR(__xludf.DUMMYFUNCTION("""COMPUTED_VALUE"""),"5/2024")</f>
        <v>5/2024</v>
      </c>
      <c r="M181" s="10" t="str">
        <f ca="1">IFERROR(__xludf.DUMMYFUNCTION("""COMPUTED_VALUE"""),"Predios Exentos")</f>
        <v>Predios Exentos</v>
      </c>
      <c r="N181" s="1"/>
      <c r="O181" s="1"/>
      <c r="P181" s="1"/>
      <c r="Q181" s="1"/>
      <c r="R181" s="1"/>
      <c r="S181" s="1"/>
      <c r="T181" s="1"/>
      <c r="U181" s="1"/>
      <c r="V181" s="1"/>
      <c r="W181" s="1"/>
      <c r="X181" s="1"/>
      <c r="Y181" s="1"/>
      <c r="Z181" s="1"/>
    </row>
    <row r="182" spans="1:26" ht="12.75" customHeight="1">
      <c r="A182" s="1"/>
      <c r="B182" s="10" t="str">
        <f ca="1">IFERROR(__xludf.DUMMYFUNCTION("""COMPUTED_VALUE"""),"Bono de aseo externalizado 2024")</f>
        <v>Bono de aseo externalizado 2024</v>
      </c>
      <c r="C182" s="26" t="str">
        <f t="shared" ca="1" si="0"/>
        <v xml:space="preserve"> VICTORIA</v>
      </c>
      <c r="D182" s="10" t="str">
        <f ca="1">IFERROR(__xludf.DUMMYFUNCTION("""COMPUTED_VALUE"""),"Resolución de Transferencia")</f>
        <v>Resolución de Transferencia</v>
      </c>
      <c r="E182" s="26" t="str">
        <f ca="1">IFERROR(__xludf.DUMMYFUNCTION("""COMPUTED_VALUE"""),"MUNICIPALIDAD DE VICTORIA")</f>
        <v>MUNICIPALIDAD DE VICTORIA</v>
      </c>
      <c r="F182" s="11">
        <f ca="1">IFERROR(__xludf.DUMMYFUNCTION("""COMPUTED_VALUE"""),54671652)</f>
        <v>54671652</v>
      </c>
      <c r="G182" s="10" t="str">
        <f ca="1">IFERROR(__xludf.DUMMYFUNCTION("""COMPUTED_VALUE"""),"Resolución")</f>
        <v>Resolución</v>
      </c>
      <c r="H182" s="10" t="str">
        <f ca="1">IFERROR(__xludf.DUMMYFUNCTION("""COMPUTED_VALUE"""),"BONO ASEO EXTERNALIZADO")</f>
        <v>BONO ASEO EXTERNALIZADO</v>
      </c>
      <c r="I182" s="10" t="str">
        <f ca="1">IFERROR(__xludf.DUMMYFUNCTION("""COMPUTED_VALUE"""),"Cumplir con normativa y reglamentos internos del programa en base a los objetivos.")</f>
        <v>Cumplir con normativa y reglamentos internos del programa en base a los objetivos.</v>
      </c>
      <c r="J182" s="11">
        <f ca="1">IFERROR(__xludf.DUMMYFUNCTION("""COMPUTED_VALUE"""),54671652)</f>
        <v>54671652</v>
      </c>
      <c r="K182" s="27">
        <f ca="1">IFERROR(__xludf.DUMMYFUNCTION("""COMPUTED_VALUE"""),1)</f>
        <v>1</v>
      </c>
      <c r="L182" s="28" t="str">
        <f ca="1">IFERROR(__xludf.DUMMYFUNCTION("""COMPUTED_VALUE"""),"5/2024")</f>
        <v>5/2024</v>
      </c>
      <c r="M182" s="10" t="str">
        <f ca="1">IFERROR(__xludf.DUMMYFUNCTION("""COMPUTED_VALUE"""),"Predios Exentos")</f>
        <v>Predios Exentos</v>
      </c>
      <c r="N182" s="1"/>
      <c r="O182" s="1"/>
      <c r="P182" s="1"/>
      <c r="Q182" s="1"/>
      <c r="R182" s="1"/>
      <c r="S182" s="1"/>
      <c r="T182" s="1"/>
      <c r="U182" s="1"/>
      <c r="V182" s="1"/>
      <c r="W182" s="1"/>
      <c r="X182" s="1"/>
      <c r="Y182" s="1"/>
      <c r="Z182" s="1"/>
    </row>
    <row r="183" spans="1:26" ht="12.75" customHeight="1">
      <c r="A183" s="1"/>
      <c r="B183" s="10" t="str">
        <f ca="1">IFERROR(__xludf.DUMMYFUNCTION("""COMPUTED_VALUE"""),"Bono de aseo externalizado 2024")</f>
        <v>Bono de aseo externalizado 2024</v>
      </c>
      <c r="C183" s="26" t="str">
        <f t="shared" ca="1" si="0"/>
        <v xml:space="preserve"> PUERTO MONTT</v>
      </c>
      <c r="D183" s="10" t="str">
        <f ca="1">IFERROR(__xludf.DUMMYFUNCTION("""COMPUTED_VALUE"""),"Resolución de Transferencia")</f>
        <v>Resolución de Transferencia</v>
      </c>
      <c r="E183" s="26" t="str">
        <f ca="1">IFERROR(__xludf.DUMMYFUNCTION("""COMPUTED_VALUE"""),"MUNICIPALIDAD DE PUERTO MONTT")</f>
        <v>MUNICIPALIDAD DE PUERTO MONTT</v>
      </c>
      <c r="F183" s="11">
        <f ca="1">IFERROR(__xludf.DUMMYFUNCTION("""COMPUTED_VALUE"""),245464560)</f>
        <v>245464560</v>
      </c>
      <c r="G183" s="10" t="str">
        <f ca="1">IFERROR(__xludf.DUMMYFUNCTION("""COMPUTED_VALUE"""),"Resolución")</f>
        <v>Resolución</v>
      </c>
      <c r="H183" s="10" t="str">
        <f ca="1">IFERROR(__xludf.DUMMYFUNCTION("""COMPUTED_VALUE"""),"BONO ASEO EXTERNALIZADO")</f>
        <v>BONO ASEO EXTERNALIZADO</v>
      </c>
      <c r="I183" s="10" t="str">
        <f ca="1">IFERROR(__xludf.DUMMYFUNCTION("""COMPUTED_VALUE"""),"Cumplir con normativa y reglamentos internos del programa en base a los objetivos.")</f>
        <v>Cumplir con normativa y reglamentos internos del programa en base a los objetivos.</v>
      </c>
      <c r="J183" s="11">
        <f ca="1">IFERROR(__xludf.DUMMYFUNCTION("""COMPUTED_VALUE"""),245464560)</f>
        <v>245464560</v>
      </c>
      <c r="K183" s="27">
        <f ca="1">IFERROR(__xludf.DUMMYFUNCTION("""COMPUTED_VALUE"""),1)</f>
        <v>1</v>
      </c>
      <c r="L183" s="28" t="str">
        <f ca="1">IFERROR(__xludf.DUMMYFUNCTION("""COMPUTED_VALUE"""),"5/2024")</f>
        <v>5/2024</v>
      </c>
      <c r="M183" s="10" t="str">
        <f ca="1">IFERROR(__xludf.DUMMYFUNCTION("""COMPUTED_VALUE"""),"Predios Exentos")</f>
        <v>Predios Exentos</v>
      </c>
      <c r="N183" s="1"/>
      <c r="O183" s="1"/>
      <c r="P183" s="1"/>
      <c r="Q183" s="1"/>
      <c r="R183" s="1"/>
      <c r="S183" s="1"/>
      <c r="T183" s="1"/>
      <c r="U183" s="1"/>
      <c r="V183" s="1"/>
      <c r="W183" s="1"/>
      <c r="X183" s="1"/>
      <c r="Y183" s="1"/>
      <c r="Z183" s="1"/>
    </row>
    <row r="184" spans="1:26" ht="12.75" customHeight="1">
      <c r="A184" s="1"/>
      <c r="B184" s="10" t="str">
        <f ca="1">IFERROR(__xludf.DUMMYFUNCTION("""COMPUTED_VALUE"""),"Bono de aseo externalizado 2024")</f>
        <v>Bono de aseo externalizado 2024</v>
      </c>
      <c r="C184" s="26" t="str">
        <f t="shared" ca="1" si="0"/>
        <v xml:space="preserve"> CALBUCO</v>
      </c>
      <c r="D184" s="10" t="str">
        <f ca="1">IFERROR(__xludf.DUMMYFUNCTION("""COMPUTED_VALUE"""),"Resolución de Transferencia")</f>
        <v>Resolución de Transferencia</v>
      </c>
      <c r="E184" s="26" t="str">
        <f ca="1">IFERROR(__xludf.DUMMYFUNCTION("""COMPUTED_VALUE"""),"MUNICIPALIDAD DE CALBUCO")</f>
        <v>MUNICIPALIDAD DE CALBUCO</v>
      </c>
      <c r="F184" s="11">
        <f ca="1">IFERROR(__xludf.DUMMYFUNCTION("""COMPUTED_VALUE"""),62481888)</f>
        <v>62481888</v>
      </c>
      <c r="G184" s="10" t="str">
        <f ca="1">IFERROR(__xludf.DUMMYFUNCTION("""COMPUTED_VALUE"""),"Resolución")</f>
        <v>Resolución</v>
      </c>
      <c r="H184" s="10" t="str">
        <f ca="1">IFERROR(__xludf.DUMMYFUNCTION("""COMPUTED_VALUE"""),"BONO ASEO EXTERNALIZADO")</f>
        <v>BONO ASEO EXTERNALIZADO</v>
      </c>
      <c r="I184" s="10" t="str">
        <f ca="1">IFERROR(__xludf.DUMMYFUNCTION("""COMPUTED_VALUE"""),"Cumplir con normativa y reglamentos internos del programa en base a los objetivos.")</f>
        <v>Cumplir con normativa y reglamentos internos del programa en base a los objetivos.</v>
      </c>
      <c r="J184" s="11">
        <f ca="1">IFERROR(__xludf.DUMMYFUNCTION("""COMPUTED_VALUE"""),62481888)</f>
        <v>62481888</v>
      </c>
      <c r="K184" s="27">
        <f ca="1">IFERROR(__xludf.DUMMYFUNCTION("""COMPUTED_VALUE"""),1)</f>
        <v>1</v>
      </c>
      <c r="L184" s="28" t="str">
        <f ca="1">IFERROR(__xludf.DUMMYFUNCTION("""COMPUTED_VALUE"""),"5/2024")</f>
        <v>5/2024</v>
      </c>
      <c r="M184" s="10" t="str">
        <f ca="1">IFERROR(__xludf.DUMMYFUNCTION("""COMPUTED_VALUE"""),"Predios Exentos")</f>
        <v>Predios Exentos</v>
      </c>
      <c r="N184" s="1"/>
      <c r="O184" s="1"/>
      <c r="P184" s="1"/>
      <c r="Q184" s="1"/>
      <c r="R184" s="1"/>
      <c r="S184" s="1"/>
      <c r="T184" s="1"/>
      <c r="U184" s="1"/>
      <c r="V184" s="1"/>
      <c r="W184" s="1"/>
      <c r="X184" s="1"/>
      <c r="Y184" s="1"/>
      <c r="Z184" s="1"/>
    </row>
    <row r="185" spans="1:26" ht="12.75" customHeight="1">
      <c r="A185" s="1"/>
      <c r="B185" s="10" t="str">
        <f ca="1">IFERROR(__xludf.DUMMYFUNCTION("""COMPUTED_VALUE"""),"Bono de aseo externalizado 2024")</f>
        <v>Bono de aseo externalizado 2024</v>
      </c>
      <c r="C185" s="26" t="str">
        <f t="shared" ca="1" si="0"/>
        <v xml:space="preserve"> LOS MUERMOS</v>
      </c>
      <c r="D185" s="10" t="str">
        <f ca="1">IFERROR(__xludf.DUMMYFUNCTION("""COMPUTED_VALUE"""),"Resolución de Transferencia")</f>
        <v>Resolución de Transferencia</v>
      </c>
      <c r="E185" s="26" t="str">
        <f ca="1">IFERROR(__xludf.DUMMYFUNCTION("""COMPUTED_VALUE"""),"MUNICIPALIDAD DE LOS MUERMOS")</f>
        <v>MUNICIPALIDAD DE LOS MUERMOS</v>
      </c>
      <c r="F185" s="11">
        <f ca="1">IFERROR(__xludf.DUMMYFUNCTION("""COMPUTED_VALUE"""),27893700)</f>
        <v>27893700</v>
      </c>
      <c r="G185" s="10" t="str">
        <f ca="1">IFERROR(__xludf.DUMMYFUNCTION("""COMPUTED_VALUE"""),"Resolución")</f>
        <v>Resolución</v>
      </c>
      <c r="H185" s="10" t="str">
        <f ca="1">IFERROR(__xludf.DUMMYFUNCTION("""COMPUTED_VALUE"""),"BONO ASEO EXTERNALIZADO")</f>
        <v>BONO ASEO EXTERNALIZADO</v>
      </c>
      <c r="I185" s="10" t="str">
        <f ca="1">IFERROR(__xludf.DUMMYFUNCTION("""COMPUTED_VALUE"""),"Cumplir con normativa y reglamentos internos del programa en base a los objetivos.")</f>
        <v>Cumplir con normativa y reglamentos internos del programa en base a los objetivos.</v>
      </c>
      <c r="J185" s="11">
        <f ca="1">IFERROR(__xludf.DUMMYFUNCTION("""COMPUTED_VALUE"""),27893700)</f>
        <v>27893700</v>
      </c>
      <c r="K185" s="27">
        <f ca="1">IFERROR(__xludf.DUMMYFUNCTION("""COMPUTED_VALUE"""),1)</f>
        <v>1</v>
      </c>
      <c r="L185" s="28" t="str">
        <f ca="1">IFERROR(__xludf.DUMMYFUNCTION("""COMPUTED_VALUE"""),"5/2024")</f>
        <v>5/2024</v>
      </c>
      <c r="M185" s="10" t="str">
        <f ca="1">IFERROR(__xludf.DUMMYFUNCTION("""COMPUTED_VALUE"""),"Predios Exentos")</f>
        <v>Predios Exentos</v>
      </c>
      <c r="N185" s="1"/>
      <c r="O185" s="1"/>
      <c r="P185" s="1"/>
      <c r="Q185" s="1"/>
      <c r="R185" s="1"/>
      <c r="S185" s="1"/>
      <c r="T185" s="1"/>
      <c r="U185" s="1"/>
      <c r="V185" s="1"/>
      <c r="W185" s="1"/>
      <c r="X185" s="1"/>
      <c r="Y185" s="1"/>
      <c r="Z185" s="1"/>
    </row>
    <row r="186" spans="1:26" ht="12.75" customHeight="1">
      <c r="A186" s="1"/>
      <c r="B186" s="10" t="str">
        <f ca="1">IFERROR(__xludf.DUMMYFUNCTION("""COMPUTED_VALUE"""),"Bono de aseo externalizado 2024")</f>
        <v>Bono de aseo externalizado 2024</v>
      </c>
      <c r="C186" s="26" t="str">
        <f t="shared" ca="1" si="0"/>
        <v xml:space="preserve"> PUERTO VARAS</v>
      </c>
      <c r="D186" s="10" t="str">
        <f ca="1">IFERROR(__xludf.DUMMYFUNCTION("""COMPUTED_VALUE"""),"Resolución de Transferencia")</f>
        <v>Resolución de Transferencia</v>
      </c>
      <c r="E186" s="26" t="str">
        <f ca="1">IFERROR(__xludf.DUMMYFUNCTION("""COMPUTED_VALUE"""),"MUNICIPALIDAD DE PUERTO VARAS")</f>
        <v>MUNICIPALIDAD DE PUERTO VARAS</v>
      </c>
      <c r="F186" s="11">
        <f ca="1">IFERROR(__xludf.DUMMYFUNCTION("""COMPUTED_VALUE"""),62481888)</f>
        <v>62481888</v>
      </c>
      <c r="G186" s="10" t="str">
        <f ca="1">IFERROR(__xludf.DUMMYFUNCTION("""COMPUTED_VALUE"""),"Resolución")</f>
        <v>Resolución</v>
      </c>
      <c r="H186" s="10" t="str">
        <f ca="1">IFERROR(__xludf.DUMMYFUNCTION("""COMPUTED_VALUE"""),"BONO ASEO EXTERNALIZADO")</f>
        <v>BONO ASEO EXTERNALIZADO</v>
      </c>
      <c r="I186" s="10" t="str">
        <f ca="1">IFERROR(__xludf.DUMMYFUNCTION("""COMPUTED_VALUE"""),"Cumplir con normativa y reglamentos internos del programa en base a los objetivos.")</f>
        <v>Cumplir con normativa y reglamentos internos del programa en base a los objetivos.</v>
      </c>
      <c r="J186" s="11">
        <f ca="1">IFERROR(__xludf.DUMMYFUNCTION("""COMPUTED_VALUE"""),62481888)</f>
        <v>62481888</v>
      </c>
      <c r="K186" s="27">
        <f ca="1">IFERROR(__xludf.DUMMYFUNCTION("""COMPUTED_VALUE"""),1)</f>
        <v>1</v>
      </c>
      <c r="L186" s="28" t="str">
        <f ca="1">IFERROR(__xludf.DUMMYFUNCTION("""COMPUTED_VALUE"""),"5/2024")</f>
        <v>5/2024</v>
      </c>
      <c r="M186" s="10" t="str">
        <f ca="1">IFERROR(__xludf.DUMMYFUNCTION("""COMPUTED_VALUE"""),"Predios Exentos")</f>
        <v>Predios Exentos</v>
      </c>
      <c r="N186" s="1"/>
      <c r="O186" s="1"/>
      <c r="P186" s="1"/>
      <c r="Q186" s="1"/>
      <c r="R186" s="1"/>
      <c r="S186" s="1"/>
      <c r="T186" s="1"/>
      <c r="U186" s="1"/>
      <c r="V186" s="1"/>
      <c r="W186" s="1"/>
      <c r="X186" s="1"/>
      <c r="Y186" s="1"/>
      <c r="Z186" s="1"/>
    </row>
    <row r="187" spans="1:26" ht="12.75" customHeight="1">
      <c r="A187" s="1"/>
      <c r="B187" s="10" t="str">
        <f ca="1">IFERROR(__xludf.DUMMYFUNCTION("""COMPUTED_VALUE"""),"Bono de aseo externalizado 2024")</f>
        <v>Bono de aseo externalizado 2024</v>
      </c>
      <c r="C187" s="26" t="str">
        <f t="shared" ca="1" si="0"/>
        <v xml:space="preserve"> CASTRO</v>
      </c>
      <c r="D187" s="10" t="str">
        <f ca="1">IFERROR(__xludf.DUMMYFUNCTION("""COMPUTED_VALUE"""),"Resolución de Transferencia")</f>
        <v>Resolución de Transferencia</v>
      </c>
      <c r="E187" s="26" t="str">
        <f ca="1">IFERROR(__xludf.DUMMYFUNCTION("""COMPUTED_VALUE"""),"MUNICIPALIDAD DE CASTRO")</f>
        <v>MUNICIPALIDAD DE CASTRO</v>
      </c>
      <c r="F187" s="11">
        <f ca="1">IFERROR(__xludf.DUMMYFUNCTION("""COMPUTED_VALUE"""),90375588)</f>
        <v>90375588</v>
      </c>
      <c r="G187" s="10" t="str">
        <f ca="1">IFERROR(__xludf.DUMMYFUNCTION("""COMPUTED_VALUE"""),"Resolución")</f>
        <v>Resolución</v>
      </c>
      <c r="H187" s="10" t="str">
        <f ca="1">IFERROR(__xludf.DUMMYFUNCTION("""COMPUTED_VALUE"""),"BONO ASEO EXTERNALIZADO")</f>
        <v>BONO ASEO EXTERNALIZADO</v>
      </c>
      <c r="I187" s="10" t="str">
        <f ca="1">IFERROR(__xludf.DUMMYFUNCTION("""COMPUTED_VALUE"""),"Cumplir con normativa y reglamentos internos del programa en base a los objetivos.")</f>
        <v>Cumplir con normativa y reglamentos internos del programa en base a los objetivos.</v>
      </c>
      <c r="J187" s="11">
        <f ca="1">IFERROR(__xludf.DUMMYFUNCTION("""COMPUTED_VALUE"""),90375588)</f>
        <v>90375588</v>
      </c>
      <c r="K187" s="27">
        <f ca="1">IFERROR(__xludf.DUMMYFUNCTION("""COMPUTED_VALUE"""),1)</f>
        <v>1</v>
      </c>
      <c r="L187" s="28" t="str">
        <f ca="1">IFERROR(__xludf.DUMMYFUNCTION("""COMPUTED_VALUE"""),"5/2024")</f>
        <v>5/2024</v>
      </c>
      <c r="M187" s="10" t="str">
        <f ca="1">IFERROR(__xludf.DUMMYFUNCTION("""COMPUTED_VALUE"""),"Predios Exentos")</f>
        <v>Predios Exentos</v>
      </c>
      <c r="N187" s="1"/>
      <c r="O187" s="1"/>
      <c r="P187" s="1"/>
      <c r="Q187" s="1"/>
      <c r="R187" s="1"/>
      <c r="S187" s="1"/>
      <c r="T187" s="1"/>
      <c r="U187" s="1"/>
      <c r="V187" s="1"/>
      <c r="W187" s="1"/>
      <c r="X187" s="1"/>
      <c r="Y187" s="1"/>
      <c r="Z187" s="1"/>
    </row>
    <row r="188" spans="1:26" ht="12.75" customHeight="1">
      <c r="A188" s="1"/>
      <c r="B188" s="10" t="str">
        <f ca="1">IFERROR(__xludf.DUMMYFUNCTION("""COMPUTED_VALUE"""),"Bono de aseo externalizado 2024")</f>
        <v>Bono de aseo externalizado 2024</v>
      </c>
      <c r="C188" s="26" t="str">
        <f t="shared" ca="1" si="0"/>
        <v xml:space="preserve"> ANCUD</v>
      </c>
      <c r="D188" s="10" t="str">
        <f ca="1">IFERROR(__xludf.DUMMYFUNCTION("""COMPUTED_VALUE"""),"Resolución de Transferencia")</f>
        <v>Resolución de Transferencia</v>
      </c>
      <c r="E188" s="26" t="str">
        <f ca="1">IFERROR(__xludf.DUMMYFUNCTION("""COMPUTED_VALUE"""),"MUNICIPALIDAD DE ANCUD")</f>
        <v>MUNICIPALIDAD DE ANCUD</v>
      </c>
      <c r="F188" s="11">
        <f ca="1">IFERROR(__xludf.DUMMYFUNCTION("""COMPUTED_VALUE"""),73639368)</f>
        <v>73639368</v>
      </c>
      <c r="G188" s="10" t="str">
        <f ca="1">IFERROR(__xludf.DUMMYFUNCTION("""COMPUTED_VALUE"""),"Resolución")</f>
        <v>Resolución</v>
      </c>
      <c r="H188" s="10" t="str">
        <f ca="1">IFERROR(__xludf.DUMMYFUNCTION("""COMPUTED_VALUE"""),"BONO ASEO EXTERNALIZADO")</f>
        <v>BONO ASEO EXTERNALIZADO</v>
      </c>
      <c r="I188" s="10" t="str">
        <f ca="1">IFERROR(__xludf.DUMMYFUNCTION("""COMPUTED_VALUE"""),"Cumplir con normativa y reglamentos internos del programa en base a los objetivos.")</f>
        <v>Cumplir con normativa y reglamentos internos del programa en base a los objetivos.</v>
      </c>
      <c r="J188" s="11">
        <f ca="1">IFERROR(__xludf.DUMMYFUNCTION("""COMPUTED_VALUE"""),73639368)</f>
        <v>73639368</v>
      </c>
      <c r="K188" s="27">
        <f ca="1">IFERROR(__xludf.DUMMYFUNCTION("""COMPUTED_VALUE"""),1)</f>
        <v>1</v>
      </c>
      <c r="L188" s="28" t="str">
        <f ca="1">IFERROR(__xludf.DUMMYFUNCTION("""COMPUTED_VALUE"""),"5/2024")</f>
        <v>5/2024</v>
      </c>
      <c r="M188" s="10" t="str">
        <f ca="1">IFERROR(__xludf.DUMMYFUNCTION("""COMPUTED_VALUE"""),"Predios Exentos")</f>
        <v>Predios Exentos</v>
      </c>
      <c r="N188" s="1"/>
      <c r="O188" s="1"/>
      <c r="P188" s="1"/>
      <c r="Q188" s="1"/>
      <c r="R188" s="1"/>
      <c r="S188" s="1"/>
      <c r="T188" s="1"/>
      <c r="U188" s="1"/>
      <c r="V188" s="1"/>
      <c r="W188" s="1"/>
      <c r="X188" s="1"/>
      <c r="Y188" s="1"/>
      <c r="Z188" s="1"/>
    </row>
    <row r="189" spans="1:26" ht="12.75" customHeight="1">
      <c r="A189" s="1"/>
      <c r="B189" s="10" t="str">
        <f ca="1">IFERROR(__xludf.DUMMYFUNCTION("""COMPUTED_VALUE"""),"Bono de aseo externalizado 2024")</f>
        <v>Bono de aseo externalizado 2024</v>
      </c>
      <c r="C189" s="26" t="str">
        <f t="shared" ca="1" si="0"/>
        <v xml:space="preserve"> CHONCHI</v>
      </c>
      <c r="D189" s="10" t="str">
        <f ca="1">IFERROR(__xludf.DUMMYFUNCTION("""COMPUTED_VALUE"""),"Resolución de Transferencia")</f>
        <v>Resolución de Transferencia</v>
      </c>
      <c r="E189" s="26" t="str">
        <f ca="1">IFERROR(__xludf.DUMMYFUNCTION("""COMPUTED_VALUE"""),"MUNICIPALIDAD DE CHONCHI")</f>
        <v>MUNICIPALIDAD DE CHONCHI</v>
      </c>
      <c r="F189" s="11">
        <f ca="1">IFERROR(__xludf.DUMMYFUNCTION("""COMPUTED_VALUE"""),29009448)</f>
        <v>29009448</v>
      </c>
      <c r="G189" s="10" t="str">
        <f ca="1">IFERROR(__xludf.DUMMYFUNCTION("""COMPUTED_VALUE"""),"Resolución")</f>
        <v>Resolución</v>
      </c>
      <c r="H189" s="10" t="str">
        <f ca="1">IFERROR(__xludf.DUMMYFUNCTION("""COMPUTED_VALUE"""),"BONO ASEO EXTERNALIZADO")</f>
        <v>BONO ASEO EXTERNALIZADO</v>
      </c>
      <c r="I189" s="10" t="str">
        <f ca="1">IFERROR(__xludf.DUMMYFUNCTION("""COMPUTED_VALUE"""),"Cumplir con normativa y reglamentos internos del programa en base a los objetivos.")</f>
        <v>Cumplir con normativa y reglamentos internos del programa en base a los objetivos.</v>
      </c>
      <c r="J189" s="11">
        <f ca="1">IFERROR(__xludf.DUMMYFUNCTION("""COMPUTED_VALUE"""),29009448)</f>
        <v>29009448</v>
      </c>
      <c r="K189" s="27">
        <f ca="1">IFERROR(__xludf.DUMMYFUNCTION("""COMPUTED_VALUE"""),1)</f>
        <v>1</v>
      </c>
      <c r="L189" s="28" t="str">
        <f ca="1">IFERROR(__xludf.DUMMYFUNCTION("""COMPUTED_VALUE"""),"5/2024")</f>
        <v>5/2024</v>
      </c>
      <c r="M189" s="10" t="str">
        <f ca="1">IFERROR(__xludf.DUMMYFUNCTION("""COMPUTED_VALUE"""),"Predios Exentos")</f>
        <v>Predios Exentos</v>
      </c>
      <c r="N189" s="1"/>
      <c r="O189" s="1"/>
      <c r="P189" s="1"/>
      <c r="Q189" s="1"/>
      <c r="R189" s="1"/>
      <c r="S189" s="1"/>
      <c r="T189" s="1"/>
      <c r="U189" s="1"/>
      <c r="V189" s="1"/>
      <c r="W189" s="1"/>
      <c r="X189" s="1"/>
      <c r="Y189" s="1"/>
      <c r="Z189" s="1"/>
    </row>
    <row r="190" spans="1:26" ht="12.75" customHeight="1">
      <c r="A190" s="1"/>
      <c r="B190" s="10" t="str">
        <f ca="1">IFERROR(__xludf.DUMMYFUNCTION("""COMPUTED_VALUE"""),"Bono de aseo externalizado 2024")</f>
        <v>Bono de aseo externalizado 2024</v>
      </c>
      <c r="C190" s="26" t="str">
        <f t="shared" ca="1" si="0"/>
        <v xml:space="preserve"> CURACO DE VÉLEZ</v>
      </c>
      <c r="D190" s="10" t="str">
        <f ca="1">IFERROR(__xludf.DUMMYFUNCTION("""COMPUTED_VALUE"""),"Resolución de Transferencia")</f>
        <v>Resolución de Transferencia</v>
      </c>
      <c r="E190" s="26" t="str">
        <f ca="1">IFERROR(__xludf.DUMMYFUNCTION("""COMPUTED_VALUE"""),"MUNICIPALIDAD DE CURACO DE VÉLEZ")</f>
        <v>MUNICIPALIDAD DE CURACO DE VÉLEZ</v>
      </c>
      <c r="F190" s="11">
        <f ca="1">IFERROR(__xludf.DUMMYFUNCTION("""COMPUTED_VALUE"""),21199212)</f>
        <v>21199212</v>
      </c>
      <c r="G190" s="10" t="str">
        <f ca="1">IFERROR(__xludf.DUMMYFUNCTION("""COMPUTED_VALUE"""),"Resolución")</f>
        <v>Resolución</v>
      </c>
      <c r="H190" s="10" t="str">
        <f ca="1">IFERROR(__xludf.DUMMYFUNCTION("""COMPUTED_VALUE"""),"BONO ASEO EXTERNALIZADO")</f>
        <v>BONO ASEO EXTERNALIZADO</v>
      </c>
      <c r="I190" s="10" t="str">
        <f ca="1">IFERROR(__xludf.DUMMYFUNCTION("""COMPUTED_VALUE"""),"Cumplir con normativa y reglamentos internos del programa en base a los objetivos.")</f>
        <v>Cumplir con normativa y reglamentos internos del programa en base a los objetivos.</v>
      </c>
      <c r="J190" s="11">
        <f ca="1">IFERROR(__xludf.DUMMYFUNCTION("""COMPUTED_VALUE"""),21199212)</f>
        <v>21199212</v>
      </c>
      <c r="K190" s="27">
        <f ca="1">IFERROR(__xludf.DUMMYFUNCTION("""COMPUTED_VALUE"""),1)</f>
        <v>1</v>
      </c>
      <c r="L190" s="28" t="str">
        <f ca="1">IFERROR(__xludf.DUMMYFUNCTION("""COMPUTED_VALUE"""),"5/2024")</f>
        <v>5/2024</v>
      </c>
      <c r="M190" s="10" t="str">
        <f ca="1">IFERROR(__xludf.DUMMYFUNCTION("""COMPUTED_VALUE"""),"Predios Exentos")</f>
        <v>Predios Exentos</v>
      </c>
      <c r="N190" s="1"/>
      <c r="O190" s="1"/>
      <c r="P190" s="1"/>
      <c r="Q190" s="1"/>
      <c r="R190" s="1"/>
      <c r="S190" s="1"/>
      <c r="T190" s="1"/>
      <c r="U190" s="1"/>
      <c r="V190" s="1"/>
      <c r="W190" s="1"/>
      <c r="X190" s="1"/>
      <c r="Y190" s="1"/>
      <c r="Z190" s="1"/>
    </row>
    <row r="191" spans="1:26" ht="12.75" customHeight="1">
      <c r="A191" s="1"/>
      <c r="B191" s="10" t="str">
        <f ca="1">IFERROR(__xludf.DUMMYFUNCTION("""COMPUTED_VALUE"""),"Bono de aseo externalizado 2024")</f>
        <v>Bono de aseo externalizado 2024</v>
      </c>
      <c r="C191" s="26" t="str">
        <f t="shared" ca="1" si="0"/>
        <v xml:space="preserve"> DALCAHUE</v>
      </c>
      <c r="D191" s="10" t="str">
        <f ca="1">IFERROR(__xludf.DUMMYFUNCTION("""COMPUTED_VALUE"""),"Resolución de Transferencia")</f>
        <v>Resolución de Transferencia</v>
      </c>
      <c r="E191" s="26" t="str">
        <f ca="1">IFERROR(__xludf.DUMMYFUNCTION("""COMPUTED_VALUE"""),"MUNICIPALIDAD DE DALCAHUE")</f>
        <v>MUNICIPALIDAD DE DALCAHUE</v>
      </c>
      <c r="F191" s="11">
        <f ca="1">IFERROR(__xludf.DUMMYFUNCTION("""COMPUTED_VALUE"""),23430708)</f>
        <v>23430708</v>
      </c>
      <c r="G191" s="10" t="str">
        <f ca="1">IFERROR(__xludf.DUMMYFUNCTION("""COMPUTED_VALUE"""),"Resolución")</f>
        <v>Resolución</v>
      </c>
      <c r="H191" s="10" t="str">
        <f ca="1">IFERROR(__xludf.DUMMYFUNCTION("""COMPUTED_VALUE"""),"BONO ASEO EXTERNALIZADO")</f>
        <v>BONO ASEO EXTERNALIZADO</v>
      </c>
      <c r="I191" s="10" t="str">
        <f ca="1">IFERROR(__xludf.DUMMYFUNCTION("""COMPUTED_VALUE"""),"Cumplir con normativa y reglamentos internos del programa en base a los objetivos.")</f>
        <v>Cumplir con normativa y reglamentos internos del programa en base a los objetivos.</v>
      </c>
      <c r="J191" s="11">
        <f ca="1">IFERROR(__xludf.DUMMYFUNCTION("""COMPUTED_VALUE"""),23430708)</f>
        <v>23430708</v>
      </c>
      <c r="K191" s="27">
        <f ca="1">IFERROR(__xludf.DUMMYFUNCTION("""COMPUTED_VALUE"""),1)</f>
        <v>1</v>
      </c>
      <c r="L191" s="28" t="str">
        <f ca="1">IFERROR(__xludf.DUMMYFUNCTION("""COMPUTED_VALUE"""),"5/2024")</f>
        <v>5/2024</v>
      </c>
      <c r="M191" s="10" t="str">
        <f ca="1">IFERROR(__xludf.DUMMYFUNCTION("""COMPUTED_VALUE"""),"Predios Exentos")</f>
        <v>Predios Exentos</v>
      </c>
      <c r="N191" s="1"/>
      <c r="O191" s="1"/>
      <c r="P191" s="1"/>
      <c r="Q191" s="1"/>
      <c r="R191" s="1"/>
      <c r="S191" s="1"/>
      <c r="T191" s="1"/>
      <c r="U191" s="1"/>
      <c r="V191" s="1"/>
      <c r="W191" s="1"/>
      <c r="X191" s="1"/>
      <c r="Y191" s="1"/>
      <c r="Z191" s="1"/>
    </row>
    <row r="192" spans="1:26" ht="12.75" customHeight="1">
      <c r="A192" s="1"/>
      <c r="B192" s="10" t="str">
        <f ca="1">IFERROR(__xludf.DUMMYFUNCTION("""COMPUTED_VALUE"""),"Bono de aseo externalizado 2024")</f>
        <v>Bono de aseo externalizado 2024</v>
      </c>
      <c r="C192" s="26" t="str">
        <f t="shared" ca="1" si="0"/>
        <v xml:space="preserve"> PUQUELDÓN</v>
      </c>
      <c r="D192" s="10" t="str">
        <f ca="1">IFERROR(__xludf.DUMMYFUNCTION("""COMPUTED_VALUE"""),"Resolución de Transferencia")</f>
        <v>Resolución de Transferencia</v>
      </c>
      <c r="E192" s="26" t="str">
        <f ca="1">IFERROR(__xludf.DUMMYFUNCTION("""COMPUTED_VALUE"""),"MUNICIPALIDAD DE PUQUELDÓN")</f>
        <v>MUNICIPALIDAD DE PUQUELDÓN</v>
      </c>
      <c r="F192" s="11">
        <f ca="1">IFERROR(__xludf.DUMMYFUNCTION("""COMPUTED_VALUE"""),25662204)</f>
        <v>25662204</v>
      </c>
      <c r="G192" s="10" t="str">
        <f ca="1">IFERROR(__xludf.DUMMYFUNCTION("""COMPUTED_VALUE"""),"Resolución")</f>
        <v>Resolución</v>
      </c>
      <c r="H192" s="10" t="str">
        <f ca="1">IFERROR(__xludf.DUMMYFUNCTION("""COMPUTED_VALUE"""),"BONO ASEO EXTERNALIZADO")</f>
        <v>BONO ASEO EXTERNALIZADO</v>
      </c>
      <c r="I192" s="10" t="str">
        <f ca="1">IFERROR(__xludf.DUMMYFUNCTION("""COMPUTED_VALUE"""),"Cumplir con normativa y reglamentos internos del programa en base a los objetivos.")</f>
        <v>Cumplir con normativa y reglamentos internos del programa en base a los objetivos.</v>
      </c>
      <c r="J192" s="11">
        <f ca="1">IFERROR(__xludf.DUMMYFUNCTION("""COMPUTED_VALUE"""),25662204)</f>
        <v>25662204</v>
      </c>
      <c r="K192" s="27">
        <f ca="1">IFERROR(__xludf.DUMMYFUNCTION("""COMPUTED_VALUE"""),1)</f>
        <v>1</v>
      </c>
      <c r="L192" s="28" t="str">
        <f ca="1">IFERROR(__xludf.DUMMYFUNCTION("""COMPUTED_VALUE"""),"5/2024")</f>
        <v>5/2024</v>
      </c>
      <c r="M192" s="10" t="str">
        <f ca="1">IFERROR(__xludf.DUMMYFUNCTION("""COMPUTED_VALUE"""),"Predios Exentos")</f>
        <v>Predios Exentos</v>
      </c>
      <c r="N192" s="1"/>
      <c r="O192" s="1"/>
      <c r="P192" s="1"/>
      <c r="Q192" s="1"/>
      <c r="R192" s="1"/>
      <c r="S192" s="1"/>
      <c r="T192" s="1"/>
      <c r="U192" s="1"/>
      <c r="V192" s="1"/>
      <c r="W192" s="1"/>
      <c r="X192" s="1"/>
      <c r="Y192" s="1"/>
      <c r="Z192" s="1"/>
    </row>
    <row r="193" spans="1:26" ht="12.75" customHeight="1">
      <c r="A193" s="1"/>
      <c r="B193" s="10" t="str">
        <f ca="1">IFERROR(__xludf.DUMMYFUNCTION("""COMPUTED_VALUE"""),"Bono de aseo externalizado 2024")</f>
        <v>Bono de aseo externalizado 2024</v>
      </c>
      <c r="C193" s="26" t="str">
        <f t="shared" ca="1" si="0"/>
        <v xml:space="preserve"> QUEILÉN</v>
      </c>
      <c r="D193" s="10" t="str">
        <f ca="1">IFERROR(__xludf.DUMMYFUNCTION("""COMPUTED_VALUE"""),"Resolución de Transferencia")</f>
        <v>Resolución de Transferencia</v>
      </c>
      <c r="E193" s="26" t="str">
        <f ca="1">IFERROR(__xludf.DUMMYFUNCTION("""COMPUTED_VALUE"""),"MUNICIPALIDAD DE QUEILÉN")</f>
        <v>MUNICIPALIDAD DE QUEILÉN</v>
      </c>
      <c r="F193" s="11">
        <f ca="1">IFERROR(__xludf.DUMMYFUNCTION("""COMPUTED_VALUE"""),21199212)</f>
        <v>21199212</v>
      </c>
      <c r="G193" s="10" t="str">
        <f ca="1">IFERROR(__xludf.DUMMYFUNCTION("""COMPUTED_VALUE"""),"Resolución")</f>
        <v>Resolución</v>
      </c>
      <c r="H193" s="10" t="str">
        <f ca="1">IFERROR(__xludf.DUMMYFUNCTION("""COMPUTED_VALUE"""),"BONO ASEO EXTERNALIZADO")</f>
        <v>BONO ASEO EXTERNALIZADO</v>
      </c>
      <c r="I193" s="10" t="str">
        <f ca="1">IFERROR(__xludf.DUMMYFUNCTION("""COMPUTED_VALUE"""),"Cumplir con normativa y reglamentos internos del programa en base a los objetivos.")</f>
        <v>Cumplir con normativa y reglamentos internos del programa en base a los objetivos.</v>
      </c>
      <c r="J193" s="11">
        <f ca="1">IFERROR(__xludf.DUMMYFUNCTION("""COMPUTED_VALUE"""),21199212)</f>
        <v>21199212</v>
      </c>
      <c r="K193" s="27">
        <f ca="1">IFERROR(__xludf.DUMMYFUNCTION("""COMPUTED_VALUE"""),1)</f>
        <v>1</v>
      </c>
      <c r="L193" s="28" t="str">
        <f ca="1">IFERROR(__xludf.DUMMYFUNCTION("""COMPUTED_VALUE"""),"5/2024")</f>
        <v>5/2024</v>
      </c>
      <c r="M193" s="10" t="str">
        <f ca="1">IFERROR(__xludf.DUMMYFUNCTION("""COMPUTED_VALUE"""),"Predios Exentos")</f>
        <v>Predios Exentos</v>
      </c>
      <c r="N193" s="1"/>
      <c r="O193" s="1"/>
      <c r="P193" s="1"/>
      <c r="Q193" s="1"/>
      <c r="R193" s="1"/>
      <c r="S193" s="1"/>
      <c r="T193" s="1"/>
      <c r="U193" s="1"/>
      <c r="V193" s="1"/>
      <c r="W193" s="1"/>
      <c r="X193" s="1"/>
      <c r="Y193" s="1"/>
      <c r="Z193" s="1"/>
    </row>
    <row r="194" spans="1:26" ht="12.75" customHeight="1">
      <c r="A194" s="1"/>
      <c r="B194" s="10" t="str">
        <f ca="1">IFERROR(__xludf.DUMMYFUNCTION("""COMPUTED_VALUE"""),"Bono de aseo externalizado 2024")</f>
        <v>Bono de aseo externalizado 2024</v>
      </c>
      <c r="C194" s="26" t="str">
        <f t="shared" ca="1" si="0"/>
        <v xml:space="preserve"> QUELLÓN</v>
      </c>
      <c r="D194" s="10" t="str">
        <f ca="1">IFERROR(__xludf.DUMMYFUNCTION("""COMPUTED_VALUE"""),"Resolución de Transferencia")</f>
        <v>Resolución de Transferencia</v>
      </c>
      <c r="E194" s="26" t="str">
        <f ca="1">IFERROR(__xludf.DUMMYFUNCTION("""COMPUTED_VALUE"""),"MUNICIPALIDAD DE QUELLÓN")</f>
        <v>MUNICIPALIDAD DE QUELLÓN</v>
      </c>
      <c r="F194" s="11">
        <f ca="1">IFERROR(__xludf.DUMMYFUNCTION("""COMPUTED_VALUE"""),29009448)</f>
        <v>29009448</v>
      </c>
      <c r="G194" s="10" t="str">
        <f ca="1">IFERROR(__xludf.DUMMYFUNCTION("""COMPUTED_VALUE"""),"Resolución")</f>
        <v>Resolución</v>
      </c>
      <c r="H194" s="10" t="str">
        <f ca="1">IFERROR(__xludf.DUMMYFUNCTION("""COMPUTED_VALUE"""),"BONO ASEO EXTERNALIZADO")</f>
        <v>BONO ASEO EXTERNALIZADO</v>
      </c>
      <c r="I194" s="10" t="str">
        <f ca="1">IFERROR(__xludf.DUMMYFUNCTION("""COMPUTED_VALUE"""),"Cumplir con normativa y reglamentos internos del programa en base a los objetivos.")</f>
        <v>Cumplir con normativa y reglamentos internos del programa en base a los objetivos.</v>
      </c>
      <c r="J194" s="11">
        <f ca="1">IFERROR(__xludf.DUMMYFUNCTION("""COMPUTED_VALUE"""),29009448)</f>
        <v>29009448</v>
      </c>
      <c r="K194" s="27">
        <f ca="1">IFERROR(__xludf.DUMMYFUNCTION("""COMPUTED_VALUE"""),1)</f>
        <v>1</v>
      </c>
      <c r="L194" s="28" t="str">
        <f ca="1">IFERROR(__xludf.DUMMYFUNCTION("""COMPUTED_VALUE"""),"5/2024")</f>
        <v>5/2024</v>
      </c>
      <c r="M194" s="10" t="str">
        <f ca="1">IFERROR(__xludf.DUMMYFUNCTION("""COMPUTED_VALUE"""),"Predios Exentos")</f>
        <v>Predios Exentos</v>
      </c>
      <c r="N194" s="1"/>
      <c r="O194" s="1"/>
      <c r="P194" s="1"/>
      <c r="Q194" s="1"/>
      <c r="R194" s="1"/>
      <c r="S194" s="1"/>
      <c r="T194" s="1"/>
      <c r="U194" s="1"/>
      <c r="V194" s="1"/>
      <c r="W194" s="1"/>
      <c r="X194" s="1"/>
      <c r="Y194" s="1"/>
      <c r="Z194" s="1"/>
    </row>
    <row r="195" spans="1:26" ht="12.75" customHeight="1">
      <c r="A195" s="1"/>
      <c r="B195" s="10" t="str">
        <f ca="1">IFERROR(__xludf.DUMMYFUNCTION("""COMPUTED_VALUE"""),"Bono de aseo externalizado 2024")</f>
        <v>Bono de aseo externalizado 2024</v>
      </c>
      <c r="C195" s="26" t="str">
        <f t="shared" ca="1" si="0"/>
        <v xml:space="preserve"> QUEMCHI</v>
      </c>
      <c r="D195" s="10" t="str">
        <f ca="1">IFERROR(__xludf.DUMMYFUNCTION("""COMPUTED_VALUE"""),"Resolución de Transferencia")</f>
        <v>Resolución de Transferencia</v>
      </c>
      <c r="E195" s="26" t="str">
        <f ca="1">IFERROR(__xludf.DUMMYFUNCTION("""COMPUTED_VALUE"""),"MUNICIPALIDAD DE QUEMCHI")</f>
        <v>MUNICIPALIDAD DE QUEMCHI</v>
      </c>
      <c r="F195" s="11">
        <f ca="1">IFERROR(__xludf.DUMMYFUNCTION("""COMPUTED_VALUE"""),36819684)</f>
        <v>36819684</v>
      </c>
      <c r="G195" s="10" t="str">
        <f ca="1">IFERROR(__xludf.DUMMYFUNCTION("""COMPUTED_VALUE"""),"Resolución")</f>
        <v>Resolución</v>
      </c>
      <c r="H195" s="10" t="str">
        <f ca="1">IFERROR(__xludf.DUMMYFUNCTION("""COMPUTED_VALUE"""),"BONO ASEO EXTERNALIZADO")</f>
        <v>BONO ASEO EXTERNALIZADO</v>
      </c>
      <c r="I195" s="10" t="str">
        <f ca="1">IFERROR(__xludf.DUMMYFUNCTION("""COMPUTED_VALUE"""),"Cumplir con normativa y reglamentos internos del programa en base a los objetivos.")</f>
        <v>Cumplir con normativa y reglamentos internos del programa en base a los objetivos.</v>
      </c>
      <c r="J195" s="11">
        <f ca="1">IFERROR(__xludf.DUMMYFUNCTION("""COMPUTED_VALUE"""),36819684)</f>
        <v>36819684</v>
      </c>
      <c r="K195" s="27">
        <f ca="1">IFERROR(__xludf.DUMMYFUNCTION("""COMPUTED_VALUE"""),1)</f>
        <v>1</v>
      </c>
      <c r="L195" s="28" t="str">
        <f ca="1">IFERROR(__xludf.DUMMYFUNCTION("""COMPUTED_VALUE"""),"5/2024")</f>
        <v>5/2024</v>
      </c>
      <c r="M195" s="10" t="str">
        <f ca="1">IFERROR(__xludf.DUMMYFUNCTION("""COMPUTED_VALUE"""),"Predios Exentos")</f>
        <v>Predios Exentos</v>
      </c>
      <c r="N195" s="1"/>
      <c r="O195" s="1"/>
      <c r="P195" s="1"/>
      <c r="Q195" s="1"/>
      <c r="R195" s="1"/>
      <c r="S195" s="1"/>
      <c r="T195" s="1"/>
      <c r="U195" s="1"/>
      <c r="V195" s="1"/>
      <c r="W195" s="1"/>
      <c r="X195" s="1"/>
      <c r="Y195" s="1"/>
      <c r="Z195" s="1"/>
    </row>
    <row r="196" spans="1:26" ht="12.75" customHeight="1">
      <c r="A196" s="1"/>
      <c r="B196" s="10" t="str">
        <f ca="1">IFERROR(__xludf.DUMMYFUNCTION("""COMPUTED_VALUE"""),"Bono de aseo externalizado 2024")</f>
        <v>Bono de aseo externalizado 2024</v>
      </c>
      <c r="C196" s="26" t="str">
        <f t="shared" ca="1" si="0"/>
        <v xml:space="preserve"> QUINCHAO</v>
      </c>
      <c r="D196" s="10" t="str">
        <f ca="1">IFERROR(__xludf.DUMMYFUNCTION("""COMPUTED_VALUE"""),"Resolución de Transferencia")</f>
        <v>Resolución de Transferencia</v>
      </c>
      <c r="E196" s="26" t="str">
        <f ca="1">IFERROR(__xludf.DUMMYFUNCTION("""COMPUTED_VALUE"""),"MUNICIPALIDAD DE QUINCHAO")</f>
        <v>MUNICIPALIDAD DE QUINCHAO</v>
      </c>
      <c r="F196" s="11">
        <f ca="1">IFERROR(__xludf.DUMMYFUNCTION("""COMPUTED_VALUE"""),65829132)</f>
        <v>65829132</v>
      </c>
      <c r="G196" s="10" t="str">
        <f ca="1">IFERROR(__xludf.DUMMYFUNCTION("""COMPUTED_VALUE"""),"Resolución")</f>
        <v>Resolución</v>
      </c>
      <c r="H196" s="10" t="str">
        <f ca="1">IFERROR(__xludf.DUMMYFUNCTION("""COMPUTED_VALUE"""),"BONO ASEO EXTERNALIZADO")</f>
        <v>BONO ASEO EXTERNALIZADO</v>
      </c>
      <c r="I196" s="10" t="str">
        <f ca="1">IFERROR(__xludf.DUMMYFUNCTION("""COMPUTED_VALUE"""),"Cumplir con normativa y reglamentos internos del programa en base a los objetivos.")</f>
        <v>Cumplir con normativa y reglamentos internos del programa en base a los objetivos.</v>
      </c>
      <c r="J196" s="11">
        <f ca="1">IFERROR(__xludf.DUMMYFUNCTION("""COMPUTED_VALUE"""),65829132)</f>
        <v>65829132</v>
      </c>
      <c r="K196" s="27">
        <f ca="1">IFERROR(__xludf.DUMMYFUNCTION("""COMPUTED_VALUE"""),1)</f>
        <v>1</v>
      </c>
      <c r="L196" s="28" t="str">
        <f ca="1">IFERROR(__xludf.DUMMYFUNCTION("""COMPUTED_VALUE"""),"5/2024")</f>
        <v>5/2024</v>
      </c>
      <c r="M196" s="10" t="str">
        <f ca="1">IFERROR(__xludf.DUMMYFUNCTION("""COMPUTED_VALUE"""),"Predios Exentos")</f>
        <v>Predios Exentos</v>
      </c>
      <c r="N196" s="1"/>
      <c r="O196" s="1"/>
      <c r="P196" s="1"/>
      <c r="Q196" s="1"/>
      <c r="R196" s="1"/>
      <c r="S196" s="1"/>
      <c r="T196" s="1"/>
      <c r="U196" s="1"/>
      <c r="V196" s="1"/>
      <c r="W196" s="1"/>
      <c r="X196" s="1"/>
      <c r="Y196" s="1"/>
      <c r="Z196" s="1"/>
    </row>
    <row r="197" spans="1:26" ht="12.75" customHeight="1">
      <c r="A197" s="1"/>
      <c r="B197" s="10" t="str">
        <f ca="1">IFERROR(__xludf.DUMMYFUNCTION("""COMPUTED_VALUE"""),"Bono de aseo externalizado 2024")</f>
        <v>Bono de aseo externalizado 2024</v>
      </c>
      <c r="C197" s="26" t="str">
        <f t="shared" ca="1" si="0"/>
        <v xml:space="preserve"> OSORNO</v>
      </c>
      <c r="D197" s="10" t="str">
        <f ca="1">IFERROR(__xludf.DUMMYFUNCTION("""COMPUTED_VALUE"""),"Resolución de Transferencia")</f>
        <v>Resolución de Transferencia</v>
      </c>
      <c r="E197" s="26" t="str">
        <f ca="1">IFERROR(__xludf.DUMMYFUNCTION("""COMPUTED_VALUE"""),"MUNICIPALIDAD DE OSORNO")</f>
        <v>MUNICIPALIDAD DE OSORNO</v>
      </c>
      <c r="F197" s="11">
        <f ca="1">IFERROR(__xludf.DUMMYFUNCTION("""COMPUTED_VALUE"""),283399992)</f>
        <v>283399992</v>
      </c>
      <c r="G197" s="10" t="str">
        <f ca="1">IFERROR(__xludf.DUMMYFUNCTION("""COMPUTED_VALUE"""),"Resolución")</f>
        <v>Resolución</v>
      </c>
      <c r="H197" s="10" t="str">
        <f ca="1">IFERROR(__xludf.DUMMYFUNCTION("""COMPUTED_VALUE"""),"BONO ASEO EXTERNALIZADO")</f>
        <v>BONO ASEO EXTERNALIZADO</v>
      </c>
      <c r="I197" s="10" t="str">
        <f ca="1">IFERROR(__xludf.DUMMYFUNCTION("""COMPUTED_VALUE"""),"Cumplir con normativa y reglamentos internos del programa en base a los objetivos.")</f>
        <v>Cumplir con normativa y reglamentos internos del programa en base a los objetivos.</v>
      </c>
      <c r="J197" s="11">
        <f ca="1">IFERROR(__xludf.DUMMYFUNCTION("""COMPUTED_VALUE"""),283399992)</f>
        <v>283399992</v>
      </c>
      <c r="K197" s="27">
        <f ca="1">IFERROR(__xludf.DUMMYFUNCTION("""COMPUTED_VALUE"""),1)</f>
        <v>1</v>
      </c>
      <c r="L197" s="28" t="str">
        <f ca="1">IFERROR(__xludf.DUMMYFUNCTION("""COMPUTED_VALUE"""),"5/2024")</f>
        <v>5/2024</v>
      </c>
      <c r="M197" s="10" t="str">
        <f ca="1">IFERROR(__xludf.DUMMYFUNCTION("""COMPUTED_VALUE"""),"Predios Exentos")</f>
        <v>Predios Exentos</v>
      </c>
      <c r="N197" s="1"/>
      <c r="O197" s="1"/>
      <c r="P197" s="1"/>
      <c r="Q197" s="1"/>
      <c r="R197" s="1"/>
      <c r="S197" s="1"/>
      <c r="T197" s="1"/>
      <c r="U197" s="1"/>
      <c r="V197" s="1"/>
      <c r="W197" s="1"/>
      <c r="X197" s="1"/>
      <c r="Y197" s="1"/>
      <c r="Z197" s="1"/>
    </row>
    <row r="198" spans="1:26" ht="12.75" customHeight="1">
      <c r="A198" s="1"/>
      <c r="B198" s="10" t="str">
        <f ca="1">IFERROR(__xludf.DUMMYFUNCTION("""COMPUTED_VALUE"""),"Bono de aseo externalizado 2024")</f>
        <v>Bono de aseo externalizado 2024</v>
      </c>
      <c r="C198" s="26" t="str">
        <f t="shared" ca="1" si="0"/>
        <v xml:space="preserve"> PUERTO OCTAY</v>
      </c>
      <c r="D198" s="10" t="str">
        <f ca="1">IFERROR(__xludf.DUMMYFUNCTION("""COMPUTED_VALUE"""),"Resolución de Transferencia")</f>
        <v>Resolución de Transferencia</v>
      </c>
      <c r="E198" s="26" t="str">
        <f ca="1">IFERROR(__xludf.DUMMYFUNCTION("""COMPUTED_VALUE"""),"MUNICIPALIDAD DE PUERTO OCTAY")</f>
        <v>MUNICIPALIDAD DE PUERTO OCTAY</v>
      </c>
      <c r="F198" s="11">
        <f ca="1">IFERROR(__xludf.DUMMYFUNCTION("""COMPUTED_VALUE"""),26777952)</f>
        <v>26777952</v>
      </c>
      <c r="G198" s="10" t="str">
        <f ca="1">IFERROR(__xludf.DUMMYFUNCTION("""COMPUTED_VALUE"""),"Resolución")</f>
        <v>Resolución</v>
      </c>
      <c r="H198" s="10" t="str">
        <f ca="1">IFERROR(__xludf.DUMMYFUNCTION("""COMPUTED_VALUE"""),"BONO ASEO EXTERNALIZADO")</f>
        <v>BONO ASEO EXTERNALIZADO</v>
      </c>
      <c r="I198" s="10" t="str">
        <f ca="1">IFERROR(__xludf.DUMMYFUNCTION("""COMPUTED_VALUE"""),"Cumplir con normativa y reglamentos internos del programa en base a los objetivos.")</f>
        <v>Cumplir con normativa y reglamentos internos del programa en base a los objetivos.</v>
      </c>
      <c r="J198" s="11">
        <f ca="1">IFERROR(__xludf.DUMMYFUNCTION("""COMPUTED_VALUE"""),26777952)</f>
        <v>26777952</v>
      </c>
      <c r="K198" s="27">
        <f ca="1">IFERROR(__xludf.DUMMYFUNCTION("""COMPUTED_VALUE"""),1)</f>
        <v>1</v>
      </c>
      <c r="L198" s="28" t="str">
        <f ca="1">IFERROR(__xludf.DUMMYFUNCTION("""COMPUTED_VALUE"""),"5/2024")</f>
        <v>5/2024</v>
      </c>
      <c r="M198" s="10" t="str">
        <f ca="1">IFERROR(__xludf.DUMMYFUNCTION("""COMPUTED_VALUE"""),"Predios Exentos")</f>
        <v>Predios Exentos</v>
      </c>
      <c r="N198" s="1"/>
      <c r="O198" s="1"/>
      <c r="P198" s="1"/>
      <c r="Q198" s="1"/>
      <c r="R198" s="1"/>
      <c r="S198" s="1"/>
      <c r="T198" s="1"/>
      <c r="U198" s="1"/>
      <c r="V198" s="1"/>
      <c r="W198" s="1"/>
      <c r="X198" s="1"/>
      <c r="Y198" s="1"/>
      <c r="Z198" s="1"/>
    </row>
    <row r="199" spans="1:26" ht="12.75" customHeight="1">
      <c r="A199" s="1"/>
      <c r="B199" s="10" t="str">
        <f ca="1">IFERROR(__xludf.DUMMYFUNCTION("""COMPUTED_VALUE"""),"Bono de aseo externalizado 2024")</f>
        <v>Bono de aseo externalizado 2024</v>
      </c>
      <c r="C199" s="26" t="str">
        <f t="shared" ca="1" si="0"/>
        <v xml:space="preserve"> PURRANQUE</v>
      </c>
      <c r="D199" s="10" t="str">
        <f ca="1">IFERROR(__xludf.DUMMYFUNCTION("""COMPUTED_VALUE"""),"Resolución de Transferencia")</f>
        <v>Resolución de Transferencia</v>
      </c>
      <c r="E199" s="26" t="str">
        <f ca="1">IFERROR(__xludf.DUMMYFUNCTION("""COMPUTED_VALUE"""),"MUNICIPALIDAD DE PURRANQUE")</f>
        <v>MUNICIPALIDAD DE PURRANQUE</v>
      </c>
      <c r="F199" s="11">
        <f ca="1">IFERROR(__xludf.DUMMYFUNCTION("""COMPUTED_VALUE"""),36819684)</f>
        <v>36819684</v>
      </c>
      <c r="G199" s="10" t="str">
        <f ca="1">IFERROR(__xludf.DUMMYFUNCTION("""COMPUTED_VALUE"""),"Resolución")</f>
        <v>Resolución</v>
      </c>
      <c r="H199" s="10" t="str">
        <f ca="1">IFERROR(__xludf.DUMMYFUNCTION("""COMPUTED_VALUE"""),"BONO ASEO EXTERNALIZADO")</f>
        <v>BONO ASEO EXTERNALIZADO</v>
      </c>
      <c r="I199" s="10" t="str">
        <f ca="1">IFERROR(__xludf.DUMMYFUNCTION("""COMPUTED_VALUE"""),"Cumplir con normativa y reglamentos internos del programa en base a los objetivos.")</f>
        <v>Cumplir con normativa y reglamentos internos del programa en base a los objetivos.</v>
      </c>
      <c r="J199" s="11">
        <f ca="1">IFERROR(__xludf.DUMMYFUNCTION("""COMPUTED_VALUE"""),36819684)</f>
        <v>36819684</v>
      </c>
      <c r="K199" s="27">
        <f ca="1">IFERROR(__xludf.DUMMYFUNCTION("""COMPUTED_VALUE"""),1)</f>
        <v>1</v>
      </c>
      <c r="L199" s="28" t="str">
        <f ca="1">IFERROR(__xludf.DUMMYFUNCTION("""COMPUTED_VALUE"""),"5/2024")</f>
        <v>5/2024</v>
      </c>
      <c r="M199" s="10" t="str">
        <f ca="1">IFERROR(__xludf.DUMMYFUNCTION("""COMPUTED_VALUE"""),"Predios Exentos")</f>
        <v>Predios Exentos</v>
      </c>
      <c r="N199" s="1"/>
      <c r="O199" s="1"/>
      <c r="P199" s="1"/>
      <c r="Q199" s="1"/>
      <c r="R199" s="1"/>
      <c r="S199" s="1"/>
      <c r="T199" s="1"/>
      <c r="U199" s="1"/>
      <c r="V199" s="1"/>
      <c r="W199" s="1"/>
      <c r="X199" s="1"/>
      <c r="Y199" s="1"/>
      <c r="Z199" s="1"/>
    </row>
    <row r="200" spans="1:26" ht="12.75" customHeight="1">
      <c r="A200" s="1"/>
      <c r="B200" s="10" t="str">
        <f ca="1">IFERROR(__xludf.DUMMYFUNCTION("""COMPUTED_VALUE"""),"Bono de aseo externalizado 2024")</f>
        <v>Bono de aseo externalizado 2024</v>
      </c>
      <c r="C200" s="26" t="str">
        <f t="shared" ca="1" si="0"/>
        <v xml:space="preserve"> PUYEHUE</v>
      </c>
      <c r="D200" s="10" t="str">
        <f ca="1">IFERROR(__xludf.DUMMYFUNCTION("""COMPUTED_VALUE"""),"Resolución de Transferencia")</f>
        <v>Resolución de Transferencia</v>
      </c>
      <c r="E200" s="26" t="str">
        <f ca="1">IFERROR(__xludf.DUMMYFUNCTION("""COMPUTED_VALUE"""),"MUNICIPALIDAD DE PUYEHUE")</f>
        <v>MUNICIPALIDAD DE PUYEHUE</v>
      </c>
      <c r="F200" s="11">
        <f ca="1">IFERROR(__xludf.DUMMYFUNCTION("""COMPUTED_VALUE"""),23430708)</f>
        <v>23430708</v>
      </c>
      <c r="G200" s="10" t="str">
        <f ca="1">IFERROR(__xludf.DUMMYFUNCTION("""COMPUTED_VALUE"""),"Resolución")</f>
        <v>Resolución</v>
      </c>
      <c r="H200" s="10" t="str">
        <f ca="1">IFERROR(__xludf.DUMMYFUNCTION("""COMPUTED_VALUE"""),"BONO ASEO EXTERNALIZADO")</f>
        <v>BONO ASEO EXTERNALIZADO</v>
      </c>
      <c r="I200" s="10" t="str">
        <f ca="1">IFERROR(__xludf.DUMMYFUNCTION("""COMPUTED_VALUE"""),"Cumplir con normativa y reglamentos internos del programa en base a los objetivos.")</f>
        <v>Cumplir con normativa y reglamentos internos del programa en base a los objetivos.</v>
      </c>
      <c r="J200" s="11">
        <f ca="1">IFERROR(__xludf.DUMMYFUNCTION("""COMPUTED_VALUE"""),23430708)</f>
        <v>23430708</v>
      </c>
      <c r="K200" s="27">
        <f ca="1">IFERROR(__xludf.DUMMYFUNCTION("""COMPUTED_VALUE"""),1)</f>
        <v>1</v>
      </c>
      <c r="L200" s="28" t="str">
        <f ca="1">IFERROR(__xludf.DUMMYFUNCTION("""COMPUTED_VALUE"""),"5/2024")</f>
        <v>5/2024</v>
      </c>
      <c r="M200" s="10" t="str">
        <f ca="1">IFERROR(__xludf.DUMMYFUNCTION("""COMPUTED_VALUE"""),"Predios Exentos")</f>
        <v>Predios Exentos</v>
      </c>
      <c r="N200" s="1"/>
      <c r="O200" s="1"/>
      <c r="P200" s="1"/>
      <c r="Q200" s="1"/>
      <c r="R200" s="1"/>
      <c r="S200" s="1"/>
      <c r="T200" s="1"/>
      <c r="U200" s="1"/>
      <c r="V200" s="1"/>
      <c r="W200" s="1"/>
      <c r="X200" s="1"/>
      <c r="Y200" s="1"/>
      <c r="Z200" s="1"/>
    </row>
    <row r="201" spans="1:26" ht="12.75" customHeight="1">
      <c r="A201" s="1"/>
      <c r="B201" s="10" t="str">
        <f ca="1">IFERROR(__xludf.DUMMYFUNCTION("""COMPUTED_VALUE"""),"Bono de aseo externalizado 2024")</f>
        <v>Bono de aseo externalizado 2024</v>
      </c>
      <c r="C201" s="26" t="str">
        <f t="shared" ca="1" si="0"/>
        <v xml:space="preserve"> RÍO NEGRO</v>
      </c>
      <c r="D201" s="10" t="str">
        <f ca="1">IFERROR(__xludf.DUMMYFUNCTION("""COMPUTED_VALUE"""),"Resolución de Transferencia")</f>
        <v>Resolución de Transferencia</v>
      </c>
      <c r="E201" s="26" t="str">
        <f ca="1">IFERROR(__xludf.DUMMYFUNCTION("""COMPUTED_VALUE"""),"MUNICIPALIDAD DE RÍO NEGRO")</f>
        <v>MUNICIPALIDAD DE RÍO NEGRO</v>
      </c>
      <c r="F201" s="11">
        <f ca="1">IFERROR(__xludf.DUMMYFUNCTION("""COMPUTED_VALUE"""),39051180)</f>
        <v>39051180</v>
      </c>
      <c r="G201" s="10" t="str">
        <f ca="1">IFERROR(__xludf.DUMMYFUNCTION("""COMPUTED_VALUE"""),"Resolución")</f>
        <v>Resolución</v>
      </c>
      <c r="H201" s="10" t="str">
        <f ca="1">IFERROR(__xludf.DUMMYFUNCTION("""COMPUTED_VALUE"""),"BONO ASEO EXTERNALIZADO")</f>
        <v>BONO ASEO EXTERNALIZADO</v>
      </c>
      <c r="I201" s="10" t="str">
        <f ca="1">IFERROR(__xludf.DUMMYFUNCTION("""COMPUTED_VALUE"""),"Cumplir con normativa y reglamentos internos del programa en base a los objetivos.")</f>
        <v>Cumplir con normativa y reglamentos internos del programa en base a los objetivos.</v>
      </c>
      <c r="J201" s="11">
        <f ca="1">IFERROR(__xludf.DUMMYFUNCTION("""COMPUTED_VALUE"""),39051180)</f>
        <v>39051180</v>
      </c>
      <c r="K201" s="27">
        <f ca="1">IFERROR(__xludf.DUMMYFUNCTION("""COMPUTED_VALUE"""),1)</f>
        <v>1</v>
      </c>
      <c r="L201" s="28" t="str">
        <f ca="1">IFERROR(__xludf.DUMMYFUNCTION("""COMPUTED_VALUE"""),"5/2024")</f>
        <v>5/2024</v>
      </c>
      <c r="M201" s="10" t="str">
        <f ca="1">IFERROR(__xludf.DUMMYFUNCTION("""COMPUTED_VALUE"""),"Predios Exentos")</f>
        <v>Predios Exentos</v>
      </c>
      <c r="N201" s="1"/>
      <c r="O201" s="1"/>
      <c r="P201" s="1"/>
      <c r="Q201" s="1"/>
      <c r="R201" s="1"/>
      <c r="S201" s="1"/>
      <c r="T201" s="1"/>
      <c r="U201" s="1"/>
      <c r="V201" s="1"/>
      <c r="W201" s="1"/>
      <c r="X201" s="1"/>
      <c r="Y201" s="1"/>
      <c r="Z201" s="1"/>
    </row>
    <row r="202" spans="1:26" ht="12.75" customHeight="1">
      <c r="A202" s="1"/>
      <c r="B202" s="10" t="str">
        <f ca="1">IFERROR(__xludf.DUMMYFUNCTION("""COMPUTED_VALUE"""),"Bono de aseo externalizado 2024")</f>
        <v>Bono de aseo externalizado 2024</v>
      </c>
      <c r="C202" s="26" t="str">
        <f t="shared" ca="1" si="0"/>
        <v xml:space="preserve"> SAN PABLO</v>
      </c>
      <c r="D202" s="10" t="str">
        <f ca="1">IFERROR(__xludf.DUMMYFUNCTION("""COMPUTED_VALUE"""),"Resolución de Transferencia")</f>
        <v>Resolución de Transferencia</v>
      </c>
      <c r="E202" s="26" t="str">
        <f ca="1">IFERROR(__xludf.DUMMYFUNCTION("""COMPUTED_VALUE"""),"MUNICIPALIDAD DE SAN PABLO")</f>
        <v>MUNICIPALIDAD DE SAN PABLO</v>
      </c>
      <c r="F202" s="11">
        <f ca="1">IFERROR(__xludf.DUMMYFUNCTION("""COMPUTED_VALUE"""),18967716)</f>
        <v>18967716</v>
      </c>
      <c r="G202" s="10" t="str">
        <f ca="1">IFERROR(__xludf.DUMMYFUNCTION("""COMPUTED_VALUE"""),"Resolución")</f>
        <v>Resolución</v>
      </c>
      <c r="H202" s="10" t="str">
        <f ca="1">IFERROR(__xludf.DUMMYFUNCTION("""COMPUTED_VALUE"""),"BONO ASEO EXTERNALIZADO")</f>
        <v>BONO ASEO EXTERNALIZADO</v>
      </c>
      <c r="I202" s="10" t="str">
        <f ca="1">IFERROR(__xludf.DUMMYFUNCTION("""COMPUTED_VALUE"""),"Cumplir con normativa y reglamentos internos del programa en base a los objetivos.")</f>
        <v>Cumplir con normativa y reglamentos internos del programa en base a los objetivos.</v>
      </c>
      <c r="J202" s="11">
        <f ca="1">IFERROR(__xludf.DUMMYFUNCTION("""COMPUTED_VALUE"""),18967716)</f>
        <v>18967716</v>
      </c>
      <c r="K202" s="27">
        <f ca="1">IFERROR(__xludf.DUMMYFUNCTION("""COMPUTED_VALUE"""),1)</f>
        <v>1</v>
      </c>
      <c r="L202" s="28" t="str">
        <f ca="1">IFERROR(__xludf.DUMMYFUNCTION("""COMPUTED_VALUE"""),"5/2024")</f>
        <v>5/2024</v>
      </c>
      <c r="M202" s="10" t="str">
        <f ca="1">IFERROR(__xludf.DUMMYFUNCTION("""COMPUTED_VALUE"""),"Predios Exentos")</f>
        <v>Predios Exentos</v>
      </c>
      <c r="N202" s="1"/>
      <c r="O202" s="1"/>
      <c r="P202" s="1"/>
      <c r="Q202" s="1"/>
      <c r="R202" s="1"/>
      <c r="S202" s="1"/>
      <c r="T202" s="1"/>
      <c r="U202" s="1"/>
      <c r="V202" s="1"/>
      <c r="W202" s="1"/>
      <c r="X202" s="1"/>
      <c r="Y202" s="1"/>
      <c r="Z202" s="1"/>
    </row>
    <row r="203" spans="1:26" ht="12.75" customHeight="1">
      <c r="A203" s="1"/>
      <c r="B203" s="10" t="str">
        <f ca="1">IFERROR(__xludf.DUMMYFUNCTION("""COMPUTED_VALUE"""),"Bono de aseo externalizado 2024")</f>
        <v>Bono de aseo externalizado 2024</v>
      </c>
      <c r="C203" s="26" t="str">
        <f t="shared" ca="1" si="0"/>
        <v xml:space="preserve"> COYHAIQUE</v>
      </c>
      <c r="D203" s="10" t="str">
        <f ca="1">IFERROR(__xludf.DUMMYFUNCTION("""COMPUTED_VALUE"""),"Resolución de Transferencia")</f>
        <v>Resolución de Transferencia</v>
      </c>
      <c r="E203" s="26" t="str">
        <f ca="1">IFERROR(__xludf.DUMMYFUNCTION("""COMPUTED_VALUE"""),"MUNICIPALIDAD DE COYHAIQUE")</f>
        <v>MUNICIPALIDAD DE COYHAIQUE</v>
      </c>
      <c r="F203" s="11">
        <f ca="1">IFERROR(__xludf.DUMMYFUNCTION("""COMPUTED_VALUE"""),126079524)</f>
        <v>126079524</v>
      </c>
      <c r="G203" s="10" t="str">
        <f ca="1">IFERROR(__xludf.DUMMYFUNCTION("""COMPUTED_VALUE"""),"Resolución")</f>
        <v>Resolución</v>
      </c>
      <c r="H203" s="10" t="str">
        <f ca="1">IFERROR(__xludf.DUMMYFUNCTION("""COMPUTED_VALUE"""),"BONO ASEO EXTERNALIZADO")</f>
        <v>BONO ASEO EXTERNALIZADO</v>
      </c>
      <c r="I203" s="10" t="str">
        <f ca="1">IFERROR(__xludf.DUMMYFUNCTION("""COMPUTED_VALUE"""),"Cumplir con normativa y reglamentos internos del programa en base a los objetivos.")</f>
        <v>Cumplir con normativa y reglamentos internos del programa en base a los objetivos.</v>
      </c>
      <c r="J203" s="11">
        <f ca="1">IFERROR(__xludf.DUMMYFUNCTION("""COMPUTED_VALUE"""),126079524)</f>
        <v>126079524</v>
      </c>
      <c r="K203" s="27">
        <f ca="1">IFERROR(__xludf.DUMMYFUNCTION("""COMPUTED_VALUE"""),1)</f>
        <v>1</v>
      </c>
      <c r="L203" s="28" t="str">
        <f ca="1">IFERROR(__xludf.DUMMYFUNCTION("""COMPUTED_VALUE"""),"5/2024")</f>
        <v>5/2024</v>
      </c>
      <c r="M203" s="10" t="str">
        <f ca="1">IFERROR(__xludf.DUMMYFUNCTION("""COMPUTED_VALUE"""),"Predios Exentos")</f>
        <v>Predios Exentos</v>
      </c>
      <c r="N203" s="1"/>
      <c r="O203" s="1"/>
      <c r="P203" s="1"/>
      <c r="Q203" s="1"/>
      <c r="R203" s="1"/>
      <c r="S203" s="1"/>
      <c r="T203" s="1"/>
      <c r="U203" s="1"/>
      <c r="V203" s="1"/>
      <c r="W203" s="1"/>
      <c r="X203" s="1"/>
      <c r="Y203" s="1"/>
      <c r="Z203" s="1"/>
    </row>
    <row r="204" spans="1:26" ht="12.75" customHeight="1">
      <c r="A204" s="1"/>
      <c r="B204" s="10" t="str">
        <f ca="1">IFERROR(__xludf.DUMMYFUNCTION("""COMPUTED_VALUE"""),"Bono de aseo externalizado 2024")</f>
        <v>Bono de aseo externalizado 2024</v>
      </c>
      <c r="C204" s="26" t="str">
        <f t="shared" ca="1" si="0"/>
        <v xml:space="preserve"> AYSÉN</v>
      </c>
      <c r="D204" s="10" t="str">
        <f ca="1">IFERROR(__xludf.DUMMYFUNCTION("""COMPUTED_VALUE"""),"Resolución de Transferencia")</f>
        <v>Resolución de Transferencia</v>
      </c>
      <c r="E204" s="26" t="str">
        <f ca="1">IFERROR(__xludf.DUMMYFUNCTION("""COMPUTED_VALUE"""),"MUNICIPALIDAD DE AYSÉN")</f>
        <v>MUNICIPALIDAD DE AYSÉN</v>
      </c>
      <c r="F204" s="11">
        <f ca="1">IFERROR(__xludf.DUMMYFUNCTION("""COMPUTED_VALUE"""),26777952)</f>
        <v>26777952</v>
      </c>
      <c r="G204" s="10" t="str">
        <f ca="1">IFERROR(__xludf.DUMMYFUNCTION("""COMPUTED_VALUE"""),"Resolución")</f>
        <v>Resolución</v>
      </c>
      <c r="H204" s="10" t="str">
        <f ca="1">IFERROR(__xludf.DUMMYFUNCTION("""COMPUTED_VALUE"""),"BONO ASEO EXTERNALIZADO")</f>
        <v>BONO ASEO EXTERNALIZADO</v>
      </c>
      <c r="I204" s="10" t="str">
        <f ca="1">IFERROR(__xludf.DUMMYFUNCTION("""COMPUTED_VALUE"""),"Cumplir con normativa y reglamentos internos del programa en base a los objetivos.")</f>
        <v>Cumplir con normativa y reglamentos internos del programa en base a los objetivos.</v>
      </c>
      <c r="J204" s="11">
        <f ca="1">IFERROR(__xludf.DUMMYFUNCTION("""COMPUTED_VALUE"""),26777952)</f>
        <v>26777952</v>
      </c>
      <c r="K204" s="27">
        <f ca="1">IFERROR(__xludf.DUMMYFUNCTION("""COMPUTED_VALUE"""),1)</f>
        <v>1</v>
      </c>
      <c r="L204" s="28" t="str">
        <f ca="1">IFERROR(__xludf.DUMMYFUNCTION("""COMPUTED_VALUE"""),"5/2024")</f>
        <v>5/2024</v>
      </c>
      <c r="M204" s="10" t="str">
        <f ca="1">IFERROR(__xludf.DUMMYFUNCTION("""COMPUTED_VALUE"""),"Predios Exentos")</f>
        <v>Predios Exentos</v>
      </c>
      <c r="N204" s="1"/>
      <c r="O204" s="1"/>
      <c r="P204" s="1"/>
      <c r="Q204" s="1"/>
      <c r="R204" s="1"/>
      <c r="S204" s="1"/>
      <c r="T204" s="1"/>
      <c r="U204" s="1"/>
      <c r="V204" s="1"/>
      <c r="W204" s="1"/>
      <c r="X204" s="1"/>
      <c r="Y204" s="1"/>
      <c r="Z204" s="1"/>
    </row>
    <row r="205" spans="1:26" ht="12.75" customHeight="1">
      <c r="A205" s="1"/>
      <c r="B205" s="10" t="str">
        <f ca="1">IFERROR(__xludf.DUMMYFUNCTION("""COMPUTED_VALUE"""),"Bono de aseo externalizado 2024")</f>
        <v>Bono de aseo externalizado 2024</v>
      </c>
      <c r="C205" s="26" t="str">
        <f t="shared" ca="1" si="0"/>
        <v xml:space="preserve"> CISNES</v>
      </c>
      <c r="D205" s="10" t="str">
        <f ca="1">IFERROR(__xludf.DUMMYFUNCTION("""COMPUTED_VALUE"""),"Resolución de Transferencia")</f>
        <v>Resolución de Transferencia</v>
      </c>
      <c r="E205" s="26" t="str">
        <f ca="1">IFERROR(__xludf.DUMMYFUNCTION("""COMPUTED_VALUE"""),"MUNICIPALIDAD DE CISNES")</f>
        <v>MUNICIPALIDAD DE CISNES</v>
      </c>
      <c r="F205" s="11">
        <f ca="1">IFERROR(__xludf.DUMMYFUNCTION("""COMPUTED_VALUE"""),3347244)</f>
        <v>3347244</v>
      </c>
      <c r="G205" s="10" t="str">
        <f ca="1">IFERROR(__xludf.DUMMYFUNCTION("""COMPUTED_VALUE"""),"Resolución")</f>
        <v>Resolución</v>
      </c>
      <c r="H205" s="10" t="str">
        <f ca="1">IFERROR(__xludf.DUMMYFUNCTION("""COMPUTED_VALUE"""),"BONO ASEO EXTERNALIZADO")</f>
        <v>BONO ASEO EXTERNALIZADO</v>
      </c>
      <c r="I205" s="10" t="str">
        <f ca="1">IFERROR(__xludf.DUMMYFUNCTION("""COMPUTED_VALUE"""),"Cumplir con normativa y reglamentos internos del programa en base a los objetivos.")</f>
        <v>Cumplir con normativa y reglamentos internos del programa en base a los objetivos.</v>
      </c>
      <c r="J205" s="11">
        <f ca="1">IFERROR(__xludf.DUMMYFUNCTION("""COMPUTED_VALUE"""),3347244)</f>
        <v>3347244</v>
      </c>
      <c r="K205" s="27">
        <f ca="1">IFERROR(__xludf.DUMMYFUNCTION("""COMPUTED_VALUE"""),1)</f>
        <v>1</v>
      </c>
      <c r="L205" s="28" t="str">
        <f ca="1">IFERROR(__xludf.DUMMYFUNCTION("""COMPUTED_VALUE"""),"5/2024")</f>
        <v>5/2024</v>
      </c>
      <c r="M205" s="10" t="str">
        <f ca="1">IFERROR(__xludf.DUMMYFUNCTION("""COMPUTED_VALUE"""),"Predios Exentos")</f>
        <v>Predios Exentos</v>
      </c>
      <c r="N205" s="1"/>
      <c r="O205" s="1"/>
      <c r="P205" s="1"/>
      <c r="Q205" s="1"/>
      <c r="R205" s="1"/>
      <c r="S205" s="1"/>
      <c r="T205" s="1"/>
      <c r="U205" s="1"/>
      <c r="V205" s="1"/>
      <c r="W205" s="1"/>
      <c r="X205" s="1"/>
      <c r="Y205" s="1"/>
      <c r="Z205" s="1"/>
    </row>
    <row r="206" spans="1:26" ht="12.75" customHeight="1">
      <c r="A206" s="1"/>
      <c r="B206" s="10" t="str">
        <f ca="1">IFERROR(__xludf.DUMMYFUNCTION("""COMPUTED_VALUE"""),"Bono de aseo externalizado 2024")</f>
        <v>Bono de aseo externalizado 2024</v>
      </c>
      <c r="C206" s="26" t="str">
        <f t="shared" ca="1" si="0"/>
        <v xml:space="preserve"> RÍO IBÁÑEZ</v>
      </c>
      <c r="D206" s="10" t="str">
        <f ca="1">IFERROR(__xludf.DUMMYFUNCTION("""COMPUTED_VALUE"""),"Resolución de Transferencia")</f>
        <v>Resolución de Transferencia</v>
      </c>
      <c r="E206" s="26" t="str">
        <f ca="1">IFERROR(__xludf.DUMMYFUNCTION("""COMPUTED_VALUE"""),"MUNICIPALIDAD DE RÍO IBÁÑEZ")</f>
        <v>MUNICIPALIDAD DE RÍO IBÁÑEZ</v>
      </c>
      <c r="F206" s="11">
        <f ca="1">IFERROR(__xludf.DUMMYFUNCTION("""COMPUTED_VALUE"""),10041732)</f>
        <v>10041732</v>
      </c>
      <c r="G206" s="10" t="str">
        <f ca="1">IFERROR(__xludf.DUMMYFUNCTION("""COMPUTED_VALUE"""),"Resolución")</f>
        <v>Resolución</v>
      </c>
      <c r="H206" s="10" t="str">
        <f ca="1">IFERROR(__xludf.DUMMYFUNCTION("""COMPUTED_VALUE"""),"BONO ASEO EXTERNALIZADO")</f>
        <v>BONO ASEO EXTERNALIZADO</v>
      </c>
      <c r="I206" s="10" t="str">
        <f ca="1">IFERROR(__xludf.DUMMYFUNCTION("""COMPUTED_VALUE"""),"Cumplir con normativa y reglamentos internos del programa en base a los objetivos.")</f>
        <v>Cumplir con normativa y reglamentos internos del programa en base a los objetivos.</v>
      </c>
      <c r="J206" s="11">
        <f ca="1">IFERROR(__xludf.DUMMYFUNCTION("""COMPUTED_VALUE"""),10041732)</f>
        <v>10041732</v>
      </c>
      <c r="K206" s="27">
        <f ca="1">IFERROR(__xludf.DUMMYFUNCTION("""COMPUTED_VALUE"""),1)</f>
        <v>1</v>
      </c>
      <c r="L206" s="28" t="str">
        <f ca="1">IFERROR(__xludf.DUMMYFUNCTION("""COMPUTED_VALUE"""),"5/2024")</f>
        <v>5/2024</v>
      </c>
      <c r="M206" s="10" t="str">
        <f ca="1">IFERROR(__xludf.DUMMYFUNCTION("""COMPUTED_VALUE"""),"Predios Exentos")</f>
        <v>Predios Exentos</v>
      </c>
      <c r="N206" s="1"/>
      <c r="O206" s="1"/>
      <c r="P206" s="1"/>
      <c r="Q206" s="1"/>
      <c r="R206" s="1"/>
      <c r="S206" s="1"/>
      <c r="T206" s="1"/>
      <c r="U206" s="1"/>
      <c r="V206" s="1"/>
      <c r="W206" s="1"/>
      <c r="X206" s="1"/>
      <c r="Y206" s="1"/>
      <c r="Z206" s="1"/>
    </row>
    <row r="207" spans="1:26" ht="12.75" customHeight="1">
      <c r="A207" s="1"/>
      <c r="B207" s="10" t="str">
        <f ca="1">IFERROR(__xludf.DUMMYFUNCTION("""COMPUTED_VALUE"""),"Bono de aseo externalizado 2024")</f>
        <v>Bono de aseo externalizado 2024</v>
      </c>
      <c r="C207" s="26" t="str">
        <f t="shared" ca="1" si="0"/>
        <v xml:space="preserve"> PUNTA ARENAS</v>
      </c>
      <c r="D207" s="10" t="str">
        <f ca="1">IFERROR(__xludf.DUMMYFUNCTION("""COMPUTED_VALUE"""),"Resolución de Transferencia")</f>
        <v>Resolución de Transferencia</v>
      </c>
      <c r="E207" s="26" t="str">
        <f ca="1">IFERROR(__xludf.DUMMYFUNCTION("""COMPUTED_VALUE"""),"MUNICIPALIDAD DE PUNTA ARENAS")</f>
        <v>MUNICIPALIDAD DE PUNTA ARENAS</v>
      </c>
      <c r="F207" s="11">
        <f ca="1">IFERROR(__xludf.DUMMYFUNCTION("""COMPUTED_VALUE"""),126079524)</f>
        <v>126079524</v>
      </c>
      <c r="G207" s="10" t="str">
        <f ca="1">IFERROR(__xludf.DUMMYFUNCTION("""COMPUTED_VALUE"""),"Resolución")</f>
        <v>Resolución</v>
      </c>
      <c r="H207" s="10" t="str">
        <f ca="1">IFERROR(__xludf.DUMMYFUNCTION("""COMPUTED_VALUE"""),"BONO ASEO EXTERNALIZADO")</f>
        <v>BONO ASEO EXTERNALIZADO</v>
      </c>
      <c r="I207" s="10" t="str">
        <f ca="1">IFERROR(__xludf.DUMMYFUNCTION("""COMPUTED_VALUE"""),"Cumplir con normativa y reglamentos internos del programa en base a los objetivos.")</f>
        <v>Cumplir con normativa y reglamentos internos del programa en base a los objetivos.</v>
      </c>
      <c r="J207" s="11">
        <f ca="1">IFERROR(__xludf.DUMMYFUNCTION("""COMPUTED_VALUE"""),126079524)</f>
        <v>126079524</v>
      </c>
      <c r="K207" s="27">
        <f ca="1">IFERROR(__xludf.DUMMYFUNCTION("""COMPUTED_VALUE"""),1)</f>
        <v>1</v>
      </c>
      <c r="L207" s="28" t="str">
        <f ca="1">IFERROR(__xludf.DUMMYFUNCTION("""COMPUTED_VALUE"""),"5/2024")</f>
        <v>5/2024</v>
      </c>
      <c r="M207" s="10" t="str">
        <f ca="1">IFERROR(__xludf.DUMMYFUNCTION("""COMPUTED_VALUE"""),"Predios Exentos")</f>
        <v>Predios Exentos</v>
      </c>
      <c r="N207" s="1"/>
      <c r="O207" s="1"/>
      <c r="P207" s="1"/>
      <c r="Q207" s="1"/>
      <c r="R207" s="1"/>
      <c r="S207" s="1"/>
      <c r="T207" s="1"/>
      <c r="U207" s="1"/>
      <c r="V207" s="1"/>
      <c r="W207" s="1"/>
      <c r="X207" s="1"/>
      <c r="Y207" s="1"/>
      <c r="Z207" s="1"/>
    </row>
    <row r="208" spans="1:26" ht="12.75" customHeight="1">
      <c r="A208" s="1"/>
      <c r="B208" s="10" t="str">
        <f ca="1">IFERROR(__xludf.DUMMYFUNCTION("""COMPUTED_VALUE"""),"Bono de aseo externalizado 2024")</f>
        <v>Bono de aseo externalizado 2024</v>
      </c>
      <c r="C208" s="26" t="str">
        <f t="shared" ca="1" si="0"/>
        <v xml:space="preserve"> LAGUNA BLANCA</v>
      </c>
      <c r="D208" s="10" t="str">
        <f ca="1">IFERROR(__xludf.DUMMYFUNCTION("""COMPUTED_VALUE"""),"Resolución de Transferencia")</f>
        <v>Resolución de Transferencia</v>
      </c>
      <c r="E208" s="26" t="str">
        <f ca="1">IFERROR(__xludf.DUMMYFUNCTION("""COMPUTED_VALUE"""),"MUNICIPALIDAD DE LAGUNA BLANCA")</f>
        <v>MUNICIPALIDAD DE LAGUNA BLANCA</v>
      </c>
      <c r="F208" s="11">
        <f ca="1">IFERROR(__xludf.DUMMYFUNCTION("""COMPUTED_VALUE"""),2231496)</f>
        <v>2231496</v>
      </c>
      <c r="G208" s="10" t="str">
        <f ca="1">IFERROR(__xludf.DUMMYFUNCTION("""COMPUTED_VALUE"""),"Resolución")</f>
        <v>Resolución</v>
      </c>
      <c r="H208" s="10" t="str">
        <f ca="1">IFERROR(__xludf.DUMMYFUNCTION("""COMPUTED_VALUE"""),"BONO ASEO EXTERNALIZADO")</f>
        <v>BONO ASEO EXTERNALIZADO</v>
      </c>
      <c r="I208" s="10" t="str">
        <f ca="1">IFERROR(__xludf.DUMMYFUNCTION("""COMPUTED_VALUE"""),"Cumplir con normativa y reglamentos internos del programa en base a los objetivos.")</f>
        <v>Cumplir con normativa y reglamentos internos del programa en base a los objetivos.</v>
      </c>
      <c r="J208" s="11">
        <f ca="1">IFERROR(__xludf.DUMMYFUNCTION("""COMPUTED_VALUE"""),2231496)</f>
        <v>2231496</v>
      </c>
      <c r="K208" s="27">
        <f ca="1">IFERROR(__xludf.DUMMYFUNCTION("""COMPUTED_VALUE"""),1)</f>
        <v>1</v>
      </c>
      <c r="L208" s="28" t="str">
        <f ca="1">IFERROR(__xludf.DUMMYFUNCTION("""COMPUTED_VALUE"""),"5/2024")</f>
        <v>5/2024</v>
      </c>
      <c r="M208" s="10" t="str">
        <f ca="1">IFERROR(__xludf.DUMMYFUNCTION("""COMPUTED_VALUE"""),"Predios Exentos")</f>
        <v>Predios Exentos</v>
      </c>
      <c r="N208" s="1"/>
      <c r="O208" s="1"/>
      <c r="P208" s="1"/>
      <c r="Q208" s="1"/>
      <c r="R208" s="1"/>
      <c r="S208" s="1"/>
      <c r="T208" s="1"/>
      <c r="U208" s="1"/>
      <c r="V208" s="1"/>
      <c r="W208" s="1"/>
      <c r="X208" s="1"/>
      <c r="Y208" s="1"/>
      <c r="Z208" s="1"/>
    </row>
    <row r="209" spans="1:26" ht="12.75" customHeight="1">
      <c r="A209" s="1"/>
      <c r="B209" s="10" t="str">
        <f ca="1">IFERROR(__xludf.DUMMYFUNCTION("""COMPUTED_VALUE"""),"Bono de aseo externalizado 2024")</f>
        <v>Bono de aseo externalizado 2024</v>
      </c>
      <c r="C209" s="26" t="str">
        <f t="shared" ca="1" si="0"/>
        <v xml:space="preserve"> SAN GREGORIO</v>
      </c>
      <c r="D209" s="10" t="str">
        <f ca="1">IFERROR(__xludf.DUMMYFUNCTION("""COMPUTED_VALUE"""),"Resolución de Transferencia")</f>
        <v>Resolución de Transferencia</v>
      </c>
      <c r="E209" s="26" t="str">
        <f ca="1">IFERROR(__xludf.DUMMYFUNCTION("""COMPUTED_VALUE"""),"MUNICIPALIDAD DE SAN GREGORIO")</f>
        <v>MUNICIPALIDAD DE SAN GREGORIO</v>
      </c>
      <c r="F209" s="11">
        <f ca="1">IFERROR(__xludf.DUMMYFUNCTION("""COMPUTED_VALUE"""),0)</f>
        <v>0</v>
      </c>
      <c r="G209" s="10" t="str">
        <f ca="1">IFERROR(__xludf.DUMMYFUNCTION("""COMPUTED_VALUE"""),"Resolución")</f>
        <v>Resolución</v>
      </c>
      <c r="H209" s="10" t="str">
        <f ca="1">IFERROR(__xludf.DUMMYFUNCTION("""COMPUTED_VALUE"""),"BONO ASEO EXTERNALIZADO")</f>
        <v>BONO ASEO EXTERNALIZADO</v>
      </c>
      <c r="I209" s="10" t="str">
        <f ca="1">IFERROR(__xludf.DUMMYFUNCTION("""COMPUTED_VALUE"""),"Cumplir con normativa y reglamentos internos del programa en base a los objetivos.")</f>
        <v>Cumplir con normativa y reglamentos internos del programa en base a los objetivos.</v>
      </c>
      <c r="J209" s="11">
        <f ca="1">IFERROR(__xludf.DUMMYFUNCTION("""COMPUTED_VALUE"""),0)</f>
        <v>0</v>
      </c>
      <c r="K209" s="27"/>
      <c r="L209" s="28" t="str">
        <f ca="1">IFERROR(__xludf.DUMMYFUNCTION("""COMPUTED_VALUE"""),"5/2024")</f>
        <v>5/2024</v>
      </c>
      <c r="M209" s="10" t="str">
        <f ca="1">IFERROR(__xludf.DUMMYFUNCTION("""COMPUTED_VALUE"""),"Predios Exentos")</f>
        <v>Predios Exentos</v>
      </c>
      <c r="N209" s="1"/>
      <c r="O209" s="1"/>
      <c r="P209" s="1"/>
      <c r="Q209" s="1"/>
      <c r="R209" s="1"/>
      <c r="S209" s="1"/>
      <c r="T209" s="1"/>
      <c r="U209" s="1"/>
      <c r="V209" s="1"/>
      <c r="W209" s="1"/>
      <c r="X209" s="1"/>
      <c r="Y209" s="1"/>
      <c r="Z209" s="1"/>
    </row>
    <row r="210" spans="1:26" ht="12.75" customHeight="1">
      <c r="A210" s="1"/>
      <c r="B210" s="10" t="str">
        <f ca="1">IFERROR(__xludf.DUMMYFUNCTION("""COMPUTED_VALUE"""),"Bono de aseo externalizado 2024")</f>
        <v>Bono de aseo externalizado 2024</v>
      </c>
      <c r="C210" s="26" t="str">
        <f t="shared" ca="1" si="0"/>
        <v xml:space="preserve"> PORVENIR</v>
      </c>
      <c r="D210" s="10" t="str">
        <f ca="1">IFERROR(__xludf.DUMMYFUNCTION("""COMPUTED_VALUE"""),"Resolución de Transferencia")</f>
        <v>Resolución de Transferencia</v>
      </c>
      <c r="E210" s="26" t="str">
        <f ca="1">IFERROR(__xludf.DUMMYFUNCTION("""COMPUTED_VALUE"""),"MUNICIPALIDAD DE PORVENIR")</f>
        <v>MUNICIPALIDAD DE PORVENIR</v>
      </c>
      <c r="F210" s="11">
        <f ca="1">IFERROR(__xludf.DUMMYFUNCTION("""COMPUTED_VALUE"""),13388976)</f>
        <v>13388976</v>
      </c>
      <c r="G210" s="10" t="str">
        <f ca="1">IFERROR(__xludf.DUMMYFUNCTION("""COMPUTED_VALUE"""),"Resolución")</f>
        <v>Resolución</v>
      </c>
      <c r="H210" s="10" t="str">
        <f ca="1">IFERROR(__xludf.DUMMYFUNCTION("""COMPUTED_VALUE"""),"BONO ASEO EXTERNALIZADO")</f>
        <v>BONO ASEO EXTERNALIZADO</v>
      </c>
      <c r="I210" s="10" t="str">
        <f ca="1">IFERROR(__xludf.DUMMYFUNCTION("""COMPUTED_VALUE"""),"Cumplir con normativa y reglamentos internos del programa en base a los objetivos.")</f>
        <v>Cumplir con normativa y reglamentos internos del programa en base a los objetivos.</v>
      </c>
      <c r="J210" s="11">
        <f ca="1">IFERROR(__xludf.DUMMYFUNCTION("""COMPUTED_VALUE"""),13388976)</f>
        <v>13388976</v>
      </c>
      <c r="K210" s="27">
        <f ca="1">IFERROR(__xludf.DUMMYFUNCTION("""COMPUTED_VALUE"""),1)</f>
        <v>1</v>
      </c>
      <c r="L210" s="28" t="str">
        <f ca="1">IFERROR(__xludf.DUMMYFUNCTION("""COMPUTED_VALUE"""),"5/2024")</f>
        <v>5/2024</v>
      </c>
      <c r="M210" s="10" t="str">
        <f ca="1">IFERROR(__xludf.DUMMYFUNCTION("""COMPUTED_VALUE"""),"Predios Exentos")</f>
        <v>Predios Exentos</v>
      </c>
      <c r="N210" s="1"/>
      <c r="O210" s="1"/>
      <c r="P210" s="1"/>
      <c r="Q210" s="1"/>
      <c r="R210" s="1"/>
      <c r="S210" s="1"/>
      <c r="T210" s="1"/>
      <c r="U210" s="1"/>
      <c r="V210" s="1"/>
      <c r="W210" s="1"/>
      <c r="X210" s="1"/>
      <c r="Y210" s="1"/>
      <c r="Z210" s="1"/>
    </row>
    <row r="211" spans="1:26" ht="12.75" customHeight="1">
      <c r="A211" s="1"/>
      <c r="B211" s="10" t="str">
        <f ca="1">IFERROR(__xludf.DUMMYFUNCTION("""COMPUTED_VALUE"""),"Bono de aseo externalizado 2024")</f>
        <v>Bono de aseo externalizado 2024</v>
      </c>
      <c r="C211" s="26" t="str">
        <f t="shared" ca="1" si="0"/>
        <v xml:space="preserve"> SANTIAGO</v>
      </c>
      <c r="D211" s="10" t="str">
        <f ca="1">IFERROR(__xludf.DUMMYFUNCTION("""COMPUTED_VALUE"""),"Resolución de Transferencia")</f>
        <v>Resolución de Transferencia</v>
      </c>
      <c r="E211" s="26" t="str">
        <f ca="1">IFERROR(__xludf.DUMMYFUNCTION("""COMPUTED_VALUE"""),"MUNICIPALIDAD DE SANTIAGO")</f>
        <v>MUNICIPALIDAD DE SANTIAGO</v>
      </c>
      <c r="F211" s="11">
        <f ca="1">IFERROR(__xludf.DUMMYFUNCTION("""COMPUTED_VALUE"""),456340932)</f>
        <v>456340932</v>
      </c>
      <c r="G211" s="10" t="str">
        <f ca="1">IFERROR(__xludf.DUMMYFUNCTION("""COMPUTED_VALUE"""),"Resolución")</f>
        <v>Resolución</v>
      </c>
      <c r="H211" s="10" t="str">
        <f ca="1">IFERROR(__xludf.DUMMYFUNCTION("""COMPUTED_VALUE"""),"BONO ASEO EXTERNALIZADO")</f>
        <v>BONO ASEO EXTERNALIZADO</v>
      </c>
      <c r="I211" s="10" t="str">
        <f ca="1">IFERROR(__xludf.DUMMYFUNCTION("""COMPUTED_VALUE"""),"Cumplir con normativa y reglamentos internos del programa en base a los objetivos.")</f>
        <v>Cumplir con normativa y reglamentos internos del programa en base a los objetivos.</v>
      </c>
      <c r="J211" s="11">
        <f ca="1">IFERROR(__xludf.DUMMYFUNCTION("""COMPUTED_VALUE"""),456340932)</f>
        <v>456340932</v>
      </c>
      <c r="K211" s="27">
        <f ca="1">IFERROR(__xludf.DUMMYFUNCTION("""COMPUTED_VALUE"""),1)</f>
        <v>1</v>
      </c>
      <c r="L211" s="28" t="str">
        <f ca="1">IFERROR(__xludf.DUMMYFUNCTION("""COMPUTED_VALUE"""),"5/2024")</f>
        <v>5/2024</v>
      </c>
      <c r="M211" s="10" t="str">
        <f ca="1">IFERROR(__xludf.DUMMYFUNCTION("""COMPUTED_VALUE"""),"Predios Exentos")</f>
        <v>Predios Exentos</v>
      </c>
      <c r="N211" s="1"/>
      <c r="O211" s="1"/>
      <c r="P211" s="1"/>
      <c r="Q211" s="1"/>
      <c r="R211" s="1"/>
      <c r="S211" s="1"/>
      <c r="T211" s="1"/>
      <c r="U211" s="1"/>
      <c r="V211" s="1"/>
      <c r="W211" s="1"/>
      <c r="X211" s="1"/>
      <c r="Y211" s="1"/>
      <c r="Z211" s="1"/>
    </row>
    <row r="212" spans="1:26" ht="12.75" customHeight="1">
      <c r="A212" s="1"/>
      <c r="B212" s="10" t="str">
        <f ca="1">IFERROR(__xludf.DUMMYFUNCTION("""COMPUTED_VALUE"""),"Bono de aseo externalizado 2024")</f>
        <v>Bono de aseo externalizado 2024</v>
      </c>
      <c r="C212" s="26" t="str">
        <f t="shared" ca="1" si="0"/>
        <v xml:space="preserve"> CERRILLOS</v>
      </c>
      <c r="D212" s="10" t="str">
        <f ca="1">IFERROR(__xludf.DUMMYFUNCTION("""COMPUTED_VALUE"""),"Resolución de Transferencia")</f>
        <v>Resolución de Transferencia</v>
      </c>
      <c r="E212" s="26" t="str">
        <f ca="1">IFERROR(__xludf.DUMMYFUNCTION("""COMPUTED_VALUE"""),"MUNICIPALIDAD DE CERRILLOS")</f>
        <v>MUNICIPALIDAD DE CERRILLOS</v>
      </c>
      <c r="F212" s="11">
        <f ca="1">IFERROR(__xludf.DUMMYFUNCTION("""COMPUTED_VALUE"""),97070076)</f>
        <v>97070076</v>
      </c>
      <c r="G212" s="10" t="str">
        <f ca="1">IFERROR(__xludf.DUMMYFUNCTION("""COMPUTED_VALUE"""),"Resolución")</f>
        <v>Resolución</v>
      </c>
      <c r="H212" s="10" t="str">
        <f ca="1">IFERROR(__xludf.DUMMYFUNCTION("""COMPUTED_VALUE"""),"BONO ASEO EXTERNALIZADO")</f>
        <v>BONO ASEO EXTERNALIZADO</v>
      </c>
      <c r="I212" s="10" t="str">
        <f ca="1">IFERROR(__xludf.DUMMYFUNCTION("""COMPUTED_VALUE"""),"Cumplir con normativa y reglamentos internos del programa en base a los objetivos.")</f>
        <v>Cumplir con normativa y reglamentos internos del programa en base a los objetivos.</v>
      </c>
      <c r="J212" s="11">
        <f ca="1">IFERROR(__xludf.DUMMYFUNCTION("""COMPUTED_VALUE"""),97070076)</f>
        <v>97070076</v>
      </c>
      <c r="K212" s="27">
        <f ca="1">IFERROR(__xludf.DUMMYFUNCTION("""COMPUTED_VALUE"""),1)</f>
        <v>1</v>
      </c>
      <c r="L212" s="28" t="str">
        <f ca="1">IFERROR(__xludf.DUMMYFUNCTION("""COMPUTED_VALUE"""),"5/2024")</f>
        <v>5/2024</v>
      </c>
      <c r="M212" s="10" t="str">
        <f ca="1">IFERROR(__xludf.DUMMYFUNCTION("""COMPUTED_VALUE"""),"Predios Exentos")</f>
        <v>Predios Exentos</v>
      </c>
      <c r="N212" s="1"/>
      <c r="O212" s="1"/>
      <c r="P212" s="1"/>
      <c r="Q212" s="1"/>
      <c r="R212" s="1"/>
      <c r="S212" s="1"/>
      <c r="T212" s="1"/>
      <c r="U212" s="1"/>
      <c r="V212" s="1"/>
      <c r="W212" s="1"/>
      <c r="X212" s="1"/>
      <c r="Y212" s="1"/>
      <c r="Z212" s="1"/>
    </row>
    <row r="213" spans="1:26" ht="12.75" customHeight="1">
      <c r="A213" s="1"/>
      <c r="B213" s="10" t="str">
        <f ca="1">IFERROR(__xludf.DUMMYFUNCTION("""COMPUTED_VALUE"""),"Bono de aseo externalizado 2024")</f>
        <v>Bono de aseo externalizado 2024</v>
      </c>
      <c r="C213" s="26" t="str">
        <f t="shared" ca="1" si="0"/>
        <v xml:space="preserve"> CERRO NAVIA</v>
      </c>
      <c r="D213" s="10" t="str">
        <f ca="1">IFERROR(__xludf.DUMMYFUNCTION("""COMPUTED_VALUE"""),"Resolución de Transferencia")</f>
        <v>Resolución de Transferencia</v>
      </c>
      <c r="E213" s="26" t="str">
        <f ca="1">IFERROR(__xludf.DUMMYFUNCTION("""COMPUTED_VALUE"""),"MUNICIPALIDAD DE CERRO NAVIA")</f>
        <v>MUNICIPALIDAD DE CERRO NAVIA</v>
      </c>
      <c r="F213" s="11">
        <f ca="1">IFERROR(__xludf.DUMMYFUNCTION("""COMPUTED_VALUE"""),84796848)</f>
        <v>84796848</v>
      </c>
      <c r="G213" s="10" t="str">
        <f ca="1">IFERROR(__xludf.DUMMYFUNCTION("""COMPUTED_VALUE"""),"Resolución")</f>
        <v>Resolución</v>
      </c>
      <c r="H213" s="10" t="str">
        <f ca="1">IFERROR(__xludf.DUMMYFUNCTION("""COMPUTED_VALUE"""),"BONO ASEO EXTERNALIZADO")</f>
        <v>BONO ASEO EXTERNALIZADO</v>
      </c>
      <c r="I213" s="10" t="str">
        <f ca="1">IFERROR(__xludf.DUMMYFUNCTION("""COMPUTED_VALUE"""),"Cumplir con normativa y reglamentos internos del programa en base a los objetivos.")</f>
        <v>Cumplir con normativa y reglamentos internos del programa en base a los objetivos.</v>
      </c>
      <c r="J213" s="11">
        <f ca="1">IFERROR(__xludf.DUMMYFUNCTION("""COMPUTED_VALUE"""),84796848)</f>
        <v>84796848</v>
      </c>
      <c r="K213" s="27">
        <f ca="1">IFERROR(__xludf.DUMMYFUNCTION("""COMPUTED_VALUE"""),1)</f>
        <v>1</v>
      </c>
      <c r="L213" s="28" t="str">
        <f ca="1">IFERROR(__xludf.DUMMYFUNCTION("""COMPUTED_VALUE"""),"5/2024")</f>
        <v>5/2024</v>
      </c>
      <c r="M213" s="10" t="str">
        <f ca="1">IFERROR(__xludf.DUMMYFUNCTION("""COMPUTED_VALUE"""),"Predios Exentos")</f>
        <v>Predios Exentos</v>
      </c>
      <c r="N213" s="1"/>
      <c r="O213" s="1"/>
      <c r="P213" s="1"/>
      <c r="Q213" s="1"/>
      <c r="R213" s="1"/>
      <c r="S213" s="1"/>
      <c r="T213" s="1"/>
      <c r="U213" s="1"/>
      <c r="V213" s="1"/>
      <c r="W213" s="1"/>
      <c r="X213" s="1"/>
      <c r="Y213" s="1"/>
      <c r="Z213" s="1"/>
    </row>
    <row r="214" spans="1:26" ht="12.75" customHeight="1">
      <c r="A214" s="1"/>
      <c r="B214" s="10" t="str">
        <f ca="1">IFERROR(__xludf.DUMMYFUNCTION("""COMPUTED_VALUE"""),"Bono de aseo externalizado 2024")</f>
        <v>Bono de aseo externalizado 2024</v>
      </c>
      <c r="C214" s="26" t="str">
        <f t="shared" ca="1" si="0"/>
        <v xml:space="preserve"> CONCHALÍ</v>
      </c>
      <c r="D214" s="10" t="str">
        <f ca="1">IFERROR(__xludf.DUMMYFUNCTION("""COMPUTED_VALUE"""),"Resolución de Transferencia")</f>
        <v>Resolución de Transferencia</v>
      </c>
      <c r="E214" s="26" t="str">
        <f ca="1">IFERROR(__xludf.DUMMYFUNCTION("""COMPUTED_VALUE"""),"MUNICIPALIDAD DE CONCHALÍ")</f>
        <v>MUNICIPALIDAD DE CONCHALÍ</v>
      </c>
      <c r="F214" s="11">
        <f ca="1">IFERROR(__xludf.DUMMYFUNCTION("""COMPUTED_VALUE"""),127195272)</f>
        <v>127195272</v>
      </c>
      <c r="G214" s="10" t="str">
        <f ca="1">IFERROR(__xludf.DUMMYFUNCTION("""COMPUTED_VALUE"""),"Resolución")</f>
        <v>Resolución</v>
      </c>
      <c r="H214" s="10" t="str">
        <f ca="1">IFERROR(__xludf.DUMMYFUNCTION("""COMPUTED_VALUE"""),"BONO ASEO EXTERNALIZADO")</f>
        <v>BONO ASEO EXTERNALIZADO</v>
      </c>
      <c r="I214" s="10" t="str">
        <f ca="1">IFERROR(__xludf.DUMMYFUNCTION("""COMPUTED_VALUE"""),"Cumplir con normativa y reglamentos internos del programa en base a los objetivos.")</f>
        <v>Cumplir con normativa y reglamentos internos del programa en base a los objetivos.</v>
      </c>
      <c r="J214" s="11">
        <f ca="1">IFERROR(__xludf.DUMMYFUNCTION("""COMPUTED_VALUE"""),127195272)</f>
        <v>127195272</v>
      </c>
      <c r="K214" s="27">
        <f ca="1">IFERROR(__xludf.DUMMYFUNCTION("""COMPUTED_VALUE"""),1)</f>
        <v>1</v>
      </c>
      <c r="L214" s="28" t="str">
        <f ca="1">IFERROR(__xludf.DUMMYFUNCTION("""COMPUTED_VALUE"""),"5/2024")</f>
        <v>5/2024</v>
      </c>
      <c r="M214" s="10" t="str">
        <f ca="1">IFERROR(__xludf.DUMMYFUNCTION("""COMPUTED_VALUE"""),"Predios Exentos")</f>
        <v>Predios Exentos</v>
      </c>
      <c r="N214" s="1"/>
      <c r="O214" s="1"/>
      <c r="P214" s="1"/>
      <c r="Q214" s="1"/>
      <c r="R214" s="1"/>
      <c r="S214" s="1"/>
      <c r="T214" s="1"/>
      <c r="U214" s="1"/>
      <c r="V214" s="1"/>
      <c r="W214" s="1"/>
      <c r="X214" s="1"/>
      <c r="Y214" s="1"/>
      <c r="Z214" s="1"/>
    </row>
    <row r="215" spans="1:26" ht="12.75" customHeight="1">
      <c r="A215" s="1"/>
      <c r="B215" s="10" t="str">
        <f ca="1">IFERROR(__xludf.DUMMYFUNCTION("""COMPUTED_VALUE"""),"Bono de aseo externalizado 2024")</f>
        <v>Bono de aseo externalizado 2024</v>
      </c>
      <c r="C215" s="26" t="str">
        <f t="shared" ca="1" si="0"/>
        <v xml:space="preserve"> EL BOSQUE</v>
      </c>
      <c r="D215" s="10" t="str">
        <f ca="1">IFERROR(__xludf.DUMMYFUNCTION("""COMPUTED_VALUE"""),"Resolución de Transferencia")</f>
        <v>Resolución de Transferencia</v>
      </c>
      <c r="E215" s="26" t="str">
        <f ca="1">IFERROR(__xludf.DUMMYFUNCTION("""COMPUTED_VALUE"""),"MUNICIPALIDAD DE EL BOSQUE")</f>
        <v>MUNICIPALIDAD DE EL BOSQUE</v>
      </c>
      <c r="F215" s="11">
        <f ca="1">IFERROR(__xludf.DUMMYFUNCTION("""COMPUTED_VALUE"""),149510232)</f>
        <v>149510232</v>
      </c>
      <c r="G215" s="10" t="str">
        <f ca="1">IFERROR(__xludf.DUMMYFUNCTION("""COMPUTED_VALUE"""),"Resolución")</f>
        <v>Resolución</v>
      </c>
      <c r="H215" s="10" t="str">
        <f ca="1">IFERROR(__xludf.DUMMYFUNCTION("""COMPUTED_VALUE"""),"BONO ASEO EXTERNALIZADO")</f>
        <v>BONO ASEO EXTERNALIZADO</v>
      </c>
      <c r="I215" s="10" t="str">
        <f ca="1">IFERROR(__xludf.DUMMYFUNCTION("""COMPUTED_VALUE"""),"Cumplir con normativa y reglamentos internos del programa en base a los objetivos.")</f>
        <v>Cumplir con normativa y reglamentos internos del programa en base a los objetivos.</v>
      </c>
      <c r="J215" s="11">
        <f ca="1">IFERROR(__xludf.DUMMYFUNCTION("""COMPUTED_VALUE"""),149510232)</f>
        <v>149510232</v>
      </c>
      <c r="K215" s="27">
        <f ca="1">IFERROR(__xludf.DUMMYFUNCTION("""COMPUTED_VALUE"""),1)</f>
        <v>1</v>
      </c>
      <c r="L215" s="28" t="str">
        <f ca="1">IFERROR(__xludf.DUMMYFUNCTION("""COMPUTED_VALUE"""),"5/2024")</f>
        <v>5/2024</v>
      </c>
      <c r="M215" s="10" t="str">
        <f ca="1">IFERROR(__xludf.DUMMYFUNCTION("""COMPUTED_VALUE"""),"Predios Exentos")</f>
        <v>Predios Exentos</v>
      </c>
      <c r="N215" s="1"/>
      <c r="O215" s="1"/>
      <c r="P215" s="1"/>
      <c r="Q215" s="1"/>
      <c r="R215" s="1"/>
      <c r="S215" s="1"/>
      <c r="T215" s="1"/>
      <c r="U215" s="1"/>
      <c r="V215" s="1"/>
      <c r="W215" s="1"/>
      <c r="X215" s="1"/>
      <c r="Y215" s="1"/>
      <c r="Z215" s="1"/>
    </row>
    <row r="216" spans="1:26" ht="12.75" customHeight="1">
      <c r="A216" s="1"/>
      <c r="B216" s="10" t="str">
        <f ca="1">IFERROR(__xludf.DUMMYFUNCTION("""COMPUTED_VALUE"""),"Bono de aseo externalizado 2024")</f>
        <v>Bono de aseo externalizado 2024</v>
      </c>
      <c r="C216" s="26" t="str">
        <f t="shared" ca="1" si="0"/>
        <v xml:space="preserve"> ESTACIÓN CENTRAL</v>
      </c>
      <c r="D216" s="10" t="str">
        <f ca="1">IFERROR(__xludf.DUMMYFUNCTION("""COMPUTED_VALUE"""),"Resolución de Transferencia")</f>
        <v>Resolución de Transferencia</v>
      </c>
      <c r="E216" s="26" t="str">
        <f ca="1">IFERROR(__xludf.DUMMYFUNCTION("""COMPUTED_VALUE"""),"MUNICIPALIDAD DE ESTACIÓN CENTRAL")</f>
        <v>MUNICIPALIDAD DE ESTACIÓN CENTRAL</v>
      </c>
      <c r="F216" s="11">
        <f ca="1">IFERROR(__xludf.DUMMYFUNCTION("""COMPUTED_VALUE"""),160667712)</f>
        <v>160667712</v>
      </c>
      <c r="G216" s="10" t="str">
        <f ca="1">IFERROR(__xludf.DUMMYFUNCTION("""COMPUTED_VALUE"""),"Resolución")</f>
        <v>Resolución</v>
      </c>
      <c r="H216" s="10" t="str">
        <f ca="1">IFERROR(__xludf.DUMMYFUNCTION("""COMPUTED_VALUE"""),"BONO ASEO EXTERNALIZADO")</f>
        <v>BONO ASEO EXTERNALIZADO</v>
      </c>
      <c r="I216" s="10" t="str">
        <f ca="1">IFERROR(__xludf.DUMMYFUNCTION("""COMPUTED_VALUE"""),"Cumplir con normativa y reglamentos internos del programa en base a los objetivos.")</f>
        <v>Cumplir con normativa y reglamentos internos del programa en base a los objetivos.</v>
      </c>
      <c r="J216" s="11">
        <f ca="1">IFERROR(__xludf.DUMMYFUNCTION("""COMPUTED_VALUE"""),160667712)</f>
        <v>160667712</v>
      </c>
      <c r="K216" s="27">
        <f ca="1">IFERROR(__xludf.DUMMYFUNCTION("""COMPUTED_VALUE"""),1)</f>
        <v>1</v>
      </c>
      <c r="L216" s="28" t="str">
        <f ca="1">IFERROR(__xludf.DUMMYFUNCTION("""COMPUTED_VALUE"""),"5/2024")</f>
        <v>5/2024</v>
      </c>
      <c r="M216" s="10" t="str">
        <f ca="1">IFERROR(__xludf.DUMMYFUNCTION("""COMPUTED_VALUE"""),"Predios Exentos")</f>
        <v>Predios Exentos</v>
      </c>
      <c r="N216" s="1"/>
      <c r="O216" s="1"/>
      <c r="P216" s="1"/>
      <c r="Q216" s="1"/>
      <c r="R216" s="1"/>
      <c r="S216" s="1"/>
      <c r="T216" s="1"/>
      <c r="U216" s="1"/>
      <c r="V216" s="1"/>
      <c r="W216" s="1"/>
      <c r="X216" s="1"/>
      <c r="Y216" s="1"/>
      <c r="Z216" s="1"/>
    </row>
    <row r="217" spans="1:26" ht="12.75" customHeight="1">
      <c r="A217" s="1"/>
      <c r="B217" s="10" t="str">
        <f ca="1">IFERROR(__xludf.DUMMYFUNCTION("""COMPUTED_VALUE"""),"Bono de aseo externalizado 2024")</f>
        <v>Bono de aseo externalizado 2024</v>
      </c>
      <c r="C217" s="26" t="str">
        <f t="shared" ca="1" si="0"/>
        <v xml:space="preserve"> HUECHURABA</v>
      </c>
      <c r="D217" s="10" t="str">
        <f ca="1">IFERROR(__xludf.DUMMYFUNCTION("""COMPUTED_VALUE"""),"Resolución de Transferencia")</f>
        <v>Resolución de Transferencia</v>
      </c>
      <c r="E217" s="26" t="str">
        <f ca="1">IFERROR(__xludf.DUMMYFUNCTION("""COMPUTED_VALUE"""),"MUNICIPALIDAD DE HUECHURABA")</f>
        <v>MUNICIPALIDAD DE HUECHURABA</v>
      </c>
      <c r="F217" s="11">
        <f ca="1">IFERROR(__xludf.DUMMYFUNCTION("""COMPUTED_VALUE"""),100417320)</f>
        <v>100417320</v>
      </c>
      <c r="G217" s="10" t="str">
        <f ca="1">IFERROR(__xludf.DUMMYFUNCTION("""COMPUTED_VALUE"""),"Resolución")</f>
        <v>Resolución</v>
      </c>
      <c r="H217" s="10" t="str">
        <f ca="1">IFERROR(__xludf.DUMMYFUNCTION("""COMPUTED_VALUE"""),"BONO ASEO EXTERNALIZADO")</f>
        <v>BONO ASEO EXTERNALIZADO</v>
      </c>
      <c r="I217" s="10" t="str">
        <f ca="1">IFERROR(__xludf.DUMMYFUNCTION("""COMPUTED_VALUE"""),"Cumplir con normativa y reglamentos internos del programa en base a los objetivos.")</f>
        <v>Cumplir con normativa y reglamentos internos del programa en base a los objetivos.</v>
      </c>
      <c r="J217" s="11">
        <f ca="1">IFERROR(__xludf.DUMMYFUNCTION("""COMPUTED_VALUE"""),100417320)</f>
        <v>100417320</v>
      </c>
      <c r="K217" s="27">
        <f ca="1">IFERROR(__xludf.DUMMYFUNCTION("""COMPUTED_VALUE"""),1)</f>
        <v>1</v>
      </c>
      <c r="L217" s="28" t="str">
        <f ca="1">IFERROR(__xludf.DUMMYFUNCTION("""COMPUTED_VALUE"""),"5/2024")</f>
        <v>5/2024</v>
      </c>
      <c r="M217" s="10" t="str">
        <f ca="1">IFERROR(__xludf.DUMMYFUNCTION("""COMPUTED_VALUE"""),"Predios Exentos")</f>
        <v>Predios Exentos</v>
      </c>
      <c r="N217" s="1"/>
      <c r="O217" s="1"/>
      <c r="P217" s="1"/>
      <c r="Q217" s="1"/>
      <c r="R217" s="1"/>
      <c r="S217" s="1"/>
      <c r="T217" s="1"/>
      <c r="U217" s="1"/>
      <c r="V217" s="1"/>
      <c r="W217" s="1"/>
      <c r="X217" s="1"/>
      <c r="Y217" s="1"/>
      <c r="Z217" s="1"/>
    </row>
    <row r="218" spans="1:26" ht="12.75" customHeight="1">
      <c r="A218" s="1"/>
      <c r="B218" s="10" t="str">
        <f ca="1">IFERROR(__xludf.DUMMYFUNCTION("""COMPUTED_VALUE"""),"Bono de aseo externalizado 2024")</f>
        <v>Bono de aseo externalizado 2024</v>
      </c>
      <c r="C218" s="26" t="str">
        <f t="shared" ca="1" si="0"/>
        <v xml:space="preserve"> INDEPENDENCIA</v>
      </c>
      <c r="D218" s="10" t="str">
        <f ca="1">IFERROR(__xludf.DUMMYFUNCTION("""COMPUTED_VALUE"""),"Resolución de Transferencia")</f>
        <v>Resolución de Transferencia</v>
      </c>
      <c r="E218" s="26" t="str">
        <f ca="1">IFERROR(__xludf.DUMMYFUNCTION("""COMPUTED_VALUE"""),"MUNICIPALIDAD DE INDEPENDENCIA")</f>
        <v>MUNICIPALIDAD DE INDEPENDENCIA</v>
      </c>
      <c r="F218" s="11">
        <f ca="1">IFERROR(__xludf.DUMMYFUNCTION("""COMPUTED_VALUE"""),139468500)</f>
        <v>139468500</v>
      </c>
      <c r="G218" s="10" t="str">
        <f ca="1">IFERROR(__xludf.DUMMYFUNCTION("""COMPUTED_VALUE"""),"Resolución")</f>
        <v>Resolución</v>
      </c>
      <c r="H218" s="10" t="str">
        <f ca="1">IFERROR(__xludf.DUMMYFUNCTION("""COMPUTED_VALUE"""),"BONO ASEO EXTERNALIZADO")</f>
        <v>BONO ASEO EXTERNALIZADO</v>
      </c>
      <c r="I218" s="10" t="str">
        <f ca="1">IFERROR(__xludf.DUMMYFUNCTION("""COMPUTED_VALUE"""),"Cumplir con normativa y reglamentos internos del programa en base a los objetivos.")</f>
        <v>Cumplir con normativa y reglamentos internos del programa en base a los objetivos.</v>
      </c>
      <c r="J218" s="11">
        <f ca="1">IFERROR(__xludf.DUMMYFUNCTION("""COMPUTED_VALUE"""),139468500)</f>
        <v>139468500</v>
      </c>
      <c r="K218" s="27">
        <f ca="1">IFERROR(__xludf.DUMMYFUNCTION("""COMPUTED_VALUE"""),1)</f>
        <v>1</v>
      </c>
      <c r="L218" s="28" t="str">
        <f ca="1">IFERROR(__xludf.DUMMYFUNCTION("""COMPUTED_VALUE"""),"5/2024")</f>
        <v>5/2024</v>
      </c>
      <c r="M218" s="10" t="str">
        <f ca="1">IFERROR(__xludf.DUMMYFUNCTION("""COMPUTED_VALUE"""),"Predios Exentos")</f>
        <v>Predios Exentos</v>
      </c>
      <c r="N218" s="1"/>
      <c r="O218" s="1"/>
      <c r="P218" s="1"/>
      <c r="Q218" s="1"/>
      <c r="R218" s="1"/>
      <c r="S218" s="1"/>
      <c r="T218" s="1"/>
      <c r="U218" s="1"/>
      <c r="V218" s="1"/>
      <c r="W218" s="1"/>
      <c r="X218" s="1"/>
      <c r="Y218" s="1"/>
      <c r="Z218" s="1"/>
    </row>
    <row r="219" spans="1:26" ht="12.75" customHeight="1">
      <c r="A219" s="1"/>
      <c r="B219" s="10" t="str">
        <f ca="1">IFERROR(__xludf.DUMMYFUNCTION("""COMPUTED_VALUE"""),"Bono de aseo externalizado 2024")</f>
        <v>Bono de aseo externalizado 2024</v>
      </c>
      <c r="C219" s="26" t="str">
        <f t="shared" ca="1" si="0"/>
        <v xml:space="preserve"> LA CISTERNA</v>
      </c>
      <c r="D219" s="10" t="str">
        <f ca="1">IFERROR(__xludf.DUMMYFUNCTION("""COMPUTED_VALUE"""),"Resolución de Transferencia")</f>
        <v>Resolución de Transferencia</v>
      </c>
      <c r="E219" s="26" t="str">
        <f ca="1">IFERROR(__xludf.DUMMYFUNCTION("""COMPUTED_VALUE"""),"MUNICIPALIDAD DE LA CISTERNA")</f>
        <v>MUNICIPALIDAD DE LA CISTERNA</v>
      </c>
      <c r="F219" s="11">
        <f ca="1">IFERROR(__xludf.DUMMYFUNCTION("""COMPUTED_VALUE"""),78102360)</f>
        <v>78102360</v>
      </c>
      <c r="G219" s="10" t="str">
        <f ca="1">IFERROR(__xludf.DUMMYFUNCTION("""COMPUTED_VALUE"""),"Resolución")</f>
        <v>Resolución</v>
      </c>
      <c r="H219" s="10" t="str">
        <f ca="1">IFERROR(__xludf.DUMMYFUNCTION("""COMPUTED_VALUE"""),"BONO ASEO EXTERNALIZADO")</f>
        <v>BONO ASEO EXTERNALIZADO</v>
      </c>
      <c r="I219" s="10" t="str">
        <f ca="1">IFERROR(__xludf.DUMMYFUNCTION("""COMPUTED_VALUE"""),"Cumplir con normativa y reglamentos internos del programa en base a los objetivos.")</f>
        <v>Cumplir con normativa y reglamentos internos del programa en base a los objetivos.</v>
      </c>
      <c r="J219" s="11">
        <f ca="1">IFERROR(__xludf.DUMMYFUNCTION("""COMPUTED_VALUE"""),78102360)</f>
        <v>78102360</v>
      </c>
      <c r="K219" s="27">
        <f ca="1">IFERROR(__xludf.DUMMYFUNCTION("""COMPUTED_VALUE"""),1)</f>
        <v>1</v>
      </c>
      <c r="L219" s="28" t="str">
        <f ca="1">IFERROR(__xludf.DUMMYFUNCTION("""COMPUTED_VALUE"""),"5/2024")</f>
        <v>5/2024</v>
      </c>
      <c r="M219" s="10" t="str">
        <f ca="1">IFERROR(__xludf.DUMMYFUNCTION("""COMPUTED_VALUE"""),"Predios Exentos")</f>
        <v>Predios Exentos</v>
      </c>
      <c r="N219" s="1"/>
      <c r="O219" s="1"/>
      <c r="P219" s="1"/>
      <c r="Q219" s="1"/>
      <c r="R219" s="1"/>
      <c r="S219" s="1"/>
      <c r="T219" s="1"/>
      <c r="U219" s="1"/>
      <c r="V219" s="1"/>
      <c r="W219" s="1"/>
      <c r="X219" s="1"/>
      <c r="Y219" s="1"/>
      <c r="Z219" s="1"/>
    </row>
    <row r="220" spans="1:26" ht="12.75" customHeight="1">
      <c r="A220" s="1"/>
      <c r="B220" s="10" t="str">
        <f ca="1">IFERROR(__xludf.DUMMYFUNCTION("""COMPUTED_VALUE"""),"Bono de aseo externalizado 2024")</f>
        <v>Bono de aseo externalizado 2024</v>
      </c>
      <c r="C220" s="26" t="str">
        <f t="shared" ca="1" si="0"/>
        <v xml:space="preserve"> LA FLORIDA</v>
      </c>
      <c r="D220" s="10" t="str">
        <f ca="1">IFERROR(__xludf.DUMMYFUNCTION("""COMPUTED_VALUE"""),"Resolución de Transferencia")</f>
        <v>Resolución de Transferencia</v>
      </c>
      <c r="E220" s="26" t="str">
        <f ca="1">IFERROR(__xludf.DUMMYFUNCTION("""COMPUTED_VALUE"""),"MUNICIPALIDAD DE LA FLORIDA")</f>
        <v>MUNICIPALIDAD DE LA FLORIDA</v>
      </c>
      <c r="F220" s="11">
        <f ca="1">IFERROR(__xludf.DUMMYFUNCTION("""COMPUTED_VALUE"""),224265348)</f>
        <v>224265348</v>
      </c>
      <c r="G220" s="10" t="str">
        <f ca="1">IFERROR(__xludf.DUMMYFUNCTION("""COMPUTED_VALUE"""),"Resolución")</f>
        <v>Resolución</v>
      </c>
      <c r="H220" s="10" t="str">
        <f ca="1">IFERROR(__xludf.DUMMYFUNCTION("""COMPUTED_VALUE"""),"BONO ASEO EXTERNALIZADO")</f>
        <v>BONO ASEO EXTERNALIZADO</v>
      </c>
      <c r="I220" s="10" t="str">
        <f ca="1">IFERROR(__xludf.DUMMYFUNCTION("""COMPUTED_VALUE"""),"Cumplir con normativa y reglamentos internos del programa en base a los objetivos.")</f>
        <v>Cumplir con normativa y reglamentos internos del programa en base a los objetivos.</v>
      </c>
      <c r="J220" s="11">
        <f ca="1">IFERROR(__xludf.DUMMYFUNCTION("""COMPUTED_VALUE"""),224265348)</f>
        <v>224265348</v>
      </c>
      <c r="K220" s="27">
        <f ca="1">IFERROR(__xludf.DUMMYFUNCTION("""COMPUTED_VALUE"""),1)</f>
        <v>1</v>
      </c>
      <c r="L220" s="28" t="str">
        <f ca="1">IFERROR(__xludf.DUMMYFUNCTION("""COMPUTED_VALUE"""),"5/2024")</f>
        <v>5/2024</v>
      </c>
      <c r="M220" s="10" t="str">
        <f ca="1">IFERROR(__xludf.DUMMYFUNCTION("""COMPUTED_VALUE"""),"Predios Exentos")</f>
        <v>Predios Exentos</v>
      </c>
      <c r="N220" s="1"/>
      <c r="O220" s="1"/>
      <c r="P220" s="1"/>
      <c r="Q220" s="1"/>
      <c r="R220" s="1"/>
      <c r="S220" s="1"/>
      <c r="T220" s="1"/>
      <c r="U220" s="1"/>
      <c r="V220" s="1"/>
      <c r="W220" s="1"/>
      <c r="X220" s="1"/>
      <c r="Y220" s="1"/>
      <c r="Z220" s="1"/>
    </row>
    <row r="221" spans="1:26" ht="12.75" customHeight="1">
      <c r="A221" s="1"/>
      <c r="B221" s="10" t="str">
        <f ca="1">IFERROR(__xludf.DUMMYFUNCTION("""COMPUTED_VALUE"""),"Bono de aseo externalizado 2024")</f>
        <v>Bono de aseo externalizado 2024</v>
      </c>
      <c r="C221" s="26" t="str">
        <f t="shared" ca="1" si="0"/>
        <v xml:space="preserve"> LA GRANJA</v>
      </c>
      <c r="D221" s="10" t="str">
        <f ca="1">IFERROR(__xludf.DUMMYFUNCTION("""COMPUTED_VALUE"""),"Resolución de Transferencia")</f>
        <v>Resolución de Transferencia</v>
      </c>
      <c r="E221" s="26" t="str">
        <f ca="1">IFERROR(__xludf.DUMMYFUNCTION("""COMPUTED_VALUE"""),"MUNICIPALIDAD DE LA GRANJA")</f>
        <v>MUNICIPALIDAD DE LA GRANJA</v>
      </c>
      <c r="F221" s="11">
        <f ca="1">IFERROR(__xludf.DUMMYFUNCTION("""COMPUTED_VALUE"""),82565352)</f>
        <v>82565352</v>
      </c>
      <c r="G221" s="10" t="str">
        <f ca="1">IFERROR(__xludf.DUMMYFUNCTION("""COMPUTED_VALUE"""),"Resolución")</f>
        <v>Resolución</v>
      </c>
      <c r="H221" s="10" t="str">
        <f ca="1">IFERROR(__xludf.DUMMYFUNCTION("""COMPUTED_VALUE"""),"BONO ASEO EXTERNALIZADO")</f>
        <v>BONO ASEO EXTERNALIZADO</v>
      </c>
      <c r="I221" s="10" t="str">
        <f ca="1">IFERROR(__xludf.DUMMYFUNCTION("""COMPUTED_VALUE"""),"Cumplir con normativa y reglamentos internos del programa en base a los objetivos.")</f>
        <v>Cumplir con normativa y reglamentos internos del programa en base a los objetivos.</v>
      </c>
      <c r="J221" s="11">
        <f ca="1">IFERROR(__xludf.DUMMYFUNCTION("""COMPUTED_VALUE"""),82565352)</f>
        <v>82565352</v>
      </c>
      <c r="K221" s="27">
        <f ca="1">IFERROR(__xludf.DUMMYFUNCTION("""COMPUTED_VALUE"""),1)</f>
        <v>1</v>
      </c>
      <c r="L221" s="28" t="str">
        <f ca="1">IFERROR(__xludf.DUMMYFUNCTION("""COMPUTED_VALUE"""),"5/2024")</f>
        <v>5/2024</v>
      </c>
      <c r="M221" s="10" t="str">
        <f ca="1">IFERROR(__xludf.DUMMYFUNCTION("""COMPUTED_VALUE"""),"Predios Exentos")</f>
        <v>Predios Exentos</v>
      </c>
      <c r="N221" s="1"/>
      <c r="O221" s="1"/>
      <c r="P221" s="1"/>
      <c r="Q221" s="1"/>
      <c r="R221" s="1"/>
      <c r="S221" s="1"/>
      <c r="T221" s="1"/>
      <c r="U221" s="1"/>
      <c r="V221" s="1"/>
      <c r="W221" s="1"/>
      <c r="X221" s="1"/>
      <c r="Y221" s="1"/>
      <c r="Z221" s="1"/>
    </row>
    <row r="222" spans="1:26" ht="12.75" customHeight="1">
      <c r="A222" s="1"/>
      <c r="B222" s="10" t="str">
        <f ca="1">IFERROR(__xludf.DUMMYFUNCTION("""COMPUTED_VALUE"""),"Bono de aseo externalizado 2024")</f>
        <v>Bono de aseo externalizado 2024</v>
      </c>
      <c r="C222" s="26" t="str">
        <f t="shared" ca="1" si="0"/>
        <v xml:space="preserve"> LA PINTANA</v>
      </c>
      <c r="D222" s="10" t="str">
        <f ca="1">IFERROR(__xludf.DUMMYFUNCTION("""COMPUTED_VALUE"""),"Resolución de Transferencia")</f>
        <v>Resolución de Transferencia</v>
      </c>
      <c r="E222" s="26" t="str">
        <f ca="1">IFERROR(__xludf.DUMMYFUNCTION("""COMPUTED_VALUE"""),"MUNICIPALIDAD DE LA PINTANA")</f>
        <v>MUNICIPALIDAD DE LA PINTANA</v>
      </c>
      <c r="F222" s="11">
        <f ca="1">IFERROR(__xludf.DUMMYFUNCTION("""COMPUTED_VALUE"""),222033852)</f>
        <v>222033852</v>
      </c>
      <c r="G222" s="10" t="str">
        <f ca="1">IFERROR(__xludf.DUMMYFUNCTION("""COMPUTED_VALUE"""),"Resolución")</f>
        <v>Resolución</v>
      </c>
      <c r="H222" s="10" t="str">
        <f ca="1">IFERROR(__xludf.DUMMYFUNCTION("""COMPUTED_VALUE"""),"BONO ASEO EXTERNALIZADO")</f>
        <v>BONO ASEO EXTERNALIZADO</v>
      </c>
      <c r="I222" s="10" t="str">
        <f ca="1">IFERROR(__xludf.DUMMYFUNCTION("""COMPUTED_VALUE"""),"Cumplir con normativa y reglamentos internos del programa en base a los objetivos.")</f>
        <v>Cumplir con normativa y reglamentos internos del programa en base a los objetivos.</v>
      </c>
      <c r="J222" s="11">
        <f ca="1">IFERROR(__xludf.DUMMYFUNCTION("""COMPUTED_VALUE"""),222033852)</f>
        <v>222033852</v>
      </c>
      <c r="K222" s="27">
        <f ca="1">IFERROR(__xludf.DUMMYFUNCTION("""COMPUTED_VALUE"""),1)</f>
        <v>1</v>
      </c>
      <c r="L222" s="28" t="str">
        <f ca="1">IFERROR(__xludf.DUMMYFUNCTION("""COMPUTED_VALUE"""),"5/2024")</f>
        <v>5/2024</v>
      </c>
      <c r="M222" s="10" t="str">
        <f ca="1">IFERROR(__xludf.DUMMYFUNCTION("""COMPUTED_VALUE"""),"Predios Exentos")</f>
        <v>Predios Exentos</v>
      </c>
      <c r="N222" s="1"/>
      <c r="O222" s="1"/>
      <c r="P222" s="1"/>
      <c r="Q222" s="1"/>
      <c r="R222" s="1"/>
      <c r="S222" s="1"/>
      <c r="T222" s="1"/>
      <c r="U222" s="1"/>
      <c r="V222" s="1"/>
      <c r="W222" s="1"/>
      <c r="X222" s="1"/>
      <c r="Y222" s="1"/>
      <c r="Z222" s="1"/>
    </row>
    <row r="223" spans="1:26" ht="12.75" customHeight="1">
      <c r="A223" s="1"/>
      <c r="B223" s="10" t="str">
        <f ca="1">IFERROR(__xludf.DUMMYFUNCTION("""COMPUTED_VALUE"""),"Bono de aseo externalizado 2024")</f>
        <v>Bono de aseo externalizado 2024</v>
      </c>
      <c r="C223" s="26" t="str">
        <f t="shared" ca="1" si="0"/>
        <v xml:space="preserve"> LA REINA</v>
      </c>
      <c r="D223" s="10" t="str">
        <f ca="1">IFERROR(__xludf.DUMMYFUNCTION("""COMPUTED_VALUE"""),"Resolución de Transferencia")</f>
        <v>Resolución de Transferencia</v>
      </c>
      <c r="E223" s="26" t="str">
        <f ca="1">IFERROR(__xludf.DUMMYFUNCTION("""COMPUTED_VALUE"""),"MUNICIPALIDAD DE LA REINA")</f>
        <v>MUNICIPALIDAD DE LA REINA</v>
      </c>
      <c r="F223" s="11">
        <f ca="1">IFERROR(__xludf.DUMMYFUNCTION("""COMPUTED_VALUE"""),64713384)</f>
        <v>64713384</v>
      </c>
      <c r="G223" s="10" t="str">
        <f ca="1">IFERROR(__xludf.DUMMYFUNCTION("""COMPUTED_VALUE"""),"Resolución")</f>
        <v>Resolución</v>
      </c>
      <c r="H223" s="10" t="str">
        <f ca="1">IFERROR(__xludf.DUMMYFUNCTION("""COMPUTED_VALUE"""),"BONO ASEO EXTERNALIZADO")</f>
        <v>BONO ASEO EXTERNALIZADO</v>
      </c>
      <c r="I223" s="10" t="str">
        <f ca="1">IFERROR(__xludf.DUMMYFUNCTION("""COMPUTED_VALUE"""),"Cumplir con normativa y reglamentos internos del programa en base a los objetivos.")</f>
        <v>Cumplir con normativa y reglamentos internos del programa en base a los objetivos.</v>
      </c>
      <c r="J223" s="11">
        <f ca="1">IFERROR(__xludf.DUMMYFUNCTION("""COMPUTED_VALUE"""),64713384)</f>
        <v>64713384</v>
      </c>
      <c r="K223" s="27">
        <f ca="1">IFERROR(__xludf.DUMMYFUNCTION("""COMPUTED_VALUE"""),1)</f>
        <v>1</v>
      </c>
      <c r="L223" s="28" t="str">
        <f ca="1">IFERROR(__xludf.DUMMYFUNCTION("""COMPUTED_VALUE"""),"5/2024")</f>
        <v>5/2024</v>
      </c>
      <c r="M223" s="10" t="str">
        <f ca="1">IFERROR(__xludf.DUMMYFUNCTION("""COMPUTED_VALUE"""),"Predios Exentos")</f>
        <v>Predios Exentos</v>
      </c>
      <c r="N223" s="1"/>
      <c r="O223" s="1"/>
      <c r="P223" s="1"/>
      <c r="Q223" s="1"/>
      <c r="R223" s="1"/>
      <c r="S223" s="1"/>
      <c r="T223" s="1"/>
      <c r="U223" s="1"/>
      <c r="V223" s="1"/>
      <c r="W223" s="1"/>
      <c r="X223" s="1"/>
      <c r="Y223" s="1"/>
      <c r="Z223" s="1"/>
    </row>
    <row r="224" spans="1:26" ht="12.75" customHeight="1">
      <c r="A224" s="1"/>
      <c r="B224" s="10" t="str">
        <f ca="1">IFERROR(__xludf.DUMMYFUNCTION("""COMPUTED_VALUE"""),"Bono de aseo externalizado 2024")</f>
        <v>Bono de aseo externalizado 2024</v>
      </c>
      <c r="C224" s="26" t="str">
        <f t="shared" ca="1" si="0"/>
        <v xml:space="preserve"> LAS CONDES</v>
      </c>
      <c r="D224" s="10" t="str">
        <f ca="1">IFERROR(__xludf.DUMMYFUNCTION("""COMPUTED_VALUE"""),"Resolución de Transferencia")</f>
        <v>Resolución de Transferencia</v>
      </c>
      <c r="E224" s="26" t="str">
        <f ca="1">IFERROR(__xludf.DUMMYFUNCTION("""COMPUTED_VALUE"""),"MUNICIPALIDAD DE LAS CONDES")</f>
        <v>MUNICIPALIDAD DE LAS CONDES</v>
      </c>
      <c r="F224" s="11">
        <f ca="1">IFERROR(__xludf.DUMMYFUNCTION("""COMPUTED_VALUE"""),527748804)</f>
        <v>527748804</v>
      </c>
      <c r="G224" s="10" t="str">
        <f ca="1">IFERROR(__xludf.DUMMYFUNCTION("""COMPUTED_VALUE"""),"Resolución")</f>
        <v>Resolución</v>
      </c>
      <c r="H224" s="10" t="str">
        <f ca="1">IFERROR(__xludf.DUMMYFUNCTION("""COMPUTED_VALUE"""),"BONO ASEO EXTERNALIZADO")</f>
        <v>BONO ASEO EXTERNALIZADO</v>
      </c>
      <c r="I224" s="10" t="str">
        <f ca="1">IFERROR(__xludf.DUMMYFUNCTION("""COMPUTED_VALUE"""),"Cumplir con normativa y reglamentos internos del programa en base a los objetivos.")</f>
        <v>Cumplir con normativa y reglamentos internos del programa en base a los objetivos.</v>
      </c>
      <c r="J224" s="11">
        <f ca="1">IFERROR(__xludf.DUMMYFUNCTION("""COMPUTED_VALUE"""),527748804)</f>
        <v>527748804</v>
      </c>
      <c r="K224" s="27">
        <f ca="1">IFERROR(__xludf.DUMMYFUNCTION("""COMPUTED_VALUE"""),1)</f>
        <v>1</v>
      </c>
      <c r="L224" s="28" t="str">
        <f ca="1">IFERROR(__xludf.DUMMYFUNCTION("""COMPUTED_VALUE"""),"5/2024")</f>
        <v>5/2024</v>
      </c>
      <c r="M224" s="10" t="str">
        <f ca="1">IFERROR(__xludf.DUMMYFUNCTION("""COMPUTED_VALUE"""),"Predios Exentos")</f>
        <v>Predios Exentos</v>
      </c>
      <c r="N224" s="1"/>
      <c r="O224" s="1"/>
      <c r="P224" s="1"/>
      <c r="Q224" s="1"/>
      <c r="R224" s="1"/>
      <c r="S224" s="1"/>
      <c r="T224" s="1"/>
      <c r="U224" s="1"/>
      <c r="V224" s="1"/>
      <c r="W224" s="1"/>
      <c r="X224" s="1"/>
      <c r="Y224" s="1"/>
      <c r="Z224" s="1"/>
    </row>
    <row r="225" spans="1:26" ht="12.75" customHeight="1">
      <c r="A225" s="1"/>
      <c r="B225" s="10" t="str">
        <f ca="1">IFERROR(__xludf.DUMMYFUNCTION("""COMPUTED_VALUE"""),"Bono de aseo externalizado 2024")</f>
        <v>Bono de aseo externalizado 2024</v>
      </c>
      <c r="C225" s="26" t="str">
        <f t="shared" ca="1" si="0"/>
        <v xml:space="preserve"> LO BARNECHEA</v>
      </c>
      <c r="D225" s="10" t="str">
        <f ca="1">IFERROR(__xludf.DUMMYFUNCTION("""COMPUTED_VALUE"""),"Resolución de Transferencia")</f>
        <v>Resolución de Transferencia</v>
      </c>
      <c r="E225" s="26" t="str">
        <f ca="1">IFERROR(__xludf.DUMMYFUNCTION("""COMPUTED_VALUE"""),"MUNICIPALIDAD DE LO BARNECHEA")</f>
        <v>MUNICIPALIDAD DE LO BARNECHEA</v>
      </c>
      <c r="F225" s="11">
        <f ca="1">IFERROR(__xludf.DUMMYFUNCTION("""COMPUTED_VALUE"""),196371648)</f>
        <v>196371648</v>
      </c>
      <c r="G225" s="10" t="str">
        <f ca="1">IFERROR(__xludf.DUMMYFUNCTION("""COMPUTED_VALUE"""),"Resolución")</f>
        <v>Resolución</v>
      </c>
      <c r="H225" s="10" t="str">
        <f ca="1">IFERROR(__xludf.DUMMYFUNCTION("""COMPUTED_VALUE"""),"BONO ASEO EXTERNALIZADO")</f>
        <v>BONO ASEO EXTERNALIZADO</v>
      </c>
      <c r="I225" s="10" t="str">
        <f ca="1">IFERROR(__xludf.DUMMYFUNCTION("""COMPUTED_VALUE"""),"Cumplir con normativa y reglamentos internos del programa en base a los objetivos.")</f>
        <v>Cumplir con normativa y reglamentos internos del programa en base a los objetivos.</v>
      </c>
      <c r="J225" s="11">
        <f ca="1">IFERROR(__xludf.DUMMYFUNCTION("""COMPUTED_VALUE"""),196371648)</f>
        <v>196371648</v>
      </c>
      <c r="K225" s="27">
        <f ca="1">IFERROR(__xludf.DUMMYFUNCTION("""COMPUTED_VALUE"""),1)</f>
        <v>1</v>
      </c>
      <c r="L225" s="28" t="str">
        <f ca="1">IFERROR(__xludf.DUMMYFUNCTION("""COMPUTED_VALUE"""),"5/2024")</f>
        <v>5/2024</v>
      </c>
      <c r="M225" s="10" t="str">
        <f ca="1">IFERROR(__xludf.DUMMYFUNCTION("""COMPUTED_VALUE"""),"Predios Exentos")</f>
        <v>Predios Exentos</v>
      </c>
      <c r="N225" s="1"/>
      <c r="O225" s="1"/>
      <c r="P225" s="1"/>
      <c r="Q225" s="1"/>
      <c r="R225" s="1"/>
      <c r="S225" s="1"/>
      <c r="T225" s="1"/>
      <c r="U225" s="1"/>
      <c r="V225" s="1"/>
      <c r="W225" s="1"/>
      <c r="X225" s="1"/>
      <c r="Y225" s="1"/>
      <c r="Z225" s="1"/>
    </row>
    <row r="226" spans="1:26" ht="12.75" customHeight="1">
      <c r="A226" s="1"/>
      <c r="B226" s="10" t="str">
        <f ca="1">IFERROR(__xludf.DUMMYFUNCTION("""COMPUTED_VALUE"""),"Bono de aseo externalizado 2024")</f>
        <v>Bono de aseo externalizado 2024</v>
      </c>
      <c r="C226" s="26" t="str">
        <f t="shared" ca="1" si="0"/>
        <v xml:space="preserve"> LO ESPEJO</v>
      </c>
      <c r="D226" s="10" t="str">
        <f ca="1">IFERROR(__xludf.DUMMYFUNCTION("""COMPUTED_VALUE"""),"Resolución de Transferencia")</f>
        <v>Resolución de Transferencia</v>
      </c>
      <c r="E226" s="26" t="str">
        <f ca="1">IFERROR(__xludf.DUMMYFUNCTION("""COMPUTED_VALUE"""),"MUNICIPALIDAD DE LO ESPEJO")</f>
        <v>MUNICIPALIDAD DE LO ESPEJO</v>
      </c>
      <c r="F226" s="11">
        <f ca="1">IFERROR(__xludf.DUMMYFUNCTION("""COMPUTED_VALUE"""),53555904)</f>
        <v>53555904</v>
      </c>
      <c r="G226" s="10" t="str">
        <f ca="1">IFERROR(__xludf.DUMMYFUNCTION("""COMPUTED_VALUE"""),"Resolución")</f>
        <v>Resolución</v>
      </c>
      <c r="H226" s="10" t="str">
        <f ca="1">IFERROR(__xludf.DUMMYFUNCTION("""COMPUTED_VALUE"""),"BONO ASEO EXTERNALIZADO")</f>
        <v>BONO ASEO EXTERNALIZADO</v>
      </c>
      <c r="I226" s="10" t="str">
        <f ca="1">IFERROR(__xludf.DUMMYFUNCTION("""COMPUTED_VALUE"""),"Cumplir con normativa y reglamentos internos del programa en base a los objetivos.")</f>
        <v>Cumplir con normativa y reglamentos internos del programa en base a los objetivos.</v>
      </c>
      <c r="J226" s="11">
        <f ca="1">IFERROR(__xludf.DUMMYFUNCTION("""COMPUTED_VALUE"""),53555904)</f>
        <v>53555904</v>
      </c>
      <c r="K226" s="27">
        <f ca="1">IFERROR(__xludf.DUMMYFUNCTION("""COMPUTED_VALUE"""),1)</f>
        <v>1</v>
      </c>
      <c r="L226" s="28" t="str">
        <f ca="1">IFERROR(__xludf.DUMMYFUNCTION("""COMPUTED_VALUE"""),"5/2024")</f>
        <v>5/2024</v>
      </c>
      <c r="M226" s="10" t="str">
        <f ca="1">IFERROR(__xludf.DUMMYFUNCTION("""COMPUTED_VALUE"""),"Predios Exentos")</f>
        <v>Predios Exentos</v>
      </c>
      <c r="N226" s="1"/>
      <c r="O226" s="1"/>
      <c r="P226" s="1"/>
      <c r="Q226" s="1"/>
      <c r="R226" s="1"/>
      <c r="S226" s="1"/>
      <c r="T226" s="1"/>
      <c r="U226" s="1"/>
      <c r="V226" s="1"/>
      <c r="W226" s="1"/>
      <c r="X226" s="1"/>
      <c r="Y226" s="1"/>
      <c r="Z226" s="1"/>
    </row>
    <row r="227" spans="1:26" ht="12.75" customHeight="1">
      <c r="A227" s="1"/>
      <c r="B227" s="10" t="str">
        <f ca="1">IFERROR(__xludf.DUMMYFUNCTION("""COMPUTED_VALUE"""),"Bono de aseo externalizado 2024")</f>
        <v>Bono de aseo externalizado 2024</v>
      </c>
      <c r="C227" s="26" t="str">
        <f t="shared" ca="1" si="0"/>
        <v xml:space="preserve"> LO PRADO</v>
      </c>
      <c r="D227" s="10" t="str">
        <f ca="1">IFERROR(__xludf.DUMMYFUNCTION("""COMPUTED_VALUE"""),"Resolución de Transferencia")</f>
        <v>Resolución de Transferencia</v>
      </c>
      <c r="E227" s="26" t="str">
        <f ca="1">IFERROR(__xludf.DUMMYFUNCTION("""COMPUTED_VALUE"""),"MUNICIPALIDAD DE LO PRADO")</f>
        <v>MUNICIPALIDAD DE LO PRADO</v>
      </c>
      <c r="F227" s="11">
        <f ca="1">IFERROR(__xludf.DUMMYFUNCTION("""COMPUTED_VALUE"""),65829132)</f>
        <v>65829132</v>
      </c>
      <c r="G227" s="10" t="str">
        <f ca="1">IFERROR(__xludf.DUMMYFUNCTION("""COMPUTED_VALUE"""),"Resolución")</f>
        <v>Resolución</v>
      </c>
      <c r="H227" s="10" t="str">
        <f ca="1">IFERROR(__xludf.DUMMYFUNCTION("""COMPUTED_VALUE"""),"BONO ASEO EXTERNALIZADO")</f>
        <v>BONO ASEO EXTERNALIZADO</v>
      </c>
      <c r="I227" s="10" t="str">
        <f ca="1">IFERROR(__xludf.DUMMYFUNCTION("""COMPUTED_VALUE"""),"Cumplir con normativa y reglamentos internos del programa en base a los objetivos.")</f>
        <v>Cumplir con normativa y reglamentos internos del programa en base a los objetivos.</v>
      </c>
      <c r="J227" s="11">
        <f ca="1">IFERROR(__xludf.DUMMYFUNCTION("""COMPUTED_VALUE"""),65829132)</f>
        <v>65829132</v>
      </c>
      <c r="K227" s="27">
        <f ca="1">IFERROR(__xludf.DUMMYFUNCTION("""COMPUTED_VALUE"""),1)</f>
        <v>1</v>
      </c>
      <c r="L227" s="28" t="str">
        <f ca="1">IFERROR(__xludf.DUMMYFUNCTION("""COMPUTED_VALUE"""),"5/2024")</f>
        <v>5/2024</v>
      </c>
      <c r="M227" s="10" t="str">
        <f ca="1">IFERROR(__xludf.DUMMYFUNCTION("""COMPUTED_VALUE"""),"Predios Exentos")</f>
        <v>Predios Exentos</v>
      </c>
      <c r="N227" s="1"/>
      <c r="O227" s="1"/>
      <c r="P227" s="1"/>
      <c r="Q227" s="1"/>
      <c r="R227" s="1"/>
      <c r="S227" s="1"/>
      <c r="T227" s="1"/>
      <c r="U227" s="1"/>
      <c r="V227" s="1"/>
      <c r="W227" s="1"/>
      <c r="X227" s="1"/>
      <c r="Y227" s="1"/>
      <c r="Z227" s="1"/>
    </row>
    <row r="228" spans="1:26" ht="12.75" customHeight="1">
      <c r="A228" s="1"/>
      <c r="B228" s="10" t="str">
        <f ca="1">IFERROR(__xludf.DUMMYFUNCTION("""COMPUTED_VALUE"""),"Bono de aseo externalizado 2024")</f>
        <v>Bono de aseo externalizado 2024</v>
      </c>
      <c r="C228" s="26" t="str">
        <f t="shared" ca="1" si="0"/>
        <v xml:space="preserve"> MACUL</v>
      </c>
      <c r="D228" s="10" t="str">
        <f ca="1">IFERROR(__xludf.DUMMYFUNCTION("""COMPUTED_VALUE"""),"Resolución de Transferencia")</f>
        <v>Resolución de Transferencia</v>
      </c>
      <c r="E228" s="26" t="str">
        <f ca="1">IFERROR(__xludf.DUMMYFUNCTION("""COMPUTED_VALUE"""),"MUNICIPALIDAD DE MACUL")</f>
        <v>MUNICIPALIDAD DE MACUL</v>
      </c>
      <c r="F228" s="11">
        <f ca="1">IFERROR(__xludf.DUMMYFUNCTION("""COMPUTED_VALUE"""),58018896)</f>
        <v>58018896</v>
      </c>
      <c r="G228" s="10" t="str">
        <f ca="1">IFERROR(__xludf.DUMMYFUNCTION("""COMPUTED_VALUE"""),"Resolución")</f>
        <v>Resolución</v>
      </c>
      <c r="H228" s="10" t="str">
        <f ca="1">IFERROR(__xludf.DUMMYFUNCTION("""COMPUTED_VALUE"""),"BONO ASEO EXTERNALIZADO")</f>
        <v>BONO ASEO EXTERNALIZADO</v>
      </c>
      <c r="I228" s="10" t="str">
        <f ca="1">IFERROR(__xludf.DUMMYFUNCTION("""COMPUTED_VALUE"""),"Cumplir con normativa y reglamentos internos del programa en base a los objetivos.")</f>
        <v>Cumplir con normativa y reglamentos internos del programa en base a los objetivos.</v>
      </c>
      <c r="J228" s="11">
        <f ca="1">IFERROR(__xludf.DUMMYFUNCTION("""COMPUTED_VALUE"""),58018896)</f>
        <v>58018896</v>
      </c>
      <c r="K228" s="27">
        <f ca="1">IFERROR(__xludf.DUMMYFUNCTION("""COMPUTED_VALUE"""),1)</f>
        <v>1</v>
      </c>
      <c r="L228" s="28" t="str">
        <f ca="1">IFERROR(__xludf.DUMMYFUNCTION("""COMPUTED_VALUE"""),"5/2024")</f>
        <v>5/2024</v>
      </c>
      <c r="M228" s="10" t="str">
        <f ca="1">IFERROR(__xludf.DUMMYFUNCTION("""COMPUTED_VALUE"""),"Predios Exentos")</f>
        <v>Predios Exentos</v>
      </c>
      <c r="N228" s="1"/>
      <c r="O228" s="1"/>
      <c r="P228" s="1"/>
      <c r="Q228" s="1"/>
      <c r="R228" s="1"/>
      <c r="S228" s="1"/>
      <c r="T228" s="1"/>
      <c r="U228" s="1"/>
      <c r="V228" s="1"/>
      <c r="W228" s="1"/>
      <c r="X228" s="1"/>
      <c r="Y228" s="1"/>
      <c r="Z228" s="1"/>
    </row>
    <row r="229" spans="1:26" ht="12.75" customHeight="1">
      <c r="A229" s="1"/>
      <c r="B229" s="10" t="str">
        <f ca="1">IFERROR(__xludf.DUMMYFUNCTION("""COMPUTED_VALUE"""),"Bono de aseo externalizado 2024")</f>
        <v>Bono de aseo externalizado 2024</v>
      </c>
      <c r="C229" s="26" t="str">
        <f t="shared" ca="1" si="0"/>
        <v xml:space="preserve"> MAIPÚ</v>
      </c>
      <c r="D229" s="10" t="str">
        <f ca="1">IFERROR(__xludf.DUMMYFUNCTION("""COMPUTED_VALUE"""),"Resolución de Transferencia")</f>
        <v>Resolución de Transferencia</v>
      </c>
      <c r="E229" s="26" t="str">
        <f ca="1">IFERROR(__xludf.DUMMYFUNCTION("""COMPUTED_VALUE"""),"MUNICIPALIDAD DE MAIPÚ")</f>
        <v>MUNICIPALIDAD DE MAIPÚ</v>
      </c>
      <c r="F229" s="11">
        <f ca="1">IFERROR(__xludf.DUMMYFUNCTION("""COMPUTED_VALUE"""),277821252)</f>
        <v>277821252</v>
      </c>
      <c r="G229" s="10" t="str">
        <f ca="1">IFERROR(__xludf.DUMMYFUNCTION("""COMPUTED_VALUE"""),"Resolución")</f>
        <v>Resolución</v>
      </c>
      <c r="H229" s="10" t="str">
        <f ca="1">IFERROR(__xludf.DUMMYFUNCTION("""COMPUTED_VALUE"""),"BONO ASEO EXTERNALIZADO")</f>
        <v>BONO ASEO EXTERNALIZADO</v>
      </c>
      <c r="I229" s="10" t="str">
        <f ca="1">IFERROR(__xludf.DUMMYFUNCTION("""COMPUTED_VALUE"""),"Cumplir con normativa y reglamentos internos del programa en base a los objetivos.")</f>
        <v>Cumplir con normativa y reglamentos internos del programa en base a los objetivos.</v>
      </c>
      <c r="J229" s="11">
        <f ca="1">IFERROR(__xludf.DUMMYFUNCTION("""COMPUTED_VALUE"""),277821252)</f>
        <v>277821252</v>
      </c>
      <c r="K229" s="27">
        <f ca="1">IFERROR(__xludf.DUMMYFUNCTION("""COMPUTED_VALUE"""),1)</f>
        <v>1</v>
      </c>
      <c r="L229" s="28" t="str">
        <f ca="1">IFERROR(__xludf.DUMMYFUNCTION("""COMPUTED_VALUE"""),"5/2024")</f>
        <v>5/2024</v>
      </c>
      <c r="M229" s="10" t="str">
        <f ca="1">IFERROR(__xludf.DUMMYFUNCTION("""COMPUTED_VALUE"""),"Predios Exentos")</f>
        <v>Predios Exentos</v>
      </c>
      <c r="N229" s="1"/>
      <c r="O229" s="1"/>
      <c r="P229" s="1"/>
      <c r="Q229" s="1"/>
      <c r="R229" s="1"/>
      <c r="S229" s="1"/>
      <c r="T229" s="1"/>
      <c r="U229" s="1"/>
      <c r="V229" s="1"/>
      <c r="W229" s="1"/>
      <c r="X229" s="1"/>
      <c r="Y229" s="1"/>
      <c r="Z229" s="1"/>
    </row>
    <row r="230" spans="1:26" ht="12.75" customHeight="1">
      <c r="A230" s="1"/>
      <c r="B230" s="10" t="str">
        <f ca="1">IFERROR(__xludf.DUMMYFUNCTION("""COMPUTED_VALUE"""),"Bono de aseo externalizado 2024")</f>
        <v>Bono de aseo externalizado 2024</v>
      </c>
      <c r="C230" s="26" t="str">
        <f t="shared" ca="1" si="0"/>
        <v xml:space="preserve"> ÑUÑOA</v>
      </c>
      <c r="D230" s="10" t="str">
        <f ca="1">IFERROR(__xludf.DUMMYFUNCTION("""COMPUTED_VALUE"""),"Resolución de Transferencia")</f>
        <v>Resolución de Transferencia</v>
      </c>
      <c r="E230" s="26" t="str">
        <f ca="1">IFERROR(__xludf.DUMMYFUNCTION("""COMPUTED_VALUE"""),"MUNICIPALIDAD DE ÑUÑOA")</f>
        <v>MUNICIPALIDAD DE ÑUÑOA</v>
      </c>
      <c r="F230" s="11">
        <f ca="1">IFERROR(__xludf.DUMMYFUNCTION("""COMPUTED_VALUE"""),243233064)</f>
        <v>243233064</v>
      </c>
      <c r="G230" s="10" t="str">
        <f ca="1">IFERROR(__xludf.DUMMYFUNCTION("""COMPUTED_VALUE"""),"Resolución")</f>
        <v>Resolución</v>
      </c>
      <c r="H230" s="10" t="str">
        <f ca="1">IFERROR(__xludf.DUMMYFUNCTION("""COMPUTED_VALUE"""),"BONO ASEO EXTERNALIZADO")</f>
        <v>BONO ASEO EXTERNALIZADO</v>
      </c>
      <c r="I230" s="10" t="str">
        <f ca="1">IFERROR(__xludf.DUMMYFUNCTION("""COMPUTED_VALUE"""),"Cumplir con normativa y reglamentos internos del programa en base a los objetivos.")</f>
        <v>Cumplir con normativa y reglamentos internos del programa en base a los objetivos.</v>
      </c>
      <c r="J230" s="11">
        <f ca="1">IFERROR(__xludf.DUMMYFUNCTION("""COMPUTED_VALUE"""),243233064)</f>
        <v>243233064</v>
      </c>
      <c r="K230" s="27">
        <f ca="1">IFERROR(__xludf.DUMMYFUNCTION("""COMPUTED_VALUE"""),1)</f>
        <v>1</v>
      </c>
      <c r="L230" s="28" t="str">
        <f ca="1">IFERROR(__xludf.DUMMYFUNCTION("""COMPUTED_VALUE"""),"5/2024")</f>
        <v>5/2024</v>
      </c>
      <c r="M230" s="10" t="str">
        <f ca="1">IFERROR(__xludf.DUMMYFUNCTION("""COMPUTED_VALUE"""),"Predios Exentos")</f>
        <v>Predios Exentos</v>
      </c>
      <c r="N230" s="1"/>
      <c r="O230" s="1"/>
      <c r="P230" s="1"/>
      <c r="Q230" s="1"/>
      <c r="R230" s="1"/>
      <c r="S230" s="1"/>
      <c r="T230" s="1"/>
      <c r="U230" s="1"/>
      <c r="V230" s="1"/>
      <c r="W230" s="1"/>
      <c r="X230" s="1"/>
      <c r="Y230" s="1"/>
      <c r="Z230" s="1"/>
    </row>
    <row r="231" spans="1:26" ht="12.75" customHeight="1">
      <c r="A231" s="1"/>
      <c r="B231" s="10" t="str">
        <f ca="1">IFERROR(__xludf.DUMMYFUNCTION("""COMPUTED_VALUE"""),"Bono de aseo externalizado 2024")</f>
        <v>Bono de aseo externalizado 2024</v>
      </c>
      <c r="C231" s="26" t="str">
        <f t="shared" ca="1" si="0"/>
        <v xml:space="preserve"> PEDRO AGUIRRE CERDA</v>
      </c>
      <c r="D231" s="10" t="str">
        <f ca="1">IFERROR(__xludf.DUMMYFUNCTION("""COMPUTED_VALUE"""),"Resolución de Transferencia")</f>
        <v>Resolución de Transferencia</v>
      </c>
      <c r="E231" s="26" t="str">
        <f ca="1">IFERROR(__xludf.DUMMYFUNCTION("""COMPUTED_VALUE"""),"MUNICIPALIDAD DE PEDRO AGUIRRE CERDA")</f>
        <v>MUNICIPALIDAD DE PEDRO AGUIRRE CERDA</v>
      </c>
      <c r="F231" s="11">
        <f ca="1">IFERROR(__xludf.DUMMYFUNCTION("""COMPUTED_VALUE"""),79218108)</f>
        <v>79218108</v>
      </c>
      <c r="G231" s="10" t="str">
        <f ca="1">IFERROR(__xludf.DUMMYFUNCTION("""COMPUTED_VALUE"""),"Resolución")</f>
        <v>Resolución</v>
      </c>
      <c r="H231" s="10" t="str">
        <f ca="1">IFERROR(__xludf.DUMMYFUNCTION("""COMPUTED_VALUE"""),"BONO ASEO EXTERNALIZADO")</f>
        <v>BONO ASEO EXTERNALIZADO</v>
      </c>
      <c r="I231" s="10" t="str">
        <f ca="1">IFERROR(__xludf.DUMMYFUNCTION("""COMPUTED_VALUE"""),"Cumplir con normativa y reglamentos internos del programa en base a los objetivos.")</f>
        <v>Cumplir con normativa y reglamentos internos del programa en base a los objetivos.</v>
      </c>
      <c r="J231" s="11">
        <f ca="1">IFERROR(__xludf.DUMMYFUNCTION("""COMPUTED_VALUE"""),79218108)</f>
        <v>79218108</v>
      </c>
      <c r="K231" s="27">
        <f ca="1">IFERROR(__xludf.DUMMYFUNCTION("""COMPUTED_VALUE"""),1)</f>
        <v>1</v>
      </c>
      <c r="L231" s="28" t="str">
        <f ca="1">IFERROR(__xludf.DUMMYFUNCTION("""COMPUTED_VALUE"""),"5/2024")</f>
        <v>5/2024</v>
      </c>
      <c r="M231" s="10" t="str">
        <f ca="1">IFERROR(__xludf.DUMMYFUNCTION("""COMPUTED_VALUE"""),"Predios Exentos")</f>
        <v>Predios Exentos</v>
      </c>
      <c r="N231" s="1"/>
      <c r="O231" s="1"/>
      <c r="P231" s="1"/>
      <c r="Q231" s="1"/>
      <c r="R231" s="1"/>
      <c r="S231" s="1"/>
      <c r="T231" s="1"/>
      <c r="U231" s="1"/>
      <c r="V231" s="1"/>
      <c r="W231" s="1"/>
      <c r="X231" s="1"/>
      <c r="Y231" s="1"/>
      <c r="Z231" s="1"/>
    </row>
    <row r="232" spans="1:26" ht="12.75" customHeight="1">
      <c r="A232" s="1"/>
      <c r="B232" s="10" t="str">
        <f ca="1">IFERROR(__xludf.DUMMYFUNCTION("""COMPUTED_VALUE"""),"Bono de aseo externalizado 2024")</f>
        <v>Bono de aseo externalizado 2024</v>
      </c>
      <c r="C232" s="26" t="str">
        <f t="shared" ca="1" si="0"/>
        <v xml:space="preserve"> PEÑALOLÉN</v>
      </c>
      <c r="D232" s="10" t="str">
        <f ca="1">IFERROR(__xludf.DUMMYFUNCTION("""COMPUTED_VALUE"""),"Resolución de Transferencia")</f>
        <v>Resolución de Transferencia</v>
      </c>
      <c r="E232" s="26" t="str">
        <f ca="1">IFERROR(__xludf.DUMMYFUNCTION("""COMPUTED_VALUE"""),"MUNICIPALIDAD DE PEÑALOLÉN")</f>
        <v>MUNICIPALIDAD DE PEÑALOLÉN</v>
      </c>
      <c r="F232" s="11">
        <f ca="1">IFERROR(__xludf.DUMMYFUNCTION("""COMPUTED_VALUE"""),217570860)</f>
        <v>217570860</v>
      </c>
      <c r="G232" s="10" t="str">
        <f ca="1">IFERROR(__xludf.DUMMYFUNCTION("""COMPUTED_VALUE"""),"Resolución")</f>
        <v>Resolución</v>
      </c>
      <c r="H232" s="10" t="str">
        <f ca="1">IFERROR(__xludf.DUMMYFUNCTION("""COMPUTED_VALUE"""),"BONO ASEO EXTERNALIZADO")</f>
        <v>BONO ASEO EXTERNALIZADO</v>
      </c>
      <c r="I232" s="10" t="str">
        <f ca="1">IFERROR(__xludf.DUMMYFUNCTION("""COMPUTED_VALUE"""),"Cumplir con normativa y reglamentos internos del programa en base a los objetivos.")</f>
        <v>Cumplir con normativa y reglamentos internos del programa en base a los objetivos.</v>
      </c>
      <c r="J232" s="11">
        <f ca="1">IFERROR(__xludf.DUMMYFUNCTION("""COMPUTED_VALUE"""),217570860)</f>
        <v>217570860</v>
      </c>
      <c r="K232" s="27">
        <f ca="1">IFERROR(__xludf.DUMMYFUNCTION("""COMPUTED_VALUE"""),1)</f>
        <v>1</v>
      </c>
      <c r="L232" s="28" t="str">
        <f ca="1">IFERROR(__xludf.DUMMYFUNCTION("""COMPUTED_VALUE"""),"5/2024")</f>
        <v>5/2024</v>
      </c>
      <c r="M232" s="10" t="str">
        <f ca="1">IFERROR(__xludf.DUMMYFUNCTION("""COMPUTED_VALUE"""),"Predios Exentos")</f>
        <v>Predios Exentos</v>
      </c>
      <c r="N232" s="1"/>
      <c r="O232" s="1"/>
      <c r="P232" s="1"/>
      <c r="Q232" s="1"/>
      <c r="R232" s="1"/>
      <c r="S232" s="1"/>
      <c r="T232" s="1"/>
      <c r="U232" s="1"/>
      <c r="V232" s="1"/>
      <c r="W232" s="1"/>
      <c r="X232" s="1"/>
      <c r="Y232" s="1"/>
      <c r="Z232" s="1"/>
    </row>
    <row r="233" spans="1:26" ht="12.75" customHeight="1">
      <c r="A233" s="1"/>
      <c r="B233" s="10" t="str">
        <f ca="1">IFERROR(__xludf.DUMMYFUNCTION("""COMPUTED_VALUE"""),"Bono de aseo externalizado 2024")</f>
        <v>Bono de aseo externalizado 2024</v>
      </c>
      <c r="C233" s="26" t="str">
        <f t="shared" ca="1" si="0"/>
        <v xml:space="preserve"> PROVIDENCIA</v>
      </c>
      <c r="D233" s="10" t="str">
        <f ca="1">IFERROR(__xludf.DUMMYFUNCTION("""COMPUTED_VALUE"""),"Resolución de Transferencia")</f>
        <v>Resolución de Transferencia</v>
      </c>
      <c r="E233" s="26" t="str">
        <f ca="1">IFERROR(__xludf.DUMMYFUNCTION("""COMPUTED_VALUE"""),"MUNICIPALIDAD DE PROVIDENCIA")</f>
        <v>MUNICIPALIDAD DE PROVIDENCIA</v>
      </c>
      <c r="F233" s="11">
        <f ca="1">IFERROR(__xludf.DUMMYFUNCTION("""COMPUTED_VALUE"""),307946448)</f>
        <v>307946448</v>
      </c>
      <c r="G233" s="10" t="str">
        <f ca="1">IFERROR(__xludf.DUMMYFUNCTION("""COMPUTED_VALUE"""),"Resolución")</f>
        <v>Resolución</v>
      </c>
      <c r="H233" s="10" t="str">
        <f ca="1">IFERROR(__xludf.DUMMYFUNCTION("""COMPUTED_VALUE"""),"BONO ASEO EXTERNALIZADO")</f>
        <v>BONO ASEO EXTERNALIZADO</v>
      </c>
      <c r="I233" s="10" t="str">
        <f ca="1">IFERROR(__xludf.DUMMYFUNCTION("""COMPUTED_VALUE"""),"Cumplir con normativa y reglamentos internos del programa en base a los objetivos.")</f>
        <v>Cumplir con normativa y reglamentos internos del programa en base a los objetivos.</v>
      </c>
      <c r="J233" s="11">
        <f ca="1">IFERROR(__xludf.DUMMYFUNCTION("""COMPUTED_VALUE"""),307946448)</f>
        <v>307946448</v>
      </c>
      <c r="K233" s="27">
        <f ca="1">IFERROR(__xludf.DUMMYFUNCTION("""COMPUTED_VALUE"""),1)</f>
        <v>1</v>
      </c>
      <c r="L233" s="28" t="str">
        <f ca="1">IFERROR(__xludf.DUMMYFUNCTION("""COMPUTED_VALUE"""),"5/2024")</f>
        <v>5/2024</v>
      </c>
      <c r="M233" s="10" t="str">
        <f ca="1">IFERROR(__xludf.DUMMYFUNCTION("""COMPUTED_VALUE"""),"Predios Exentos")</f>
        <v>Predios Exentos</v>
      </c>
      <c r="N233" s="1"/>
      <c r="O233" s="1"/>
      <c r="P233" s="1"/>
      <c r="Q233" s="1"/>
      <c r="R233" s="1"/>
      <c r="S233" s="1"/>
      <c r="T233" s="1"/>
      <c r="U233" s="1"/>
      <c r="V233" s="1"/>
      <c r="W233" s="1"/>
      <c r="X233" s="1"/>
      <c r="Y233" s="1"/>
      <c r="Z233" s="1"/>
    </row>
    <row r="234" spans="1:26" ht="12.75" customHeight="1">
      <c r="A234" s="1"/>
      <c r="B234" s="10" t="str">
        <f ca="1">IFERROR(__xludf.DUMMYFUNCTION("""COMPUTED_VALUE"""),"Bono de aseo externalizado 2024")</f>
        <v>Bono de aseo externalizado 2024</v>
      </c>
      <c r="C234" s="26" t="str">
        <f t="shared" ca="1" si="0"/>
        <v xml:space="preserve"> PUDAHUEL</v>
      </c>
      <c r="D234" s="10" t="str">
        <f ca="1">IFERROR(__xludf.DUMMYFUNCTION("""COMPUTED_VALUE"""),"Resolución de Transferencia")</f>
        <v>Resolución de Transferencia</v>
      </c>
      <c r="E234" s="26" t="str">
        <f ca="1">IFERROR(__xludf.DUMMYFUNCTION("""COMPUTED_VALUE"""),"MUNICIPALIDAD DE PUDAHUEL")</f>
        <v>MUNICIPALIDAD DE PUDAHUEL</v>
      </c>
      <c r="F234" s="11">
        <f ca="1">IFERROR(__xludf.DUMMYFUNCTION("""COMPUTED_VALUE"""),293441724)</f>
        <v>293441724</v>
      </c>
      <c r="G234" s="10" t="str">
        <f ca="1">IFERROR(__xludf.DUMMYFUNCTION("""COMPUTED_VALUE"""),"Resolución")</f>
        <v>Resolución</v>
      </c>
      <c r="H234" s="10" t="str">
        <f ca="1">IFERROR(__xludf.DUMMYFUNCTION("""COMPUTED_VALUE"""),"BONO ASEO EXTERNALIZADO")</f>
        <v>BONO ASEO EXTERNALIZADO</v>
      </c>
      <c r="I234" s="10" t="str">
        <f ca="1">IFERROR(__xludf.DUMMYFUNCTION("""COMPUTED_VALUE"""),"Cumplir con normativa y reglamentos internos del programa en base a los objetivos.")</f>
        <v>Cumplir con normativa y reglamentos internos del programa en base a los objetivos.</v>
      </c>
      <c r="J234" s="11">
        <f ca="1">IFERROR(__xludf.DUMMYFUNCTION("""COMPUTED_VALUE"""),293441724)</f>
        <v>293441724</v>
      </c>
      <c r="K234" s="27">
        <f ca="1">IFERROR(__xludf.DUMMYFUNCTION("""COMPUTED_VALUE"""),1)</f>
        <v>1</v>
      </c>
      <c r="L234" s="28" t="str">
        <f ca="1">IFERROR(__xludf.DUMMYFUNCTION("""COMPUTED_VALUE"""),"5/2024")</f>
        <v>5/2024</v>
      </c>
      <c r="M234" s="10" t="str">
        <f ca="1">IFERROR(__xludf.DUMMYFUNCTION("""COMPUTED_VALUE"""),"Predios Exentos")</f>
        <v>Predios Exentos</v>
      </c>
      <c r="N234" s="1"/>
      <c r="O234" s="1"/>
      <c r="P234" s="1"/>
      <c r="Q234" s="1"/>
      <c r="R234" s="1"/>
      <c r="S234" s="1"/>
      <c r="T234" s="1"/>
      <c r="U234" s="1"/>
      <c r="V234" s="1"/>
      <c r="W234" s="1"/>
      <c r="X234" s="1"/>
      <c r="Y234" s="1"/>
      <c r="Z234" s="1"/>
    </row>
    <row r="235" spans="1:26" ht="12.75" customHeight="1">
      <c r="A235" s="1"/>
      <c r="B235" s="10" t="str">
        <f ca="1">IFERROR(__xludf.DUMMYFUNCTION("""COMPUTED_VALUE"""),"Bono de aseo externalizado 2024")</f>
        <v>Bono de aseo externalizado 2024</v>
      </c>
      <c r="C235" s="26" t="str">
        <f t="shared" ca="1" si="0"/>
        <v xml:space="preserve"> QUILICURA</v>
      </c>
      <c r="D235" s="10" t="str">
        <f ca="1">IFERROR(__xludf.DUMMYFUNCTION("""COMPUTED_VALUE"""),"Resolución de Transferencia")</f>
        <v>Resolución de Transferencia</v>
      </c>
      <c r="E235" s="26" t="str">
        <f ca="1">IFERROR(__xludf.DUMMYFUNCTION("""COMPUTED_VALUE"""),"MUNICIPALIDAD DE QUILICURA")</f>
        <v>MUNICIPALIDAD DE QUILICURA</v>
      </c>
      <c r="F235" s="11">
        <f ca="1">IFERROR(__xludf.DUMMYFUNCTION("""COMPUTED_VALUE"""),127195272)</f>
        <v>127195272</v>
      </c>
      <c r="G235" s="10" t="str">
        <f ca="1">IFERROR(__xludf.DUMMYFUNCTION("""COMPUTED_VALUE"""),"Resolución")</f>
        <v>Resolución</v>
      </c>
      <c r="H235" s="10" t="str">
        <f ca="1">IFERROR(__xludf.DUMMYFUNCTION("""COMPUTED_VALUE"""),"BONO ASEO EXTERNALIZADO")</f>
        <v>BONO ASEO EXTERNALIZADO</v>
      </c>
      <c r="I235" s="10" t="str">
        <f ca="1">IFERROR(__xludf.DUMMYFUNCTION("""COMPUTED_VALUE"""),"Cumplir con normativa y reglamentos internos del programa en base a los objetivos.")</f>
        <v>Cumplir con normativa y reglamentos internos del programa en base a los objetivos.</v>
      </c>
      <c r="J235" s="11">
        <f ca="1">IFERROR(__xludf.DUMMYFUNCTION("""COMPUTED_VALUE"""),127195272)</f>
        <v>127195272</v>
      </c>
      <c r="K235" s="27">
        <f ca="1">IFERROR(__xludf.DUMMYFUNCTION("""COMPUTED_VALUE"""),1)</f>
        <v>1</v>
      </c>
      <c r="L235" s="28" t="str">
        <f ca="1">IFERROR(__xludf.DUMMYFUNCTION("""COMPUTED_VALUE"""),"5/2024")</f>
        <v>5/2024</v>
      </c>
      <c r="M235" s="10" t="str">
        <f ca="1">IFERROR(__xludf.DUMMYFUNCTION("""COMPUTED_VALUE"""),"Predios Exentos")</f>
        <v>Predios Exentos</v>
      </c>
      <c r="N235" s="1"/>
      <c r="O235" s="1"/>
      <c r="P235" s="1"/>
      <c r="Q235" s="1"/>
      <c r="R235" s="1"/>
      <c r="S235" s="1"/>
      <c r="T235" s="1"/>
      <c r="U235" s="1"/>
      <c r="V235" s="1"/>
      <c r="W235" s="1"/>
      <c r="X235" s="1"/>
      <c r="Y235" s="1"/>
      <c r="Z235" s="1"/>
    </row>
    <row r="236" spans="1:26" ht="12.75" customHeight="1">
      <c r="A236" s="1"/>
      <c r="B236" s="10" t="str">
        <f ca="1">IFERROR(__xludf.DUMMYFUNCTION("""COMPUTED_VALUE"""),"Bono de aseo externalizado 2024")</f>
        <v>Bono de aseo externalizado 2024</v>
      </c>
      <c r="C236" s="26" t="str">
        <f t="shared" ca="1" si="0"/>
        <v xml:space="preserve"> QUINTA NORMAL</v>
      </c>
      <c r="D236" s="10" t="str">
        <f ca="1">IFERROR(__xludf.DUMMYFUNCTION("""COMPUTED_VALUE"""),"Resolución de Transferencia")</f>
        <v>Resolución de Transferencia</v>
      </c>
      <c r="E236" s="26" t="str">
        <f ca="1">IFERROR(__xludf.DUMMYFUNCTION("""COMPUTED_VALUE"""),"MUNICIPALIDAD DE QUINTA NORMAL")</f>
        <v>MUNICIPALIDAD DE QUINTA NORMAL</v>
      </c>
      <c r="F236" s="11">
        <f ca="1">IFERROR(__xludf.DUMMYFUNCTION("""COMPUTED_VALUE"""),66944880)</f>
        <v>66944880</v>
      </c>
      <c r="G236" s="10" t="str">
        <f ca="1">IFERROR(__xludf.DUMMYFUNCTION("""COMPUTED_VALUE"""),"Resolución")</f>
        <v>Resolución</v>
      </c>
      <c r="H236" s="10" t="str">
        <f ca="1">IFERROR(__xludf.DUMMYFUNCTION("""COMPUTED_VALUE"""),"BONO ASEO EXTERNALIZADO")</f>
        <v>BONO ASEO EXTERNALIZADO</v>
      </c>
      <c r="I236" s="10" t="str">
        <f ca="1">IFERROR(__xludf.DUMMYFUNCTION("""COMPUTED_VALUE"""),"Cumplir con normativa y reglamentos internos del programa en base a los objetivos.")</f>
        <v>Cumplir con normativa y reglamentos internos del programa en base a los objetivos.</v>
      </c>
      <c r="J236" s="11">
        <f ca="1">IFERROR(__xludf.DUMMYFUNCTION("""COMPUTED_VALUE"""),66944880)</f>
        <v>66944880</v>
      </c>
      <c r="K236" s="27">
        <f ca="1">IFERROR(__xludf.DUMMYFUNCTION("""COMPUTED_VALUE"""),1)</f>
        <v>1</v>
      </c>
      <c r="L236" s="28" t="str">
        <f ca="1">IFERROR(__xludf.DUMMYFUNCTION("""COMPUTED_VALUE"""),"5/2024")</f>
        <v>5/2024</v>
      </c>
      <c r="M236" s="10" t="str">
        <f ca="1">IFERROR(__xludf.DUMMYFUNCTION("""COMPUTED_VALUE"""),"Predios Exentos")</f>
        <v>Predios Exentos</v>
      </c>
      <c r="N236" s="1"/>
      <c r="O236" s="1"/>
      <c r="P236" s="1"/>
      <c r="Q236" s="1"/>
      <c r="R236" s="1"/>
      <c r="S236" s="1"/>
      <c r="T236" s="1"/>
      <c r="U236" s="1"/>
      <c r="V236" s="1"/>
      <c r="W236" s="1"/>
      <c r="X236" s="1"/>
      <c r="Y236" s="1"/>
      <c r="Z236" s="1"/>
    </row>
    <row r="237" spans="1:26" ht="12.75" customHeight="1">
      <c r="A237" s="1"/>
      <c r="B237" s="10" t="str">
        <f ca="1">IFERROR(__xludf.DUMMYFUNCTION("""COMPUTED_VALUE"""),"Bono de aseo externalizado 2024")</f>
        <v>Bono de aseo externalizado 2024</v>
      </c>
      <c r="C237" s="26" t="str">
        <f t="shared" ca="1" si="0"/>
        <v xml:space="preserve"> RECOLETA</v>
      </c>
      <c r="D237" s="10" t="str">
        <f ca="1">IFERROR(__xludf.DUMMYFUNCTION("""COMPUTED_VALUE"""),"Resolución de Transferencia")</f>
        <v>Resolución de Transferencia</v>
      </c>
      <c r="E237" s="26" t="str">
        <f ca="1">IFERROR(__xludf.DUMMYFUNCTION("""COMPUTED_VALUE"""),"MUNICIPALIDAD DE RECOLETA")</f>
        <v>MUNICIPALIDAD DE RECOLETA</v>
      </c>
      <c r="F237" s="11">
        <f ca="1">IFERROR(__xludf.DUMMYFUNCTION("""COMPUTED_VALUE"""),177403932)</f>
        <v>177403932</v>
      </c>
      <c r="G237" s="10" t="str">
        <f ca="1">IFERROR(__xludf.DUMMYFUNCTION("""COMPUTED_VALUE"""),"Resolución")</f>
        <v>Resolución</v>
      </c>
      <c r="H237" s="10" t="str">
        <f ca="1">IFERROR(__xludf.DUMMYFUNCTION("""COMPUTED_VALUE"""),"BONO ASEO EXTERNALIZADO")</f>
        <v>BONO ASEO EXTERNALIZADO</v>
      </c>
      <c r="I237" s="10" t="str">
        <f ca="1">IFERROR(__xludf.DUMMYFUNCTION("""COMPUTED_VALUE"""),"Cumplir con normativa y reglamentos internos del programa en base a los objetivos.")</f>
        <v>Cumplir con normativa y reglamentos internos del programa en base a los objetivos.</v>
      </c>
      <c r="J237" s="11">
        <f ca="1">IFERROR(__xludf.DUMMYFUNCTION("""COMPUTED_VALUE"""),177403932)</f>
        <v>177403932</v>
      </c>
      <c r="K237" s="27">
        <f ca="1">IFERROR(__xludf.DUMMYFUNCTION("""COMPUTED_VALUE"""),1)</f>
        <v>1</v>
      </c>
      <c r="L237" s="28" t="str">
        <f ca="1">IFERROR(__xludf.DUMMYFUNCTION("""COMPUTED_VALUE"""),"5/2024")</f>
        <v>5/2024</v>
      </c>
      <c r="M237" s="10" t="str">
        <f ca="1">IFERROR(__xludf.DUMMYFUNCTION("""COMPUTED_VALUE"""),"Predios Exentos")</f>
        <v>Predios Exentos</v>
      </c>
      <c r="N237" s="1"/>
      <c r="O237" s="1"/>
      <c r="P237" s="1"/>
      <c r="Q237" s="1"/>
      <c r="R237" s="1"/>
      <c r="S237" s="1"/>
      <c r="T237" s="1"/>
      <c r="U237" s="1"/>
      <c r="V237" s="1"/>
      <c r="W237" s="1"/>
      <c r="X237" s="1"/>
      <c r="Y237" s="1"/>
      <c r="Z237" s="1"/>
    </row>
    <row r="238" spans="1:26" ht="12.75" customHeight="1">
      <c r="A238" s="1"/>
      <c r="B238" s="10" t="str">
        <f ca="1">IFERROR(__xludf.DUMMYFUNCTION("""COMPUTED_VALUE"""),"Bono de aseo externalizado 2024")</f>
        <v>Bono de aseo externalizado 2024</v>
      </c>
      <c r="C238" s="26" t="str">
        <f t="shared" ca="1" si="0"/>
        <v xml:space="preserve"> RENCA</v>
      </c>
      <c r="D238" s="10" t="str">
        <f ca="1">IFERROR(__xludf.DUMMYFUNCTION("""COMPUTED_VALUE"""),"Resolución de Transferencia")</f>
        <v>Resolución de Transferencia</v>
      </c>
      <c r="E238" s="26" t="str">
        <f ca="1">IFERROR(__xludf.DUMMYFUNCTION("""COMPUTED_VALUE"""),"MUNICIPALIDAD DE RENCA")</f>
        <v>MUNICIPALIDAD DE RENCA</v>
      </c>
      <c r="F238" s="11">
        <f ca="1">IFERROR(__xludf.DUMMYFUNCTION("""COMPUTED_VALUE"""),120500784)</f>
        <v>120500784</v>
      </c>
      <c r="G238" s="10" t="str">
        <f ca="1">IFERROR(__xludf.DUMMYFUNCTION("""COMPUTED_VALUE"""),"Resolución")</f>
        <v>Resolución</v>
      </c>
      <c r="H238" s="10" t="str">
        <f ca="1">IFERROR(__xludf.DUMMYFUNCTION("""COMPUTED_VALUE"""),"BONO ASEO EXTERNALIZADO")</f>
        <v>BONO ASEO EXTERNALIZADO</v>
      </c>
      <c r="I238" s="10" t="str">
        <f ca="1">IFERROR(__xludf.DUMMYFUNCTION("""COMPUTED_VALUE"""),"Cumplir con normativa y reglamentos internos del programa en base a los objetivos.")</f>
        <v>Cumplir con normativa y reglamentos internos del programa en base a los objetivos.</v>
      </c>
      <c r="J238" s="11">
        <f ca="1">IFERROR(__xludf.DUMMYFUNCTION("""COMPUTED_VALUE"""),120500784)</f>
        <v>120500784</v>
      </c>
      <c r="K238" s="27">
        <f ca="1">IFERROR(__xludf.DUMMYFUNCTION("""COMPUTED_VALUE"""),1)</f>
        <v>1</v>
      </c>
      <c r="L238" s="28" t="str">
        <f ca="1">IFERROR(__xludf.DUMMYFUNCTION("""COMPUTED_VALUE"""),"5/2024")</f>
        <v>5/2024</v>
      </c>
      <c r="M238" s="10" t="str">
        <f ca="1">IFERROR(__xludf.DUMMYFUNCTION("""COMPUTED_VALUE"""),"Predios Exentos")</f>
        <v>Predios Exentos</v>
      </c>
      <c r="N238" s="1"/>
      <c r="O238" s="1"/>
      <c r="P238" s="1"/>
      <c r="Q238" s="1"/>
      <c r="R238" s="1"/>
      <c r="S238" s="1"/>
      <c r="T238" s="1"/>
      <c r="U238" s="1"/>
      <c r="V238" s="1"/>
      <c r="W238" s="1"/>
      <c r="X238" s="1"/>
      <c r="Y238" s="1"/>
      <c r="Z238" s="1"/>
    </row>
    <row r="239" spans="1:26" ht="12.75" customHeight="1">
      <c r="A239" s="1"/>
      <c r="B239" s="10" t="str">
        <f ca="1">IFERROR(__xludf.DUMMYFUNCTION("""COMPUTED_VALUE"""),"Bono de aseo externalizado 2024")</f>
        <v>Bono de aseo externalizado 2024</v>
      </c>
      <c r="C239" s="26" t="str">
        <f t="shared" ca="1" si="0"/>
        <v xml:space="preserve"> SAN JOAQUÍN</v>
      </c>
      <c r="D239" s="10" t="str">
        <f ca="1">IFERROR(__xludf.DUMMYFUNCTION("""COMPUTED_VALUE"""),"Resolución de Transferencia")</f>
        <v>Resolución de Transferencia</v>
      </c>
      <c r="E239" s="26" t="str">
        <f ca="1">IFERROR(__xludf.DUMMYFUNCTION("""COMPUTED_VALUE"""),"MUNICIPALIDAD DE SAN JOAQUÍN")</f>
        <v>MUNICIPALIDAD DE SAN JOAQUÍN</v>
      </c>
      <c r="F239" s="11">
        <f ca="1">IFERROR(__xludf.DUMMYFUNCTION("""COMPUTED_VALUE"""),92607084)</f>
        <v>92607084</v>
      </c>
      <c r="G239" s="10" t="str">
        <f ca="1">IFERROR(__xludf.DUMMYFUNCTION("""COMPUTED_VALUE"""),"Resolución")</f>
        <v>Resolución</v>
      </c>
      <c r="H239" s="10" t="str">
        <f ca="1">IFERROR(__xludf.DUMMYFUNCTION("""COMPUTED_VALUE"""),"BONO ASEO EXTERNALIZADO")</f>
        <v>BONO ASEO EXTERNALIZADO</v>
      </c>
      <c r="I239" s="10" t="str">
        <f ca="1">IFERROR(__xludf.DUMMYFUNCTION("""COMPUTED_VALUE"""),"Cumplir con normativa y reglamentos internos del programa en base a los objetivos.")</f>
        <v>Cumplir con normativa y reglamentos internos del programa en base a los objetivos.</v>
      </c>
      <c r="J239" s="11">
        <f ca="1">IFERROR(__xludf.DUMMYFUNCTION("""COMPUTED_VALUE"""),92607084)</f>
        <v>92607084</v>
      </c>
      <c r="K239" s="27">
        <f ca="1">IFERROR(__xludf.DUMMYFUNCTION("""COMPUTED_VALUE"""),1)</f>
        <v>1</v>
      </c>
      <c r="L239" s="28" t="str">
        <f ca="1">IFERROR(__xludf.DUMMYFUNCTION("""COMPUTED_VALUE"""),"5/2024")</f>
        <v>5/2024</v>
      </c>
      <c r="M239" s="10" t="str">
        <f ca="1">IFERROR(__xludf.DUMMYFUNCTION("""COMPUTED_VALUE"""),"Predios Exentos")</f>
        <v>Predios Exentos</v>
      </c>
      <c r="N239" s="1"/>
      <c r="O239" s="1"/>
      <c r="P239" s="1"/>
      <c r="Q239" s="1"/>
      <c r="R239" s="1"/>
      <c r="S239" s="1"/>
      <c r="T239" s="1"/>
      <c r="U239" s="1"/>
      <c r="V239" s="1"/>
      <c r="W239" s="1"/>
      <c r="X239" s="1"/>
      <c r="Y239" s="1"/>
      <c r="Z239" s="1"/>
    </row>
    <row r="240" spans="1:26" ht="12.75" customHeight="1">
      <c r="A240" s="1"/>
      <c r="B240" s="10" t="str">
        <f ca="1">IFERROR(__xludf.DUMMYFUNCTION("""COMPUTED_VALUE"""),"Bono de aseo externalizado 2024")</f>
        <v>Bono de aseo externalizado 2024</v>
      </c>
      <c r="C240" s="26" t="str">
        <f t="shared" ca="1" si="0"/>
        <v xml:space="preserve"> SAN MIGUEL</v>
      </c>
      <c r="D240" s="10" t="str">
        <f ca="1">IFERROR(__xludf.DUMMYFUNCTION("""COMPUTED_VALUE"""),"Resolución de Transferencia")</f>
        <v>Resolución de Transferencia</v>
      </c>
      <c r="E240" s="26" t="str">
        <f ca="1">IFERROR(__xludf.DUMMYFUNCTION("""COMPUTED_VALUE"""),"MUNICIPALIDAD DE SAN MIGUEL")</f>
        <v>MUNICIPALIDAD DE SAN MIGUEL</v>
      </c>
      <c r="F240" s="11">
        <f ca="1">IFERROR(__xludf.DUMMYFUNCTION("""COMPUTED_VALUE"""),66944880)</f>
        <v>66944880</v>
      </c>
      <c r="G240" s="10" t="str">
        <f ca="1">IFERROR(__xludf.DUMMYFUNCTION("""COMPUTED_VALUE"""),"Resolución")</f>
        <v>Resolución</v>
      </c>
      <c r="H240" s="10" t="str">
        <f ca="1">IFERROR(__xludf.DUMMYFUNCTION("""COMPUTED_VALUE"""),"BONO ASEO EXTERNALIZADO")</f>
        <v>BONO ASEO EXTERNALIZADO</v>
      </c>
      <c r="I240" s="10" t="str">
        <f ca="1">IFERROR(__xludf.DUMMYFUNCTION("""COMPUTED_VALUE"""),"Cumplir con normativa y reglamentos internos del programa en base a los objetivos.")</f>
        <v>Cumplir con normativa y reglamentos internos del programa en base a los objetivos.</v>
      </c>
      <c r="J240" s="11">
        <f ca="1">IFERROR(__xludf.DUMMYFUNCTION("""COMPUTED_VALUE"""),66944880)</f>
        <v>66944880</v>
      </c>
      <c r="K240" s="27">
        <f ca="1">IFERROR(__xludf.DUMMYFUNCTION("""COMPUTED_VALUE"""),1)</f>
        <v>1</v>
      </c>
      <c r="L240" s="28" t="str">
        <f ca="1">IFERROR(__xludf.DUMMYFUNCTION("""COMPUTED_VALUE"""),"5/2024")</f>
        <v>5/2024</v>
      </c>
      <c r="M240" s="10" t="str">
        <f ca="1">IFERROR(__xludf.DUMMYFUNCTION("""COMPUTED_VALUE"""),"Predios Exentos")</f>
        <v>Predios Exentos</v>
      </c>
      <c r="N240" s="1"/>
      <c r="O240" s="1"/>
      <c r="P240" s="1"/>
      <c r="Q240" s="1"/>
      <c r="R240" s="1"/>
      <c r="S240" s="1"/>
      <c r="T240" s="1"/>
      <c r="U240" s="1"/>
      <c r="V240" s="1"/>
      <c r="W240" s="1"/>
      <c r="X240" s="1"/>
      <c r="Y240" s="1"/>
      <c r="Z240" s="1"/>
    </row>
    <row r="241" spans="1:26" ht="12.75" customHeight="1">
      <c r="A241" s="1"/>
      <c r="B241" s="10" t="str">
        <f ca="1">IFERROR(__xludf.DUMMYFUNCTION("""COMPUTED_VALUE"""),"Bono de aseo externalizado 2024")</f>
        <v>Bono de aseo externalizado 2024</v>
      </c>
      <c r="C241" s="26" t="str">
        <f t="shared" ca="1" si="0"/>
        <v xml:space="preserve"> SAN RAMÓN</v>
      </c>
      <c r="D241" s="10" t="str">
        <f ca="1">IFERROR(__xludf.DUMMYFUNCTION("""COMPUTED_VALUE"""),"Resolución de Transferencia")</f>
        <v>Resolución de Transferencia</v>
      </c>
      <c r="E241" s="26" t="str">
        <f ca="1">IFERROR(__xludf.DUMMYFUNCTION("""COMPUTED_VALUE"""),"MUNICIPALIDAD DE SAN RAMÓN")</f>
        <v>MUNICIPALIDAD DE SAN RAMÓN</v>
      </c>
      <c r="F241" s="11">
        <f ca="1">IFERROR(__xludf.DUMMYFUNCTION("""COMPUTED_VALUE"""),69176376)</f>
        <v>69176376</v>
      </c>
      <c r="G241" s="10" t="str">
        <f ca="1">IFERROR(__xludf.DUMMYFUNCTION("""COMPUTED_VALUE"""),"Resolución")</f>
        <v>Resolución</v>
      </c>
      <c r="H241" s="10" t="str">
        <f ca="1">IFERROR(__xludf.DUMMYFUNCTION("""COMPUTED_VALUE"""),"BONO ASEO EXTERNALIZADO")</f>
        <v>BONO ASEO EXTERNALIZADO</v>
      </c>
      <c r="I241" s="10" t="str">
        <f ca="1">IFERROR(__xludf.DUMMYFUNCTION("""COMPUTED_VALUE"""),"Cumplir con normativa y reglamentos internos del programa en base a los objetivos.")</f>
        <v>Cumplir con normativa y reglamentos internos del programa en base a los objetivos.</v>
      </c>
      <c r="J241" s="11">
        <f ca="1">IFERROR(__xludf.DUMMYFUNCTION("""COMPUTED_VALUE"""),69176376)</f>
        <v>69176376</v>
      </c>
      <c r="K241" s="27">
        <f ca="1">IFERROR(__xludf.DUMMYFUNCTION("""COMPUTED_VALUE"""),1)</f>
        <v>1</v>
      </c>
      <c r="L241" s="28" t="str">
        <f ca="1">IFERROR(__xludf.DUMMYFUNCTION("""COMPUTED_VALUE"""),"5/2024")</f>
        <v>5/2024</v>
      </c>
      <c r="M241" s="10" t="str">
        <f ca="1">IFERROR(__xludf.DUMMYFUNCTION("""COMPUTED_VALUE"""),"Predios Exentos")</f>
        <v>Predios Exentos</v>
      </c>
      <c r="N241" s="1"/>
      <c r="O241" s="1"/>
      <c r="P241" s="1"/>
      <c r="Q241" s="1"/>
      <c r="R241" s="1"/>
      <c r="S241" s="1"/>
      <c r="T241" s="1"/>
      <c r="U241" s="1"/>
      <c r="V241" s="1"/>
      <c r="W241" s="1"/>
      <c r="X241" s="1"/>
      <c r="Y241" s="1"/>
      <c r="Z241" s="1"/>
    </row>
    <row r="242" spans="1:26" ht="12.75" customHeight="1">
      <c r="A242" s="1"/>
      <c r="B242" s="10" t="str">
        <f ca="1">IFERROR(__xludf.DUMMYFUNCTION("""COMPUTED_VALUE"""),"Bono de aseo externalizado 2024")</f>
        <v>Bono de aseo externalizado 2024</v>
      </c>
      <c r="C242" s="26" t="str">
        <f t="shared" ca="1" si="0"/>
        <v xml:space="preserve"> VITACURA</v>
      </c>
      <c r="D242" s="10" t="str">
        <f ca="1">IFERROR(__xludf.DUMMYFUNCTION("""COMPUTED_VALUE"""),"Resolución de Transferencia")</f>
        <v>Resolución de Transferencia</v>
      </c>
      <c r="E242" s="26" t="str">
        <f ca="1">IFERROR(__xludf.DUMMYFUNCTION("""COMPUTED_VALUE"""),"MUNICIPALIDAD DE VITACURA")</f>
        <v>MUNICIPALIDAD DE VITACURA</v>
      </c>
      <c r="F242" s="11">
        <f ca="1">IFERROR(__xludf.DUMMYFUNCTION("""COMPUTED_VALUE"""),190792908)</f>
        <v>190792908</v>
      </c>
      <c r="G242" s="10" t="str">
        <f ca="1">IFERROR(__xludf.DUMMYFUNCTION("""COMPUTED_VALUE"""),"Resolución")</f>
        <v>Resolución</v>
      </c>
      <c r="H242" s="10" t="str">
        <f ca="1">IFERROR(__xludf.DUMMYFUNCTION("""COMPUTED_VALUE"""),"BONO ASEO EXTERNALIZADO")</f>
        <v>BONO ASEO EXTERNALIZADO</v>
      </c>
      <c r="I242" s="10" t="str">
        <f ca="1">IFERROR(__xludf.DUMMYFUNCTION("""COMPUTED_VALUE"""),"Cumplir con normativa y reglamentos internos del programa en base a los objetivos.")</f>
        <v>Cumplir con normativa y reglamentos internos del programa en base a los objetivos.</v>
      </c>
      <c r="J242" s="11">
        <f ca="1">IFERROR(__xludf.DUMMYFUNCTION("""COMPUTED_VALUE"""),190792908)</f>
        <v>190792908</v>
      </c>
      <c r="K242" s="27">
        <f ca="1">IFERROR(__xludf.DUMMYFUNCTION("""COMPUTED_VALUE"""),1)</f>
        <v>1</v>
      </c>
      <c r="L242" s="28" t="str">
        <f ca="1">IFERROR(__xludf.DUMMYFUNCTION("""COMPUTED_VALUE"""),"5/2024")</f>
        <v>5/2024</v>
      </c>
      <c r="M242" s="10" t="str">
        <f ca="1">IFERROR(__xludf.DUMMYFUNCTION("""COMPUTED_VALUE"""),"Predios Exentos")</f>
        <v>Predios Exentos</v>
      </c>
      <c r="N242" s="1"/>
      <c r="O242" s="1"/>
      <c r="P242" s="1"/>
      <c r="Q242" s="1"/>
      <c r="R242" s="1"/>
      <c r="S242" s="1"/>
      <c r="T242" s="1"/>
      <c r="U242" s="1"/>
      <c r="V242" s="1"/>
      <c r="W242" s="1"/>
      <c r="X242" s="1"/>
      <c r="Y242" s="1"/>
      <c r="Z242" s="1"/>
    </row>
    <row r="243" spans="1:26" ht="12.75" customHeight="1">
      <c r="A243" s="1"/>
      <c r="B243" s="10" t="str">
        <f ca="1">IFERROR(__xludf.DUMMYFUNCTION("""COMPUTED_VALUE"""),"Bono de aseo externalizado 2024")</f>
        <v>Bono de aseo externalizado 2024</v>
      </c>
      <c r="C243" s="26" t="str">
        <f t="shared" ca="1" si="0"/>
        <v xml:space="preserve"> PUENTE ALTO</v>
      </c>
      <c r="D243" s="10" t="str">
        <f ca="1">IFERROR(__xludf.DUMMYFUNCTION("""COMPUTED_VALUE"""),"Resolución de Transferencia")</f>
        <v>Resolución de Transferencia</v>
      </c>
      <c r="E243" s="26" t="str">
        <f ca="1">IFERROR(__xludf.DUMMYFUNCTION("""COMPUTED_VALUE"""),"MUNICIPALIDAD DE PUENTE ALTO")</f>
        <v>MUNICIPALIDAD DE PUENTE ALTO</v>
      </c>
      <c r="F243" s="11">
        <f ca="1">IFERROR(__xludf.DUMMYFUNCTION("""COMPUTED_VALUE"""),323566920)</f>
        <v>323566920</v>
      </c>
      <c r="G243" s="10" t="str">
        <f ca="1">IFERROR(__xludf.DUMMYFUNCTION("""COMPUTED_VALUE"""),"Resolución")</f>
        <v>Resolución</v>
      </c>
      <c r="H243" s="10" t="str">
        <f ca="1">IFERROR(__xludf.DUMMYFUNCTION("""COMPUTED_VALUE"""),"BONO ASEO EXTERNALIZADO")</f>
        <v>BONO ASEO EXTERNALIZADO</v>
      </c>
      <c r="I243" s="10" t="str">
        <f ca="1">IFERROR(__xludf.DUMMYFUNCTION("""COMPUTED_VALUE"""),"Cumplir con normativa y reglamentos internos del programa en base a los objetivos.")</f>
        <v>Cumplir con normativa y reglamentos internos del programa en base a los objetivos.</v>
      </c>
      <c r="J243" s="11">
        <f ca="1">IFERROR(__xludf.DUMMYFUNCTION("""COMPUTED_VALUE"""),323566920)</f>
        <v>323566920</v>
      </c>
      <c r="K243" s="27">
        <f ca="1">IFERROR(__xludf.DUMMYFUNCTION("""COMPUTED_VALUE"""),1)</f>
        <v>1</v>
      </c>
      <c r="L243" s="28" t="str">
        <f ca="1">IFERROR(__xludf.DUMMYFUNCTION("""COMPUTED_VALUE"""),"5/2024")</f>
        <v>5/2024</v>
      </c>
      <c r="M243" s="10" t="str">
        <f ca="1">IFERROR(__xludf.DUMMYFUNCTION("""COMPUTED_VALUE"""),"Predios Exentos")</f>
        <v>Predios Exentos</v>
      </c>
      <c r="N243" s="1"/>
      <c r="O243" s="1"/>
      <c r="P243" s="1"/>
      <c r="Q243" s="1"/>
      <c r="R243" s="1"/>
      <c r="S243" s="1"/>
      <c r="T243" s="1"/>
      <c r="U243" s="1"/>
      <c r="V243" s="1"/>
      <c r="W243" s="1"/>
      <c r="X243" s="1"/>
      <c r="Y243" s="1"/>
      <c r="Z243" s="1"/>
    </row>
    <row r="244" spans="1:26" ht="12.75" customHeight="1">
      <c r="A244" s="1"/>
      <c r="B244" s="10" t="str">
        <f ca="1">IFERROR(__xludf.DUMMYFUNCTION("""COMPUTED_VALUE"""),"Bono de aseo externalizado 2024")</f>
        <v>Bono de aseo externalizado 2024</v>
      </c>
      <c r="C244" s="26" t="str">
        <f t="shared" ca="1" si="0"/>
        <v xml:space="preserve"> PIRQUE</v>
      </c>
      <c r="D244" s="10" t="str">
        <f ca="1">IFERROR(__xludf.DUMMYFUNCTION("""COMPUTED_VALUE"""),"Resolución de Transferencia")</f>
        <v>Resolución de Transferencia</v>
      </c>
      <c r="E244" s="26" t="str">
        <f ca="1">IFERROR(__xludf.DUMMYFUNCTION("""COMPUTED_VALUE"""),"MUNICIPALIDAD DE PIRQUE")</f>
        <v>MUNICIPALIDAD DE PIRQUE</v>
      </c>
      <c r="F244" s="11">
        <f ca="1">IFERROR(__xludf.DUMMYFUNCTION("""COMPUTED_VALUE"""),21199212)</f>
        <v>21199212</v>
      </c>
      <c r="G244" s="10" t="str">
        <f ca="1">IFERROR(__xludf.DUMMYFUNCTION("""COMPUTED_VALUE"""),"Resolución")</f>
        <v>Resolución</v>
      </c>
      <c r="H244" s="10" t="str">
        <f ca="1">IFERROR(__xludf.DUMMYFUNCTION("""COMPUTED_VALUE"""),"BONO ASEO EXTERNALIZADO")</f>
        <v>BONO ASEO EXTERNALIZADO</v>
      </c>
      <c r="I244" s="10" t="str">
        <f ca="1">IFERROR(__xludf.DUMMYFUNCTION("""COMPUTED_VALUE"""),"Cumplir con normativa y reglamentos internos del programa en base a los objetivos.")</f>
        <v>Cumplir con normativa y reglamentos internos del programa en base a los objetivos.</v>
      </c>
      <c r="J244" s="11">
        <f ca="1">IFERROR(__xludf.DUMMYFUNCTION("""COMPUTED_VALUE"""),21199212)</f>
        <v>21199212</v>
      </c>
      <c r="K244" s="27">
        <f ca="1">IFERROR(__xludf.DUMMYFUNCTION("""COMPUTED_VALUE"""),1)</f>
        <v>1</v>
      </c>
      <c r="L244" s="28" t="str">
        <f ca="1">IFERROR(__xludf.DUMMYFUNCTION("""COMPUTED_VALUE"""),"5/2024")</f>
        <v>5/2024</v>
      </c>
      <c r="M244" s="10" t="str">
        <f ca="1">IFERROR(__xludf.DUMMYFUNCTION("""COMPUTED_VALUE"""),"Predios Exentos")</f>
        <v>Predios Exentos</v>
      </c>
      <c r="N244" s="1"/>
      <c r="O244" s="1"/>
      <c r="P244" s="1"/>
      <c r="Q244" s="1"/>
      <c r="R244" s="1"/>
      <c r="S244" s="1"/>
      <c r="T244" s="1"/>
      <c r="U244" s="1"/>
      <c r="V244" s="1"/>
      <c r="W244" s="1"/>
      <c r="X244" s="1"/>
      <c r="Y244" s="1"/>
      <c r="Z244" s="1"/>
    </row>
    <row r="245" spans="1:26" ht="12.75" customHeight="1">
      <c r="A245" s="1"/>
      <c r="B245" s="10" t="str">
        <f ca="1">IFERROR(__xludf.DUMMYFUNCTION("""COMPUTED_VALUE"""),"Bono de aseo externalizado 2024")</f>
        <v>Bono de aseo externalizado 2024</v>
      </c>
      <c r="C245" s="26" t="str">
        <f t="shared" ca="1" si="0"/>
        <v xml:space="preserve"> SAN JOSÉ DE MAIPO</v>
      </c>
      <c r="D245" s="10" t="str">
        <f ca="1">IFERROR(__xludf.DUMMYFUNCTION("""COMPUTED_VALUE"""),"Resolución de Transferencia")</f>
        <v>Resolución de Transferencia</v>
      </c>
      <c r="E245" s="26" t="str">
        <f ca="1">IFERROR(__xludf.DUMMYFUNCTION("""COMPUTED_VALUE"""),"MUNICIPALIDAD DE SAN JOSÉ DE MAIPO")</f>
        <v>MUNICIPALIDAD DE SAN JOSÉ DE MAIPO</v>
      </c>
      <c r="F245" s="11">
        <f ca="1">IFERROR(__xludf.DUMMYFUNCTION("""COMPUTED_VALUE"""),14504724)</f>
        <v>14504724</v>
      </c>
      <c r="G245" s="10" t="str">
        <f ca="1">IFERROR(__xludf.DUMMYFUNCTION("""COMPUTED_VALUE"""),"Resolución")</f>
        <v>Resolución</v>
      </c>
      <c r="H245" s="10" t="str">
        <f ca="1">IFERROR(__xludf.DUMMYFUNCTION("""COMPUTED_VALUE"""),"BONO ASEO EXTERNALIZADO")</f>
        <v>BONO ASEO EXTERNALIZADO</v>
      </c>
      <c r="I245" s="10" t="str">
        <f ca="1">IFERROR(__xludf.DUMMYFUNCTION("""COMPUTED_VALUE"""),"Cumplir con normativa y reglamentos internos del programa en base a los objetivos.")</f>
        <v>Cumplir con normativa y reglamentos internos del programa en base a los objetivos.</v>
      </c>
      <c r="J245" s="11">
        <f ca="1">IFERROR(__xludf.DUMMYFUNCTION("""COMPUTED_VALUE"""),14504724)</f>
        <v>14504724</v>
      </c>
      <c r="K245" s="27">
        <f ca="1">IFERROR(__xludf.DUMMYFUNCTION("""COMPUTED_VALUE"""),1)</f>
        <v>1</v>
      </c>
      <c r="L245" s="28" t="str">
        <f ca="1">IFERROR(__xludf.DUMMYFUNCTION("""COMPUTED_VALUE"""),"5/2024")</f>
        <v>5/2024</v>
      </c>
      <c r="M245" s="10" t="str">
        <f ca="1">IFERROR(__xludf.DUMMYFUNCTION("""COMPUTED_VALUE"""),"Predios Exentos")</f>
        <v>Predios Exentos</v>
      </c>
      <c r="N245" s="1"/>
      <c r="O245" s="1"/>
      <c r="P245" s="1"/>
      <c r="Q245" s="1"/>
      <c r="R245" s="1"/>
      <c r="S245" s="1"/>
      <c r="T245" s="1"/>
      <c r="U245" s="1"/>
      <c r="V245" s="1"/>
      <c r="W245" s="1"/>
      <c r="X245" s="1"/>
      <c r="Y245" s="1"/>
      <c r="Z245" s="1"/>
    </row>
    <row r="246" spans="1:26" ht="12.75" customHeight="1">
      <c r="A246" s="1"/>
      <c r="B246" s="10" t="str">
        <f ca="1">IFERROR(__xludf.DUMMYFUNCTION("""COMPUTED_VALUE"""),"Bono de aseo externalizado 2024")</f>
        <v>Bono de aseo externalizado 2024</v>
      </c>
      <c r="C246" s="26" t="str">
        <f t="shared" ca="1" si="0"/>
        <v xml:space="preserve"> COLINA</v>
      </c>
      <c r="D246" s="10" t="str">
        <f ca="1">IFERROR(__xludf.DUMMYFUNCTION("""COMPUTED_VALUE"""),"Resolución de Transferencia")</f>
        <v>Resolución de Transferencia</v>
      </c>
      <c r="E246" s="26" t="str">
        <f ca="1">IFERROR(__xludf.DUMMYFUNCTION("""COMPUTED_VALUE"""),"MUNICIPALIDAD DE COLINA")</f>
        <v>MUNICIPALIDAD DE COLINA</v>
      </c>
      <c r="F246" s="11">
        <f ca="1">IFERROR(__xludf.DUMMYFUNCTION("""COMPUTED_VALUE"""),168477948)</f>
        <v>168477948</v>
      </c>
      <c r="G246" s="10" t="str">
        <f ca="1">IFERROR(__xludf.DUMMYFUNCTION("""COMPUTED_VALUE"""),"Resolución")</f>
        <v>Resolución</v>
      </c>
      <c r="H246" s="10" t="str">
        <f ca="1">IFERROR(__xludf.DUMMYFUNCTION("""COMPUTED_VALUE"""),"BONO ASEO EXTERNALIZADO")</f>
        <v>BONO ASEO EXTERNALIZADO</v>
      </c>
      <c r="I246" s="10" t="str">
        <f ca="1">IFERROR(__xludf.DUMMYFUNCTION("""COMPUTED_VALUE"""),"Cumplir con normativa y reglamentos internos del programa en base a los objetivos.")</f>
        <v>Cumplir con normativa y reglamentos internos del programa en base a los objetivos.</v>
      </c>
      <c r="J246" s="11">
        <f ca="1">IFERROR(__xludf.DUMMYFUNCTION("""COMPUTED_VALUE"""),168477948)</f>
        <v>168477948</v>
      </c>
      <c r="K246" s="27">
        <f ca="1">IFERROR(__xludf.DUMMYFUNCTION("""COMPUTED_VALUE"""),1)</f>
        <v>1</v>
      </c>
      <c r="L246" s="28" t="str">
        <f ca="1">IFERROR(__xludf.DUMMYFUNCTION("""COMPUTED_VALUE"""),"5/2024")</f>
        <v>5/2024</v>
      </c>
      <c r="M246" s="10" t="str">
        <f ca="1">IFERROR(__xludf.DUMMYFUNCTION("""COMPUTED_VALUE"""),"Predios Exentos")</f>
        <v>Predios Exentos</v>
      </c>
      <c r="N246" s="1"/>
      <c r="O246" s="1"/>
      <c r="P246" s="1"/>
      <c r="Q246" s="1"/>
      <c r="R246" s="1"/>
      <c r="S246" s="1"/>
      <c r="T246" s="1"/>
      <c r="U246" s="1"/>
      <c r="V246" s="1"/>
      <c r="W246" s="1"/>
      <c r="X246" s="1"/>
      <c r="Y246" s="1"/>
      <c r="Z246" s="1"/>
    </row>
    <row r="247" spans="1:26" ht="12.75" customHeight="1">
      <c r="A247" s="1"/>
      <c r="B247" s="10" t="str">
        <f ca="1">IFERROR(__xludf.DUMMYFUNCTION("""COMPUTED_VALUE"""),"Bono de aseo externalizado 2024")</f>
        <v>Bono de aseo externalizado 2024</v>
      </c>
      <c r="C247" s="26" t="str">
        <f t="shared" ca="1" si="0"/>
        <v xml:space="preserve"> LAMPA</v>
      </c>
      <c r="D247" s="10" t="str">
        <f ca="1">IFERROR(__xludf.DUMMYFUNCTION("""COMPUTED_VALUE"""),"Resolución de Transferencia")</f>
        <v>Resolución de Transferencia</v>
      </c>
      <c r="E247" s="26" t="str">
        <f ca="1">IFERROR(__xludf.DUMMYFUNCTION("""COMPUTED_VALUE"""),"MUNICIPALIDAD DE LAMPA")</f>
        <v>MUNICIPALIDAD DE LAMPA</v>
      </c>
      <c r="F247" s="11">
        <f ca="1">IFERROR(__xludf.DUMMYFUNCTION("""COMPUTED_VALUE"""),84796848)</f>
        <v>84796848</v>
      </c>
      <c r="G247" s="10" t="str">
        <f ca="1">IFERROR(__xludf.DUMMYFUNCTION("""COMPUTED_VALUE"""),"Resolución")</f>
        <v>Resolución</v>
      </c>
      <c r="H247" s="10" t="str">
        <f ca="1">IFERROR(__xludf.DUMMYFUNCTION("""COMPUTED_VALUE"""),"BONO ASEO EXTERNALIZADO")</f>
        <v>BONO ASEO EXTERNALIZADO</v>
      </c>
      <c r="I247" s="10" t="str">
        <f ca="1">IFERROR(__xludf.DUMMYFUNCTION("""COMPUTED_VALUE"""),"Cumplir con normativa y reglamentos internos del programa en base a los objetivos.")</f>
        <v>Cumplir con normativa y reglamentos internos del programa en base a los objetivos.</v>
      </c>
      <c r="J247" s="11">
        <f ca="1">IFERROR(__xludf.DUMMYFUNCTION("""COMPUTED_VALUE"""),84796848)</f>
        <v>84796848</v>
      </c>
      <c r="K247" s="27">
        <f ca="1">IFERROR(__xludf.DUMMYFUNCTION("""COMPUTED_VALUE"""),1)</f>
        <v>1</v>
      </c>
      <c r="L247" s="28" t="str">
        <f ca="1">IFERROR(__xludf.DUMMYFUNCTION("""COMPUTED_VALUE"""),"5/2024")</f>
        <v>5/2024</v>
      </c>
      <c r="M247" s="10" t="str">
        <f ca="1">IFERROR(__xludf.DUMMYFUNCTION("""COMPUTED_VALUE"""),"Predios Exentos")</f>
        <v>Predios Exentos</v>
      </c>
      <c r="N247" s="1"/>
      <c r="O247" s="1"/>
      <c r="P247" s="1"/>
      <c r="Q247" s="1"/>
      <c r="R247" s="1"/>
      <c r="S247" s="1"/>
      <c r="T247" s="1"/>
      <c r="U247" s="1"/>
      <c r="V247" s="1"/>
      <c r="W247" s="1"/>
      <c r="X247" s="1"/>
      <c r="Y247" s="1"/>
      <c r="Z247" s="1"/>
    </row>
    <row r="248" spans="1:26" ht="12.75" customHeight="1">
      <c r="A248" s="1"/>
      <c r="B248" s="10" t="str">
        <f ca="1">IFERROR(__xludf.DUMMYFUNCTION("""COMPUTED_VALUE"""),"Bono de aseo externalizado 2024")</f>
        <v>Bono de aseo externalizado 2024</v>
      </c>
      <c r="C248" s="26" t="str">
        <f t="shared" ca="1" si="0"/>
        <v xml:space="preserve"> SAN BERNARDO</v>
      </c>
      <c r="D248" s="10" t="str">
        <f ca="1">IFERROR(__xludf.DUMMYFUNCTION("""COMPUTED_VALUE"""),"Resolución de Transferencia")</f>
        <v>Resolución de Transferencia</v>
      </c>
      <c r="E248" s="26" t="str">
        <f ca="1">IFERROR(__xludf.DUMMYFUNCTION("""COMPUTED_VALUE"""),"MUNICIPALIDAD DE SAN BERNARDO")</f>
        <v>MUNICIPALIDAD DE SAN BERNARDO</v>
      </c>
      <c r="F248" s="11">
        <f ca="1">IFERROR(__xludf.DUMMYFUNCTION("""COMPUTED_VALUE"""),309062196)</f>
        <v>309062196</v>
      </c>
      <c r="G248" s="10" t="str">
        <f ca="1">IFERROR(__xludf.DUMMYFUNCTION("""COMPUTED_VALUE"""),"Resolución")</f>
        <v>Resolución</v>
      </c>
      <c r="H248" s="10" t="str">
        <f ca="1">IFERROR(__xludf.DUMMYFUNCTION("""COMPUTED_VALUE"""),"BONO ASEO EXTERNALIZADO")</f>
        <v>BONO ASEO EXTERNALIZADO</v>
      </c>
      <c r="I248" s="10" t="str">
        <f ca="1">IFERROR(__xludf.DUMMYFUNCTION("""COMPUTED_VALUE"""),"Cumplir con normativa y reglamentos internos del programa en base a los objetivos.")</f>
        <v>Cumplir con normativa y reglamentos internos del programa en base a los objetivos.</v>
      </c>
      <c r="J248" s="11">
        <f ca="1">IFERROR(__xludf.DUMMYFUNCTION("""COMPUTED_VALUE"""),309062196)</f>
        <v>309062196</v>
      </c>
      <c r="K248" s="27">
        <f ca="1">IFERROR(__xludf.DUMMYFUNCTION("""COMPUTED_VALUE"""),1)</f>
        <v>1</v>
      </c>
      <c r="L248" s="28" t="str">
        <f ca="1">IFERROR(__xludf.DUMMYFUNCTION("""COMPUTED_VALUE"""),"5/2024")</f>
        <v>5/2024</v>
      </c>
      <c r="M248" s="10" t="str">
        <f ca="1">IFERROR(__xludf.DUMMYFUNCTION("""COMPUTED_VALUE"""),"Predios Exentos")</f>
        <v>Predios Exentos</v>
      </c>
      <c r="N248" s="1"/>
      <c r="O248" s="1"/>
      <c r="P248" s="1"/>
      <c r="Q248" s="1"/>
      <c r="R248" s="1"/>
      <c r="S248" s="1"/>
      <c r="T248" s="1"/>
      <c r="U248" s="1"/>
      <c r="V248" s="1"/>
      <c r="W248" s="1"/>
      <c r="X248" s="1"/>
      <c r="Y248" s="1"/>
      <c r="Z248" s="1"/>
    </row>
    <row r="249" spans="1:26" ht="12.75" customHeight="1">
      <c r="A249" s="1"/>
      <c r="B249" s="10" t="str">
        <f ca="1">IFERROR(__xludf.DUMMYFUNCTION("""COMPUTED_VALUE"""),"Bono de aseo externalizado 2024")</f>
        <v>Bono de aseo externalizado 2024</v>
      </c>
      <c r="C249" s="26" t="str">
        <f t="shared" ca="1" si="0"/>
        <v xml:space="preserve"> BUIN</v>
      </c>
      <c r="D249" s="10" t="str">
        <f ca="1">IFERROR(__xludf.DUMMYFUNCTION("""COMPUTED_VALUE"""),"Resolución de Transferencia")</f>
        <v>Resolución de Transferencia</v>
      </c>
      <c r="E249" s="26" t="str">
        <f ca="1">IFERROR(__xludf.DUMMYFUNCTION("""COMPUTED_VALUE"""),"MUNICIPALIDAD DE BUIN")</f>
        <v>MUNICIPALIDAD DE BUIN</v>
      </c>
      <c r="F249" s="11">
        <f ca="1">IFERROR(__xludf.DUMMYFUNCTION("""COMPUTED_VALUE"""),89259840)</f>
        <v>89259840</v>
      </c>
      <c r="G249" s="10" t="str">
        <f ca="1">IFERROR(__xludf.DUMMYFUNCTION("""COMPUTED_VALUE"""),"Resolución")</f>
        <v>Resolución</v>
      </c>
      <c r="H249" s="10" t="str">
        <f ca="1">IFERROR(__xludf.DUMMYFUNCTION("""COMPUTED_VALUE"""),"BONO ASEO EXTERNALIZADO")</f>
        <v>BONO ASEO EXTERNALIZADO</v>
      </c>
      <c r="I249" s="10" t="str">
        <f ca="1">IFERROR(__xludf.DUMMYFUNCTION("""COMPUTED_VALUE"""),"Cumplir con normativa y reglamentos internos del programa en base a los objetivos.")</f>
        <v>Cumplir con normativa y reglamentos internos del programa en base a los objetivos.</v>
      </c>
      <c r="J249" s="11">
        <f ca="1">IFERROR(__xludf.DUMMYFUNCTION("""COMPUTED_VALUE"""),89259840)</f>
        <v>89259840</v>
      </c>
      <c r="K249" s="27">
        <f ca="1">IFERROR(__xludf.DUMMYFUNCTION("""COMPUTED_VALUE"""),1)</f>
        <v>1</v>
      </c>
      <c r="L249" s="28" t="str">
        <f ca="1">IFERROR(__xludf.DUMMYFUNCTION("""COMPUTED_VALUE"""),"5/2024")</f>
        <v>5/2024</v>
      </c>
      <c r="M249" s="10" t="str">
        <f ca="1">IFERROR(__xludf.DUMMYFUNCTION("""COMPUTED_VALUE"""),"Predios Exentos")</f>
        <v>Predios Exentos</v>
      </c>
      <c r="N249" s="1"/>
      <c r="O249" s="1"/>
      <c r="P249" s="1"/>
      <c r="Q249" s="1"/>
      <c r="R249" s="1"/>
      <c r="S249" s="1"/>
      <c r="T249" s="1"/>
      <c r="U249" s="1"/>
      <c r="V249" s="1"/>
      <c r="W249" s="1"/>
      <c r="X249" s="1"/>
      <c r="Y249" s="1"/>
      <c r="Z249" s="1"/>
    </row>
    <row r="250" spans="1:26" ht="12.75" customHeight="1">
      <c r="A250" s="1"/>
      <c r="B250" s="10" t="str">
        <f ca="1">IFERROR(__xludf.DUMMYFUNCTION("""COMPUTED_VALUE"""),"Bono de aseo externalizado 2024")</f>
        <v>Bono de aseo externalizado 2024</v>
      </c>
      <c r="C250" s="26" t="str">
        <f t="shared" ca="1" si="0"/>
        <v xml:space="preserve"> CALERA DE TANGO</v>
      </c>
      <c r="D250" s="10" t="str">
        <f ca="1">IFERROR(__xludf.DUMMYFUNCTION("""COMPUTED_VALUE"""),"Resolución de Transferencia")</f>
        <v>Resolución de Transferencia</v>
      </c>
      <c r="E250" s="26" t="str">
        <f ca="1">IFERROR(__xludf.DUMMYFUNCTION("""COMPUTED_VALUE"""),"MUNICIPALIDAD DE CALERA DE TANGO")</f>
        <v>MUNICIPALIDAD DE CALERA DE TANGO</v>
      </c>
      <c r="F250" s="11">
        <f ca="1">IFERROR(__xludf.DUMMYFUNCTION("""COMPUTED_VALUE"""),20083464)</f>
        <v>20083464</v>
      </c>
      <c r="G250" s="10" t="str">
        <f ca="1">IFERROR(__xludf.DUMMYFUNCTION("""COMPUTED_VALUE"""),"Resolución")</f>
        <v>Resolución</v>
      </c>
      <c r="H250" s="10" t="str">
        <f ca="1">IFERROR(__xludf.DUMMYFUNCTION("""COMPUTED_VALUE"""),"BONO ASEO EXTERNALIZADO")</f>
        <v>BONO ASEO EXTERNALIZADO</v>
      </c>
      <c r="I250" s="10" t="str">
        <f ca="1">IFERROR(__xludf.DUMMYFUNCTION("""COMPUTED_VALUE"""),"Cumplir con normativa y reglamentos internos del programa en base a los objetivos.")</f>
        <v>Cumplir con normativa y reglamentos internos del programa en base a los objetivos.</v>
      </c>
      <c r="J250" s="11">
        <f ca="1">IFERROR(__xludf.DUMMYFUNCTION("""COMPUTED_VALUE"""),20083464)</f>
        <v>20083464</v>
      </c>
      <c r="K250" s="27">
        <f ca="1">IFERROR(__xludf.DUMMYFUNCTION("""COMPUTED_VALUE"""),1)</f>
        <v>1</v>
      </c>
      <c r="L250" s="28" t="str">
        <f ca="1">IFERROR(__xludf.DUMMYFUNCTION("""COMPUTED_VALUE"""),"5/2024")</f>
        <v>5/2024</v>
      </c>
      <c r="M250" s="10" t="str">
        <f ca="1">IFERROR(__xludf.DUMMYFUNCTION("""COMPUTED_VALUE"""),"Predios Exentos")</f>
        <v>Predios Exentos</v>
      </c>
      <c r="N250" s="1"/>
      <c r="O250" s="1"/>
      <c r="P250" s="1"/>
      <c r="Q250" s="1"/>
      <c r="R250" s="1"/>
      <c r="S250" s="1"/>
      <c r="T250" s="1"/>
      <c r="U250" s="1"/>
      <c r="V250" s="1"/>
      <c r="W250" s="1"/>
      <c r="X250" s="1"/>
      <c r="Y250" s="1"/>
      <c r="Z250" s="1"/>
    </row>
    <row r="251" spans="1:26" ht="12.75" customHeight="1">
      <c r="A251" s="1"/>
      <c r="B251" s="10" t="str">
        <f ca="1">IFERROR(__xludf.DUMMYFUNCTION("""COMPUTED_VALUE"""),"Bono de aseo externalizado 2024")</f>
        <v>Bono de aseo externalizado 2024</v>
      </c>
      <c r="C251" s="26" t="str">
        <f t="shared" ca="1" si="0"/>
        <v xml:space="preserve"> PAINE</v>
      </c>
      <c r="D251" s="10" t="str">
        <f ca="1">IFERROR(__xludf.DUMMYFUNCTION("""COMPUTED_VALUE"""),"Resolución de Transferencia")</f>
        <v>Resolución de Transferencia</v>
      </c>
      <c r="E251" s="26" t="str">
        <f ca="1">IFERROR(__xludf.DUMMYFUNCTION("""COMPUTED_VALUE"""),"MUNICIPALIDAD DE PAINE")</f>
        <v>MUNICIPALIDAD DE PAINE</v>
      </c>
      <c r="F251" s="11">
        <f ca="1">IFERROR(__xludf.DUMMYFUNCTION("""COMPUTED_VALUE"""),101533068)</f>
        <v>101533068</v>
      </c>
      <c r="G251" s="10" t="str">
        <f ca="1">IFERROR(__xludf.DUMMYFUNCTION("""COMPUTED_VALUE"""),"Resolución")</f>
        <v>Resolución</v>
      </c>
      <c r="H251" s="10" t="str">
        <f ca="1">IFERROR(__xludf.DUMMYFUNCTION("""COMPUTED_VALUE"""),"BONO ASEO EXTERNALIZADO")</f>
        <v>BONO ASEO EXTERNALIZADO</v>
      </c>
      <c r="I251" s="10" t="str">
        <f ca="1">IFERROR(__xludf.DUMMYFUNCTION("""COMPUTED_VALUE"""),"Cumplir con normativa y reglamentos internos del programa en base a los objetivos.")</f>
        <v>Cumplir con normativa y reglamentos internos del programa en base a los objetivos.</v>
      </c>
      <c r="J251" s="11">
        <f ca="1">IFERROR(__xludf.DUMMYFUNCTION("""COMPUTED_VALUE"""),101533068)</f>
        <v>101533068</v>
      </c>
      <c r="K251" s="27">
        <f ca="1">IFERROR(__xludf.DUMMYFUNCTION("""COMPUTED_VALUE"""),1)</f>
        <v>1</v>
      </c>
      <c r="L251" s="28" t="str">
        <f ca="1">IFERROR(__xludf.DUMMYFUNCTION("""COMPUTED_VALUE"""),"5/2024")</f>
        <v>5/2024</v>
      </c>
      <c r="M251" s="10" t="str">
        <f ca="1">IFERROR(__xludf.DUMMYFUNCTION("""COMPUTED_VALUE"""),"Predios Exentos")</f>
        <v>Predios Exentos</v>
      </c>
      <c r="N251" s="1"/>
      <c r="O251" s="1"/>
      <c r="P251" s="1"/>
      <c r="Q251" s="1"/>
      <c r="R251" s="1"/>
      <c r="S251" s="1"/>
      <c r="T251" s="1"/>
      <c r="U251" s="1"/>
      <c r="V251" s="1"/>
      <c r="W251" s="1"/>
      <c r="X251" s="1"/>
      <c r="Y251" s="1"/>
      <c r="Z251" s="1"/>
    </row>
    <row r="252" spans="1:26" ht="12.75" customHeight="1">
      <c r="A252" s="1"/>
      <c r="B252" s="10" t="str">
        <f ca="1">IFERROR(__xludf.DUMMYFUNCTION("""COMPUTED_VALUE"""),"Bono de aseo externalizado 2024")</f>
        <v>Bono de aseo externalizado 2024</v>
      </c>
      <c r="C252" s="26" t="str">
        <f t="shared" ca="1" si="0"/>
        <v xml:space="preserve"> MELIPILLA</v>
      </c>
      <c r="D252" s="10" t="str">
        <f ca="1">IFERROR(__xludf.DUMMYFUNCTION("""COMPUTED_VALUE"""),"Resolución de Transferencia")</f>
        <v>Resolución de Transferencia</v>
      </c>
      <c r="E252" s="26" t="str">
        <f ca="1">IFERROR(__xludf.DUMMYFUNCTION("""COMPUTED_VALUE"""),"MUNICIPALIDAD DE MELIPILLA")</f>
        <v>MUNICIPALIDAD DE MELIPILLA</v>
      </c>
      <c r="F252" s="11">
        <f ca="1">IFERROR(__xludf.DUMMYFUNCTION("""COMPUTED_VALUE"""),71407872)</f>
        <v>71407872</v>
      </c>
      <c r="G252" s="10" t="str">
        <f ca="1">IFERROR(__xludf.DUMMYFUNCTION("""COMPUTED_VALUE"""),"Resolución")</f>
        <v>Resolución</v>
      </c>
      <c r="H252" s="10" t="str">
        <f ca="1">IFERROR(__xludf.DUMMYFUNCTION("""COMPUTED_VALUE"""),"BONO ASEO EXTERNALIZADO")</f>
        <v>BONO ASEO EXTERNALIZADO</v>
      </c>
      <c r="I252" s="10" t="str">
        <f ca="1">IFERROR(__xludf.DUMMYFUNCTION("""COMPUTED_VALUE"""),"Cumplir con normativa y reglamentos internos del programa en base a los objetivos.")</f>
        <v>Cumplir con normativa y reglamentos internos del programa en base a los objetivos.</v>
      </c>
      <c r="J252" s="11">
        <f ca="1">IFERROR(__xludf.DUMMYFUNCTION("""COMPUTED_VALUE"""),71407872)</f>
        <v>71407872</v>
      </c>
      <c r="K252" s="27">
        <f ca="1">IFERROR(__xludf.DUMMYFUNCTION("""COMPUTED_VALUE"""),1)</f>
        <v>1</v>
      </c>
      <c r="L252" s="28" t="str">
        <f ca="1">IFERROR(__xludf.DUMMYFUNCTION("""COMPUTED_VALUE"""),"5/2024")</f>
        <v>5/2024</v>
      </c>
      <c r="M252" s="10" t="str">
        <f ca="1">IFERROR(__xludf.DUMMYFUNCTION("""COMPUTED_VALUE"""),"Predios Exentos")</f>
        <v>Predios Exentos</v>
      </c>
      <c r="N252" s="1"/>
      <c r="O252" s="1"/>
      <c r="P252" s="1"/>
      <c r="Q252" s="1"/>
      <c r="R252" s="1"/>
      <c r="S252" s="1"/>
      <c r="T252" s="1"/>
      <c r="U252" s="1"/>
      <c r="V252" s="1"/>
      <c r="W252" s="1"/>
      <c r="X252" s="1"/>
      <c r="Y252" s="1"/>
      <c r="Z252" s="1"/>
    </row>
    <row r="253" spans="1:26" ht="12.75" customHeight="1">
      <c r="A253" s="1"/>
      <c r="B253" s="10" t="str">
        <f ca="1">IFERROR(__xludf.DUMMYFUNCTION("""COMPUTED_VALUE"""),"Bono de aseo externalizado 2024")</f>
        <v>Bono de aseo externalizado 2024</v>
      </c>
      <c r="C253" s="26" t="str">
        <f t="shared" ca="1" si="0"/>
        <v xml:space="preserve"> CURACAVÍ</v>
      </c>
      <c r="D253" s="10" t="str">
        <f ca="1">IFERROR(__xludf.DUMMYFUNCTION("""COMPUTED_VALUE"""),"Resolución de Transferencia")</f>
        <v>Resolución de Transferencia</v>
      </c>
      <c r="E253" s="26" t="str">
        <f ca="1">IFERROR(__xludf.DUMMYFUNCTION("""COMPUTED_VALUE"""),"MUNICIPALIDAD DE CURACAVÍ")</f>
        <v>MUNICIPALIDAD DE CURACAVÍ</v>
      </c>
      <c r="F253" s="11">
        <f ca="1">IFERROR(__xludf.DUMMYFUNCTION("""COMPUTED_VALUE"""),42398424)</f>
        <v>42398424</v>
      </c>
      <c r="G253" s="10" t="str">
        <f ca="1">IFERROR(__xludf.DUMMYFUNCTION("""COMPUTED_VALUE"""),"Resolución")</f>
        <v>Resolución</v>
      </c>
      <c r="H253" s="10" t="str">
        <f ca="1">IFERROR(__xludf.DUMMYFUNCTION("""COMPUTED_VALUE"""),"BONO ASEO EXTERNALIZADO")</f>
        <v>BONO ASEO EXTERNALIZADO</v>
      </c>
      <c r="I253" s="10" t="str">
        <f ca="1">IFERROR(__xludf.DUMMYFUNCTION("""COMPUTED_VALUE"""),"Cumplir con normativa y reglamentos internos del programa en base a los objetivos.")</f>
        <v>Cumplir con normativa y reglamentos internos del programa en base a los objetivos.</v>
      </c>
      <c r="J253" s="11">
        <f ca="1">IFERROR(__xludf.DUMMYFUNCTION("""COMPUTED_VALUE"""),42398424)</f>
        <v>42398424</v>
      </c>
      <c r="K253" s="27">
        <f ca="1">IFERROR(__xludf.DUMMYFUNCTION("""COMPUTED_VALUE"""),1)</f>
        <v>1</v>
      </c>
      <c r="L253" s="28" t="str">
        <f ca="1">IFERROR(__xludf.DUMMYFUNCTION("""COMPUTED_VALUE"""),"5/2024")</f>
        <v>5/2024</v>
      </c>
      <c r="M253" s="10" t="str">
        <f ca="1">IFERROR(__xludf.DUMMYFUNCTION("""COMPUTED_VALUE"""),"Predios Exentos")</f>
        <v>Predios Exentos</v>
      </c>
      <c r="N253" s="1"/>
      <c r="O253" s="1"/>
      <c r="P253" s="1"/>
      <c r="Q253" s="1"/>
      <c r="R253" s="1"/>
      <c r="S253" s="1"/>
      <c r="T253" s="1"/>
      <c r="U253" s="1"/>
      <c r="V253" s="1"/>
      <c r="W253" s="1"/>
      <c r="X253" s="1"/>
      <c r="Y253" s="1"/>
      <c r="Z253" s="1"/>
    </row>
    <row r="254" spans="1:26" ht="12.75" customHeight="1">
      <c r="A254" s="1"/>
      <c r="B254" s="10" t="str">
        <f ca="1">IFERROR(__xludf.DUMMYFUNCTION("""COMPUTED_VALUE"""),"Bono de aseo externalizado 2024")</f>
        <v>Bono de aseo externalizado 2024</v>
      </c>
      <c r="C254" s="26" t="str">
        <f t="shared" ca="1" si="0"/>
        <v xml:space="preserve"> MARÍA PINTO</v>
      </c>
      <c r="D254" s="10" t="str">
        <f ca="1">IFERROR(__xludf.DUMMYFUNCTION("""COMPUTED_VALUE"""),"Resolución de Transferencia")</f>
        <v>Resolución de Transferencia</v>
      </c>
      <c r="E254" s="26" t="str">
        <f ca="1">IFERROR(__xludf.DUMMYFUNCTION("""COMPUTED_VALUE"""),"MUNICIPALIDAD DE MARÍA PINTO")</f>
        <v>MUNICIPALIDAD DE MARÍA PINTO</v>
      </c>
      <c r="F254" s="11">
        <f ca="1">IFERROR(__xludf.DUMMYFUNCTION("""COMPUTED_VALUE"""),3347244)</f>
        <v>3347244</v>
      </c>
      <c r="G254" s="10" t="str">
        <f ca="1">IFERROR(__xludf.DUMMYFUNCTION("""COMPUTED_VALUE"""),"Resolución")</f>
        <v>Resolución</v>
      </c>
      <c r="H254" s="10" t="str">
        <f ca="1">IFERROR(__xludf.DUMMYFUNCTION("""COMPUTED_VALUE"""),"BONO ASEO EXTERNALIZADO")</f>
        <v>BONO ASEO EXTERNALIZADO</v>
      </c>
      <c r="I254" s="10" t="str">
        <f ca="1">IFERROR(__xludf.DUMMYFUNCTION("""COMPUTED_VALUE"""),"Cumplir con normativa y reglamentos internos del programa en base a los objetivos.")</f>
        <v>Cumplir con normativa y reglamentos internos del programa en base a los objetivos.</v>
      </c>
      <c r="J254" s="11">
        <f ca="1">IFERROR(__xludf.DUMMYFUNCTION("""COMPUTED_VALUE"""),3347244)</f>
        <v>3347244</v>
      </c>
      <c r="K254" s="27">
        <f ca="1">IFERROR(__xludf.DUMMYFUNCTION("""COMPUTED_VALUE"""),1)</f>
        <v>1</v>
      </c>
      <c r="L254" s="28" t="str">
        <f ca="1">IFERROR(__xludf.DUMMYFUNCTION("""COMPUTED_VALUE"""),"5/2024")</f>
        <v>5/2024</v>
      </c>
      <c r="M254" s="10" t="str">
        <f ca="1">IFERROR(__xludf.DUMMYFUNCTION("""COMPUTED_VALUE"""),"Predios Exentos")</f>
        <v>Predios Exentos</v>
      </c>
      <c r="N254" s="1"/>
      <c r="O254" s="1"/>
      <c r="P254" s="1"/>
      <c r="Q254" s="1"/>
      <c r="R254" s="1"/>
      <c r="S254" s="1"/>
      <c r="T254" s="1"/>
      <c r="U254" s="1"/>
      <c r="V254" s="1"/>
      <c r="W254" s="1"/>
      <c r="X254" s="1"/>
      <c r="Y254" s="1"/>
      <c r="Z254" s="1"/>
    </row>
    <row r="255" spans="1:26" ht="12.75" customHeight="1">
      <c r="A255" s="1"/>
      <c r="B255" s="10" t="str">
        <f ca="1">IFERROR(__xludf.DUMMYFUNCTION("""COMPUTED_VALUE"""),"Bono de aseo externalizado 2024")</f>
        <v>Bono de aseo externalizado 2024</v>
      </c>
      <c r="C255" s="26" t="str">
        <f t="shared" ca="1" si="0"/>
        <v xml:space="preserve"> SAN PEDRO</v>
      </c>
      <c r="D255" s="10" t="str">
        <f ca="1">IFERROR(__xludf.DUMMYFUNCTION("""COMPUTED_VALUE"""),"Resolución de Transferencia")</f>
        <v>Resolución de Transferencia</v>
      </c>
      <c r="E255" s="26" t="str">
        <f ca="1">IFERROR(__xludf.DUMMYFUNCTION("""COMPUTED_VALUE"""),"MUNICIPALIDAD DE SAN PEDRO")</f>
        <v>MUNICIPALIDAD DE SAN PEDRO</v>
      </c>
      <c r="F255" s="11">
        <f ca="1">IFERROR(__xludf.DUMMYFUNCTION("""COMPUTED_VALUE"""),5578740)</f>
        <v>5578740</v>
      </c>
      <c r="G255" s="10" t="str">
        <f ca="1">IFERROR(__xludf.DUMMYFUNCTION("""COMPUTED_VALUE"""),"Resolución")</f>
        <v>Resolución</v>
      </c>
      <c r="H255" s="10" t="str">
        <f ca="1">IFERROR(__xludf.DUMMYFUNCTION("""COMPUTED_VALUE"""),"BONO ASEO EXTERNALIZADO")</f>
        <v>BONO ASEO EXTERNALIZADO</v>
      </c>
      <c r="I255" s="10" t="str">
        <f ca="1">IFERROR(__xludf.DUMMYFUNCTION("""COMPUTED_VALUE"""),"Cumplir con normativa y reglamentos internos del programa en base a los objetivos.")</f>
        <v>Cumplir con normativa y reglamentos internos del programa en base a los objetivos.</v>
      </c>
      <c r="J255" s="11">
        <f ca="1">IFERROR(__xludf.DUMMYFUNCTION("""COMPUTED_VALUE"""),5578740)</f>
        <v>5578740</v>
      </c>
      <c r="K255" s="27">
        <f ca="1">IFERROR(__xludf.DUMMYFUNCTION("""COMPUTED_VALUE"""),1)</f>
        <v>1</v>
      </c>
      <c r="L255" s="28" t="str">
        <f ca="1">IFERROR(__xludf.DUMMYFUNCTION("""COMPUTED_VALUE"""),"5/2024")</f>
        <v>5/2024</v>
      </c>
      <c r="M255" s="10" t="str">
        <f ca="1">IFERROR(__xludf.DUMMYFUNCTION("""COMPUTED_VALUE"""),"Predios Exentos")</f>
        <v>Predios Exentos</v>
      </c>
      <c r="N255" s="1"/>
      <c r="O255" s="1"/>
      <c r="P255" s="1"/>
      <c r="Q255" s="1"/>
      <c r="R255" s="1"/>
      <c r="S255" s="1"/>
      <c r="T255" s="1"/>
      <c r="U255" s="1"/>
      <c r="V255" s="1"/>
      <c r="W255" s="1"/>
      <c r="X255" s="1"/>
      <c r="Y255" s="1"/>
      <c r="Z255" s="1"/>
    </row>
    <row r="256" spans="1:26" ht="12.75" customHeight="1">
      <c r="A256" s="1"/>
      <c r="B256" s="10" t="str">
        <f ca="1">IFERROR(__xludf.DUMMYFUNCTION("""COMPUTED_VALUE"""),"Bono de aseo externalizado 2024")</f>
        <v>Bono de aseo externalizado 2024</v>
      </c>
      <c r="C256" s="26" t="str">
        <f t="shared" ca="1" si="0"/>
        <v xml:space="preserve"> TALAGANTE</v>
      </c>
      <c r="D256" s="10" t="str">
        <f ca="1">IFERROR(__xludf.DUMMYFUNCTION("""COMPUTED_VALUE"""),"Resolución de Transferencia")</f>
        <v>Resolución de Transferencia</v>
      </c>
      <c r="E256" s="26" t="str">
        <f ca="1">IFERROR(__xludf.DUMMYFUNCTION("""COMPUTED_VALUE"""),"MUNICIPALIDAD DE TALAGANTE")</f>
        <v>MUNICIPALIDAD DE TALAGANTE</v>
      </c>
      <c r="F256" s="11">
        <f ca="1">IFERROR(__xludf.DUMMYFUNCTION("""COMPUTED_VALUE"""),30125196)</f>
        <v>30125196</v>
      </c>
      <c r="G256" s="10" t="str">
        <f ca="1">IFERROR(__xludf.DUMMYFUNCTION("""COMPUTED_VALUE"""),"Resolución")</f>
        <v>Resolución</v>
      </c>
      <c r="H256" s="10" t="str">
        <f ca="1">IFERROR(__xludf.DUMMYFUNCTION("""COMPUTED_VALUE"""),"BONO ASEO EXTERNALIZADO")</f>
        <v>BONO ASEO EXTERNALIZADO</v>
      </c>
      <c r="I256" s="10" t="str">
        <f ca="1">IFERROR(__xludf.DUMMYFUNCTION("""COMPUTED_VALUE"""),"Cumplir con normativa y reglamentos internos del programa en base a los objetivos.")</f>
        <v>Cumplir con normativa y reglamentos internos del programa en base a los objetivos.</v>
      </c>
      <c r="J256" s="11">
        <f ca="1">IFERROR(__xludf.DUMMYFUNCTION("""COMPUTED_VALUE"""),30125196)</f>
        <v>30125196</v>
      </c>
      <c r="K256" s="27">
        <f ca="1">IFERROR(__xludf.DUMMYFUNCTION("""COMPUTED_VALUE"""),1)</f>
        <v>1</v>
      </c>
      <c r="L256" s="28" t="str">
        <f ca="1">IFERROR(__xludf.DUMMYFUNCTION("""COMPUTED_VALUE"""),"5/2024")</f>
        <v>5/2024</v>
      </c>
      <c r="M256" s="10" t="str">
        <f ca="1">IFERROR(__xludf.DUMMYFUNCTION("""COMPUTED_VALUE"""),"Predios Exentos")</f>
        <v>Predios Exentos</v>
      </c>
      <c r="N256" s="1"/>
      <c r="O256" s="1"/>
      <c r="P256" s="1"/>
      <c r="Q256" s="1"/>
      <c r="R256" s="1"/>
      <c r="S256" s="1"/>
      <c r="T256" s="1"/>
      <c r="U256" s="1"/>
      <c r="V256" s="1"/>
      <c r="W256" s="1"/>
      <c r="X256" s="1"/>
      <c r="Y256" s="1"/>
      <c r="Z256" s="1"/>
    </row>
    <row r="257" spans="1:26" ht="12.75" customHeight="1">
      <c r="A257" s="1"/>
      <c r="B257" s="10" t="str">
        <f ca="1">IFERROR(__xludf.DUMMYFUNCTION("""COMPUTED_VALUE"""),"Bono de aseo externalizado 2024")</f>
        <v>Bono de aseo externalizado 2024</v>
      </c>
      <c r="C257" s="26" t="str">
        <f t="shared" ca="1" si="0"/>
        <v xml:space="preserve"> ISLA DE MAIPO</v>
      </c>
      <c r="D257" s="10" t="str">
        <f ca="1">IFERROR(__xludf.DUMMYFUNCTION("""COMPUTED_VALUE"""),"Resolución de Transferencia")</f>
        <v>Resolución de Transferencia</v>
      </c>
      <c r="E257" s="26" t="str">
        <f ca="1">IFERROR(__xludf.DUMMYFUNCTION("""COMPUTED_VALUE"""),"MUNICIPALIDAD DE ISLA DE MAIPO")</f>
        <v>MUNICIPALIDAD DE ISLA DE MAIPO</v>
      </c>
      <c r="F257" s="11">
        <f ca="1">IFERROR(__xludf.DUMMYFUNCTION("""COMPUTED_VALUE"""),44629920)</f>
        <v>44629920</v>
      </c>
      <c r="G257" s="10" t="str">
        <f ca="1">IFERROR(__xludf.DUMMYFUNCTION("""COMPUTED_VALUE"""),"Resolución")</f>
        <v>Resolución</v>
      </c>
      <c r="H257" s="10" t="str">
        <f ca="1">IFERROR(__xludf.DUMMYFUNCTION("""COMPUTED_VALUE"""),"BONO ASEO EXTERNALIZADO")</f>
        <v>BONO ASEO EXTERNALIZADO</v>
      </c>
      <c r="I257" s="10" t="str">
        <f ca="1">IFERROR(__xludf.DUMMYFUNCTION("""COMPUTED_VALUE"""),"Cumplir con normativa y reglamentos internos del programa en base a los objetivos.")</f>
        <v>Cumplir con normativa y reglamentos internos del programa en base a los objetivos.</v>
      </c>
      <c r="J257" s="11">
        <f ca="1">IFERROR(__xludf.DUMMYFUNCTION("""COMPUTED_VALUE"""),44629920)</f>
        <v>44629920</v>
      </c>
      <c r="K257" s="27">
        <f ca="1">IFERROR(__xludf.DUMMYFUNCTION("""COMPUTED_VALUE"""),1)</f>
        <v>1</v>
      </c>
      <c r="L257" s="28" t="str">
        <f ca="1">IFERROR(__xludf.DUMMYFUNCTION("""COMPUTED_VALUE"""),"5/2024")</f>
        <v>5/2024</v>
      </c>
      <c r="M257" s="10" t="str">
        <f ca="1">IFERROR(__xludf.DUMMYFUNCTION("""COMPUTED_VALUE"""),"Predios Exentos")</f>
        <v>Predios Exentos</v>
      </c>
      <c r="N257" s="1"/>
      <c r="O257" s="1"/>
      <c r="P257" s="1"/>
      <c r="Q257" s="1"/>
      <c r="R257" s="1"/>
      <c r="S257" s="1"/>
      <c r="T257" s="1"/>
      <c r="U257" s="1"/>
      <c r="V257" s="1"/>
      <c r="W257" s="1"/>
      <c r="X257" s="1"/>
      <c r="Y257" s="1"/>
      <c r="Z257" s="1"/>
    </row>
    <row r="258" spans="1:26" ht="12.75" customHeight="1">
      <c r="A258" s="1"/>
      <c r="B258" s="10" t="str">
        <f ca="1">IFERROR(__xludf.DUMMYFUNCTION("""COMPUTED_VALUE"""),"Bono de aseo externalizado 2024")</f>
        <v>Bono de aseo externalizado 2024</v>
      </c>
      <c r="C258" s="26" t="str">
        <f t="shared" ca="1" si="0"/>
        <v xml:space="preserve"> PADRE HURTADO</v>
      </c>
      <c r="D258" s="10" t="str">
        <f ca="1">IFERROR(__xludf.DUMMYFUNCTION("""COMPUTED_VALUE"""),"Resolución de Transferencia")</f>
        <v>Resolución de Transferencia</v>
      </c>
      <c r="E258" s="26" t="str">
        <f ca="1">IFERROR(__xludf.DUMMYFUNCTION("""COMPUTED_VALUE"""),"MUNICIPALIDAD DE PADRE HURTADO")</f>
        <v>MUNICIPALIDAD DE PADRE HURTADO</v>
      </c>
      <c r="F258" s="11">
        <f ca="1">IFERROR(__xludf.DUMMYFUNCTION("""COMPUTED_VALUE"""),69176376)</f>
        <v>69176376</v>
      </c>
      <c r="G258" s="10" t="str">
        <f ca="1">IFERROR(__xludf.DUMMYFUNCTION("""COMPUTED_VALUE"""),"Resolución")</f>
        <v>Resolución</v>
      </c>
      <c r="H258" s="10" t="str">
        <f ca="1">IFERROR(__xludf.DUMMYFUNCTION("""COMPUTED_VALUE"""),"BONO ASEO EXTERNALIZADO")</f>
        <v>BONO ASEO EXTERNALIZADO</v>
      </c>
      <c r="I258" s="10" t="str">
        <f ca="1">IFERROR(__xludf.DUMMYFUNCTION("""COMPUTED_VALUE"""),"Cumplir con normativa y reglamentos internos del programa en base a los objetivos.")</f>
        <v>Cumplir con normativa y reglamentos internos del programa en base a los objetivos.</v>
      </c>
      <c r="J258" s="11">
        <f ca="1">IFERROR(__xludf.DUMMYFUNCTION("""COMPUTED_VALUE"""),69176376)</f>
        <v>69176376</v>
      </c>
      <c r="K258" s="27">
        <f ca="1">IFERROR(__xludf.DUMMYFUNCTION("""COMPUTED_VALUE"""),1)</f>
        <v>1</v>
      </c>
      <c r="L258" s="28" t="str">
        <f ca="1">IFERROR(__xludf.DUMMYFUNCTION("""COMPUTED_VALUE"""),"5/2024")</f>
        <v>5/2024</v>
      </c>
      <c r="M258" s="10" t="str">
        <f ca="1">IFERROR(__xludf.DUMMYFUNCTION("""COMPUTED_VALUE"""),"Predios Exentos")</f>
        <v>Predios Exentos</v>
      </c>
      <c r="N258" s="1"/>
      <c r="O258" s="1"/>
      <c r="P258" s="1"/>
      <c r="Q258" s="1"/>
      <c r="R258" s="1"/>
      <c r="S258" s="1"/>
      <c r="T258" s="1"/>
      <c r="U258" s="1"/>
      <c r="V258" s="1"/>
      <c r="W258" s="1"/>
      <c r="X258" s="1"/>
      <c r="Y258" s="1"/>
      <c r="Z258" s="1"/>
    </row>
    <row r="259" spans="1:26" ht="12.75" customHeight="1">
      <c r="A259" s="1"/>
      <c r="B259" s="10" t="str">
        <f ca="1">IFERROR(__xludf.DUMMYFUNCTION("""COMPUTED_VALUE"""),"Bono de aseo externalizado 2024")</f>
        <v>Bono de aseo externalizado 2024</v>
      </c>
      <c r="C259" s="26" t="str">
        <f t="shared" ca="1" si="0"/>
        <v xml:space="preserve"> PEÑAFLOR</v>
      </c>
      <c r="D259" s="10" t="str">
        <f ca="1">IFERROR(__xludf.DUMMYFUNCTION("""COMPUTED_VALUE"""),"Resolución de Transferencia")</f>
        <v>Resolución de Transferencia</v>
      </c>
      <c r="E259" s="26" t="str">
        <f ca="1">IFERROR(__xludf.DUMMYFUNCTION("""COMPUTED_VALUE"""),"MUNICIPALIDAD DE PEÑAFLOR")</f>
        <v>MUNICIPALIDAD DE PEÑAFLOR</v>
      </c>
      <c r="F259" s="11">
        <f ca="1">IFERROR(__xludf.DUMMYFUNCTION("""COMPUTED_VALUE"""),60250392)</f>
        <v>60250392</v>
      </c>
      <c r="G259" s="10" t="str">
        <f ca="1">IFERROR(__xludf.DUMMYFUNCTION("""COMPUTED_VALUE"""),"Resolución")</f>
        <v>Resolución</v>
      </c>
      <c r="H259" s="10" t="str">
        <f ca="1">IFERROR(__xludf.DUMMYFUNCTION("""COMPUTED_VALUE"""),"BONO ASEO EXTERNALIZADO")</f>
        <v>BONO ASEO EXTERNALIZADO</v>
      </c>
      <c r="I259" s="10" t="str">
        <f ca="1">IFERROR(__xludf.DUMMYFUNCTION("""COMPUTED_VALUE"""),"Cumplir con normativa y reglamentos internos del programa en base a los objetivos.")</f>
        <v>Cumplir con normativa y reglamentos internos del programa en base a los objetivos.</v>
      </c>
      <c r="J259" s="11">
        <f ca="1">IFERROR(__xludf.DUMMYFUNCTION("""COMPUTED_VALUE"""),60250392)</f>
        <v>60250392</v>
      </c>
      <c r="K259" s="27">
        <f ca="1">IFERROR(__xludf.DUMMYFUNCTION("""COMPUTED_VALUE"""),1)</f>
        <v>1</v>
      </c>
      <c r="L259" s="28" t="str">
        <f ca="1">IFERROR(__xludf.DUMMYFUNCTION("""COMPUTED_VALUE"""),"5/2024")</f>
        <v>5/2024</v>
      </c>
      <c r="M259" s="10" t="str">
        <f ca="1">IFERROR(__xludf.DUMMYFUNCTION("""COMPUTED_VALUE"""),"Predios Exentos")</f>
        <v>Predios Exentos</v>
      </c>
      <c r="N259" s="1"/>
      <c r="O259" s="1"/>
      <c r="P259" s="1"/>
      <c r="Q259" s="1"/>
      <c r="R259" s="1"/>
      <c r="S259" s="1"/>
      <c r="T259" s="1"/>
      <c r="U259" s="1"/>
      <c r="V259" s="1"/>
      <c r="W259" s="1"/>
      <c r="X259" s="1"/>
      <c r="Y259" s="1"/>
      <c r="Z259" s="1"/>
    </row>
    <row r="260" spans="1:26" ht="12.75" customHeight="1">
      <c r="A260" s="1"/>
      <c r="B260" s="10" t="str">
        <f ca="1">IFERROR(__xludf.DUMMYFUNCTION("""COMPUTED_VALUE"""),"Bono de aseo externalizado 2024")</f>
        <v>Bono de aseo externalizado 2024</v>
      </c>
      <c r="C260" s="26" t="str">
        <f t="shared" ca="1" si="0"/>
        <v xml:space="preserve"> VALDIVIA</v>
      </c>
      <c r="D260" s="10" t="str">
        <f ca="1">IFERROR(__xludf.DUMMYFUNCTION("""COMPUTED_VALUE"""),"Resolución de Transferencia")</f>
        <v>Resolución de Transferencia</v>
      </c>
      <c r="E260" s="26" t="str">
        <f ca="1">IFERROR(__xludf.DUMMYFUNCTION("""COMPUTED_VALUE"""),"MUNICIPALIDAD DE VALDIVIA")</f>
        <v>MUNICIPALIDAD DE VALDIVIA</v>
      </c>
      <c r="F260" s="11">
        <f ca="1">IFERROR(__xludf.DUMMYFUNCTION("""COMPUTED_VALUE"""),255506292)</f>
        <v>255506292</v>
      </c>
      <c r="G260" s="10" t="str">
        <f ca="1">IFERROR(__xludf.DUMMYFUNCTION("""COMPUTED_VALUE"""),"Resolución")</f>
        <v>Resolución</v>
      </c>
      <c r="H260" s="10" t="str">
        <f ca="1">IFERROR(__xludf.DUMMYFUNCTION("""COMPUTED_VALUE"""),"BONO ASEO EXTERNALIZADO")</f>
        <v>BONO ASEO EXTERNALIZADO</v>
      </c>
      <c r="I260" s="10" t="str">
        <f ca="1">IFERROR(__xludf.DUMMYFUNCTION("""COMPUTED_VALUE"""),"Cumplir con normativa y reglamentos internos del programa en base a los objetivos.")</f>
        <v>Cumplir con normativa y reglamentos internos del programa en base a los objetivos.</v>
      </c>
      <c r="J260" s="11">
        <f ca="1">IFERROR(__xludf.DUMMYFUNCTION("""COMPUTED_VALUE"""),255506292)</f>
        <v>255506292</v>
      </c>
      <c r="K260" s="27">
        <f ca="1">IFERROR(__xludf.DUMMYFUNCTION("""COMPUTED_VALUE"""),1)</f>
        <v>1</v>
      </c>
      <c r="L260" s="28" t="str">
        <f ca="1">IFERROR(__xludf.DUMMYFUNCTION("""COMPUTED_VALUE"""),"5/2024")</f>
        <v>5/2024</v>
      </c>
      <c r="M260" s="10" t="str">
        <f ca="1">IFERROR(__xludf.DUMMYFUNCTION("""COMPUTED_VALUE"""),"Predios Exentos")</f>
        <v>Predios Exentos</v>
      </c>
      <c r="N260" s="1"/>
      <c r="O260" s="1"/>
      <c r="P260" s="1"/>
      <c r="Q260" s="1"/>
      <c r="R260" s="1"/>
      <c r="S260" s="1"/>
      <c r="T260" s="1"/>
      <c r="U260" s="1"/>
      <c r="V260" s="1"/>
      <c r="W260" s="1"/>
      <c r="X260" s="1"/>
      <c r="Y260" s="1"/>
      <c r="Z260" s="1"/>
    </row>
    <row r="261" spans="1:26" ht="12.75" customHeight="1">
      <c r="A261" s="1"/>
      <c r="B261" s="10" t="str">
        <f ca="1">IFERROR(__xludf.DUMMYFUNCTION("""COMPUTED_VALUE"""),"Bono de aseo externalizado 2024")</f>
        <v>Bono de aseo externalizado 2024</v>
      </c>
      <c r="C261" s="26" t="str">
        <f t="shared" ca="1" si="0"/>
        <v xml:space="preserve"> CORRAL</v>
      </c>
      <c r="D261" s="10" t="str">
        <f ca="1">IFERROR(__xludf.DUMMYFUNCTION("""COMPUTED_VALUE"""),"Resolución de Transferencia")</f>
        <v>Resolución de Transferencia</v>
      </c>
      <c r="E261" s="26" t="str">
        <f ca="1">IFERROR(__xludf.DUMMYFUNCTION("""COMPUTED_VALUE"""),"MUNICIPALIDAD DE CORRAL")</f>
        <v>MUNICIPALIDAD DE CORRAL</v>
      </c>
      <c r="F261" s="11">
        <f ca="1">IFERROR(__xludf.DUMMYFUNCTION("""COMPUTED_VALUE"""),43514172)</f>
        <v>43514172</v>
      </c>
      <c r="G261" s="10" t="str">
        <f ca="1">IFERROR(__xludf.DUMMYFUNCTION("""COMPUTED_VALUE"""),"Resolución")</f>
        <v>Resolución</v>
      </c>
      <c r="H261" s="10" t="str">
        <f ca="1">IFERROR(__xludf.DUMMYFUNCTION("""COMPUTED_VALUE"""),"BONO ASEO EXTERNALIZADO")</f>
        <v>BONO ASEO EXTERNALIZADO</v>
      </c>
      <c r="I261" s="10" t="str">
        <f ca="1">IFERROR(__xludf.DUMMYFUNCTION("""COMPUTED_VALUE"""),"Cumplir con normativa y reglamentos internos del programa en base a los objetivos.")</f>
        <v>Cumplir con normativa y reglamentos internos del programa en base a los objetivos.</v>
      </c>
      <c r="J261" s="11">
        <f ca="1">IFERROR(__xludf.DUMMYFUNCTION("""COMPUTED_VALUE"""),43514172)</f>
        <v>43514172</v>
      </c>
      <c r="K261" s="27">
        <f ca="1">IFERROR(__xludf.DUMMYFUNCTION("""COMPUTED_VALUE"""),1)</f>
        <v>1</v>
      </c>
      <c r="L261" s="28" t="str">
        <f ca="1">IFERROR(__xludf.DUMMYFUNCTION("""COMPUTED_VALUE"""),"5/2024")</f>
        <v>5/2024</v>
      </c>
      <c r="M261" s="10" t="str">
        <f ca="1">IFERROR(__xludf.DUMMYFUNCTION("""COMPUTED_VALUE"""),"Predios Exentos")</f>
        <v>Predios Exentos</v>
      </c>
      <c r="N261" s="1"/>
      <c r="O261" s="1"/>
      <c r="P261" s="1"/>
      <c r="Q261" s="1"/>
      <c r="R261" s="1"/>
      <c r="S261" s="1"/>
      <c r="T261" s="1"/>
      <c r="U261" s="1"/>
      <c r="V261" s="1"/>
      <c r="W261" s="1"/>
      <c r="X261" s="1"/>
      <c r="Y261" s="1"/>
      <c r="Z261" s="1"/>
    </row>
    <row r="262" spans="1:26" ht="12.75" customHeight="1">
      <c r="A262" s="1"/>
      <c r="B262" s="10" t="str">
        <f ca="1">IFERROR(__xludf.DUMMYFUNCTION("""COMPUTED_VALUE"""),"Bono de aseo externalizado 2024")</f>
        <v>Bono de aseo externalizado 2024</v>
      </c>
      <c r="C262" s="26" t="str">
        <f t="shared" ca="1" si="0"/>
        <v xml:space="preserve"> LANCO</v>
      </c>
      <c r="D262" s="10" t="str">
        <f ca="1">IFERROR(__xludf.DUMMYFUNCTION("""COMPUTED_VALUE"""),"Resolución de Transferencia")</f>
        <v>Resolución de Transferencia</v>
      </c>
      <c r="E262" s="26" t="str">
        <f ca="1">IFERROR(__xludf.DUMMYFUNCTION("""COMPUTED_VALUE"""),"MUNICIPALIDAD DE LANCO")</f>
        <v>MUNICIPALIDAD DE LANCO</v>
      </c>
      <c r="F262" s="11">
        <f ca="1">IFERROR(__xludf.DUMMYFUNCTION("""COMPUTED_VALUE"""),71407872)</f>
        <v>71407872</v>
      </c>
      <c r="G262" s="10" t="str">
        <f ca="1">IFERROR(__xludf.DUMMYFUNCTION("""COMPUTED_VALUE"""),"Resolución")</f>
        <v>Resolución</v>
      </c>
      <c r="H262" s="10" t="str">
        <f ca="1">IFERROR(__xludf.DUMMYFUNCTION("""COMPUTED_VALUE"""),"BONO ASEO EXTERNALIZADO")</f>
        <v>BONO ASEO EXTERNALIZADO</v>
      </c>
      <c r="I262" s="10" t="str">
        <f ca="1">IFERROR(__xludf.DUMMYFUNCTION("""COMPUTED_VALUE"""),"Cumplir con normativa y reglamentos internos del programa en base a los objetivos.")</f>
        <v>Cumplir con normativa y reglamentos internos del programa en base a los objetivos.</v>
      </c>
      <c r="J262" s="11">
        <f ca="1">IFERROR(__xludf.DUMMYFUNCTION("""COMPUTED_VALUE"""),71407872)</f>
        <v>71407872</v>
      </c>
      <c r="K262" s="27">
        <f ca="1">IFERROR(__xludf.DUMMYFUNCTION("""COMPUTED_VALUE"""),1)</f>
        <v>1</v>
      </c>
      <c r="L262" s="28" t="str">
        <f ca="1">IFERROR(__xludf.DUMMYFUNCTION("""COMPUTED_VALUE"""),"5/2024")</f>
        <v>5/2024</v>
      </c>
      <c r="M262" s="10" t="str">
        <f ca="1">IFERROR(__xludf.DUMMYFUNCTION("""COMPUTED_VALUE"""),"Predios Exentos")</f>
        <v>Predios Exentos</v>
      </c>
      <c r="N262" s="1"/>
      <c r="O262" s="1"/>
      <c r="P262" s="1"/>
      <c r="Q262" s="1"/>
      <c r="R262" s="1"/>
      <c r="S262" s="1"/>
      <c r="T262" s="1"/>
      <c r="U262" s="1"/>
      <c r="V262" s="1"/>
      <c r="W262" s="1"/>
      <c r="X262" s="1"/>
      <c r="Y262" s="1"/>
      <c r="Z262" s="1"/>
    </row>
    <row r="263" spans="1:26" ht="12.75" customHeight="1">
      <c r="A263" s="1"/>
      <c r="B263" s="10" t="str">
        <f ca="1">IFERROR(__xludf.DUMMYFUNCTION("""COMPUTED_VALUE"""),"Bono de aseo externalizado 2024")</f>
        <v>Bono de aseo externalizado 2024</v>
      </c>
      <c r="C263" s="26" t="str">
        <f t="shared" ca="1" si="0"/>
        <v xml:space="preserve"> LOS LAGOS</v>
      </c>
      <c r="D263" s="10" t="str">
        <f ca="1">IFERROR(__xludf.DUMMYFUNCTION("""COMPUTED_VALUE"""),"Resolución de Transferencia")</f>
        <v>Resolución de Transferencia</v>
      </c>
      <c r="E263" s="26" t="str">
        <f ca="1">IFERROR(__xludf.DUMMYFUNCTION("""COMPUTED_VALUE"""),"MUNICIPALIDAD DE LOS LAGOS")</f>
        <v>MUNICIPALIDAD DE LOS LAGOS</v>
      </c>
      <c r="F263" s="11">
        <f ca="1">IFERROR(__xludf.DUMMYFUNCTION("""COMPUTED_VALUE"""),63597636)</f>
        <v>63597636</v>
      </c>
      <c r="G263" s="10" t="str">
        <f ca="1">IFERROR(__xludf.DUMMYFUNCTION("""COMPUTED_VALUE"""),"Resolución")</f>
        <v>Resolución</v>
      </c>
      <c r="H263" s="10" t="str">
        <f ca="1">IFERROR(__xludf.DUMMYFUNCTION("""COMPUTED_VALUE"""),"BONO ASEO EXTERNALIZADO")</f>
        <v>BONO ASEO EXTERNALIZADO</v>
      </c>
      <c r="I263" s="10" t="str">
        <f ca="1">IFERROR(__xludf.DUMMYFUNCTION("""COMPUTED_VALUE"""),"Cumplir con normativa y reglamentos internos del programa en base a los objetivos.")</f>
        <v>Cumplir con normativa y reglamentos internos del programa en base a los objetivos.</v>
      </c>
      <c r="J263" s="11">
        <f ca="1">IFERROR(__xludf.DUMMYFUNCTION("""COMPUTED_VALUE"""),63597636)</f>
        <v>63597636</v>
      </c>
      <c r="K263" s="27">
        <f ca="1">IFERROR(__xludf.DUMMYFUNCTION("""COMPUTED_VALUE"""),1)</f>
        <v>1</v>
      </c>
      <c r="L263" s="28" t="str">
        <f ca="1">IFERROR(__xludf.DUMMYFUNCTION("""COMPUTED_VALUE"""),"5/2024")</f>
        <v>5/2024</v>
      </c>
      <c r="M263" s="10" t="str">
        <f ca="1">IFERROR(__xludf.DUMMYFUNCTION("""COMPUTED_VALUE"""),"Predios Exentos")</f>
        <v>Predios Exentos</v>
      </c>
      <c r="N263" s="1"/>
      <c r="O263" s="1"/>
      <c r="P263" s="1"/>
      <c r="Q263" s="1"/>
      <c r="R263" s="1"/>
      <c r="S263" s="1"/>
      <c r="T263" s="1"/>
      <c r="U263" s="1"/>
      <c r="V263" s="1"/>
      <c r="W263" s="1"/>
      <c r="X263" s="1"/>
      <c r="Y263" s="1"/>
      <c r="Z263" s="1"/>
    </row>
    <row r="264" spans="1:26" ht="12.75" customHeight="1">
      <c r="A264" s="1"/>
      <c r="B264" s="10" t="str">
        <f ca="1">IFERROR(__xludf.DUMMYFUNCTION("""COMPUTED_VALUE"""),"Bono de aseo externalizado 2024")</f>
        <v>Bono de aseo externalizado 2024</v>
      </c>
      <c r="C264" s="26" t="str">
        <f t="shared" ca="1" si="0"/>
        <v xml:space="preserve"> MÁFIL</v>
      </c>
      <c r="D264" s="10" t="str">
        <f ca="1">IFERROR(__xludf.DUMMYFUNCTION("""COMPUTED_VALUE"""),"Resolución de Transferencia")</f>
        <v>Resolución de Transferencia</v>
      </c>
      <c r="E264" s="26" t="str">
        <f ca="1">IFERROR(__xludf.DUMMYFUNCTION("""COMPUTED_VALUE"""),"MUNICIPALIDAD DE MÁFIL")</f>
        <v>MUNICIPALIDAD DE MÁFIL</v>
      </c>
      <c r="F264" s="11">
        <f ca="1">IFERROR(__xludf.DUMMYFUNCTION("""COMPUTED_VALUE"""),17851968)</f>
        <v>17851968</v>
      </c>
      <c r="G264" s="10" t="str">
        <f ca="1">IFERROR(__xludf.DUMMYFUNCTION("""COMPUTED_VALUE"""),"Resolución")</f>
        <v>Resolución</v>
      </c>
      <c r="H264" s="10" t="str">
        <f ca="1">IFERROR(__xludf.DUMMYFUNCTION("""COMPUTED_VALUE"""),"BONO ASEO EXTERNALIZADO")</f>
        <v>BONO ASEO EXTERNALIZADO</v>
      </c>
      <c r="I264" s="10" t="str">
        <f ca="1">IFERROR(__xludf.DUMMYFUNCTION("""COMPUTED_VALUE"""),"Cumplir con normativa y reglamentos internos del programa en base a los objetivos.")</f>
        <v>Cumplir con normativa y reglamentos internos del programa en base a los objetivos.</v>
      </c>
      <c r="J264" s="11">
        <f ca="1">IFERROR(__xludf.DUMMYFUNCTION("""COMPUTED_VALUE"""),17851968)</f>
        <v>17851968</v>
      </c>
      <c r="K264" s="27">
        <f ca="1">IFERROR(__xludf.DUMMYFUNCTION("""COMPUTED_VALUE"""),1)</f>
        <v>1</v>
      </c>
      <c r="L264" s="28" t="str">
        <f ca="1">IFERROR(__xludf.DUMMYFUNCTION("""COMPUTED_VALUE"""),"5/2024")</f>
        <v>5/2024</v>
      </c>
      <c r="M264" s="10" t="str">
        <f ca="1">IFERROR(__xludf.DUMMYFUNCTION("""COMPUTED_VALUE"""),"Predios Exentos")</f>
        <v>Predios Exentos</v>
      </c>
      <c r="N264" s="1"/>
      <c r="O264" s="1"/>
      <c r="P264" s="1"/>
      <c r="Q264" s="1"/>
      <c r="R264" s="1"/>
      <c r="S264" s="1"/>
      <c r="T264" s="1"/>
      <c r="U264" s="1"/>
      <c r="V264" s="1"/>
      <c r="W264" s="1"/>
      <c r="X264" s="1"/>
      <c r="Y264" s="1"/>
      <c r="Z264" s="1"/>
    </row>
    <row r="265" spans="1:26" ht="12.75" customHeight="1">
      <c r="A265" s="1"/>
      <c r="B265" s="10" t="str">
        <f ca="1">IFERROR(__xludf.DUMMYFUNCTION("""COMPUTED_VALUE"""),"Bono de aseo externalizado 2024")</f>
        <v>Bono de aseo externalizado 2024</v>
      </c>
      <c r="C265" s="26" t="str">
        <f t="shared" ca="1" si="0"/>
        <v xml:space="preserve"> MARIQUINA</v>
      </c>
      <c r="D265" s="10" t="str">
        <f ca="1">IFERROR(__xludf.DUMMYFUNCTION("""COMPUTED_VALUE"""),"Resolución de Transferencia")</f>
        <v>Resolución de Transferencia</v>
      </c>
      <c r="E265" s="26" t="str">
        <f ca="1">IFERROR(__xludf.DUMMYFUNCTION("""COMPUTED_VALUE"""),"MUNICIPALIDAD DE MARIQUINA")</f>
        <v>MUNICIPALIDAD DE MARIQUINA</v>
      </c>
      <c r="F265" s="11">
        <f ca="1">IFERROR(__xludf.DUMMYFUNCTION("""COMPUTED_VALUE"""),75870864)</f>
        <v>75870864</v>
      </c>
      <c r="G265" s="10" t="str">
        <f ca="1">IFERROR(__xludf.DUMMYFUNCTION("""COMPUTED_VALUE"""),"Resolución")</f>
        <v>Resolución</v>
      </c>
      <c r="H265" s="10" t="str">
        <f ca="1">IFERROR(__xludf.DUMMYFUNCTION("""COMPUTED_VALUE"""),"BONO ASEO EXTERNALIZADO")</f>
        <v>BONO ASEO EXTERNALIZADO</v>
      </c>
      <c r="I265" s="10" t="str">
        <f ca="1">IFERROR(__xludf.DUMMYFUNCTION("""COMPUTED_VALUE"""),"Cumplir con normativa y reglamentos internos del programa en base a los objetivos.")</f>
        <v>Cumplir con normativa y reglamentos internos del programa en base a los objetivos.</v>
      </c>
      <c r="J265" s="11">
        <f ca="1">IFERROR(__xludf.DUMMYFUNCTION("""COMPUTED_VALUE"""),75870864)</f>
        <v>75870864</v>
      </c>
      <c r="K265" s="27">
        <f ca="1">IFERROR(__xludf.DUMMYFUNCTION("""COMPUTED_VALUE"""),1)</f>
        <v>1</v>
      </c>
      <c r="L265" s="28" t="str">
        <f ca="1">IFERROR(__xludf.DUMMYFUNCTION("""COMPUTED_VALUE"""),"5/2024")</f>
        <v>5/2024</v>
      </c>
      <c r="M265" s="10" t="str">
        <f ca="1">IFERROR(__xludf.DUMMYFUNCTION("""COMPUTED_VALUE"""),"Predios Exentos")</f>
        <v>Predios Exentos</v>
      </c>
      <c r="N265" s="1"/>
      <c r="O265" s="1"/>
      <c r="P265" s="1"/>
      <c r="Q265" s="1"/>
      <c r="R265" s="1"/>
      <c r="S265" s="1"/>
      <c r="T265" s="1"/>
      <c r="U265" s="1"/>
      <c r="V265" s="1"/>
      <c r="W265" s="1"/>
      <c r="X265" s="1"/>
      <c r="Y265" s="1"/>
      <c r="Z265" s="1"/>
    </row>
    <row r="266" spans="1:26" ht="12.75" customHeight="1">
      <c r="A266" s="1"/>
      <c r="B266" s="10" t="str">
        <f ca="1">IFERROR(__xludf.DUMMYFUNCTION("""COMPUTED_VALUE"""),"Bono de aseo externalizado 2024")</f>
        <v>Bono de aseo externalizado 2024</v>
      </c>
      <c r="C266" s="26" t="str">
        <f t="shared" ca="1" si="0"/>
        <v xml:space="preserve"> PAILLACO</v>
      </c>
      <c r="D266" s="10" t="str">
        <f ca="1">IFERROR(__xludf.DUMMYFUNCTION("""COMPUTED_VALUE"""),"Resolución de Transferencia")</f>
        <v>Resolución de Transferencia</v>
      </c>
      <c r="E266" s="26" t="str">
        <f ca="1">IFERROR(__xludf.DUMMYFUNCTION("""COMPUTED_VALUE"""),"MUNICIPALIDAD DE PAILLACO")</f>
        <v>MUNICIPALIDAD DE PAILLACO</v>
      </c>
      <c r="F266" s="11">
        <f ca="1">IFERROR(__xludf.DUMMYFUNCTION("""COMPUTED_VALUE"""),55787400)</f>
        <v>55787400</v>
      </c>
      <c r="G266" s="10" t="str">
        <f ca="1">IFERROR(__xludf.DUMMYFUNCTION("""COMPUTED_VALUE"""),"Resolución")</f>
        <v>Resolución</v>
      </c>
      <c r="H266" s="10" t="str">
        <f ca="1">IFERROR(__xludf.DUMMYFUNCTION("""COMPUTED_VALUE"""),"BONO ASEO EXTERNALIZADO")</f>
        <v>BONO ASEO EXTERNALIZADO</v>
      </c>
      <c r="I266" s="10" t="str">
        <f ca="1">IFERROR(__xludf.DUMMYFUNCTION("""COMPUTED_VALUE"""),"Cumplir con normativa y reglamentos internos del programa en base a los objetivos.")</f>
        <v>Cumplir con normativa y reglamentos internos del programa en base a los objetivos.</v>
      </c>
      <c r="J266" s="11">
        <f ca="1">IFERROR(__xludf.DUMMYFUNCTION("""COMPUTED_VALUE"""),55787400)</f>
        <v>55787400</v>
      </c>
      <c r="K266" s="27">
        <f ca="1">IFERROR(__xludf.DUMMYFUNCTION("""COMPUTED_VALUE"""),1)</f>
        <v>1</v>
      </c>
      <c r="L266" s="28" t="str">
        <f ca="1">IFERROR(__xludf.DUMMYFUNCTION("""COMPUTED_VALUE"""),"5/2024")</f>
        <v>5/2024</v>
      </c>
      <c r="M266" s="10" t="str">
        <f ca="1">IFERROR(__xludf.DUMMYFUNCTION("""COMPUTED_VALUE"""),"Predios Exentos")</f>
        <v>Predios Exentos</v>
      </c>
      <c r="N266" s="1"/>
      <c r="O266" s="1"/>
      <c r="P266" s="1"/>
      <c r="Q266" s="1"/>
      <c r="R266" s="1"/>
      <c r="S266" s="1"/>
      <c r="T266" s="1"/>
      <c r="U266" s="1"/>
      <c r="V266" s="1"/>
      <c r="W266" s="1"/>
      <c r="X266" s="1"/>
      <c r="Y266" s="1"/>
      <c r="Z266" s="1"/>
    </row>
    <row r="267" spans="1:26" ht="12.75" customHeight="1">
      <c r="A267" s="1"/>
      <c r="B267" s="10" t="str">
        <f ca="1">IFERROR(__xludf.DUMMYFUNCTION("""COMPUTED_VALUE"""),"Bono de aseo externalizado 2024")</f>
        <v>Bono de aseo externalizado 2024</v>
      </c>
      <c r="C267" s="26" t="str">
        <f t="shared" ca="1" si="0"/>
        <v xml:space="preserve"> PANGUIPULLI</v>
      </c>
      <c r="D267" s="10" t="str">
        <f ca="1">IFERROR(__xludf.DUMMYFUNCTION("""COMPUTED_VALUE"""),"Resolución de Transferencia")</f>
        <v>Resolución de Transferencia</v>
      </c>
      <c r="E267" s="26" t="str">
        <f ca="1">IFERROR(__xludf.DUMMYFUNCTION("""COMPUTED_VALUE"""),"MUNICIPALIDAD DE PANGUIPULLI")</f>
        <v>MUNICIPALIDAD DE PANGUIPULLI</v>
      </c>
      <c r="F267" s="11">
        <f ca="1">IFERROR(__xludf.DUMMYFUNCTION("""COMPUTED_VALUE"""),79218108)</f>
        <v>79218108</v>
      </c>
      <c r="G267" s="10" t="str">
        <f ca="1">IFERROR(__xludf.DUMMYFUNCTION("""COMPUTED_VALUE"""),"Resolución")</f>
        <v>Resolución</v>
      </c>
      <c r="H267" s="10" t="str">
        <f ca="1">IFERROR(__xludf.DUMMYFUNCTION("""COMPUTED_VALUE"""),"BONO ASEO EXTERNALIZADO")</f>
        <v>BONO ASEO EXTERNALIZADO</v>
      </c>
      <c r="I267" s="10" t="str">
        <f ca="1">IFERROR(__xludf.DUMMYFUNCTION("""COMPUTED_VALUE"""),"Cumplir con normativa y reglamentos internos del programa en base a los objetivos.")</f>
        <v>Cumplir con normativa y reglamentos internos del programa en base a los objetivos.</v>
      </c>
      <c r="J267" s="11">
        <f ca="1">IFERROR(__xludf.DUMMYFUNCTION("""COMPUTED_VALUE"""),79218108)</f>
        <v>79218108</v>
      </c>
      <c r="K267" s="27">
        <f ca="1">IFERROR(__xludf.DUMMYFUNCTION("""COMPUTED_VALUE"""),1)</f>
        <v>1</v>
      </c>
      <c r="L267" s="28" t="str">
        <f ca="1">IFERROR(__xludf.DUMMYFUNCTION("""COMPUTED_VALUE"""),"5/2024")</f>
        <v>5/2024</v>
      </c>
      <c r="M267" s="10" t="str">
        <f ca="1">IFERROR(__xludf.DUMMYFUNCTION("""COMPUTED_VALUE"""),"Predios Exentos")</f>
        <v>Predios Exentos</v>
      </c>
      <c r="N267" s="1"/>
      <c r="O267" s="1"/>
      <c r="P267" s="1"/>
      <c r="Q267" s="1"/>
      <c r="R267" s="1"/>
      <c r="S267" s="1"/>
      <c r="T267" s="1"/>
      <c r="U267" s="1"/>
      <c r="V267" s="1"/>
      <c r="W267" s="1"/>
      <c r="X267" s="1"/>
      <c r="Y267" s="1"/>
      <c r="Z267" s="1"/>
    </row>
    <row r="268" spans="1:26" ht="12.75" customHeight="1">
      <c r="A268" s="1"/>
      <c r="B268" s="10" t="str">
        <f ca="1">IFERROR(__xludf.DUMMYFUNCTION("""COMPUTED_VALUE"""),"Bono de aseo externalizado 2024")</f>
        <v>Bono de aseo externalizado 2024</v>
      </c>
      <c r="C268" s="26" t="str">
        <f t="shared" ca="1" si="0"/>
        <v xml:space="preserve"> LA UNIÓN</v>
      </c>
      <c r="D268" s="10" t="str">
        <f ca="1">IFERROR(__xludf.DUMMYFUNCTION("""COMPUTED_VALUE"""),"Resolución de Transferencia")</f>
        <v>Resolución de Transferencia</v>
      </c>
      <c r="E268" s="26" t="str">
        <f ca="1">IFERROR(__xludf.DUMMYFUNCTION("""COMPUTED_VALUE"""),"MUNICIPALIDAD DE LA UNIÓN")</f>
        <v>MUNICIPALIDAD DE LA UNIÓN</v>
      </c>
      <c r="F268" s="11">
        <f ca="1">IFERROR(__xludf.DUMMYFUNCTION("""COMPUTED_VALUE"""),78102360)</f>
        <v>78102360</v>
      </c>
      <c r="G268" s="10" t="str">
        <f ca="1">IFERROR(__xludf.DUMMYFUNCTION("""COMPUTED_VALUE"""),"Resolución")</f>
        <v>Resolución</v>
      </c>
      <c r="H268" s="10" t="str">
        <f ca="1">IFERROR(__xludf.DUMMYFUNCTION("""COMPUTED_VALUE"""),"BONO ASEO EXTERNALIZADO")</f>
        <v>BONO ASEO EXTERNALIZADO</v>
      </c>
      <c r="I268" s="10" t="str">
        <f ca="1">IFERROR(__xludf.DUMMYFUNCTION("""COMPUTED_VALUE"""),"Cumplir con normativa y reglamentos internos del programa en base a los objetivos.")</f>
        <v>Cumplir con normativa y reglamentos internos del programa en base a los objetivos.</v>
      </c>
      <c r="J268" s="11">
        <f ca="1">IFERROR(__xludf.DUMMYFUNCTION("""COMPUTED_VALUE"""),78102360)</f>
        <v>78102360</v>
      </c>
      <c r="K268" s="27">
        <f ca="1">IFERROR(__xludf.DUMMYFUNCTION("""COMPUTED_VALUE"""),1)</f>
        <v>1</v>
      </c>
      <c r="L268" s="28" t="str">
        <f ca="1">IFERROR(__xludf.DUMMYFUNCTION("""COMPUTED_VALUE"""),"5/2024")</f>
        <v>5/2024</v>
      </c>
      <c r="M268" s="10" t="str">
        <f ca="1">IFERROR(__xludf.DUMMYFUNCTION("""COMPUTED_VALUE"""),"Predios Exentos")</f>
        <v>Predios Exentos</v>
      </c>
      <c r="N268" s="1"/>
      <c r="O268" s="1"/>
      <c r="P268" s="1"/>
      <c r="Q268" s="1"/>
      <c r="R268" s="1"/>
      <c r="S268" s="1"/>
      <c r="T268" s="1"/>
      <c r="U268" s="1"/>
      <c r="V268" s="1"/>
      <c r="W268" s="1"/>
      <c r="X268" s="1"/>
      <c r="Y268" s="1"/>
      <c r="Z268" s="1"/>
    </row>
    <row r="269" spans="1:26" ht="12.75" customHeight="1">
      <c r="A269" s="1"/>
      <c r="B269" s="10" t="str">
        <f ca="1">IFERROR(__xludf.DUMMYFUNCTION("""COMPUTED_VALUE"""),"Bono de aseo externalizado 2024")</f>
        <v>Bono de aseo externalizado 2024</v>
      </c>
      <c r="C269" s="26" t="str">
        <f t="shared" ca="1" si="0"/>
        <v xml:space="preserve"> FUTRONO</v>
      </c>
      <c r="D269" s="10" t="str">
        <f ca="1">IFERROR(__xludf.DUMMYFUNCTION("""COMPUTED_VALUE"""),"Resolución de Transferencia")</f>
        <v>Resolución de Transferencia</v>
      </c>
      <c r="E269" s="26" t="str">
        <f ca="1">IFERROR(__xludf.DUMMYFUNCTION("""COMPUTED_VALUE"""),"MUNICIPALIDAD DE FUTRONO")</f>
        <v>MUNICIPALIDAD DE FUTRONO</v>
      </c>
      <c r="F269" s="11">
        <f ca="1">IFERROR(__xludf.DUMMYFUNCTION("""COMPUTED_VALUE"""),68060628)</f>
        <v>68060628</v>
      </c>
      <c r="G269" s="10" t="str">
        <f ca="1">IFERROR(__xludf.DUMMYFUNCTION("""COMPUTED_VALUE"""),"Resolución")</f>
        <v>Resolución</v>
      </c>
      <c r="H269" s="10" t="str">
        <f ca="1">IFERROR(__xludf.DUMMYFUNCTION("""COMPUTED_VALUE"""),"BONO ASEO EXTERNALIZADO")</f>
        <v>BONO ASEO EXTERNALIZADO</v>
      </c>
      <c r="I269" s="10" t="str">
        <f ca="1">IFERROR(__xludf.DUMMYFUNCTION("""COMPUTED_VALUE"""),"Cumplir con normativa y reglamentos internos del programa en base a los objetivos.")</f>
        <v>Cumplir con normativa y reglamentos internos del programa en base a los objetivos.</v>
      </c>
      <c r="J269" s="11">
        <f ca="1">IFERROR(__xludf.DUMMYFUNCTION("""COMPUTED_VALUE"""),68060628)</f>
        <v>68060628</v>
      </c>
      <c r="K269" s="27">
        <f ca="1">IFERROR(__xludf.DUMMYFUNCTION("""COMPUTED_VALUE"""),1)</f>
        <v>1</v>
      </c>
      <c r="L269" s="28" t="str">
        <f ca="1">IFERROR(__xludf.DUMMYFUNCTION("""COMPUTED_VALUE"""),"5/2024")</f>
        <v>5/2024</v>
      </c>
      <c r="M269" s="10" t="str">
        <f ca="1">IFERROR(__xludf.DUMMYFUNCTION("""COMPUTED_VALUE"""),"Predios Exentos")</f>
        <v>Predios Exentos</v>
      </c>
      <c r="N269" s="1"/>
      <c r="O269" s="1"/>
      <c r="P269" s="1"/>
      <c r="Q269" s="1"/>
      <c r="R269" s="1"/>
      <c r="S269" s="1"/>
      <c r="T269" s="1"/>
      <c r="U269" s="1"/>
      <c r="V269" s="1"/>
      <c r="W269" s="1"/>
      <c r="X269" s="1"/>
      <c r="Y269" s="1"/>
      <c r="Z269" s="1"/>
    </row>
    <row r="270" spans="1:26" ht="12.75" customHeight="1">
      <c r="A270" s="1"/>
      <c r="B270" s="10" t="str">
        <f ca="1">IFERROR(__xludf.DUMMYFUNCTION("""COMPUTED_VALUE"""),"Bono de aseo externalizado 2024")</f>
        <v>Bono de aseo externalizado 2024</v>
      </c>
      <c r="C270" s="26" t="str">
        <f t="shared" ca="1" si="0"/>
        <v xml:space="preserve"> LAGO RANCO</v>
      </c>
      <c r="D270" s="10" t="str">
        <f ca="1">IFERROR(__xludf.DUMMYFUNCTION("""COMPUTED_VALUE"""),"Resolución de Transferencia")</f>
        <v>Resolución de Transferencia</v>
      </c>
      <c r="E270" s="26" t="str">
        <f ca="1">IFERROR(__xludf.DUMMYFUNCTION("""COMPUTED_VALUE"""),"MUNICIPALIDAD DE LAGO RANCO")</f>
        <v>MUNICIPALIDAD DE LAGO RANCO</v>
      </c>
      <c r="F270" s="11">
        <f ca="1">IFERROR(__xludf.DUMMYFUNCTION("""COMPUTED_VALUE"""),11157480)</f>
        <v>11157480</v>
      </c>
      <c r="G270" s="10" t="str">
        <f ca="1">IFERROR(__xludf.DUMMYFUNCTION("""COMPUTED_VALUE"""),"Resolución")</f>
        <v>Resolución</v>
      </c>
      <c r="H270" s="10" t="str">
        <f ca="1">IFERROR(__xludf.DUMMYFUNCTION("""COMPUTED_VALUE"""),"BONO ASEO EXTERNALIZADO")</f>
        <v>BONO ASEO EXTERNALIZADO</v>
      </c>
      <c r="I270" s="10" t="str">
        <f ca="1">IFERROR(__xludf.DUMMYFUNCTION("""COMPUTED_VALUE"""),"Cumplir con normativa y reglamentos internos del programa en base a los objetivos.")</f>
        <v>Cumplir con normativa y reglamentos internos del programa en base a los objetivos.</v>
      </c>
      <c r="J270" s="11">
        <f ca="1">IFERROR(__xludf.DUMMYFUNCTION("""COMPUTED_VALUE"""),11157480)</f>
        <v>11157480</v>
      </c>
      <c r="K270" s="27">
        <f ca="1">IFERROR(__xludf.DUMMYFUNCTION("""COMPUTED_VALUE"""),1)</f>
        <v>1</v>
      </c>
      <c r="L270" s="28" t="str">
        <f ca="1">IFERROR(__xludf.DUMMYFUNCTION("""COMPUTED_VALUE"""),"5/2024")</f>
        <v>5/2024</v>
      </c>
      <c r="M270" s="10" t="str">
        <f ca="1">IFERROR(__xludf.DUMMYFUNCTION("""COMPUTED_VALUE"""),"Predios Exentos")</f>
        <v>Predios Exentos</v>
      </c>
      <c r="N270" s="1"/>
      <c r="O270" s="1"/>
      <c r="P270" s="1"/>
      <c r="Q270" s="1"/>
      <c r="R270" s="1"/>
      <c r="S270" s="1"/>
      <c r="T270" s="1"/>
      <c r="U270" s="1"/>
      <c r="V270" s="1"/>
      <c r="W270" s="1"/>
      <c r="X270" s="1"/>
      <c r="Y270" s="1"/>
      <c r="Z270" s="1"/>
    </row>
    <row r="271" spans="1:26" ht="12.75" customHeight="1">
      <c r="A271" s="1"/>
      <c r="B271" s="10" t="str">
        <f ca="1">IFERROR(__xludf.DUMMYFUNCTION("""COMPUTED_VALUE"""),"Bono de aseo externalizado 2024")</f>
        <v>Bono de aseo externalizado 2024</v>
      </c>
      <c r="C271" s="26" t="str">
        <f t="shared" ca="1" si="0"/>
        <v xml:space="preserve"> RÍO BUENO</v>
      </c>
      <c r="D271" s="10" t="str">
        <f ca="1">IFERROR(__xludf.DUMMYFUNCTION("""COMPUTED_VALUE"""),"Resolución de Transferencia")</f>
        <v>Resolución de Transferencia</v>
      </c>
      <c r="E271" s="26" t="str">
        <f ca="1">IFERROR(__xludf.DUMMYFUNCTION("""COMPUTED_VALUE"""),"MUNICIPALIDAD DE RÍO BUENO")</f>
        <v>MUNICIPALIDAD DE RÍO BUENO</v>
      </c>
      <c r="F271" s="11">
        <f ca="1">IFERROR(__xludf.DUMMYFUNCTION("""COMPUTED_VALUE"""),61366140)</f>
        <v>61366140</v>
      </c>
      <c r="G271" s="10" t="str">
        <f ca="1">IFERROR(__xludf.DUMMYFUNCTION("""COMPUTED_VALUE"""),"Resolución")</f>
        <v>Resolución</v>
      </c>
      <c r="H271" s="10" t="str">
        <f ca="1">IFERROR(__xludf.DUMMYFUNCTION("""COMPUTED_VALUE"""),"BONO ASEO EXTERNALIZADO")</f>
        <v>BONO ASEO EXTERNALIZADO</v>
      </c>
      <c r="I271" s="10" t="str">
        <f ca="1">IFERROR(__xludf.DUMMYFUNCTION("""COMPUTED_VALUE"""),"Cumplir con normativa y reglamentos internos del programa en base a los objetivos.")</f>
        <v>Cumplir con normativa y reglamentos internos del programa en base a los objetivos.</v>
      </c>
      <c r="J271" s="11">
        <f ca="1">IFERROR(__xludf.DUMMYFUNCTION("""COMPUTED_VALUE"""),61366140)</f>
        <v>61366140</v>
      </c>
      <c r="K271" s="27">
        <f ca="1">IFERROR(__xludf.DUMMYFUNCTION("""COMPUTED_VALUE"""),1)</f>
        <v>1</v>
      </c>
      <c r="L271" s="28" t="str">
        <f ca="1">IFERROR(__xludf.DUMMYFUNCTION("""COMPUTED_VALUE"""),"5/2024")</f>
        <v>5/2024</v>
      </c>
      <c r="M271" s="10" t="str">
        <f ca="1">IFERROR(__xludf.DUMMYFUNCTION("""COMPUTED_VALUE"""),"Predios Exentos")</f>
        <v>Predios Exentos</v>
      </c>
      <c r="N271" s="1"/>
      <c r="O271" s="1"/>
      <c r="P271" s="1"/>
      <c r="Q271" s="1"/>
      <c r="R271" s="1"/>
      <c r="S271" s="1"/>
      <c r="T271" s="1"/>
      <c r="U271" s="1"/>
      <c r="V271" s="1"/>
      <c r="W271" s="1"/>
      <c r="X271" s="1"/>
      <c r="Y271" s="1"/>
      <c r="Z271" s="1"/>
    </row>
    <row r="272" spans="1:26" ht="12.75" customHeight="1">
      <c r="A272" s="1"/>
      <c r="B272" s="10" t="str">
        <f ca="1">IFERROR(__xludf.DUMMYFUNCTION("""COMPUTED_VALUE"""),"Bono de aseo externalizado 2024")</f>
        <v>Bono de aseo externalizado 2024</v>
      </c>
      <c r="C272" s="26" t="str">
        <f t="shared" ca="1" si="0"/>
        <v xml:space="preserve"> ARICA</v>
      </c>
      <c r="D272" s="10" t="str">
        <f ca="1">IFERROR(__xludf.DUMMYFUNCTION("""COMPUTED_VALUE"""),"Resolución de Transferencia")</f>
        <v>Resolución de Transferencia</v>
      </c>
      <c r="E272" s="26" t="str">
        <f ca="1">IFERROR(__xludf.DUMMYFUNCTION("""COMPUTED_VALUE"""),"MUNICIPALIDAD DE ARICA")</f>
        <v>MUNICIPALIDAD DE ARICA</v>
      </c>
      <c r="F272" s="11">
        <f ca="1">IFERROR(__xludf.DUMMYFUNCTION("""COMPUTED_VALUE"""),233191332)</f>
        <v>233191332</v>
      </c>
      <c r="G272" s="10" t="str">
        <f ca="1">IFERROR(__xludf.DUMMYFUNCTION("""COMPUTED_VALUE"""),"Resolución")</f>
        <v>Resolución</v>
      </c>
      <c r="H272" s="10" t="str">
        <f ca="1">IFERROR(__xludf.DUMMYFUNCTION("""COMPUTED_VALUE"""),"BONO ASEO EXTERNALIZADO")</f>
        <v>BONO ASEO EXTERNALIZADO</v>
      </c>
      <c r="I272" s="10" t="str">
        <f ca="1">IFERROR(__xludf.DUMMYFUNCTION("""COMPUTED_VALUE"""),"Cumplir con normativa y reglamentos internos del programa en base a los objetivos.")</f>
        <v>Cumplir con normativa y reglamentos internos del programa en base a los objetivos.</v>
      </c>
      <c r="J272" s="11">
        <f ca="1">IFERROR(__xludf.DUMMYFUNCTION("""COMPUTED_VALUE"""),233191332)</f>
        <v>233191332</v>
      </c>
      <c r="K272" s="27">
        <f ca="1">IFERROR(__xludf.DUMMYFUNCTION("""COMPUTED_VALUE"""),1)</f>
        <v>1</v>
      </c>
      <c r="L272" s="28" t="str">
        <f ca="1">IFERROR(__xludf.DUMMYFUNCTION("""COMPUTED_VALUE"""),"5/2024")</f>
        <v>5/2024</v>
      </c>
      <c r="M272" s="10" t="str">
        <f ca="1">IFERROR(__xludf.DUMMYFUNCTION("""COMPUTED_VALUE"""),"Predios Exentos")</f>
        <v>Predios Exentos</v>
      </c>
      <c r="N272" s="1"/>
      <c r="O272" s="1"/>
      <c r="P272" s="1"/>
      <c r="Q272" s="1"/>
      <c r="R272" s="1"/>
      <c r="S272" s="1"/>
      <c r="T272" s="1"/>
      <c r="U272" s="1"/>
      <c r="V272" s="1"/>
      <c r="W272" s="1"/>
      <c r="X272" s="1"/>
      <c r="Y272" s="1"/>
      <c r="Z272" s="1"/>
    </row>
    <row r="273" spans="1:26" ht="12.75" customHeight="1">
      <c r="A273" s="1"/>
      <c r="B273" s="10" t="str">
        <f ca="1">IFERROR(__xludf.DUMMYFUNCTION("""COMPUTED_VALUE"""),"Bono de aseo externalizado 2024")</f>
        <v>Bono de aseo externalizado 2024</v>
      </c>
      <c r="C273" s="26" t="str">
        <f t="shared" ca="1" si="0"/>
        <v xml:space="preserve"> CHILLÁN</v>
      </c>
      <c r="D273" s="10" t="str">
        <f ca="1">IFERROR(__xludf.DUMMYFUNCTION("""COMPUTED_VALUE"""),"Resolución de Transferencia")</f>
        <v>Resolución de Transferencia</v>
      </c>
      <c r="E273" s="26" t="str">
        <f ca="1">IFERROR(__xludf.DUMMYFUNCTION("""COMPUTED_VALUE"""),"MUNICIPALIDAD DE CHILLÁN")</f>
        <v>MUNICIPALIDAD DE CHILLÁN</v>
      </c>
      <c r="F273" s="11">
        <f ca="1">IFERROR(__xludf.DUMMYFUNCTION("""COMPUTED_VALUE"""),219802356)</f>
        <v>219802356</v>
      </c>
      <c r="G273" s="10" t="str">
        <f ca="1">IFERROR(__xludf.DUMMYFUNCTION("""COMPUTED_VALUE"""),"Resolución")</f>
        <v>Resolución</v>
      </c>
      <c r="H273" s="10" t="str">
        <f ca="1">IFERROR(__xludf.DUMMYFUNCTION("""COMPUTED_VALUE"""),"BONO ASEO EXTERNALIZADO")</f>
        <v>BONO ASEO EXTERNALIZADO</v>
      </c>
      <c r="I273" s="10" t="str">
        <f ca="1">IFERROR(__xludf.DUMMYFUNCTION("""COMPUTED_VALUE"""),"Cumplir con normativa y reglamentos internos del programa en base a los objetivos.")</f>
        <v>Cumplir con normativa y reglamentos internos del programa en base a los objetivos.</v>
      </c>
      <c r="J273" s="11">
        <f ca="1">IFERROR(__xludf.DUMMYFUNCTION("""COMPUTED_VALUE"""),219802356)</f>
        <v>219802356</v>
      </c>
      <c r="K273" s="27">
        <f ca="1">IFERROR(__xludf.DUMMYFUNCTION("""COMPUTED_VALUE"""),1)</f>
        <v>1</v>
      </c>
      <c r="L273" s="28" t="str">
        <f ca="1">IFERROR(__xludf.DUMMYFUNCTION("""COMPUTED_VALUE"""),"5/2024")</f>
        <v>5/2024</v>
      </c>
      <c r="M273" s="10" t="str">
        <f ca="1">IFERROR(__xludf.DUMMYFUNCTION("""COMPUTED_VALUE"""),"Predios Exentos")</f>
        <v>Predios Exentos</v>
      </c>
      <c r="N273" s="1"/>
      <c r="O273" s="1"/>
      <c r="P273" s="1"/>
      <c r="Q273" s="1"/>
      <c r="R273" s="1"/>
      <c r="S273" s="1"/>
      <c r="T273" s="1"/>
      <c r="U273" s="1"/>
      <c r="V273" s="1"/>
      <c r="W273" s="1"/>
      <c r="X273" s="1"/>
      <c r="Y273" s="1"/>
      <c r="Z273" s="1"/>
    </row>
    <row r="274" spans="1:26" ht="12.75" customHeight="1">
      <c r="A274" s="1"/>
      <c r="B274" s="10" t="str">
        <f ca="1">IFERROR(__xludf.DUMMYFUNCTION("""COMPUTED_VALUE"""),"Bono de aseo externalizado 2024")</f>
        <v>Bono de aseo externalizado 2024</v>
      </c>
      <c r="C274" s="26" t="str">
        <f t="shared" ca="1" si="0"/>
        <v xml:space="preserve"> BULNES</v>
      </c>
      <c r="D274" s="10" t="str">
        <f ca="1">IFERROR(__xludf.DUMMYFUNCTION("""COMPUTED_VALUE"""),"Resolución de Transferencia")</f>
        <v>Resolución de Transferencia</v>
      </c>
      <c r="E274" s="26" t="str">
        <f ca="1">IFERROR(__xludf.DUMMYFUNCTION("""COMPUTED_VALUE"""),"MUNICIPALIDAD DE BULNES")</f>
        <v>MUNICIPALIDAD DE BULNES</v>
      </c>
      <c r="F274" s="11">
        <f ca="1">IFERROR(__xludf.DUMMYFUNCTION("""COMPUTED_VALUE"""),31240944)</f>
        <v>31240944</v>
      </c>
      <c r="G274" s="10" t="str">
        <f ca="1">IFERROR(__xludf.DUMMYFUNCTION("""COMPUTED_VALUE"""),"Resolución")</f>
        <v>Resolución</v>
      </c>
      <c r="H274" s="10" t="str">
        <f ca="1">IFERROR(__xludf.DUMMYFUNCTION("""COMPUTED_VALUE"""),"BONO ASEO EXTERNALIZADO")</f>
        <v>BONO ASEO EXTERNALIZADO</v>
      </c>
      <c r="I274" s="10" t="str">
        <f ca="1">IFERROR(__xludf.DUMMYFUNCTION("""COMPUTED_VALUE"""),"Cumplir con normativa y reglamentos internos del programa en base a los objetivos.")</f>
        <v>Cumplir con normativa y reglamentos internos del programa en base a los objetivos.</v>
      </c>
      <c r="J274" s="11">
        <f ca="1">IFERROR(__xludf.DUMMYFUNCTION("""COMPUTED_VALUE"""),31240944)</f>
        <v>31240944</v>
      </c>
      <c r="K274" s="27">
        <f ca="1">IFERROR(__xludf.DUMMYFUNCTION("""COMPUTED_VALUE"""),1)</f>
        <v>1</v>
      </c>
      <c r="L274" s="28" t="str">
        <f ca="1">IFERROR(__xludf.DUMMYFUNCTION("""COMPUTED_VALUE"""),"5/2024")</f>
        <v>5/2024</v>
      </c>
      <c r="M274" s="10" t="str">
        <f ca="1">IFERROR(__xludf.DUMMYFUNCTION("""COMPUTED_VALUE"""),"Predios Exentos")</f>
        <v>Predios Exentos</v>
      </c>
      <c r="N274" s="1"/>
      <c r="O274" s="1"/>
      <c r="P274" s="1"/>
      <c r="Q274" s="1"/>
      <c r="R274" s="1"/>
      <c r="S274" s="1"/>
      <c r="T274" s="1"/>
      <c r="U274" s="1"/>
      <c r="V274" s="1"/>
      <c r="W274" s="1"/>
      <c r="X274" s="1"/>
      <c r="Y274" s="1"/>
      <c r="Z274" s="1"/>
    </row>
    <row r="275" spans="1:26" ht="12.75" customHeight="1">
      <c r="A275" s="1"/>
      <c r="B275" s="10" t="str">
        <f ca="1">IFERROR(__xludf.DUMMYFUNCTION("""COMPUTED_VALUE"""),"Bono de aseo externalizado 2024")</f>
        <v>Bono de aseo externalizado 2024</v>
      </c>
      <c r="C275" s="26" t="str">
        <f t="shared" ca="1" si="0"/>
        <v xml:space="preserve"> CHILLÁN VIEJO</v>
      </c>
      <c r="D275" s="10" t="str">
        <f ca="1">IFERROR(__xludf.DUMMYFUNCTION("""COMPUTED_VALUE"""),"Resolución de Transferencia")</f>
        <v>Resolución de Transferencia</v>
      </c>
      <c r="E275" s="26" t="str">
        <f ca="1">IFERROR(__xludf.DUMMYFUNCTION("""COMPUTED_VALUE"""),"MUNICIPALIDAD DE CHILLÁN VIEJO")</f>
        <v>MUNICIPALIDAD DE CHILLÁN VIEJO</v>
      </c>
      <c r="F275" s="11">
        <f ca="1">IFERROR(__xludf.DUMMYFUNCTION("""COMPUTED_VALUE"""),91491336)</f>
        <v>91491336</v>
      </c>
      <c r="G275" s="10" t="str">
        <f ca="1">IFERROR(__xludf.DUMMYFUNCTION("""COMPUTED_VALUE"""),"Resolución")</f>
        <v>Resolución</v>
      </c>
      <c r="H275" s="10" t="str">
        <f ca="1">IFERROR(__xludf.DUMMYFUNCTION("""COMPUTED_VALUE"""),"BONO ASEO EXTERNALIZADO")</f>
        <v>BONO ASEO EXTERNALIZADO</v>
      </c>
      <c r="I275" s="10" t="str">
        <f ca="1">IFERROR(__xludf.DUMMYFUNCTION("""COMPUTED_VALUE"""),"Cumplir con normativa y reglamentos internos del programa en base a los objetivos.")</f>
        <v>Cumplir con normativa y reglamentos internos del programa en base a los objetivos.</v>
      </c>
      <c r="J275" s="11">
        <f ca="1">IFERROR(__xludf.DUMMYFUNCTION("""COMPUTED_VALUE"""),91491336)</f>
        <v>91491336</v>
      </c>
      <c r="K275" s="27">
        <f ca="1">IFERROR(__xludf.DUMMYFUNCTION("""COMPUTED_VALUE"""),1)</f>
        <v>1</v>
      </c>
      <c r="L275" s="28" t="str">
        <f ca="1">IFERROR(__xludf.DUMMYFUNCTION("""COMPUTED_VALUE"""),"5/2024")</f>
        <v>5/2024</v>
      </c>
      <c r="M275" s="10" t="str">
        <f ca="1">IFERROR(__xludf.DUMMYFUNCTION("""COMPUTED_VALUE"""),"Predios Exentos")</f>
        <v>Predios Exentos</v>
      </c>
      <c r="N275" s="1"/>
      <c r="O275" s="1"/>
      <c r="P275" s="1"/>
      <c r="Q275" s="1"/>
      <c r="R275" s="1"/>
      <c r="S275" s="1"/>
      <c r="T275" s="1"/>
      <c r="U275" s="1"/>
      <c r="V275" s="1"/>
      <c r="W275" s="1"/>
      <c r="X275" s="1"/>
      <c r="Y275" s="1"/>
      <c r="Z275" s="1"/>
    </row>
    <row r="276" spans="1:26" ht="12.75" customHeight="1">
      <c r="A276" s="1"/>
      <c r="B276" s="10" t="str">
        <f ca="1">IFERROR(__xludf.DUMMYFUNCTION("""COMPUTED_VALUE"""),"Bono de aseo externalizado 2024")</f>
        <v>Bono de aseo externalizado 2024</v>
      </c>
      <c r="C276" s="26" t="str">
        <f t="shared" ca="1" si="0"/>
        <v xml:space="preserve"> PINTO</v>
      </c>
      <c r="D276" s="10" t="str">
        <f ca="1">IFERROR(__xludf.DUMMYFUNCTION("""COMPUTED_VALUE"""),"Resolución de Transferencia")</f>
        <v>Resolución de Transferencia</v>
      </c>
      <c r="E276" s="26" t="str">
        <f ca="1">IFERROR(__xludf.DUMMYFUNCTION("""COMPUTED_VALUE"""),"MUNICIPALIDAD DE PINTO")</f>
        <v>MUNICIPALIDAD DE PINTO</v>
      </c>
      <c r="F276" s="11">
        <f ca="1">IFERROR(__xludf.DUMMYFUNCTION("""COMPUTED_VALUE"""),31240944)</f>
        <v>31240944</v>
      </c>
      <c r="G276" s="10" t="str">
        <f ca="1">IFERROR(__xludf.DUMMYFUNCTION("""COMPUTED_VALUE"""),"Resolución")</f>
        <v>Resolución</v>
      </c>
      <c r="H276" s="10" t="str">
        <f ca="1">IFERROR(__xludf.DUMMYFUNCTION("""COMPUTED_VALUE"""),"BONO ASEO EXTERNALIZADO")</f>
        <v>BONO ASEO EXTERNALIZADO</v>
      </c>
      <c r="I276" s="10" t="str">
        <f ca="1">IFERROR(__xludf.DUMMYFUNCTION("""COMPUTED_VALUE"""),"Cumplir con normativa y reglamentos internos del programa en base a los objetivos.")</f>
        <v>Cumplir con normativa y reglamentos internos del programa en base a los objetivos.</v>
      </c>
      <c r="J276" s="11">
        <f ca="1">IFERROR(__xludf.DUMMYFUNCTION("""COMPUTED_VALUE"""),31240944)</f>
        <v>31240944</v>
      </c>
      <c r="K276" s="27">
        <f ca="1">IFERROR(__xludf.DUMMYFUNCTION("""COMPUTED_VALUE"""),1)</f>
        <v>1</v>
      </c>
      <c r="L276" s="28" t="str">
        <f ca="1">IFERROR(__xludf.DUMMYFUNCTION("""COMPUTED_VALUE"""),"5/2024")</f>
        <v>5/2024</v>
      </c>
      <c r="M276" s="10" t="str">
        <f ca="1">IFERROR(__xludf.DUMMYFUNCTION("""COMPUTED_VALUE"""),"Predios Exentos")</f>
        <v>Predios Exentos</v>
      </c>
      <c r="N276" s="1"/>
      <c r="O276" s="1"/>
      <c r="P276" s="1"/>
      <c r="Q276" s="1"/>
      <c r="R276" s="1"/>
      <c r="S276" s="1"/>
      <c r="T276" s="1"/>
      <c r="U276" s="1"/>
      <c r="V276" s="1"/>
      <c r="W276" s="1"/>
      <c r="X276" s="1"/>
      <c r="Y276" s="1"/>
      <c r="Z276" s="1"/>
    </row>
    <row r="277" spans="1:26" ht="12.75" customHeight="1">
      <c r="A277" s="1"/>
      <c r="B277" s="10" t="str">
        <f ca="1">IFERROR(__xludf.DUMMYFUNCTION("""COMPUTED_VALUE"""),"Bono de aseo externalizado 2024")</f>
        <v>Bono de aseo externalizado 2024</v>
      </c>
      <c r="C277" s="26" t="str">
        <f t="shared" ca="1" si="0"/>
        <v xml:space="preserve"> QUILLÓN</v>
      </c>
      <c r="D277" s="10" t="str">
        <f ca="1">IFERROR(__xludf.DUMMYFUNCTION("""COMPUTED_VALUE"""),"Resolución de Transferencia")</f>
        <v>Resolución de Transferencia</v>
      </c>
      <c r="E277" s="26" t="str">
        <f ca="1">IFERROR(__xludf.DUMMYFUNCTION("""COMPUTED_VALUE"""),"MUNICIPALIDAD DE QUILLÓN")</f>
        <v>MUNICIPALIDAD DE QUILLÓN</v>
      </c>
      <c r="F277" s="11">
        <f ca="1">IFERROR(__xludf.DUMMYFUNCTION("""COMPUTED_VALUE"""),33472440)</f>
        <v>33472440</v>
      </c>
      <c r="G277" s="10" t="str">
        <f ca="1">IFERROR(__xludf.DUMMYFUNCTION("""COMPUTED_VALUE"""),"Resolución")</f>
        <v>Resolución</v>
      </c>
      <c r="H277" s="10" t="str">
        <f ca="1">IFERROR(__xludf.DUMMYFUNCTION("""COMPUTED_VALUE"""),"BONO ASEO EXTERNALIZADO")</f>
        <v>BONO ASEO EXTERNALIZADO</v>
      </c>
      <c r="I277" s="10" t="str">
        <f ca="1">IFERROR(__xludf.DUMMYFUNCTION("""COMPUTED_VALUE"""),"Cumplir con normativa y reglamentos internos del programa en base a los objetivos.")</f>
        <v>Cumplir con normativa y reglamentos internos del programa en base a los objetivos.</v>
      </c>
      <c r="J277" s="11">
        <f ca="1">IFERROR(__xludf.DUMMYFUNCTION("""COMPUTED_VALUE"""),33472440)</f>
        <v>33472440</v>
      </c>
      <c r="K277" s="27">
        <f ca="1">IFERROR(__xludf.DUMMYFUNCTION("""COMPUTED_VALUE"""),1)</f>
        <v>1</v>
      </c>
      <c r="L277" s="28" t="str">
        <f ca="1">IFERROR(__xludf.DUMMYFUNCTION("""COMPUTED_VALUE"""),"5/2024")</f>
        <v>5/2024</v>
      </c>
      <c r="M277" s="10" t="str">
        <f ca="1">IFERROR(__xludf.DUMMYFUNCTION("""COMPUTED_VALUE"""),"Predios Exentos")</f>
        <v>Predios Exentos</v>
      </c>
      <c r="N277" s="1"/>
      <c r="O277" s="1"/>
      <c r="P277" s="1"/>
      <c r="Q277" s="1"/>
      <c r="R277" s="1"/>
      <c r="S277" s="1"/>
      <c r="T277" s="1"/>
      <c r="U277" s="1"/>
      <c r="V277" s="1"/>
      <c r="W277" s="1"/>
      <c r="X277" s="1"/>
      <c r="Y277" s="1"/>
      <c r="Z277" s="1"/>
    </row>
    <row r="278" spans="1:26" ht="12.75" customHeight="1">
      <c r="A278" s="1"/>
      <c r="B278" s="10" t="str">
        <f ca="1">IFERROR(__xludf.DUMMYFUNCTION("""COMPUTED_VALUE"""),"Bono de aseo externalizado 2024")</f>
        <v>Bono de aseo externalizado 2024</v>
      </c>
      <c r="C278" s="26" t="str">
        <f t="shared" ca="1" si="0"/>
        <v xml:space="preserve"> YUNGAY</v>
      </c>
      <c r="D278" s="10" t="str">
        <f ca="1">IFERROR(__xludf.DUMMYFUNCTION("""COMPUTED_VALUE"""),"Resolución de Transferencia")</f>
        <v>Resolución de Transferencia</v>
      </c>
      <c r="E278" s="26" t="str">
        <f ca="1">IFERROR(__xludf.DUMMYFUNCTION("""COMPUTED_VALUE"""),"MUNICIPALIDAD DE YUNGAY")</f>
        <v>MUNICIPALIDAD DE YUNGAY</v>
      </c>
      <c r="F278" s="11">
        <f ca="1">IFERROR(__xludf.DUMMYFUNCTION("""COMPUTED_VALUE"""),42398424)</f>
        <v>42398424</v>
      </c>
      <c r="G278" s="10" t="str">
        <f ca="1">IFERROR(__xludf.DUMMYFUNCTION("""COMPUTED_VALUE"""),"Resolución")</f>
        <v>Resolución</v>
      </c>
      <c r="H278" s="10" t="str">
        <f ca="1">IFERROR(__xludf.DUMMYFUNCTION("""COMPUTED_VALUE"""),"BONO ASEO EXTERNALIZADO")</f>
        <v>BONO ASEO EXTERNALIZADO</v>
      </c>
      <c r="I278" s="10" t="str">
        <f ca="1">IFERROR(__xludf.DUMMYFUNCTION("""COMPUTED_VALUE"""),"Cumplir con normativa y reglamentos internos del programa en base a los objetivos.")</f>
        <v>Cumplir con normativa y reglamentos internos del programa en base a los objetivos.</v>
      </c>
      <c r="J278" s="11">
        <f ca="1">IFERROR(__xludf.DUMMYFUNCTION("""COMPUTED_VALUE"""),42398424)</f>
        <v>42398424</v>
      </c>
      <c r="K278" s="27">
        <f ca="1">IFERROR(__xludf.DUMMYFUNCTION("""COMPUTED_VALUE"""),1)</f>
        <v>1</v>
      </c>
      <c r="L278" s="28" t="str">
        <f ca="1">IFERROR(__xludf.DUMMYFUNCTION("""COMPUTED_VALUE"""),"5/2024")</f>
        <v>5/2024</v>
      </c>
      <c r="M278" s="10" t="str">
        <f ca="1">IFERROR(__xludf.DUMMYFUNCTION("""COMPUTED_VALUE"""),"Predios Exentos")</f>
        <v>Predios Exentos</v>
      </c>
      <c r="N278" s="1"/>
      <c r="O278" s="1"/>
      <c r="P278" s="1"/>
      <c r="Q278" s="1"/>
      <c r="R278" s="1"/>
      <c r="S278" s="1"/>
      <c r="T278" s="1"/>
      <c r="U278" s="1"/>
      <c r="V278" s="1"/>
      <c r="W278" s="1"/>
      <c r="X278" s="1"/>
      <c r="Y278" s="1"/>
      <c r="Z278" s="1"/>
    </row>
    <row r="279" spans="1:26" ht="12.75" customHeight="1">
      <c r="A279" s="1"/>
      <c r="B279" s="10" t="str">
        <f ca="1">IFERROR(__xludf.DUMMYFUNCTION("""COMPUTED_VALUE"""),"Bono de aseo externalizado 2024")</f>
        <v>Bono de aseo externalizado 2024</v>
      </c>
      <c r="C279" s="26" t="str">
        <f t="shared" ca="1" si="0"/>
        <v xml:space="preserve"> QUIRIHUE</v>
      </c>
      <c r="D279" s="10" t="str">
        <f ca="1">IFERROR(__xludf.DUMMYFUNCTION("""COMPUTED_VALUE"""),"Resolución de Transferencia")</f>
        <v>Resolución de Transferencia</v>
      </c>
      <c r="E279" s="26" t="str">
        <f ca="1">IFERROR(__xludf.DUMMYFUNCTION("""COMPUTED_VALUE"""),"MUNICIPALIDAD DE QUIRIHUE")</f>
        <v>MUNICIPALIDAD DE QUIRIHUE</v>
      </c>
      <c r="F279" s="11">
        <f ca="1">IFERROR(__xludf.DUMMYFUNCTION("""COMPUTED_VALUE"""),18967716)</f>
        <v>18967716</v>
      </c>
      <c r="G279" s="10" t="str">
        <f ca="1">IFERROR(__xludf.DUMMYFUNCTION("""COMPUTED_VALUE"""),"Resolución")</f>
        <v>Resolución</v>
      </c>
      <c r="H279" s="10" t="str">
        <f ca="1">IFERROR(__xludf.DUMMYFUNCTION("""COMPUTED_VALUE"""),"BONO ASEO EXTERNALIZADO")</f>
        <v>BONO ASEO EXTERNALIZADO</v>
      </c>
      <c r="I279" s="10" t="str">
        <f ca="1">IFERROR(__xludf.DUMMYFUNCTION("""COMPUTED_VALUE"""),"Cumplir con normativa y reglamentos internos del programa en base a los objetivos.")</f>
        <v>Cumplir con normativa y reglamentos internos del programa en base a los objetivos.</v>
      </c>
      <c r="J279" s="11">
        <f ca="1">IFERROR(__xludf.DUMMYFUNCTION("""COMPUTED_VALUE"""),18967716)</f>
        <v>18967716</v>
      </c>
      <c r="K279" s="27">
        <f ca="1">IFERROR(__xludf.DUMMYFUNCTION("""COMPUTED_VALUE"""),1)</f>
        <v>1</v>
      </c>
      <c r="L279" s="28" t="str">
        <f ca="1">IFERROR(__xludf.DUMMYFUNCTION("""COMPUTED_VALUE"""),"5/2024")</f>
        <v>5/2024</v>
      </c>
      <c r="M279" s="10" t="str">
        <f ca="1">IFERROR(__xludf.DUMMYFUNCTION("""COMPUTED_VALUE"""),"Predios Exentos")</f>
        <v>Predios Exentos</v>
      </c>
      <c r="N279" s="1"/>
      <c r="O279" s="1"/>
      <c r="P279" s="1"/>
      <c r="Q279" s="1"/>
      <c r="R279" s="1"/>
      <c r="S279" s="1"/>
      <c r="T279" s="1"/>
      <c r="U279" s="1"/>
      <c r="V279" s="1"/>
      <c r="W279" s="1"/>
      <c r="X279" s="1"/>
      <c r="Y279" s="1"/>
      <c r="Z279" s="1"/>
    </row>
    <row r="280" spans="1:26" ht="12.75" customHeight="1">
      <c r="A280" s="1"/>
      <c r="B280" s="10" t="str">
        <f ca="1">IFERROR(__xludf.DUMMYFUNCTION("""COMPUTED_VALUE"""),"Bono de aseo externalizado 2024")</f>
        <v>Bono de aseo externalizado 2024</v>
      </c>
      <c r="C280" s="26" t="str">
        <f t="shared" ca="1" si="0"/>
        <v xml:space="preserve"> COBQUECURA</v>
      </c>
      <c r="D280" s="10" t="str">
        <f ca="1">IFERROR(__xludf.DUMMYFUNCTION("""COMPUTED_VALUE"""),"Resolución de Transferencia")</f>
        <v>Resolución de Transferencia</v>
      </c>
      <c r="E280" s="26" t="str">
        <f ca="1">IFERROR(__xludf.DUMMYFUNCTION("""COMPUTED_VALUE"""),"MUNICIPALIDAD DE COBQUECURA")</f>
        <v>MUNICIPALIDAD DE COBQUECURA</v>
      </c>
      <c r="F280" s="11">
        <f ca="1">IFERROR(__xludf.DUMMYFUNCTION("""COMPUTED_VALUE"""),30125196)</f>
        <v>30125196</v>
      </c>
      <c r="G280" s="10" t="str">
        <f ca="1">IFERROR(__xludf.DUMMYFUNCTION("""COMPUTED_VALUE"""),"Resolución")</f>
        <v>Resolución</v>
      </c>
      <c r="H280" s="10" t="str">
        <f ca="1">IFERROR(__xludf.DUMMYFUNCTION("""COMPUTED_VALUE"""),"BONO ASEO EXTERNALIZADO")</f>
        <v>BONO ASEO EXTERNALIZADO</v>
      </c>
      <c r="I280" s="10" t="str">
        <f ca="1">IFERROR(__xludf.DUMMYFUNCTION("""COMPUTED_VALUE"""),"Cumplir con normativa y reglamentos internos del programa en base a los objetivos.")</f>
        <v>Cumplir con normativa y reglamentos internos del programa en base a los objetivos.</v>
      </c>
      <c r="J280" s="11">
        <f ca="1">IFERROR(__xludf.DUMMYFUNCTION("""COMPUTED_VALUE"""),30125196)</f>
        <v>30125196</v>
      </c>
      <c r="K280" s="27">
        <f ca="1">IFERROR(__xludf.DUMMYFUNCTION("""COMPUTED_VALUE"""),1)</f>
        <v>1</v>
      </c>
      <c r="L280" s="28" t="str">
        <f ca="1">IFERROR(__xludf.DUMMYFUNCTION("""COMPUTED_VALUE"""),"5/2024")</f>
        <v>5/2024</v>
      </c>
      <c r="M280" s="10" t="str">
        <f ca="1">IFERROR(__xludf.DUMMYFUNCTION("""COMPUTED_VALUE"""),"Predios Exentos")</f>
        <v>Predios Exentos</v>
      </c>
      <c r="N280" s="1"/>
      <c r="O280" s="1"/>
      <c r="P280" s="1"/>
      <c r="Q280" s="1"/>
      <c r="R280" s="1"/>
      <c r="S280" s="1"/>
      <c r="T280" s="1"/>
      <c r="U280" s="1"/>
      <c r="V280" s="1"/>
      <c r="W280" s="1"/>
      <c r="X280" s="1"/>
      <c r="Y280" s="1"/>
      <c r="Z280" s="1"/>
    </row>
    <row r="281" spans="1:26" ht="12.75" customHeight="1">
      <c r="A281" s="1"/>
      <c r="B281" s="10" t="str">
        <f ca="1">IFERROR(__xludf.DUMMYFUNCTION("""COMPUTED_VALUE"""),"Bono de aseo externalizado 2024")</f>
        <v>Bono de aseo externalizado 2024</v>
      </c>
      <c r="C281" s="26" t="str">
        <f t="shared" ca="1" si="0"/>
        <v xml:space="preserve"> COELEMU</v>
      </c>
      <c r="D281" s="10" t="str">
        <f ca="1">IFERROR(__xludf.DUMMYFUNCTION("""COMPUTED_VALUE"""),"Resolución de Transferencia")</f>
        <v>Resolución de Transferencia</v>
      </c>
      <c r="E281" s="26" t="str">
        <f ca="1">IFERROR(__xludf.DUMMYFUNCTION("""COMPUTED_VALUE"""),"MUNICIPALIDAD DE COELEMU")</f>
        <v>MUNICIPALIDAD DE COELEMU</v>
      </c>
      <c r="F281" s="11">
        <f ca="1">IFERROR(__xludf.DUMMYFUNCTION("""COMPUTED_VALUE"""),24546456)</f>
        <v>24546456</v>
      </c>
      <c r="G281" s="10" t="str">
        <f ca="1">IFERROR(__xludf.DUMMYFUNCTION("""COMPUTED_VALUE"""),"Resolución")</f>
        <v>Resolución</v>
      </c>
      <c r="H281" s="10" t="str">
        <f ca="1">IFERROR(__xludf.DUMMYFUNCTION("""COMPUTED_VALUE"""),"BONO ASEO EXTERNALIZADO")</f>
        <v>BONO ASEO EXTERNALIZADO</v>
      </c>
      <c r="I281" s="10" t="str">
        <f ca="1">IFERROR(__xludf.DUMMYFUNCTION("""COMPUTED_VALUE"""),"Cumplir con normativa y reglamentos internos del programa en base a los objetivos.")</f>
        <v>Cumplir con normativa y reglamentos internos del programa en base a los objetivos.</v>
      </c>
      <c r="J281" s="11">
        <f ca="1">IFERROR(__xludf.DUMMYFUNCTION("""COMPUTED_VALUE"""),24546456)</f>
        <v>24546456</v>
      </c>
      <c r="K281" s="27">
        <f ca="1">IFERROR(__xludf.DUMMYFUNCTION("""COMPUTED_VALUE"""),1)</f>
        <v>1</v>
      </c>
      <c r="L281" s="28" t="str">
        <f ca="1">IFERROR(__xludf.DUMMYFUNCTION("""COMPUTED_VALUE"""),"5/2024")</f>
        <v>5/2024</v>
      </c>
      <c r="M281" s="10" t="str">
        <f ca="1">IFERROR(__xludf.DUMMYFUNCTION("""COMPUTED_VALUE"""),"Predios Exentos")</f>
        <v>Predios Exentos</v>
      </c>
      <c r="N281" s="1"/>
      <c r="O281" s="1"/>
      <c r="P281" s="1"/>
      <c r="Q281" s="1"/>
      <c r="R281" s="1"/>
      <c r="S281" s="1"/>
      <c r="T281" s="1"/>
      <c r="U281" s="1"/>
      <c r="V281" s="1"/>
      <c r="W281" s="1"/>
      <c r="X281" s="1"/>
      <c r="Y281" s="1"/>
      <c r="Z281" s="1"/>
    </row>
    <row r="282" spans="1:26" ht="12.75" customHeight="1">
      <c r="A282" s="1"/>
      <c r="B282" s="10" t="str">
        <f ca="1">IFERROR(__xludf.DUMMYFUNCTION("""COMPUTED_VALUE"""),"Bono de aseo externalizado 2024")</f>
        <v>Bono de aseo externalizado 2024</v>
      </c>
      <c r="C282" s="26" t="str">
        <f t="shared" ca="1" si="0"/>
        <v xml:space="preserve"> NINHUE</v>
      </c>
      <c r="D282" s="10" t="str">
        <f ca="1">IFERROR(__xludf.DUMMYFUNCTION("""COMPUTED_VALUE"""),"Resolución de Transferencia")</f>
        <v>Resolución de Transferencia</v>
      </c>
      <c r="E282" s="26" t="str">
        <f ca="1">IFERROR(__xludf.DUMMYFUNCTION("""COMPUTED_VALUE"""),"MUNICIPALIDAD DE NINHUE")</f>
        <v>MUNICIPALIDAD DE NINHUE</v>
      </c>
      <c r="F282" s="11">
        <f ca="1">IFERROR(__xludf.DUMMYFUNCTION("""COMPUTED_VALUE"""),7810236)</f>
        <v>7810236</v>
      </c>
      <c r="G282" s="10" t="str">
        <f ca="1">IFERROR(__xludf.DUMMYFUNCTION("""COMPUTED_VALUE"""),"Resolución")</f>
        <v>Resolución</v>
      </c>
      <c r="H282" s="10" t="str">
        <f ca="1">IFERROR(__xludf.DUMMYFUNCTION("""COMPUTED_VALUE"""),"BONO ASEO EXTERNALIZADO")</f>
        <v>BONO ASEO EXTERNALIZADO</v>
      </c>
      <c r="I282" s="10" t="str">
        <f ca="1">IFERROR(__xludf.DUMMYFUNCTION("""COMPUTED_VALUE"""),"Cumplir con normativa y reglamentos internos del programa en base a los objetivos.")</f>
        <v>Cumplir con normativa y reglamentos internos del programa en base a los objetivos.</v>
      </c>
      <c r="J282" s="11">
        <f ca="1">IFERROR(__xludf.DUMMYFUNCTION("""COMPUTED_VALUE"""),7810236)</f>
        <v>7810236</v>
      </c>
      <c r="K282" s="27">
        <f ca="1">IFERROR(__xludf.DUMMYFUNCTION("""COMPUTED_VALUE"""),1)</f>
        <v>1</v>
      </c>
      <c r="L282" s="28" t="str">
        <f ca="1">IFERROR(__xludf.DUMMYFUNCTION("""COMPUTED_VALUE"""),"5/2024")</f>
        <v>5/2024</v>
      </c>
      <c r="M282" s="10" t="str">
        <f ca="1">IFERROR(__xludf.DUMMYFUNCTION("""COMPUTED_VALUE"""),"Predios Exentos")</f>
        <v>Predios Exentos</v>
      </c>
      <c r="N282" s="1"/>
      <c r="O282" s="1"/>
      <c r="P282" s="1"/>
      <c r="Q282" s="1"/>
      <c r="R282" s="1"/>
      <c r="S282" s="1"/>
      <c r="T282" s="1"/>
      <c r="U282" s="1"/>
      <c r="V282" s="1"/>
      <c r="W282" s="1"/>
      <c r="X282" s="1"/>
      <c r="Y282" s="1"/>
      <c r="Z282" s="1"/>
    </row>
    <row r="283" spans="1:26" ht="12.75" customHeight="1">
      <c r="A283" s="1"/>
      <c r="B283" s="10" t="str">
        <f ca="1">IFERROR(__xludf.DUMMYFUNCTION("""COMPUTED_VALUE"""),"Bono de aseo externalizado 2024")</f>
        <v>Bono de aseo externalizado 2024</v>
      </c>
      <c r="C283" s="26" t="str">
        <f t="shared" ca="1" si="0"/>
        <v xml:space="preserve"> PORTEZUELO</v>
      </c>
      <c r="D283" s="10" t="str">
        <f ca="1">IFERROR(__xludf.DUMMYFUNCTION("""COMPUTED_VALUE"""),"Resolución de Transferencia")</f>
        <v>Resolución de Transferencia</v>
      </c>
      <c r="E283" s="26" t="str">
        <f ca="1">IFERROR(__xludf.DUMMYFUNCTION("""COMPUTED_VALUE"""),"MUNICIPALIDAD DE PORTEZUELO")</f>
        <v>MUNICIPALIDAD DE PORTEZUELO</v>
      </c>
      <c r="F283" s="11">
        <f ca="1">IFERROR(__xludf.DUMMYFUNCTION("""COMPUTED_VALUE"""),16736220)</f>
        <v>16736220</v>
      </c>
      <c r="G283" s="10" t="str">
        <f ca="1">IFERROR(__xludf.DUMMYFUNCTION("""COMPUTED_VALUE"""),"Resolución")</f>
        <v>Resolución</v>
      </c>
      <c r="H283" s="10" t="str">
        <f ca="1">IFERROR(__xludf.DUMMYFUNCTION("""COMPUTED_VALUE"""),"BONO ASEO EXTERNALIZADO")</f>
        <v>BONO ASEO EXTERNALIZADO</v>
      </c>
      <c r="I283" s="10" t="str">
        <f ca="1">IFERROR(__xludf.DUMMYFUNCTION("""COMPUTED_VALUE"""),"Cumplir con normativa y reglamentos internos del programa en base a los objetivos.")</f>
        <v>Cumplir con normativa y reglamentos internos del programa en base a los objetivos.</v>
      </c>
      <c r="J283" s="11">
        <f ca="1">IFERROR(__xludf.DUMMYFUNCTION("""COMPUTED_VALUE"""),16736220)</f>
        <v>16736220</v>
      </c>
      <c r="K283" s="27">
        <f ca="1">IFERROR(__xludf.DUMMYFUNCTION("""COMPUTED_VALUE"""),1)</f>
        <v>1</v>
      </c>
      <c r="L283" s="28" t="str">
        <f ca="1">IFERROR(__xludf.DUMMYFUNCTION("""COMPUTED_VALUE"""),"5/2024")</f>
        <v>5/2024</v>
      </c>
      <c r="M283" s="10" t="str">
        <f ca="1">IFERROR(__xludf.DUMMYFUNCTION("""COMPUTED_VALUE"""),"Predios Exentos")</f>
        <v>Predios Exentos</v>
      </c>
      <c r="N283" s="1"/>
      <c r="O283" s="1"/>
      <c r="P283" s="1"/>
      <c r="Q283" s="1"/>
      <c r="R283" s="1"/>
      <c r="S283" s="1"/>
      <c r="T283" s="1"/>
      <c r="U283" s="1"/>
      <c r="V283" s="1"/>
      <c r="W283" s="1"/>
      <c r="X283" s="1"/>
      <c r="Y283" s="1"/>
      <c r="Z283" s="1"/>
    </row>
    <row r="284" spans="1:26" ht="12.75" customHeight="1">
      <c r="A284" s="1"/>
      <c r="B284" s="10" t="str">
        <f ca="1">IFERROR(__xludf.DUMMYFUNCTION("""COMPUTED_VALUE"""),"Bono de aseo externalizado 2024")</f>
        <v>Bono de aseo externalizado 2024</v>
      </c>
      <c r="C284" s="26" t="str">
        <f t="shared" ca="1" si="0"/>
        <v xml:space="preserve"> RÁNQUIL</v>
      </c>
      <c r="D284" s="10" t="str">
        <f ca="1">IFERROR(__xludf.DUMMYFUNCTION("""COMPUTED_VALUE"""),"Resolución de Transferencia")</f>
        <v>Resolución de Transferencia</v>
      </c>
      <c r="E284" s="26" t="str">
        <f ca="1">IFERROR(__xludf.DUMMYFUNCTION("""COMPUTED_VALUE"""),"MUNICIPALIDAD DE RÁNQUIL")</f>
        <v>MUNICIPALIDAD DE RÁNQUIL</v>
      </c>
      <c r="F284" s="11">
        <f ca="1">IFERROR(__xludf.DUMMYFUNCTION("""COMPUTED_VALUE"""),11157480)</f>
        <v>11157480</v>
      </c>
      <c r="G284" s="10" t="str">
        <f ca="1">IFERROR(__xludf.DUMMYFUNCTION("""COMPUTED_VALUE"""),"Resolución")</f>
        <v>Resolución</v>
      </c>
      <c r="H284" s="10" t="str">
        <f ca="1">IFERROR(__xludf.DUMMYFUNCTION("""COMPUTED_VALUE"""),"BONO ASEO EXTERNALIZADO")</f>
        <v>BONO ASEO EXTERNALIZADO</v>
      </c>
      <c r="I284" s="10" t="str">
        <f ca="1">IFERROR(__xludf.DUMMYFUNCTION("""COMPUTED_VALUE"""),"Cumplir con normativa y reglamentos internos del programa en base a los objetivos.")</f>
        <v>Cumplir con normativa y reglamentos internos del programa en base a los objetivos.</v>
      </c>
      <c r="J284" s="11">
        <f ca="1">IFERROR(__xludf.DUMMYFUNCTION("""COMPUTED_VALUE"""),11157480)</f>
        <v>11157480</v>
      </c>
      <c r="K284" s="27">
        <f ca="1">IFERROR(__xludf.DUMMYFUNCTION("""COMPUTED_VALUE"""),1)</f>
        <v>1</v>
      </c>
      <c r="L284" s="28" t="str">
        <f ca="1">IFERROR(__xludf.DUMMYFUNCTION("""COMPUTED_VALUE"""),"5/2024")</f>
        <v>5/2024</v>
      </c>
      <c r="M284" s="10" t="str">
        <f ca="1">IFERROR(__xludf.DUMMYFUNCTION("""COMPUTED_VALUE"""),"Predios Exentos")</f>
        <v>Predios Exentos</v>
      </c>
      <c r="N284" s="1"/>
      <c r="O284" s="1"/>
      <c r="P284" s="1"/>
      <c r="Q284" s="1"/>
      <c r="R284" s="1"/>
      <c r="S284" s="1"/>
      <c r="T284" s="1"/>
      <c r="U284" s="1"/>
      <c r="V284" s="1"/>
      <c r="W284" s="1"/>
      <c r="X284" s="1"/>
      <c r="Y284" s="1"/>
      <c r="Z284" s="1"/>
    </row>
    <row r="285" spans="1:26" ht="12.75" customHeight="1">
      <c r="A285" s="1"/>
      <c r="B285" s="10" t="str">
        <f ca="1">IFERROR(__xludf.DUMMYFUNCTION("""COMPUTED_VALUE"""),"Bono de aseo externalizado 2024")</f>
        <v>Bono de aseo externalizado 2024</v>
      </c>
      <c r="C285" s="26" t="str">
        <f t="shared" ca="1" si="0"/>
        <v xml:space="preserve"> COIHUECO</v>
      </c>
      <c r="D285" s="10" t="str">
        <f ca="1">IFERROR(__xludf.DUMMYFUNCTION("""COMPUTED_VALUE"""),"Resolución de Transferencia")</f>
        <v>Resolución de Transferencia</v>
      </c>
      <c r="E285" s="26" t="str">
        <f ca="1">IFERROR(__xludf.DUMMYFUNCTION("""COMPUTED_VALUE"""),"MUNICIPALIDAD DE COIHUECO")</f>
        <v>MUNICIPALIDAD DE COIHUECO</v>
      </c>
      <c r="F285" s="11">
        <f ca="1">IFERROR(__xludf.DUMMYFUNCTION("""COMPUTED_VALUE"""),44629920)</f>
        <v>44629920</v>
      </c>
      <c r="G285" s="10" t="str">
        <f ca="1">IFERROR(__xludf.DUMMYFUNCTION("""COMPUTED_VALUE"""),"Resolución")</f>
        <v>Resolución</v>
      </c>
      <c r="H285" s="10" t="str">
        <f ca="1">IFERROR(__xludf.DUMMYFUNCTION("""COMPUTED_VALUE"""),"BONO ASEO EXTERNALIZADO")</f>
        <v>BONO ASEO EXTERNALIZADO</v>
      </c>
      <c r="I285" s="10" t="str">
        <f ca="1">IFERROR(__xludf.DUMMYFUNCTION("""COMPUTED_VALUE"""),"Cumplir con normativa y reglamentos internos del programa en base a los objetivos.")</f>
        <v>Cumplir con normativa y reglamentos internos del programa en base a los objetivos.</v>
      </c>
      <c r="J285" s="11">
        <f ca="1">IFERROR(__xludf.DUMMYFUNCTION("""COMPUTED_VALUE"""),44629920)</f>
        <v>44629920</v>
      </c>
      <c r="K285" s="27">
        <f ca="1">IFERROR(__xludf.DUMMYFUNCTION("""COMPUTED_VALUE"""),1)</f>
        <v>1</v>
      </c>
      <c r="L285" s="28" t="str">
        <f ca="1">IFERROR(__xludf.DUMMYFUNCTION("""COMPUTED_VALUE"""),"5/2024")</f>
        <v>5/2024</v>
      </c>
      <c r="M285" s="10" t="str">
        <f ca="1">IFERROR(__xludf.DUMMYFUNCTION("""COMPUTED_VALUE"""),"Predios Exentos")</f>
        <v>Predios Exentos</v>
      </c>
      <c r="N285" s="1"/>
      <c r="O285" s="1"/>
      <c r="P285" s="1"/>
      <c r="Q285" s="1"/>
      <c r="R285" s="1"/>
      <c r="S285" s="1"/>
      <c r="T285" s="1"/>
      <c r="U285" s="1"/>
      <c r="V285" s="1"/>
      <c r="W285" s="1"/>
      <c r="X285" s="1"/>
      <c r="Y285" s="1"/>
      <c r="Z285" s="1"/>
    </row>
    <row r="286" spans="1:26" ht="12.75" customHeight="1">
      <c r="A286" s="1"/>
      <c r="B286" s="10" t="str">
        <f ca="1">IFERROR(__xludf.DUMMYFUNCTION("""COMPUTED_VALUE"""),"Bono de aseo externalizado 2024")</f>
        <v>Bono de aseo externalizado 2024</v>
      </c>
      <c r="C286" s="26" t="str">
        <f t="shared" ca="1" si="0"/>
        <v xml:space="preserve"> SAN NICOLÁS</v>
      </c>
      <c r="D286" s="10" t="str">
        <f ca="1">IFERROR(__xludf.DUMMYFUNCTION("""COMPUTED_VALUE"""),"Resolución de Transferencia")</f>
        <v>Resolución de Transferencia</v>
      </c>
      <c r="E286" s="26" t="str">
        <f ca="1">IFERROR(__xludf.DUMMYFUNCTION("""COMPUTED_VALUE"""),"MUNICIPALIDAD DE SAN NICOLÁS")</f>
        <v>MUNICIPALIDAD DE SAN NICOLÁS</v>
      </c>
      <c r="F286" s="11">
        <f ca="1">IFERROR(__xludf.DUMMYFUNCTION("""COMPUTED_VALUE"""),11157480)</f>
        <v>11157480</v>
      </c>
      <c r="G286" s="10" t="str">
        <f ca="1">IFERROR(__xludf.DUMMYFUNCTION("""COMPUTED_VALUE"""),"Resolución")</f>
        <v>Resolución</v>
      </c>
      <c r="H286" s="10" t="str">
        <f ca="1">IFERROR(__xludf.DUMMYFUNCTION("""COMPUTED_VALUE"""),"BONO ASEO EXTERNALIZADO")</f>
        <v>BONO ASEO EXTERNALIZADO</v>
      </c>
      <c r="I286" s="10" t="str">
        <f ca="1">IFERROR(__xludf.DUMMYFUNCTION("""COMPUTED_VALUE"""),"Cumplir con normativa y reglamentos internos del programa en base a los objetivos.")</f>
        <v>Cumplir con normativa y reglamentos internos del programa en base a los objetivos.</v>
      </c>
      <c r="J286" s="11">
        <f ca="1">IFERROR(__xludf.DUMMYFUNCTION("""COMPUTED_VALUE"""),11157480)</f>
        <v>11157480</v>
      </c>
      <c r="K286" s="27">
        <f ca="1">IFERROR(__xludf.DUMMYFUNCTION("""COMPUTED_VALUE"""),1)</f>
        <v>1</v>
      </c>
      <c r="L286" s="28" t="str">
        <f ca="1">IFERROR(__xludf.DUMMYFUNCTION("""COMPUTED_VALUE"""),"5/2024")</f>
        <v>5/2024</v>
      </c>
      <c r="M286" s="10" t="str">
        <f ca="1">IFERROR(__xludf.DUMMYFUNCTION("""COMPUTED_VALUE"""),"Predios Exentos")</f>
        <v>Predios Exentos</v>
      </c>
      <c r="N286" s="1"/>
      <c r="O286" s="1"/>
      <c r="P286" s="1"/>
      <c r="Q286" s="1"/>
      <c r="R286" s="1"/>
      <c r="S286" s="1"/>
      <c r="T286" s="1"/>
      <c r="U286" s="1"/>
      <c r="V286" s="1"/>
      <c r="W286" s="1"/>
      <c r="X286" s="1"/>
      <c r="Y286" s="1"/>
      <c r="Z286" s="1"/>
    </row>
    <row r="287" spans="1:26" ht="12.75" customHeight="1">
      <c r="A287" s="1"/>
      <c r="B287" s="10" t="str">
        <f ca="1">IFERROR(__xludf.DUMMYFUNCTION("""COMPUTED_VALUE"""),"Compensación Predios Exentos 2024")</f>
        <v>Compensación Predios Exentos 2024</v>
      </c>
      <c r="C287" s="26" t="str">
        <f t="shared" ca="1" si="0"/>
        <v xml:space="preserve"> PEDRO AGUIRRE CERDA</v>
      </c>
      <c r="D287" s="10" t="str">
        <f ca="1">IFERROR(__xludf.DUMMYFUNCTION("""COMPUTED_VALUE"""),"Resolución de Transferencia")</f>
        <v>Resolución de Transferencia</v>
      </c>
      <c r="E287" s="26" t="str">
        <f ca="1">IFERROR(__xludf.DUMMYFUNCTION("""COMPUTED_VALUE"""),"MUNICIPALIDAD DE PEDRO AGUIRRE CERDA")</f>
        <v>MUNICIPALIDAD DE PEDRO AGUIRRE CERDA</v>
      </c>
      <c r="F287" s="11">
        <f ca="1">IFERROR(__xludf.DUMMYFUNCTION("""COMPUTED_VALUE"""),259774324)</f>
        <v>259774324</v>
      </c>
      <c r="G287" s="10" t="str">
        <f ca="1">IFERROR(__xludf.DUMMYFUNCTION("""COMPUTED_VALUE"""),"Resolución")</f>
        <v>Resolución</v>
      </c>
      <c r="H287" s="10" t="str">
        <f ca="1">IFERROR(__xludf.DUMMYFUNCTION("""COMPUTED_VALUE"""),"COMPENSACIÓN PREDIOS EXENTOS")</f>
        <v>COMPENSACIÓN PREDIOS EXENTOS</v>
      </c>
      <c r="I287" s="10" t="str">
        <f ca="1">IFERROR(__xludf.DUMMYFUNCTION("""COMPUTED_VALUE"""),"Cumplir con normativa y reglamentos internos del programa en base a los objetivos.")</f>
        <v>Cumplir con normativa y reglamentos internos del programa en base a los objetivos.</v>
      </c>
      <c r="J287" s="11">
        <f ca="1">IFERROR(__xludf.DUMMYFUNCTION("""COMPUTED_VALUE"""),259774324)</f>
        <v>259774324</v>
      </c>
      <c r="K287" s="27">
        <f ca="1">IFERROR(__xludf.DUMMYFUNCTION("""COMPUTED_VALUE"""),1)</f>
        <v>1</v>
      </c>
      <c r="L287" s="28" t="str">
        <f ca="1">IFERROR(__xludf.DUMMYFUNCTION("""COMPUTED_VALUE"""),"1/2024")</f>
        <v>1/2024</v>
      </c>
      <c r="M287" s="10" t="str">
        <f ca="1">IFERROR(__xludf.DUMMYFUNCTION("""COMPUTED_VALUE"""),"Predios Exentos")</f>
        <v>Predios Exentos</v>
      </c>
      <c r="N287" s="1"/>
      <c r="O287" s="1"/>
      <c r="P287" s="1"/>
      <c r="Q287" s="1"/>
      <c r="R287" s="1"/>
      <c r="S287" s="1"/>
      <c r="T287" s="1"/>
      <c r="U287" s="1"/>
      <c r="V287" s="1"/>
      <c r="W287" s="1"/>
      <c r="X287" s="1"/>
      <c r="Y287" s="1"/>
      <c r="Z287" s="1"/>
    </row>
    <row r="288" spans="1:26" ht="12.75" customHeight="1">
      <c r="A288" s="1"/>
      <c r="B288" s="10" t="str">
        <f ca="1">IFERROR(__xludf.DUMMYFUNCTION("""COMPUTED_VALUE"""),"Compensación Predios Exentos 2024")</f>
        <v>Compensación Predios Exentos 2024</v>
      </c>
      <c r="C288" s="26" t="str">
        <f t="shared" ca="1" si="0"/>
        <v xml:space="preserve"> LA PINTANA</v>
      </c>
      <c r="D288" s="10" t="str">
        <f ca="1">IFERROR(__xludf.DUMMYFUNCTION("""COMPUTED_VALUE"""),"Resolución de Transferencia")</f>
        <v>Resolución de Transferencia</v>
      </c>
      <c r="E288" s="26" t="str">
        <f ca="1">IFERROR(__xludf.DUMMYFUNCTION("""COMPUTED_VALUE"""),"MUNICIPALIDAD DE LA PINTANA")</f>
        <v>MUNICIPALIDAD DE LA PINTANA</v>
      </c>
      <c r="F288" s="11">
        <f ca="1">IFERROR(__xludf.DUMMYFUNCTION("""COMPUTED_VALUE"""),497255957)</f>
        <v>497255957</v>
      </c>
      <c r="G288" s="10" t="str">
        <f ca="1">IFERROR(__xludf.DUMMYFUNCTION("""COMPUTED_VALUE"""),"Resolución")</f>
        <v>Resolución</v>
      </c>
      <c r="H288" s="10" t="str">
        <f ca="1">IFERROR(__xludf.DUMMYFUNCTION("""COMPUTED_VALUE"""),"COMPENSACIÓN PREDIOS EXENTOS")</f>
        <v>COMPENSACIÓN PREDIOS EXENTOS</v>
      </c>
      <c r="I288" s="10" t="str">
        <f ca="1">IFERROR(__xludf.DUMMYFUNCTION("""COMPUTED_VALUE"""),"Cumplir con normativa y reglamentos internos del programa en base a los objetivos.")</f>
        <v>Cumplir con normativa y reglamentos internos del programa en base a los objetivos.</v>
      </c>
      <c r="J288" s="11">
        <f ca="1">IFERROR(__xludf.DUMMYFUNCTION("""COMPUTED_VALUE"""),497255957)</f>
        <v>497255957</v>
      </c>
      <c r="K288" s="27">
        <f ca="1">IFERROR(__xludf.DUMMYFUNCTION("""COMPUTED_VALUE"""),1)</f>
        <v>1</v>
      </c>
      <c r="L288" s="28" t="str">
        <f ca="1">IFERROR(__xludf.DUMMYFUNCTION("""COMPUTED_VALUE"""),"1/2024")</f>
        <v>1/2024</v>
      </c>
      <c r="M288" s="10" t="str">
        <f ca="1">IFERROR(__xludf.DUMMYFUNCTION("""COMPUTED_VALUE"""),"Predios Exentos")</f>
        <v>Predios Exentos</v>
      </c>
      <c r="N288" s="1"/>
      <c r="O288" s="1"/>
      <c r="P288" s="1"/>
      <c r="Q288" s="1"/>
      <c r="R288" s="1"/>
      <c r="S288" s="1"/>
      <c r="T288" s="1"/>
      <c r="U288" s="1"/>
      <c r="V288" s="1"/>
      <c r="W288" s="1"/>
      <c r="X288" s="1"/>
      <c r="Y288" s="1"/>
      <c r="Z288" s="1"/>
    </row>
    <row r="289" spans="1:26" ht="12.75" customHeight="1">
      <c r="A289" s="1"/>
      <c r="B289" s="10" t="str">
        <f ca="1">IFERROR(__xludf.DUMMYFUNCTION("""COMPUTED_VALUE"""),"Compensación Predios Exentos 2024")</f>
        <v>Compensación Predios Exentos 2024</v>
      </c>
      <c r="C289" s="26" t="str">
        <f t="shared" ca="1" si="0"/>
        <v xml:space="preserve"> MARÍA ELENA</v>
      </c>
      <c r="D289" s="10" t="str">
        <f ca="1">IFERROR(__xludf.DUMMYFUNCTION("""COMPUTED_VALUE"""),"Resolución de Transferencia")</f>
        <v>Resolución de Transferencia</v>
      </c>
      <c r="E289" s="26" t="str">
        <f ca="1">IFERROR(__xludf.DUMMYFUNCTION("""COMPUTED_VALUE"""),"MUNICIPALIDAD DE MARÍA ELENA")</f>
        <v>MUNICIPALIDAD DE MARÍA ELENA</v>
      </c>
      <c r="F289" s="11">
        <f ca="1">IFERROR(__xludf.DUMMYFUNCTION("""COMPUTED_VALUE"""),5025579)</f>
        <v>5025579</v>
      </c>
      <c r="G289" s="10" t="str">
        <f ca="1">IFERROR(__xludf.DUMMYFUNCTION("""COMPUTED_VALUE"""),"Resolución")</f>
        <v>Resolución</v>
      </c>
      <c r="H289" s="10" t="str">
        <f ca="1">IFERROR(__xludf.DUMMYFUNCTION("""COMPUTED_VALUE"""),"COMPENSACIÓN PREDIOS EXENTOS")</f>
        <v>COMPENSACIÓN PREDIOS EXENTOS</v>
      </c>
      <c r="I289" s="10" t="str">
        <f ca="1">IFERROR(__xludf.DUMMYFUNCTION("""COMPUTED_VALUE"""),"Cumplir con normativa y reglamentos internos del programa en base a los objetivos.")</f>
        <v>Cumplir con normativa y reglamentos internos del programa en base a los objetivos.</v>
      </c>
      <c r="J289" s="11">
        <f ca="1">IFERROR(__xludf.DUMMYFUNCTION("""COMPUTED_VALUE"""),5025579)</f>
        <v>5025579</v>
      </c>
      <c r="K289" s="27">
        <f ca="1">IFERROR(__xludf.DUMMYFUNCTION("""COMPUTED_VALUE"""),1)</f>
        <v>1</v>
      </c>
      <c r="L289" s="28" t="str">
        <f ca="1">IFERROR(__xludf.DUMMYFUNCTION("""COMPUTED_VALUE"""),"1/2024")</f>
        <v>1/2024</v>
      </c>
      <c r="M289" s="10" t="str">
        <f ca="1">IFERROR(__xludf.DUMMYFUNCTION("""COMPUTED_VALUE"""),"Predios Exentos")</f>
        <v>Predios Exentos</v>
      </c>
      <c r="N289" s="1"/>
      <c r="O289" s="1"/>
      <c r="P289" s="1"/>
      <c r="Q289" s="1"/>
      <c r="R289" s="1"/>
      <c r="S289" s="1"/>
      <c r="T289" s="1"/>
      <c r="U289" s="1"/>
      <c r="V289" s="1"/>
      <c r="W289" s="1"/>
      <c r="X289" s="1"/>
      <c r="Y289" s="1"/>
      <c r="Z289" s="1"/>
    </row>
    <row r="290" spans="1:26" ht="12.75" customHeight="1">
      <c r="A290" s="1"/>
      <c r="B290" s="10" t="str">
        <f ca="1">IFERROR(__xludf.DUMMYFUNCTION("""COMPUTED_VALUE"""),"Compensación Predios Exentos 2024")</f>
        <v>Compensación Predios Exentos 2024</v>
      </c>
      <c r="C290" s="26" t="str">
        <f t="shared" ca="1" si="0"/>
        <v xml:space="preserve"> GUAITECAS</v>
      </c>
      <c r="D290" s="10" t="str">
        <f ca="1">IFERROR(__xludf.DUMMYFUNCTION("""COMPUTED_VALUE"""),"Resolución de Transferencia")</f>
        <v>Resolución de Transferencia</v>
      </c>
      <c r="E290" s="26" t="str">
        <f ca="1">IFERROR(__xludf.DUMMYFUNCTION("""COMPUTED_VALUE"""),"MUNICIPALIDAD DE GUAITECAS")</f>
        <v>MUNICIPALIDAD DE GUAITECAS</v>
      </c>
      <c r="F290" s="11">
        <f ca="1">IFERROR(__xludf.DUMMYFUNCTION("""COMPUTED_VALUE"""),5936529)</f>
        <v>5936529</v>
      </c>
      <c r="G290" s="10" t="str">
        <f ca="1">IFERROR(__xludf.DUMMYFUNCTION("""COMPUTED_VALUE"""),"Resolución")</f>
        <v>Resolución</v>
      </c>
      <c r="H290" s="10" t="str">
        <f ca="1">IFERROR(__xludf.DUMMYFUNCTION("""COMPUTED_VALUE"""),"COMPENSACIÓN PREDIOS EXENTOS")</f>
        <v>COMPENSACIÓN PREDIOS EXENTOS</v>
      </c>
      <c r="I290" s="10" t="str">
        <f ca="1">IFERROR(__xludf.DUMMYFUNCTION("""COMPUTED_VALUE"""),"Cumplir con normativa y reglamentos internos del programa en base a los objetivos.")</f>
        <v>Cumplir con normativa y reglamentos internos del programa en base a los objetivos.</v>
      </c>
      <c r="J290" s="11">
        <f ca="1">IFERROR(__xludf.DUMMYFUNCTION("""COMPUTED_VALUE"""),5936529)</f>
        <v>5936529</v>
      </c>
      <c r="K290" s="27">
        <f ca="1">IFERROR(__xludf.DUMMYFUNCTION("""COMPUTED_VALUE"""),1)</f>
        <v>1</v>
      </c>
      <c r="L290" s="28" t="str">
        <f ca="1">IFERROR(__xludf.DUMMYFUNCTION("""COMPUTED_VALUE"""),"1/2024")</f>
        <v>1/2024</v>
      </c>
      <c r="M290" s="10" t="str">
        <f ca="1">IFERROR(__xludf.DUMMYFUNCTION("""COMPUTED_VALUE"""),"Predios Exentos")</f>
        <v>Predios Exentos</v>
      </c>
      <c r="N290" s="1"/>
      <c r="O290" s="1"/>
      <c r="P290" s="1"/>
      <c r="Q290" s="1"/>
      <c r="R290" s="1"/>
      <c r="S290" s="1"/>
      <c r="T290" s="1"/>
      <c r="U290" s="1"/>
      <c r="V290" s="1"/>
      <c r="W290" s="1"/>
      <c r="X290" s="1"/>
      <c r="Y290" s="1"/>
      <c r="Z290" s="1"/>
    </row>
    <row r="291" spans="1:26" ht="12.75" customHeight="1">
      <c r="A291" s="1"/>
      <c r="B291" s="10" t="str">
        <f ca="1">IFERROR(__xludf.DUMMYFUNCTION("""COMPUTED_VALUE"""),"Compensación Predios Exentos 2024")</f>
        <v>Compensación Predios Exentos 2024</v>
      </c>
      <c r="C291" s="26" t="str">
        <f t="shared" ca="1" si="0"/>
        <v xml:space="preserve"> CAMARONES</v>
      </c>
      <c r="D291" s="10" t="str">
        <f ca="1">IFERROR(__xludf.DUMMYFUNCTION("""COMPUTED_VALUE"""),"Resolución de Transferencia")</f>
        <v>Resolución de Transferencia</v>
      </c>
      <c r="E291" s="26" t="str">
        <f ca="1">IFERROR(__xludf.DUMMYFUNCTION("""COMPUTED_VALUE"""),"MUNICIPALIDAD DE CAMARONES")</f>
        <v>MUNICIPALIDAD DE CAMARONES</v>
      </c>
      <c r="F291" s="11">
        <f ca="1">IFERROR(__xludf.DUMMYFUNCTION("""COMPUTED_VALUE"""),22374573)</f>
        <v>22374573</v>
      </c>
      <c r="G291" s="10" t="str">
        <f ca="1">IFERROR(__xludf.DUMMYFUNCTION("""COMPUTED_VALUE"""),"Resolución")</f>
        <v>Resolución</v>
      </c>
      <c r="H291" s="10" t="str">
        <f ca="1">IFERROR(__xludf.DUMMYFUNCTION("""COMPUTED_VALUE"""),"COMPENSACIÓN PREDIOS EXENTOS")</f>
        <v>COMPENSACIÓN PREDIOS EXENTOS</v>
      </c>
      <c r="I291" s="10" t="str">
        <f ca="1">IFERROR(__xludf.DUMMYFUNCTION("""COMPUTED_VALUE"""),"Cumplir con normativa y reglamentos internos del programa en base a los objetivos.")</f>
        <v>Cumplir con normativa y reglamentos internos del programa en base a los objetivos.</v>
      </c>
      <c r="J291" s="11">
        <f ca="1">IFERROR(__xludf.DUMMYFUNCTION("""COMPUTED_VALUE"""),22374573)</f>
        <v>22374573</v>
      </c>
      <c r="K291" s="27">
        <f ca="1">IFERROR(__xludf.DUMMYFUNCTION("""COMPUTED_VALUE"""),1)</f>
        <v>1</v>
      </c>
      <c r="L291" s="28" t="str">
        <f ca="1">IFERROR(__xludf.DUMMYFUNCTION("""COMPUTED_VALUE"""),"1/2024")</f>
        <v>1/2024</v>
      </c>
      <c r="M291" s="10" t="str">
        <f ca="1">IFERROR(__xludf.DUMMYFUNCTION("""COMPUTED_VALUE"""),"Predios Exentos")</f>
        <v>Predios Exentos</v>
      </c>
      <c r="N291" s="1"/>
      <c r="O291" s="1"/>
      <c r="P291" s="1"/>
      <c r="Q291" s="1"/>
      <c r="R291" s="1"/>
      <c r="S291" s="1"/>
      <c r="T291" s="1"/>
      <c r="U291" s="1"/>
      <c r="V291" s="1"/>
      <c r="W291" s="1"/>
      <c r="X291" s="1"/>
      <c r="Y291" s="1"/>
      <c r="Z291" s="1"/>
    </row>
    <row r="292" spans="1:26" ht="12.75" customHeight="1">
      <c r="A292" s="1"/>
      <c r="B292" s="10" t="str">
        <f ca="1">IFERROR(__xludf.DUMMYFUNCTION("""COMPUTED_VALUE"""),"Compensación Predios Exentos 2024")</f>
        <v>Compensación Predios Exentos 2024</v>
      </c>
      <c r="C292" s="26" t="str">
        <f t="shared" ca="1" si="0"/>
        <v xml:space="preserve"> QUEMCHI</v>
      </c>
      <c r="D292" s="10" t="str">
        <f ca="1">IFERROR(__xludf.DUMMYFUNCTION("""COMPUTED_VALUE"""),"Resolución de Transferencia")</f>
        <v>Resolución de Transferencia</v>
      </c>
      <c r="E292" s="26" t="str">
        <f ca="1">IFERROR(__xludf.DUMMYFUNCTION("""COMPUTED_VALUE"""),"MUNICIPALIDAD DE QUEMCHI")</f>
        <v>MUNICIPALIDAD DE QUEMCHI</v>
      </c>
      <c r="F292" s="11">
        <f ca="1">IFERROR(__xludf.DUMMYFUNCTION("""COMPUTED_VALUE"""),49007071)</f>
        <v>49007071</v>
      </c>
      <c r="G292" s="10" t="str">
        <f ca="1">IFERROR(__xludf.DUMMYFUNCTION("""COMPUTED_VALUE"""),"Resolución")</f>
        <v>Resolución</v>
      </c>
      <c r="H292" s="10" t="str">
        <f ca="1">IFERROR(__xludf.DUMMYFUNCTION("""COMPUTED_VALUE"""),"COMPENSACIÓN PREDIOS EXENTOS")</f>
        <v>COMPENSACIÓN PREDIOS EXENTOS</v>
      </c>
      <c r="I292" s="10" t="str">
        <f ca="1">IFERROR(__xludf.DUMMYFUNCTION("""COMPUTED_VALUE"""),"Cumplir con normativa y reglamentos internos del programa en base a los objetivos.")</f>
        <v>Cumplir con normativa y reglamentos internos del programa en base a los objetivos.</v>
      </c>
      <c r="J292" s="11">
        <f ca="1">IFERROR(__xludf.DUMMYFUNCTION("""COMPUTED_VALUE"""),49007071)</f>
        <v>49007071</v>
      </c>
      <c r="K292" s="27">
        <f ca="1">IFERROR(__xludf.DUMMYFUNCTION("""COMPUTED_VALUE"""),1)</f>
        <v>1</v>
      </c>
      <c r="L292" s="28" t="str">
        <f ca="1">IFERROR(__xludf.DUMMYFUNCTION("""COMPUTED_VALUE"""),"1/2024")</f>
        <v>1/2024</v>
      </c>
      <c r="M292" s="10" t="str">
        <f ca="1">IFERROR(__xludf.DUMMYFUNCTION("""COMPUTED_VALUE"""),"Predios Exentos")</f>
        <v>Predios Exentos</v>
      </c>
      <c r="N292" s="1"/>
      <c r="O292" s="1"/>
      <c r="P292" s="1"/>
      <c r="Q292" s="1"/>
      <c r="R292" s="1"/>
      <c r="S292" s="1"/>
      <c r="T292" s="1"/>
      <c r="U292" s="1"/>
      <c r="V292" s="1"/>
      <c r="W292" s="1"/>
      <c r="X292" s="1"/>
      <c r="Y292" s="1"/>
      <c r="Z292" s="1"/>
    </row>
    <row r="293" spans="1:26" ht="12.75" customHeight="1">
      <c r="A293" s="1"/>
      <c r="B293" s="10" t="str">
        <f ca="1">IFERROR(__xludf.DUMMYFUNCTION("""COMPUTED_VALUE"""),"Compensación Predios Exentos 2024")</f>
        <v>Compensación Predios Exentos 2024</v>
      </c>
      <c r="C293" s="26" t="str">
        <f t="shared" ca="1" si="0"/>
        <v xml:space="preserve"> SAN PABLO</v>
      </c>
      <c r="D293" s="10" t="str">
        <f ca="1">IFERROR(__xludf.DUMMYFUNCTION("""COMPUTED_VALUE"""),"Resolución de Transferencia")</f>
        <v>Resolución de Transferencia</v>
      </c>
      <c r="E293" s="26" t="str">
        <f ca="1">IFERROR(__xludf.DUMMYFUNCTION("""COMPUTED_VALUE"""),"MUNICIPALIDAD DE SAN PABLO")</f>
        <v>MUNICIPALIDAD DE SAN PABLO</v>
      </c>
      <c r="F293" s="11">
        <f ca="1">IFERROR(__xludf.DUMMYFUNCTION("""COMPUTED_VALUE"""),46468693)</f>
        <v>46468693</v>
      </c>
      <c r="G293" s="10" t="str">
        <f ca="1">IFERROR(__xludf.DUMMYFUNCTION("""COMPUTED_VALUE"""),"Resolución")</f>
        <v>Resolución</v>
      </c>
      <c r="H293" s="10" t="str">
        <f ca="1">IFERROR(__xludf.DUMMYFUNCTION("""COMPUTED_VALUE"""),"COMPENSACIÓN PREDIOS EXENTOS")</f>
        <v>COMPENSACIÓN PREDIOS EXENTOS</v>
      </c>
      <c r="I293" s="10" t="str">
        <f ca="1">IFERROR(__xludf.DUMMYFUNCTION("""COMPUTED_VALUE"""),"Cumplir con normativa y reglamentos internos del programa en base a los objetivos.")</f>
        <v>Cumplir con normativa y reglamentos internos del programa en base a los objetivos.</v>
      </c>
      <c r="J293" s="11">
        <f ca="1">IFERROR(__xludf.DUMMYFUNCTION("""COMPUTED_VALUE"""),46468693)</f>
        <v>46468693</v>
      </c>
      <c r="K293" s="27">
        <f ca="1">IFERROR(__xludf.DUMMYFUNCTION("""COMPUTED_VALUE"""),1)</f>
        <v>1</v>
      </c>
      <c r="L293" s="28" t="str">
        <f ca="1">IFERROR(__xludf.DUMMYFUNCTION("""COMPUTED_VALUE"""),"1/2024")</f>
        <v>1/2024</v>
      </c>
      <c r="M293" s="10" t="str">
        <f ca="1">IFERROR(__xludf.DUMMYFUNCTION("""COMPUTED_VALUE"""),"Predios Exentos")</f>
        <v>Predios Exentos</v>
      </c>
      <c r="N293" s="1"/>
      <c r="O293" s="1"/>
      <c r="P293" s="1"/>
      <c r="Q293" s="1"/>
      <c r="R293" s="1"/>
      <c r="S293" s="1"/>
      <c r="T293" s="1"/>
      <c r="U293" s="1"/>
      <c r="V293" s="1"/>
      <c r="W293" s="1"/>
      <c r="X293" s="1"/>
      <c r="Y293" s="1"/>
      <c r="Z293" s="1"/>
    </row>
    <row r="294" spans="1:26" ht="12.75" customHeight="1">
      <c r="A294" s="1"/>
      <c r="B294" s="10" t="str">
        <f ca="1">IFERROR(__xludf.DUMMYFUNCTION("""COMPUTED_VALUE"""),"Compensación Predios Exentos 2024")</f>
        <v>Compensación Predios Exentos 2024</v>
      </c>
      <c r="C294" s="26" t="str">
        <f t="shared" ca="1" si="0"/>
        <v xml:space="preserve"> TOLTÉN</v>
      </c>
      <c r="D294" s="10" t="str">
        <f ca="1">IFERROR(__xludf.DUMMYFUNCTION("""COMPUTED_VALUE"""),"Resolución de Transferencia")</f>
        <v>Resolución de Transferencia</v>
      </c>
      <c r="E294" s="26" t="str">
        <f ca="1">IFERROR(__xludf.DUMMYFUNCTION("""COMPUTED_VALUE"""),"MUNICIPALIDAD DE TOLTÉN")</f>
        <v>MUNICIPALIDAD DE TOLTÉN</v>
      </c>
      <c r="F294" s="11">
        <f ca="1">IFERROR(__xludf.DUMMYFUNCTION("""COMPUTED_VALUE"""),52783932)</f>
        <v>52783932</v>
      </c>
      <c r="G294" s="10" t="str">
        <f ca="1">IFERROR(__xludf.DUMMYFUNCTION("""COMPUTED_VALUE"""),"Resolución")</f>
        <v>Resolución</v>
      </c>
      <c r="H294" s="10" t="str">
        <f ca="1">IFERROR(__xludf.DUMMYFUNCTION("""COMPUTED_VALUE"""),"COMPENSACIÓN PREDIOS EXENTOS")</f>
        <v>COMPENSACIÓN PREDIOS EXENTOS</v>
      </c>
      <c r="I294" s="10" t="str">
        <f ca="1">IFERROR(__xludf.DUMMYFUNCTION("""COMPUTED_VALUE"""),"Cumplir con normativa y reglamentos internos del programa en base a los objetivos.")</f>
        <v>Cumplir con normativa y reglamentos internos del programa en base a los objetivos.</v>
      </c>
      <c r="J294" s="11">
        <f ca="1">IFERROR(__xludf.DUMMYFUNCTION("""COMPUTED_VALUE"""),52783932)</f>
        <v>52783932</v>
      </c>
      <c r="K294" s="27">
        <f ca="1">IFERROR(__xludf.DUMMYFUNCTION("""COMPUTED_VALUE"""),1)</f>
        <v>1</v>
      </c>
      <c r="L294" s="28" t="str">
        <f ca="1">IFERROR(__xludf.DUMMYFUNCTION("""COMPUTED_VALUE"""),"1/2024")</f>
        <v>1/2024</v>
      </c>
      <c r="M294" s="10" t="str">
        <f ca="1">IFERROR(__xludf.DUMMYFUNCTION("""COMPUTED_VALUE"""),"Predios Exentos")</f>
        <v>Predios Exentos</v>
      </c>
      <c r="N294" s="1"/>
      <c r="O294" s="1"/>
      <c r="P294" s="1"/>
      <c r="Q294" s="1"/>
      <c r="R294" s="1"/>
      <c r="S294" s="1"/>
      <c r="T294" s="1"/>
      <c r="U294" s="1"/>
      <c r="V294" s="1"/>
      <c r="W294" s="1"/>
      <c r="X294" s="1"/>
      <c r="Y294" s="1"/>
      <c r="Z294" s="1"/>
    </row>
    <row r="295" spans="1:26" ht="12.75" customHeight="1">
      <c r="A295" s="1"/>
      <c r="B295" s="10" t="str">
        <f ca="1">IFERROR(__xludf.DUMMYFUNCTION("""COMPUTED_VALUE"""),"Compensación Predios Exentos 2024")</f>
        <v>Compensación Predios Exentos 2024</v>
      </c>
      <c r="C295" s="26" t="str">
        <f t="shared" ca="1" si="0"/>
        <v xml:space="preserve"> CUNCO</v>
      </c>
      <c r="D295" s="10" t="str">
        <f ca="1">IFERROR(__xludf.DUMMYFUNCTION("""COMPUTED_VALUE"""),"Resolución de Transferencia")</f>
        <v>Resolución de Transferencia</v>
      </c>
      <c r="E295" s="26" t="str">
        <f ca="1">IFERROR(__xludf.DUMMYFUNCTION("""COMPUTED_VALUE"""),"MUNICIPALIDAD DE CUNCO")</f>
        <v>MUNICIPALIDAD DE CUNCO</v>
      </c>
      <c r="F295" s="11">
        <f ca="1">IFERROR(__xludf.DUMMYFUNCTION("""COMPUTED_VALUE"""),97891317)</f>
        <v>97891317</v>
      </c>
      <c r="G295" s="10" t="str">
        <f ca="1">IFERROR(__xludf.DUMMYFUNCTION("""COMPUTED_VALUE"""),"Resolución")</f>
        <v>Resolución</v>
      </c>
      <c r="H295" s="10" t="str">
        <f ca="1">IFERROR(__xludf.DUMMYFUNCTION("""COMPUTED_VALUE"""),"COMPENSACIÓN PREDIOS EXENTOS")</f>
        <v>COMPENSACIÓN PREDIOS EXENTOS</v>
      </c>
      <c r="I295" s="10" t="str">
        <f ca="1">IFERROR(__xludf.DUMMYFUNCTION("""COMPUTED_VALUE"""),"Cumplir con normativa y reglamentos internos del programa en base a los objetivos.")</f>
        <v>Cumplir con normativa y reglamentos internos del programa en base a los objetivos.</v>
      </c>
      <c r="J295" s="11">
        <f ca="1">IFERROR(__xludf.DUMMYFUNCTION("""COMPUTED_VALUE"""),97891317)</f>
        <v>97891317</v>
      </c>
      <c r="K295" s="27">
        <f ca="1">IFERROR(__xludf.DUMMYFUNCTION("""COMPUTED_VALUE"""),1)</f>
        <v>1</v>
      </c>
      <c r="L295" s="28" t="str">
        <f ca="1">IFERROR(__xludf.DUMMYFUNCTION("""COMPUTED_VALUE"""),"1/2024")</f>
        <v>1/2024</v>
      </c>
      <c r="M295" s="10" t="str">
        <f ca="1">IFERROR(__xludf.DUMMYFUNCTION("""COMPUTED_VALUE"""),"Predios Exentos")</f>
        <v>Predios Exentos</v>
      </c>
      <c r="N295" s="1"/>
      <c r="O295" s="1"/>
      <c r="P295" s="1"/>
      <c r="Q295" s="1"/>
      <c r="R295" s="1"/>
      <c r="S295" s="1"/>
      <c r="T295" s="1"/>
      <c r="U295" s="1"/>
      <c r="V295" s="1"/>
      <c r="W295" s="1"/>
      <c r="X295" s="1"/>
      <c r="Y295" s="1"/>
      <c r="Z295" s="1"/>
    </row>
    <row r="296" spans="1:26" ht="12.75" customHeight="1">
      <c r="A296" s="1"/>
      <c r="B296" s="10" t="str">
        <f ca="1">IFERROR(__xludf.DUMMYFUNCTION("""COMPUTED_VALUE"""),"Compensación Predios Exentos 2024")</f>
        <v>Compensación Predios Exentos 2024</v>
      </c>
      <c r="C296" s="26" t="str">
        <f t="shared" ca="1" si="0"/>
        <v xml:space="preserve"> VILCÚN</v>
      </c>
      <c r="D296" s="10" t="str">
        <f ca="1">IFERROR(__xludf.DUMMYFUNCTION("""COMPUTED_VALUE"""),"Resolución de Transferencia")</f>
        <v>Resolución de Transferencia</v>
      </c>
      <c r="E296" s="26" t="str">
        <f ca="1">IFERROR(__xludf.DUMMYFUNCTION("""COMPUTED_VALUE"""),"MUNICIPALIDAD DE VILCÚN")</f>
        <v>MUNICIPALIDAD DE VILCÚN</v>
      </c>
      <c r="F296" s="11">
        <f ca="1">IFERROR(__xludf.DUMMYFUNCTION("""COMPUTED_VALUE"""),135854397)</f>
        <v>135854397</v>
      </c>
      <c r="G296" s="10" t="str">
        <f ca="1">IFERROR(__xludf.DUMMYFUNCTION("""COMPUTED_VALUE"""),"Resolución")</f>
        <v>Resolución</v>
      </c>
      <c r="H296" s="10" t="str">
        <f ca="1">IFERROR(__xludf.DUMMYFUNCTION("""COMPUTED_VALUE"""),"COMPENSACIÓN PREDIOS EXENTOS")</f>
        <v>COMPENSACIÓN PREDIOS EXENTOS</v>
      </c>
      <c r="I296" s="10" t="str">
        <f ca="1">IFERROR(__xludf.DUMMYFUNCTION("""COMPUTED_VALUE"""),"Cumplir con normativa y reglamentos internos del programa en base a los objetivos.")</f>
        <v>Cumplir con normativa y reglamentos internos del programa en base a los objetivos.</v>
      </c>
      <c r="J296" s="11">
        <f ca="1">IFERROR(__xludf.DUMMYFUNCTION("""COMPUTED_VALUE"""),135854397)</f>
        <v>135854397</v>
      </c>
      <c r="K296" s="27">
        <f ca="1">IFERROR(__xludf.DUMMYFUNCTION("""COMPUTED_VALUE"""),1)</f>
        <v>1</v>
      </c>
      <c r="L296" s="28" t="str">
        <f ca="1">IFERROR(__xludf.DUMMYFUNCTION("""COMPUTED_VALUE"""),"1/2024")</f>
        <v>1/2024</v>
      </c>
      <c r="M296" s="10" t="str">
        <f ca="1">IFERROR(__xludf.DUMMYFUNCTION("""COMPUTED_VALUE"""),"Predios Exentos")</f>
        <v>Predios Exentos</v>
      </c>
      <c r="N296" s="1"/>
      <c r="O296" s="1"/>
      <c r="P296" s="1"/>
      <c r="Q296" s="1"/>
      <c r="R296" s="1"/>
      <c r="S296" s="1"/>
      <c r="T296" s="1"/>
      <c r="U296" s="1"/>
      <c r="V296" s="1"/>
      <c r="W296" s="1"/>
      <c r="X296" s="1"/>
      <c r="Y296" s="1"/>
      <c r="Z296" s="1"/>
    </row>
    <row r="297" spans="1:26" ht="12.75" customHeight="1">
      <c r="A297" s="1"/>
      <c r="B297" s="10" t="str">
        <f ca="1">IFERROR(__xludf.DUMMYFUNCTION("""COMPUTED_VALUE"""),"Compensación Predios Exentos 2024")</f>
        <v>Compensación Predios Exentos 2024</v>
      </c>
      <c r="C297" s="26" t="str">
        <f t="shared" ca="1" si="0"/>
        <v xml:space="preserve"> NUEVA IMPERIAL</v>
      </c>
      <c r="D297" s="10" t="str">
        <f ca="1">IFERROR(__xludf.DUMMYFUNCTION("""COMPUTED_VALUE"""),"Resolución de Transferencia")</f>
        <v>Resolución de Transferencia</v>
      </c>
      <c r="E297" s="26" t="str">
        <f ca="1">IFERROR(__xludf.DUMMYFUNCTION("""COMPUTED_VALUE"""),"MUNICIPALIDAD DE NUEVA IMPERIAL")</f>
        <v>MUNICIPALIDAD DE NUEVA IMPERIAL</v>
      </c>
      <c r="F297" s="11">
        <f ca="1">IFERROR(__xludf.DUMMYFUNCTION("""COMPUTED_VALUE"""),173141941)</f>
        <v>173141941</v>
      </c>
      <c r="G297" s="10" t="str">
        <f ca="1">IFERROR(__xludf.DUMMYFUNCTION("""COMPUTED_VALUE"""),"Resolución")</f>
        <v>Resolución</v>
      </c>
      <c r="H297" s="10" t="str">
        <f ca="1">IFERROR(__xludf.DUMMYFUNCTION("""COMPUTED_VALUE"""),"COMPENSACIÓN PREDIOS EXENTOS")</f>
        <v>COMPENSACIÓN PREDIOS EXENTOS</v>
      </c>
      <c r="I297" s="10" t="str">
        <f ca="1">IFERROR(__xludf.DUMMYFUNCTION("""COMPUTED_VALUE"""),"Cumplir con normativa y reglamentos internos del programa en base a los objetivos.")</f>
        <v>Cumplir con normativa y reglamentos internos del programa en base a los objetivos.</v>
      </c>
      <c r="J297" s="11">
        <f ca="1">IFERROR(__xludf.DUMMYFUNCTION("""COMPUTED_VALUE"""),173141941)</f>
        <v>173141941</v>
      </c>
      <c r="K297" s="27">
        <f ca="1">IFERROR(__xludf.DUMMYFUNCTION("""COMPUTED_VALUE"""),1)</f>
        <v>1</v>
      </c>
      <c r="L297" s="28" t="str">
        <f ca="1">IFERROR(__xludf.DUMMYFUNCTION("""COMPUTED_VALUE"""),"1/2024")</f>
        <v>1/2024</v>
      </c>
      <c r="M297" s="10" t="str">
        <f ca="1">IFERROR(__xludf.DUMMYFUNCTION("""COMPUTED_VALUE"""),"Predios Exentos")</f>
        <v>Predios Exentos</v>
      </c>
      <c r="N297" s="1"/>
      <c r="O297" s="1"/>
      <c r="P297" s="1"/>
      <c r="Q297" s="1"/>
      <c r="R297" s="1"/>
      <c r="S297" s="1"/>
      <c r="T297" s="1"/>
      <c r="U297" s="1"/>
      <c r="V297" s="1"/>
      <c r="W297" s="1"/>
      <c r="X297" s="1"/>
      <c r="Y297" s="1"/>
      <c r="Z297" s="1"/>
    </row>
    <row r="298" spans="1:26" ht="12.75" customHeight="1">
      <c r="A298" s="1"/>
      <c r="B298" s="10" t="str">
        <f ca="1">IFERROR(__xludf.DUMMYFUNCTION("""COMPUTED_VALUE"""),"Compensación Predios Exentos 2024")</f>
        <v>Compensación Predios Exentos 2024</v>
      </c>
      <c r="C298" s="26" t="str">
        <f t="shared" ca="1" si="0"/>
        <v xml:space="preserve"> LOS SAUCES</v>
      </c>
      <c r="D298" s="10" t="str">
        <f ca="1">IFERROR(__xludf.DUMMYFUNCTION("""COMPUTED_VALUE"""),"Resolución de Transferencia")</f>
        <v>Resolución de Transferencia</v>
      </c>
      <c r="E298" s="26" t="str">
        <f ca="1">IFERROR(__xludf.DUMMYFUNCTION("""COMPUTED_VALUE"""),"MUNICIPALIDAD DE LOS SAUCES")</f>
        <v>MUNICIPALIDAD DE LOS SAUCES</v>
      </c>
      <c r="F298" s="11">
        <f ca="1">IFERROR(__xludf.DUMMYFUNCTION("""COMPUTED_VALUE"""),44104317)</f>
        <v>44104317</v>
      </c>
      <c r="G298" s="10" t="str">
        <f ca="1">IFERROR(__xludf.DUMMYFUNCTION("""COMPUTED_VALUE"""),"Resolución")</f>
        <v>Resolución</v>
      </c>
      <c r="H298" s="10" t="str">
        <f ca="1">IFERROR(__xludf.DUMMYFUNCTION("""COMPUTED_VALUE"""),"COMPENSACIÓN PREDIOS EXENTOS")</f>
        <v>COMPENSACIÓN PREDIOS EXENTOS</v>
      </c>
      <c r="I298" s="10" t="str">
        <f ca="1">IFERROR(__xludf.DUMMYFUNCTION("""COMPUTED_VALUE"""),"Cumplir con normativa y reglamentos internos del programa en base a los objetivos.")</f>
        <v>Cumplir con normativa y reglamentos internos del programa en base a los objetivos.</v>
      </c>
      <c r="J298" s="11">
        <f ca="1">IFERROR(__xludf.DUMMYFUNCTION("""COMPUTED_VALUE"""),44104317)</f>
        <v>44104317</v>
      </c>
      <c r="K298" s="27">
        <f ca="1">IFERROR(__xludf.DUMMYFUNCTION("""COMPUTED_VALUE"""),1)</f>
        <v>1</v>
      </c>
      <c r="L298" s="28" t="str">
        <f ca="1">IFERROR(__xludf.DUMMYFUNCTION("""COMPUTED_VALUE"""),"1/2024")</f>
        <v>1/2024</v>
      </c>
      <c r="M298" s="10" t="str">
        <f ca="1">IFERROR(__xludf.DUMMYFUNCTION("""COMPUTED_VALUE"""),"Predios Exentos")</f>
        <v>Predios Exentos</v>
      </c>
      <c r="N298" s="1"/>
      <c r="O298" s="1"/>
      <c r="P298" s="1"/>
      <c r="Q298" s="1"/>
      <c r="R298" s="1"/>
      <c r="S298" s="1"/>
      <c r="T298" s="1"/>
      <c r="U298" s="1"/>
      <c r="V298" s="1"/>
      <c r="W298" s="1"/>
      <c r="X298" s="1"/>
      <c r="Y298" s="1"/>
      <c r="Z298" s="1"/>
    </row>
    <row r="299" spans="1:26" ht="12.75" customHeight="1">
      <c r="A299" s="1"/>
      <c r="B299" s="10" t="str">
        <f ca="1">IFERROR(__xludf.DUMMYFUNCTION("""COMPUTED_VALUE"""),"Compensación Predios Exentos 2024")</f>
        <v>Compensación Predios Exentos 2024</v>
      </c>
      <c r="C299" s="26" t="str">
        <f t="shared" ca="1" si="0"/>
        <v xml:space="preserve"> LAJA</v>
      </c>
      <c r="D299" s="10" t="str">
        <f ca="1">IFERROR(__xludf.DUMMYFUNCTION("""COMPUTED_VALUE"""),"Resolución de Transferencia")</f>
        <v>Resolución de Transferencia</v>
      </c>
      <c r="E299" s="26" t="str">
        <f ca="1">IFERROR(__xludf.DUMMYFUNCTION("""COMPUTED_VALUE"""),"MUNICIPALIDAD DE LAJA")</f>
        <v>MUNICIPALIDAD DE LAJA</v>
      </c>
      <c r="F299" s="11">
        <f ca="1">IFERROR(__xludf.DUMMYFUNCTION("""COMPUTED_VALUE"""),107195291)</f>
        <v>107195291</v>
      </c>
      <c r="G299" s="10" t="str">
        <f ca="1">IFERROR(__xludf.DUMMYFUNCTION("""COMPUTED_VALUE"""),"Resolución")</f>
        <v>Resolución</v>
      </c>
      <c r="H299" s="10" t="str">
        <f ca="1">IFERROR(__xludf.DUMMYFUNCTION("""COMPUTED_VALUE"""),"COMPENSACIÓN PREDIOS EXENTOS")</f>
        <v>COMPENSACIÓN PREDIOS EXENTOS</v>
      </c>
      <c r="I299" s="10" t="str">
        <f ca="1">IFERROR(__xludf.DUMMYFUNCTION("""COMPUTED_VALUE"""),"Cumplir con normativa y reglamentos internos del programa en base a los objetivos.")</f>
        <v>Cumplir con normativa y reglamentos internos del programa en base a los objetivos.</v>
      </c>
      <c r="J299" s="11">
        <f ca="1">IFERROR(__xludf.DUMMYFUNCTION("""COMPUTED_VALUE"""),107195291)</f>
        <v>107195291</v>
      </c>
      <c r="K299" s="27">
        <f ca="1">IFERROR(__xludf.DUMMYFUNCTION("""COMPUTED_VALUE"""),1)</f>
        <v>1</v>
      </c>
      <c r="L299" s="28" t="str">
        <f ca="1">IFERROR(__xludf.DUMMYFUNCTION("""COMPUTED_VALUE"""),"1/2024")</f>
        <v>1/2024</v>
      </c>
      <c r="M299" s="10" t="str">
        <f ca="1">IFERROR(__xludf.DUMMYFUNCTION("""COMPUTED_VALUE"""),"Predios Exentos")</f>
        <v>Predios Exentos</v>
      </c>
      <c r="N299" s="1"/>
      <c r="O299" s="1"/>
      <c r="P299" s="1"/>
      <c r="Q299" s="1"/>
      <c r="R299" s="1"/>
      <c r="S299" s="1"/>
      <c r="T299" s="1"/>
      <c r="U299" s="1"/>
      <c r="V299" s="1"/>
      <c r="W299" s="1"/>
      <c r="X299" s="1"/>
      <c r="Y299" s="1"/>
      <c r="Z299" s="1"/>
    </row>
    <row r="300" spans="1:26" ht="12.75" customHeight="1">
      <c r="A300" s="1"/>
      <c r="B300" s="10" t="str">
        <f ca="1">IFERROR(__xludf.DUMMYFUNCTION("""COMPUTED_VALUE"""),"Compensación Predios Exentos 2024")</f>
        <v>Compensación Predios Exentos 2024</v>
      </c>
      <c r="C300" s="26" t="str">
        <f t="shared" ca="1" si="0"/>
        <v xml:space="preserve"> ARAUCO</v>
      </c>
      <c r="D300" s="10" t="str">
        <f ca="1">IFERROR(__xludf.DUMMYFUNCTION("""COMPUTED_VALUE"""),"Resolución de Transferencia")</f>
        <v>Resolución de Transferencia</v>
      </c>
      <c r="E300" s="26" t="str">
        <f ca="1">IFERROR(__xludf.DUMMYFUNCTION("""COMPUTED_VALUE"""),"MUNICIPALIDAD DE ARAUCO")</f>
        <v>MUNICIPALIDAD DE ARAUCO</v>
      </c>
      <c r="F300" s="11">
        <f ca="1">IFERROR(__xludf.DUMMYFUNCTION("""COMPUTED_VALUE"""),142425521)</f>
        <v>142425521</v>
      </c>
      <c r="G300" s="10" t="str">
        <f ca="1">IFERROR(__xludf.DUMMYFUNCTION("""COMPUTED_VALUE"""),"Resolución")</f>
        <v>Resolución</v>
      </c>
      <c r="H300" s="10" t="str">
        <f ca="1">IFERROR(__xludf.DUMMYFUNCTION("""COMPUTED_VALUE"""),"COMPENSACIÓN PREDIOS EXENTOS")</f>
        <v>COMPENSACIÓN PREDIOS EXENTOS</v>
      </c>
      <c r="I300" s="10" t="str">
        <f ca="1">IFERROR(__xludf.DUMMYFUNCTION("""COMPUTED_VALUE"""),"Cumplir con normativa y reglamentos internos del programa en base a los objetivos.")</f>
        <v>Cumplir con normativa y reglamentos internos del programa en base a los objetivos.</v>
      </c>
      <c r="J300" s="11">
        <f ca="1">IFERROR(__xludf.DUMMYFUNCTION("""COMPUTED_VALUE"""),142425521)</f>
        <v>142425521</v>
      </c>
      <c r="K300" s="27">
        <f ca="1">IFERROR(__xludf.DUMMYFUNCTION("""COMPUTED_VALUE"""),1)</f>
        <v>1</v>
      </c>
      <c r="L300" s="28" t="str">
        <f ca="1">IFERROR(__xludf.DUMMYFUNCTION("""COMPUTED_VALUE"""),"1/2024")</f>
        <v>1/2024</v>
      </c>
      <c r="M300" s="10" t="str">
        <f ca="1">IFERROR(__xludf.DUMMYFUNCTION("""COMPUTED_VALUE"""),"Predios Exentos")</f>
        <v>Predios Exentos</v>
      </c>
      <c r="N300" s="1"/>
      <c r="O300" s="1"/>
      <c r="P300" s="1"/>
      <c r="Q300" s="1"/>
      <c r="R300" s="1"/>
      <c r="S300" s="1"/>
      <c r="T300" s="1"/>
      <c r="U300" s="1"/>
      <c r="V300" s="1"/>
      <c r="W300" s="1"/>
      <c r="X300" s="1"/>
      <c r="Y300" s="1"/>
      <c r="Z300" s="1"/>
    </row>
    <row r="301" spans="1:26" ht="12.75" customHeight="1">
      <c r="A301" s="1"/>
      <c r="B301" s="10" t="str">
        <f ca="1">IFERROR(__xludf.DUMMYFUNCTION("""COMPUTED_VALUE"""),"Compensación Predios Exentos 2024")</f>
        <v>Compensación Predios Exentos 2024</v>
      </c>
      <c r="C301" s="26" t="str">
        <f t="shared" ca="1" si="0"/>
        <v xml:space="preserve"> FLORIDA</v>
      </c>
      <c r="D301" s="10" t="str">
        <f ca="1">IFERROR(__xludf.DUMMYFUNCTION("""COMPUTED_VALUE"""),"Resolución de Transferencia")</f>
        <v>Resolución de Transferencia</v>
      </c>
      <c r="E301" s="26" t="str">
        <f ca="1">IFERROR(__xludf.DUMMYFUNCTION("""COMPUTED_VALUE"""),"MUNICIPALIDAD DE FLORIDA")</f>
        <v>MUNICIPALIDAD DE FLORIDA</v>
      </c>
      <c r="F301" s="11">
        <f ca="1">IFERROR(__xludf.DUMMYFUNCTION("""COMPUTED_VALUE"""),76550519)</f>
        <v>76550519</v>
      </c>
      <c r="G301" s="10" t="str">
        <f ca="1">IFERROR(__xludf.DUMMYFUNCTION("""COMPUTED_VALUE"""),"Resolución")</f>
        <v>Resolución</v>
      </c>
      <c r="H301" s="10" t="str">
        <f ca="1">IFERROR(__xludf.DUMMYFUNCTION("""COMPUTED_VALUE"""),"COMPENSACIÓN PREDIOS EXENTOS")</f>
        <v>COMPENSACIÓN PREDIOS EXENTOS</v>
      </c>
      <c r="I301" s="10" t="str">
        <f ca="1">IFERROR(__xludf.DUMMYFUNCTION("""COMPUTED_VALUE"""),"Cumplir con normativa y reglamentos internos del programa en base a los objetivos.")</f>
        <v>Cumplir con normativa y reglamentos internos del programa en base a los objetivos.</v>
      </c>
      <c r="J301" s="11">
        <f ca="1">IFERROR(__xludf.DUMMYFUNCTION("""COMPUTED_VALUE"""),76550519)</f>
        <v>76550519</v>
      </c>
      <c r="K301" s="27">
        <f ca="1">IFERROR(__xludf.DUMMYFUNCTION("""COMPUTED_VALUE"""),1)</f>
        <v>1</v>
      </c>
      <c r="L301" s="28" t="str">
        <f ca="1">IFERROR(__xludf.DUMMYFUNCTION("""COMPUTED_VALUE"""),"1/2024")</f>
        <v>1/2024</v>
      </c>
      <c r="M301" s="10" t="str">
        <f ca="1">IFERROR(__xludf.DUMMYFUNCTION("""COMPUTED_VALUE"""),"Predios Exentos")</f>
        <v>Predios Exentos</v>
      </c>
      <c r="N301" s="1"/>
      <c r="O301" s="1"/>
      <c r="P301" s="1"/>
      <c r="Q301" s="1"/>
      <c r="R301" s="1"/>
      <c r="S301" s="1"/>
      <c r="T301" s="1"/>
      <c r="U301" s="1"/>
      <c r="V301" s="1"/>
      <c r="W301" s="1"/>
      <c r="X301" s="1"/>
      <c r="Y301" s="1"/>
      <c r="Z301" s="1"/>
    </row>
    <row r="302" spans="1:26" ht="12.75" customHeight="1">
      <c r="A302" s="1"/>
      <c r="B302" s="10" t="str">
        <f ca="1">IFERROR(__xludf.DUMMYFUNCTION("""COMPUTED_VALUE"""),"Compensación Predios Exentos 2024")</f>
        <v>Compensación Predios Exentos 2024</v>
      </c>
      <c r="C302" s="26" t="str">
        <f t="shared" ca="1" si="0"/>
        <v xml:space="preserve"> QUIRIHUE</v>
      </c>
      <c r="D302" s="10" t="str">
        <f ca="1">IFERROR(__xludf.DUMMYFUNCTION("""COMPUTED_VALUE"""),"Resolución de Transferencia")</f>
        <v>Resolución de Transferencia</v>
      </c>
      <c r="E302" s="26" t="str">
        <f ca="1">IFERROR(__xludf.DUMMYFUNCTION("""COMPUTED_VALUE"""),"MUNICIPALIDAD DE QUIRIHUE")</f>
        <v>MUNICIPALIDAD DE QUIRIHUE</v>
      </c>
      <c r="F302" s="11">
        <f ca="1">IFERROR(__xludf.DUMMYFUNCTION("""COMPUTED_VALUE"""),83254703)</f>
        <v>83254703</v>
      </c>
      <c r="G302" s="10" t="str">
        <f ca="1">IFERROR(__xludf.DUMMYFUNCTION("""COMPUTED_VALUE"""),"Resolución")</f>
        <v>Resolución</v>
      </c>
      <c r="H302" s="10" t="str">
        <f ca="1">IFERROR(__xludf.DUMMYFUNCTION("""COMPUTED_VALUE"""),"COMPENSACIÓN PREDIOS EXENTOS")</f>
        <v>COMPENSACIÓN PREDIOS EXENTOS</v>
      </c>
      <c r="I302" s="10" t="str">
        <f ca="1">IFERROR(__xludf.DUMMYFUNCTION("""COMPUTED_VALUE"""),"Cumplir con normativa y reglamentos internos del programa en base a los objetivos.")</f>
        <v>Cumplir con normativa y reglamentos internos del programa en base a los objetivos.</v>
      </c>
      <c r="J302" s="11">
        <f ca="1">IFERROR(__xludf.DUMMYFUNCTION("""COMPUTED_VALUE"""),83254703)</f>
        <v>83254703</v>
      </c>
      <c r="K302" s="27">
        <f ca="1">IFERROR(__xludf.DUMMYFUNCTION("""COMPUTED_VALUE"""),1)</f>
        <v>1</v>
      </c>
      <c r="L302" s="28" t="str">
        <f ca="1">IFERROR(__xludf.DUMMYFUNCTION("""COMPUTED_VALUE"""),"1/2024")</f>
        <v>1/2024</v>
      </c>
      <c r="M302" s="10" t="str">
        <f ca="1">IFERROR(__xludf.DUMMYFUNCTION("""COMPUTED_VALUE"""),"Predios Exentos")</f>
        <v>Predios Exentos</v>
      </c>
      <c r="N302" s="1"/>
      <c r="O302" s="1"/>
      <c r="P302" s="1"/>
      <c r="Q302" s="1"/>
      <c r="R302" s="1"/>
      <c r="S302" s="1"/>
      <c r="T302" s="1"/>
      <c r="U302" s="1"/>
      <c r="V302" s="1"/>
      <c r="W302" s="1"/>
      <c r="X302" s="1"/>
      <c r="Y302" s="1"/>
      <c r="Z302" s="1"/>
    </row>
    <row r="303" spans="1:26" ht="12.75" customHeight="1">
      <c r="A303" s="1"/>
      <c r="B303" s="10" t="str">
        <f ca="1">IFERROR(__xludf.DUMMYFUNCTION("""COMPUTED_VALUE"""),"Compensación Predios Exentos 2024")</f>
        <v>Compensación Predios Exentos 2024</v>
      </c>
      <c r="C303" s="26" t="str">
        <f t="shared" ca="1" si="0"/>
        <v xml:space="preserve"> LINARES</v>
      </c>
      <c r="D303" s="10" t="str">
        <f ca="1">IFERROR(__xludf.DUMMYFUNCTION("""COMPUTED_VALUE"""),"Resolución de Transferencia")</f>
        <v>Resolución de Transferencia</v>
      </c>
      <c r="E303" s="26" t="str">
        <f ca="1">IFERROR(__xludf.DUMMYFUNCTION("""COMPUTED_VALUE"""),"MUNICIPALIDAD DE LINARES")</f>
        <v>MUNICIPALIDAD DE LINARES</v>
      </c>
      <c r="F303" s="11">
        <f ca="1">IFERROR(__xludf.DUMMYFUNCTION("""COMPUTED_VALUE"""),393786350)</f>
        <v>393786350</v>
      </c>
      <c r="G303" s="10" t="str">
        <f ca="1">IFERROR(__xludf.DUMMYFUNCTION("""COMPUTED_VALUE"""),"Resolución")</f>
        <v>Resolución</v>
      </c>
      <c r="H303" s="10" t="str">
        <f ca="1">IFERROR(__xludf.DUMMYFUNCTION("""COMPUTED_VALUE"""),"COMPENSACIÓN PREDIOS EXENTOS")</f>
        <v>COMPENSACIÓN PREDIOS EXENTOS</v>
      </c>
      <c r="I303" s="10" t="str">
        <f ca="1">IFERROR(__xludf.DUMMYFUNCTION("""COMPUTED_VALUE"""),"Cumplir con normativa y reglamentos internos del programa en base a los objetivos.")</f>
        <v>Cumplir con normativa y reglamentos internos del programa en base a los objetivos.</v>
      </c>
      <c r="J303" s="11">
        <f ca="1">IFERROR(__xludf.DUMMYFUNCTION("""COMPUTED_VALUE"""),393786350)</f>
        <v>393786350</v>
      </c>
      <c r="K303" s="27">
        <f ca="1">IFERROR(__xludf.DUMMYFUNCTION("""COMPUTED_VALUE"""),1)</f>
        <v>1</v>
      </c>
      <c r="L303" s="28" t="str">
        <f ca="1">IFERROR(__xludf.DUMMYFUNCTION("""COMPUTED_VALUE"""),"1/2024")</f>
        <v>1/2024</v>
      </c>
      <c r="M303" s="10" t="str">
        <f ca="1">IFERROR(__xludf.DUMMYFUNCTION("""COMPUTED_VALUE"""),"Predios Exentos")</f>
        <v>Predios Exentos</v>
      </c>
      <c r="N303" s="1"/>
      <c r="O303" s="1"/>
      <c r="P303" s="1"/>
      <c r="Q303" s="1"/>
      <c r="R303" s="1"/>
      <c r="S303" s="1"/>
      <c r="T303" s="1"/>
      <c r="U303" s="1"/>
      <c r="V303" s="1"/>
      <c r="W303" s="1"/>
      <c r="X303" s="1"/>
      <c r="Y303" s="1"/>
      <c r="Z303" s="1"/>
    </row>
    <row r="304" spans="1:26" ht="12.75" customHeight="1">
      <c r="A304" s="1"/>
      <c r="B304" s="10" t="str">
        <f ca="1">IFERROR(__xludf.DUMMYFUNCTION("""COMPUTED_VALUE"""),"Compensación Predios Exentos 2024")</f>
        <v>Compensación Predios Exentos 2024</v>
      </c>
      <c r="C304" s="26" t="str">
        <f t="shared" ca="1" si="0"/>
        <v xml:space="preserve"> MAULE</v>
      </c>
      <c r="D304" s="10" t="str">
        <f ca="1">IFERROR(__xludf.DUMMYFUNCTION("""COMPUTED_VALUE"""),"Resolución de Transferencia")</f>
        <v>Resolución de Transferencia</v>
      </c>
      <c r="E304" s="26" t="str">
        <f ca="1">IFERROR(__xludf.DUMMYFUNCTION("""COMPUTED_VALUE"""),"MUNICIPALIDAD DE MAULE")</f>
        <v>MUNICIPALIDAD DE MAULE</v>
      </c>
      <c r="F304" s="11">
        <f ca="1">IFERROR(__xludf.DUMMYFUNCTION("""COMPUTED_VALUE"""),214431524)</f>
        <v>214431524</v>
      </c>
      <c r="G304" s="10" t="str">
        <f ca="1">IFERROR(__xludf.DUMMYFUNCTION("""COMPUTED_VALUE"""),"Resolución")</f>
        <v>Resolución</v>
      </c>
      <c r="H304" s="10" t="str">
        <f ca="1">IFERROR(__xludf.DUMMYFUNCTION("""COMPUTED_VALUE"""),"COMPENSACIÓN PREDIOS EXENTOS")</f>
        <v>COMPENSACIÓN PREDIOS EXENTOS</v>
      </c>
      <c r="I304" s="10" t="str">
        <f ca="1">IFERROR(__xludf.DUMMYFUNCTION("""COMPUTED_VALUE"""),"Cumplir con normativa y reglamentos internos del programa en base a los objetivos.")</f>
        <v>Cumplir con normativa y reglamentos internos del programa en base a los objetivos.</v>
      </c>
      <c r="J304" s="11">
        <f ca="1">IFERROR(__xludf.DUMMYFUNCTION("""COMPUTED_VALUE"""),214431524)</f>
        <v>214431524</v>
      </c>
      <c r="K304" s="27">
        <f ca="1">IFERROR(__xludf.DUMMYFUNCTION("""COMPUTED_VALUE"""),1)</f>
        <v>1</v>
      </c>
      <c r="L304" s="28" t="str">
        <f ca="1">IFERROR(__xludf.DUMMYFUNCTION("""COMPUTED_VALUE"""),"1/2024")</f>
        <v>1/2024</v>
      </c>
      <c r="M304" s="10" t="str">
        <f ca="1">IFERROR(__xludf.DUMMYFUNCTION("""COMPUTED_VALUE"""),"Predios Exentos")</f>
        <v>Predios Exentos</v>
      </c>
      <c r="N304" s="1"/>
      <c r="O304" s="1"/>
      <c r="P304" s="1"/>
      <c r="Q304" s="1"/>
      <c r="R304" s="1"/>
      <c r="S304" s="1"/>
      <c r="T304" s="1"/>
      <c r="U304" s="1"/>
      <c r="V304" s="1"/>
      <c r="W304" s="1"/>
      <c r="X304" s="1"/>
      <c r="Y304" s="1"/>
      <c r="Z304" s="1"/>
    </row>
    <row r="305" spans="1:26" ht="12.75" customHeight="1">
      <c r="A305" s="1"/>
      <c r="B305" s="10" t="str">
        <f ca="1">IFERROR(__xludf.DUMMYFUNCTION("""COMPUTED_VALUE"""),"Compensación Predios Exentos 2024")</f>
        <v>Compensación Predios Exentos 2024</v>
      </c>
      <c r="C305" s="26" t="str">
        <f t="shared" ca="1" si="0"/>
        <v xml:space="preserve"> SAN VICENTE</v>
      </c>
      <c r="D305" s="10" t="str">
        <f ca="1">IFERROR(__xludf.DUMMYFUNCTION("""COMPUTED_VALUE"""),"Resolución de Transferencia")</f>
        <v>Resolución de Transferencia</v>
      </c>
      <c r="E305" s="26" t="str">
        <f ca="1">IFERROR(__xludf.DUMMYFUNCTION("""COMPUTED_VALUE"""),"MUNICIPALIDAD DE SAN VICENTE")</f>
        <v>MUNICIPALIDAD DE SAN VICENTE</v>
      </c>
      <c r="F305" s="11">
        <f ca="1">IFERROR(__xludf.DUMMYFUNCTION("""COMPUTED_VALUE"""),170931096)</f>
        <v>170931096</v>
      </c>
      <c r="G305" s="10" t="str">
        <f ca="1">IFERROR(__xludf.DUMMYFUNCTION("""COMPUTED_VALUE"""),"Resolución")</f>
        <v>Resolución</v>
      </c>
      <c r="H305" s="10" t="str">
        <f ca="1">IFERROR(__xludf.DUMMYFUNCTION("""COMPUTED_VALUE"""),"COMPENSACIÓN PREDIOS EXENTOS")</f>
        <v>COMPENSACIÓN PREDIOS EXENTOS</v>
      </c>
      <c r="I305" s="10" t="str">
        <f ca="1">IFERROR(__xludf.DUMMYFUNCTION("""COMPUTED_VALUE"""),"Cumplir con normativa y reglamentos internos del programa en base a los objetivos.")</f>
        <v>Cumplir con normativa y reglamentos internos del programa en base a los objetivos.</v>
      </c>
      <c r="J305" s="11">
        <f ca="1">IFERROR(__xludf.DUMMYFUNCTION("""COMPUTED_VALUE"""),170931096)</f>
        <v>170931096</v>
      </c>
      <c r="K305" s="27">
        <f ca="1">IFERROR(__xludf.DUMMYFUNCTION("""COMPUTED_VALUE"""),1)</f>
        <v>1</v>
      </c>
      <c r="L305" s="28" t="str">
        <f ca="1">IFERROR(__xludf.DUMMYFUNCTION("""COMPUTED_VALUE"""),"1/2024")</f>
        <v>1/2024</v>
      </c>
      <c r="M305" s="10" t="str">
        <f ca="1">IFERROR(__xludf.DUMMYFUNCTION("""COMPUTED_VALUE"""),"Predios Exentos")</f>
        <v>Predios Exentos</v>
      </c>
      <c r="N305" s="1"/>
      <c r="O305" s="1"/>
      <c r="P305" s="1"/>
      <c r="Q305" s="1"/>
      <c r="R305" s="1"/>
      <c r="S305" s="1"/>
      <c r="T305" s="1"/>
      <c r="U305" s="1"/>
      <c r="V305" s="1"/>
      <c r="W305" s="1"/>
      <c r="X305" s="1"/>
      <c r="Y305" s="1"/>
      <c r="Z305" s="1"/>
    </row>
    <row r="306" spans="1:26" ht="12.75" customHeight="1">
      <c r="A306" s="1"/>
      <c r="B306" s="10" t="str">
        <f ca="1">IFERROR(__xludf.DUMMYFUNCTION("""COMPUTED_VALUE"""),"Compensación Predios Exentos 2024")</f>
        <v>Compensación Predios Exentos 2024</v>
      </c>
      <c r="C306" s="26" t="str">
        <f t="shared" ca="1" si="0"/>
        <v xml:space="preserve"> SAN MIGUEL</v>
      </c>
      <c r="D306" s="10" t="str">
        <f ca="1">IFERROR(__xludf.DUMMYFUNCTION("""COMPUTED_VALUE"""),"Resolución de Transferencia")</f>
        <v>Resolución de Transferencia</v>
      </c>
      <c r="E306" s="26" t="str">
        <f ca="1">IFERROR(__xludf.DUMMYFUNCTION("""COMPUTED_VALUE"""),"MUNICIPALIDAD DE SAN MIGUEL")</f>
        <v>MUNICIPALIDAD DE SAN MIGUEL</v>
      </c>
      <c r="F306" s="11">
        <f ca="1">IFERROR(__xludf.DUMMYFUNCTION("""COMPUTED_VALUE"""),320971750)</f>
        <v>320971750</v>
      </c>
      <c r="G306" s="10" t="str">
        <f ca="1">IFERROR(__xludf.DUMMYFUNCTION("""COMPUTED_VALUE"""),"Resolución")</f>
        <v>Resolución</v>
      </c>
      <c r="H306" s="10" t="str">
        <f ca="1">IFERROR(__xludf.DUMMYFUNCTION("""COMPUTED_VALUE"""),"COMPENSACIÓN PREDIOS EXENTOS")</f>
        <v>COMPENSACIÓN PREDIOS EXENTOS</v>
      </c>
      <c r="I306" s="10" t="str">
        <f ca="1">IFERROR(__xludf.DUMMYFUNCTION("""COMPUTED_VALUE"""),"Cumplir con normativa y reglamentos internos del programa en base a los objetivos.")</f>
        <v>Cumplir con normativa y reglamentos internos del programa en base a los objetivos.</v>
      </c>
      <c r="J306" s="11">
        <f ca="1">IFERROR(__xludf.DUMMYFUNCTION("""COMPUTED_VALUE"""),320971750)</f>
        <v>320971750</v>
      </c>
      <c r="K306" s="27">
        <f ca="1">IFERROR(__xludf.DUMMYFUNCTION("""COMPUTED_VALUE"""),1)</f>
        <v>1</v>
      </c>
      <c r="L306" s="28" t="str">
        <f ca="1">IFERROR(__xludf.DUMMYFUNCTION("""COMPUTED_VALUE"""),"1/2024")</f>
        <v>1/2024</v>
      </c>
      <c r="M306" s="10" t="str">
        <f ca="1">IFERROR(__xludf.DUMMYFUNCTION("""COMPUTED_VALUE"""),"Predios Exentos")</f>
        <v>Predios Exentos</v>
      </c>
      <c r="N306" s="1"/>
      <c r="O306" s="1"/>
      <c r="P306" s="1"/>
      <c r="Q306" s="1"/>
      <c r="R306" s="1"/>
      <c r="S306" s="1"/>
      <c r="T306" s="1"/>
      <c r="U306" s="1"/>
      <c r="V306" s="1"/>
      <c r="W306" s="1"/>
      <c r="X306" s="1"/>
      <c r="Y306" s="1"/>
      <c r="Z306" s="1"/>
    </row>
    <row r="307" spans="1:26" ht="12.75" customHeight="1">
      <c r="A307" s="1"/>
      <c r="B307" s="10" t="str">
        <f ca="1">IFERROR(__xludf.DUMMYFUNCTION("""COMPUTED_VALUE"""),"Compensación Predios Exentos 2024")</f>
        <v>Compensación Predios Exentos 2024</v>
      </c>
      <c r="C307" s="26" t="str">
        <f t="shared" ca="1" si="0"/>
        <v xml:space="preserve"> LIMACHE</v>
      </c>
      <c r="D307" s="10" t="str">
        <f ca="1">IFERROR(__xludf.DUMMYFUNCTION("""COMPUTED_VALUE"""),"Resolución de Transferencia")</f>
        <v>Resolución de Transferencia</v>
      </c>
      <c r="E307" s="26" t="str">
        <f ca="1">IFERROR(__xludf.DUMMYFUNCTION("""COMPUTED_VALUE"""),"MUNICIPALIDAD DE LIMACHE")</f>
        <v>MUNICIPALIDAD DE LIMACHE</v>
      </c>
      <c r="F307" s="11">
        <f ca="1">IFERROR(__xludf.DUMMYFUNCTION("""COMPUTED_VALUE"""),167328237)</f>
        <v>167328237</v>
      </c>
      <c r="G307" s="10" t="str">
        <f ca="1">IFERROR(__xludf.DUMMYFUNCTION("""COMPUTED_VALUE"""),"Resolución")</f>
        <v>Resolución</v>
      </c>
      <c r="H307" s="10" t="str">
        <f ca="1">IFERROR(__xludf.DUMMYFUNCTION("""COMPUTED_VALUE"""),"COMPENSACIÓN PREDIOS EXENTOS")</f>
        <v>COMPENSACIÓN PREDIOS EXENTOS</v>
      </c>
      <c r="I307" s="10" t="str">
        <f ca="1">IFERROR(__xludf.DUMMYFUNCTION("""COMPUTED_VALUE"""),"Cumplir con normativa y reglamentos internos del programa en base a los objetivos.")</f>
        <v>Cumplir con normativa y reglamentos internos del programa en base a los objetivos.</v>
      </c>
      <c r="J307" s="11">
        <f ca="1">IFERROR(__xludf.DUMMYFUNCTION("""COMPUTED_VALUE"""),167328237)</f>
        <v>167328237</v>
      </c>
      <c r="K307" s="27">
        <f ca="1">IFERROR(__xludf.DUMMYFUNCTION("""COMPUTED_VALUE"""),1)</f>
        <v>1</v>
      </c>
      <c r="L307" s="28" t="str">
        <f ca="1">IFERROR(__xludf.DUMMYFUNCTION("""COMPUTED_VALUE"""),"1/2024")</f>
        <v>1/2024</v>
      </c>
      <c r="M307" s="10" t="str">
        <f ca="1">IFERROR(__xludf.DUMMYFUNCTION("""COMPUTED_VALUE"""),"Predios Exentos")</f>
        <v>Predios Exentos</v>
      </c>
      <c r="N307" s="1"/>
      <c r="O307" s="1"/>
      <c r="P307" s="1"/>
      <c r="Q307" s="1"/>
      <c r="R307" s="1"/>
      <c r="S307" s="1"/>
      <c r="T307" s="1"/>
      <c r="U307" s="1"/>
      <c r="V307" s="1"/>
      <c r="W307" s="1"/>
      <c r="X307" s="1"/>
      <c r="Y307" s="1"/>
      <c r="Z307" s="1"/>
    </row>
    <row r="308" spans="1:26" ht="12.75" customHeight="1">
      <c r="A308" s="1"/>
      <c r="B308" s="10" t="str">
        <f ca="1">IFERROR(__xludf.DUMMYFUNCTION("""COMPUTED_VALUE"""),"Compensación Predios Exentos 2024")</f>
        <v>Compensación Predios Exentos 2024</v>
      </c>
      <c r="C308" s="26" t="str">
        <f t="shared" ca="1" si="0"/>
        <v xml:space="preserve"> PAIGUANO</v>
      </c>
      <c r="D308" s="10" t="str">
        <f ca="1">IFERROR(__xludf.DUMMYFUNCTION("""COMPUTED_VALUE"""),"Resolución de Transferencia")</f>
        <v>Resolución de Transferencia</v>
      </c>
      <c r="E308" s="26" t="str">
        <f ca="1">IFERROR(__xludf.DUMMYFUNCTION("""COMPUTED_VALUE"""),"MUNICIPALIDAD DE PAIGUANO")</f>
        <v>MUNICIPALIDAD DE PAIGUANO</v>
      </c>
      <c r="F308" s="11">
        <f ca="1">IFERROR(__xludf.DUMMYFUNCTION("""COMPUTED_VALUE"""),26898618)</f>
        <v>26898618</v>
      </c>
      <c r="G308" s="10" t="str">
        <f ca="1">IFERROR(__xludf.DUMMYFUNCTION("""COMPUTED_VALUE"""),"Resolución")</f>
        <v>Resolución</v>
      </c>
      <c r="H308" s="10" t="str">
        <f ca="1">IFERROR(__xludf.DUMMYFUNCTION("""COMPUTED_VALUE"""),"COMPENSACIÓN PREDIOS EXENTOS")</f>
        <v>COMPENSACIÓN PREDIOS EXENTOS</v>
      </c>
      <c r="I308" s="10" t="str">
        <f ca="1">IFERROR(__xludf.DUMMYFUNCTION("""COMPUTED_VALUE"""),"Cumplir con normativa y reglamentos internos del programa en base a los objetivos.")</f>
        <v>Cumplir con normativa y reglamentos internos del programa en base a los objetivos.</v>
      </c>
      <c r="J308" s="11">
        <f ca="1">IFERROR(__xludf.DUMMYFUNCTION("""COMPUTED_VALUE"""),26898618)</f>
        <v>26898618</v>
      </c>
      <c r="K308" s="27">
        <f ca="1">IFERROR(__xludf.DUMMYFUNCTION("""COMPUTED_VALUE"""),1)</f>
        <v>1</v>
      </c>
      <c r="L308" s="28" t="str">
        <f ca="1">IFERROR(__xludf.DUMMYFUNCTION("""COMPUTED_VALUE"""),"1/2024")</f>
        <v>1/2024</v>
      </c>
      <c r="M308" s="10" t="str">
        <f ca="1">IFERROR(__xludf.DUMMYFUNCTION("""COMPUTED_VALUE"""),"Predios Exentos")</f>
        <v>Predios Exentos</v>
      </c>
      <c r="N308" s="1"/>
      <c r="O308" s="1"/>
      <c r="P308" s="1"/>
      <c r="Q308" s="1"/>
      <c r="R308" s="1"/>
      <c r="S308" s="1"/>
      <c r="T308" s="1"/>
      <c r="U308" s="1"/>
      <c r="V308" s="1"/>
      <c r="W308" s="1"/>
      <c r="X308" s="1"/>
      <c r="Y308" s="1"/>
      <c r="Z308" s="1"/>
    </row>
    <row r="309" spans="1:26" ht="12.75" customHeight="1">
      <c r="A309" s="1"/>
      <c r="B309" s="10" t="str">
        <f ca="1">IFERROR(__xludf.DUMMYFUNCTION("""COMPUTED_VALUE"""),"Compensación Predios Exentos 2024")</f>
        <v>Compensación Predios Exentos 2024</v>
      </c>
      <c r="C309" s="26" t="str">
        <f t="shared" ca="1" si="0"/>
        <v xml:space="preserve"> PORVENIR</v>
      </c>
      <c r="D309" s="10" t="str">
        <f ca="1">IFERROR(__xludf.DUMMYFUNCTION("""COMPUTED_VALUE"""),"Resolución de Transferencia")</f>
        <v>Resolución de Transferencia</v>
      </c>
      <c r="E309" s="26" t="str">
        <f ca="1">IFERROR(__xludf.DUMMYFUNCTION("""COMPUTED_VALUE"""),"MUNICIPALIDAD DE PORVENIR")</f>
        <v>MUNICIPALIDAD DE PORVENIR</v>
      </c>
      <c r="F309" s="11">
        <f ca="1">IFERROR(__xludf.DUMMYFUNCTION("""COMPUTED_VALUE"""),34022453)</f>
        <v>34022453</v>
      </c>
      <c r="G309" s="10" t="str">
        <f ca="1">IFERROR(__xludf.DUMMYFUNCTION("""COMPUTED_VALUE"""),"Resolución")</f>
        <v>Resolución</v>
      </c>
      <c r="H309" s="10" t="str">
        <f ca="1">IFERROR(__xludf.DUMMYFUNCTION("""COMPUTED_VALUE"""),"COMPENSACIÓN PREDIOS EXENTOS")</f>
        <v>COMPENSACIÓN PREDIOS EXENTOS</v>
      </c>
      <c r="I309" s="10" t="str">
        <f ca="1">IFERROR(__xludf.DUMMYFUNCTION("""COMPUTED_VALUE"""),"Cumplir con normativa y reglamentos internos del programa en base a los objetivos.")</f>
        <v>Cumplir con normativa y reglamentos internos del programa en base a los objetivos.</v>
      </c>
      <c r="J309" s="11">
        <f ca="1">IFERROR(__xludf.DUMMYFUNCTION("""COMPUTED_VALUE"""),34022453)</f>
        <v>34022453</v>
      </c>
      <c r="K309" s="27">
        <f ca="1">IFERROR(__xludf.DUMMYFUNCTION("""COMPUTED_VALUE"""),1)</f>
        <v>1</v>
      </c>
      <c r="L309" s="28" t="str">
        <f ca="1">IFERROR(__xludf.DUMMYFUNCTION("""COMPUTED_VALUE"""),"1/2024")</f>
        <v>1/2024</v>
      </c>
      <c r="M309" s="10" t="str">
        <f ca="1">IFERROR(__xludf.DUMMYFUNCTION("""COMPUTED_VALUE"""),"Predios Exentos")</f>
        <v>Predios Exentos</v>
      </c>
      <c r="N309" s="1"/>
      <c r="O309" s="1"/>
      <c r="P309" s="1"/>
      <c r="Q309" s="1"/>
      <c r="R309" s="1"/>
      <c r="S309" s="1"/>
      <c r="T309" s="1"/>
      <c r="U309" s="1"/>
      <c r="V309" s="1"/>
      <c r="W309" s="1"/>
      <c r="X309" s="1"/>
      <c r="Y309" s="1"/>
      <c r="Z309" s="1"/>
    </row>
    <row r="310" spans="1:26" ht="12.75" customHeight="1">
      <c r="A310" s="1"/>
      <c r="B310" s="10" t="str">
        <f ca="1">IFERROR(__xludf.DUMMYFUNCTION("""COMPUTED_VALUE"""),"Compensación Predios Exentos 2024")</f>
        <v>Compensación Predios Exentos 2024</v>
      </c>
      <c r="C310" s="26" t="str">
        <f t="shared" ca="1" si="0"/>
        <v xml:space="preserve"> PUNTA ARENAS</v>
      </c>
      <c r="D310" s="10" t="str">
        <f ca="1">IFERROR(__xludf.DUMMYFUNCTION("""COMPUTED_VALUE"""),"Resolución de Transferencia")</f>
        <v>Resolución de Transferencia</v>
      </c>
      <c r="E310" s="26" t="str">
        <f ca="1">IFERROR(__xludf.DUMMYFUNCTION("""COMPUTED_VALUE"""),"MUNICIPALIDAD DE PUNTA ARENAS")</f>
        <v>MUNICIPALIDAD DE PUNTA ARENAS</v>
      </c>
      <c r="F310" s="11">
        <f ca="1">IFERROR(__xludf.DUMMYFUNCTION("""COMPUTED_VALUE"""),356345275)</f>
        <v>356345275</v>
      </c>
      <c r="G310" s="10" t="str">
        <f ca="1">IFERROR(__xludf.DUMMYFUNCTION("""COMPUTED_VALUE"""),"Resolución")</f>
        <v>Resolución</v>
      </c>
      <c r="H310" s="10" t="str">
        <f ca="1">IFERROR(__xludf.DUMMYFUNCTION("""COMPUTED_VALUE"""),"COMPENSACIÓN PREDIOS EXENTOS")</f>
        <v>COMPENSACIÓN PREDIOS EXENTOS</v>
      </c>
      <c r="I310" s="10" t="str">
        <f ca="1">IFERROR(__xludf.DUMMYFUNCTION("""COMPUTED_VALUE"""),"Cumplir con normativa y reglamentos internos del programa en base a los objetivos.")</f>
        <v>Cumplir con normativa y reglamentos internos del programa en base a los objetivos.</v>
      </c>
      <c r="J310" s="11">
        <f ca="1">IFERROR(__xludf.DUMMYFUNCTION("""COMPUTED_VALUE"""),356345275)</f>
        <v>356345275</v>
      </c>
      <c r="K310" s="27">
        <f ca="1">IFERROR(__xludf.DUMMYFUNCTION("""COMPUTED_VALUE"""),1)</f>
        <v>1</v>
      </c>
      <c r="L310" s="28" t="str">
        <f ca="1">IFERROR(__xludf.DUMMYFUNCTION("""COMPUTED_VALUE"""),"1/2024")</f>
        <v>1/2024</v>
      </c>
      <c r="M310" s="10" t="str">
        <f ca="1">IFERROR(__xludf.DUMMYFUNCTION("""COMPUTED_VALUE"""),"Predios Exentos")</f>
        <v>Predios Exentos</v>
      </c>
      <c r="N310" s="1"/>
      <c r="O310" s="1"/>
      <c r="P310" s="1"/>
      <c r="Q310" s="1"/>
      <c r="R310" s="1"/>
      <c r="S310" s="1"/>
      <c r="T310" s="1"/>
      <c r="U310" s="1"/>
      <c r="V310" s="1"/>
      <c r="W310" s="1"/>
      <c r="X310" s="1"/>
      <c r="Y310" s="1"/>
      <c r="Z310" s="1"/>
    </row>
    <row r="311" spans="1:26" ht="12.75" customHeight="1">
      <c r="A311" s="1"/>
      <c r="B311" s="10" t="str">
        <f ca="1">IFERROR(__xludf.DUMMYFUNCTION("""COMPUTED_VALUE"""),"Compensación Predios Exentos 2024")</f>
        <v>Compensación Predios Exentos 2024</v>
      </c>
      <c r="C311" s="26" t="str">
        <f t="shared" ca="1" si="0"/>
        <v xml:space="preserve"> COYHAIQUE</v>
      </c>
      <c r="D311" s="10" t="str">
        <f ca="1">IFERROR(__xludf.DUMMYFUNCTION("""COMPUTED_VALUE"""),"Resolución de Transferencia")</f>
        <v>Resolución de Transferencia</v>
      </c>
      <c r="E311" s="26" t="str">
        <f ca="1">IFERROR(__xludf.DUMMYFUNCTION("""COMPUTED_VALUE"""),"MUNICIPALIDAD DE COYHAIQUE")</f>
        <v>MUNICIPALIDAD DE COYHAIQUE</v>
      </c>
      <c r="F311" s="11">
        <f ca="1">IFERROR(__xludf.DUMMYFUNCTION("""COMPUTED_VALUE"""),200572799)</f>
        <v>200572799</v>
      </c>
      <c r="G311" s="10" t="str">
        <f ca="1">IFERROR(__xludf.DUMMYFUNCTION("""COMPUTED_VALUE"""),"Resolución")</f>
        <v>Resolución</v>
      </c>
      <c r="H311" s="10" t="str">
        <f ca="1">IFERROR(__xludf.DUMMYFUNCTION("""COMPUTED_VALUE"""),"COMPENSACIÓN PREDIOS EXENTOS")</f>
        <v>COMPENSACIÓN PREDIOS EXENTOS</v>
      </c>
      <c r="I311" s="10" t="str">
        <f ca="1">IFERROR(__xludf.DUMMYFUNCTION("""COMPUTED_VALUE"""),"Cumplir con normativa y reglamentos internos del programa en base a los objetivos.")</f>
        <v>Cumplir con normativa y reglamentos internos del programa en base a los objetivos.</v>
      </c>
      <c r="J311" s="11">
        <f ca="1">IFERROR(__xludf.DUMMYFUNCTION("""COMPUTED_VALUE"""),200572799)</f>
        <v>200572799</v>
      </c>
      <c r="K311" s="27">
        <f ca="1">IFERROR(__xludf.DUMMYFUNCTION("""COMPUTED_VALUE"""),1)</f>
        <v>1</v>
      </c>
      <c r="L311" s="28" t="str">
        <f ca="1">IFERROR(__xludf.DUMMYFUNCTION("""COMPUTED_VALUE"""),"1/2024")</f>
        <v>1/2024</v>
      </c>
      <c r="M311" s="10" t="str">
        <f ca="1">IFERROR(__xludf.DUMMYFUNCTION("""COMPUTED_VALUE"""),"Predios Exentos")</f>
        <v>Predios Exentos</v>
      </c>
      <c r="N311" s="1"/>
      <c r="O311" s="1"/>
      <c r="P311" s="1"/>
      <c r="Q311" s="1"/>
      <c r="R311" s="1"/>
      <c r="S311" s="1"/>
      <c r="T311" s="1"/>
      <c r="U311" s="1"/>
      <c r="V311" s="1"/>
      <c r="W311" s="1"/>
      <c r="X311" s="1"/>
      <c r="Y311" s="1"/>
      <c r="Z311" s="1"/>
    </row>
    <row r="312" spans="1:26" ht="12.75" customHeight="1">
      <c r="A312" s="1"/>
      <c r="B312" s="10" t="str">
        <f ca="1">IFERROR(__xludf.DUMMYFUNCTION("""COMPUTED_VALUE"""),"Compensación Predios Exentos 2024")</f>
        <v>Compensación Predios Exentos 2024</v>
      </c>
      <c r="C312" s="26" t="str">
        <f t="shared" ca="1" si="0"/>
        <v xml:space="preserve"> AYSÉN</v>
      </c>
      <c r="D312" s="10" t="str">
        <f ca="1">IFERROR(__xludf.DUMMYFUNCTION("""COMPUTED_VALUE"""),"Resolución de Transferencia")</f>
        <v>Resolución de Transferencia</v>
      </c>
      <c r="E312" s="26" t="str">
        <f ca="1">IFERROR(__xludf.DUMMYFUNCTION("""COMPUTED_VALUE"""),"MUNICIPALIDAD DE AYSÉN")</f>
        <v>MUNICIPALIDAD DE AYSÉN</v>
      </c>
      <c r="F312" s="11">
        <f ca="1">IFERROR(__xludf.DUMMYFUNCTION("""COMPUTED_VALUE"""),101606766)</f>
        <v>101606766</v>
      </c>
      <c r="G312" s="10" t="str">
        <f ca="1">IFERROR(__xludf.DUMMYFUNCTION("""COMPUTED_VALUE"""),"Resolución")</f>
        <v>Resolución</v>
      </c>
      <c r="H312" s="10" t="str">
        <f ca="1">IFERROR(__xludf.DUMMYFUNCTION("""COMPUTED_VALUE"""),"COMPENSACIÓN PREDIOS EXENTOS")</f>
        <v>COMPENSACIÓN PREDIOS EXENTOS</v>
      </c>
      <c r="I312" s="10" t="str">
        <f ca="1">IFERROR(__xludf.DUMMYFUNCTION("""COMPUTED_VALUE"""),"Cumplir con normativa y reglamentos internos del programa en base a los objetivos.")</f>
        <v>Cumplir con normativa y reglamentos internos del programa en base a los objetivos.</v>
      </c>
      <c r="J312" s="11">
        <f ca="1">IFERROR(__xludf.DUMMYFUNCTION("""COMPUTED_VALUE"""),101606766)</f>
        <v>101606766</v>
      </c>
      <c r="K312" s="27">
        <f ca="1">IFERROR(__xludf.DUMMYFUNCTION("""COMPUTED_VALUE"""),1)</f>
        <v>1</v>
      </c>
      <c r="L312" s="28" t="str">
        <f ca="1">IFERROR(__xludf.DUMMYFUNCTION("""COMPUTED_VALUE"""),"1/2024")</f>
        <v>1/2024</v>
      </c>
      <c r="M312" s="10" t="str">
        <f ca="1">IFERROR(__xludf.DUMMYFUNCTION("""COMPUTED_VALUE"""),"Predios Exentos")</f>
        <v>Predios Exentos</v>
      </c>
      <c r="N312" s="1"/>
      <c r="O312" s="1"/>
      <c r="P312" s="1"/>
      <c r="Q312" s="1"/>
      <c r="R312" s="1"/>
      <c r="S312" s="1"/>
      <c r="T312" s="1"/>
      <c r="U312" s="1"/>
      <c r="V312" s="1"/>
      <c r="W312" s="1"/>
      <c r="X312" s="1"/>
      <c r="Y312" s="1"/>
      <c r="Z312" s="1"/>
    </row>
    <row r="313" spans="1:26" ht="12.75" customHeight="1">
      <c r="A313" s="1"/>
      <c r="B313" s="10" t="str">
        <f ca="1">IFERROR(__xludf.DUMMYFUNCTION("""COMPUTED_VALUE"""),"Compensación Predios Exentos 2024")</f>
        <v>Compensación Predios Exentos 2024</v>
      </c>
      <c r="C313" s="26" t="str">
        <f t="shared" ca="1" si="0"/>
        <v xml:space="preserve"> OSORNO</v>
      </c>
      <c r="D313" s="10" t="str">
        <f ca="1">IFERROR(__xludf.DUMMYFUNCTION("""COMPUTED_VALUE"""),"Resolución de Transferencia")</f>
        <v>Resolución de Transferencia</v>
      </c>
      <c r="E313" s="26" t="str">
        <f ca="1">IFERROR(__xludf.DUMMYFUNCTION("""COMPUTED_VALUE"""),"MUNICIPALIDAD DE OSORNO")</f>
        <v>MUNICIPALIDAD DE OSORNO</v>
      </c>
      <c r="F313" s="11">
        <f ca="1">IFERROR(__xludf.DUMMYFUNCTION("""COMPUTED_VALUE"""),497051250)</f>
        <v>497051250</v>
      </c>
      <c r="G313" s="10" t="str">
        <f ca="1">IFERROR(__xludf.DUMMYFUNCTION("""COMPUTED_VALUE"""),"Resolución")</f>
        <v>Resolución</v>
      </c>
      <c r="H313" s="10" t="str">
        <f ca="1">IFERROR(__xludf.DUMMYFUNCTION("""COMPUTED_VALUE"""),"COMPENSACIÓN PREDIOS EXENTOS")</f>
        <v>COMPENSACIÓN PREDIOS EXENTOS</v>
      </c>
      <c r="I313" s="10" t="str">
        <f ca="1">IFERROR(__xludf.DUMMYFUNCTION("""COMPUTED_VALUE"""),"Cumplir con normativa y reglamentos internos del programa en base a los objetivos.")</f>
        <v>Cumplir con normativa y reglamentos internos del programa en base a los objetivos.</v>
      </c>
      <c r="J313" s="11">
        <f ca="1">IFERROR(__xludf.DUMMYFUNCTION("""COMPUTED_VALUE"""),497051250)</f>
        <v>497051250</v>
      </c>
      <c r="K313" s="27">
        <f ca="1">IFERROR(__xludf.DUMMYFUNCTION("""COMPUTED_VALUE"""),1)</f>
        <v>1</v>
      </c>
      <c r="L313" s="28" t="str">
        <f ca="1">IFERROR(__xludf.DUMMYFUNCTION("""COMPUTED_VALUE"""),"1/2024")</f>
        <v>1/2024</v>
      </c>
      <c r="M313" s="10" t="str">
        <f ca="1">IFERROR(__xludf.DUMMYFUNCTION("""COMPUTED_VALUE"""),"Predios Exentos")</f>
        <v>Predios Exentos</v>
      </c>
      <c r="N313" s="1"/>
      <c r="O313" s="1"/>
      <c r="P313" s="1"/>
      <c r="Q313" s="1"/>
      <c r="R313" s="1"/>
      <c r="S313" s="1"/>
      <c r="T313" s="1"/>
      <c r="U313" s="1"/>
      <c r="V313" s="1"/>
      <c r="W313" s="1"/>
      <c r="X313" s="1"/>
      <c r="Y313" s="1"/>
      <c r="Z313" s="1"/>
    </row>
    <row r="314" spans="1:26" ht="12.75" customHeight="1">
      <c r="A314" s="1"/>
      <c r="B314" s="10" t="str">
        <f ca="1">IFERROR(__xludf.DUMMYFUNCTION("""COMPUTED_VALUE"""),"Compensación Predios Exentos 2024")</f>
        <v>Compensación Predios Exentos 2024</v>
      </c>
      <c r="C314" s="26" t="str">
        <f t="shared" ca="1" si="0"/>
        <v xml:space="preserve"> LAGO RANCO</v>
      </c>
      <c r="D314" s="10" t="str">
        <f ca="1">IFERROR(__xludf.DUMMYFUNCTION("""COMPUTED_VALUE"""),"Resolución de Transferencia")</f>
        <v>Resolución de Transferencia</v>
      </c>
      <c r="E314" s="26" t="str">
        <f ca="1">IFERROR(__xludf.DUMMYFUNCTION("""COMPUTED_VALUE"""),"MUNICIPALIDAD DE LAGO RANCO")</f>
        <v>MUNICIPALIDAD DE LAGO RANCO</v>
      </c>
      <c r="F314" s="11">
        <f ca="1">IFERROR(__xludf.DUMMYFUNCTION("""COMPUTED_VALUE"""),41350996)</f>
        <v>41350996</v>
      </c>
      <c r="G314" s="10" t="str">
        <f ca="1">IFERROR(__xludf.DUMMYFUNCTION("""COMPUTED_VALUE"""),"Resolución")</f>
        <v>Resolución</v>
      </c>
      <c r="H314" s="10" t="str">
        <f ca="1">IFERROR(__xludf.DUMMYFUNCTION("""COMPUTED_VALUE"""),"COMPENSACIÓN PREDIOS EXENTOS")</f>
        <v>COMPENSACIÓN PREDIOS EXENTOS</v>
      </c>
      <c r="I314" s="10" t="str">
        <f ca="1">IFERROR(__xludf.DUMMYFUNCTION("""COMPUTED_VALUE"""),"Cumplir con normativa y reglamentos internos del programa en base a los objetivos.")</f>
        <v>Cumplir con normativa y reglamentos internos del programa en base a los objetivos.</v>
      </c>
      <c r="J314" s="11">
        <f ca="1">IFERROR(__xludf.DUMMYFUNCTION("""COMPUTED_VALUE"""),41350996)</f>
        <v>41350996</v>
      </c>
      <c r="K314" s="27">
        <f ca="1">IFERROR(__xludf.DUMMYFUNCTION("""COMPUTED_VALUE"""),1)</f>
        <v>1</v>
      </c>
      <c r="L314" s="28" t="str">
        <f ca="1">IFERROR(__xludf.DUMMYFUNCTION("""COMPUTED_VALUE"""),"1/2024")</f>
        <v>1/2024</v>
      </c>
      <c r="M314" s="10" t="str">
        <f ca="1">IFERROR(__xludf.DUMMYFUNCTION("""COMPUTED_VALUE"""),"Predios Exentos")</f>
        <v>Predios Exentos</v>
      </c>
      <c r="N314" s="1"/>
      <c r="O314" s="1"/>
      <c r="P314" s="1"/>
      <c r="Q314" s="1"/>
      <c r="R314" s="1"/>
      <c r="S314" s="1"/>
      <c r="T314" s="1"/>
      <c r="U314" s="1"/>
      <c r="V314" s="1"/>
      <c r="W314" s="1"/>
      <c r="X314" s="1"/>
      <c r="Y314" s="1"/>
      <c r="Z314" s="1"/>
    </row>
    <row r="315" spans="1:26" ht="12.75" customHeight="1">
      <c r="A315" s="1"/>
      <c r="B315" s="10" t="str">
        <f ca="1">IFERROR(__xludf.DUMMYFUNCTION("""COMPUTED_VALUE"""),"Compensación Predios Exentos 2024")</f>
        <v>Compensación Predios Exentos 2024</v>
      </c>
      <c r="C315" s="26" t="str">
        <f t="shared" ca="1" si="0"/>
        <v xml:space="preserve"> PUCÓN</v>
      </c>
      <c r="D315" s="10" t="str">
        <f ca="1">IFERROR(__xludf.DUMMYFUNCTION("""COMPUTED_VALUE"""),"Resolución de Transferencia")</f>
        <v>Resolución de Transferencia</v>
      </c>
      <c r="E315" s="26" t="str">
        <f ca="1">IFERROR(__xludf.DUMMYFUNCTION("""COMPUTED_VALUE"""),"MUNICIPALIDAD DE PUCÓN")</f>
        <v>MUNICIPALIDAD DE PUCÓN</v>
      </c>
      <c r="F315" s="11">
        <f ca="1">IFERROR(__xludf.DUMMYFUNCTION("""COMPUTED_VALUE"""),110132850)</f>
        <v>110132850</v>
      </c>
      <c r="G315" s="10" t="str">
        <f ca="1">IFERROR(__xludf.DUMMYFUNCTION("""COMPUTED_VALUE"""),"Resolución")</f>
        <v>Resolución</v>
      </c>
      <c r="H315" s="10" t="str">
        <f ca="1">IFERROR(__xludf.DUMMYFUNCTION("""COMPUTED_VALUE"""),"COMPENSACIÓN PREDIOS EXENTOS")</f>
        <v>COMPENSACIÓN PREDIOS EXENTOS</v>
      </c>
      <c r="I315" s="10" t="str">
        <f ca="1">IFERROR(__xludf.DUMMYFUNCTION("""COMPUTED_VALUE"""),"Cumplir con normativa y reglamentos internos del programa en base a los objetivos.")</f>
        <v>Cumplir con normativa y reglamentos internos del programa en base a los objetivos.</v>
      </c>
      <c r="J315" s="11">
        <f ca="1">IFERROR(__xludf.DUMMYFUNCTION("""COMPUTED_VALUE"""),110132850)</f>
        <v>110132850</v>
      </c>
      <c r="K315" s="27">
        <f ca="1">IFERROR(__xludf.DUMMYFUNCTION("""COMPUTED_VALUE"""),1)</f>
        <v>1</v>
      </c>
      <c r="L315" s="28" t="str">
        <f ca="1">IFERROR(__xludf.DUMMYFUNCTION("""COMPUTED_VALUE"""),"1/2024")</f>
        <v>1/2024</v>
      </c>
      <c r="M315" s="10" t="str">
        <f ca="1">IFERROR(__xludf.DUMMYFUNCTION("""COMPUTED_VALUE"""),"Predios Exentos")</f>
        <v>Predios Exentos</v>
      </c>
      <c r="N315" s="1"/>
      <c r="O315" s="1"/>
      <c r="P315" s="1"/>
      <c r="Q315" s="1"/>
      <c r="R315" s="1"/>
      <c r="S315" s="1"/>
      <c r="T315" s="1"/>
      <c r="U315" s="1"/>
      <c r="V315" s="1"/>
      <c r="W315" s="1"/>
      <c r="X315" s="1"/>
      <c r="Y315" s="1"/>
      <c r="Z315" s="1"/>
    </row>
    <row r="316" spans="1:26" ht="12.75" customHeight="1">
      <c r="A316" s="1"/>
      <c r="B316" s="10" t="str">
        <f ca="1">IFERROR(__xludf.DUMMYFUNCTION("""COMPUTED_VALUE"""),"Compensación Predios Exentos 2024")</f>
        <v>Compensación Predios Exentos 2024</v>
      </c>
      <c r="C316" s="26" t="str">
        <f t="shared" ca="1" si="0"/>
        <v xml:space="preserve"> SAAVEDRA</v>
      </c>
      <c r="D316" s="10" t="str">
        <f ca="1">IFERROR(__xludf.DUMMYFUNCTION("""COMPUTED_VALUE"""),"Resolución de Transferencia")</f>
        <v>Resolución de Transferencia</v>
      </c>
      <c r="E316" s="26" t="str">
        <f ca="1">IFERROR(__xludf.DUMMYFUNCTION("""COMPUTED_VALUE"""),"MUNICIPALIDAD DE SAAVEDRA")</f>
        <v>MUNICIPALIDAD DE SAAVEDRA</v>
      </c>
      <c r="F316" s="11">
        <f ca="1">IFERROR(__xludf.DUMMYFUNCTION("""COMPUTED_VALUE"""),69692804)</f>
        <v>69692804</v>
      </c>
      <c r="G316" s="10" t="str">
        <f ca="1">IFERROR(__xludf.DUMMYFUNCTION("""COMPUTED_VALUE"""),"Resolución")</f>
        <v>Resolución</v>
      </c>
      <c r="H316" s="10" t="str">
        <f ca="1">IFERROR(__xludf.DUMMYFUNCTION("""COMPUTED_VALUE"""),"COMPENSACIÓN PREDIOS EXENTOS")</f>
        <v>COMPENSACIÓN PREDIOS EXENTOS</v>
      </c>
      <c r="I316" s="10" t="str">
        <f ca="1">IFERROR(__xludf.DUMMYFUNCTION("""COMPUTED_VALUE"""),"Cumplir con normativa y reglamentos internos del programa en base a los objetivos.")</f>
        <v>Cumplir con normativa y reglamentos internos del programa en base a los objetivos.</v>
      </c>
      <c r="J316" s="11">
        <f ca="1">IFERROR(__xludf.DUMMYFUNCTION("""COMPUTED_VALUE"""),69692804)</f>
        <v>69692804</v>
      </c>
      <c r="K316" s="27">
        <f ca="1">IFERROR(__xludf.DUMMYFUNCTION("""COMPUTED_VALUE"""),1)</f>
        <v>1</v>
      </c>
      <c r="L316" s="28" t="str">
        <f ca="1">IFERROR(__xludf.DUMMYFUNCTION("""COMPUTED_VALUE"""),"1/2024")</f>
        <v>1/2024</v>
      </c>
      <c r="M316" s="10" t="str">
        <f ca="1">IFERROR(__xludf.DUMMYFUNCTION("""COMPUTED_VALUE"""),"Predios Exentos")</f>
        <v>Predios Exentos</v>
      </c>
      <c r="N316" s="1"/>
      <c r="O316" s="1"/>
      <c r="P316" s="1"/>
      <c r="Q316" s="1"/>
      <c r="R316" s="1"/>
      <c r="S316" s="1"/>
      <c r="T316" s="1"/>
      <c r="U316" s="1"/>
      <c r="V316" s="1"/>
      <c r="W316" s="1"/>
      <c r="X316" s="1"/>
      <c r="Y316" s="1"/>
      <c r="Z316" s="1"/>
    </row>
    <row r="317" spans="1:26" ht="12.75" customHeight="1">
      <c r="A317" s="1"/>
      <c r="B317" s="10" t="str">
        <f ca="1">IFERROR(__xludf.DUMMYFUNCTION("""COMPUTED_VALUE"""),"Compensación Predios Exentos 2024")</f>
        <v>Compensación Predios Exentos 2024</v>
      </c>
      <c r="C317" s="26" t="str">
        <f t="shared" ca="1" si="0"/>
        <v xml:space="preserve"> CARAHUE</v>
      </c>
      <c r="D317" s="10" t="str">
        <f ca="1">IFERROR(__xludf.DUMMYFUNCTION("""COMPUTED_VALUE"""),"Resolución de Transferencia")</f>
        <v>Resolución de Transferencia</v>
      </c>
      <c r="E317" s="26" t="str">
        <f ca="1">IFERROR(__xludf.DUMMYFUNCTION("""COMPUTED_VALUE"""),"MUNICIPALIDAD DE CARAHUE")</f>
        <v>MUNICIPALIDAD DE CARAHUE</v>
      </c>
      <c r="F317" s="11">
        <f ca="1">IFERROR(__xludf.DUMMYFUNCTION("""COMPUTED_VALUE"""),140992565)</f>
        <v>140992565</v>
      </c>
      <c r="G317" s="10" t="str">
        <f ca="1">IFERROR(__xludf.DUMMYFUNCTION("""COMPUTED_VALUE"""),"Resolución")</f>
        <v>Resolución</v>
      </c>
      <c r="H317" s="10" t="str">
        <f ca="1">IFERROR(__xludf.DUMMYFUNCTION("""COMPUTED_VALUE"""),"COMPENSACIÓN PREDIOS EXENTOS")</f>
        <v>COMPENSACIÓN PREDIOS EXENTOS</v>
      </c>
      <c r="I317" s="10" t="str">
        <f ca="1">IFERROR(__xludf.DUMMYFUNCTION("""COMPUTED_VALUE"""),"Cumplir con normativa y reglamentos internos del programa en base a los objetivos.")</f>
        <v>Cumplir con normativa y reglamentos internos del programa en base a los objetivos.</v>
      </c>
      <c r="J317" s="11">
        <f ca="1">IFERROR(__xludf.DUMMYFUNCTION("""COMPUTED_VALUE"""),140992565)</f>
        <v>140992565</v>
      </c>
      <c r="K317" s="27">
        <f ca="1">IFERROR(__xludf.DUMMYFUNCTION("""COMPUTED_VALUE"""),1)</f>
        <v>1</v>
      </c>
      <c r="L317" s="28" t="str">
        <f ca="1">IFERROR(__xludf.DUMMYFUNCTION("""COMPUTED_VALUE"""),"1/2024")</f>
        <v>1/2024</v>
      </c>
      <c r="M317" s="10" t="str">
        <f ca="1">IFERROR(__xludf.DUMMYFUNCTION("""COMPUTED_VALUE"""),"Predios Exentos")</f>
        <v>Predios Exentos</v>
      </c>
      <c r="N317" s="1"/>
      <c r="O317" s="1"/>
      <c r="P317" s="1"/>
      <c r="Q317" s="1"/>
      <c r="R317" s="1"/>
      <c r="S317" s="1"/>
      <c r="T317" s="1"/>
      <c r="U317" s="1"/>
      <c r="V317" s="1"/>
      <c r="W317" s="1"/>
      <c r="X317" s="1"/>
      <c r="Y317" s="1"/>
      <c r="Z317" s="1"/>
    </row>
    <row r="318" spans="1:26" ht="12.75" customHeight="1">
      <c r="A318" s="1"/>
      <c r="B318" s="10" t="str">
        <f ca="1">IFERROR(__xludf.DUMMYFUNCTION("""COMPUTED_VALUE"""),"Compensación Predios Exentos 2024")</f>
        <v>Compensación Predios Exentos 2024</v>
      </c>
      <c r="C318" s="26" t="str">
        <f t="shared" ca="1" si="0"/>
        <v xml:space="preserve"> ERCILLA</v>
      </c>
      <c r="D318" s="10" t="str">
        <f ca="1">IFERROR(__xludf.DUMMYFUNCTION("""COMPUTED_VALUE"""),"Resolución de Transferencia")</f>
        <v>Resolución de Transferencia</v>
      </c>
      <c r="E318" s="26" t="str">
        <f ca="1">IFERROR(__xludf.DUMMYFUNCTION("""COMPUTED_VALUE"""),"MUNICIPALIDAD DE ERCILLA")</f>
        <v>MUNICIPALIDAD DE ERCILLA</v>
      </c>
      <c r="F318" s="11">
        <f ca="1">IFERROR(__xludf.DUMMYFUNCTION("""COMPUTED_VALUE"""),37901667)</f>
        <v>37901667</v>
      </c>
      <c r="G318" s="10" t="str">
        <f ca="1">IFERROR(__xludf.DUMMYFUNCTION("""COMPUTED_VALUE"""),"Resolución")</f>
        <v>Resolución</v>
      </c>
      <c r="H318" s="10" t="str">
        <f ca="1">IFERROR(__xludf.DUMMYFUNCTION("""COMPUTED_VALUE"""),"COMPENSACIÓN PREDIOS EXENTOS")</f>
        <v>COMPENSACIÓN PREDIOS EXENTOS</v>
      </c>
      <c r="I318" s="10" t="str">
        <f ca="1">IFERROR(__xludf.DUMMYFUNCTION("""COMPUTED_VALUE"""),"Cumplir con normativa y reglamentos internos del programa en base a los objetivos.")</f>
        <v>Cumplir con normativa y reglamentos internos del programa en base a los objetivos.</v>
      </c>
      <c r="J318" s="11">
        <f ca="1">IFERROR(__xludf.DUMMYFUNCTION("""COMPUTED_VALUE"""),37901667)</f>
        <v>37901667</v>
      </c>
      <c r="K318" s="27">
        <f ca="1">IFERROR(__xludf.DUMMYFUNCTION("""COMPUTED_VALUE"""),1)</f>
        <v>1</v>
      </c>
      <c r="L318" s="28" t="str">
        <f ca="1">IFERROR(__xludf.DUMMYFUNCTION("""COMPUTED_VALUE"""),"1/2024")</f>
        <v>1/2024</v>
      </c>
      <c r="M318" s="10" t="str">
        <f ca="1">IFERROR(__xludf.DUMMYFUNCTION("""COMPUTED_VALUE"""),"Predios Exentos")</f>
        <v>Predios Exentos</v>
      </c>
      <c r="N318" s="1"/>
      <c r="O318" s="1"/>
      <c r="P318" s="1"/>
      <c r="Q318" s="1"/>
      <c r="R318" s="1"/>
      <c r="S318" s="1"/>
      <c r="T318" s="1"/>
      <c r="U318" s="1"/>
      <c r="V318" s="1"/>
      <c r="W318" s="1"/>
      <c r="X318" s="1"/>
      <c r="Y318" s="1"/>
      <c r="Z318" s="1"/>
    </row>
    <row r="319" spans="1:26" ht="12.75" customHeight="1">
      <c r="A319" s="1"/>
      <c r="B319" s="10" t="str">
        <f ca="1">IFERROR(__xludf.DUMMYFUNCTION("""COMPUTED_VALUE"""),"Compensación Predios Exentos 2024")</f>
        <v>Compensación Predios Exentos 2024</v>
      </c>
      <c r="C319" s="26" t="str">
        <f t="shared" ca="1" si="0"/>
        <v xml:space="preserve"> COLLIPULLI</v>
      </c>
      <c r="D319" s="10" t="str">
        <f ca="1">IFERROR(__xludf.DUMMYFUNCTION("""COMPUTED_VALUE"""),"Resolución de Transferencia")</f>
        <v>Resolución de Transferencia</v>
      </c>
      <c r="E319" s="26" t="str">
        <f ca="1">IFERROR(__xludf.DUMMYFUNCTION("""COMPUTED_VALUE"""),"MUNICIPALIDAD DE COLLIPULLI")</f>
        <v>MUNICIPALIDAD DE COLLIPULLI</v>
      </c>
      <c r="F319" s="11">
        <f ca="1">IFERROR(__xludf.DUMMYFUNCTION("""COMPUTED_VALUE"""),97113427)</f>
        <v>97113427</v>
      </c>
      <c r="G319" s="10" t="str">
        <f ca="1">IFERROR(__xludf.DUMMYFUNCTION("""COMPUTED_VALUE"""),"Resolución")</f>
        <v>Resolución</v>
      </c>
      <c r="H319" s="10" t="str">
        <f ca="1">IFERROR(__xludf.DUMMYFUNCTION("""COMPUTED_VALUE"""),"COMPENSACIÓN PREDIOS EXENTOS")</f>
        <v>COMPENSACIÓN PREDIOS EXENTOS</v>
      </c>
      <c r="I319" s="10" t="str">
        <f ca="1">IFERROR(__xludf.DUMMYFUNCTION("""COMPUTED_VALUE"""),"Cumplir con normativa y reglamentos internos del programa en base a los objetivos.")</f>
        <v>Cumplir con normativa y reglamentos internos del programa en base a los objetivos.</v>
      </c>
      <c r="J319" s="11">
        <f ca="1">IFERROR(__xludf.DUMMYFUNCTION("""COMPUTED_VALUE"""),97113427)</f>
        <v>97113427</v>
      </c>
      <c r="K319" s="27">
        <f ca="1">IFERROR(__xludf.DUMMYFUNCTION("""COMPUTED_VALUE"""),1)</f>
        <v>1</v>
      </c>
      <c r="L319" s="28" t="str">
        <f ca="1">IFERROR(__xludf.DUMMYFUNCTION("""COMPUTED_VALUE"""),"1/2024")</f>
        <v>1/2024</v>
      </c>
      <c r="M319" s="10" t="str">
        <f ca="1">IFERROR(__xludf.DUMMYFUNCTION("""COMPUTED_VALUE"""),"Predios Exentos")</f>
        <v>Predios Exentos</v>
      </c>
      <c r="N319" s="1"/>
      <c r="O319" s="1"/>
      <c r="P319" s="1"/>
      <c r="Q319" s="1"/>
      <c r="R319" s="1"/>
      <c r="S319" s="1"/>
      <c r="T319" s="1"/>
      <c r="U319" s="1"/>
      <c r="V319" s="1"/>
      <c r="W319" s="1"/>
      <c r="X319" s="1"/>
      <c r="Y319" s="1"/>
      <c r="Z319" s="1"/>
    </row>
    <row r="320" spans="1:26" ht="12.75" customHeight="1">
      <c r="A320" s="1"/>
      <c r="B320" s="10" t="str">
        <f ca="1">IFERROR(__xludf.DUMMYFUNCTION("""COMPUTED_VALUE"""),"Compensación Predios Exentos 2024")</f>
        <v>Compensación Predios Exentos 2024</v>
      </c>
      <c r="C320" s="26" t="str">
        <f t="shared" ca="1" si="0"/>
        <v xml:space="preserve"> CAÑETE</v>
      </c>
      <c r="D320" s="10" t="str">
        <f ca="1">IFERROR(__xludf.DUMMYFUNCTION("""COMPUTED_VALUE"""),"Resolución de Transferencia")</f>
        <v>Resolución de Transferencia</v>
      </c>
      <c r="E320" s="26" t="str">
        <f ca="1">IFERROR(__xludf.DUMMYFUNCTION("""COMPUTED_VALUE"""),"MUNICIPALIDAD DE CAÑETE")</f>
        <v>MUNICIPALIDAD DE CAÑETE</v>
      </c>
      <c r="F320" s="11">
        <f ca="1">IFERROR(__xludf.DUMMYFUNCTION("""COMPUTED_VALUE"""),139365138)</f>
        <v>139365138</v>
      </c>
      <c r="G320" s="10" t="str">
        <f ca="1">IFERROR(__xludf.DUMMYFUNCTION("""COMPUTED_VALUE"""),"Resolución")</f>
        <v>Resolución</v>
      </c>
      <c r="H320" s="10" t="str">
        <f ca="1">IFERROR(__xludf.DUMMYFUNCTION("""COMPUTED_VALUE"""),"COMPENSACIÓN PREDIOS EXENTOS")</f>
        <v>COMPENSACIÓN PREDIOS EXENTOS</v>
      </c>
      <c r="I320" s="10" t="str">
        <f ca="1">IFERROR(__xludf.DUMMYFUNCTION("""COMPUTED_VALUE"""),"Cumplir con normativa y reglamentos internos del programa en base a los objetivos.")</f>
        <v>Cumplir con normativa y reglamentos internos del programa en base a los objetivos.</v>
      </c>
      <c r="J320" s="11">
        <f ca="1">IFERROR(__xludf.DUMMYFUNCTION("""COMPUTED_VALUE"""),139365138)</f>
        <v>139365138</v>
      </c>
      <c r="K320" s="27">
        <f ca="1">IFERROR(__xludf.DUMMYFUNCTION("""COMPUTED_VALUE"""),1)</f>
        <v>1</v>
      </c>
      <c r="L320" s="28" t="str">
        <f ca="1">IFERROR(__xludf.DUMMYFUNCTION("""COMPUTED_VALUE"""),"1/2024")</f>
        <v>1/2024</v>
      </c>
      <c r="M320" s="10" t="str">
        <f ca="1">IFERROR(__xludf.DUMMYFUNCTION("""COMPUTED_VALUE"""),"Predios Exentos")</f>
        <v>Predios Exentos</v>
      </c>
      <c r="N320" s="1"/>
      <c r="O320" s="1"/>
      <c r="P320" s="1"/>
      <c r="Q320" s="1"/>
      <c r="R320" s="1"/>
      <c r="S320" s="1"/>
      <c r="T320" s="1"/>
      <c r="U320" s="1"/>
      <c r="V320" s="1"/>
      <c r="W320" s="1"/>
      <c r="X320" s="1"/>
      <c r="Y320" s="1"/>
      <c r="Z320" s="1"/>
    </row>
    <row r="321" spans="1:26" ht="12.75" customHeight="1">
      <c r="A321" s="1"/>
      <c r="B321" s="10" t="str">
        <f ca="1">IFERROR(__xludf.DUMMYFUNCTION("""COMPUTED_VALUE"""),"Compensación Predios Exentos 2024")</f>
        <v>Compensación Predios Exentos 2024</v>
      </c>
      <c r="C321" s="26" t="str">
        <f t="shared" ca="1" si="0"/>
        <v xml:space="preserve"> SANTA JUANA</v>
      </c>
      <c r="D321" s="10" t="str">
        <f ca="1">IFERROR(__xludf.DUMMYFUNCTION("""COMPUTED_VALUE"""),"Resolución de Transferencia")</f>
        <v>Resolución de Transferencia</v>
      </c>
      <c r="E321" s="26" t="str">
        <f ca="1">IFERROR(__xludf.DUMMYFUNCTION("""COMPUTED_VALUE"""),"MUNICIPALIDAD DE SANTA JUANA")</f>
        <v>MUNICIPALIDAD DE SANTA JUANA</v>
      </c>
      <c r="F321" s="11">
        <f ca="1">IFERROR(__xludf.DUMMYFUNCTION("""COMPUTED_VALUE"""),103531020)</f>
        <v>103531020</v>
      </c>
      <c r="G321" s="10" t="str">
        <f ca="1">IFERROR(__xludf.DUMMYFUNCTION("""COMPUTED_VALUE"""),"Resolución")</f>
        <v>Resolución</v>
      </c>
      <c r="H321" s="10" t="str">
        <f ca="1">IFERROR(__xludf.DUMMYFUNCTION("""COMPUTED_VALUE"""),"COMPENSACIÓN PREDIOS EXENTOS")</f>
        <v>COMPENSACIÓN PREDIOS EXENTOS</v>
      </c>
      <c r="I321" s="10" t="str">
        <f ca="1">IFERROR(__xludf.DUMMYFUNCTION("""COMPUTED_VALUE"""),"Cumplir con normativa y reglamentos internos del programa en base a los objetivos.")</f>
        <v>Cumplir con normativa y reglamentos internos del programa en base a los objetivos.</v>
      </c>
      <c r="J321" s="11">
        <f ca="1">IFERROR(__xludf.DUMMYFUNCTION("""COMPUTED_VALUE"""),103531020)</f>
        <v>103531020</v>
      </c>
      <c r="K321" s="27">
        <f ca="1">IFERROR(__xludf.DUMMYFUNCTION("""COMPUTED_VALUE"""),1)</f>
        <v>1</v>
      </c>
      <c r="L321" s="28" t="str">
        <f ca="1">IFERROR(__xludf.DUMMYFUNCTION("""COMPUTED_VALUE"""),"1/2024")</f>
        <v>1/2024</v>
      </c>
      <c r="M321" s="10" t="str">
        <f ca="1">IFERROR(__xludf.DUMMYFUNCTION("""COMPUTED_VALUE"""),"Predios Exentos")</f>
        <v>Predios Exentos</v>
      </c>
      <c r="N321" s="1"/>
      <c r="O321" s="1"/>
      <c r="P321" s="1"/>
      <c r="Q321" s="1"/>
      <c r="R321" s="1"/>
      <c r="S321" s="1"/>
      <c r="T321" s="1"/>
      <c r="U321" s="1"/>
      <c r="V321" s="1"/>
      <c r="W321" s="1"/>
      <c r="X321" s="1"/>
      <c r="Y321" s="1"/>
      <c r="Z321" s="1"/>
    </row>
    <row r="322" spans="1:26" ht="12.75" customHeight="1">
      <c r="A322" s="1"/>
      <c r="B322" s="10" t="str">
        <f ca="1">IFERROR(__xludf.DUMMYFUNCTION("""COMPUTED_VALUE"""),"Compensación Predios Exentos 2024")</f>
        <v>Compensación Predios Exentos 2024</v>
      </c>
      <c r="C322" s="26" t="str">
        <f t="shared" ca="1" si="0"/>
        <v xml:space="preserve"> TUCAPEL</v>
      </c>
      <c r="D322" s="10" t="str">
        <f ca="1">IFERROR(__xludf.DUMMYFUNCTION("""COMPUTED_VALUE"""),"Resolución de Transferencia")</f>
        <v>Resolución de Transferencia</v>
      </c>
      <c r="E322" s="26" t="str">
        <f ca="1">IFERROR(__xludf.DUMMYFUNCTION("""COMPUTED_VALUE"""),"MUNICIPALIDAD DE TUCAPEL")</f>
        <v>MUNICIPALIDAD DE TUCAPEL</v>
      </c>
      <c r="F322" s="11">
        <f ca="1">IFERROR(__xludf.DUMMYFUNCTION("""COMPUTED_VALUE"""),80747031)</f>
        <v>80747031</v>
      </c>
      <c r="G322" s="10" t="str">
        <f ca="1">IFERROR(__xludf.DUMMYFUNCTION("""COMPUTED_VALUE"""),"Resolución")</f>
        <v>Resolución</v>
      </c>
      <c r="H322" s="10" t="str">
        <f ca="1">IFERROR(__xludf.DUMMYFUNCTION("""COMPUTED_VALUE"""),"COMPENSACIÓN PREDIOS EXENTOS")</f>
        <v>COMPENSACIÓN PREDIOS EXENTOS</v>
      </c>
      <c r="I322" s="10" t="str">
        <f ca="1">IFERROR(__xludf.DUMMYFUNCTION("""COMPUTED_VALUE"""),"Cumplir con normativa y reglamentos internos del programa en base a los objetivos.")</f>
        <v>Cumplir con normativa y reglamentos internos del programa en base a los objetivos.</v>
      </c>
      <c r="J322" s="11">
        <f ca="1">IFERROR(__xludf.DUMMYFUNCTION("""COMPUTED_VALUE"""),80747031)</f>
        <v>80747031</v>
      </c>
      <c r="K322" s="27">
        <f ca="1">IFERROR(__xludf.DUMMYFUNCTION("""COMPUTED_VALUE"""),1)</f>
        <v>1</v>
      </c>
      <c r="L322" s="28" t="str">
        <f ca="1">IFERROR(__xludf.DUMMYFUNCTION("""COMPUTED_VALUE"""),"1/2024")</f>
        <v>1/2024</v>
      </c>
      <c r="M322" s="10" t="str">
        <f ca="1">IFERROR(__xludf.DUMMYFUNCTION("""COMPUTED_VALUE"""),"Predios Exentos")</f>
        <v>Predios Exentos</v>
      </c>
      <c r="N322" s="1"/>
      <c r="O322" s="1"/>
      <c r="P322" s="1"/>
      <c r="Q322" s="1"/>
      <c r="R322" s="1"/>
      <c r="S322" s="1"/>
      <c r="T322" s="1"/>
      <c r="U322" s="1"/>
      <c r="V322" s="1"/>
      <c r="W322" s="1"/>
      <c r="X322" s="1"/>
      <c r="Y322" s="1"/>
      <c r="Z322" s="1"/>
    </row>
    <row r="323" spans="1:26" ht="12.75" customHeight="1">
      <c r="A323" s="1"/>
      <c r="B323" s="10" t="str">
        <f ca="1">IFERROR(__xludf.DUMMYFUNCTION("""COMPUTED_VALUE"""),"Compensación Predios Exentos 2024")</f>
        <v>Compensación Predios Exentos 2024</v>
      </c>
      <c r="C323" s="26" t="str">
        <f t="shared" ca="1" si="0"/>
        <v xml:space="preserve"> SAN NICOLÁS</v>
      </c>
      <c r="D323" s="10" t="str">
        <f ca="1">IFERROR(__xludf.DUMMYFUNCTION("""COMPUTED_VALUE"""),"Resolución de Transferencia")</f>
        <v>Resolución de Transferencia</v>
      </c>
      <c r="E323" s="26" t="str">
        <f ca="1">IFERROR(__xludf.DUMMYFUNCTION("""COMPUTED_VALUE"""),"MUNICIPALIDAD DE SAN NICOLÁS")</f>
        <v>MUNICIPALIDAD DE SAN NICOLÁS</v>
      </c>
      <c r="F323" s="11">
        <f ca="1">IFERROR(__xludf.DUMMYFUNCTION("""COMPUTED_VALUE"""),76038749)</f>
        <v>76038749</v>
      </c>
      <c r="G323" s="10" t="str">
        <f ca="1">IFERROR(__xludf.DUMMYFUNCTION("""COMPUTED_VALUE"""),"Resolución")</f>
        <v>Resolución</v>
      </c>
      <c r="H323" s="10" t="str">
        <f ca="1">IFERROR(__xludf.DUMMYFUNCTION("""COMPUTED_VALUE"""),"COMPENSACIÓN PREDIOS EXENTOS")</f>
        <v>COMPENSACIÓN PREDIOS EXENTOS</v>
      </c>
      <c r="I323" s="10" t="str">
        <f ca="1">IFERROR(__xludf.DUMMYFUNCTION("""COMPUTED_VALUE"""),"Cumplir con normativa y reglamentos internos del programa en base a los objetivos.")</f>
        <v>Cumplir con normativa y reglamentos internos del programa en base a los objetivos.</v>
      </c>
      <c r="J323" s="11">
        <f ca="1">IFERROR(__xludf.DUMMYFUNCTION("""COMPUTED_VALUE"""),76038749)</f>
        <v>76038749</v>
      </c>
      <c r="K323" s="27">
        <f ca="1">IFERROR(__xludf.DUMMYFUNCTION("""COMPUTED_VALUE"""),1)</f>
        <v>1</v>
      </c>
      <c r="L323" s="28" t="str">
        <f ca="1">IFERROR(__xludf.DUMMYFUNCTION("""COMPUTED_VALUE"""),"1/2024")</f>
        <v>1/2024</v>
      </c>
      <c r="M323" s="10" t="str">
        <f ca="1">IFERROR(__xludf.DUMMYFUNCTION("""COMPUTED_VALUE"""),"Predios Exentos")</f>
        <v>Predios Exentos</v>
      </c>
      <c r="N323" s="1"/>
      <c r="O323" s="1"/>
      <c r="P323" s="1"/>
      <c r="Q323" s="1"/>
      <c r="R323" s="1"/>
      <c r="S323" s="1"/>
      <c r="T323" s="1"/>
      <c r="U323" s="1"/>
      <c r="V323" s="1"/>
      <c r="W323" s="1"/>
      <c r="X323" s="1"/>
      <c r="Y323" s="1"/>
      <c r="Z323" s="1"/>
    </row>
    <row r="324" spans="1:26" ht="12.75" customHeight="1">
      <c r="A324" s="1"/>
      <c r="B324" s="10" t="str">
        <f ca="1">IFERROR(__xludf.DUMMYFUNCTION("""COMPUTED_VALUE"""),"Compensación Predios Exentos 2024")</f>
        <v>Compensación Predios Exentos 2024</v>
      </c>
      <c r="C324" s="26" t="str">
        <f t="shared" ca="1" si="0"/>
        <v xml:space="preserve"> PENCAHUE</v>
      </c>
      <c r="D324" s="10" t="str">
        <f ca="1">IFERROR(__xludf.DUMMYFUNCTION("""COMPUTED_VALUE"""),"Resolución de Transferencia")</f>
        <v>Resolución de Transferencia</v>
      </c>
      <c r="E324" s="26" t="str">
        <f ca="1">IFERROR(__xludf.DUMMYFUNCTION("""COMPUTED_VALUE"""),"MUNICIPALIDAD DE PENCAHUE")</f>
        <v>MUNICIPALIDAD DE PENCAHUE</v>
      </c>
      <c r="F324" s="11">
        <f ca="1">IFERROR(__xludf.DUMMYFUNCTION("""COMPUTED_VALUE"""),49017306)</f>
        <v>49017306</v>
      </c>
      <c r="G324" s="10" t="str">
        <f ca="1">IFERROR(__xludf.DUMMYFUNCTION("""COMPUTED_VALUE"""),"Resolución")</f>
        <v>Resolución</v>
      </c>
      <c r="H324" s="10" t="str">
        <f ca="1">IFERROR(__xludf.DUMMYFUNCTION("""COMPUTED_VALUE"""),"COMPENSACIÓN PREDIOS EXENTOS")</f>
        <v>COMPENSACIÓN PREDIOS EXENTOS</v>
      </c>
      <c r="I324" s="10" t="str">
        <f ca="1">IFERROR(__xludf.DUMMYFUNCTION("""COMPUTED_VALUE"""),"Cumplir con normativa y reglamentos internos del programa en base a los objetivos.")</f>
        <v>Cumplir con normativa y reglamentos internos del programa en base a los objetivos.</v>
      </c>
      <c r="J324" s="11">
        <f ca="1">IFERROR(__xludf.DUMMYFUNCTION("""COMPUTED_VALUE"""),49017306)</f>
        <v>49017306</v>
      </c>
      <c r="K324" s="27">
        <f ca="1">IFERROR(__xludf.DUMMYFUNCTION("""COMPUTED_VALUE"""),1)</f>
        <v>1</v>
      </c>
      <c r="L324" s="28" t="str">
        <f ca="1">IFERROR(__xludf.DUMMYFUNCTION("""COMPUTED_VALUE"""),"1/2024")</f>
        <v>1/2024</v>
      </c>
      <c r="M324" s="10" t="str">
        <f ca="1">IFERROR(__xludf.DUMMYFUNCTION("""COMPUTED_VALUE"""),"Predios Exentos")</f>
        <v>Predios Exentos</v>
      </c>
      <c r="N324" s="1"/>
      <c r="O324" s="1"/>
      <c r="P324" s="1"/>
      <c r="Q324" s="1"/>
      <c r="R324" s="1"/>
      <c r="S324" s="1"/>
      <c r="T324" s="1"/>
      <c r="U324" s="1"/>
      <c r="V324" s="1"/>
      <c r="W324" s="1"/>
      <c r="X324" s="1"/>
      <c r="Y324" s="1"/>
      <c r="Z324" s="1"/>
    </row>
    <row r="325" spans="1:26" ht="12.75" customHeight="1">
      <c r="A325" s="1"/>
      <c r="B325" s="10" t="str">
        <f ca="1">IFERROR(__xludf.DUMMYFUNCTION("""COMPUTED_VALUE"""),"Compensación Predios Exentos 2024")</f>
        <v>Compensación Predios Exentos 2024</v>
      </c>
      <c r="C325" s="26" t="str">
        <f t="shared" ca="1" si="0"/>
        <v xml:space="preserve"> CUREPTO</v>
      </c>
      <c r="D325" s="10" t="str">
        <f ca="1">IFERROR(__xludf.DUMMYFUNCTION("""COMPUTED_VALUE"""),"Resolución de Transferencia")</f>
        <v>Resolución de Transferencia</v>
      </c>
      <c r="E325" s="26" t="str">
        <f ca="1">IFERROR(__xludf.DUMMYFUNCTION("""COMPUTED_VALUE"""),"MUNICIPALIDAD DE CUREPTO")</f>
        <v>MUNICIPALIDAD DE CUREPTO</v>
      </c>
      <c r="F325" s="11">
        <f ca="1">IFERROR(__xludf.DUMMYFUNCTION("""COMPUTED_VALUE"""),99150271)</f>
        <v>99150271</v>
      </c>
      <c r="G325" s="10" t="str">
        <f ca="1">IFERROR(__xludf.DUMMYFUNCTION("""COMPUTED_VALUE"""),"Resolución")</f>
        <v>Resolución</v>
      </c>
      <c r="H325" s="10" t="str">
        <f ca="1">IFERROR(__xludf.DUMMYFUNCTION("""COMPUTED_VALUE"""),"COMPENSACIÓN PREDIOS EXENTOS")</f>
        <v>COMPENSACIÓN PREDIOS EXENTOS</v>
      </c>
      <c r="I325" s="10" t="str">
        <f ca="1">IFERROR(__xludf.DUMMYFUNCTION("""COMPUTED_VALUE"""),"Cumplir con normativa y reglamentos internos del programa en base a los objetivos.")</f>
        <v>Cumplir con normativa y reglamentos internos del programa en base a los objetivos.</v>
      </c>
      <c r="J325" s="11">
        <f ca="1">IFERROR(__xludf.DUMMYFUNCTION("""COMPUTED_VALUE"""),99150271)</f>
        <v>99150271</v>
      </c>
      <c r="K325" s="27">
        <f ca="1">IFERROR(__xludf.DUMMYFUNCTION("""COMPUTED_VALUE"""),1)</f>
        <v>1</v>
      </c>
      <c r="L325" s="28" t="str">
        <f ca="1">IFERROR(__xludf.DUMMYFUNCTION("""COMPUTED_VALUE"""),"1/2024")</f>
        <v>1/2024</v>
      </c>
      <c r="M325" s="10" t="str">
        <f ca="1">IFERROR(__xludf.DUMMYFUNCTION("""COMPUTED_VALUE"""),"Predios Exentos")</f>
        <v>Predios Exentos</v>
      </c>
      <c r="N325" s="1"/>
      <c r="O325" s="1"/>
      <c r="P325" s="1"/>
      <c r="Q325" s="1"/>
      <c r="R325" s="1"/>
      <c r="S325" s="1"/>
      <c r="T325" s="1"/>
      <c r="U325" s="1"/>
      <c r="V325" s="1"/>
      <c r="W325" s="1"/>
      <c r="X325" s="1"/>
      <c r="Y325" s="1"/>
      <c r="Z325" s="1"/>
    </row>
    <row r="326" spans="1:26" ht="12.75" customHeight="1">
      <c r="A326" s="1"/>
      <c r="B326" s="10" t="str">
        <f ca="1">IFERROR(__xludf.DUMMYFUNCTION("""COMPUTED_VALUE"""),"Compensación Predios Exentos 2024")</f>
        <v>Compensación Predios Exentos 2024</v>
      </c>
      <c r="C326" s="26" t="str">
        <f t="shared" ca="1" si="0"/>
        <v xml:space="preserve"> SANTA CRUZ</v>
      </c>
      <c r="D326" s="10" t="str">
        <f ca="1">IFERROR(__xludf.DUMMYFUNCTION("""COMPUTED_VALUE"""),"Resolución de Transferencia")</f>
        <v>Resolución de Transferencia</v>
      </c>
      <c r="E326" s="26" t="str">
        <f ca="1">IFERROR(__xludf.DUMMYFUNCTION("""COMPUTED_VALUE"""),"MUNICIPALIDAD DE SANTA CRUZ")</f>
        <v>MUNICIPALIDAD DE SANTA CRUZ</v>
      </c>
      <c r="F326" s="11">
        <f ca="1">IFERROR(__xludf.DUMMYFUNCTION("""COMPUTED_VALUE"""),144124596)</f>
        <v>144124596</v>
      </c>
      <c r="G326" s="10" t="str">
        <f ca="1">IFERROR(__xludf.DUMMYFUNCTION("""COMPUTED_VALUE"""),"Resolución")</f>
        <v>Resolución</v>
      </c>
      <c r="H326" s="10" t="str">
        <f ca="1">IFERROR(__xludf.DUMMYFUNCTION("""COMPUTED_VALUE"""),"COMPENSACIÓN PREDIOS EXENTOS")</f>
        <v>COMPENSACIÓN PREDIOS EXENTOS</v>
      </c>
      <c r="I326" s="10" t="str">
        <f ca="1">IFERROR(__xludf.DUMMYFUNCTION("""COMPUTED_VALUE"""),"Cumplir con normativa y reglamentos internos del programa en base a los objetivos.")</f>
        <v>Cumplir con normativa y reglamentos internos del programa en base a los objetivos.</v>
      </c>
      <c r="J326" s="11">
        <f ca="1">IFERROR(__xludf.DUMMYFUNCTION("""COMPUTED_VALUE"""),144124596)</f>
        <v>144124596</v>
      </c>
      <c r="K326" s="27">
        <f ca="1">IFERROR(__xludf.DUMMYFUNCTION("""COMPUTED_VALUE"""),1)</f>
        <v>1</v>
      </c>
      <c r="L326" s="28" t="str">
        <f ca="1">IFERROR(__xludf.DUMMYFUNCTION("""COMPUTED_VALUE"""),"1/2024")</f>
        <v>1/2024</v>
      </c>
      <c r="M326" s="10" t="str">
        <f ca="1">IFERROR(__xludf.DUMMYFUNCTION("""COMPUTED_VALUE"""),"Predios Exentos")</f>
        <v>Predios Exentos</v>
      </c>
      <c r="N326" s="1"/>
      <c r="O326" s="1"/>
      <c r="P326" s="1"/>
      <c r="Q326" s="1"/>
      <c r="R326" s="1"/>
      <c r="S326" s="1"/>
      <c r="T326" s="1"/>
      <c r="U326" s="1"/>
      <c r="V326" s="1"/>
      <c r="W326" s="1"/>
      <c r="X326" s="1"/>
      <c r="Y326" s="1"/>
      <c r="Z326" s="1"/>
    </row>
    <row r="327" spans="1:26" ht="12.75" customHeight="1">
      <c r="A327" s="1"/>
      <c r="B327" s="10" t="str">
        <f ca="1">IFERROR(__xludf.DUMMYFUNCTION("""COMPUTED_VALUE"""),"Compensación Predios Exentos 2024")</f>
        <v>Compensación Predios Exentos 2024</v>
      </c>
      <c r="C327" s="26" t="str">
        <f t="shared" ca="1" si="0"/>
        <v xml:space="preserve"> SAN FERNANDO</v>
      </c>
      <c r="D327" s="10" t="str">
        <f ca="1">IFERROR(__xludf.DUMMYFUNCTION("""COMPUTED_VALUE"""),"Resolución de Transferencia")</f>
        <v>Resolución de Transferencia</v>
      </c>
      <c r="E327" s="26" t="str">
        <f ca="1">IFERROR(__xludf.DUMMYFUNCTION("""COMPUTED_VALUE"""),"MUNICIPALIDAD DE SAN FERNANDO")</f>
        <v>MUNICIPALIDAD DE SAN FERNANDO</v>
      </c>
      <c r="F327" s="11">
        <f ca="1">IFERROR(__xludf.DUMMYFUNCTION("""COMPUTED_VALUE"""),267850050)</f>
        <v>267850050</v>
      </c>
      <c r="G327" s="10" t="str">
        <f ca="1">IFERROR(__xludf.DUMMYFUNCTION("""COMPUTED_VALUE"""),"Resolución")</f>
        <v>Resolución</v>
      </c>
      <c r="H327" s="10" t="str">
        <f ca="1">IFERROR(__xludf.DUMMYFUNCTION("""COMPUTED_VALUE"""),"COMPENSACIÓN PREDIOS EXENTOS")</f>
        <v>COMPENSACIÓN PREDIOS EXENTOS</v>
      </c>
      <c r="I327" s="10" t="str">
        <f ca="1">IFERROR(__xludf.DUMMYFUNCTION("""COMPUTED_VALUE"""),"Cumplir con normativa y reglamentos internos del programa en base a los objetivos.")</f>
        <v>Cumplir con normativa y reglamentos internos del programa en base a los objetivos.</v>
      </c>
      <c r="J327" s="11">
        <f ca="1">IFERROR(__xludf.DUMMYFUNCTION("""COMPUTED_VALUE"""),267850050)</f>
        <v>267850050</v>
      </c>
      <c r="K327" s="27">
        <f ca="1">IFERROR(__xludf.DUMMYFUNCTION("""COMPUTED_VALUE"""),1)</f>
        <v>1</v>
      </c>
      <c r="L327" s="28" t="str">
        <f ca="1">IFERROR(__xludf.DUMMYFUNCTION("""COMPUTED_VALUE"""),"1/2024")</f>
        <v>1/2024</v>
      </c>
      <c r="M327" s="10" t="str">
        <f ca="1">IFERROR(__xludf.DUMMYFUNCTION("""COMPUTED_VALUE"""),"Predios Exentos")</f>
        <v>Predios Exentos</v>
      </c>
      <c r="N327" s="1"/>
      <c r="O327" s="1"/>
      <c r="P327" s="1"/>
      <c r="Q327" s="1"/>
      <c r="R327" s="1"/>
      <c r="S327" s="1"/>
      <c r="T327" s="1"/>
      <c r="U327" s="1"/>
      <c r="V327" s="1"/>
      <c r="W327" s="1"/>
      <c r="X327" s="1"/>
      <c r="Y327" s="1"/>
      <c r="Z327" s="1"/>
    </row>
    <row r="328" spans="1:26" ht="12.75" customHeight="1">
      <c r="A328" s="1"/>
      <c r="B328" s="10" t="str">
        <f ca="1">IFERROR(__xludf.DUMMYFUNCTION("""COMPUTED_VALUE"""),"Compensación Predios Exentos 2024")</f>
        <v>Compensación Predios Exentos 2024</v>
      </c>
      <c r="C328" s="26" t="str">
        <f t="shared" ca="1" si="0"/>
        <v xml:space="preserve"> LAS CABRAS</v>
      </c>
      <c r="D328" s="10" t="str">
        <f ca="1">IFERROR(__xludf.DUMMYFUNCTION("""COMPUTED_VALUE"""),"Resolución de Transferencia")</f>
        <v>Resolución de Transferencia</v>
      </c>
      <c r="E328" s="26" t="str">
        <f ca="1">IFERROR(__xludf.DUMMYFUNCTION("""COMPUTED_VALUE"""),"MUNICIPALIDAD DE LAS CABRAS")</f>
        <v>MUNICIPALIDAD DE LAS CABRAS</v>
      </c>
      <c r="F328" s="11">
        <f ca="1">IFERROR(__xludf.DUMMYFUNCTION("""COMPUTED_VALUE"""),90849366)</f>
        <v>90849366</v>
      </c>
      <c r="G328" s="10" t="str">
        <f ca="1">IFERROR(__xludf.DUMMYFUNCTION("""COMPUTED_VALUE"""),"Resolución")</f>
        <v>Resolución</v>
      </c>
      <c r="H328" s="10" t="str">
        <f ca="1">IFERROR(__xludf.DUMMYFUNCTION("""COMPUTED_VALUE"""),"COMPENSACIÓN PREDIOS EXENTOS")</f>
        <v>COMPENSACIÓN PREDIOS EXENTOS</v>
      </c>
      <c r="I328" s="10" t="str">
        <f ca="1">IFERROR(__xludf.DUMMYFUNCTION("""COMPUTED_VALUE"""),"Cumplir con normativa y reglamentos internos del programa en base a los objetivos.")</f>
        <v>Cumplir con normativa y reglamentos internos del programa en base a los objetivos.</v>
      </c>
      <c r="J328" s="11">
        <f ca="1">IFERROR(__xludf.DUMMYFUNCTION("""COMPUTED_VALUE"""),90849366)</f>
        <v>90849366</v>
      </c>
      <c r="K328" s="27">
        <f ca="1">IFERROR(__xludf.DUMMYFUNCTION("""COMPUTED_VALUE"""),1)</f>
        <v>1</v>
      </c>
      <c r="L328" s="28" t="str">
        <f ca="1">IFERROR(__xludf.DUMMYFUNCTION("""COMPUTED_VALUE"""),"1/2024")</f>
        <v>1/2024</v>
      </c>
      <c r="M328" s="10" t="str">
        <f ca="1">IFERROR(__xludf.DUMMYFUNCTION("""COMPUTED_VALUE"""),"Predios Exentos")</f>
        <v>Predios Exentos</v>
      </c>
      <c r="N328" s="1"/>
      <c r="O328" s="1"/>
      <c r="P328" s="1"/>
      <c r="Q328" s="1"/>
      <c r="R328" s="1"/>
      <c r="S328" s="1"/>
      <c r="T328" s="1"/>
      <c r="U328" s="1"/>
      <c r="V328" s="1"/>
      <c r="W328" s="1"/>
      <c r="X328" s="1"/>
      <c r="Y328" s="1"/>
      <c r="Z328" s="1"/>
    </row>
    <row r="329" spans="1:26" ht="12.75" customHeight="1">
      <c r="A329" s="1"/>
      <c r="B329" s="10" t="str">
        <f ca="1">IFERROR(__xludf.DUMMYFUNCTION("""COMPUTED_VALUE"""),"Compensación Predios Exentos 2024")</f>
        <v>Compensación Predios Exentos 2024</v>
      </c>
      <c r="C329" s="26" t="str">
        <f t="shared" ca="1" si="0"/>
        <v xml:space="preserve"> LA GRANJA</v>
      </c>
      <c r="D329" s="10" t="str">
        <f ca="1">IFERROR(__xludf.DUMMYFUNCTION("""COMPUTED_VALUE"""),"Resolución de Transferencia")</f>
        <v>Resolución de Transferencia</v>
      </c>
      <c r="E329" s="26" t="str">
        <f ca="1">IFERROR(__xludf.DUMMYFUNCTION("""COMPUTED_VALUE"""),"MUNICIPALIDAD DE LA GRANJA")</f>
        <v>MUNICIPALIDAD DE LA GRANJA</v>
      </c>
      <c r="F329" s="11">
        <f ca="1">IFERROR(__xludf.DUMMYFUNCTION("""COMPUTED_VALUE"""),293315713)</f>
        <v>293315713</v>
      </c>
      <c r="G329" s="10" t="str">
        <f ca="1">IFERROR(__xludf.DUMMYFUNCTION("""COMPUTED_VALUE"""),"Resolución")</f>
        <v>Resolución</v>
      </c>
      <c r="H329" s="10" t="str">
        <f ca="1">IFERROR(__xludf.DUMMYFUNCTION("""COMPUTED_VALUE"""),"COMPENSACIÓN PREDIOS EXENTOS")</f>
        <v>COMPENSACIÓN PREDIOS EXENTOS</v>
      </c>
      <c r="I329" s="10" t="str">
        <f ca="1">IFERROR(__xludf.DUMMYFUNCTION("""COMPUTED_VALUE"""),"Cumplir con normativa y reglamentos internos del programa en base a los objetivos.")</f>
        <v>Cumplir con normativa y reglamentos internos del programa en base a los objetivos.</v>
      </c>
      <c r="J329" s="11">
        <f ca="1">IFERROR(__xludf.DUMMYFUNCTION("""COMPUTED_VALUE"""),293315713)</f>
        <v>293315713</v>
      </c>
      <c r="K329" s="27">
        <f ca="1">IFERROR(__xludf.DUMMYFUNCTION("""COMPUTED_VALUE"""),1)</f>
        <v>1</v>
      </c>
      <c r="L329" s="28" t="str">
        <f ca="1">IFERROR(__xludf.DUMMYFUNCTION("""COMPUTED_VALUE"""),"1/2024")</f>
        <v>1/2024</v>
      </c>
      <c r="M329" s="10" t="str">
        <f ca="1">IFERROR(__xludf.DUMMYFUNCTION("""COMPUTED_VALUE"""),"Predios Exentos")</f>
        <v>Predios Exentos</v>
      </c>
      <c r="N329" s="1"/>
      <c r="O329" s="1"/>
      <c r="P329" s="1"/>
      <c r="Q329" s="1"/>
      <c r="R329" s="1"/>
      <c r="S329" s="1"/>
      <c r="T329" s="1"/>
      <c r="U329" s="1"/>
      <c r="V329" s="1"/>
      <c r="W329" s="1"/>
      <c r="X329" s="1"/>
      <c r="Y329" s="1"/>
      <c r="Z329" s="1"/>
    </row>
    <row r="330" spans="1:26" ht="12.75" customHeight="1">
      <c r="A330" s="1"/>
      <c r="B330" s="10" t="str">
        <f ca="1">IFERROR(__xludf.DUMMYFUNCTION("""COMPUTED_VALUE"""),"Compensación Predios Exentos 2024")</f>
        <v>Compensación Predios Exentos 2024</v>
      </c>
      <c r="C330" s="26" t="str">
        <f t="shared" ca="1" si="0"/>
        <v xml:space="preserve"> COLINA</v>
      </c>
      <c r="D330" s="10" t="str">
        <f ca="1">IFERROR(__xludf.DUMMYFUNCTION("""COMPUTED_VALUE"""),"Resolución de Transferencia")</f>
        <v>Resolución de Transferencia</v>
      </c>
      <c r="E330" s="26" t="str">
        <f ca="1">IFERROR(__xludf.DUMMYFUNCTION("""COMPUTED_VALUE"""),"MUNICIPALIDAD DE COLINA")</f>
        <v>MUNICIPALIDAD DE COLINA</v>
      </c>
      <c r="F330" s="11">
        <f ca="1">IFERROR(__xludf.DUMMYFUNCTION("""COMPUTED_VALUE"""),301616618)</f>
        <v>301616618</v>
      </c>
      <c r="G330" s="10" t="str">
        <f ca="1">IFERROR(__xludf.DUMMYFUNCTION("""COMPUTED_VALUE"""),"Resolución")</f>
        <v>Resolución</v>
      </c>
      <c r="H330" s="10" t="str">
        <f ca="1">IFERROR(__xludf.DUMMYFUNCTION("""COMPUTED_VALUE"""),"COMPENSACIÓN PREDIOS EXENTOS")</f>
        <v>COMPENSACIÓN PREDIOS EXENTOS</v>
      </c>
      <c r="I330" s="10" t="str">
        <f ca="1">IFERROR(__xludf.DUMMYFUNCTION("""COMPUTED_VALUE"""),"Cumplir con normativa y reglamentos internos del programa en base a los objetivos.")</f>
        <v>Cumplir con normativa y reglamentos internos del programa en base a los objetivos.</v>
      </c>
      <c r="J330" s="11">
        <f ca="1">IFERROR(__xludf.DUMMYFUNCTION("""COMPUTED_VALUE"""),301616618)</f>
        <v>301616618</v>
      </c>
      <c r="K330" s="27">
        <f ca="1">IFERROR(__xludf.DUMMYFUNCTION("""COMPUTED_VALUE"""),1)</f>
        <v>1</v>
      </c>
      <c r="L330" s="28" t="str">
        <f ca="1">IFERROR(__xludf.DUMMYFUNCTION("""COMPUTED_VALUE"""),"1/2024")</f>
        <v>1/2024</v>
      </c>
      <c r="M330" s="10" t="str">
        <f ca="1">IFERROR(__xludf.DUMMYFUNCTION("""COMPUTED_VALUE"""),"Predios Exentos")</f>
        <v>Predios Exentos</v>
      </c>
      <c r="N330" s="1"/>
      <c r="O330" s="1"/>
      <c r="P330" s="1"/>
      <c r="Q330" s="1"/>
      <c r="R330" s="1"/>
      <c r="S330" s="1"/>
      <c r="T330" s="1"/>
      <c r="U330" s="1"/>
      <c r="V330" s="1"/>
      <c r="W330" s="1"/>
      <c r="X330" s="1"/>
      <c r="Y330" s="1"/>
      <c r="Z330" s="1"/>
    </row>
    <row r="331" spans="1:26" ht="12.75" customHeight="1">
      <c r="A331" s="1"/>
      <c r="B331" s="10" t="str">
        <f ca="1">IFERROR(__xludf.DUMMYFUNCTION("""COMPUTED_VALUE"""),"Compensación Predios Exentos 2024")</f>
        <v>Compensación Predios Exentos 2024</v>
      </c>
      <c r="C331" s="26" t="str">
        <f t="shared" ca="1" si="0"/>
        <v xml:space="preserve"> QUILICURA</v>
      </c>
      <c r="D331" s="10" t="str">
        <f ca="1">IFERROR(__xludf.DUMMYFUNCTION("""COMPUTED_VALUE"""),"Resolución de Transferencia")</f>
        <v>Resolución de Transferencia</v>
      </c>
      <c r="E331" s="26" t="str">
        <f ca="1">IFERROR(__xludf.DUMMYFUNCTION("""COMPUTED_VALUE"""),"MUNICIPALIDAD DE QUILICURA")</f>
        <v>MUNICIPALIDAD DE QUILICURA</v>
      </c>
      <c r="F331" s="11">
        <f ca="1">IFERROR(__xludf.DUMMYFUNCTION("""COMPUTED_VALUE"""),540654032)</f>
        <v>540654032</v>
      </c>
      <c r="G331" s="10" t="str">
        <f ca="1">IFERROR(__xludf.DUMMYFUNCTION("""COMPUTED_VALUE"""),"Resolución")</f>
        <v>Resolución</v>
      </c>
      <c r="H331" s="10" t="str">
        <f ca="1">IFERROR(__xludf.DUMMYFUNCTION("""COMPUTED_VALUE"""),"COMPENSACIÓN PREDIOS EXENTOS")</f>
        <v>COMPENSACIÓN PREDIOS EXENTOS</v>
      </c>
      <c r="I331" s="10" t="str">
        <f ca="1">IFERROR(__xludf.DUMMYFUNCTION("""COMPUTED_VALUE"""),"Cumplir con normativa y reglamentos internos del programa en base a los objetivos.")</f>
        <v>Cumplir con normativa y reglamentos internos del programa en base a los objetivos.</v>
      </c>
      <c r="J331" s="11">
        <f ca="1">IFERROR(__xludf.DUMMYFUNCTION("""COMPUTED_VALUE"""),540654032)</f>
        <v>540654032</v>
      </c>
      <c r="K331" s="27">
        <f ca="1">IFERROR(__xludf.DUMMYFUNCTION("""COMPUTED_VALUE"""),1)</f>
        <v>1</v>
      </c>
      <c r="L331" s="28" t="str">
        <f ca="1">IFERROR(__xludf.DUMMYFUNCTION("""COMPUTED_VALUE"""),"1/2024")</f>
        <v>1/2024</v>
      </c>
      <c r="M331" s="10" t="str">
        <f ca="1">IFERROR(__xludf.DUMMYFUNCTION("""COMPUTED_VALUE"""),"Predios Exentos")</f>
        <v>Predios Exentos</v>
      </c>
      <c r="N331" s="1"/>
      <c r="O331" s="1"/>
      <c r="P331" s="1"/>
      <c r="Q331" s="1"/>
      <c r="R331" s="1"/>
      <c r="S331" s="1"/>
      <c r="T331" s="1"/>
      <c r="U331" s="1"/>
      <c r="V331" s="1"/>
      <c r="W331" s="1"/>
      <c r="X331" s="1"/>
      <c r="Y331" s="1"/>
      <c r="Z331" s="1"/>
    </row>
    <row r="332" spans="1:26" ht="12.75" customHeight="1">
      <c r="A332" s="1"/>
      <c r="B332" s="10" t="str">
        <f ca="1">IFERROR(__xludf.DUMMYFUNCTION("""COMPUTED_VALUE"""),"Compensación Predios Exentos 2024")</f>
        <v>Compensación Predios Exentos 2024</v>
      </c>
      <c r="C332" s="26" t="str">
        <f t="shared" ca="1" si="0"/>
        <v xml:space="preserve"> LA FLORIDA</v>
      </c>
      <c r="D332" s="10" t="str">
        <f ca="1">IFERROR(__xludf.DUMMYFUNCTION("""COMPUTED_VALUE"""),"Resolución de Transferencia")</f>
        <v>Resolución de Transferencia</v>
      </c>
      <c r="E332" s="26" t="str">
        <f ca="1">IFERROR(__xludf.DUMMYFUNCTION("""COMPUTED_VALUE"""),"MUNICIPALIDAD DE LA FLORIDA")</f>
        <v>MUNICIPALIDAD DE LA FLORIDA</v>
      </c>
      <c r="F332" s="11">
        <f ca="1">IFERROR(__xludf.DUMMYFUNCTION("""COMPUTED_VALUE"""),835556231)</f>
        <v>835556231</v>
      </c>
      <c r="G332" s="10" t="str">
        <f ca="1">IFERROR(__xludf.DUMMYFUNCTION("""COMPUTED_VALUE"""),"Resolución")</f>
        <v>Resolución</v>
      </c>
      <c r="H332" s="10" t="str">
        <f ca="1">IFERROR(__xludf.DUMMYFUNCTION("""COMPUTED_VALUE"""),"COMPENSACIÓN PREDIOS EXENTOS")</f>
        <v>COMPENSACIÓN PREDIOS EXENTOS</v>
      </c>
      <c r="I332" s="10" t="str">
        <f ca="1">IFERROR(__xludf.DUMMYFUNCTION("""COMPUTED_VALUE"""),"Cumplir con normativa y reglamentos internos del programa en base a los objetivos.")</f>
        <v>Cumplir con normativa y reglamentos internos del programa en base a los objetivos.</v>
      </c>
      <c r="J332" s="11">
        <f ca="1">IFERROR(__xludf.DUMMYFUNCTION("""COMPUTED_VALUE"""),835556231)</f>
        <v>835556231</v>
      </c>
      <c r="K332" s="27">
        <f ca="1">IFERROR(__xludf.DUMMYFUNCTION("""COMPUTED_VALUE"""),1)</f>
        <v>1</v>
      </c>
      <c r="L332" s="28" t="str">
        <f ca="1">IFERROR(__xludf.DUMMYFUNCTION("""COMPUTED_VALUE"""),"1/2024")</f>
        <v>1/2024</v>
      </c>
      <c r="M332" s="10" t="str">
        <f ca="1">IFERROR(__xludf.DUMMYFUNCTION("""COMPUTED_VALUE"""),"Predios Exentos")</f>
        <v>Predios Exentos</v>
      </c>
      <c r="N332" s="1"/>
      <c r="O332" s="1"/>
      <c r="P332" s="1"/>
      <c r="Q332" s="1"/>
      <c r="R332" s="1"/>
      <c r="S332" s="1"/>
      <c r="T332" s="1"/>
      <c r="U332" s="1"/>
      <c r="V332" s="1"/>
      <c r="W332" s="1"/>
      <c r="X332" s="1"/>
      <c r="Y332" s="1"/>
      <c r="Z332" s="1"/>
    </row>
    <row r="333" spans="1:26" ht="12.75" customHeight="1">
      <c r="A333" s="1"/>
      <c r="B333" s="10" t="str">
        <f ca="1">IFERROR(__xludf.DUMMYFUNCTION("""COMPUTED_VALUE"""),"Compensación Predios Exentos 2024")</f>
        <v>Compensación Predios Exentos 2024</v>
      </c>
      <c r="C333" s="26" t="str">
        <f t="shared" ca="1" si="0"/>
        <v xml:space="preserve"> EL QUISCO</v>
      </c>
      <c r="D333" s="10" t="str">
        <f ca="1">IFERROR(__xludf.DUMMYFUNCTION("""COMPUTED_VALUE"""),"Resolución de Transferencia")</f>
        <v>Resolución de Transferencia</v>
      </c>
      <c r="E333" s="26" t="str">
        <f ca="1">IFERROR(__xludf.DUMMYFUNCTION("""COMPUTED_VALUE"""),"MUNICIPALIDAD DE EL QUISCO")</f>
        <v>MUNICIPALIDAD DE EL QUISCO</v>
      </c>
      <c r="F333" s="11">
        <f ca="1">IFERROR(__xludf.DUMMYFUNCTION("""COMPUTED_VALUE"""),121852377)</f>
        <v>121852377</v>
      </c>
      <c r="G333" s="10" t="str">
        <f ca="1">IFERROR(__xludf.DUMMYFUNCTION("""COMPUTED_VALUE"""),"Resolución")</f>
        <v>Resolución</v>
      </c>
      <c r="H333" s="10" t="str">
        <f ca="1">IFERROR(__xludf.DUMMYFUNCTION("""COMPUTED_VALUE"""),"COMPENSACIÓN PREDIOS EXENTOS")</f>
        <v>COMPENSACIÓN PREDIOS EXENTOS</v>
      </c>
      <c r="I333" s="10" t="str">
        <f ca="1">IFERROR(__xludf.DUMMYFUNCTION("""COMPUTED_VALUE"""),"Cumplir con normativa y reglamentos internos del programa en base a los objetivos.")</f>
        <v>Cumplir con normativa y reglamentos internos del programa en base a los objetivos.</v>
      </c>
      <c r="J333" s="11">
        <f ca="1">IFERROR(__xludf.DUMMYFUNCTION("""COMPUTED_VALUE"""),121852377)</f>
        <v>121852377</v>
      </c>
      <c r="K333" s="27">
        <f ca="1">IFERROR(__xludf.DUMMYFUNCTION("""COMPUTED_VALUE"""),1)</f>
        <v>1</v>
      </c>
      <c r="L333" s="28" t="str">
        <f ca="1">IFERROR(__xludf.DUMMYFUNCTION("""COMPUTED_VALUE"""),"1/2024")</f>
        <v>1/2024</v>
      </c>
      <c r="M333" s="10" t="str">
        <f ca="1">IFERROR(__xludf.DUMMYFUNCTION("""COMPUTED_VALUE"""),"Predios Exentos")</f>
        <v>Predios Exentos</v>
      </c>
      <c r="N333" s="1"/>
      <c r="O333" s="1"/>
      <c r="P333" s="1"/>
      <c r="Q333" s="1"/>
      <c r="R333" s="1"/>
      <c r="S333" s="1"/>
      <c r="T333" s="1"/>
      <c r="U333" s="1"/>
      <c r="V333" s="1"/>
      <c r="W333" s="1"/>
      <c r="X333" s="1"/>
      <c r="Y333" s="1"/>
      <c r="Z333" s="1"/>
    </row>
    <row r="334" spans="1:26" ht="12.75" customHeight="1">
      <c r="A334" s="1"/>
      <c r="B334" s="10" t="str">
        <f ca="1">IFERROR(__xludf.DUMMYFUNCTION("""COMPUTED_VALUE"""),"Compensación Predios Exentos 2024")</f>
        <v>Compensación Predios Exentos 2024</v>
      </c>
      <c r="C334" s="26" t="str">
        <f t="shared" ca="1" si="0"/>
        <v xml:space="preserve"> OLMUÉ</v>
      </c>
      <c r="D334" s="10" t="str">
        <f ca="1">IFERROR(__xludf.DUMMYFUNCTION("""COMPUTED_VALUE"""),"Resolución de Transferencia")</f>
        <v>Resolución de Transferencia</v>
      </c>
      <c r="E334" s="26" t="str">
        <f ca="1">IFERROR(__xludf.DUMMYFUNCTION("""COMPUTED_VALUE"""),"MUNICIPALIDAD DE OLMUÉ")</f>
        <v>MUNICIPALIDAD DE OLMUÉ</v>
      </c>
      <c r="F334" s="11">
        <f ca="1">IFERROR(__xludf.DUMMYFUNCTION("""COMPUTED_VALUE"""),59447174)</f>
        <v>59447174</v>
      </c>
      <c r="G334" s="10" t="str">
        <f ca="1">IFERROR(__xludf.DUMMYFUNCTION("""COMPUTED_VALUE"""),"Resolución")</f>
        <v>Resolución</v>
      </c>
      <c r="H334" s="10" t="str">
        <f ca="1">IFERROR(__xludf.DUMMYFUNCTION("""COMPUTED_VALUE"""),"COMPENSACIÓN PREDIOS EXENTOS")</f>
        <v>COMPENSACIÓN PREDIOS EXENTOS</v>
      </c>
      <c r="I334" s="10" t="str">
        <f ca="1">IFERROR(__xludf.DUMMYFUNCTION("""COMPUTED_VALUE"""),"Cumplir con normativa y reglamentos internos del programa en base a los objetivos.")</f>
        <v>Cumplir con normativa y reglamentos internos del programa en base a los objetivos.</v>
      </c>
      <c r="J334" s="11">
        <f ca="1">IFERROR(__xludf.DUMMYFUNCTION("""COMPUTED_VALUE"""),59447174)</f>
        <v>59447174</v>
      </c>
      <c r="K334" s="27">
        <f ca="1">IFERROR(__xludf.DUMMYFUNCTION("""COMPUTED_VALUE"""),1)</f>
        <v>1</v>
      </c>
      <c r="L334" s="28" t="str">
        <f ca="1">IFERROR(__xludf.DUMMYFUNCTION("""COMPUTED_VALUE"""),"1/2024")</f>
        <v>1/2024</v>
      </c>
      <c r="M334" s="10" t="str">
        <f ca="1">IFERROR(__xludf.DUMMYFUNCTION("""COMPUTED_VALUE"""),"Predios Exentos")</f>
        <v>Predios Exentos</v>
      </c>
      <c r="N334" s="1"/>
      <c r="O334" s="1"/>
      <c r="P334" s="1"/>
      <c r="Q334" s="1"/>
      <c r="R334" s="1"/>
      <c r="S334" s="1"/>
      <c r="T334" s="1"/>
      <c r="U334" s="1"/>
      <c r="V334" s="1"/>
      <c r="W334" s="1"/>
      <c r="X334" s="1"/>
      <c r="Y334" s="1"/>
      <c r="Z334" s="1"/>
    </row>
    <row r="335" spans="1:26" ht="12.75" customHeight="1">
      <c r="A335" s="1"/>
      <c r="B335" s="10" t="str">
        <f ca="1">IFERROR(__xludf.DUMMYFUNCTION("""COMPUTED_VALUE"""),"Compensación Predios Exentos 2024")</f>
        <v>Compensación Predios Exentos 2024</v>
      </c>
      <c r="C335" s="26" t="str">
        <f t="shared" ca="1" si="0"/>
        <v xml:space="preserve"> CALERA</v>
      </c>
      <c r="D335" s="10" t="str">
        <f ca="1">IFERROR(__xludf.DUMMYFUNCTION("""COMPUTED_VALUE"""),"Resolución de Transferencia")</f>
        <v>Resolución de Transferencia</v>
      </c>
      <c r="E335" s="26" t="str">
        <f ca="1">IFERROR(__xludf.DUMMYFUNCTION("""COMPUTED_VALUE"""),"MUNICIPALIDAD DE CALERA")</f>
        <v>MUNICIPALIDAD DE CALERA</v>
      </c>
      <c r="F335" s="11">
        <f ca="1">IFERROR(__xludf.DUMMYFUNCTION("""COMPUTED_VALUE"""),164892213)</f>
        <v>164892213</v>
      </c>
      <c r="G335" s="10" t="str">
        <f ca="1">IFERROR(__xludf.DUMMYFUNCTION("""COMPUTED_VALUE"""),"Resolución")</f>
        <v>Resolución</v>
      </c>
      <c r="H335" s="10" t="str">
        <f ca="1">IFERROR(__xludf.DUMMYFUNCTION("""COMPUTED_VALUE"""),"COMPENSACIÓN PREDIOS EXENTOS")</f>
        <v>COMPENSACIÓN PREDIOS EXENTOS</v>
      </c>
      <c r="I335" s="10" t="str">
        <f ca="1">IFERROR(__xludf.DUMMYFUNCTION("""COMPUTED_VALUE"""),"Cumplir con normativa y reglamentos internos del programa en base a los objetivos.")</f>
        <v>Cumplir con normativa y reglamentos internos del programa en base a los objetivos.</v>
      </c>
      <c r="J335" s="11">
        <f ca="1">IFERROR(__xludf.DUMMYFUNCTION("""COMPUTED_VALUE"""),164892213)</f>
        <v>164892213</v>
      </c>
      <c r="K335" s="27">
        <f ca="1">IFERROR(__xludf.DUMMYFUNCTION("""COMPUTED_VALUE"""),1)</f>
        <v>1</v>
      </c>
      <c r="L335" s="28" t="str">
        <f ca="1">IFERROR(__xludf.DUMMYFUNCTION("""COMPUTED_VALUE"""),"1/2024")</f>
        <v>1/2024</v>
      </c>
      <c r="M335" s="10" t="str">
        <f ca="1">IFERROR(__xludf.DUMMYFUNCTION("""COMPUTED_VALUE"""),"Predios Exentos")</f>
        <v>Predios Exentos</v>
      </c>
      <c r="N335" s="1"/>
      <c r="O335" s="1"/>
      <c r="P335" s="1"/>
      <c r="Q335" s="1"/>
      <c r="R335" s="1"/>
      <c r="S335" s="1"/>
      <c r="T335" s="1"/>
      <c r="U335" s="1"/>
      <c r="V335" s="1"/>
      <c r="W335" s="1"/>
      <c r="X335" s="1"/>
      <c r="Y335" s="1"/>
      <c r="Z335" s="1"/>
    </row>
    <row r="336" spans="1:26" ht="12.75" customHeight="1">
      <c r="A336" s="1"/>
      <c r="B336" s="10" t="str">
        <f ca="1">IFERROR(__xludf.DUMMYFUNCTION("""COMPUTED_VALUE"""),"Compensación Predios Exentos 2024")</f>
        <v>Compensación Predios Exentos 2024</v>
      </c>
      <c r="C336" s="26" t="str">
        <f t="shared" ca="1" si="0"/>
        <v xml:space="preserve"> QUILLOTA</v>
      </c>
      <c r="D336" s="10" t="str">
        <f ca="1">IFERROR(__xludf.DUMMYFUNCTION("""COMPUTED_VALUE"""),"Resolución de Transferencia")</f>
        <v>Resolución de Transferencia</v>
      </c>
      <c r="E336" s="26" t="str">
        <f ca="1">IFERROR(__xludf.DUMMYFUNCTION("""COMPUTED_VALUE"""),"MUNICIPALIDAD DE QUILLOTA")</f>
        <v>MUNICIPALIDAD DE QUILLOTA</v>
      </c>
      <c r="F336" s="11">
        <f ca="1">IFERROR(__xludf.DUMMYFUNCTION("""COMPUTED_VALUE"""),330941025)</f>
        <v>330941025</v>
      </c>
      <c r="G336" s="10" t="str">
        <f ca="1">IFERROR(__xludf.DUMMYFUNCTION("""COMPUTED_VALUE"""),"Resolución")</f>
        <v>Resolución</v>
      </c>
      <c r="H336" s="10" t="str">
        <f ca="1">IFERROR(__xludf.DUMMYFUNCTION("""COMPUTED_VALUE"""),"COMPENSACIÓN PREDIOS EXENTOS")</f>
        <v>COMPENSACIÓN PREDIOS EXENTOS</v>
      </c>
      <c r="I336" s="10" t="str">
        <f ca="1">IFERROR(__xludf.DUMMYFUNCTION("""COMPUTED_VALUE"""),"Cumplir con normativa y reglamentos internos del programa en base a los objetivos.")</f>
        <v>Cumplir con normativa y reglamentos internos del programa en base a los objetivos.</v>
      </c>
      <c r="J336" s="11">
        <f ca="1">IFERROR(__xludf.DUMMYFUNCTION("""COMPUTED_VALUE"""),330941025)</f>
        <v>330941025</v>
      </c>
      <c r="K336" s="27">
        <f ca="1">IFERROR(__xludf.DUMMYFUNCTION("""COMPUTED_VALUE"""),1)</f>
        <v>1</v>
      </c>
      <c r="L336" s="28" t="str">
        <f ca="1">IFERROR(__xludf.DUMMYFUNCTION("""COMPUTED_VALUE"""),"1/2024")</f>
        <v>1/2024</v>
      </c>
      <c r="M336" s="10" t="str">
        <f ca="1">IFERROR(__xludf.DUMMYFUNCTION("""COMPUTED_VALUE"""),"Predios Exentos")</f>
        <v>Predios Exentos</v>
      </c>
      <c r="N336" s="1"/>
      <c r="O336" s="1"/>
      <c r="P336" s="1"/>
      <c r="Q336" s="1"/>
      <c r="R336" s="1"/>
      <c r="S336" s="1"/>
      <c r="T336" s="1"/>
      <c r="U336" s="1"/>
      <c r="V336" s="1"/>
      <c r="W336" s="1"/>
      <c r="X336" s="1"/>
      <c r="Y336" s="1"/>
      <c r="Z336" s="1"/>
    </row>
    <row r="337" spans="1:26" ht="12.75" customHeight="1">
      <c r="A337" s="1"/>
      <c r="B337" s="10" t="str">
        <f ca="1">IFERROR(__xludf.DUMMYFUNCTION("""COMPUTED_VALUE"""),"Compensación Predios Exentos 2024")</f>
        <v>Compensación Predios Exentos 2024</v>
      </c>
      <c r="C337" s="26" t="str">
        <f t="shared" ca="1" si="0"/>
        <v xml:space="preserve"> SAN ESTEBAN</v>
      </c>
      <c r="D337" s="10" t="str">
        <f ca="1">IFERROR(__xludf.DUMMYFUNCTION("""COMPUTED_VALUE"""),"Resolución de Transferencia")</f>
        <v>Resolución de Transferencia</v>
      </c>
      <c r="E337" s="26" t="str">
        <f ca="1">IFERROR(__xludf.DUMMYFUNCTION("""COMPUTED_VALUE"""),"MUNICIPALIDAD DE SAN ESTEBAN")</f>
        <v>MUNICIPALIDAD DE SAN ESTEBAN</v>
      </c>
      <c r="F337" s="11">
        <f ca="1">IFERROR(__xludf.DUMMYFUNCTION("""COMPUTED_VALUE"""),62794148)</f>
        <v>62794148</v>
      </c>
      <c r="G337" s="10" t="str">
        <f ca="1">IFERROR(__xludf.DUMMYFUNCTION("""COMPUTED_VALUE"""),"Resolución")</f>
        <v>Resolución</v>
      </c>
      <c r="H337" s="10" t="str">
        <f ca="1">IFERROR(__xludf.DUMMYFUNCTION("""COMPUTED_VALUE"""),"COMPENSACIÓN PREDIOS EXENTOS")</f>
        <v>COMPENSACIÓN PREDIOS EXENTOS</v>
      </c>
      <c r="I337" s="10" t="str">
        <f ca="1">IFERROR(__xludf.DUMMYFUNCTION("""COMPUTED_VALUE"""),"Cumplir con normativa y reglamentos internos del programa en base a los objetivos.")</f>
        <v>Cumplir con normativa y reglamentos internos del programa en base a los objetivos.</v>
      </c>
      <c r="J337" s="11">
        <f ca="1">IFERROR(__xludf.DUMMYFUNCTION("""COMPUTED_VALUE"""),62794148)</f>
        <v>62794148</v>
      </c>
      <c r="K337" s="27">
        <f ca="1">IFERROR(__xludf.DUMMYFUNCTION("""COMPUTED_VALUE"""),1)</f>
        <v>1</v>
      </c>
      <c r="L337" s="28" t="str">
        <f ca="1">IFERROR(__xludf.DUMMYFUNCTION("""COMPUTED_VALUE"""),"1/2024")</f>
        <v>1/2024</v>
      </c>
      <c r="M337" s="10" t="str">
        <f ca="1">IFERROR(__xludf.DUMMYFUNCTION("""COMPUTED_VALUE"""),"Predios Exentos")</f>
        <v>Predios Exentos</v>
      </c>
      <c r="N337" s="1"/>
      <c r="O337" s="1"/>
      <c r="P337" s="1"/>
      <c r="Q337" s="1"/>
      <c r="R337" s="1"/>
      <c r="S337" s="1"/>
      <c r="T337" s="1"/>
      <c r="U337" s="1"/>
      <c r="V337" s="1"/>
      <c r="W337" s="1"/>
      <c r="X337" s="1"/>
      <c r="Y337" s="1"/>
      <c r="Z337" s="1"/>
    </row>
    <row r="338" spans="1:26" ht="12.75" customHeight="1">
      <c r="A338" s="1"/>
      <c r="B338" s="10" t="str">
        <f ca="1">IFERROR(__xludf.DUMMYFUNCTION("""COMPUTED_VALUE"""),"Compensación Predios Exentos 2024")</f>
        <v>Compensación Predios Exentos 2024</v>
      </c>
      <c r="C338" s="26" t="str">
        <f t="shared" ca="1" si="0"/>
        <v xml:space="preserve"> CATEMU</v>
      </c>
      <c r="D338" s="10" t="str">
        <f ca="1">IFERROR(__xludf.DUMMYFUNCTION("""COMPUTED_VALUE"""),"Resolución de Transferencia")</f>
        <v>Resolución de Transferencia</v>
      </c>
      <c r="E338" s="26" t="str">
        <f ca="1">IFERROR(__xludf.DUMMYFUNCTION("""COMPUTED_VALUE"""),"MUNICIPALIDAD DE CATEMU")</f>
        <v>MUNICIPALIDAD DE CATEMU</v>
      </c>
      <c r="F338" s="11">
        <f ca="1">IFERROR(__xludf.DUMMYFUNCTION("""COMPUTED_VALUE"""),50184141)</f>
        <v>50184141</v>
      </c>
      <c r="G338" s="10" t="str">
        <f ca="1">IFERROR(__xludf.DUMMYFUNCTION("""COMPUTED_VALUE"""),"Resolución")</f>
        <v>Resolución</v>
      </c>
      <c r="H338" s="10" t="str">
        <f ca="1">IFERROR(__xludf.DUMMYFUNCTION("""COMPUTED_VALUE"""),"COMPENSACIÓN PREDIOS EXENTOS")</f>
        <v>COMPENSACIÓN PREDIOS EXENTOS</v>
      </c>
      <c r="I338" s="10" t="str">
        <f ca="1">IFERROR(__xludf.DUMMYFUNCTION("""COMPUTED_VALUE"""),"Cumplir con normativa y reglamentos internos del programa en base a los objetivos.")</f>
        <v>Cumplir con normativa y reglamentos internos del programa en base a los objetivos.</v>
      </c>
      <c r="J338" s="11">
        <f ca="1">IFERROR(__xludf.DUMMYFUNCTION("""COMPUTED_VALUE"""),50184141)</f>
        <v>50184141</v>
      </c>
      <c r="K338" s="27">
        <f ca="1">IFERROR(__xludf.DUMMYFUNCTION("""COMPUTED_VALUE"""),1)</f>
        <v>1</v>
      </c>
      <c r="L338" s="28" t="str">
        <f ca="1">IFERROR(__xludf.DUMMYFUNCTION("""COMPUTED_VALUE"""),"1/2024")</f>
        <v>1/2024</v>
      </c>
      <c r="M338" s="10" t="str">
        <f ca="1">IFERROR(__xludf.DUMMYFUNCTION("""COMPUTED_VALUE"""),"Predios Exentos")</f>
        <v>Predios Exentos</v>
      </c>
      <c r="N338" s="1"/>
      <c r="O338" s="1"/>
      <c r="P338" s="1"/>
      <c r="Q338" s="1"/>
      <c r="R338" s="1"/>
      <c r="S338" s="1"/>
      <c r="T338" s="1"/>
      <c r="U338" s="1"/>
      <c r="V338" s="1"/>
      <c r="W338" s="1"/>
      <c r="X338" s="1"/>
      <c r="Y338" s="1"/>
      <c r="Z338" s="1"/>
    </row>
    <row r="339" spans="1:26" ht="12.75" customHeight="1">
      <c r="A339" s="1"/>
      <c r="B339" s="10" t="str">
        <f ca="1">IFERROR(__xludf.DUMMYFUNCTION("""COMPUTED_VALUE"""),"Compensación Predios Exentos 2024")</f>
        <v>Compensación Predios Exentos 2024</v>
      </c>
      <c r="C339" s="26" t="str">
        <f t="shared" ca="1" si="0"/>
        <v xml:space="preserve"> ZAPALLAR</v>
      </c>
      <c r="D339" s="10" t="str">
        <f ca="1">IFERROR(__xludf.DUMMYFUNCTION("""COMPUTED_VALUE"""),"Resolución de Transferencia")</f>
        <v>Resolución de Transferencia</v>
      </c>
      <c r="E339" s="26" t="str">
        <f ca="1">IFERROR(__xludf.DUMMYFUNCTION("""COMPUTED_VALUE"""),"MUNICIPALIDAD DE ZAPALLAR")</f>
        <v>MUNICIPALIDAD DE ZAPALLAR</v>
      </c>
      <c r="F339" s="11">
        <f ca="1">IFERROR(__xludf.DUMMYFUNCTION("""COMPUTED_VALUE"""),22743048)</f>
        <v>22743048</v>
      </c>
      <c r="G339" s="10" t="str">
        <f ca="1">IFERROR(__xludf.DUMMYFUNCTION("""COMPUTED_VALUE"""),"Resolución")</f>
        <v>Resolución</v>
      </c>
      <c r="H339" s="10" t="str">
        <f ca="1">IFERROR(__xludf.DUMMYFUNCTION("""COMPUTED_VALUE"""),"COMPENSACIÓN PREDIOS EXENTOS")</f>
        <v>COMPENSACIÓN PREDIOS EXENTOS</v>
      </c>
      <c r="I339" s="10" t="str">
        <f ca="1">IFERROR(__xludf.DUMMYFUNCTION("""COMPUTED_VALUE"""),"Cumplir con normativa y reglamentos internos del programa en base a los objetivos.")</f>
        <v>Cumplir con normativa y reglamentos internos del programa en base a los objetivos.</v>
      </c>
      <c r="J339" s="11">
        <f ca="1">IFERROR(__xludf.DUMMYFUNCTION("""COMPUTED_VALUE"""),22743048)</f>
        <v>22743048</v>
      </c>
      <c r="K339" s="27">
        <f ca="1">IFERROR(__xludf.DUMMYFUNCTION("""COMPUTED_VALUE"""),1)</f>
        <v>1</v>
      </c>
      <c r="L339" s="28" t="str">
        <f ca="1">IFERROR(__xludf.DUMMYFUNCTION("""COMPUTED_VALUE"""),"1/2024")</f>
        <v>1/2024</v>
      </c>
      <c r="M339" s="10" t="str">
        <f ca="1">IFERROR(__xludf.DUMMYFUNCTION("""COMPUTED_VALUE"""),"Predios Exentos")</f>
        <v>Predios Exentos</v>
      </c>
      <c r="N339" s="1"/>
      <c r="O339" s="1"/>
      <c r="P339" s="1"/>
      <c r="Q339" s="1"/>
      <c r="R339" s="1"/>
      <c r="S339" s="1"/>
      <c r="T339" s="1"/>
      <c r="U339" s="1"/>
      <c r="V339" s="1"/>
      <c r="W339" s="1"/>
      <c r="X339" s="1"/>
      <c r="Y339" s="1"/>
      <c r="Z339" s="1"/>
    </row>
    <row r="340" spans="1:26" ht="12.75" customHeight="1">
      <c r="A340" s="1"/>
      <c r="B340" s="10" t="str">
        <f ca="1">IFERROR(__xludf.DUMMYFUNCTION("""COMPUTED_VALUE"""),"Compensación Predios Exentos 2024")</f>
        <v>Compensación Predios Exentos 2024</v>
      </c>
      <c r="C340" s="26" t="str">
        <f t="shared" ca="1" si="0"/>
        <v xml:space="preserve"> PAPUDO</v>
      </c>
      <c r="D340" s="10" t="str">
        <f ca="1">IFERROR(__xludf.DUMMYFUNCTION("""COMPUTED_VALUE"""),"Resolución de Transferencia")</f>
        <v>Resolución de Transferencia</v>
      </c>
      <c r="E340" s="26" t="str">
        <f ca="1">IFERROR(__xludf.DUMMYFUNCTION("""COMPUTED_VALUE"""),"MUNICIPALIDAD DE PAPUDO")</f>
        <v>MUNICIPALIDAD DE PAPUDO</v>
      </c>
      <c r="F340" s="11">
        <f ca="1">IFERROR(__xludf.DUMMYFUNCTION("""COMPUTED_VALUE"""),31217955)</f>
        <v>31217955</v>
      </c>
      <c r="G340" s="10" t="str">
        <f ca="1">IFERROR(__xludf.DUMMYFUNCTION("""COMPUTED_VALUE"""),"Resolución")</f>
        <v>Resolución</v>
      </c>
      <c r="H340" s="10" t="str">
        <f ca="1">IFERROR(__xludf.DUMMYFUNCTION("""COMPUTED_VALUE"""),"COMPENSACIÓN PREDIOS EXENTOS")</f>
        <v>COMPENSACIÓN PREDIOS EXENTOS</v>
      </c>
      <c r="I340" s="10" t="str">
        <f ca="1">IFERROR(__xludf.DUMMYFUNCTION("""COMPUTED_VALUE"""),"Cumplir con normativa y reglamentos internos del programa en base a los objetivos.")</f>
        <v>Cumplir con normativa y reglamentos internos del programa en base a los objetivos.</v>
      </c>
      <c r="J340" s="11">
        <f ca="1">IFERROR(__xludf.DUMMYFUNCTION("""COMPUTED_VALUE"""),31217955)</f>
        <v>31217955</v>
      </c>
      <c r="K340" s="27">
        <f ca="1">IFERROR(__xludf.DUMMYFUNCTION("""COMPUTED_VALUE"""),1)</f>
        <v>1</v>
      </c>
      <c r="L340" s="28" t="str">
        <f ca="1">IFERROR(__xludf.DUMMYFUNCTION("""COMPUTED_VALUE"""),"1/2024")</f>
        <v>1/2024</v>
      </c>
      <c r="M340" s="10" t="str">
        <f ca="1">IFERROR(__xludf.DUMMYFUNCTION("""COMPUTED_VALUE"""),"Predios Exentos")</f>
        <v>Predios Exentos</v>
      </c>
      <c r="N340" s="1"/>
      <c r="O340" s="1"/>
      <c r="P340" s="1"/>
      <c r="Q340" s="1"/>
      <c r="R340" s="1"/>
      <c r="S340" s="1"/>
      <c r="T340" s="1"/>
      <c r="U340" s="1"/>
      <c r="V340" s="1"/>
      <c r="W340" s="1"/>
      <c r="X340" s="1"/>
      <c r="Y340" s="1"/>
      <c r="Z340" s="1"/>
    </row>
    <row r="341" spans="1:26" ht="12.75" customHeight="1">
      <c r="A341" s="1"/>
      <c r="B341" s="10" t="str">
        <f ca="1">IFERROR(__xludf.DUMMYFUNCTION("""COMPUTED_VALUE"""),"Compensación Predios Exentos 2024")</f>
        <v>Compensación Predios Exentos 2024</v>
      </c>
      <c r="C341" s="26" t="str">
        <f t="shared" ca="1" si="0"/>
        <v xml:space="preserve"> CANELA</v>
      </c>
      <c r="D341" s="10" t="str">
        <f ca="1">IFERROR(__xludf.DUMMYFUNCTION("""COMPUTED_VALUE"""),"Resolución de Transferencia")</f>
        <v>Resolución de Transferencia</v>
      </c>
      <c r="E341" s="26" t="str">
        <f ca="1">IFERROR(__xludf.DUMMYFUNCTION("""COMPUTED_VALUE"""),"MUNICIPALIDAD DE CANELA")</f>
        <v>MUNICIPALIDAD DE CANELA</v>
      </c>
      <c r="F341" s="11">
        <f ca="1">IFERROR(__xludf.DUMMYFUNCTION("""COMPUTED_VALUE"""),45138092)</f>
        <v>45138092</v>
      </c>
      <c r="G341" s="10" t="str">
        <f ca="1">IFERROR(__xludf.DUMMYFUNCTION("""COMPUTED_VALUE"""),"Resolución")</f>
        <v>Resolución</v>
      </c>
      <c r="H341" s="10" t="str">
        <f ca="1">IFERROR(__xludf.DUMMYFUNCTION("""COMPUTED_VALUE"""),"COMPENSACIÓN PREDIOS EXENTOS")</f>
        <v>COMPENSACIÓN PREDIOS EXENTOS</v>
      </c>
      <c r="I341" s="10" t="str">
        <f ca="1">IFERROR(__xludf.DUMMYFUNCTION("""COMPUTED_VALUE"""),"Cumplir con normativa y reglamentos internos del programa en base a los objetivos.")</f>
        <v>Cumplir con normativa y reglamentos internos del programa en base a los objetivos.</v>
      </c>
      <c r="J341" s="11">
        <f ca="1">IFERROR(__xludf.DUMMYFUNCTION("""COMPUTED_VALUE"""),45138092)</f>
        <v>45138092</v>
      </c>
      <c r="K341" s="27">
        <f ca="1">IFERROR(__xludf.DUMMYFUNCTION("""COMPUTED_VALUE"""),1)</f>
        <v>1</v>
      </c>
      <c r="L341" s="28" t="str">
        <f ca="1">IFERROR(__xludf.DUMMYFUNCTION("""COMPUTED_VALUE"""),"1/2024")</f>
        <v>1/2024</v>
      </c>
      <c r="M341" s="10" t="str">
        <f ca="1">IFERROR(__xludf.DUMMYFUNCTION("""COMPUTED_VALUE"""),"Predios Exentos")</f>
        <v>Predios Exentos</v>
      </c>
      <c r="N341" s="1"/>
      <c r="O341" s="1"/>
      <c r="P341" s="1"/>
      <c r="Q341" s="1"/>
      <c r="R341" s="1"/>
      <c r="S341" s="1"/>
      <c r="T341" s="1"/>
      <c r="U341" s="1"/>
      <c r="V341" s="1"/>
      <c r="W341" s="1"/>
      <c r="X341" s="1"/>
      <c r="Y341" s="1"/>
      <c r="Z341" s="1"/>
    </row>
    <row r="342" spans="1:26" ht="12.75" customHeight="1">
      <c r="A342" s="1"/>
      <c r="B342" s="10" t="str">
        <f ca="1">IFERROR(__xludf.DUMMYFUNCTION("""COMPUTED_VALUE"""),"Compensación Predios Exentos 2024")</f>
        <v>Compensación Predios Exentos 2024</v>
      </c>
      <c r="C342" s="26" t="str">
        <f t="shared" ca="1" si="0"/>
        <v xml:space="preserve"> VICUÑA</v>
      </c>
      <c r="D342" s="10" t="str">
        <f ca="1">IFERROR(__xludf.DUMMYFUNCTION("""COMPUTED_VALUE"""),"Resolución de Transferencia")</f>
        <v>Resolución de Transferencia</v>
      </c>
      <c r="E342" s="26" t="str">
        <f ca="1">IFERROR(__xludf.DUMMYFUNCTION("""COMPUTED_VALUE"""),"MUNICIPALIDAD DE VICUÑA")</f>
        <v>MUNICIPALIDAD DE VICUÑA</v>
      </c>
      <c r="F342" s="11">
        <f ca="1">IFERROR(__xludf.DUMMYFUNCTION("""COMPUTED_VALUE"""),115250547)</f>
        <v>115250547</v>
      </c>
      <c r="G342" s="10" t="str">
        <f ca="1">IFERROR(__xludf.DUMMYFUNCTION("""COMPUTED_VALUE"""),"Resolución")</f>
        <v>Resolución</v>
      </c>
      <c r="H342" s="10" t="str">
        <f ca="1">IFERROR(__xludf.DUMMYFUNCTION("""COMPUTED_VALUE"""),"COMPENSACIÓN PREDIOS EXENTOS")</f>
        <v>COMPENSACIÓN PREDIOS EXENTOS</v>
      </c>
      <c r="I342" s="10" t="str">
        <f ca="1">IFERROR(__xludf.DUMMYFUNCTION("""COMPUTED_VALUE"""),"Cumplir con normativa y reglamentos internos del programa en base a los objetivos.")</f>
        <v>Cumplir con normativa y reglamentos internos del programa en base a los objetivos.</v>
      </c>
      <c r="J342" s="11">
        <f ca="1">IFERROR(__xludf.DUMMYFUNCTION("""COMPUTED_VALUE"""),115250547)</f>
        <v>115250547</v>
      </c>
      <c r="K342" s="27">
        <f ca="1">IFERROR(__xludf.DUMMYFUNCTION("""COMPUTED_VALUE"""),1)</f>
        <v>1</v>
      </c>
      <c r="L342" s="28" t="str">
        <f ca="1">IFERROR(__xludf.DUMMYFUNCTION("""COMPUTED_VALUE"""),"1/2024")</f>
        <v>1/2024</v>
      </c>
      <c r="M342" s="10" t="str">
        <f ca="1">IFERROR(__xludf.DUMMYFUNCTION("""COMPUTED_VALUE"""),"Predios Exentos")</f>
        <v>Predios Exentos</v>
      </c>
      <c r="N342" s="1"/>
      <c r="O342" s="1"/>
      <c r="P342" s="1"/>
      <c r="Q342" s="1"/>
      <c r="R342" s="1"/>
      <c r="S342" s="1"/>
      <c r="T342" s="1"/>
      <c r="U342" s="1"/>
      <c r="V342" s="1"/>
      <c r="W342" s="1"/>
      <c r="X342" s="1"/>
      <c r="Y342" s="1"/>
      <c r="Z342" s="1"/>
    </row>
    <row r="343" spans="1:26" ht="12.75" customHeight="1">
      <c r="A343" s="1"/>
      <c r="B343" s="10" t="str">
        <f ca="1">IFERROR(__xludf.DUMMYFUNCTION("""COMPUTED_VALUE"""),"Compensación Predios Exentos 2024")</f>
        <v>Compensación Predios Exentos 2024</v>
      </c>
      <c r="C343" s="26" t="str">
        <f t="shared" ca="1" si="0"/>
        <v xml:space="preserve"> PADRE LAS CASAS</v>
      </c>
      <c r="D343" s="10" t="str">
        <f ca="1">IFERROR(__xludf.DUMMYFUNCTION("""COMPUTED_VALUE"""),"Resolución de Transferencia")</f>
        <v>Resolución de Transferencia</v>
      </c>
      <c r="E343" s="26" t="str">
        <f ca="1">IFERROR(__xludf.DUMMYFUNCTION("""COMPUTED_VALUE"""),"MUNICIPALIDAD DE PADRE LAS CASAS")</f>
        <v>MUNICIPALIDAD DE PADRE LAS CASAS</v>
      </c>
      <c r="F343" s="11">
        <f ca="1">IFERROR(__xludf.DUMMYFUNCTION("""COMPUTED_VALUE"""),301319792)</f>
        <v>301319792</v>
      </c>
      <c r="G343" s="10" t="str">
        <f ca="1">IFERROR(__xludf.DUMMYFUNCTION("""COMPUTED_VALUE"""),"Resolución")</f>
        <v>Resolución</v>
      </c>
      <c r="H343" s="10" t="str">
        <f ca="1">IFERROR(__xludf.DUMMYFUNCTION("""COMPUTED_VALUE"""),"COMPENSACIÓN PREDIOS EXENTOS")</f>
        <v>COMPENSACIÓN PREDIOS EXENTOS</v>
      </c>
      <c r="I343" s="10" t="str">
        <f ca="1">IFERROR(__xludf.DUMMYFUNCTION("""COMPUTED_VALUE"""),"Cumplir con normativa y reglamentos internos del programa en base a los objetivos.")</f>
        <v>Cumplir con normativa y reglamentos internos del programa en base a los objetivos.</v>
      </c>
      <c r="J343" s="11">
        <f ca="1">IFERROR(__xludf.DUMMYFUNCTION("""COMPUTED_VALUE"""),301319792)</f>
        <v>301319792</v>
      </c>
      <c r="K343" s="27">
        <f ca="1">IFERROR(__xludf.DUMMYFUNCTION("""COMPUTED_VALUE"""),1)</f>
        <v>1</v>
      </c>
      <c r="L343" s="28" t="str">
        <f ca="1">IFERROR(__xludf.DUMMYFUNCTION("""COMPUTED_VALUE"""),"1/2024")</f>
        <v>1/2024</v>
      </c>
      <c r="M343" s="10" t="str">
        <f ca="1">IFERROR(__xludf.DUMMYFUNCTION("""COMPUTED_VALUE"""),"Predios Exentos")</f>
        <v>Predios Exentos</v>
      </c>
      <c r="N343" s="1"/>
      <c r="O343" s="1"/>
      <c r="P343" s="1"/>
      <c r="Q343" s="1"/>
      <c r="R343" s="1"/>
      <c r="S343" s="1"/>
      <c r="T343" s="1"/>
      <c r="U343" s="1"/>
      <c r="V343" s="1"/>
      <c r="W343" s="1"/>
      <c r="X343" s="1"/>
      <c r="Y343" s="1"/>
      <c r="Z343" s="1"/>
    </row>
    <row r="344" spans="1:26" ht="12.75" customHeight="1">
      <c r="A344" s="1"/>
      <c r="B344" s="10" t="str">
        <f ca="1">IFERROR(__xludf.DUMMYFUNCTION("""COMPUTED_VALUE"""),"Compensación Predios Exentos 2024")</f>
        <v>Compensación Predios Exentos 2024</v>
      </c>
      <c r="C344" s="26" t="str">
        <f t="shared" ca="1" si="0"/>
        <v xml:space="preserve"> COMBARBALÁ</v>
      </c>
      <c r="D344" s="10" t="str">
        <f ca="1">IFERROR(__xludf.DUMMYFUNCTION("""COMPUTED_VALUE"""),"Resolución de Transferencia")</f>
        <v>Resolución de Transferencia</v>
      </c>
      <c r="E344" s="26" t="str">
        <f ca="1">IFERROR(__xludf.DUMMYFUNCTION("""COMPUTED_VALUE"""),"MUNICIPALIDAD DE COMBARBALÁ")</f>
        <v>MUNICIPALIDAD DE COMBARBALÁ</v>
      </c>
      <c r="F344" s="11">
        <f ca="1">IFERROR(__xludf.DUMMYFUNCTION("""COMPUTED_VALUE"""),80736795)</f>
        <v>80736795</v>
      </c>
      <c r="G344" s="10" t="str">
        <f ca="1">IFERROR(__xludf.DUMMYFUNCTION("""COMPUTED_VALUE"""),"Resolución")</f>
        <v>Resolución</v>
      </c>
      <c r="H344" s="10" t="str">
        <f ca="1">IFERROR(__xludf.DUMMYFUNCTION("""COMPUTED_VALUE"""),"COMPENSACIÓN PREDIOS EXENTOS")</f>
        <v>COMPENSACIÓN PREDIOS EXENTOS</v>
      </c>
      <c r="I344" s="10" t="str">
        <f ca="1">IFERROR(__xludf.DUMMYFUNCTION("""COMPUTED_VALUE"""),"Cumplir con normativa y reglamentos internos del programa en base a los objetivos.")</f>
        <v>Cumplir con normativa y reglamentos internos del programa en base a los objetivos.</v>
      </c>
      <c r="J344" s="11">
        <f ca="1">IFERROR(__xludf.DUMMYFUNCTION("""COMPUTED_VALUE"""),80736795)</f>
        <v>80736795</v>
      </c>
      <c r="K344" s="27">
        <f ca="1">IFERROR(__xludf.DUMMYFUNCTION("""COMPUTED_VALUE"""),1)</f>
        <v>1</v>
      </c>
      <c r="L344" s="28" t="str">
        <f ca="1">IFERROR(__xludf.DUMMYFUNCTION("""COMPUTED_VALUE"""),"1/2024")</f>
        <v>1/2024</v>
      </c>
      <c r="M344" s="10" t="str">
        <f ca="1">IFERROR(__xludf.DUMMYFUNCTION("""COMPUTED_VALUE"""),"Predios Exentos")</f>
        <v>Predios Exentos</v>
      </c>
      <c r="N344" s="1"/>
      <c r="O344" s="1"/>
      <c r="P344" s="1"/>
      <c r="Q344" s="1"/>
      <c r="R344" s="1"/>
      <c r="S344" s="1"/>
      <c r="T344" s="1"/>
      <c r="U344" s="1"/>
      <c r="V344" s="1"/>
      <c r="W344" s="1"/>
      <c r="X344" s="1"/>
      <c r="Y344" s="1"/>
      <c r="Z344" s="1"/>
    </row>
    <row r="345" spans="1:26" ht="12.75" customHeight="1">
      <c r="A345" s="1"/>
      <c r="B345" s="10" t="str">
        <f ca="1">IFERROR(__xludf.DUMMYFUNCTION("""COMPUTED_VALUE"""),"Compensación Predios Exentos 2024")</f>
        <v>Compensación Predios Exentos 2024</v>
      </c>
      <c r="C345" s="26" t="str">
        <f t="shared" ca="1" si="0"/>
        <v xml:space="preserve"> LOS VILOS</v>
      </c>
      <c r="D345" s="10" t="str">
        <f ca="1">IFERROR(__xludf.DUMMYFUNCTION("""COMPUTED_VALUE"""),"Resolución de Transferencia")</f>
        <v>Resolución de Transferencia</v>
      </c>
      <c r="E345" s="26" t="str">
        <f ca="1">IFERROR(__xludf.DUMMYFUNCTION("""COMPUTED_VALUE"""),"MUNICIPALIDAD DE LOS VILOS")</f>
        <v>MUNICIPALIDAD DE LOS VILOS</v>
      </c>
      <c r="F345" s="11">
        <f ca="1">IFERROR(__xludf.DUMMYFUNCTION("""COMPUTED_VALUE"""),113786886)</f>
        <v>113786886</v>
      </c>
      <c r="G345" s="10" t="str">
        <f ca="1">IFERROR(__xludf.DUMMYFUNCTION("""COMPUTED_VALUE"""),"Resolución")</f>
        <v>Resolución</v>
      </c>
      <c r="H345" s="10" t="str">
        <f ca="1">IFERROR(__xludf.DUMMYFUNCTION("""COMPUTED_VALUE"""),"COMPENSACIÓN PREDIOS EXENTOS")</f>
        <v>COMPENSACIÓN PREDIOS EXENTOS</v>
      </c>
      <c r="I345" s="10" t="str">
        <f ca="1">IFERROR(__xludf.DUMMYFUNCTION("""COMPUTED_VALUE"""),"Cumplir con normativa y reglamentos internos del programa en base a los objetivos.")</f>
        <v>Cumplir con normativa y reglamentos internos del programa en base a los objetivos.</v>
      </c>
      <c r="J345" s="11">
        <f ca="1">IFERROR(__xludf.DUMMYFUNCTION("""COMPUTED_VALUE"""),113786886)</f>
        <v>113786886</v>
      </c>
      <c r="K345" s="27">
        <f ca="1">IFERROR(__xludf.DUMMYFUNCTION("""COMPUTED_VALUE"""),1)</f>
        <v>1</v>
      </c>
      <c r="L345" s="28" t="str">
        <f ca="1">IFERROR(__xludf.DUMMYFUNCTION("""COMPUTED_VALUE"""),"1/2024")</f>
        <v>1/2024</v>
      </c>
      <c r="M345" s="10" t="str">
        <f ca="1">IFERROR(__xludf.DUMMYFUNCTION("""COMPUTED_VALUE"""),"Predios Exentos")</f>
        <v>Predios Exentos</v>
      </c>
      <c r="N345" s="1"/>
      <c r="O345" s="1"/>
      <c r="P345" s="1"/>
      <c r="Q345" s="1"/>
      <c r="R345" s="1"/>
      <c r="S345" s="1"/>
      <c r="T345" s="1"/>
      <c r="U345" s="1"/>
      <c r="V345" s="1"/>
      <c r="W345" s="1"/>
      <c r="X345" s="1"/>
      <c r="Y345" s="1"/>
      <c r="Z345" s="1"/>
    </row>
    <row r="346" spans="1:26" ht="12.75" customHeight="1">
      <c r="A346" s="1"/>
      <c r="B346" s="10" t="str">
        <f ca="1">IFERROR(__xludf.DUMMYFUNCTION("""COMPUTED_VALUE"""),"Compensación Predios Exentos 2024")</f>
        <v>Compensación Predios Exentos 2024</v>
      </c>
      <c r="C346" s="26" t="str">
        <f t="shared" ca="1" si="0"/>
        <v xml:space="preserve"> SAN FELIPE</v>
      </c>
      <c r="D346" s="10" t="str">
        <f ca="1">IFERROR(__xludf.DUMMYFUNCTION("""COMPUTED_VALUE"""),"Resolución de Transferencia")</f>
        <v>Resolución de Transferencia</v>
      </c>
      <c r="E346" s="26" t="str">
        <f ca="1">IFERROR(__xludf.DUMMYFUNCTION("""COMPUTED_VALUE"""),"MUNICIPALIDAD DE SAN FELIPE")</f>
        <v>MUNICIPALIDAD DE SAN FELIPE</v>
      </c>
      <c r="F346" s="11">
        <f ca="1">IFERROR(__xludf.DUMMYFUNCTION("""COMPUTED_VALUE"""),262916590)</f>
        <v>262916590</v>
      </c>
      <c r="G346" s="10" t="str">
        <f ca="1">IFERROR(__xludf.DUMMYFUNCTION("""COMPUTED_VALUE"""),"Resolución")</f>
        <v>Resolución</v>
      </c>
      <c r="H346" s="10" t="str">
        <f ca="1">IFERROR(__xludf.DUMMYFUNCTION("""COMPUTED_VALUE"""),"COMPENSACIÓN PREDIOS EXENTOS")</f>
        <v>COMPENSACIÓN PREDIOS EXENTOS</v>
      </c>
      <c r="I346" s="10" t="str">
        <f ca="1">IFERROR(__xludf.DUMMYFUNCTION("""COMPUTED_VALUE"""),"Cumplir con normativa y reglamentos internos del programa en base a los objetivos.")</f>
        <v>Cumplir con normativa y reglamentos internos del programa en base a los objetivos.</v>
      </c>
      <c r="J346" s="11">
        <f ca="1">IFERROR(__xludf.DUMMYFUNCTION("""COMPUTED_VALUE"""),262916590)</f>
        <v>262916590</v>
      </c>
      <c r="K346" s="27">
        <f ca="1">IFERROR(__xludf.DUMMYFUNCTION("""COMPUTED_VALUE"""),1)</f>
        <v>1</v>
      </c>
      <c r="L346" s="28" t="str">
        <f ca="1">IFERROR(__xludf.DUMMYFUNCTION("""COMPUTED_VALUE"""),"1/2024")</f>
        <v>1/2024</v>
      </c>
      <c r="M346" s="10" t="str">
        <f ca="1">IFERROR(__xludf.DUMMYFUNCTION("""COMPUTED_VALUE"""),"Predios Exentos")</f>
        <v>Predios Exentos</v>
      </c>
      <c r="N346" s="1"/>
      <c r="O346" s="1"/>
      <c r="P346" s="1"/>
      <c r="Q346" s="1"/>
      <c r="R346" s="1"/>
      <c r="S346" s="1"/>
      <c r="T346" s="1"/>
      <c r="U346" s="1"/>
      <c r="V346" s="1"/>
      <c r="W346" s="1"/>
      <c r="X346" s="1"/>
      <c r="Y346" s="1"/>
      <c r="Z346" s="1"/>
    </row>
    <row r="347" spans="1:26" ht="12.75" customHeight="1">
      <c r="A347" s="1"/>
      <c r="B347" s="10" t="str">
        <f ca="1">IFERROR(__xludf.DUMMYFUNCTION("""COMPUTED_VALUE"""),"Compensación Predios Exentos 2024")</f>
        <v>Compensación Predios Exentos 2024</v>
      </c>
      <c r="C347" s="26" t="str">
        <f t="shared" ca="1" si="0"/>
        <v xml:space="preserve"> VILLA ALEMANA</v>
      </c>
      <c r="D347" s="10" t="str">
        <f ca="1">IFERROR(__xludf.DUMMYFUNCTION("""COMPUTED_VALUE"""),"Resolución de Transferencia")</f>
        <v>Resolución de Transferencia</v>
      </c>
      <c r="E347" s="26" t="str">
        <f ca="1">IFERROR(__xludf.DUMMYFUNCTION("""COMPUTED_VALUE"""),"MUNICIPALIDAD DE VILLA ALEMANA")</f>
        <v>MUNICIPALIDAD DE VILLA ALEMANA</v>
      </c>
      <c r="F347" s="11">
        <f ca="1">IFERROR(__xludf.DUMMYFUNCTION("""COMPUTED_VALUE"""),419078011)</f>
        <v>419078011</v>
      </c>
      <c r="G347" s="10" t="str">
        <f ca="1">IFERROR(__xludf.DUMMYFUNCTION("""COMPUTED_VALUE"""),"Resolución")</f>
        <v>Resolución</v>
      </c>
      <c r="H347" s="10" t="str">
        <f ca="1">IFERROR(__xludf.DUMMYFUNCTION("""COMPUTED_VALUE"""),"COMPENSACIÓN PREDIOS EXENTOS")</f>
        <v>COMPENSACIÓN PREDIOS EXENTOS</v>
      </c>
      <c r="I347" s="10" t="str">
        <f ca="1">IFERROR(__xludf.DUMMYFUNCTION("""COMPUTED_VALUE"""),"Cumplir con normativa y reglamentos internos del programa en base a los objetivos.")</f>
        <v>Cumplir con normativa y reglamentos internos del programa en base a los objetivos.</v>
      </c>
      <c r="J347" s="11">
        <f ca="1">IFERROR(__xludf.DUMMYFUNCTION("""COMPUTED_VALUE"""),419078011)</f>
        <v>419078011</v>
      </c>
      <c r="K347" s="27">
        <f ca="1">IFERROR(__xludf.DUMMYFUNCTION("""COMPUTED_VALUE"""),1)</f>
        <v>1</v>
      </c>
      <c r="L347" s="28" t="str">
        <f ca="1">IFERROR(__xludf.DUMMYFUNCTION("""COMPUTED_VALUE"""),"1/2024")</f>
        <v>1/2024</v>
      </c>
      <c r="M347" s="10" t="str">
        <f ca="1">IFERROR(__xludf.DUMMYFUNCTION("""COMPUTED_VALUE"""),"Predios Exentos")</f>
        <v>Predios Exentos</v>
      </c>
      <c r="N347" s="1"/>
      <c r="O347" s="1"/>
      <c r="P347" s="1"/>
      <c r="Q347" s="1"/>
      <c r="R347" s="1"/>
      <c r="S347" s="1"/>
      <c r="T347" s="1"/>
      <c r="U347" s="1"/>
      <c r="V347" s="1"/>
      <c r="W347" s="1"/>
      <c r="X347" s="1"/>
      <c r="Y347" s="1"/>
      <c r="Z347" s="1"/>
    </row>
    <row r="348" spans="1:26" ht="12.75" customHeight="1">
      <c r="A348" s="1"/>
      <c r="B348" s="10" t="str">
        <f ca="1">IFERROR(__xludf.DUMMYFUNCTION("""COMPUTED_VALUE"""),"Compensación Predios Exentos 2024")</f>
        <v>Compensación Predios Exentos 2024</v>
      </c>
      <c r="C348" s="26" t="str">
        <f t="shared" ca="1" si="0"/>
        <v xml:space="preserve"> LA CISTERNA</v>
      </c>
      <c r="D348" s="10" t="str">
        <f ca="1">IFERROR(__xludf.DUMMYFUNCTION("""COMPUTED_VALUE"""),"Resolución de Transferencia")</f>
        <v>Resolución de Transferencia</v>
      </c>
      <c r="E348" s="26" t="str">
        <f ca="1">IFERROR(__xludf.DUMMYFUNCTION("""COMPUTED_VALUE"""),"MUNICIPALIDAD DE LA CISTERNA")</f>
        <v>MUNICIPALIDAD DE LA CISTERNA</v>
      </c>
      <c r="F348" s="11">
        <f ca="1">IFERROR(__xludf.DUMMYFUNCTION("""COMPUTED_VALUE"""),301217438)</f>
        <v>301217438</v>
      </c>
      <c r="G348" s="10" t="str">
        <f ca="1">IFERROR(__xludf.DUMMYFUNCTION("""COMPUTED_VALUE"""),"Resolución")</f>
        <v>Resolución</v>
      </c>
      <c r="H348" s="10" t="str">
        <f ca="1">IFERROR(__xludf.DUMMYFUNCTION("""COMPUTED_VALUE"""),"COMPENSACIÓN PREDIOS EXENTOS")</f>
        <v>COMPENSACIÓN PREDIOS EXENTOS</v>
      </c>
      <c r="I348" s="10" t="str">
        <f ca="1">IFERROR(__xludf.DUMMYFUNCTION("""COMPUTED_VALUE"""),"Cumplir con normativa y reglamentos internos del programa en base a los objetivos.")</f>
        <v>Cumplir con normativa y reglamentos internos del programa en base a los objetivos.</v>
      </c>
      <c r="J348" s="11">
        <f ca="1">IFERROR(__xludf.DUMMYFUNCTION("""COMPUTED_VALUE"""),301217438)</f>
        <v>301217438</v>
      </c>
      <c r="K348" s="27">
        <f ca="1">IFERROR(__xludf.DUMMYFUNCTION("""COMPUTED_VALUE"""),1)</f>
        <v>1</v>
      </c>
      <c r="L348" s="28" t="str">
        <f ca="1">IFERROR(__xludf.DUMMYFUNCTION("""COMPUTED_VALUE"""),"1/2024")</f>
        <v>1/2024</v>
      </c>
      <c r="M348" s="10" t="str">
        <f ca="1">IFERROR(__xludf.DUMMYFUNCTION("""COMPUTED_VALUE"""),"Predios Exentos")</f>
        <v>Predios Exentos</v>
      </c>
      <c r="N348" s="1"/>
      <c r="O348" s="1"/>
      <c r="P348" s="1"/>
      <c r="Q348" s="1"/>
      <c r="R348" s="1"/>
      <c r="S348" s="1"/>
      <c r="T348" s="1"/>
      <c r="U348" s="1"/>
      <c r="V348" s="1"/>
      <c r="W348" s="1"/>
      <c r="X348" s="1"/>
      <c r="Y348" s="1"/>
      <c r="Z348" s="1"/>
    </row>
    <row r="349" spans="1:26" ht="12.75" customHeight="1">
      <c r="A349" s="1"/>
      <c r="B349" s="10" t="str">
        <f ca="1">IFERROR(__xludf.DUMMYFUNCTION("""COMPUTED_VALUE"""),"Compensación Predios Exentos 2024")</f>
        <v>Compensación Predios Exentos 2024</v>
      </c>
      <c r="C349" s="26" t="str">
        <f t="shared" ca="1" si="0"/>
        <v xml:space="preserve"> BUIN</v>
      </c>
      <c r="D349" s="10" t="str">
        <f ca="1">IFERROR(__xludf.DUMMYFUNCTION("""COMPUTED_VALUE"""),"Resolución de Transferencia")</f>
        <v>Resolución de Transferencia</v>
      </c>
      <c r="E349" s="26" t="str">
        <f ca="1">IFERROR(__xludf.DUMMYFUNCTION("""COMPUTED_VALUE"""),"MUNICIPALIDAD DE BUIN")</f>
        <v>MUNICIPALIDAD DE BUIN</v>
      </c>
      <c r="F349" s="11">
        <f ca="1">IFERROR(__xludf.DUMMYFUNCTION("""COMPUTED_VALUE"""),236673037)</f>
        <v>236673037</v>
      </c>
      <c r="G349" s="10" t="str">
        <f ca="1">IFERROR(__xludf.DUMMYFUNCTION("""COMPUTED_VALUE"""),"Resolución")</f>
        <v>Resolución</v>
      </c>
      <c r="H349" s="10" t="str">
        <f ca="1">IFERROR(__xludf.DUMMYFUNCTION("""COMPUTED_VALUE"""),"COMPENSACIÓN PREDIOS EXENTOS")</f>
        <v>COMPENSACIÓN PREDIOS EXENTOS</v>
      </c>
      <c r="I349" s="10" t="str">
        <f ca="1">IFERROR(__xludf.DUMMYFUNCTION("""COMPUTED_VALUE"""),"Cumplir con normativa y reglamentos internos del programa en base a los objetivos.")</f>
        <v>Cumplir con normativa y reglamentos internos del programa en base a los objetivos.</v>
      </c>
      <c r="J349" s="11">
        <f ca="1">IFERROR(__xludf.DUMMYFUNCTION("""COMPUTED_VALUE"""),236673037)</f>
        <v>236673037</v>
      </c>
      <c r="K349" s="27">
        <f ca="1">IFERROR(__xludf.DUMMYFUNCTION("""COMPUTED_VALUE"""),1)</f>
        <v>1</v>
      </c>
      <c r="L349" s="28" t="str">
        <f ca="1">IFERROR(__xludf.DUMMYFUNCTION("""COMPUTED_VALUE"""),"1/2024")</f>
        <v>1/2024</v>
      </c>
      <c r="M349" s="10" t="str">
        <f ca="1">IFERROR(__xludf.DUMMYFUNCTION("""COMPUTED_VALUE"""),"Predios Exentos")</f>
        <v>Predios Exentos</v>
      </c>
      <c r="N349" s="1"/>
      <c r="O349" s="1"/>
      <c r="P349" s="1"/>
      <c r="Q349" s="1"/>
      <c r="R349" s="1"/>
      <c r="S349" s="1"/>
      <c r="T349" s="1"/>
      <c r="U349" s="1"/>
      <c r="V349" s="1"/>
      <c r="W349" s="1"/>
      <c r="X349" s="1"/>
      <c r="Y349" s="1"/>
      <c r="Z349" s="1"/>
    </row>
    <row r="350" spans="1:26" ht="12.75" customHeight="1">
      <c r="A350" s="1"/>
      <c r="B350" s="10" t="str">
        <f ca="1">IFERROR(__xludf.DUMMYFUNCTION("""COMPUTED_VALUE"""),"Compensación Predios Exentos 2024")</f>
        <v>Compensación Predios Exentos 2024</v>
      </c>
      <c r="C350" s="26" t="str">
        <f t="shared" ca="1" si="0"/>
        <v xml:space="preserve"> SAN ANTONIO</v>
      </c>
      <c r="D350" s="10" t="str">
        <f ca="1">IFERROR(__xludf.DUMMYFUNCTION("""COMPUTED_VALUE"""),"Resolución de Transferencia")</f>
        <v>Resolución de Transferencia</v>
      </c>
      <c r="E350" s="26" t="str">
        <f ca="1">IFERROR(__xludf.DUMMYFUNCTION("""COMPUTED_VALUE"""),"MUNICIPALIDAD DE SAN ANTONIO")</f>
        <v>MUNICIPALIDAD DE SAN ANTONIO</v>
      </c>
      <c r="F350" s="11">
        <f ca="1">IFERROR(__xludf.DUMMYFUNCTION("""COMPUTED_VALUE"""),301954386)</f>
        <v>301954386</v>
      </c>
      <c r="G350" s="10" t="str">
        <f ca="1">IFERROR(__xludf.DUMMYFUNCTION("""COMPUTED_VALUE"""),"Resolución")</f>
        <v>Resolución</v>
      </c>
      <c r="H350" s="10" t="str">
        <f ca="1">IFERROR(__xludf.DUMMYFUNCTION("""COMPUTED_VALUE"""),"COMPENSACIÓN PREDIOS EXENTOS")</f>
        <v>COMPENSACIÓN PREDIOS EXENTOS</v>
      </c>
      <c r="I350" s="10" t="str">
        <f ca="1">IFERROR(__xludf.DUMMYFUNCTION("""COMPUTED_VALUE"""),"Cumplir con normativa y reglamentos internos del programa en base a los objetivos.")</f>
        <v>Cumplir con normativa y reglamentos internos del programa en base a los objetivos.</v>
      </c>
      <c r="J350" s="11">
        <f ca="1">IFERROR(__xludf.DUMMYFUNCTION("""COMPUTED_VALUE"""),301954386)</f>
        <v>301954386</v>
      </c>
      <c r="K350" s="27">
        <f ca="1">IFERROR(__xludf.DUMMYFUNCTION("""COMPUTED_VALUE"""),1)</f>
        <v>1</v>
      </c>
      <c r="L350" s="28" t="str">
        <f ca="1">IFERROR(__xludf.DUMMYFUNCTION("""COMPUTED_VALUE"""),"1/2024")</f>
        <v>1/2024</v>
      </c>
      <c r="M350" s="10" t="str">
        <f ca="1">IFERROR(__xludf.DUMMYFUNCTION("""COMPUTED_VALUE"""),"Predios Exentos")</f>
        <v>Predios Exentos</v>
      </c>
      <c r="N350" s="1"/>
      <c r="O350" s="1"/>
      <c r="P350" s="1"/>
      <c r="Q350" s="1"/>
      <c r="R350" s="1"/>
      <c r="S350" s="1"/>
      <c r="T350" s="1"/>
      <c r="U350" s="1"/>
      <c r="V350" s="1"/>
      <c r="W350" s="1"/>
      <c r="X350" s="1"/>
      <c r="Y350" s="1"/>
      <c r="Z350" s="1"/>
    </row>
    <row r="351" spans="1:26" ht="12.75" customHeight="1">
      <c r="A351" s="1"/>
      <c r="B351" s="10" t="str">
        <f ca="1">IFERROR(__xludf.DUMMYFUNCTION("""COMPUTED_VALUE"""),"Compensación Predios Exentos 2024")</f>
        <v>Compensación Predios Exentos 2024</v>
      </c>
      <c r="C351" s="26" t="str">
        <f t="shared" ca="1" si="0"/>
        <v xml:space="preserve"> CARTAGENA</v>
      </c>
      <c r="D351" s="10" t="str">
        <f ca="1">IFERROR(__xludf.DUMMYFUNCTION("""COMPUTED_VALUE"""),"Resolución de Transferencia")</f>
        <v>Resolución de Transferencia</v>
      </c>
      <c r="E351" s="26" t="str">
        <f ca="1">IFERROR(__xludf.DUMMYFUNCTION("""COMPUTED_VALUE"""),"MUNICIPALIDAD DE CARTAGENA")</f>
        <v>MUNICIPALIDAD DE CARTAGENA</v>
      </c>
      <c r="F351" s="11">
        <f ca="1">IFERROR(__xludf.DUMMYFUNCTION("""COMPUTED_VALUE"""),109958848)</f>
        <v>109958848</v>
      </c>
      <c r="G351" s="10" t="str">
        <f ca="1">IFERROR(__xludf.DUMMYFUNCTION("""COMPUTED_VALUE"""),"Resolución")</f>
        <v>Resolución</v>
      </c>
      <c r="H351" s="10" t="str">
        <f ca="1">IFERROR(__xludf.DUMMYFUNCTION("""COMPUTED_VALUE"""),"COMPENSACIÓN PREDIOS EXENTOS")</f>
        <v>COMPENSACIÓN PREDIOS EXENTOS</v>
      </c>
      <c r="I351" s="10" t="str">
        <f ca="1">IFERROR(__xludf.DUMMYFUNCTION("""COMPUTED_VALUE"""),"Cumplir con normativa y reglamentos internos del programa en base a los objetivos.")</f>
        <v>Cumplir con normativa y reglamentos internos del programa en base a los objetivos.</v>
      </c>
      <c r="J351" s="11">
        <f ca="1">IFERROR(__xludf.DUMMYFUNCTION("""COMPUTED_VALUE"""),109958848)</f>
        <v>109958848</v>
      </c>
      <c r="K351" s="27">
        <f ca="1">IFERROR(__xludf.DUMMYFUNCTION("""COMPUTED_VALUE"""),1)</f>
        <v>1</v>
      </c>
      <c r="L351" s="28" t="str">
        <f ca="1">IFERROR(__xludf.DUMMYFUNCTION("""COMPUTED_VALUE"""),"1/2024")</f>
        <v>1/2024</v>
      </c>
      <c r="M351" s="10" t="str">
        <f ca="1">IFERROR(__xludf.DUMMYFUNCTION("""COMPUTED_VALUE"""),"Predios Exentos")</f>
        <v>Predios Exentos</v>
      </c>
      <c r="N351" s="1"/>
      <c r="O351" s="1"/>
      <c r="P351" s="1"/>
      <c r="Q351" s="1"/>
      <c r="R351" s="1"/>
      <c r="S351" s="1"/>
      <c r="T351" s="1"/>
      <c r="U351" s="1"/>
      <c r="V351" s="1"/>
      <c r="W351" s="1"/>
      <c r="X351" s="1"/>
      <c r="Y351" s="1"/>
      <c r="Z351" s="1"/>
    </row>
    <row r="352" spans="1:26" ht="12.75" customHeight="1">
      <c r="A352" s="1"/>
      <c r="B352" s="10" t="str">
        <f ca="1">IFERROR(__xludf.DUMMYFUNCTION("""COMPUTED_VALUE"""),"Compensación Predios Exentos 2024")</f>
        <v>Compensación Predios Exentos 2024</v>
      </c>
      <c r="C352" s="26" t="str">
        <f t="shared" ca="1" si="0"/>
        <v xml:space="preserve"> RANCAGUA</v>
      </c>
      <c r="D352" s="10" t="str">
        <f ca="1">IFERROR(__xludf.DUMMYFUNCTION("""COMPUTED_VALUE"""),"Resolución de Transferencia")</f>
        <v>Resolución de Transferencia</v>
      </c>
      <c r="E352" s="26" t="str">
        <f ca="1">IFERROR(__xludf.DUMMYFUNCTION("""COMPUTED_VALUE"""),"MUNICIPALIDAD DE RANCAGUA")</f>
        <v>MUNICIPALIDAD DE RANCAGUA</v>
      </c>
      <c r="F352" s="11">
        <f ca="1">IFERROR(__xludf.DUMMYFUNCTION("""COMPUTED_VALUE"""),843498898)</f>
        <v>843498898</v>
      </c>
      <c r="G352" s="10" t="str">
        <f ca="1">IFERROR(__xludf.DUMMYFUNCTION("""COMPUTED_VALUE"""),"Resolución")</f>
        <v>Resolución</v>
      </c>
      <c r="H352" s="10" t="str">
        <f ca="1">IFERROR(__xludf.DUMMYFUNCTION("""COMPUTED_VALUE"""),"COMPENSACIÓN PREDIOS EXENTOS")</f>
        <v>COMPENSACIÓN PREDIOS EXENTOS</v>
      </c>
      <c r="I352" s="10" t="str">
        <f ca="1">IFERROR(__xludf.DUMMYFUNCTION("""COMPUTED_VALUE"""),"Cumplir con normativa y reglamentos internos del programa en base a los objetivos.")</f>
        <v>Cumplir con normativa y reglamentos internos del programa en base a los objetivos.</v>
      </c>
      <c r="J352" s="11">
        <f ca="1">IFERROR(__xludf.DUMMYFUNCTION("""COMPUTED_VALUE"""),843498898)</f>
        <v>843498898</v>
      </c>
      <c r="K352" s="27">
        <f ca="1">IFERROR(__xludf.DUMMYFUNCTION("""COMPUTED_VALUE"""),1)</f>
        <v>1</v>
      </c>
      <c r="L352" s="28" t="str">
        <f ca="1">IFERROR(__xludf.DUMMYFUNCTION("""COMPUTED_VALUE"""),"1/2024")</f>
        <v>1/2024</v>
      </c>
      <c r="M352" s="10" t="str">
        <f ca="1">IFERROR(__xludf.DUMMYFUNCTION("""COMPUTED_VALUE"""),"Predios Exentos")</f>
        <v>Predios Exentos</v>
      </c>
      <c r="N352" s="1"/>
      <c r="O352" s="1"/>
      <c r="P352" s="1"/>
      <c r="Q352" s="1"/>
      <c r="R352" s="1"/>
      <c r="S352" s="1"/>
      <c r="T352" s="1"/>
      <c r="U352" s="1"/>
      <c r="V352" s="1"/>
      <c r="W352" s="1"/>
      <c r="X352" s="1"/>
      <c r="Y352" s="1"/>
      <c r="Z352" s="1"/>
    </row>
    <row r="353" spans="1:26" ht="12.75" customHeight="1">
      <c r="A353" s="1"/>
      <c r="B353" s="10" t="str">
        <f ca="1">IFERROR(__xludf.DUMMYFUNCTION("""COMPUTED_VALUE"""),"Compensación Predios Exentos 2024")</f>
        <v>Compensación Predios Exentos 2024</v>
      </c>
      <c r="C353" s="26" t="str">
        <f t="shared" ca="1" si="0"/>
        <v xml:space="preserve"> COINCO</v>
      </c>
      <c r="D353" s="10" t="str">
        <f ca="1">IFERROR(__xludf.DUMMYFUNCTION("""COMPUTED_VALUE"""),"Resolución de Transferencia")</f>
        <v>Resolución de Transferencia</v>
      </c>
      <c r="E353" s="26" t="str">
        <f ca="1">IFERROR(__xludf.DUMMYFUNCTION("""COMPUTED_VALUE"""),"MUNICIPALIDAD DE COINCO")</f>
        <v>MUNICIPALIDAD DE COINCO</v>
      </c>
      <c r="F353" s="11">
        <f ca="1">IFERROR(__xludf.DUMMYFUNCTION("""COMPUTED_VALUE"""),32098199)</f>
        <v>32098199</v>
      </c>
      <c r="G353" s="10" t="str">
        <f ca="1">IFERROR(__xludf.DUMMYFUNCTION("""COMPUTED_VALUE"""),"Resolución")</f>
        <v>Resolución</v>
      </c>
      <c r="H353" s="10" t="str">
        <f ca="1">IFERROR(__xludf.DUMMYFUNCTION("""COMPUTED_VALUE"""),"COMPENSACIÓN PREDIOS EXENTOS")</f>
        <v>COMPENSACIÓN PREDIOS EXENTOS</v>
      </c>
      <c r="I353" s="10" t="str">
        <f ca="1">IFERROR(__xludf.DUMMYFUNCTION("""COMPUTED_VALUE"""),"Cumplir con normativa y reglamentos internos del programa en base a los objetivos.")</f>
        <v>Cumplir con normativa y reglamentos internos del programa en base a los objetivos.</v>
      </c>
      <c r="J353" s="11">
        <f ca="1">IFERROR(__xludf.DUMMYFUNCTION("""COMPUTED_VALUE"""),32098199)</f>
        <v>32098199</v>
      </c>
      <c r="K353" s="27">
        <f ca="1">IFERROR(__xludf.DUMMYFUNCTION("""COMPUTED_VALUE"""),1)</f>
        <v>1</v>
      </c>
      <c r="L353" s="28" t="str">
        <f ca="1">IFERROR(__xludf.DUMMYFUNCTION("""COMPUTED_VALUE"""),"1/2024")</f>
        <v>1/2024</v>
      </c>
      <c r="M353" s="10" t="str">
        <f ca="1">IFERROR(__xludf.DUMMYFUNCTION("""COMPUTED_VALUE"""),"Predios Exentos")</f>
        <v>Predios Exentos</v>
      </c>
      <c r="N353" s="1"/>
      <c r="O353" s="1"/>
      <c r="P353" s="1"/>
      <c r="Q353" s="1"/>
      <c r="R353" s="1"/>
      <c r="S353" s="1"/>
      <c r="T353" s="1"/>
      <c r="U353" s="1"/>
      <c r="V353" s="1"/>
      <c r="W353" s="1"/>
      <c r="X353" s="1"/>
      <c r="Y353" s="1"/>
      <c r="Z353" s="1"/>
    </row>
    <row r="354" spans="1:26" ht="12.75" customHeight="1">
      <c r="A354" s="1"/>
      <c r="B354" s="10" t="str">
        <f ca="1">IFERROR(__xludf.DUMMYFUNCTION("""COMPUTED_VALUE"""),"Compensación Predios Exentos 2024")</f>
        <v>Compensación Predios Exentos 2024</v>
      </c>
      <c r="C354" s="26" t="str">
        <f t="shared" ca="1" si="0"/>
        <v xml:space="preserve"> CURICÓ</v>
      </c>
      <c r="D354" s="10" t="str">
        <f ca="1">IFERROR(__xludf.DUMMYFUNCTION("""COMPUTED_VALUE"""),"Resolución de Transferencia")</f>
        <v>Resolución de Transferencia</v>
      </c>
      <c r="E354" s="26" t="str">
        <f ca="1">IFERROR(__xludf.DUMMYFUNCTION("""COMPUTED_VALUE"""),"MUNICIPALIDAD DE CURICÓ")</f>
        <v>MUNICIPALIDAD DE CURICÓ</v>
      </c>
      <c r="F354" s="11">
        <f ca="1">IFERROR(__xludf.DUMMYFUNCTION("""COMPUTED_VALUE"""),557665258)</f>
        <v>557665258</v>
      </c>
      <c r="G354" s="10" t="str">
        <f ca="1">IFERROR(__xludf.DUMMYFUNCTION("""COMPUTED_VALUE"""),"Resolución")</f>
        <v>Resolución</v>
      </c>
      <c r="H354" s="10" t="str">
        <f ca="1">IFERROR(__xludf.DUMMYFUNCTION("""COMPUTED_VALUE"""),"COMPENSACIÓN PREDIOS EXENTOS")</f>
        <v>COMPENSACIÓN PREDIOS EXENTOS</v>
      </c>
      <c r="I354" s="10" t="str">
        <f ca="1">IFERROR(__xludf.DUMMYFUNCTION("""COMPUTED_VALUE"""),"Cumplir con normativa y reglamentos internos del programa en base a los objetivos.")</f>
        <v>Cumplir con normativa y reglamentos internos del programa en base a los objetivos.</v>
      </c>
      <c r="J354" s="11">
        <f ca="1">IFERROR(__xludf.DUMMYFUNCTION("""COMPUTED_VALUE"""),557665258)</f>
        <v>557665258</v>
      </c>
      <c r="K354" s="27">
        <f ca="1">IFERROR(__xludf.DUMMYFUNCTION("""COMPUTED_VALUE"""),1)</f>
        <v>1</v>
      </c>
      <c r="L354" s="28" t="str">
        <f ca="1">IFERROR(__xludf.DUMMYFUNCTION("""COMPUTED_VALUE"""),"1/2024")</f>
        <v>1/2024</v>
      </c>
      <c r="M354" s="10" t="str">
        <f ca="1">IFERROR(__xludf.DUMMYFUNCTION("""COMPUTED_VALUE"""),"Predios Exentos")</f>
        <v>Predios Exentos</v>
      </c>
      <c r="N354" s="1"/>
      <c r="O354" s="1"/>
      <c r="P354" s="1"/>
      <c r="Q354" s="1"/>
      <c r="R354" s="1"/>
      <c r="S354" s="1"/>
      <c r="T354" s="1"/>
      <c r="U354" s="1"/>
      <c r="V354" s="1"/>
      <c r="W354" s="1"/>
      <c r="X354" s="1"/>
      <c r="Y354" s="1"/>
      <c r="Z354" s="1"/>
    </row>
    <row r="355" spans="1:26" ht="12.75" customHeight="1">
      <c r="A355" s="1"/>
      <c r="B355" s="10" t="str">
        <f ca="1">IFERROR(__xludf.DUMMYFUNCTION("""COMPUTED_VALUE"""),"Compensación Predios Exentos 2024")</f>
        <v>Compensación Predios Exentos 2024</v>
      </c>
      <c r="C355" s="26" t="str">
        <f t="shared" ca="1" si="0"/>
        <v xml:space="preserve"> ROMERAL</v>
      </c>
      <c r="D355" s="10" t="str">
        <f ca="1">IFERROR(__xludf.DUMMYFUNCTION("""COMPUTED_VALUE"""),"Resolución de Transferencia")</f>
        <v>Resolución de Transferencia</v>
      </c>
      <c r="E355" s="26" t="str">
        <f ca="1">IFERROR(__xludf.DUMMYFUNCTION("""COMPUTED_VALUE"""),"MUNICIPALIDAD DE ROMERAL")</f>
        <v>MUNICIPALIDAD DE ROMERAL</v>
      </c>
      <c r="F355" s="11">
        <f ca="1">IFERROR(__xludf.DUMMYFUNCTION("""COMPUTED_VALUE"""),60982483)</f>
        <v>60982483</v>
      </c>
      <c r="G355" s="10" t="str">
        <f ca="1">IFERROR(__xludf.DUMMYFUNCTION("""COMPUTED_VALUE"""),"Resolución")</f>
        <v>Resolución</v>
      </c>
      <c r="H355" s="10" t="str">
        <f ca="1">IFERROR(__xludf.DUMMYFUNCTION("""COMPUTED_VALUE"""),"COMPENSACIÓN PREDIOS EXENTOS")</f>
        <v>COMPENSACIÓN PREDIOS EXENTOS</v>
      </c>
      <c r="I355" s="10" t="str">
        <f ca="1">IFERROR(__xludf.DUMMYFUNCTION("""COMPUTED_VALUE"""),"Cumplir con normativa y reglamentos internos del programa en base a los objetivos.")</f>
        <v>Cumplir con normativa y reglamentos internos del programa en base a los objetivos.</v>
      </c>
      <c r="J355" s="11">
        <f ca="1">IFERROR(__xludf.DUMMYFUNCTION("""COMPUTED_VALUE"""),60982483)</f>
        <v>60982483</v>
      </c>
      <c r="K355" s="27">
        <f ca="1">IFERROR(__xludf.DUMMYFUNCTION("""COMPUTED_VALUE"""),1)</f>
        <v>1</v>
      </c>
      <c r="L355" s="28" t="str">
        <f ca="1">IFERROR(__xludf.DUMMYFUNCTION("""COMPUTED_VALUE"""),"1/2024")</f>
        <v>1/2024</v>
      </c>
      <c r="M355" s="10" t="str">
        <f ca="1">IFERROR(__xludf.DUMMYFUNCTION("""COMPUTED_VALUE"""),"Predios Exentos")</f>
        <v>Predios Exentos</v>
      </c>
      <c r="N355" s="1"/>
      <c r="O355" s="1"/>
      <c r="P355" s="1"/>
      <c r="Q355" s="1"/>
      <c r="R355" s="1"/>
      <c r="S355" s="1"/>
      <c r="T355" s="1"/>
      <c r="U355" s="1"/>
      <c r="V355" s="1"/>
      <c r="W355" s="1"/>
      <c r="X355" s="1"/>
      <c r="Y355" s="1"/>
      <c r="Z355" s="1"/>
    </row>
    <row r="356" spans="1:26" ht="12.75" customHeight="1">
      <c r="A356" s="1"/>
      <c r="B356" s="10" t="str">
        <f ca="1">IFERROR(__xludf.DUMMYFUNCTION("""COMPUTED_VALUE"""),"Compensación Predios Exentos 2024")</f>
        <v>Compensación Predios Exentos 2024</v>
      </c>
      <c r="C356" s="26" t="str">
        <f t="shared" ca="1" si="0"/>
        <v xml:space="preserve"> TENO</v>
      </c>
      <c r="D356" s="10" t="str">
        <f ca="1">IFERROR(__xludf.DUMMYFUNCTION("""COMPUTED_VALUE"""),"Resolución de Transferencia")</f>
        <v>Resolución de Transferencia</v>
      </c>
      <c r="E356" s="26" t="str">
        <f ca="1">IFERROR(__xludf.DUMMYFUNCTION("""COMPUTED_VALUE"""),"MUNICIPALIDAD DE TENO")</f>
        <v>MUNICIPALIDAD DE TENO</v>
      </c>
      <c r="F356" s="11">
        <f ca="1">IFERROR(__xludf.DUMMYFUNCTION("""COMPUTED_VALUE"""),111146154)</f>
        <v>111146154</v>
      </c>
      <c r="G356" s="10" t="str">
        <f ca="1">IFERROR(__xludf.DUMMYFUNCTION("""COMPUTED_VALUE"""),"Resolución")</f>
        <v>Resolución</v>
      </c>
      <c r="H356" s="10" t="str">
        <f ca="1">IFERROR(__xludf.DUMMYFUNCTION("""COMPUTED_VALUE"""),"COMPENSACIÓN PREDIOS EXENTOS")</f>
        <v>COMPENSACIÓN PREDIOS EXENTOS</v>
      </c>
      <c r="I356" s="10" t="str">
        <f ca="1">IFERROR(__xludf.DUMMYFUNCTION("""COMPUTED_VALUE"""),"Cumplir con normativa y reglamentos internos del programa en base a los objetivos.")</f>
        <v>Cumplir con normativa y reglamentos internos del programa en base a los objetivos.</v>
      </c>
      <c r="J356" s="11">
        <f ca="1">IFERROR(__xludf.DUMMYFUNCTION("""COMPUTED_VALUE"""),111146154)</f>
        <v>111146154</v>
      </c>
      <c r="K356" s="27">
        <f ca="1">IFERROR(__xludf.DUMMYFUNCTION("""COMPUTED_VALUE"""),1)</f>
        <v>1</v>
      </c>
      <c r="L356" s="28" t="str">
        <f ca="1">IFERROR(__xludf.DUMMYFUNCTION("""COMPUTED_VALUE"""),"1/2024")</f>
        <v>1/2024</v>
      </c>
      <c r="M356" s="10" t="str">
        <f ca="1">IFERROR(__xludf.DUMMYFUNCTION("""COMPUTED_VALUE"""),"Predios Exentos")</f>
        <v>Predios Exentos</v>
      </c>
      <c r="N356" s="1"/>
      <c r="O356" s="1"/>
      <c r="P356" s="1"/>
      <c r="Q356" s="1"/>
      <c r="R356" s="1"/>
      <c r="S356" s="1"/>
      <c r="T356" s="1"/>
      <c r="U356" s="1"/>
      <c r="V356" s="1"/>
      <c r="W356" s="1"/>
      <c r="X356" s="1"/>
      <c r="Y356" s="1"/>
      <c r="Z356" s="1"/>
    </row>
    <row r="357" spans="1:26" ht="12.75" customHeight="1">
      <c r="A357" s="1"/>
      <c r="B357" s="10" t="str">
        <f ca="1">IFERROR(__xludf.DUMMYFUNCTION("""COMPUTED_VALUE"""),"Compensación Predios Exentos 2024")</f>
        <v>Compensación Predios Exentos 2024</v>
      </c>
      <c r="C357" s="26" t="str">
        <f t="shared" ca="1" si="0"/>
        <v xml:space="preserve"> LICANTÉN</v>
      </c>
      <c r="D357" s="10" t="str">
        <f ca="1">IFERROR(__xludf.DUMMYFUNCTION("""COMPUTED_VALUE"""),"Resolución de Transferencia")</f>
        <v>Resolución de Transferencia</v>
      </c>
      <c r="E357" s="26" t="str">
        <f ca="1">IFERROR(__xludf.DUMMYFUNCTION("""COMPUTED_VALUE"""),"MUNICIPALIDAD DE LICANTÉN")</f>
        <v>MUNICIPALIDAD DE LICANTÉN</v>
      </c>
      <c r="F357" s="11">
        <f ca="1">IFERROR(__xludf.DUMMYFUNCTION("""COMPUTED_VALUE"""),40347927)</f>
        <v>40347927</v>
      </c>
      <c r="G357" s="10" t="str">
        <f ca="1">IFERROR(__xludf.DUMMYFUNCTION("""COMPUTED_VALUE"""),"Resolución")</f>
        <v>Resolución</v>
      </c>
      <c r="H357" s="10" t="str">
        <f ca="1">IFERROR(__xludf.DUMMYFUNCTION("""COMPUTED_VALUE"""),"COMPENSACIÓN PREDIOS EXENTOS")</f>
        <v>COMPENSACIÓN PREDIOS EXENTOS</v>
      </c>
      <c r="I357" s="10" t="str">
        <f ca="1">IFERROR(__xludf.DUMMYFUNCTION("""COMPUTED_VALUE"""),"Cumplir con normativa y reglamentos internos del programa en base a los objetivos.")</f>
        <v>Cumplir con normativa y reglamentos internos del programa en base a los objetivos.</v>
      </c>
      <c r="J357" s="11">
        <f ca="1">IFERROR(__xludf.DUMMYFUNCTION("""COMPUTED_VALUE"""),40347927)</f>
        <v>40347927</v>
      </c>
      <c r="K357" s="27">
        <f ca="1">IFERROR(__xludf.DUMMYFUNCTION("""COMPUTED_VALUE"""),1)</f>
        <v>1</v>
      </c>
      <c r="L357" s="28" t="str">
        <f ca="1">IFERROR(__xludf.DUMMYFUNCTION("""COMPUTED_VALUE"""),"1/2024")</f>
        <v>1/2024</v>
      </c>
      <c r="M357" s="10" t="str">
        <f ca="1">IFERROR(__xludf.DUMMYFUNCTION("""COMPUTED_VALUE"""),"Predios Exentos")</f>
        <v>Predios Exentos</v>
      </c>
      <c r="N357" s="1"/>
      <c r="O357" s="1"/>
      <c r="P357" s="1"/>
      <c r="Q357" s="1"/>
      <c r="R357" s="1"/>
      <c r="S357" s="1"/>
      <c r="T357" s="1"/>
      <c r="U357" s="1"/>
      <c r="V357" s="1"/>
      <c r="W357" s="1"/>
      <c r="X357" s="1"/>
      <c r="Y357" s="1"/>
      <c r="Z357" s="1"/>
    </row>
    <row r="358" spans="1:26" ht="12.75" customHeight="1">
      <c r="A358" s="1"/>
      <c r="B358" s="10" t="str">
        <f ca="1">IFERROR(__xludf.DUMMYFUNCTION("""COMPUTED_VALUE"""),"Compensación Predios Exentos 2024")</f>
        <v>Compensación Predios Exentos 2024</v>
      </c>
      <c r="C358" s="26" t="str">
        <f t="shared" ca="1" si="0"/>
        <v xml:space="preserve"> TALCA</v>
      </c>
      <c r="D358" s="10" t="str">
        <f ca="1">IFERROR(__xludf.DUMMYFUNCTION("""COMPUTED_VALUE"""),"Resolución de Transferencia")</f>
        <v>Resolución de Transferencia</v>
      </c>
      <c r="E358" s="26" t="str">
        <f ca="1">IFERROR(__xludf.DUMMYFUNCTION("""COMPUTED_VALUE"""),"MUNICIPALIDAD DE TALCA")</f>
        <v>MUNICIPALIDAD DE TALCA</v>
      </c>
      <c r="F358" s="11">
        <f ca="1">IFERROR(__xludf.DUMMYFUNCTION("""COMPUTED_VALUE"""),824993304)</f>
        <v>824993304</v>
      </c>
      <c r="G358" s="10" t="str">
        <f ca="1">IFERROR(__xludf.DUMMYFUNCTION("""COMPUTED_VALUE"""),"Resolución")</f>
        <v>Resolución</v>
      </c>
      <c r="H358" s="10" t="str">
        <f ca="1">IFERROR(__xludf.DUMMYFUNCTION("""COMPUTED_VALUE"""),"COMPENSACIÓN PREDIOS EXENTOS")</f>
        <v>COMPENSACIÓN PREDIOS EXENTOS</v>
      </c>
      <c r="I358" s="10" t="str">
        <f ca="1">IFERROR(__xludf.DUMMYFUNCTION("""COMPUTED_VALUE"""),"Cumplir con normativa y reglamentos internos del programa en base a los objetivos.")</f>
        <v>Cumplir con normativa y reglamentos internos del programa en base a los objetivos.</v>
      </c>
      <c r="J358" s="11">
        <f ca="1">IFERROR(__xludf.DUMMYFUNCTION("""COMPUTED_VALUE"""),824993304)</f>
        <v>824993304</v>
      </c>
      <c r="K358" s="27">
        <f ca="1">IFERROR(__xludf.DUMMYFUNCTION("""COMPUTED_VALUE"""),1)</f>
        <v>1</v>
      </c>
      <c r="L358" s="28" t="str">
        <f ca="1">IFERROR(__xludf.DUMMYFUNCTION("""COMPUTED_VALUE"""),"1/2024")</f>
        <v>1/2024</v>
      </c>
      <c r="M358" s="10" t="str">
        <f ca="1">IFERROR(__xludf.DUMMYFUNCTION("""COMPUTED_VALUE"""),"Predios Exentos")</f>
        <v>Predios Exentos</v>
      </c>
      <c r="N358" s="1"/>
      <c r="O358" s="1"/>
      <c r="P358" s="1"/>
      <c r="Q358" s="1"/>
      <c r="R358" s="1"/>
      <c r="S358" s="1"/>
      <c r="T358" s="1"/>
      <c r="U358" s="1"/>
      <c r="V358" s="1"/>
      <c r="W358" s="1"/>
      <c r="X358" s="1"/>
      <c r="Y358" s="1"/>
      <c r="Z358" s="1"/>
    </row>
    <row r="359" spans="1:26" ht="12.75" customHeight="1">
      <c r="A359" s="1"/>
      <c r="B359" s="10" t="str">
        <f ca="1">IFERROR(__xludf.DUMMYFUNCTION("""COMPUTED_VALUE"""),"Compensación Predios Exentos 2024")</f>
        <v>Compensación Predios Exentos 2024</v>
      </c>
      <c r="C359" s="26" t="str">
        <f t="shared" ca="1" si="0"/>
        <v xml:space="preserve"> SAN CLEMENTE</v>
      </c>
      <c r="D359" s="10" t="str">
        <f ca="1">IFERROR(__xludf.DUMMYFUNCTION("""COMPUTED_VALUE"""),"Resolución de Transferencia")</f>
        <v>Resolución de Transferencia</v>
      </c>
      <c r="E359" s="26" t="str">
        <f ca="1">IFERROR(__xludf.DUMMYFUNCTION("""COMPUTED_VALUE"""),"MUNICIPALIDAD DE SAN CLEMENTE")</f>
        <v>MUNICIPALIDAD DE SAN CLEMENTE</v>
      </c>
      <c r="F359" s="11">
        <f ca="1">IFERROR(__xludf.DUMMYFUNCTION("""COMPUTED_VALUE"""),206437681)</f>
        <v>206437681</v>
      </c>
      <c r="G359" s="10" t="str">
        <f ca="1">IFERROR(__xludf.DUMMYFUNCTION("""COMPUTED_VALUE"""),"Resolución")</f>
        <v>Resolución</v>
      </c>
      <c r="H359" s="10" t="str">
        <f ca="1">IFERROR(__xludf.DUMMYFUNCTION("""COMPUTED_VALUE"""),"COMPENSACIÓN PREDIOS EXENTOS")</f>
        <v>COMPENSACIÓN PREDIOS EXENTOS</v>
      </c>
      <c r="I359" s="10" t="str">
        <f ca="1">IFERROR(__xludf.DUMMYFUNCTION("""COMPUTED_VALUE"""),"Cumplir con normativa y reglamentos internos del programa en base a los objetivos.")</f>
        <v>Cumplir con normativa y reglamentos internos del programa en base a los objetivos.</v>
      </c>
      <c r="J359" s="11">
        <f ca="1">IFERROR(__xludf.DUMMYFUNCTION("""COMPUTED_VALUE"""),206437681)</f>
        <v>206437681</v>
      </c>
      <c r="K359" s="27">
        <f ca="1">IFERROR(__xludf.DUMMYFUNCTION("""COMPUTED_VALUE"""),1)</f>
        <v>1</v>
      </c>
      <c r="L359" s="28" t="str">
        <f ca="1">IFERROR(__xludf.DUMMYFUNCTION("""COMPUTED_VALUE"""),"1/2024")</f>
        <v>1/2024</v>
      </c>
      <c r="M359" s="10" t="str">
        <f ca="1">IFERROR(__xludf.DUMMYFUNCTION("""COMPUTED_VALUE"""),"Predios Exentos")</f>
        <v>Predios Exentos</v>
      </c>
      <c r="N359" s="1"/>
      <c r="O359" s="1"/>
      <c r="P359" s="1"/>
      <c r="Q359" s="1"/>
      <c r="R359" s="1"/>
      <c r="S359" s="1"/>
      <c r="T359" s="1"/>
      <c r="U359" s="1"/>
      <c r="V359" s="1"/>
      <c r="W359" s="1"/>
      <c r="X359" s="1"/>
      <c r="Y359" s="1"/>
      <c r="Z359" s="1"/>
    </row>
    <row r="360" spans="1:26" ht="12.75" customHeight="1">
      <c r="A360" s="1"/>
      <c r="B360" s="10" t="str">
        <f ca="1">IFERROR(__xludf.DUMMYFUNCTION("""COMPUTED_VALUE"""),"Compensación Predios Exentos 2024")</f>
        <v>Compensación Predios Exentos 2024</v>
      </c>
      <c r="C360" s="26" t="str">
        <f t="shared" ca="1" si="0"/>
        <v xml:space="preserve"> COLBÚN</v>
      </c>
      <c r="D360" s="10" t="str">
        <f ca="1">IFERROR(__xludf.DUMMYFUNCTION("""COMPUTED_VALUE"""),"Resolución de Transferencia")</f>
        <v>Resolución de Transferencia</v>
      </c>
      <c r="E360" s="26" t="str">
        <f ca="1">IFERROR(__xludf.DUMMYFUNCTION("""COMPUTED_VALUE"""),"MUNICIPALIDAD DE COLBÚN")</f>
        <v>MUNICIPALIDAD DE COLBÚN</v>
      </c>
      <c r="F360" s="11">
        <f ca="1">IFERROR(__xludf.DUMMYFUNCTION("""COMPUTED_VALUE"""),101197350)</f>
        <v>101197350</v>
      </c>
      <c r="G360" s="10" t="str">
        <f ca="1">IFERROR(__xludf.DUMMYFUNCTION("""COMPUTED_VALUE"""),"Resolución")</f>
        <v>Resolución</v>
      </c>
      <c r="H360" s="10" t="str">
        <f ca="1">IFERROR(__xludf.DUMMYFUNCTION("""COMPUTED_VALUE"""),"COMPENSACIÓN PREDIOS EXENTOS")</f>
        <v>COMPENSACIÓN PREDIOS EXENTOS</v>
      </c>
      <c r="I360" s="10" t="str">
        <f ca="1">IFERROR(__xludf.DUMMYFUNCTION("""COMPUTED_VALUE"""),"Cumplir con normativa y reglamentos internos del programa en base a los objetivos.")</f>
        <v>Cumplir con normativa y reglamentos internos del programa en base a los objetivos.</v>
      </c>
      <c r="J360" s="11">
        <f ca="1">IFERROR(__xludf.DUMMYFUNCTION("""COMPUTED_VALUE"""),101197350)</f>
        <v>101197350</v>
      </c>
      <c r="K360" s="27">
        <f ca="1">IFERROR(__xludf.DUMMYFUNCTION("""COMPUTED_VALUE"""),1)</f>
        <v>1</v>
      </c>
      <c r="L360" s="28" t="str">
        <f ca="1">IFERROR(__xludf.DUMMYFUNCTION("""COMPUTED_VALUE"""),"1/2024")</f>
        <v>1/2024</v>
      </c>
      <c r="M360" s="10" t="str">
        <f ca="1">IFERROR(__xludf.DUMMYFUNCTION("""COMPUTED_VALUE"""),"Predios Exentos")</f>
        <v>Predios Exentos</v>
      </c>
      <c r="N360" s="1"/>
      <c r="O360" s="1"/>
      <c r="P360" s="1"/>
      <c r="Q360" s="1"/>
      <c r="R360" s="1"/>
      <c r="S360" s="1"/>
      <c r="T360" s="1"/>
      <c r="U360" s="1"/>
      <c r="V360" s="1"/>
      <c r="W360" s="1"/>
      <c r="X360" s="1"/>
      <c r="Y360" s="1"/>
      <c r="Z360" s="1"/>
    </row>
    <row r="361" spans="1:26" ht="12.75" customHeight="1">
      <c r="A361" s="1"/>
      <c r="B361" s="10" t="str">
        <f ca="1">IFERROR(__xludf.DUMMYFUNCTION("""COMPUTED_VALUE"""),"Compensación Predios Exentos 2024")</f>
        <v>Compensación Predios Exentos 2024</v>
      </c>
      <c r="C361" s="26" t="str">
        <f t="shared" ca="1" si="0"/>
        <v xml:space="preserve"> LONGAVÍ</v>
      </c>
      <c r="D361" s="10" t="str">
        <f ca="1">IFERROR(__xludf.DUMMYFUNCTION("""COMPUTED_VALUE"""),"Resolución de Transferencia")</f>
        <v>Resolución de Transferencia</v>
      </c>
      <c r="E361" s="26" t="str">
        <f ca="1">IFERROR(__xludf.DUMMYFUNCTION("""COMPUTED_VALUE"""),"MUNICIPALIDAD DE LONGAVÍ")</f>
        <v>MUNICIPALIDAD DE LONGAVÍ</v>
      </c>
      <c r="F361" s="11">
        <f ca="1">IFERROR(__xludf.DUMMYFUNCTION("""COMPUTED_VALUE"""),158290383)</f>
        <v>158290383</v>
      </c>
      <c r="G361" s="10" t="str">
        <f ca="1">IFERROR(__xludf.DUMMYFUNCTION("""COMPUTED_VALUE"""),"Resolución")</f>
        <v>Resolución</v>
      </c>
      <c r="H361" s="10" t="str">
        <f ca="1">IFERROR(__xludf.DUMMYFUNCTION("""COMPUTED_VALUE"""),"COMPENSACIÓN PREDIOS EXENTOS")</f>
        <v>COMPENSACIÓN PREDIOS EXENTOS</v>
      </c>
      <c r="I361" s="10" t="str">
        <f ca="1">IFERROR(__xludf.DUMMYFUNCTION("""COMPUTED_VALUE"""),"Cumplir con normativa y reglamentos internos del programa en base a los objetivos.")</f>
        <v>Cumplir con normativa y reglamentos internos del programa en base a los objetivos.</v>
      </c>
      <c r="J361" s="11">
        <f ca="1">IFERROR(__xludf.DUMMYFUNCTION("""COMPUTED_VALUE"""),158290383)</f>
        <v>158290383</v>
      </c>
      <c r="K361" s="27">
        <f ca="1">IFERROR(__xludf.DUMMYFUNCTION("""COMPUTED_VALUE"""),1)</f>
        <v>1</v>
      </c>
      <c r="L361" s="28" t="str">
        <f ca="1">IFERROR(__xludf.DUMMYFUNCTION("""COMPUTED_VALUE"""),"1/2024")</f>
        <v>1/2024</v>
      </c>
      <c r="M361" s="10" t="str">
        <f ca="1">IFERROR(__xludf.DUMMYFUNCTION("""COMPUTED_VALUE"""),"Predios Exentos")</f>
        <v>Predios Exentos</v>
      </c>
      <c r="N361" s="1"/>
      <c r="O361" s="1"/>
      <c r="P361" s="1"/>
      <c r="Q361" s="1"/>
      <c r="R361" s="1"/>
      <c r="S361" s="1"/>
      <c r="T361" s="1"/>
      <c r="U361" s="1"/>
      <c r="V361" s="1"/>
      <c r="W361" s="1"/>
      <c r="X361" s="1"/>
      <c r="Y361" s="1"/>
      <c r="Z361" s="1"/>
    </row>
    <row r="362" spans="1:26" ht="12.75" customHeight="1">
      <c r="A362" s="1"/>
      <c r="B362" s="10" t="str">
        <f ca="1">IFERROR(__xludf.DUMMYFUNCTION("""COMPUTED_VALUE"""),"Compensación Predios Exentos 2024")</f>
        <v>Compensación Predios Exentos 2024</v>
      </c>
      <c r="C362" s="26" t="str">
        <f t="shared" ca="1" si="0"/>
        <v xml:space="preserve"> PARRAL</v>
      </c>
      <c r="D362" s="10" t="str">
        <f ca="1">IFERROR(__xludf.DUMMYFUNCTION("""COMPUTED_VALUE"""),"Resolución de Transferencia")</f>
        <v>Resolución de Transferencia</v>
      </c>
      <c r="E362" s="26" t="str">
        <f ca="1">IFERROR(__xludf.DUMMYFUNCTION("""COMPUTED_VALUE"""),"MUNICIPALIDAD DE PARRAL")</f>
        <v>MUNICIPALIDAD DE PARRAL</v>
      </c>
      <c r="F362" s="11">
        <f ca="1">IFERROR(__xludf.DUMMYFUNCTION("""COMPUTED_VALUE"""),224861392)</f>
        <v>224861392</v>
      </c>
      <c r="G362" s="10" t="str">
        <f ca="1">IFERROR(__xludf.DUMMYFUNCTION("""COMPUTED_VALUE"""),"Resolución")</f>
        <v>Resolución</v>
      </c>
      <c r="H362" s="10" t="str">
        <f ca="1">IFERROR(__xludf.DUMMYFUNCTION("""COMPUTED_VALUE"""),"COMPENSACIÓN PREDIOS EXENTOS")</f>
        <v>COMPENSACIÓN PREDIOS EXENTOS</v>
      </c>
      <c r="I362" s="10" t="str">
        <f ca="1">IFERROR(__xludf.DUMMYFUNCTION("""COMPUTED_VALUE"""),"Cumplir con normativa y reglamentos internos del programa en base a los objetivos.")</f>
        <v>Cumplir con normativa y reglamentos internos del programa en base a los objetivos.</v>
      </c>
      <c r="J362" s="11">
        <f ca="1">IFERROR(__xludf.DUMMYFUNCTION("""COMPUTED_VALUE"""),224861392)</f>
        <v>224861392</v>
      </c>
      <c r="K362" s="27">
        <f ca="1">IFERROR(__xludf.DUMMYFUNCTION("""COMPUTED_VALUE"""),1)</f>
        <v>1</v>
      </c>
      <c r="L362" s="28" t="str">
        <f ca="1">IFERROR(__xludf.DUMMYFUNCTION("""COMPUTED_VALUE"""),"1/2024")</f>
        <v>1/2024</v>
      </c>
      <c r="M362" s="10" t="str">
        <f ca="1">IFERROR(__xludf.DUMMYFUNCTION("""COMPUTED_VALUE"""),"Predios Exentos")</f>
        <v>Predios Exentos</v>
      </c>
      <c r="N362" s="1"/>
      <c r="O362" s="1"/>
      <c r="P362" s="1"/>
      <c r="Q362" s="1"/>
      <c r="R362" s="1"/>
      <c r="S362" s="1"/>
      <c r="T362" s="1"/>
      <c r="U362" s="1"/>
      <c r="V362" s="1"/>
      <c r="W362" s="1"/>
      <c r="X362" s="1"/>
      <c r="Y362" s="1"/>
      <c r="Z362" s="1"/>
    </row>
    <row r="363" spans="1:26" ht="12.75" customHeight="1">
      <c r="A363" s="1"/>
      <c r="B363" s="10" t="str">
        <f ca="1">IFERROR(__xludf.DUMMYFUNCTION("""COMPUTED_VALUE"""),"Compensación Predios Exentos 2024")</f>
        <v>Compensación Predios Exentos 2024</v>
      </c>
      <c r="C363" s="26" t="str">
        <f t="shared" ca="1" si="0"/>
        <v xml:space="preserve"> COBQUECURA</v>
      </c>
      <c r="D363" s="10" t="str">
        <f ca="1">IFERROR(__xludf.DUMMYFUNCTION("""COMPUTED_VALUE"""),"Resolución de Transferencia")</f>
        <v>Resolución de Transferencia</v>
      </c>
      <c r="E363" s="26" t="str">
        <f ca="1">IFERROR(__xludf.DUMMYFUNCTION("""COMPUTED_VALUE"""),"MUNICIPALIDAD DE COBQUECURA")</f>
        <v>MUNICIPALIDAD DE COBQUECURA</v>
      </c>
      <c r="F363" s="11">
        <f ca="1">IFERROR(__xludf.DUMMYFUNCTION("""COMPUTED_VALUE"""),59498351)</f>
        <v>59498351</v>
      </c>
      <c r="G363" s="10" t="str">
        <f ca="1">IFERROR(__xludf.DUMMYFUNCTION("""COMPUTED_VALUE"""),"Resolución")</f>
        <v>Resolución</v>
      </c>
      <c r="H363" s="10" t="str">
        <f ca="1">IFERROR(__xludf.DUMMYFUNCTION("""COMPUTED_VALUE"""),"COMPENSACIÓN PREDIOS EXENTOS")</f>
        <v>COMPENSACIÓN PREDIOS EXENTOS</v>
      </c>
      <c r="I363" s="10" t="str">
        <f ca="1">IFERROR(__xludf.DUMMYFUNCTION("""COMPUTED_VALUE"""),"Cumplir con normativa y reglamentos internos del programa en base a los objetivos.")</f>
        <v>Cumplir con normativa y reglamentos internos del programa en base a los objetivos.</v>
      </c>
      <c r="J363" s="11">
        <f ca="1">IFERROR(__xludf.DUMMYFUNCTION("""COMPUTED_VALUE"""),59498351)</f>
        <v>59498351</v>
      </c>
      <c r="K363" s="27">
        <f ca="1">IFERROR(__xludf.DUMMYFUNCTION("""COMPUTED_VALUE"""),1)</f>
        <v>1</v>
      </c>
      <c r="L363" s="28" t="str">
        <f ca="1">IFERROR(__xludf.DUMMYFUNCTION("""COMPUTED_VALUE"""),"1/2024")</f>
        <v>1/2024</v>
      </c>
      <c r="M363" s="10" t="str">
        <f ca="1">IFERROR(__xludf.DUMMYFUNCTION("""COMPUTED_VALUE"""),"Predios Exentos")</f>
        <v>Predios Exentos</v>
      </c>
      <c r="N363" s="1"/>
      <c r="O363" s="1"/>
      <c r="P363" s="1"/>
      <c r="Q363" s="1"/>
      <c r="R363" s="1"/>
      <c r="S363" s="1"/>
      <c r="T363" s="1"/>
      <c r="U363" s="1"/>
      <c r="V363" s="1"/>
      <c r="W363" s="1"/>
      <c r="X363" s="1"/>
      <c r="Y363" s="1"/>
      <c r="Z363" s="1"/>
    </row>
    <row r="364" spans="1:26" ht="12.75" customHeight="1">
      <c r="A364" s="1"/>
      <c r="B364" s="10" t="str">
        <f ca="1">IFERROR(__xludf.DUMMYFUNCTION("""COMPUTED_VALUE"""),"Compensación Predios Exentos 2024")</f>
        <v>Compensación Predios Exentos 2024</v>
      </c>
      <c r="C364" s="26" t="str">
        <f t="shared" ca="1" si="0"/>
        <v xml:space="preserve"> BULNES</v>
      </c>
      <c r="D364" s="10" t="str">
        <f ca="1">IFERROR(__xludf.DUMMYFUNCTION("""COMPUTED_VALUE"""),"Resolución de Transferencia")</f>
        <v>Resolución de Transferencia</v>
      </c>
      <c r="E364" s="26" t="str">
        <f ca="1">IFERROR(__xludf.DUMMYFUNCTION("""COMPUTED_VALUE"""),"MUNICIPALIDAD DE BULNES")</f>
        <v>MUNICIPALIDAD DE BULNES</v>
      </c>
      <c r="F364" s="11">
        <f ca="1">IFERROR(__xludf.DUMMYFUNCTION("""COMPUTED_VALUE"""),108085771)</f>
        <v>108085771</v>
      </c>
      <c r="G364" s="10" t="str">
        <f ca="1">IFERROR(__xludf.DUMMYFUNCTION("""COMPUTED_VALUE"""),"Resolución")</f>
        <v>Resolución</v>
      </c>
      <c r="H364" s="10" t="str">
        <f ca="1">IFERROR(__xludf.DUMMYFUNCTION("""COMPUTED_VALUE"""),"COMPENSACIÓN PREDIOS EXENTOS")</f>
        <v>COMPENSACIÓN PREDIOS EXENTOS</v>
      </c>
      <c r="I364" s="10" t="str">
        <f ca="1">IFERROR(__xludf.DUMMYFUNCTION("""COMPUTED_VALUE"""),"Cumplir con normativa y reglamentos internos del programa en base a los objetivos.")</f>
        <v>Cumplir con normativa y reglamentos internos del programa en base a los objetivos.</v>
      </c>
      <c r="J364" s="11">
        <f ca="1">IFERROR(__xludf.DUMMYFUNCTION("""COMPUTED_VALUE"""),108085771)</f>
        <v>108085771</v>
      </c>
      <c r="K364" s="27">
        <f ca="1">IFERROR(__xludf.DUMMYFUNCTION("""COMPUTED_VALUE"""),1)</f>
        <v>1</v>
      </c>
      <c r="L364" s="28" t="str">
        <f ca="1">IFERROR(__xludf.DUMMYFUNCTION("""COMPUTED_VALUE"""),"1/2024")</f>
        <v>1/2024</v>
      </c>
      <c r="M364" s="10" t="str">
        <f ca="1">IFERROR(__xludf.DUMMYFUNCTION("""COMPUTED_VALUE"""),"Predios Exentos")</f>
        <v>Predios Exentos</v>
      </c>
      <c r="N364" s="1"/>
      <c r="O364" s="1"/>
      <c r="P364" s="1"/>
      <c r="Q364" s="1"/>
      <c r="R364" s="1"/>
      <c r="S364" s="1"/>
      <c r="T364" s="1"/>
      <c r="U364" s="1"/>
      <c r="V364" s="1"/>
      <c r="W364" s="1"/>
      <c r="X364" s="1"/>
      <c r="Y364" s="1"/>
      <c r="Z364" s="1"/>
    </row>
    <row r="365" spans="1:26" ht="12.75" customHeight="1">
      <c r="A365" s="1"/>
      <c r="B365" s="10" t="str">
        <f ca="1">IFERROR(__xludf.DUMMYFUNCTION("""COMPUTED_VALUE"""),"Compensación Predios Exentos 2024")</f>
        <v>Compensación Predios Exentos 2024</v>
      </c>
      <c r="C365" s="26" t="str">
        <f t="shared" ca="1" si="0"/>
        <v xml:space="preserve"> LAUTARO</v>
      </c>
      <c r="D365" s="10" t="str">
        <f ca="1">IFERROR(__xludf.DUMMYFUNCTION("""COMPUTED_VALUE"""),"Resolución de Transferencia")</f>
        <v>Resolución de Transferencia</v>
      </c>
      <c r="E365" s="26" t="str">
        <f ca="1">IFERROR(__xludf.DUMMYFUNCTION("""COMPUTED_VALUE"""),"MUNICIPALIDAD DE LAUTARO")</f>
        <v>MUNICIPALIDAD DE LAUTARO</v>
      </c>
      <c r="F365" s="11">
        <f ca="1">IFERROR(__xludf.DUMMYFUNCTION("""COMPUTED_VALUE"""),173060058)</f>
        <v>173060058</v>
      </c>
      <c r="G365" s="10" t="str">
        <f ca="1">IFERROR(__xludf.DUMMYFUNCTION("""COMPUTED_VALUE"""),"Resolución")</f>
        <v>Resolución</v>
      </c>
      <c r="H365" s="10" t="str">
        <f ca="1">IFERROR(__xludf.DUMMYFUNCTION("""COMPUTED_VALUE"""),"COMPENSACIÓN PREDIOS EXENTOS")</f>
        <v>COMPENSACIÓN PREDIOS EXENTOS</v>
      </c>
      <c r="I365" s="10" t="str">
        <f ca="1">IFERROR(__xludf.DUMMYFUNCTION("""COMPUTED_VALUE"""),"Cumplir con normativa y reglamentos internos del programa en base a los objetivos.")</f>
        <v>Cumplir con normativa y reglamentos internos del programa en base a los objetivos.</v>
      </c>
      <c r="J365" s="11">
        <f ca="1">IFERROR(__xludf.DUMMYFUNCTION("""COMPUTED_VALUE"""),173060058)</f>
        <v>173060058</v>
      </c>
      <c r="K365" s="27">
        <f ca="1">IFERROR(__xludf.DUMMYFUNCTION("""COMPUTED_VALUE"""),1)</f>
        <v>1</v>
      </c>
      <c r="L365" s="28" t="str">
        <f ca="1">IFERROR(__xludf.DUMMYFUNCTION("""COMPUTED_VALUE"""),"1/2024")</f>
        <v>1/2024</v>
      </c>
      <c r="M365" s="10" t="str">
        <f ca="1">IFERROR(__xludf.DUMMYFUNCTION("""COMPUTED_VALUE"""),"Predios Exentos")</f>
        <v>Predios Exentos</v>
      </c>
      <c r="N365" s="1"/>
      <c r="O365" s="1"/>
      <c r="P365" s="1"/>
      <c r="Q365" s="1"/>
      <c r="R365" s="1"/>
      <c r="S365" s="1"/>
      <c r="T365" s="1"/>
      <c r="U365" s="1"/>
      <c r="V365" s="1"/>
      <c r="W365" s="1"/>
      <c r="X365" s="1"/>
      <c r="Y365" s="1"/>
      <c r="Z365" s="1"/>
    </row>
    <row r="366" spans="1:26" ht="12.75" customHeight="1">
      <c r="A366" s="1"/>
      <c r="B366" s="10" t="str">
        <f ca="1">IFERROR(__xludf.DUMMYFUNCTION("""COMPUTED_VALUE"""),"Compensación Predios Exentos 2024")</f>
        <v>Compensación Predios Exentos 2024</v>
      </c>
      <c r="C366" s="26" t="str">
        <f t="shared" ca="1" si="0"/>
        <v xml:space="preserve"> GALVARINO</v>
      </c>
      <c r="D366" s="10" t="str">
        <f ca="1">IFERROR(__xludf.DUMMYFUNCTION("""COMPUTED_VALUE"""),"Resolución de Transferencia")</f>
        <v>Resolución de Transferencia</v>
      </c>
      <c r="E366" s="26" t="str">
        <f ca="1">IFERROR(__xludf.DUMMYFUNCTION("""COMPUTED_VALUE"""),"MUNICIPALIDAD DE GALVARINO")</f>
        <v>MUNICIPALIDAD DE GALVARINO</v>
      </c>
      <c r="F366" s="11">
        <f ca="1">IFERROR(__xludf.DUMMYFUNCTION("""COMPUTED_VALUE"""),73551548)</f>
        <v>73551548</v>
      </c>
      <c r="G366" s="10" t="str">
        <f ca="1">IFERROR(__xludf.DUMMYFUNCTION("""COMPUTED_VALUE"""),"Resolución")</f>
        <v>Resolución</v>
      </c>
      <c r="H366" s="10" t="str">
        <f ca="1">IFERROR(__xludf.DUMMYFUNCTION("""COMPUTED_VALUE"""),"COMPENSACIÓN PREDIOS EXENTOS")</f>
        <v>COMPENSACIÓN PREDIOS EXENTOS</v>
      </c>
      <c r="I366" s="10" t="str">
        <f ca="1">IFERROR(__xludf.DUMMYFUNCTION("""COMPUTED_VALUE"""),"Cumplir con normativa y reglamentos internos del programa en base a los objetivos.")</f>
        <v>Cumplir con normativa y reglamentos internos del programa en base a los objetivos.</v>
      </c>
      <c r="J366" s="11">
        <f ca="1">IFERROR(__xludf.DUMMYFUNCTION("""COMPUTED_VALUE"""),73551548)</f>
        <v>73551548</v>
      </c>
      <c r="K366" s="27">
        <f ca="1">IFERROR(__xludf.DUMMYFUNCTION("""COMPUTED_VALUE"""),1)</f>
        <v>1</v>
      </c>
      <c r="L366" s="28" t="str">
        <f ca="1">IFERROR(__xludf.DUMMYFUNCTION("""COMPUTED_VALUE"""),"1/2024")</f>
        <v>1/2024</v>
      </c>
      <c r="M366" s="10" t="str">
        <f ca="1">IFERROR(__xludf.DUMMYFUNCTION("""COMPUTED_VALUE"""),"Predios Exentos")</f>
        <v>Predios Exentos</v>
      </c>
      <c r="N366" s="1"/>
      <c r="O366" s="1"/>
      <c r="P366" s="1"/>
      <c r="Q366" s="1"/>
      <c r="R366" s="1"/>
      <c r="S366" s="1"/>
      <c r="T366" s="1"/>
      <c r="U366" s="1"/>
      <c r="V366" s="1"/>
      <c r="W366" s="1"/>
      <c r="X366" s="1"/>
      <c r="Y366" s="1"/>
      <c r="Z366" s="1"/>
    </row>
    <row r="367" spans="1:26" ht="12.75" customHeight="1">
      <c r="A367" s="1"/>
      <c r="B367" s="10" t="str">
        <f ca="1">IFERROR(__xludf.DUMMYFUNCTION("""COMPUTED_VALUE"""),"Compensación Predios Exentos 2024")</f>
        <v>Compensación Predios Exentos 2024</v>
      </c>
      <c r="C367" s="26" t="str">
        <f t="shared" ca="1" si="0"/>
        <v xml:space="preserve"> LONCOCHE</v>
      </c>
      <c r="D367" s="10" t="str">
        <f ca="1">IFERROR(__xludf.DUMMYFUNCTION("""COMPUTED_VALUE"""),"Resolución de Transferencia")</f>
        <v>Resolución de Transferencia</v>
      </c>
      <c r="E367" s="26" t="str">
        <f ca="1">IFERROR(__xludf.DUMMYFUNCTION("""COMPUTED_VALUE"""),"MUNICIPALIDAD DE LONCOCHE")</f>
        <v>MUNICIPALIDAD DE LONCOCHE</v>
      </c>
      <c r="F367" s="11">
        <f ca="1">IFERROR(__xludf.DUMMYFUNCTION("""COMPUTED_VALUE"""),118945525)</f>
        <v>118945525</v>
      </c>
      <c r="G367" s="10" t="str">
        <f ca="1">IFERROR(__xludf.DUMMYFUNCTION("""COMPUTED_VALUE"""),"Resolución")</f>
        <v>Resolución</v>
      </c>
      <c r="H367" s="10" t="str">
        <f ca="1">IFERROR(__xludf.DUMMYFUNCTION("""COMPUTED_VALUE"""),"COMPENSACIÓN PREDIOS EXENTOS")</f>
        <v>COMPENSACIÓN PREDIOS EXENTOS</v>
      </c>
      <c r="I367" s="10" t="str">
        <f ca="1">IFERROR(__xludf.DUMMYFUNCTION("""COMPUTED_VALUE"""),"Cumplir con normativa y reglamentos internos del programa en base a los objetivos.")</f>
        <v>Cumplir con normativa y reglamentos internos del programa en base a los objetivos.</v>
      </c>
      <c r="J367" s="11">
        <f ca="1">IFERROR(__xludf.DUMMYFUNCTION("""COMPUTED_VALUE"""),118945525)</f>
        <v>118945525</v>
      </c>
      <c r="K367" s="27">
        <f ca="1">IFERROR(__xludf.DUMMYFUNCTION("""COMPUTED_VALUE"""),1)</f>
        <v>1</v>
      </c>
      <c r="L367" s="28" t="str">
        <f ca="1">IFERROR(__xludf.DUMMYFUNCTION("""COMPUTED_VALUE"""),"1/2024")</f>
        <v>1/2024</v>
      </c>
      <c r="M367" s="10" t="str">
        <f ca="1">IFERROR(__xludf.DUMMYFUNCTION("""COMPUTED_VALUE"""),"Predios Exentos")</f>
        <v>Predios Exentos</v>
      </c>
      <c r="N367" s="1"/>
      <c r="O367" s="1"/>
      <c r="P367" s="1"/>
      <c r="Q367" s="1"/>
      <c r="R367" s="1"/>
      <c r="S367" s="1"/>
      <c r="T367" s="1"/>
      <c r="U367" s="1"/>
      <c r="V367" s="1"/>
      <c r="W367" s="1"/>
      <c r="X367" s="1"/>
      <c r="Y367" s="1"/>
      <c r="Z367" s="1"/>
    </row>
    <row r="368" spans="1:26" ht="12.75" customHeight="1">
      <c r="A368" s="1"/>
      <c r="B368" s="10" t="str">
        <f ca="1">IFERROR(__xludf.DUMMYFUNCTION("""COMPUTED_VALUE"""),"Compensación Predios Exentos 2024")</f>
        <v>Compensación Predios Exentos 2024</v>
      </c>
      <c r="C368" s="26" t="str">
        <f t="shared" ca="1" si="0"/>
        <v xml:space="preserve"> PITRUFQUÉN</v>
      </c>
      <c r="D368" s="10" t="str">
        <f ca="1">IFERROR(__xludf.DUMMYFUNCTION("""COMPUTED_VALUE"""),"Resolución de Transferencia")</f>
        <v>Resolución de Transferencia</v>
      </c>
      <c r="E368" s="26" t="str">
        <f ca="1">IFERROR(__xludf.DUMMYFUNCTION("""COMPUTED_VALUE"""),"MUNICIPALIDAD DE PITRUFQUÉN")</f>
        <v>MUNICIPALIDAD DE PITRUFQUÉN</v>
      </c>
      <c r="F368" s="11">
        <f ca="1">IFERROR(__xludf.DUMMYFUNCTION("""COMPUTED_VALUE"""),121187076)</f>
        <v>121187076</v>
      </c>
      <c r="G368" s="10" t="str">
        <f ca="1">IFERROR(__xludf.DUMMYFUNCTION("""COMPUTED_VALUE"""),"Resolución")</f>
        <v>Resolución</v>
      </c>
      <c r="H368" s="10" t="str">
        <f ca="1">IFERROR(__xludf.DUMMYFUNCTION("""COMPUTED_VALUE"""),"COMPENSACIÓN PREDIOS EXENTOS")</f>
        <v>COMPENSACIÓN PREDIOS EXENTOS</v>
      </c>
      <c r="I368" s="10" t="str">
        <f ca="1">IFERROR(__xludf.DUMMYFUNCTION("""COMPUTED_VALUE"""),"Cumplir con normativa y reglamentos internos del programa en base a los objetivos.")</f>
        <v>Cumplir con normativa y reglamentos internos del programa en base a los objetivos.</v>
      </c>
      <c r="J368" s="11">
        <f ca="1">IFERROR(__xludf.DUMMYFUNCTION("""COMPUTED_VALUE"""),121187076)</f>
        <v>121187076</v>
      </c>
      <c r="K368" s="27">
        <f ca="1">IFERROR(__xludf.DUMMYFUNCTION("""COMPUTED_VALUE"""),1)</f>
        <v>1</v>
      </c>
      <c r="L368" s="28" t="str">
        <f ca="1">IFERROR(__xludf.DUMMYFUNCTION("""COMPUTED_VALUE"""),"1/2024")</f>
        <v>1/2024</v>
      </c>
      <c r="M368" s="10" t="str">
        <f ca="1">IFERROR(__xludf.DUMMYFUNCTION("""COMPUTED_VALUE"""),"Predios Exentos")</f>
        <v>Predios Exentos</v>
      </c>
      <c r="N368" s="1"/>
      <c r="O368" s="1"/>
      <c r="P368" s="1"/>
      <c r="Q368" s="1"/>
      <c r="R368" s="1"/>
      <c r="S368" s="1"/>
      <c r="T368" s="1"/>
      <c r="U368" s="1"/>
      <c r="V368" s="1"/>
      <c r="W368" s="1"/>
      <c r="X368" s="1"/>
      <c r="Y368" s="1"/>
      <c r="Z368" s="1"/>
    </row>
    <row r="369" spans="1:26" ht="12.75" customHeight="1">
      <c r="A369" s="1"/>
      <c r="B369" s="10" t="str">
        <f ca="1">IFERROR(__xludf.DUMMYFUNCTION("""COMPUTED_VALUE"""),"Compensación Predios Exentos 2024")</f>
        <v>Compensación Predios Exentos 2024</v>
      </c>
      <c r="C369" s="26" t="str">
        <f t="shared" ca="1" si="0"/>
        <v xml:space="preserve"> VALDIVIA</v>
      </c>
      <c r="D369" s="10" t="str">
        <f ca="1">IFERROR(__xludf.DUMMYFUNCTION("""COMPUTED_VALUE"""),"Resolución de Transferencia")</f>
        <v>Resolución de Transferencia</v>
      </c>
      <c r="E369" s="26" t="str">
        <f ca="1">IFERROR(__xludf.DUMMYFUNCTION("""COMPUTED_VALUE"""),"MUNICIPALIDAD DE VALDIVIA")</f>
        <v>MUNICIPALIDAD DE VALDIVIA</v>
      </c>
      <c r="F369" s="11">
        <f ca="1">IFERROR(__xludf.DUMMYFUNCTION("""COMPUTED_VALUE"""),414584672)</f>
        <v>414584672</v>
      </c>
      <c r="G369" s="10" t="str">
        <f ca="1">IFERROR(__xludf.DUMMYFUNCTION("""COMPUTED_VALUE"""),"Resolución")</f>
        <v>Resolución</v>
      </c>
      <c r="H369" s="10" t="str">
        <f ca="1">IFERROR(__xludf.DUMMYFUNCTION("""COMPUTED_VALUE"""),"COMPENSACIÓN PREDIOS EXENTOS")</f>
        <v>COMPENSACIÓN PREDIOS EXENTOS</v>
      </c>
      <c r="I369" s="10" t="str">
        <f ca="1">IFERROR(__xludf.DUMMYFUNCTION("""COMPUTED_VALUE"""),"Cumplir con normativa y reglamentos internos del programa en base a los objetivos.")</f>
        <v>Cumplir con normativa y reglamentos internos del programa en base a los objetivos.</v>
      </c>
      <c r="J369" s="11">
        <f ca="1">IFERROR(__xludf.DUMMYFUNCTION("""COMPUTED_VALUE"""),414584672)</f>
        <v>414584672</v>
      </c>
      <c r="K369" s="27">
        <f ca="1">IFERROR(__xludf.DUMMYFUNCTION("""COMPUTED_VALUE"""),1)</f>
        <v>1</v>
      </c>
      <c r="L369" s="28" t="str">
        <f ca="1">IFERROR(__xludf.DUMMYFUNCTION("""COMPUTED_VALUE"""),"1/2024")</f>
        <v>1/2024</v>
      </c>
      <c r="M369" s="10" t="str">
        <f ca="1">IFERROR(__xludf.DUMMYFUNCTION("""COMPUTED_VALUE"""),"Predios Exentos")</f>
        <v>Predios Exentos</v>
      </c>
      <c r="N369" s="1"/>
      <c r="O369" s="1"/>
      <c r="P369" s="1"/>
      <c r="Q369" s="1"/>
      <c r="R369" s="1"/>
      <c r="S369" s="1"/>
      <c r="T369" s="1"/>
      <c r="U369" s="1"/>
      <c r="V369" s="1"/>
      <c r="W369" s="1"/>
      <c r="X369" s="1"/>
      <c r="Y369" s="1"/>
      <c r="Z369" s="1"/>
    </row>
    <row r="370" spans="1:26" ht="12.75" customHeight="1">
      <c r="A370" s="1"/>
      <c r="B370" s="10" t="str">
        <f ca="1">IFERROR(__xludf.DUMMYFUNCTION("""COMPUTED_VALUE"""),"Compensación Predios Exentos 2024")</f>
        <v>Compensación Predios Exentos 2024</v>
      </c>
      <c r="C370" s="26" t="str">
        <f t="shared" ca="1" si="0"/>
        <v xml:space="preserve"> CORRAL</v>
      </c>
      <c r="D370" s="10" t="str">
        <f ca="1">IFERROR(__xludf.DUMMYFUNCTION("""COMPUTED_VALUE"""),"Resolución de Transferencia")</f>
        <v>Resolución de Transferencia</v>
      </c>
      <c r="E370" s="26" t="str">
        <f ca="1">IFERROR(__xludf.DUMMYFUNCTION("""COMPUTED_VALUE"""),"MUNICIPALIDAD DE CORRAL")</f>
        <v>MUNICIPALIDAD DE CORRAL</v>
      </c>
      <c r="F370" s="11">
        <f ca="1">IFERROR(__xludf.DUMMYFUNCTION("""COMPUTED_VALUE"""),24616125)</f>
        <v>24616125</v>
      </c>
      <c r="G370" s="10" t="str">
        <f ca="1">IFERROR(__xludf.DUMMYFUNCTION("""COMPUTED_VALUE"""),"Resolución")</f>
        <v>Resolución</v>
      </c>
      <c r="H370" s="10" t="str">
        <f ca="1">IFERROR(__xludf.DUMMYFUNCTION("""COMPUTED_VALUE"""),"COMPENSACIÓN PREDIOS EXENTOS")</f>
        <v>COMPENSACIÓN PREDIOS EXENTOS</v>
      </c>
      <c r="I370" s="10" t="str">
        <f ca="1">IFERROR(__xludf.DUMMYFUNCTION("""COMPUTED_VALUE"""),"Cumplir con normativa y reglamentos internos del programa en base a los objetivos.")</f>
        <v>Cumplir con normativa y reglamentos internos del programa en base a los objetivos.</v>
      </c>
      <c r="J370" s="11">
        <f ca="1">IFERROR(__xludf.DUMMYFUNCTION("""COMPUTED_VALUE"""),24616125)</f>
        <v>24616125</v>
      </c>
      <c r="K370" s="27">
        <f ca="1">IFERROR(__xludf.DUMMYFUNCTION("""COMPUTED_VALUE"""),1)</f>
        <v>1</v>
      </c>
      <c r="L370" s="28" t="str">
        <f ca="1">IFERROR(__xludf.DUMMYFUNCTION("""COMPUTED_VALUE"""),"1/2024")</f>
        <v>1/2024</v>
      </c>
      <c r="M370" s="10" t="str">
        <f ca="1">IFERROR(__xludf.DUMMYFUNCTION("""COMPUTED_VALUE"""),"Predios Exentos")</f>
        <v>Predios Exentos</v>
      </c>
      <c r="N370" s="1"/>
      <c r="O370" s="1"/>
      <c r="P370" s="1"/>
      <c r="Q370" s="1"/>
      <c r="R370" s="1"/>
      <c r="S370" s="1"/>
      <c r="T370" s="1"/>
      <c r="U370" s="1"/>
      <c r="V370" s="1"/>
      <c r="W370" s="1"/>
      <c r="X370" s="1"/>
      <c r="Y370" s="1"/>
      <c r="Z370" s="1"/>
    </row>
    <row r="371" spans="1:26" ht="12.75" customHeight="1">
      <c r="A371" s="1"/>
      <c r="B371" s="10" t="str">
        <f ca="1">IFERROR(__xludf.DUMMYFUNCTION("""COMPUTED_VALUE"""),"Compensación Predios Exentos 2024")</f>
        <v>Compensación Predios Exentos 2024</v>
      </c>
      <c r="C371" s="26" t="str">
        <f t="shared" ca="1" si="0"/>
        <v xml:space="preserve"> LANCO</v>
      </c>
      <c r="D371" s="10" t="str">
        <f ca="1">IFERROR(__xludf.DUMMYFUNCTION("""COMPUTED_VALUE"""),"Resolución de Transferencia")</f>
        <v>Resolución de Transferencia</v>
      </c>
      <c r="E371" s="26" t="str">
        <f ca="1">IFERROR(__xludf.DUMMYFUNCTION("""COMPUTED_VALUE"""),"MUNICIPALIDAD DE LANCO")</f>
        <v>MUNICIPALIDAD DE LANCO</v>
      </c>
      <c r="F371" s="11">
        <f ca="1">IFERROR(__xludf.DUMMYFUNCTION("""COMPUTED_VALUE"""),64677461)</f>
        <v>64677461</v>
      </c>
      <c r="G371" s="10" t="str">
        <f ca="1">IFERROR(__xludf.DUMMYFUNCTION("""COMPUTED_VALUE"""),"Resolución")</f>
        <v>Resolución</v>
      </c>
      <c r="H371" s="10" t="str">
        <f ca="1">IFERROR(__xludf.DUMMYFUNCTION("""COMPUTED_VALUE"""),"COMPENSACIÓN PREDIOS EXENTOS")</f>
        <v>COMPENSACIÓN PREDIOS EXENTOS</v>
      </c>
      <c r="I371" s="10" t="str">
        <f ca="1">IFERROR(__xludf.DUMMYFUNCTION("""COMPUTED_VALUE"""),"Cumplir con normativa y reglamentos internos del programa en base a los objetivos.")</f>
        <v>Cumplir con normativa y reglamentos internos del programa en base a los objetivos.</v>
      </c>
      <c r="J371" s="11">
        <f ca="1">IFERROR(__xludf.DUMMYFUNCTION("""COMPUTED_VALUE"""),64677461)</f>
        <v>64677461</v>
      </c>
      <c r="K371" s="27">
        <f ca="1">IFERROR(__xludf.DUMMYFUNCTION("""COMPUTED_VALUE"""),1)</f>
        <v>1</v>
      </c>
      <c r="L371" s="28" t="str">
        <f ca="1">IFERROR(__xludf.DUMMYFUNCTION("""COMPUTED_VALUE"""),"1/2024")</f>
        <v>1/2024</v>
      </c>
      <c r="M371" s="10" t="str">
        <f ca="1">IFERROR(__xludf.DUMMYFUNCTION("""COMPUTED_VALUE"""),"Predios Exentos")</f>
        <v>Predios Exentos</v>
      </c>
      <c r="N371" s="1"/>
      <c r="O371" s="1"/>
      <c r="P371" s="1"/>
      <c r="Q371" s="1"/>
      <c r="R371" s="1"/>
      <c r="S371" s="1"/>
      <c r="T371" s="1"/>
      <c r="U371" s="1"/>
      <c r="V371" s="1"/>
      <c r="W371" s="1"/>
      <c r="X371" s="1"/>
      <c r="Y371" s="1"/>
      <c r="Z371" s="1"/>
    </row>
    <row r="372" spans="1:26" ht="12.75" customHeight="1">
      <c r="A372" s="1"/>
      <c r="B372" s="10" t="str">
        <f ca="1">IFERROR(__xludf.DUMMYFUNCTION("""COMPUTED_VALUE"""),"Compensación Predios Exentos 2024")</f>
        <v>Compensación Predios Exentos 2024</v>
      </c>
      <c r="C372" s="26" t="str">
        <f t="shared" ca="1" si="0"/>
        <v xml:space="preserve"> MARIQUINA</v>
      </c>
      <c r="D372" s="10" t="str">
        <f ca="1">IFERROR(__xludf.DUMMYFUNCTION("""COMPUTED_VALUE"""),"Resolución de Transferencia")</f>
        <v>Resolución de Transferencia</v>
      </c>
      <c r="E372" s="26" t="str">
        <f ca="1">IFERROR(__xludf.DUMMYFUNCTION("""COMPUTED_VALUE"""),"MUNICIPALIDAD DE MARIQUINA")</f>
        <v>MUNICIPALIDAD DE MARIQUINA</v>
      </c>
      <c r="F372" s="11">
        <f ca="1">IFERROR(__xludf.DUMMYFUNCTION("""COMPUTED_VALUE"""),86448146)</f>
        <v>86448146</v>
      </c>
      <c r="G372" s="10" t="str">
        <f ca="1">IFERROR(__xludf.DUMMYFUNCTION("""COMPUTED_VALUE"""),"Resolución")</f>
        <v>Resolución</v>
      </c>
      <c r="H372" s="10" t="str">
        <f ca="1">IFERROR(__xludf.DUMMYFUNCTION("""COMPUTED_VALUE"""),"COMPENSACIÓN PREDIOS EXENTOS")</f>
        <v>COMPENSACIÓN PREDIOS EXENTOS</v>
      </c>
      <c r="I372" s="10" t="str">
        <f ca="1">IFERROR(__xludf.DUMMYFUNCTION("""COMPUTED_VALUE"""),"Cumplir con normativa y reglamentos internos del programa en base a los objetivos.")</f>
        <v>Cumplir con normativa y reglamentos internos del programa en base a los objetivos.</v>
      </c>
      <c r="J372" s="11">
        <f ca="1">IFERROR(__xludf.DUMMYFUNCTION("""COMPUTED_VALUE"""),86448146)</f>
        <v>86448146</v>
      </c>
      <c r="K372" s="27">
        <f ca="1">IFERROR(__xludf.DUMMYFUNCTION("""COMPUTED_VALUE"""),1)</f>
        <v>1</v>
      </c>
      <c r="L372" s="28" t="str">
        <f ca="1">IFERROR(__xludf.DUMMYFUNCTION("""COMPUTED_VALUE"""),"1/2024")</f>
        <v>1/2024</v>
      </c>
      <c r="M372" s="10" t="str">
        <f ca="1">IFERROR(__xludf.DUMMYFUNCTION("""COMPUTED_VALUE"""),"Predios Exentos")</f>
        <v>Predios Exentos</v>
      </c>
      <c r="N372" s="1"/>
      <c r="O372" s="1"/>
      <c r="P372" s="1"/>
      <c r="Q372" s="1"/>
      <c r="R372" s="1"/>
      <c r="S372" s="1"/>
      <c r="T372" s="1"/>
      <c r="U372" s="1"/>
      <c r="V372" s="1"/>
      <c r="W372" s="1"/>
      <c r="X372" s="1"/>
      <c r="Y372" s="1"/>
      <c r="Z372" s="1"/>
    </row>
    <row r="373" spans="1:26" ht="12.75" customHeight="1">
      <c r="A373" s="1"/>
      <c r="B373" s="10" t="str">
        <f ca="1">IFERROR(__xludf.DUMMYFUNCTION("""COMPUTED_VALUE"""),"Compensación Predios Exentos 2024")</f>
        <v>Compensación Predios Exentos 2024</v>
      </c>
      <c r="C373" s="26" t="str">
        <f t="shared" ca="1" si="0"/>
        <v xml:space="preserve"> MÁFIL</v>
      </c>
      <c r="D373" s="10" t="str">
        <f ca="1">IFERROR(__xludf.DUMMYFUNCTION("""COMPUTED_VALUE"""),"Resolución de Transferencia")</f>
        <v>Resolución de Transferencia</v>
      </c>
      <c r="E373" s="26" t="str">
        <f ca="1">IFERROR(__xludf.DUMMYFUNCTION("""COMPUTED_VALUE"""),"MUNICIPALIDAD DE MÁFIL")</f>
        <v>MUNICIPALIDAD DE MÁFIL</v>
      </c>
      <c r="F373" s="11">
        <f ca="1">IFERROR(__xludf.DUMMYFUNCTION("""COMPUTED_VALUE"""),24636596)</f>
        <v>24636596</v>
      </c>
      <c r="G373" s="10" t="str">
        <f ca="1">IFERROR(__xludf.DUMMYFUNCTION("""COMPUTED_VALUE"""),"Resolución")</f>
        <v>Resolución</v>
      </c>
      <c r="H373" s="10" t="str">
        <f ca="1">IFERROR(__xludf.DUMMYFUNCTION("""COMPUTED_VALUE"""),"COMPENSACIÓN PREDIOS EXENTOS")</f>
        <v>COMPENSACIÓN PREDIOS EXENTOS</v>
      </c>
      <c r="I373" s="10" t="str">
        <f ca="1">IFERROR(__xludf.DUMMYFUNCTION("""COMPUTED_VALUE"""),"Cumplir con normativa y reglamentos internos del programa en base a los objetivos.")</f>
        <v>Cumplir con normativa y reglamentos internos del programa en base a los objetivos.</v>
      </c>
      <c r="J373" s="11">
        <f ca="1">IFERROR(__xludf.DUMMYFUNCTION("""COMPUTED_VALUE"""),24636596)</f>
        <v>24636596</v>
      </c>
      <c r="K373" s="27">
        <f ca="1">IFERROR(__xludf.DUMMYFUNCTION("""COMPUTED_VALUE"""),1)</f>
        <v>1</v>
      </c>
      <c r="L373" s="28" t="str">
        <f ca="1">IFERROR(__xludf.DUMMYFUNCTION("""COMPUTED_VALUE"""),"1/2024")</f>
        <v>1/2024</v>
      </c>
      <c r="M373" s="10" t="str">
        <f ca="1">IFERROR(__xludf.DUMMYFUNCTION("""COMPUTED_VALUE"""),"Predios Exentos")</f>
        <v>Predios Exentos</v>
      </c>
      <c r="N373" s="1"/>
      <c r="O373" s="1"/>
      <c r="P373" s="1"/>
      <c r="Q373" s="1"/>
      <c r="R373" s="1"/>
      <c r="S373" s="1"/>
      <c r="T373" s="1"/>
      <c r="U373" s="1"/>
      <c r="V373" s="1"/>
      <c r="W373" s="1"/>
      <c r="X373" s="1"/>
      <c r="Y373" s="1"/>
      <c r="Z373" s="1"/>
    </row>
    <row r="374" spans="1:26" ht="12.75" customHeight="1">
      <c r="A374" s="1"/>
      <c r="B374" s="10" t="str">
        <f ca="1">IFERROR(__xludf.DUMMYFUNCTION("""COMPUTED_VALUE"""),"Compensación Predios Exentos 2024")</f>
        <v>Compensación Predios Exentos 2024</v>
      </c>
      <c r="C374" s="26" t="str">
        <f t="shared" ca="1" si="0"/>
        <v xml:space="preserve"> ANCUD</v>
      </c>
      <c r="D374" s="10" t="str">
        <f ca="1">IFERROR(__xludf.DUMMYFUNCTION("""COMPUTED_VALUE"""),"Resolución de Transferencia")</f>
        <v>Resolución de Transferencia</v>
      </c>
      <c r="E374" s="26" t="str">
        <f ca="1">IFERROR(__xludf.DUMMYFUNCTION("""COMPUTED_VALUE"""),"MUNICIPALIDAD DE ANCUD")</f>
        <v>MUNICIPALIDAD DE ANCUD</v>
      </c>
      <c r="F374" s="11">
        <f ca="1">IFERROR(__xludf.DUMMYFUNCTION("""COMPUTED_VALUE"""),200531858)</f>
        <v>200531858</v>
      </c>
      <c r="G374" s="10" t="str">
        <f ca="1">IFERROR(__xludf.DUMMYFUNCTION("""COMPUTED_VALUE"""),"Resolución")</f>
        <v>Resolución</v>
      </c>
      <c r="H374" s="10" t="str">
        <f ca="1">IFERROR(__xludf.DUMMYFUNCTION("""COMPUTED_VALUE"""),"COMPENSACIÓN PREDIOS EXENTOS")</f>
        <v>COMPENSACIÓN PREDIOS EXENTOS</v>
      </c>
      <c r="I374" s="10" t="str">
        <f ca="1">IFERROR(__xludf.DUMMYFUNCTION("""COMPUTED_VALUE"""),"Cumplir con normativa y reglamentos internos del programa en base a los objetivos.")</f>
        <v>Cumplir con normativa y reglamentos internos del programa en base a los objetivos.</v>
      </c>
      <c r="J374" s="11">
        <f ca="1">IFERROR(__xludf.DUMMYFUNCTION("""COMPUTED_VALUE"""),200531858)</f>
        <v>200531858</v>
      </c>
      <c r="K374" s="27">
        <f ca="1">IFERROR(__xludf.DUMMYFUNCTION("""COMPUTED_VALUE"""),1)</f>
        <v>1</v>
      </c>
      <c r="L374" s="28" t="str">
        <f ca="1">IFERROR(__xludf.DUMMYFUNCTION("""COMPUTED_VALUE"""),"1/2024")</f>
        <v>1/2024</v>
      </c>
      <c r="M374" s="10" t="str">
        <f ca="1">IFERROR(__xludf.DUMMYFUNCTION("""COMPUTED_VALUE"""),"Predios Exentos")</f>
        <v>Predios Exentos</v>
      </c>
      <c r="N374" s="1"/>
      <c r="O374" s="1"/>
      <c r="P374" s="1"/>
      <c r="Q374" s="1"/>
      <c r="R374" s="1"/>
      <c r="S374" s="1"/>
      <c r="T374" s="1"/>
      <c r="U374" s="1"/>
      <c r="V374" s="1"/>
      <c r="W374" s="1"/>
      <c r="X374" s="1"/>
      <c r="Y374" s="1"/>
      <c r="Z374" s="1"/>
    </row>
    <row r="375" spans="1:26" ht="12.75" customHeight="1">
      <c r="A375" s="1"/>
      <c r="B375" s="10" t="str">
        <f ca="1">IFERROR(__xludf.DUMMYFUNCTION("""COMPUTED_VALUE"""),"Compensación Predios Exentos 2024")</f>
        <v>Compensación Predios Exentos 2024</v>
      </c>
      <c r="C375" s="26" t="str">
        <f t="shared" ca="1" si="0"/>
        <v xml:space="preserve"> CASTRO</v>
      </c>
      <c r="D375" s="10" t="str">
        <f ca="1">IFERROR(__xludf.DUMMYFUNCTION("""COMPUTED_VALUE"""),"Resolución de Transferencia")</f>
        <v>Resolución de Transferencia</v>
      </c>
      <c r="E375" s="26" t="str">
        <f ca="1">IFERROR(__xludf.DUMMYFUNCTION("""COMPUTED_VALUE"""),"MUNICIPALIDAD DE CASTRO")</f>
        <v>MUNICIPALIDAD DE CASTRO</v>
      </c>
      <c r="F375" s="11">
        <f ca="1">IFERROR(__xludf.DUMMYFUNCTION("""COMPUTED_VALUE"""),173356884)</f>
        <v>173356884</v>
      </c>
      <c r="G375" s="10" t="str">
        <f ca="1">IFERROR(__xludf.DUMMYFUNCTION("""COMPUTED_VALUE"""),"Resolución")</f>
        <v>Resolución</v>
      </c>
      <c r="H375" s="10" t="str">
        <f ca="1">IFERROR(__xludf.DUMMYFUNCTION("""COMPUTED_VALUE"""),"COMPENSACIÓN PREDIOS EXENTOS")</f>
        <v>COMPENSACIÓN PREDIOS EXENTOS</v>
      </c>
      <c r="I375" s="10" t="str">
        <f ca="1">IFERROR(__xludf.DUMMYFUNCTION("""COMPUTED_VALUE"""),"Cumplir con normativa y reglamentos internos del programa en base a los objetivos.")</f>
        <v>Cumplir con normativa y reglamentos internos del programa en base a los objetivos.</v>
      </c>
      <c r="J375" s="11">
        <f ca="1">IFERROR(__xludf.DUMMYFUNCTION("""COMPUTED_VALUE"""),173356884)</f>
        <v>173356884</v>
      </c>
      <c r="K375" s="27">
        <f ca="1">IFERROR(__xludf.DUMMYFUNCTION("""COMPUTED_VALUE"""),1)</f>
        <v>1</v>
      </c>
      <c r="L375" s="28" t="str">
        <f ca="1">IFERROR(__xludf.DUMMYFUNCTION("""COMPUTED_VALUE"""),"1/2024")</f>
        <v>1/2024</v>
      </c>
      <c r="M375" s="10" t="str">
        <f ca="1">IFERROR(__xludf.DUMMYFUNCTION("""COMPUTED_VALUE"""),"Predios Exentos")</f>
        <v>Predios Exentos</v>
      </c>
      <c r="N375" s="1"/>
      <c r="O375" s="1"/>
      <c r="P375" s="1"/>
      <c r="Q375" s="1"/>
      <c r="R375" s="1"/>
      <c r="S375" s="1"/>
      <c r="T375" s="1"/>
      <c r="U375" s="1"/>
      <c r="V375" s="1"/>
      <c r="W375" s="1"/>
      <c r="X375" s="1"/>
      <c r="Y375" s="1"/>
      <c r="Z375" s="1"/>
    </row>
    <row r="376" spans="1:26" ht="12.75" customHeight="1">
      <c r="A376" s="1"/>
      <c r="B376" s="10" t="str">
        <f ca="1">IFERROR(__xludf.DUMMYFUNCTION("""COMPUTED_VALUE"""),"Compensación Predios Exentos 2024")</f>
        <v>Compensación Predios Exentos 2024</v>
      </c>
      <c r="C376" s="26" t="str">
        <f t="shared" ca="1" si="0"/>
        <v xml:space="preserve"> CHILE CHICO</v>
      </c>
      <c r="D376" s="10" t="str">
        <f ca="1">IFERROR(__xludf.DUMMYFUNCTION("""COMPUTED_VALUE"""),"Resolución de Transferencia")</f>
        <v>Resolución de Transferencia</v>
      </c>
      <c r="E376" s="26" t="str">
        <f ca="1">IFERROR(__xludf.DUMMYFUNCTION("""COMPUTED_VALUE"""),"MUNICIPALIDAD DE CHILE CHICO")</f>
        <v>MUNICIPALIDAD DE CHILE CHICO</v>
      </c>
      <c r="F376" s="11">
        <f ca="1">IFERROR(__xludf.DUMMYFUNCTION("""COMPUTED_VALUE"""),28218984)</f>
        <v>28218984</v>
      </c>
      <c r="G376" s="10" t="str">
        <f ca="1">IFERROR(__xludf.DUMMYFUNCTION("""COMPUTED_VALUE"""),"Resolución")</f>
        <v>Resolución</v>
      </c>
      <c r="H376" s="10" t="str">
        <f ca="1">IFERROR(__xludf.DUMMYFUNCTION("""COMPUTED_VALUE"""),"COMPENSACIÓN PREDIOS EXENTOS")</f>
        <v>COMPENSACIÓN PREDIOS EXENTOS</v>
      </c>
      <c r="I376" s="10" t="str">
        <f ca="1">IFERROR(__xludf.DUMMYFUNCTION("""COMPUTED_VALUE"""),"Cumplir con normativa y reglamentos internos del programa en base a los objetivos.")</f>
        <v>Cumplir con normativa y reglamentos internos del programa en base a los objetivos.</v>
      </c>
      <c r="J376" s="11">
        <f ca="1">IFERROR(__xludf.DUMMYFUNCTION("""COMPUTED_VALUE"""),28218984)</f>
        <v>28218984</v>
      </c>
      <c r="K376" s="27">
        <f ca="1">IFERROR(__xludf.DUMMYFUNCTION("""COMPUTED_VALUE"""),1)</f>
        <v>1</v>
      </c>
      <c r="L376" s="28" t="str">
        <f ca="1">IFERROR(__xludf.DUMMYFUNCTION("""COMPUTED_VALUE"""),"1/2024")</f>
        <v>1/2024</v>
      </c>
      <c r="M376" s="10" t="str">
        <f ca="1">IFERROR(__xludf.DUMMYFUNCTION("""COMPUTED_VALUE"""),"Predios Exentos")</f>
        <v>Predios Exentos</v>
      </c>
      <c r="N376" s="1"/>
      <c r="O376" s="1"/>
      <c r="P376" s="1"/>
      <c r="Q376" s="1"/>
      <c r="R376" s="1"/>
      <c r="S376" s="1"/>
      <c r="T376" s="1"/>
      <c r="U376" s="1"/>
      <c r="V376" s="1"/>
      <c r="W376" s="1"/>
      <c r="X376" s="1"/>
      <c r="Y376" s="1"/>
      <c r="Z376" s="1"/>
    </row>
    <row r="377" spans="1:26" ht="12.75" customHeight="1">
      <c r="A377" s="1"/>
      <c r="B377" s="10" t="str">
        <f ca="1">IFERROR(__xludf.DUMMYFUNCTION("""COMPUTED_VALUE"""),"Compensación Predios Exentos 2024")</f>
        <v>Compensación Predios Exentos 2024</v>
      </c>
      <c r="C377" s="26" t="str">
        <f t="shared" ca="1" si="0"/>
        <v xml:space="preserve"> NATALES</v>
      </c>
      <c r="D377" s="10" t="str">
        <f ca="1">IFERROR(__xludf.DUMMYFUNCTION("""COMPUTED_VALUE"""),"Resolución de Transferencia")</f>
        <v>Resolución de Transferencia</v>
      </c>
      <c r="E377" s="26" t="str">
        <f ca="1">IFERROR(__xludf.DUMMYFUNCTION("""COMPUTED_VALUE"""),"MUNICIPALIDAD DE NATALES")</f>
        <v>MUNICIPALIDAD DE NATALES</v>
      </c>
      <c r="F377" s="11">
        <f ca="1">IFERROR(__xludf.DUMMYFUNCTION("""COMPUTED_VALUE"""),84564833)</f>
        <v>84564833</v>
      </c>
      <c r="G377" s="10" t="str">
        <f ca="1">IFERROR(__xludf.DUMMYFUNCTION("""COMPUTED_VALUE"""),"Resolución")</f>
        <v>Resolución</v>
      </c>
      <c r="H377" s="10" t="str">
        <f ca="1">IFERROR(__xludf.DUMMYFUNCTION("""COMPUTED_VALUE"""),"COMPENSACIÓN PREDIOS EXENTOS")</f>
        <v>COMPENSACIÓN PREDIOS EXENTOS</v>
      </c>
      <c r="I377" s="10" t="str">
        <f ca="1">IFERROR(__xludf.DUMMYFUNCTION("""COMPUTED_VALUE"""),"Cumplir con normativa y reglamentos internos del programa en base a los objetivos.")</f>
        <v>Cumplir con normativa y reglamentos internos del programa en base a los objetivos.</v>
      </c>
      <c r="J377" s="11">
        <f ca="1">IFERROR(__xludf.DUMMYFUNCTION("""COMPUTED_VALUE"""),84564833)</f>
        <v>84564833</v>
      </c>
      <c r="K377" s="27">
        <f ca="1">IFERROR(__xludf.DUMMYFUNCTION("""COMPUTED_VALUE"""),1)</f>
        <v>1</v>
      </c>
      <c r="L377" s="28" t="str">
        <f ca="1">IFERROR(__xludf.DUMMYFUNCTION("""COMPUTED_VALUE"""),"1/2024")</f>
        <v>1/2024</v>
      </c>
      <c r="M377" s="10" t="str">
        <f ca="1">IFERROR(__xludf.DUMMYFUNCTION("""COMPUTED_VALUE"""),"Predios Exentos")</f>
        <v>Predios Exentos</v>
      </c>
      <c r="N377" s="1"/>
      <c r="O377" s="1"/>
      <c r="P377" s="1"/>
      <c r="Q377" s="1"/>
      <c r="R377" s="1"/>
      <c r="S377" s="1"/>
      <c r="T377" s="1"/>
      <c r="U377" s="1"/>
      <c r="V377" s="1"/>
      <c r="W377" s="1"/>
      <c r="X377" s="1"/>
      <c r="Y377" s="1"/>
      <c r="Z377" s="1"/>
    </row>
    <row r="378" spans="1:26" ht="12.75" customHeight="1">
      <c r="A378" s="1"/>
      <c r="B378" s="10" t="str">
        <f ca="1">IFERROR(__xludf.DUMMYFUNCTION("""COMPUTED_VALUE"""),"Compensación Predios Exentos 2024")</f>
        <v>Compensación Predios Exentos 2024</v>
      </c>
      <c r="C378" s="26" t="str">
        <f t="shared" ca="1" si="0"/>
        <v xml:space="preserve"> GENERAL LAGOS</v>
      </c>
      <c r="D378" s="10" t="str">
        <f ca="1">IFERROR(__xludf.DUMMYFUNCTION("""COMPUTED_VALUE"""),"Resolución de Transferencia")</f>
        <v>Resolución de Transferencia</v>
      </c>
      <c r="E378" s="26" t="str">
        <f ca="1">IFERROR(__xludf.DUMMYFUNCTION("""COMPUTED_VALUE"""),"MUNICIPALIDAD DE GENERAL LAGOS")</f>
        <v>MUNICIPALIDAD DE GENERAL LAGOS</v>
      </c>
      <c r="F378" s="11">
        <f ca="1">IFERROR(__xludf.DUMMYFUNCTION("""COMPUTED_VALUE"""),3234385)</f>
        <v>3234385</v>
      </c>
      <c r="G378" s="10" t="str">
        <f ca="1">IFERROR(__xludf.DUMMYFUNCTION("""COMPUTED_VALUE"""),"Resolución")</f>
        <v>Resolución</v>
      </c>
      <c r="H378" s="10" t="str">
        <f ca="1">IFERROR(__xludf.DUMMYFUNCTION("""COMPUTED_VALUE"""),"COMPENSACIÓN PREDIOS EXENTOS")</f>
        <v>COMPENSACIÓN PREDIOS EXENTOS</v>
      </c>
      <c r="I378" s="10" t="str">
        <f ca="1">IFERROR(__xludf.DUMMYFUNCTION("""COMPUTED_VALUE"""),"Cumplir con normativa y reglamentos internos del programa en base a los objetivos.")</f>
        <v>Cumplir con normativa y reglamentos internos del programa en base a los objetivos.</v>
      </c>
      <c r="J378" s="11">
        <f ca="1">IFERROR(__xludf.DUMMYFUNCTION("""COMPUTED_VALUE"""),3234385)</f>
        <v>3234385</v>
      </c>
      <c r="K378" s="27">
        <f ca="1">IFERROR(__xludf.DUMMYFUNCTION("""COMPUTED_VALUE"""),1)</f>
        <v>1</v>
      </c>
      <c r="L378" s="28" t="str">
        <f ca="1">IFERROR(__xludf.DUMMYFUNCTION("""COMPUTED_VALUE"""),"1/2024")</f>
        <v>1/2024</v>
      </c>
      <c r="M378" s="10" t="str">
        <f ca="1">IFERROR(__xludf.DUMMYFUNCTION("""COMPUTED_VALUE"""),"Predios Exentos")</f>
        <v>Predios Exentos</v>
      </c>
      <c r="N378" s="1"/>
      <c r="O378" s="1"/>
      <c r="P378" s="1"/>
      <c r="Q378" s="1"/>
      <c r="R378" s="1"/>
      <c r="S378" s="1"/>
      <c r="T378" s="1"/>
      <c r="U378" s="1"/>
      <c r="V378" s="1"/>
      <c r="W378" s="1"/>
      <c r="X378" s="1"/>
      <c r="Y378" s="1"/>
      <c r="Z378" s="1"/>
    </row>
    <row r="379" spans="1:26" ht="12.75" customHeight="1">
      <c r="A379" s="1"/>
      <c r="B379" s="10" t="str">
        <f ca="1">IFERROR(__xludf.DUMMYFUNCTION("""COMPUTED_VALUE"""),"Compensación Predios Exentos 2024")</f>
        <v>Compensación Predios Exentos 2024</v>
      </c>
      <c r="C379" s="26" t="str">
        <f t="shared" ca="1" si="0"/>
        <v xml:space="preserve"> TEODORO SCHMIDT</v>
      </c>
      <c r="D379" s="10" t="str">
        <f ca="1">IFERROR(__xludf.DUMMYFUNCTION("""COMPUTED_VALUE"""),"Resolución de Transferencia")</f>
        <v>Resolución de Transferencia</v>
      </c>
      <c r="E379" s="26" t="str">
        <f ca="1">IFERROR(__xludf.DUMMYFUNCTION("""COMPUTED_VALUE"""),"MUNICIPALIDAD DE TEODORO SCHMIDT")</f>
        <v>MUNICIPALIDAD DE TEODORO SCHMIDT</v>
      </c>
      <c r="F379" s="11">
        <f ca="1">IFERROR(__xludf.DUMMYFUNCTION("""COMPUTED_VALUE"""),89825826)</f>
        <v>89825826</v>
      </c>
      <c r="G379" s="10" t="str">
        <f ca="1">IFERROR(__xludf.DUMMYFUNCTION("""COMPUTED_VALUE"""),"Resolución")</f>
        <v>Resolución</v>
      </c>
      <c r="H379" s="10" t="str">
        <f ca="1">IFERROR(__xludf.DUMMYFUNCTION("""COMPUTED_VALUE"""),"COMPENSACIÓN PREDIOS EXENTOS")</f>
        <v>COMPENSACIÓN PREDIOS EXENTOS</v>
      </c>
      <c r="I379" s="10" t="str">
        <f ca="1">IFERROR(__xludf.DUMMYFUNCTION("""COMPUTED_VALUE"""),"Cumplir con normativa y reglamentos internos del programa en base a los objetivos.")</f>
        <v>Cumplir con normativa y reglamentos internos del programa en base a los objetivos.</v>
      </c>
      <c r="J379" s="11">
        <f ca="1">IFERROR(__xludf.DUMMYFUNCTION("""COMPUTED_VALUE"""),89825826)</f>
        <v>89825826</v>
      </c>
      <c r="K379" s="27">
        <f ca="1">IFERROR(__xludf.DUMMYFUNCTION("""COMPUTED_VALUE"""),1)</f>
        <v>1</v>
      </c>
      <c r="L379" s="28" t="str">
        <f ca="1">IFERROR(__xludf.DUMMYFUNCTION("""COMPUTED_VALUE"""),"1/2024")</f>
        <v>1/2024</v>
      </c>
      <c r="M379" s="10" t="str">
        <f ca="1">IFERROR(__xludf.DUMMYFUNCTION("""COMPUTED_VALUE"""),"Predios Exentos")</f>
        <v>Predios Exentos</v>
      </c>
      <c r="N379" s="1"/>
      <c r="O379" s="1"/>
      <c r="P379" s="1"/>
      <c r="Q379" s="1"/>
      <c r="R379" s="1"/>
      <c r="S379" s="1"/>
      <c r="T379" s="1"/>
      <c r="U379" s="1"/>
      <c r="V379" s="1"/>
      <c r="W379" s="1"/>
      <c r="X379" s="1"/>
      <c r="Y379" s="1"/>
      <c r="Z379" s="1"/>
    </row>
    <row r="380" spans="1:26" ht="12.75" customHeight="1">
      <c r="A380" s="1"/>
      <c r="B380" s="10" t="str">
        <f ca="1">IFERROR(__xludf.DUMMYFUNCTION("""COMPUTED_VALUE"""),"Compensación Predios Exentos 2024")</f>
        <v>Compensación Predios Exentos 2024</v>
      </c>
      <c r="C380" s="26" t="str">
        <f t="shared" ca="1" si="0"/>
        <v xml:space="preserve"> SAN JOAQUÍN</v>
      </c>
      <c r="D380" s="10" t="str">
        <f ca="1">IFERROR(__xludf.DUMMYFUNCTION("""COMPUTED_VALUE"""),"Resolución de Transferencia")</f>
        <v>Resolución de Transferencia</v>
      </c>
      <c r="E380" s="26" t="str">
        <f ca="1">IFERROR(__xludf.DUMMYFUNCTION("""COMPUTED_VALUE"""),"MUNICIPALIDAD DE SAN JOAQUÍN")</f>
        <v>MUNICIPALIDAD DE SAN JOAQUÍN</v>
      </c>
      <c r="F380" s="11">
        <f ca="1">IFERROR(__xludf.DUMMYFUNCTION("""COMPUTED_VALUE"""),248269740)</f>
        <v>248269740</v>
      </c>
      <c r="G380" s="10" t="str">
        <f ca="1">IFERROR(__xludf.DUMMYFUNCTION("""COMPUTED_VALUE"""),"Resolución")</f>
        <v>Resolución</v>
      </c>
      <c r="H380" s="10" t="str">
        <f ca="1">IFERROR(__xludf.DUMMYFUNCTION("""COMPUTED_VALUE"""),"COMPENSACIÓN PREDIOS EXENTOS")</f>
        <v>COMPENSACIÓN PREDIOS EXENTOS</v>
      </c>
      <c r="I380" s="10" t="str">
        <f ca="1">IFERROR(__xludf.DUMMYFUNCTION("""COMPUTED_VALUE"""),"Cumplir con normativa y reglamentos internos del programa en base a los objetivos.")</f>
        <v>Cumplir con normativa y reglamentos internos del programa en base a los objetivos.</v>
      </c>
      <c r="J380" s="11">
        <f ca="1">IFERROR(__xludf.DUMMYFUNCTION("""COMPUTED_VALUE"""),248269740)</f>
        <v>248269740</v>
      </c>
      <c r="K380" s="27">
        <f ca="1">IFERROR(__xludf.DUMMYFUNCTION("""COMPUTED_VALUE"""),1)</f>
        <v>1</v>
      </c>
      <c r="L380" s="28" t="str">
        <f ca="1">IFERROR(__xludf.DUMMYFUNCTION("""COMPUTED_VALUE"""),"1/2024")</f>
        <v>1/2024</v>
      </c>
      <c r="M380" s="10" t="str">
        <f ca="1">IFERROR(__xludf.DUMMYFUNCTION("""COMPUTED_VALUE"""),"Predios Exentos")</f>
        <v>Predios Exentos</v>
      </c>
      <c r="N380" s="1"/>
      <c r="O380" s="1"/>
      <c r="P380" s="1"/>
      <c r="Q380" s="1"/>
      <c r="R380" s="1"/>
      <c r="S380" s="1"/>
      <c r="T380" s="1"/>
      <c r="U380" s="1"/>
      <c r="V380" s="1"/>
      <c r="W380" s="1"/>
      <c r="X380" s="1"/>
      <c r="Y380" s="1"/>
      <c r="Z380" s="1"/>
    </row>
    <row r="381" spans="1:26" ht="12.75" customHeight="1">
      <c r="A381" s="1"/>
      <c r="B381" s="10" t="str">
        <f ca="1">IFERROR(__xludf.DUMMYFUNCTION("""COMPUTED_VALUE"""),"Compensación Predios Exentos 2024")</f>
        <v>Compensación Predios Exentos 2024</v>
      </c>
      <c r="C381" s="26" t="str">
        <f t="shared" ca="1" si="0"/>
        <v xml:space="preserve"> HUECHURABA</v>
      </c>
      <c r="D381" s="10" t="str">
        <f ca="1">IFERROR(__xludf.DUMMYFUNCTION("""COMPUTED_VALUE"""),"Resolución de Transferencia")</f>
        <v>Resolución de Transferencia</v>
      </c>
      <c r="E381" s="26" t="str">
        <f ca="1">IFERROR(__xludf.DUMMYFUNCTION("""COMPUTED_VALUE"""),"MUNICIPALIDAD DE HUECHURABA")</f>
        <v>MUNICIPALIDAD DE HUECHURABA</v>
      </c>
      <c r="F381" s="11">
        <f ca="1">IFERROR(__xludf.DUMMYFUNCTION("""COMPUTED_VALUE"""),143868711)</f>
        <v>143868711</v>
      </c>
      <c r="G381" s="10" t="str">
        <f ca="1">IFERROR(__xludf.DUMMYFUNCTION("""COMPUTED_VALUE"""),"Resolución")</f>
        <v>Resolución</v>
      </c>
      <c r="H381" s="10" t="str">
        <f ca="1">IFERROR(__xludf.DUMMYFUNCTION("""COMPUTED_VALUE"""),"COMPENSACIÓN PREDIOS EXENTOS")</f>
        <v>COMPENSACIÓN PREDIOS EXENTOS</v>
      </c>
      <c r="I381" s="10" t="str">
        <f ca="1">IFERROR(__xludf.DUMMYFUNCTION("""COMPUTED_VALUE"""),"Cumplir con normativa y reglamentos internos del programa en base a los objetivos.")</f>
        <v>Cumplir con normativa y reglamentos internos del programa en base a los objetivos.</v>
      </c>
      <c r="J381" s="11">
        <f ca="1">IFERROR(__xludf.DUMMYFUNCTION("""COMPUTED_VALUE"""),143868711)</f>
        <v>143868711</v>
      </c>
      <c r="K381" s="27">
        <f ca="1">IFERROR(__xludf.DUMMYFUNCTION("""COMPUTED_VALUE"""),1)</f>
        <v>1</v>
      </c>
      <c r="L381" s="28" t="str">
        <f ca="1">IFERROR(__xludf.DUMMYFUNCTION("""COMPUTED_VALUE"""),"1/2024")</f>
        <v>1/2024</v>
      </c>
      <c r="M381" s="10" t="str">
        <f ca="1">IFERROR(__xludf.DUMMYFUNCTION("""COMPUTED_VALUE"""),"Predios Exentos")</f>
        <v>Predios Exentos</v>
      </c>
      <c r="N381" s="1"/>
      <c r="O381" s="1"/>
      <c r="P381" s="1"/>
      <c r="Q381" s="1"/>
      <c r="R381" s="1"/>
      <c r="S381" s="1"/>
      <c r="T381" s="1"/>
      <c r="U381" s="1"/>
      <c r="V381" s="1"/>
      <c r="W381" s="1"/>
      <c r="X381" s="1"/>
      <c r="Y381" s="1"/>
      <c r="Z381" s="1"/>
    </row>
    <row r="382" spans="1:26" ht="12.75" customHeight="1">
      <c r="A382" s="1"/>
      <c r="B382" s="10" t="str">
        <f ca="1">IFERROR(__xludf.DUMMYFUNCTION("""COMPUTED_VALUE"""),"Compensación Predios Exentos 2024")</f>
        <v>Compensación Predios Exentos 2024</v>
      </c>
      <c r="C382" s="26" t="str">
        <f t="shared" ca="1" si="0"/>
        <v xml:space="preserve"> SAN RAFAEL</v>
      </c>
      <c r="D382" s="10" t="str">
        <f ca="1">IFERROR(__xludf.DUMMYFUNCTION("""COMPUTED_VALUE"""),"Resolución de Transferencia")</f>
        <v>Resolución de Transferencia</v>
      </c>
      <c r="E382" s="26" t="str">
        <f ca="1">IFERROR(__xludf.DUMMYFUNCTION("""COMPUTED_VALUE"""),"MUNICIPALIDAD DE SAN RAFAEL")</f>
        <v>MUNICIPALIDAD DE SAN RAFAEL</v>
      </c>
      <c r="F382" s="11">
        <f ca="1">IFERROR(__xludf.DUMMYFUNCTION("""COMPUTED_VALUE"""),46315162)</f>
        <v>46315162</v>
      </c>
      <c r="G382" s="10" t="str">
        <f ca="1">IFERROR(__xludf.DUMMYFUNCTION("""COMPUTED_VALUE"""),"Resolución")</f>
        <v>Resolución</v>
      </c>
      <c r="H382" s="10" t="str">
        <f ca="1">IFERROR(__xludf.DUMMYFUNCTION("""COMPUTED_VALUE"""),"COMPENSACIÓN PREDIOS EXENTOS")</f>
        <v>COMPENSACIÓN PREDIOS EXENTOS</v>
      </c>
      <c r="I382" s="10" t="str">
        <f ca="1">IFERROR(__xludf.DUMMYFUNCTION("""COMPUTED_VALUE"""),"Cumplir con normativa y reglamentos internos del programa en base a los objetivos.")</f>
        <v>Cumplir con normativa y reglamentos internos del programa en base a los objetivos.</v>
      </c>
      <c r="J382" s="11">
        <f ca="1">IFERROR(__xludf.DUMMYFUNCTION("""COMPUTED_VALUE"""),46315162)</f>
        <v>46315162</v>
      </c>
      <c r="K382" s="27">
        <f ca="1">IFERROR(__xludf.DUMMYFUNCTION("""COMPUTED_VALUE"""),1)</f>
        <v>1</v>
      </c>
      <c r="L382" s="28" t="str">
        <f ca="1">IFERROR(__xludf.DUMMYFUNCTION("""COMPUTED_VALUE"""),"1/2024")</f>
        <v>1/2024</v>
      </c>
      <c r="M382" s="10" t="str">
        <f ca="1">IFERROR(__xludf.DUMMYFUNCTION("""COMPUTED_VALUE"""),"Predios Exentos")</f>
        <v>Predios Exentos</v>
      </c>
      <c r="N382" s="1"/>
      <c r="O382" s="1"/>
      <c r="P382" s="1"/>
      <c r="Q382" s="1"/>
      <c r="R382" s="1"/>
      <c r="S382" s="1"/>
      <c r="T382" s="1"/>
      <c r="U382" s="1"/>
      <c r="V382" s="1"/>
      <c r="W382" s="1"/>
      <c r="X382" s="1"/>
      <c r="Y382" s="1"/>
      <c r="Z382" s="1"/>
    </row>
    <row r="383" spans="1:26" ht="12.75" customHeight="1">
      <c r="A383" s="1"/>
      <c r="B383" s="10" t="str">
        <f ca="1">IFERROR(__xludf.DUMMYFUNCTION("""COMPUTED_VALUE"""),"Compensación Predios Exentos 2024")</f>
        <v>Compensación Predios Exentos 2024</v>
      </c>
      <c r="C383" s="26" t="str">
        <f t="shared" ca="1" si="0"/>
        <v xml:space="preserve"> CHOLCHOL</v>
      </c>
      <c r="D383" s="10" t="str">
        <f ca="1">IFERROR(__xludf.DUMMYFUNCTION("""COMPUTED_VALUE"""),"Resolución de Transferencia")</f>
        <v>Resolución de Transferencia</v>
      </c>
      <c r="E383" s="26" t="str">
        <f ca="1">IFERROR(__xludf.DUMMYFUNCTION("""COMPUTED_VALUE"""),"MUNICIPALIDAD DE CHOLCHOL")</f>
        <v>MUNICIPALIDAD DE CHOLCHOL</v>
      </c>
      <c r="F383" s="11">
        <f ca="1">IFERROR(__xludf.DUMMYFUNCTION("""COMPUTED_VALUE"""),72128828)</f>
        <v>72128828</v>
      </c>
      <c r="G383" s="10" t="str">
        <f ca="1">IFERROR(__xludf.DUMMYFUNCTION("""COMPUTED_VALUE"""),"Resolución")</f>
        <v>Resolución</v>
      </c>
      <c r="H383" s="10" t="str">
        <f ca="1">IFERROR(__xludf.DUMMYFUNCTION("""COMPUTED_VALUE"""),"COMPENSACIÓN PREDIOS EXENTOS")</f>
        <v>COMPENSACIÓN PREDIOS EXENTOS</v>
      </c>
      <c r="I383" s="10" t="str">
        <f ca="1">IFERROR(__xludf.DUMMYFUNCTION("""COMPUTED_VALUE"""),"Cumplir con normativa y reglamentos internos del programa en base a los objetivos.")</f>
        <v>Cumplir con normativa y reglamentos internos del programa en base a los objetivos.</v>
      </c>
      <c r="J383" s="11">
        <f ca="1">IFERROR(__xludf.DUMMYFUNCTION("""COMPUTED_VALUE"""),72128828)</f>
        <v>72128828</v>
      </c>
      <c r="K383" s="27">
        <f ca="1">IFERROR(__xludf.DUMMYFUNCTION("""COMPUTED_VALUE"""),1)</f>
        <v>1</v>
      </c>
      <c r="L383" s="28" t="str">
        <f ca="1">IFERROR(__xludf.DUMMYFUNCTION("""COMPUTED_VALUE"""),"1/2024")</f>
        <v>1/2024</v>
      </c>
      <c r="M383" s="10" t="str">
        <f ca="1">IFERROR(__xludf.DUMMYFUNCTION("""COMPUTED_VALUE"""),"Predios Exentos")</f>
        <v>Predios Exentos</v>
      </c>
      <c r="N383" s="1"/>
      <c r="O383" s="1"/>
      <c r="P383" s="1"/>
      <c r="Q383" s="1"/>
      <c r="R383" s="1"/>
      <c r="S383" s="1"/>
      <c r="T383" s="1"/>
      <c r="U383" s="1"/>
      <c r="V383" s="1"/>
      <c r="W383" s="1"/>
      <c r="X383" s="1"/>
      <c r="Y383" s="1"/>
      <c r="Z383" s="1"/>
    </row>
    <row r="384" spans="1:26" ht="12.75" customHeight="1">
      <c r="A384" s="1"/>
      <c r="B384" s="10" t="str">
        <f ca="1">IFERROR(__xludf.DUMMYFUNCTION("""COMPUTED_VALUE"""),"Compensación Predios Exentos 2024")</f>
        <v>Compensación Predios Exentos 2024</v>
      </c>
      <c r="C384" s="26" t="str">
        <f t="shared" ca="1" si="0"/>
        <v xml:space="preserve"> LA SERENA</v>
      </c>
      <c r="D384" s="10" t="str">
        <f ca="1">IFERROR(__xludf.DUMMYFUNCTION("""COMPUTED_VALUE"""),"Resolución de Transferencia")</f>
        <v>Resolución de Transferencia</v>
      </c>
      <c r="E384" s="26" t="str">
        <f ca="1">IFERROR(__xludf.DUMMYFUNCTION("""COMPUTED_VALUE"""),"MUNICIPALIDAD DE LA SERENA")</f>
        <v>MUNICIPALIDAD DE LA SERENA</v>
      </c>
      <c r="F384" s="11">
        <f ca="1">IFERROR(__xludf.DUMMYFUNCTION("""COMPUTED_VALUE"""),622025422)</f>
        <v>622025422</v>
      </c>
      <c r="G384" s="10" t="str">
        <f ca="1">IFERROR(__xludf.DUMMYFUNCTION("""COMPUTED_VALUE"""),"Resolución")</f>
        <v>Resolución</v>
      </c>
      <c r="H384" s="10" t="str">
        <f ca="1">IFERROR(__xludf.DUMMYFUNCTION("""COMPUTED_VALUE"""),"COMPENSACIÓN PREDIOS EXENTOS")</f>
        <v>COMPENSACIÓN PREDIOS EXENTOS</v>
      </c>
      <c r="I384" s="10" t="str">
        <f ca="1">IFERROR(__xludf.DUMMYFUNCTION("""COMPUTED_VALUE"""),"Cumplir con normativa y reglamentos internos del programa en base a los objetivos.")</f>
        <v>Cumplir con normativa y reglamentos internos del programa en base a los objetivos.</v>
      </c>
      <c r="J384" s="11">
        <f ca="1">IFERROR(__xludf.DUMMYFUNCTION("""COMPUTED_VALUE"""),622025422)</f>
        <v>622025422</v>
      </c>
      <c r="K384" s="27">
        <f ca="1">IFERROR(__xludf.DUMMYFUNCTION("""COMPUTED_VALUE"""),1)</f>
        <v>1</v>
      </c>
      <c r="L384" s="28" t="str">
        <f ca="1">IFERROR(__xludf.DUMMYFUNCTION("""COMPUTED_VALUE"""),"1/2024")</f>
        <v>1/2024</v>
      </c>
      <c r="M384" s="10" t="str">
        <f ca="1">IFERROR(__xludf.DUMMYFUNCTION("""COMPUTED_VALUE"""),"Predios Exentos")</f>
        <v>Predios Exentos</v>
      </c>
      <c r="N384" s="1"/>
      <c r="O384" s="1"/>
      <c r="P384" s="1"/>
      <c r="Q384" s="1"/>
      <c r="R384" s="1"/>
      <c r="S384" s="1"/>
      <c r="T384" s="1"/>
      <c r="U384" s="1"/>
      <c r="V384" s="1"/>
      <c r="W384" s="1"/>
      <c r="X384" s="1"/>
      <c r="Y384" s="1"/>
      <c r="Z384" s="1"/>
    </row>
    <row r="385" spans="1:26" ht="12.75" customHeight="1">
      <c r="A385" s="1"/>
      <c r="B385" s="10" t="str">
        <f ca="1">IFERROR(__xludf.DUMMYFUNCTION("""COMPUTED_VALUE"""),"Compensación Predios Exentos 2024")</f>
        <v>Compensación Predios Exentos 2024</v>
      </c>
      <c r="C385" s="26" t="str">
        <f t="shared" ca="1" si="0"/>
        <v xml:space="preserve"> ANDACOLLO</v>
      </c>
      <c r="D385" s="10" t="str">
        <f ca="1">IFERROR(__xludf.DUMMYFUNCTION("""COMPUTED_VALUE"""),"Resolución de Transferencia")</f>
        <v>Resolución de Transferencia</v>
      </c>
      <c r="E385" s="26" t="str">
        <f ca="1">IFERROR(__xludf.DUMMYFUNCTION("""COMPUTED_VALUE"""),"MUNICIPALIDAD DE ANDACOLLO")</f>
        <v>MUNICIPALIDAD DE ANDACOLLO</v>
      </c>
      <c r="F385" s="11">
        <f ca="1">IFERROR(__xludf.DUMMYFUNCTION("""COMPUTED_VALUE"""),45547508)</f>
        <v>45547508</v>
      </c>
      <c r="G385" s="10" t="str">
        <f ca="1">IFERROR(__xludf.DUMMYFUNCTION("""COMPUTED_VALUE"""),"Resolución")</f>
        <v>Resolución</v>
      </c>
      <c r="H385" s="10" t="str">
        <f ca="1">IFERROR(__xludf.DUMMYFUNCTION("""COMPUTED_VALUE"""),"COMPENSACIÓN PREDIOS EXENTOS")</f>
        <v>COMPENSACIÓN PREDIOS EXENTOS</v>
      </c>
      <c r="I385" s="10" t="str">
        <f ca="1">IFERROR(__xludf.DUMMYFUNCTION("""COMPUTED_VALUE"""),"Cumplir con normativa y reglamentos internos del programa en base a los objetivos.")</f>
        <v>Cumplir con normativa y reglamentos internos del programa en base a los objetivos.</v>
      </c>
      <c r="J385" s="11">
        <f ca="1">IFERROR(__xludf.DUMMYFUNCTION("""COMPUTED_VALUE"""),45547508)</f>
        <v>45547508</v>
      </c>
      <c r="K385" s="27">
        <f ca="1">IFERROR(__xludf.DUMMYFUNCTION("""COMPUTED_VALUE"""),1)</f>
        <v>1</v>
      </c>
      <c r="L385" s="28" t="str">
        <f ca="1">IFERROR(__xludf.DUMMYFUNCTION("""COMPUTED_VALUE"""),"1/2024")</f>
        <v>1/2024</v>
      </c>
      <c r="M385" s="10" t="str">
        <f ca="1">IFERROR(__xludf.DUMMYFUNCTION("""COMPUTED_VALUE"""),"Predios Exentos")</f>
        <v>Predios Exentos</v>
      </c>
      <c r="N385" s="1"/>
      <c r="O385" s="1"/>
      <c r="P385" s="1"/>
      <c r="Q385" s="1"/>
      <c r="R385" s="1"/>
      <c r="S385" s="1"/>
      <c r="T385" s="1"/>
      <c r="U385" s="1"/>
      <c r="V385" s="1"/>
      <c r="W385" s="1"/>
      <c r="X385" s="1"/>
      <c r="Y385" s="1"/>
      <c r="Z385" s="1"/>
    </row>
    <row r="386" spans="1:26" ht="12.75" customHeight="1">
      <c r="A386" s="1"/>
      <c r="B386" s="10" t="str">
        <f ca="1">IFERROR(__xludf.DUMMYFUNCTION("""COMPUTED_VALUE"""),"Compensación Predios Exentos 2024")</f>
        <v>Compensación Predios Exentos 2024</v>
      </c>
      <c r="C386" s="26" t="str">
        <f t="shared" ca="1" si="0"/>
        <v xml:space="preserve"> PETORCA</v>
      </c>
      <c r="D386" s="10" t="str">
        <f ca="1">IFERROR(__xludf.DUMMYFUNCTION("""COMPUTED_VALUE"""),"Resolución de Transferencia")</f>
        <v>Resolución de Transferencia</v>
      </c>
      <c r="E386" s="26" t="str">
        <f ca="1">IFERROR(__xludf.DUMMYFUNCTION("""COMPUTED_VALUE"""),"MUNICIPALIDAD DE PETORCA")</f>
        <v>MUNICIPALIDAD DE PETORCA</v>
      </c>
      <c r="F386" s="11">
        <f ca="1">IFERROR(__xludf.DUMMYFUNCTION("""COMPUTED_VALUE"""),52927227)</f>
        <v>52927227</v>
      </c>
      <c r="G386" s="10" t="str">
        <f ca="1">IFERROR(__xludf.DUMMYFUNCTION("""COMPUTED_VALUE"""),"Resolución")</f>
        <v>Resolución</v>
      </c>
      <c r="H386" s="10" t="str">
        <f ca="1">IFERROR(__xludf.DUMMYFUNCTION("""COMPUTED_VALUE"""),"COMPENSACIÓN PREDIOS EXENTOS")</f>
        <v>COMPENSACIÓN PREDIOS EXENTOS</v>
      </c>
      <c r="I386" s="10" t="str">
        <f ca="1">IFERROR(__xludf.DUMMYFUNCTION("""COMPUTED_VALUE"""),"Cumplir con normativa y reglamentos internos del programa en base a los objetivos.")</f>
        <v>Cumplir con normativa y reglamentos internos del programa en base a los objetivos.</v>
      </c>
      <c r="J386" s="11">
        <f ca="1">IFERROR(__xludf.DUMMYFUNCTION("""COMPUTED_VALUE"""),52927227)</f>
        <v>52927227</v>
      </c>
      <c r="K386" s="27">
        <f ca="1">IFERROR(__xludf.DUMMYFUNCTION("""COMPUTED_VALUE"""),1)</f>
        <v>1</v>
      </c>
      <c r="L386" s="28" t="str">
        <f ca="1">IFERROR(__xludf.DUMMYFUNCTION("""COMPUTED_VALUE"""),"1/2024")</f>
        <v>1/2024</v>
      </c>
      <c r="M386" s="10" t="str">
        <f ca="1">IFERROR(__xludf.DUMMYFUNCTION("""COMPUTED_VALUE"""),"Predios Exentos")</f>
        <v>Predios Exentos</v>
      </c>
      <c r="N386" s="1"/>
      <c r="O386" s="1"/>
      <c r="P386" s="1"/>
      <c r="Q386" s="1"/>
      <c r="R386" s="1"/>
      <c r="S386" s="1"/>
      <c r="T386" s="1"/>
      <c r="U386" s="1"/>
      <c r="V386" s="1"/>
      <c r="W386" s="1"/>
      <c r="X386" s="1"/>
      <c r="Y386" s="1"/>
      <c r="Z386" s="1"/>
    </row>
    <row r="387" spans="1:26" ht="12.75" customHeight="1">
      <c r="A387" s="1"/>
      <c r="B387" s="10" t="str">
        <f ca="1">IFERROR(__xludf.DUMMYFUNCTION("""COMPUTED_VALUE"""),"Compensación Predios Exentos 2024")</f>
        <v>Compensación Predios Exentos 2024</v>
      </c>
      <c r="C387" s="26" t="str">
        <f t="shared" ca="1" si="0"/>
        <v xml:space="preserve"> VIÑA DEL MAR</v>
      </c>
      <c r="D387" s="10" t="str">
        <f ca="1">IFERROR(__xludf.DUMMYFUNCTION("""COMPUTED_VALUE"""),"Resolución de Transferencia")</f>
        <v>Resolución de Transferencia</v>
      </c>
      <c r="E387" s="26" t="str">
        <f ca="1">IFERROR(__xludf.DUMMYFUNCTION("""COMPUTED_VALUE"""),"MUNICIPALIDAD DE VIÑA DEL MAR")</f>
        <v>MUNICIPALIDAD DE VIÑA DEL MAR</v>
      </c>
      <c r="F387" s="11">
        <f ca="1">IFERROR(__xludf.DUMMYFUNCTION("""COMPUTED_VALUE"""),912731109)</f>
        <v>912731109</v>
      </c>
      <c r="G387" s="10" t="str">
        <f ca="1">IFERROR(__xludf.DUMMYFUNCTION("""COMPUTED_VALUE"""),"Resolución")</f>
        <v>Resolución</v>
      </c>
      <c r="H387" s="10" t="str">
        <f ca="1">IFERROR(__xludf.DUMMYFUNCTION("""COMPUTED_VALUE"""),"COMPENSACIÓN PREDIOS EXENTOS")</f>
        <v>COMPENSACIÓN PREDIOS EXENTOS</v>
      </c>
      <c r="I387" s="10" t="str">
        <f ca="1">IFERROR(__xludf.DUMMYFUNCTION("""COMPUTED_VALUE"""),"Cumplir con normativa y reglamentos internos del programa en base a los objetivos.")</f>
        <v>Cumplir con normativa y reglamentos internos del programa en base a los objetivos.</v>
      </c>
      <c r="J387" s="11">
        <f ca="1">IFERROR(__xludf.DUMMYFUNCTION("""COMPUTED_VALUE"""),912731109)</f>
        <v>912731109</v>
      </c>
      <c r="K387" s="27">
        <f ca="1">IFERROR(__xludf.DUMMYFUNCTION("""COMPUTED_VALUE"""),1)</f>
        <v>1</v>
      </c>
      <c r="L387" s="28" t="str">
        <f ca="1">IFERROR(__xludf.DUMMYFUNCTION("""COMPUTED_VALUE"""),"1/2024")</f>
        <v>1/2024</v>
      </c>
      <c r="M387" s="10" t="str">
        <f ca="1">IFERROR(__xludf.DUMMYFUNCTION("""COMPUTED_VALUE"""),"Predios Exentos")</f>
        <v>Predios Exentos</v>
      </c>
      <c r="N387" s="1"/>
      <c r="O387" s="1"/>
      <c r="P387" s="1"/>
      <c r="Q387" s="1"/>
      <c r="R387" s="1"/>
      <c r="S387" s="1"/>
      <c r="T387" s="1"/>
      <c r="U387" s="1"/>
      <c r="V387" s="1"/>
      <c r="W387" s="1"/>
      <c r="X387" s="1"/>
      <c r="Y387" s="1"/>
      <c r="Z387" s="1"/>
    </row>
    <row r="388" spans="1:26" ht="12.75" customHeight="1">
      <c r="A388" s="1"/>
      <c r="B388" s="10" t="str">
        <f ca="1">IFERROR(__xludf.DUMMYFUNCTION("""COMPUTED_VALUE"""),"Compensación Predios Exentos 2024")</f>
        <v>Compensación Predios Exentos 2024</v>
      </c>
      <c r="C388" s="26" t="str">
        <f t="shared" ca="1" si="0"/>
        <v xml:space="preserve"> CONCHALÍ</v>
      </c>
      <c r="D388" s="10" t="str">
        <f ca="1">IFERROR(__xludf.DUMMYFUNCTION("""COMPUTED_VALUE"""),"Resolución de Transferencia")</f>
        <v>Resolución de Transferencia</v>
      </c>
      <c r="E388" s="26" t="str">
        <f ca="1">IFERROR(__xludf.DUMMYFUNCTION("""COMPUTED_VALUE"""),"MUNICIPALIDAD DE CONCHALÍ")</f>
        <v>MUNICIPALIDAD DE CONCHALÍ</v>
      </c>
      <c r="F388" s="11">
        <f ca="1">IFERROR(__xludf.DUMMYFUNCTION("""COMPUTED_VALUE"""),315424166)</f>
        <v>315424166</v>
      </c>
      <c r="G388" s="10" t="str">
        <f ca="1">IFERROR(__xludf.DUMMYFUNCTION("""COMPUTED_VALUE"""),"Resolución")</f>
        <v>Resolución</v>
      </c>
      <c r="H388" s="10" t="str">
        <f ca="1">IFERROR(__xludf.DUMMYFUNCTION("""COMPUTED_VALUE"""),"COMPENSACIÓN PREDIOS EXENTOS")</f>
        <v>COMPENSACIÓN PREDIOS EXENTOS</v>
      </c>
      <c r="I388" s="10" t="str">
        <f ca="1">IFERROR(__xludf.DUMMYFUNCTION("""COMPUTED_VALUE"""),"Cumplir con normativa y reglamentos internos del programa en base a los objetivos.")</f>
        <v>Cumplir con normativa y reglamentos internos del programa en base a los objetivos.</v>
      </c>
      <c r="J388" s="11">
        <f ca="1">IFERROR(__xludf.DUMMYFUNCTION("""COMPUTED_VALUE"""),315424166)</f>
        <v>315424166</v>
      </c>
      <c r="K388" s="27">
        <f ca="1">IFERROR(__xludf.DUMMYFUNCTION("""COMPUTED_VALUE"""),1)</f>
        <v>1</v>
      </c>
      <c r="L388" s="28" t="str">
        <f ca="1">IFERROR(__xludf.DUMMYFUNCTION("""COMPUTED_VALUE"""),"1/2024")</f>
        <v>1/2024</v>
      </c>
      <c r="M388" s="10" t="str">
        <f ca="1">IFERROR(__xludf.DUMMYFUNCTION("""COMPUTED_VALUE"""),"Predios Exentos")</f>
        <v>Predios Exentos</v>
      </c>
      <c r="N388" s="1"/>
      <c r="O388" s="1"/>
      <c r="P388" s="1"/>
      <c r="Q388" s="1"/>
      <c r="R388" s="1"/>
      <c r="S388" s="1"/>
      <c r="T388" s="1"/>
      <c r="U388" s="1"/>
      <c r="V388" s="1"/>
      <c r="W388" s="1"/>
      <c r="X388" s="1"/>
      <c r="Y388" s="1"/>
      <c r="Z388" s="1"/>
    </row>
    <row r="389" spans="1:26" ht="12.75" customHeight="1">
      <c r="A389" s="1"/>
      <c r="B389" s="10" t="str">
        <f ca="1">IFERROR(__xludf.DUMMYFUNCTION("""COMPUTED_VALUE"""),"Compensación Predios Exentos 2024")</f>
        <v>Compensación Predios Exentos 2024</v>
      </c>
      <c r="C389" s="26" t="str">
        <f t="shared" ca="1" si="0"/>
        <v xml:space="preserve"> PROVIDENCIA</v>
      </c>
      <c r="D389" s="10" t="str">
        <f ca="1">IFERROR(__xludf.DUMMYFUNCTION("""COMPUTED_VALUE"""),"Resolución de Transferencia")</f>
        <v>Resolución de Transferencia</v>
      </c>
      <c r="E389" s="26" t="str">
        <f ca="1">IFERROR(__xludf.DUMMYFUNCTION("""COMPUTED_VALUE"""),"MUNICIPALIDAD DE PROVIDENCIA")</f>
        <v>MUNICIPALIDAD DE PROVIDENCIA</v>
      </c>
      <c r="F389" s="11">
        <f ca="1">IFERROR(__xludf.DUMMYFUNCTION("""COMPUTED_VALUE"""),194800037)</f>
        <v>194800037</v>
      </c>
      <c r="G389" s="10" t="str">
        <f ca="1">IFERROR(__xludf.DUMMYFUNCTION("""COMPUTED_VALUE"""),"Resolución")</f>
        <v>Resolución</v>
      </c>
      <c r="H389" s="10" t="str">
        <f ca="1">IFERROR(__xludf.DUMMYFUNCTION("""COMPUTED_VALUE"""),"COMPENSACIÓN PREDIOS EXENTOS")</f>
        <v>COMPENSACIÓN PREDIOS EXENTOS</v>
      </c>
      <c r="I389" s="10" t="str">
        <f ca="1">IFERROR(__xludf.DUMMYFUNCTION("""COMPUTED_VALUE"""),"Cumplir con normativa y reglamentos internos del programa en base a los objetivos.")</f>
        <v>Cumplir con normativa y reglamentos internos del programa en base a los objetivos.</v>
      </c>
      <c r="J389" s="11">
        <f ca="1">IFERROR(__xludf.DUMMYFUNCTION("""COMPUTED_VALUE"""),194800037)</f>
        <v>194800037</v>
      </c>
      <c r="K389" s="27">
        <f ca="1">IFERROR(__xludf.DUMMYFUNCTION("""COMPUTED_VALUE"""),1)</f>
        <v>1</v>
      </c>
      <c r="L389" s="28" t="str">
        <f ca="1">IFERROR(__xludf.DUMMYFUNCTION("""COMPUTED_VALUE"""),"1/2024")</f>
        <v>1/2024</v>
      </c>
      <c r="M389" s="10" t="str">
        <f ca="1">IFERROR(__xludf.DUMMYFUNCTION("""COMPUTED_VALUE"""),"Predios Exentos")</f>
        <v>Predios Exentos</v>
      </c>
      <c r="N389" s="1"/>
      <c r="O389" s="1"/>
      <c r="P389" s="1"/>
      <c r="Q389" s="1"/>
      <c r="R389" s="1"/>
      <c r="S389" s="1"/>
      <c r="T389" s="1"/>
      <c r="U389" s="1"/>
      <c r="V389" s="1"/>
      <c r="W389" s="1"/>
      <c r="X389" s="1"/>
      <c r="Y389" s="1"/>
      <c r="Z389" s="1"/>
    </row>
    <row r="390" spans="1:26" ht="12.75" customHeight="1">
      <c r="A390" s="1"/>
      <c r="B390" s="10" t="str">
        <f ca="1">IFERROR(__xludf.DUMMYFUNCTION("""COMPUTED_VALUE"""),"Compensación Predios Exentos 2024")</f>
        <v>Compensación Predios Exentos 2024</v>
      </c>
      <c r="C390" s="26" t="str">
        <f t="shared" ca="1" si="0"/>
        <v xml:space="preserve"> LAS CONDES</v>
      </c>
      <c r="D390" s="10" t="str">
        <f ca="1">IFERROR(__xludf.DUMMYFUNCTION("""COMPUTED_VALUE"""),"Resolución de Transferencia")</f>
        <v>Resolución de Transferencia</v>
      </c>
      <c r="E390" s="26" t="str">
        <f ca="1">IFERROR(__xludf.DUMMYFUNCTION("""COMPUTED_VALUE"""),"MUNICIPALIDAD DE LAS CONDES")</f>
        <v>MUNICIPALIDAD DE LAS CONDES</v>
      </c>
      <c r="F390" s="11">
        <f ca="1">IFERROR(__xludf.DUMMYFUNCTION("""COMPUTED_VALUE"""),200664918)</f>
        <v>200664918</v>
      </c>
      <c r="G390" s="10" t="str">
        <f ca="1">IFERROR(__xludf.DUMMYFUNCTION("""COMPUTED_VALUE"""),"Resolución")</f>
        <v>Resolución</v>
      </c>
      <c r="H390" s="10" t="str">
        <f ca="1">IFERROR(__xludf.DUMMYFUNCTION("""COMPUTED_VALUE"""),"COMPENSACIÓN PREDIOS EXENTOS")</f>
        <v>COMPENSACIÓN PREDIOS EXENTOS</v>
      </c>
      <c r="I390" s="10" t="str">
        <f ca="1">IFERROR(__xludf.DUMMYFUNCTION("""COMPUTED_VALUE"""),"Cumplir con normativa y reglamentos internos del programa en base a los objetivos.")</f>
        <v>Cumplir con normativa y reglamentos internos del programa en base a los objetivos.</v>
      </c>
      <c r="J390" s="11">
        <f ca="1">IFERROR(__xludf.DUMMYFUNCTION("""COMPUTED_VALUE"""),200664918)</f>
        <v>200664918</v>
      </c>
      <c r="K390" s="27">
        <f ca="1">IFERROR(__xludf.DUMMYFUNCTION("""COMPUTED_VALUE"""),1)</f>
        <v>1</v>
      </c>
      <c r="L390" s="28" t="str">
        <f ca="1">IFERROR(__xludf.DUMMYFUNCTION("""COMPUTED_VALUE"""),"1/2024")</f>
        <v>1/2024</v>
      </c>
      <c r="M390" s="10" t="str">
        <f ca="1">IFERROR(__xludf.DUMMYFUNCTION("""COMPUTED_VALUE"""),"Predios Exentos")</f>
        <v>Predios Exentos</v>
      </c>
      <c r="N390" s="1"/>
      <c r="O390" s="1"/>
      <c r="P390" s="1"/>
      <c r="Q390" s="1"/>
      <c r="R390" s="1"/>
      <c r="S390" s="1"/>
      <c r="T390" s="1"/>
      <c r="U390" s="1"/>
      <c r="V390" s="1"/>
      <c r="W390" s="1"/>
      <c r="X390" s="1"/>
      <c r="Y390" s="1"/>
      <c r="Z390" s="1"/>
    </row>
    <row r="391" spans="1:26" ht="12.75" customHeight="1">
      <c r="A391" s="1"/>
      <c r="B391" s="10" t="str">
        <f ca="1">IFERROR(__xludf.DUMMYFUNCTION("""COMPUTED_VALUE"""),"Compensación Predios Exentos 2024")</f>
        <v>Compensación Predios Exentos 2024</v>
      </c>
      <c r="C391" s="26" t="str">
        <f t="shared" ca="1" si="0"/>
        <v xml:space="preserve"> TALAGANTE</v>
      </c>
      <c r="D391" s="10" t="str">
        <f ca="1">IFERROR(__xludf.DUMMYFUNCTION("""COMPUTED_VALUE"""),"Resolución de Transferencia")</f>
        <v>Resolución de Transferencia</v>
      </c>
      <c r="E391" s="26" t="str">
        <f ca="1">IFERROR(__xludf.DUMMYFUNCTION("""COMPUTED_VALUE"""),"MUNICIPALIDAD DE TALAGANTE")</f>
        <v>MUNICIPALIDAD DE TALAGANTE</v>
      </c>
      <c r="F391" s="11">
        <f ca="1">IFERROR(__xludf.DUMMYFUNCTION("""COMPUTED_VALUE"""),171053920)</f>
        <v>171053920</v>
      </c>
      <c r="G391" s="10" t="str">
        <f ca="1">IFERROR(__xludf.DUMMYFUNCTION("""COMPUTED_VALUE"""),"Resolución")</f>
        <v>Resolución</v>
      </c>
      <c r="H391" s="10" t="str">
        <f ca="1">IFERROR(__xludf.DUMMYFUNCTION("""COMPUTED_VALUE"""),"COMPENSACIÓN PREDIOS EXENTOS")</f>
        <v>COMPENSACIÓN PREDIOS EXENTOS</v>
      </c>
      <c r="I391" s="10" t="str">
        <f ca="1">IFERROR(__xludf.DUMMYFUNCTION("""COMPUTED_VALUE"""),"Cumplir con normativa y reglamentos internos del programa en base a los objetivos.")</f>
        <v>Cumplir con normativa y reglamentos internos del programa en base a los objetivos.</v>
      </c>
      <c r="J391" s="11">
        <f ca="1">IFERROR(__xludf.DUMMYFUNCTION("""COMPUTED_VALUE"""),171053920)</f>
        <v>171053920</v>
      </c>
      <c r="K391" s="27">
        <f ca="1">IFERROR(__xludf.DUMMYFUNCTION("""COMPUTED_VALUE"""),1)</f>
        <v>1</v>
      </c>
      <c r="L391" s="28" t="str">
        <f ca="1">IFERROR(__xludf.DUMMYFUNCTION("""COMPUTED_VALUE"""),"1/2024")</f>
        <v>1/2024</v>
      </c>
      <c r="M391" s="10" t="str">
        <f ca="1">IFERROR(__xludf.DUMMYFUNCTION("""COMPUTED_VALUE"""),"Predios Exentos")</f>
        <v>Predios Exentos</v>
      </c>
      <c r="N391" s="1"/>
      <c r="O391" s="1"/>
      <c r="P391" s="1"/>
      <c r="Q391" s="1"/>
      <c r="R391" s="1"/>
      <c r="S391" s="1"/>
      <c r="T391" s="1"/>
      <c r="U391" s="1"/>
      <c r="V391" s="1"/>
      <c r="W391" s="1"/>
      <c r="X391" s="1"/>
      <c r="Y391" s="1"/>
      <c r="Z391" s="1"/>
    </row>
    <row r="392" spans="1:26" ht="12.75" customHeight="1">
      <c r="A392" s="1"/>
      <c r="B392" s="10" t="str">
        <f ca="1">IFERROR(__xludf.DUMMYFUNCTION("""COMPUTED_VALUE"""),"Compensación Predios Exentos 2024")</f>
        <v>Compensación Predios Exentos 2024</v>
      </c>
      <c r="C392" s="26" t="str">
        <f t="shared" ca="1" si="0"/>
        <v xml:space="preserve"> PEUMO</v>
      </c>
      <c r="D392" s="10" t="str">
        <f ca="1">IFERROR(__xludf.DUMMYFUNCTION("""COMPUTED_VALUE"""),"Resolución de Transferencia")</f>
        <v>Resolución de Transferencia</v>
      </c>
      <c r="E392" s="26" t="str">
        <f ca="1">IFERROR(__xludf.DUMMYFUNCTION("""COMPUTED_VALUE"""),"MUNICIPALIDAD DE PEUMO")</f>
        <v>MUNICIPALIDAD DE PEUMO</v>
      </c>
      <c r="F392" s="11">
        <f ca="1">IFERROR(__xludf.DUMMYFUNCTION("""COMPUTED_VALUE"""),44247612)</f>
        <v>44247612</v>
      </c>
      <c r="G392" s="10" t="str">
        <f ca="1">IFERROR(__xludf.DUMMYFUNCTION("""COMPUTED_VALUE"""),"Resolución")</f>
        <v>Resolución</v>
      </c>
      <c r="H392" s="10" t="str">
        <f ca="1">IFERROR(__xludf.DUMMYFUNCTION("""COMPUTED_VALUE"""),"COMPENSACIÓN PREDIOS EXENTOS")</f>
        <v>COMPENSACIÓN PREDIOS EXENTOS</v>
      </c>
      <c r="I392" s="10" t="str">
        <f ca="1">IFERROR(__xludf.DUMMYFUNCTION("""COMPUTED_VALUE"""),"Cumplir con normativa y reglamentos internos del programa en base a los objetivos.")</f>
        <v>Cumplir con normativa y reglamentos internos del programa en base a los objetivos.</v>
      </c>
      <c r="J392" s="11">
        <f ca="1">IFERROR(__xludf.DUMMYFUNCTION("""COMPUTED_VALUE"""),44247612)</f>
        <v>44247612</v>
      </c>
      <c r="K392" s="27">
        <f ca="1">IFERROR(__xludf.DUMMYFUNCTION("""COMPUTED_VALUE"""),1)</f>
        <v>1</v>
      </c>
      <c r="L392" s="28" t="str">
        <f ca="1">IFERROR(__xludf.DUMMYFUNCTION("""COMPUTED_VALUE"""),"1/2024")</f>
        <v>1/2024</v>
      </c>
      <c r="M392" s="10" t="str">
        <f ca="1">IFERROR(__xludf.DUMMYFUNCTION("""COMPUTED_VALUE"""),"Predios Exentos")</f>
        <v>Predios Exentos</v>
      </c>
      <c r="N392" s="1"/>
      <c r="O392" s="1"/>
      <c r="P392" s="1"/>
      <c r="Q392" s="1"/>
      <c r="R392" s="1"/>
      <c r="S392" s="1"/>
      <c r="T392" s="1"/>
      <c r="U392" s="1"/>
      <c r="V392" s="1"/>
      <c r="W392" s="1"/>
      <c r="X392" s="1"/>
      <c r="Y392" s="1"/>
      <c r="Z392" s="1"/>
    </row>
    <row r="393" spans="1:26" ht="12.75" customHeight="1">
      <c r="A393" s="1"/>
      <c r="B393" s="10" t="str">
        <f ca="1">IFERROR(__xludf.DUMMYFUNCTION("""COMPUTED_VALUE"""),"Compensación Predios Exentos 2024")</f>
        <v>Compensación Predios Exentos 2024</v>
      </c>
      <c r="C393" s="26" t="str">
        <f t="shared" ca="1" si="0"/>
        <v xml:space="preserve"> LOLOL</v>
      </c>
      <c r="D393" s="10" t="str">
        <f ca="1">IFERROR(__xludf.DUMMYFUNCTION("""COMPUTED_VALUE"""),"Resolución de Transferencia")</f>
        <v>Resolución de Transferencia</v>
      </c>
      <c r="E393" s="26" t="str">
        <f ca="1">IFERROR(__xludf.DUMMYFUNCTION("""COMPUTED_VALUE"""),"MUNICIPALIDAD DE LOLOL")</f>
        <v>MUNICIPALIDAD DE LOLOL</v>
      </c>
      <c r="F393" s="11">
        <f ca="1">IFERROR(__xludf.DUMMYFUNCTION("""COMPUTED_VALUE"""),40480987)</f>
        <v>40480987</v>
      </c>
      <c r="G393" s="10" t="str">
        <f ca="1">IFERROR(__xludf.DUMMYFUNCTION("""COMPUTED_VALUE"""),"Resolución")</f>
        <v>Resolución</v>
      </c>
      <c r="H393" s="10" t="str">
        <f ca="1">IFERROR(__xludf.DUMMYFUNCTION("""COMPUTED_VALUE"""),"COMPENSACIÓN PREDIOS EXENTOS")</f>
        <v>COMPENSACIÓN PREDIOS EXENTOS</v>
      </c>
      <c r="I393" s="10" t="str">
        <f ca="1">IFERROR(__xludf.DUMMYFUNCTION("""COMPUTED_VALUE"""),"Cumplir con normativa y reglamentos internos del programa en base a los objetivos.")</f>
        <v>Cumplir con normativa y reglamentos internos del programa en base a los objetivos.</v>
      </c>
      <c r="J393" s="11">
        <f ca="1">IFERROR(__xludf.DUMMYFUNCTION("""COMPUTED_VALUE"""),40480987)</f>
        <v>40480987</v>
      </c>
      <c r="K393" s="27">
        <f ca="1">IFERROR(__xludf.DUMMYFUNCTION("""COMPUTED_VALUE"""),1)</f>
        <v>1</v>
      </c>
      <c r="L393" s="28" t="str">
        <f ca="1">IFERROR(__xludf.DUMMYFUNCTION("""COMPUTED_VALUE"""),"1/2024")</f>
        <v>1/2024</v>
      </c>
      <c r="M393" s="10" t="str">
        <f ca="1">IFERROR(__xludf.DUMMYFUNCTION("""COMPUTED_VALUE"""),"Predios Exentos")</f>
        <v>Predios Exentos</v>
      </c>
      <c r="N393" s="1"/>
      <c r="O393" s="1"/>
      <c r="P393" s="1"/>
      <c r="Q393" s="1"/>
      <c r="R393" s="1"/>
      <c r="S393" s="1"/>
      <c r="T393" s="1"/>
      <c r="U393" s="1"/>
      <c r="V393" s="1"/>
      <c r="W393" s="1"/>
      <c r="X393" s="1"/>
      <c r="Y393" s="1"/>
      <c r="Z393" s="1"/>
    </row>
    <row r="394" spans="1:26" ht="12.75" customHeight="1">
      <c r="A394" s="1"/>
      <c r="B394" s="10" t="str">
        <f ca="1">IFERROR(__xludf.DUMMYFUNCTION("""COMPUTED_VALUE"""),"Compensación Predios Exentos 2024")</f>
        <v>Compensación Predios Exentos 2024</v>
      </c>
      <c r="C394" s="26" t="str">
        <f t="shared" ca="1" si="0"/>
        <v xml:space="preserve"> PICHILEMU</v>
      </c>
      <c r="D394" s="10" t="str">
        <f ca="1">IFERROR(__xludf.DUMMYFUNCTION("""COMPUTED_VALUE"""),"Resolución de Transferencia")</f>
        <v>Resolución de Transferencia</v>
      </c>
      <c r="E394" s="26" t="str">
        <f ca="1">IFERROR(__xludf.DUMMYFUNCTION("""COMPUTED_VALUE"""),"MUNICIPALIDAD DE PICHILEMU")</f>
        <v>MUNICIPALIDAD DE PICHILEMU</v>
      </c>
      <c r="F394" s="11">
        <f ca="1">IFERROR(__xludf.DUMMYFUNCTION("""COMPUTED_VALUE"""),105874925)</f>
        <v>105874925</v>
      </c>
      <c r="G394" s="10" t="str">
        <f ca="1">IFERROR(__xludf.DUMMYFUNCTION("""COMPUTED_VALUE"""),"Resolución")</f>
        <v>Resolución</v>
      </c>
      <c r="H394" s="10" t="str">
        <f ca="1">IFERROR(__xludf.DUMMYFUNCTION("""COMPUTED_VALUE"""),"COMPENSACIÓN PREDIOS EXENTOS")</f>
        <v>COMPENSACIÓN PREDIOS EXENTOS</v>
      </c>
      <c r="I394" s="10" t="str">
        <f ca="1">IFERROR(__xludf.DUMMYFUNCTION("""COMPUTED_VALUE"""),"Cumplir con normativa y reglamentos internos del programa en base a los objetivos.")</f>
        <v>Cumplir con normativa y reglamentos internos del programa en base a los objetivos.</v>
      </c>
      <c r="J394" s="11">
        <f ca="1">IFERROR(__xludf.DUMMYFUNCTION("""COMPUTED_VALUE"""),105874925)</f>
        <v>105874925</v>
      </c>
      <c r="K394" s="27">
        <f ca="1">IFERROR(__xludf.DUMMYFUNCTION("""COMPUTED_VALUE"""),1)</f>
        <v>1</v>
      </c>
      <c r="L394" s="28" t="str">
        <f ca="1">IFERROR(__xludf.DUMMYFUNCTION("""COMPUTED_VALUE"""),"1/2024")</f>
        <v>1/2024</v>
      </c>
      <c r="M394" s="10" t="str">
        <f ca="1">IFERROR(__xludf.DUMMYFUNCTION("""COMPUTED_VALUE"""),"Predios Exentos")</f>
        <v>Predios Exentos</v>
      </c>
      <c r="N394" s="1"/>
      <c r="O394" s="1"/>
      <c r="P394" s="1"/>
      <c r="Q394" s="1"/>
      <c r="R394" s="1"/>
      <c r="S394" s="1"/>
      <c r="T394" s="1"/>
      <c r="U394" s="1"/>
      <c r="V394" s="1"/>
      <c r="W394" s="1"/>
      <c r="X394" s="1"/>
      <c r="Y394" s="1"/>
      <c r="Z394" s="1"/>
    </row>
    <row r="395" spans="1:26" ht="12.75" customHeight="1">
      <c r="A395" s="1"/>
      <c r="B395" s="10" t="str">
        <f ca="1">IFERROR(__xludf.DUMMYFUNCTION("""COMPUTED_VALUE"""),"Compensación Predios Exentos 2024")</f>
        <v>Compensación Predios Exentos 2024</v>
      </c>
      <c r="C395" s="26" t="str">
        <f t="shared" ca="1" si="0"/>
        <v xml:space="preserve"> RAUCO</v>
      </c>
      <c r="D395" s="10" t="str">
        <f ca="1">IFERROR(__xludf.DUMMYFUNCTION("""COMPUTED_VALUE"""),"Resolución de Transferencia")</f>
        <v>Resolución de Transferencia</v>
      </c>
      <c r="E395" s="26" t="str">
        <f ca="1">IFERROR(__xludf.DUMMYFUNCTION("""COMPUTED_VALUE"""),"MUNICIPALIDAD DE RAUCO")</f>
        <v>MUNICIPALIDAD DE RAUCO</v>
      </c>
      <c r="F395" s="11">
        <f ca="1">IFERROR(__xludf.DUMMYFUNCTION("""COMPUTED_VALUE"""),48556714)</f>
        <v>48556714</v>
      </c>
      <c r="G395" s="10" t="str">
        <f ca="1">IFERROR(__xludf.DUMMYFUNCTION("""COMPUTED_VALUE"""),"Resolución")</f>
        <v>Resolución</v>
      </c>
      <c r="H395" s="10" t="str">
        <f ca="1">IFERROR(__xludf.DUMMYFUNCTION("""COMPUTED_VALUE"""),"COMPENSACIÓN PREDIOS EXENTOS")</f>
        <v>COMPENSACIÓN PREDIOS EXENTOS</v>
      </c>
      <c r="I395" s="10" t="str">
        <f ca="1">IFERROR(__xludf.DUMMYFUNCTION("""COMPUTED_VALUE"""),"Cumplir con normativa y reglamentos internos del programa en base a los objetivos.")</f>
        <v>Cumplir con normativa y reglamentos internos del programa en base a los objetivos.</v>
      </c>
      <c r="J395" s="11">
        <f ca="1">IFERROR(__xludf.DUMMYFUNCTION("""COMPUTED_VALUE"""),48556714)</f>
        <v>48556714</v>
      </c>
      <c r="K395" s="27">
        <f ca="1">IFERROR(__xludf.DUMMYFUNCTION("""COMPUTED_VALUE"""),1)</f>
        <v>1</v>
      </c>
      <c r="L395" s="28" t="str">
        <f ca="1">IFERROR(__xludf.DUMMYFUNCTION("""COMPUTED_VALUE"""),"1/2024")</f>
        <v>1/2024</v>
      </c>
      <c r="M395" s="10" t="str">
        <f ca="1">IFERROR(__xludf.DUMMYFUNCTION("""COMPUTED_VALUE"""),"Predios Exentos")</f>
        <v>Predios Exentos</v>
      </c>
      <c r="N395" s="1"/>
      <c r="O395" s="1"/>
      <c r="P395" s="1"/>
      <c r="Q395" s="1"/>
      <c r="R395" s="1"/>
      <c r="S395" s="1"/>
      <c r="T395" s="1"/>
      <c r="U395" s="1"/>
      <c r="V395" s="1"/>
      <c r="W395" s="1"/>
      <c r="X395" s="1"/>
      <c r="Y395" s="1"/>
      <c r="Z395" s="1"/>
    </row>
    <row r="396" spans="1:26" ht="12.75" customHeight="1">
      <c r="A396" s="1"/>
      <c r="B396" s="10" t="str">
        <f ca="1">IFERROR(__xludf.DUMMYFUNCTION("""COMPUTED_VALUE"""),"Compensación Predios Exentos 2024")</f>
        <v>Compensación Predios Exentos 2024</v>
      </c>
      <c r="C396" s="26" t="str">
        <f t="shared" ca="1" si="0"/>
        <v xml:space="preserve"> VICHUQUÉN</v>
      </c>
      <c r="D396" s="10" t="str">
        <f ca="1">IFERROR(__xludf.DUMMYFUNCTION("""COMPUTED_VALUE"""),"Resolución de Transferencia")</f>
        <v>Resolución de Transferencia</v>
      </c>
      <c r="E396" s="26" t="str">
        <f ca="1">IFERROR(__xludf.DUMMYFUNCTION("""COMPUTED_VALUE"""),"MUNICIPALIDAD DE VICHUQUÉN")</f>
        <v>MUNICIPALIDAD DE VICHUQUÉN</v>
      </c>
      <c r="F396" s="11">
        <f ca="1">IFERROR(__xludf.DUMMYFUNCTION("""COMPUTED_VALUE"""),33756333)</f>
        <v>33756333</v>
      </c>
      <c r="G396" s="10" t="str">
        <f ca="1">IFERROR(__xludf.DUMMYFUNCTION("""COMPUTED_VALUE"""),"Resolución")</f>
        <v>Resolución</v>
      </c>
      <c r="H396" s="10" t="str">
        <f ca="1">IFERROR(__xludf.DUMMYFUNCTION("""COMPUTED_VALUE"""),"COMPENSACIÓN PREDIOS EXENTOS")</f>
        <v>COMPENSACIÓN PREDIOS EXENTOS</v>
      </c>
      <c r="I396" s="10" t="str">
        <f ca="1">IFERROR(__xludf.DUMMYFUNCTION("""COMPUTED_VALUE"""),"Cumplir con normativa y reglamentos internos del programa en base a los objetivos.")</f>
        <v>Cumplir con normativa y reglamentos internos del programa en base a los objetivos.</v>
      </c>
      <c r="J396" s="11">
        <f ca="1">IFERROR(__xludf.DUMMYFUNCTION("""COMPUTED_VALUE"""),33756333)</f>
        <v>33756333</v>
      </c>
      <c r="K396" s="27">
        <f ca="1">IFERROR(__xludf.DUMMYFUNCTION("""COMPUTED_VALUE"""),1)</f>
        <v>1</v>
      </c>
      <c r="L396" s="28" t="str">
        <f ca="1">IFERROR(__xludf.DUMMYFUNCTION("""COMPUTED_VALUE"""),"1/2024")</f>
        <v>1/2024</v>
      </c>
      <c r="M396" s="10" t="str">
        <f ca="1">IFERROR(__xludf.DUMMYFUNCTION("""COMPUTED_VALUE"""),"Predios Exentos")</f>
        <v>Predios Exentos</v>
      </c>
      <c r="N396" s="1"/>
      <c r="O396" s="1"/>
      <c r="P396" s="1"/>
      <c r="Q396" s="1"/>
      <c r="R396" s="1"/>
      <c r="S396" s="1"/>
      <c r="T396" s="1"/>
      <c r="U396" s="1"/>
      <c r="V396" s="1"/>
      <c r="W396" s="1"/>
      <c r="X396" s="1"/>
      <c r="Y396" s="1"/>
      <c r="Z396" s="1"/>
    </row>
    <row r="397" spans="1:26" ht="12.75" customHeight="1">
      <c r="A397" s="1"/>
      <c r="B397" s="10" t="str">
        <f ca="1">IFERROR(__xludf.DUMMYFUNCTION("""COMPUTED_VALUE"""),"Compensación Predios Exentos 2024")</f>
        <v>Compensación Predios Exentos 2024</v>
      </c>
      <c r="C397" s="26" t="str">
        <f t="shared" ca="1" si="0"/>
        <v xml:space="preserve"> MOLINA</v>
      </c>
      <c r="D397" s="10" t="str">
        <f ca="1">IFERROR(__xludf.DUMMYFUNCTION("""COMPUTED_VALUE"""),"Resolución de Transferencia")</f>
        <v>Resolución de Transferencia</v>
      </c>
      <c r="E397" s="26" t="str">
        <f ca="1">IFERROR(__xludf.DUMMYFUNCTION("""COMPUTED_VALUE"""),"MUNICIPALIDAD DE MOLINA")</f>
        <v>MUNICIPALIDAD DE MOLINA</v>
      </c>
      <c r="F397" s="11">
        <f ca="1">IFERROR(__xludf.DUMMYFUNCTION("""COMPUTED_VALUE"""),181258609)</f>
        <v>181258609</v>
      </c>
      <c r="G397" s="10" t="str">
        <f ca="1">IFERROR(__xludf.DUMMYFUNCTION("""COMPUTED_VALUE"""),"Resolución")</f>
        <v>Resolución</v>
      </c>
      <c r="H397" s="10" t="str">
        <f ca="1">IFERROR(__xludf.DUMMYFUNCTION("""COMPUTED_VALUE"""),"COMPENSACIÓN PREDIOS EXENTOS")</f>
        <v>COMPENSACIÓN PREDIOS EXENTOS</v>
      </c>
      <c r="I397" s="10" t="str">
        <f ca="1">IFERROR(__xludf.DUMMYFUNCTION("""COMPUTED_VALUE"""),"Cumplir con normativa y reglamentos internos del programa en base a los objetivos.")</f>
        <v>Cumplir con normativa y reglamentos internos del programa en base a los objetivos.</v>
      </c>
      <c r="J397" s="11">
        <f ca="1">IFERROR(__xludf.DUMMYFUNCTION("""COMPUTED_VALUE"""),181258609)</f>
        <v>181258609</v>
      </c>
      <c r="K397" s="27">
        <f ca="1">IFERROR(__xludf.DUMMYFUNCTION("""COMPUTED_VALUE"""),1)</f>
        <v>1</v>
      </c>
      <c r="L397" s="28" t="str">
        <f ca="1">IFERROR(__xludf.DUMMYFUNCTION("""COMPUTED_VALUE"""),"1/2024")</f>
        <v>1/2024</v>
      </c>
      <c r="M397" s="10" t="str">
        <f ca="1">IFERROR(__xludf.DUMMYFUNCTION("""COMPUTED_VALUE"""),"Predios Exentos")</f>
        <v>Predios Exentos</v>
      </c>
      <c r="N397" s="1"/>
      <c r="O397" s="1"/>
      <c r="P397" s="1"/>
      <c r="Q397" s="1"/>
      <c r="R397" s="1"/>
      <c r="S397" s="1"/>
      <c r="T397" s="1"/>
      <c r="U397" s="1"/>
      <c r="V397" s="1"/>
      <c r="W397" s="1"/>
      <c r="X397" s="1"/>
      <c r="Y397" s="1"/>
      <c r="Z397" s="1"/>
    </row>
    <row r="398" spans="1:26" ht="12.75" customHeight="1">
      <c r="A398" s="1"/>
      <c r="B398" s="10" t="str">
        <f ca="1">IFERROR(__xludf.DUMMYFUNCTION("""COMPUTED_VALUE"""),"Compensación Predios Exentos 2024")</f>
        <v>Compensación Predios Exentos 2024</v>
      </c>
      <c r="C398" s="26" t="str">
        <f t="shared" ca="1" si="0"/>
        <v xml:space="preserve"> CHANCO</v>
      </c>
      <c r="D398" s="10" t="str">
        <f ca="1">IFERROR(__xludf.DUMMYFUNCTION("""COMPUTED_VALUE"""),"Resolución de Transferencia")</f>
        <v>Resolución de Transferencia</v>
      </c>
      <c r="E398" s="26" t="str">
        <f ca="1">IFERROR(__xludf.DUMMYFUNCTION("""COMPUTED_VALUE"""),"MUNICIPALIDAD DE CHANCO")</f>
        <v>MUNICIPALIDAD DE CHANCO</v>
      </c>
      <c r="F398" s="11">
        <f ca="1">IFERROR(__xludf.DUMMYFUNCTION("""COMPUTED_VALUE"""),69477861)</f>
        <v>69477861</v>
      </c>
      <c r="G398" s="10" t="str">
        <f ca="1">IFERROR(__xludf.DUMMYFUNCTION("""COMPUTED_VALUE"""),"Resolución")</f>
        <v>Resolución</v>
      </c>
      <c r="H398" s="10" t="str">
        <f ca="1">IFERROR(__xludf.DUMMYFUNCTION("""COMPUTED_VALUE"""),"COMPENSACIÓN PREDIOS EXENTOS")</f>
        <v>COMPENSACIÓN PREDIOS EXENTOS</v>
      </c>
      <c r="I398" s="10" t="str">
        <f ca="1">IFERROR(__xludf.DUMMYFUNCTION("""COMPUTED_VALUE"""),"Cumplir con normativa y reglamentos internos del programa en base a los objetivos.")</f>
        <v>Cumplir con normativa y reglamentos internos del programa en base a los objetivos.</v>
      </c>
      <c r="J398" s="11">
        <f ca="1">IFERROR(__xludf.DUMMYFUNCTION("""COMPUTED_VALUE"""),69477861)</f>
        <v>69477861</v>
      </c>
      <c r="K398" s="27">
        <f ca="1">IFERROR(__xludf.DUMMYFUNCTION("""COMPUTED_VALUE"""),1)</f>
        <v>1</v>
      </c>
      <c r="L398" s="28" t="str">
        <f ca="1">IFERROR(__xludf.DUMMYFUNCTION("""COMPUTED_VALUE"""),"1/2024")</f>
        <v>1/2024</v>
      </c>
      <c r="M398" s="10" t="str">
        <f ca="1">IFERROR(__xludf.DUMMYFUNCTION("""COMPUTED_VALUE"""),"Predios Exentos")</f>
        <v>Predios Exentos</v>
      </c>
      <c r="N398" s="1"/>
      <c r="O398" s="1"/>
      <c r="P398" s="1"/>
      <c r="Q398" s="1"/>
      <c r="R398" s="1"/>
      <c r="S398" s="1"/>
      <c r="T398" s="1"/>
      <c r="U398" s="1"/>
      <c r="V398" s="1"/>
      <c r="W398" s="1"/>
      <c r="X398" s="1"/>
      <c r="Y398" s="1"/>
      <c r="Z398" s="1"/>
    </row>
    <row r="399" spans="1:26" ht="12.75" customHeight="1">
      <c r="A399" s="1"/>
      <c r="B399" s="10" t="str">
        <f ca="1">IFERROR(__xludf.DUMMYFUNCTION("""COMPUTED_VALUE"""),"Compensación Predios Exentos 2024")</f>
        <v>Compensación Predios Exentos 2024</v>
      </c>
      <c r="C399" s="26" t="str">
        <f t="shared" ca="1" si="0"/>
        <v xml:space="preserve"> CAUQUENES</v>
      </c>
      <c r="D399" s="10" t="str">
        <f ca="1">IFERROR(__xludf.DUMMYFUNCTION("""COMPUTED_VALUE"""),"Resolución de Transferencia")</f>
        <v>Resolución de Transferencia</v>
      </c>
      <c r="E399" s="26" t="str">
        <f ca="1">IFERROR(__xludf.DUMMYFUNCTION("""COMPUTED_VALUE"""),"MUNICIPALIDAD DE CAUQUENES")</f>
        <v>MUNICIPALIDAD DE CAUQUENES</v>
      </c>
      <c r="F399" s="11">
        <f ca="1">IFERROR(__xludf.DUMMYFUNCTION("""COMPUTED_VALUE"""),271053729)</f>
        <v>271053729</v>
      </c>
      <c r="G399" s="10" t="str">
        <f ca="1">IFERROR(__xludf.DUMMYFUNCTION("""COMPUTED_VALUE"""),"Resolución")</f>
        <v>Resolución</v>
      </c>
      <c r="H399" s="10" t="str">
        <f ca="1">IFERROR(__xludf.DUMMYFUNCTION("""COMPUTED_VALUE"""),"COMPENSACIÓN PREDIOS EXENTOS")</f>
        <v>COMPENSACIÓN PREDIOS EXENTOS</v>
      </c>
      <c r="I399" s="10" t="str">
        <f ca="1">IFERROR(__xludf.DUMMYFUNCTION("""COMPUTED_VALUE"""),"Cumplir con normativa y reglamentos internos del programa en base a los objetivos.")</f>
        <v>Cumplir con normativa y reglamentos internos del programa en base a los objetivos.</v>
      </c>
      <c r="J399" s="11">
        <f ca="1">IFERROR(__xludf.DUMMYFUNCTION("""COMPUTED_VALUE"""),271053729)</f>
        <v>271053729</v>
      </c>
      <c r="K399" s="27">
        <f ca="1">IFERROR(__xludf.DUMMYFUNCTION("""COMPUTED_VALUE"""),1)</f>
        <v>1</v>
      </c>
      <c r="L399" s="28" t="str">
        <f ca="1">IFERROR(__xludf.DUMMYFUNCTION("""COMPUTED_VALUE"""),"1/2024")</f>
        <v>1/2024</v>
      </c>
      <c r="M399" s="10" t="str">
        <f ca="1">IFERROR(__xludf.DUMMYFUNCTION("""COMPUTED_VALUE"""),"Predios Exentos")</f>
        <v>Predios Exentos</v>
      </c>
      <c r="N399" s="1"/>
      <c r="O399" s="1"/>
      <c r="P399" s="1"/>
      <c r="Q399" s="1"/>
      <c r="R399" s="1"/>
      <c r="S399" s="1"/>
      <c r="T399" s="1"/>
      <c r="U399" s="1"/>
      <c r="V399" s="1"/>
      <c r="W399" s="1"/>
      <c r="X399" s="1"/>
      <c r="Y399" s="1"/>
      <c r="Z399" s="1"/>
    </row>
    <row r="400" spans="1:26" ht="12.75" customHeight="1">
      <c r="A400" s="1"/>
      <c r="B400" s="10" t="str">
        <f ca="1">IFERROR(__xludf.DUMMYFUNCTION("""COMPUTED_VALUE"""),"Compensación Predios Exentos 2024")</f>
        <v>Compensación Predios Exentos 2024</v>
      </c>
      <c r="C400" s="26" t="str">
        <f t="shared" ca="1" si="0"/>
        <v xml:space="preserve"> SAN JAVIER</v>
      </c>
      <c r="D400" s="10" t="str">
        <f ca="1">IFERROR(__xludf.DUMMYFUNCTION("""COMPUTED_VALUE"""),"Resolución de Transferencia")</f>
        <v>Resolución de Transferencia</v>
      </c>
      <c r="E400" s="26" t="str">
        <f ca="1">IFERROR(__xludf.DUMMYFUNCTION("""COMPUTED_VALUE"""),"MUNICIPALIDAD DE SAN JAVIER")</f>
        <v>MUNICIPALIDAD DE SAN JAVIER</v>
      </c>
      <c r="F400" s="11">
        <f ca="1">IFERROR(__xludf.DUMMYFUNCTION("""COMPUTED_VALUE"""),237481634)</f>
        <v>237481634</v>
      </c>
      <c r="G400" s="10" t="str">
        <f ca="1">IFERROR(__xludf.DUMMYFUNCTION("""COMPUTED_VALUE"""),"Resolución")</f>
        <v>Resolución</v>
      </c>
      <c r="H400" s="10" t="str">
        <f ca="1">IFERROR(__xludf.DUMMYFUNCTION("""COMPUTED_VALUE"""),"COMPENSACIÓN PREDIOS EXENTOS")</f>
        <v>COMPENSACIÓN PREDIOS EXENTOS</v>
      </c>
      <c r="I400" s="10" t="str">
        <f ca="1">IFERROR(__xludf.DUMMYFUNCTION("""COMPUTED_VALUE"""),"Cumplir con normativa y reglamentos internos del programa en base a los objetivos.")</f>
        <v>Cumplir con normativa y reglamentos internos del programa en base a los objetivos.</v>
      </c>
      <c r="J400" s="11">
        <f ca="1">IFERROR(__xludf.DUMMYFUNCTION("""COMPUTED_VALUE"""),237481634)</f>
        <v>237481634</v>
      </c>
      <c r="K400" s="27">
        <f ca="1">IFERROR(__xludf.DUMMYFUNCTION("""COMPUTED_VALUE"""),1)</f>
        <v>1</v>
      </c>
      <c r="L400" s="28" t="str">
        <f ca="1">IFERROR(__xludf.DUMMYFUNCTION("""COMPUTED_VALUE"""),"1/2024")</f>
        <v>1/2024</v>
      </c>
      <c r="M400" s="10" t="str">
        <f ca="1">IFERROR(__xludf.DUMMYFUNCTION("""COMPUTED_VALUE"""),"Predios Exentos")</f>
        <v>Predios Exentos</v>
      </c>
      <c r="N400" s="1"/>
      <c r="O400" s="1"/>
      <c r="P400" s="1"/>
      <c r="Q400" s="1"/>
      <c r="R400" s="1"/>
      <c r="S400" s="1"/>
      <c r="T400" s="1"/>
      <c r="U400" s="1"/>
      <c r="V400" s="1"/>
      <c r="W400" s="1"/>
      <c r="X400" s="1"/>
      <c r="Y400" s="1"/>
      <c r="Z400" s="1"/>
    </row>
    <row r="401" spans="1:26" ht="12.75" customHeight="1">
      <c r="A401" s="1"/>
      <c r="B401" s="10" t="str">
        <f ca="1">IFERROR(__xludf.DUMMYFUNCTION("""COMPUTED_VALUE"""),"Compensación Predios Exentos 2024")</f>
        <v>Compensación Predios Exentos 2024</v>
      </c>
      <c r="C401" s="26" t="str">
        <f t="shared" ca="1" si="0"/>
        <v xml:space="preserve"> VILLA ALEGRE</v>
      </c>
      <c r="D401" s="10" t="str">
        <f ca="1">IFERROR(__xludf.DUMMYFUNCTION("""COMPUTED_VALUE"""),"Resolución de Transferencia")</f>
        <v>Resolución de Transferencia</v>
      </c>
      <c r="E401" s="26" t="str">
        <f ca="1">IFERROR(__xludf.DUMMYFUNCTION("""COMPUTED_VALUE"""),"MUNICIPALIDAD DE VILLA ALEGRE")</f>
        <v>MUNICIPALIDAD DE VILLA ALEGRE</v>
      </c>
      <c r="F401" s="11">
        <f ca="1">IFERROR(__xludf.DUMMYFUNCTION("""COMPUTED_VALUE"""),77410292)</f>
        <v>77410292</v>
      </c>
      <c r="G401" s="10" t="str">
        <f ca="1">IFERROR(__xludf.DUMMYFUNCTION("""COMPUTED_VALUE"""),"Resolución")</f>
        <v>Resolución</v>
      </c>
      <c r="H401" s="10" t="str">
        <f ca="1">IFERROR(__xludf.DUMMYFUNCTION("""COMPUTED_VALUE"""),"COMPENSACIÓN PREDIOS EXENTOS")</f>
        <v>COMPENSACIÓN PREDIOS EXENTOS</v>
      </c>
      <c r="I401" s="10" t="str">
        <f ca="1">IFERROR(__xludf.DUMMYFUNCTION("""COMPUTED_VALUE"""),"Cumplir con normativa y reglamentos internos del programa en base a los objetivos.")</f>
        <v>Cumplir con normativa y reglamentos internos del programa en base a los objetivos.</v>
      </c>
      <c r="J401" s="11">
        <f ca="1">IFERROR(__xludf.DUMMYFUNCTION("""COMPUTED_VALUE"""),77410292)</f>
        <v>77410292</v>
      </c>
      <c r="K401" s="27">
        <f ca="1">IFERROR(__xludf.DUMMYFUNCTION("""COMPUTED_VALUE"""),1)</f>
        <v>1</v>
      </c>
      <c r="L401" s="28" t="str">
        <f ca="1">IFERROR(__xludf.DUMMYFUNCTION("""COMPUTED_VALUE"""),"1/2024")</f>
        <v>1/2024</v>
      </c>
      <c r="M401" s="10" t="str">
        <f ca="1">IFERROR(__xludf.DUMMYFUNCTION("""COMPUTED_VALUE"""),"Predios Exentos")</f>
        <v>Predios Exentos</v>
      </c>
      <c r="N401" s="1"/>
      <c r="O401" s="1"/>
      <c r="P401" s="1"/>
      <c r="Q401" s="1"/>
      <c r="R401" s="1"/>
      <c r="S401" s="1"/>
      <c r="T401" s="1"/>
      <c r="U401" s="1"/>
      <c r="V401" s="1"/>
      <c r="W401" s="1"/>
      <c r="X401" s="1"/>
      <c r="Y401" s="1"/>
      <c r="Z401" s="1"/>
    </row>
    <row r="402" spans="1:26" ht="12.75" customHeight="1">
      <c r="A402" s="1"/>
      <c r="B402" s="10" t="str">
        <f ca="1">IFERROR(__xludf.DUMMYFUNCTION("""COMPUTED_VALUE"""),"Compensación Predios Exentos 2024")</f>
        <v>Compensación Predios Exentos 2024</v>
      </c>
      <c r="C402" s="26" t="str">
        <f t="shared" ca="1" si="0"/>
        <v xml:space="preserve"> SAN CARLOS</v>
      </c>
      <c r="D402" s="10" t="str">
        <f ca="1">IFERROR(__xludf.DUMMYFUNCTION("""COMPUTED_VALUE"""),"Resolución de Transferencia")</f>
        <v>Resolución de Transferencia</v>
      </c>
      <c r="E402" s="26" t="str">
        <f ca="1">IFERROR(__xludf.DUMMYFUNCTION("""COMPUTED_VALUE"""),"MUNICIPALIDAD DE SAN CARLOS")</f>
        <v>MUNICIPALIDAD DE SAN CARLOS</v>
      </c>
      <c r="F402" s="11">
        <f ca="1">IFERROR(__xludf.DUMMYFUNCTION("""COMPUTED_VALUE"""),247696558)</f>
        <v>247696558</v>
      </c>
      <c r="G402" s="10" t="str">
        <f ca="1">IFERROR(__xludf.DUMMYFUNCTION("""COMPUTED_VALUE"""),"Resolución")</f>
        <v>Resolución</v>
      </c>
      <c r="H402" s="10" t="str">
        <f ca="1">IFERROR(__xludf.DUMMYFUNCTION("""COMPUTED_VALUE"""),"COMPENSACIÓN PREDIOS EXENTOS")</f>
        <v>COMPENSACIÓN PREDIOS EXENTOS</v>
      </c>
      <c r="I402" s="10" t="str">
        <f ca="1">IFERROR(__xludf.DUMMYFUNCTION("""COMPUTED_VALUE"""),"Cumplir con normativa y reglamentos internos del programa en base a los objetivos.")</f>
        <v>Cumplir con normativa y reglamentos internos del programa en base a los objetivos.</v>
      </c>
      <c r="J402" s="11">
        <f ca="1">IFERROR(__xludf.DUMMYFUNCTION("""COMPUTED_VALUE"""),247696558)</f>
        <v>247696558</v>
      </c>
      <c r="K402" s="27">
        <f ca="1">IFERROR(__xludf.DUMMYFUNCTION("""COMPUTED_VALUE"""),1)</f>
        <v>1</v>
      </c>
      <c r="L402" s="28" t="str">
        <f ca="1">IFERROR(__xludf.DUMMYFUNCTION("""COMPUTED_VALUE"""),"1/2024")</f>
        <v>1/2024</v>
      </c>
      <c r="M402" s="10" t="str">
        <f ca="1">IFERROR(__xludf.DUMMYFUNCTION("""COMPUTED_VALUE"""),"Predios Exentos")</f>
        <v>Predios Exentos</v>
      </c>
      <c r="N402" s="1"/>
      <c r="O402" s="1"/>
      <c r="P402" s="1"/>
      <c r="Q402" s="1"/>
      <c r="R402" s="1"/>
      <c r="S402" s="1"/>
      <c r="T402" s="1"/>
      <c r="U402" s="1"/>
      <c r="V402" s="1"/>
      <c r="W402" s="1"/>
      <c r="X402" s="1"/>
      <c r="Y402" s="1"/>
      <c r="Z402" s="1"/>
    </row>
    <row r="403" spans="1:26" ht="12.75" customHeight="1">
      <c r="A403" s="1"/>
      <c r="B403" s="10" t="str">
        <f ca="1">IFERROR(__xludf.DUMMYFUNCTION("""COMPUTED_VALUE"""),"Compensación Predios Exentos 2024")</f>
        <v>Compensación Predios Exentos 2024</v>
      </c>
      <c r="C403" s="26" t="str">
        <f t="shared" ca="1" si="0"/>
        <v xml:space="preserve"> COELEMU</v>
      </c>
      <c r="D403" s="10" t="str">
        <f ca="1">IFERROR(__xludf.DUMMYFUNCTION("""COMPUTED_VALUE"""),"Resolución de Transferencia")</f>
        <v>Resolución de Transferencia</v>
      </c>
      <c r="E403" s="26" t="str">
        <f ca="1">IFERROR(__xludf.DUMMYFUNCTION("""COMPUTED_VALUE"""),"MUNICIPALIDAD DE COELEMU")</f>
        <v>MUNICIPALIDAD DE COELEMU</v>
      </c>
      <c r="F403" s="11">
        <f ca="1">IFERROR(__xludf.DUMMYFUNCTION("""COMPUTED_VALUE"""),76427694)</f>
        <v>76427694</v>
      </c>
      <c r="G403" s="10" t="str">
        <f ca="1">IFERROR(__xludf.DUMMYFUNCTION("""COMPUTED_VALUE"""),"Resolución")</f>
        <v>Resolución</v>
      </c>
      <c r="H403" s="10" t="str">
        <f ca="1">IFERROR(__xludf.DUMMYFUNCTION("""COMPUTED_VALUE"""),"COMPENSACIÓN PREDIOS EXENTOS")</f>
        <v>COMPENSACIÓN PREDIOS EXENTOS</v>
      </c>
      <c r="I403" s="10" t="str">
        <f ca="1">IFERROR(__xludf.DUMMYFUNCTION("""COMPUTED_VALUE"""),"Cumplir con normativa y reglamentos internos del programa en base a los objetivos.")</f>
        <v>Cumplir con normativa y reglamentos internos del programa en base a los objetivos.</v>
      </c>
      <c r="J403" s="11">
        <f ca="1">IFERROR(__xludf.DUMMYFUNCTION("""COMPUTED_VALUE"""),76427694)</f>
        <v>76427694</v>
      </c>
      <c r="K403" s="27">
        <f ca="1">IFERROR(__xludf.DUMMYFUNCTION("""COMPUTED_VALUE"""),1)</f>
        <v>1</v>
      </c>
      <c r="L403" s="28" t="str">
        <f ca="1">IFERROR(__xludf.DUMMYFUNCTION("""COMPUTED_VALUE"""),"1/2024")</f>
        <v>1/2024</v>
      </c>
      <c r="M403" s="10" t="str">
        <f ca="1">IFERROR(__xludf.DUMMYFUNCTION("""COMPUTED_VALUE"""),"Predios Exentos")</f>
        <v>Predios Exentos</v>
      </c>
      <c r="N403" s="1"/>
      <c r="O403" s="1"/>
      <c r="P403" s="1"/>
      <c r="Q403" s="1"/>
      <c r="R403" s="1"/>
      <c r="S403" s="1"/>
      <c r="T403" s="1"/>
      <c r="U403" s="1"/>
      <c r="V403" s="1"/>
      <c r="W403" s="1"/>
      <c r="X403" s="1"/>
      <c r="Y403" s="1"/>
      <c r="Z403" s="1"/>
    </row>
    <row r="404" spans="1:26" ht="12.75" customHeight="1">
      <c r="A404" s="1"/>
      <c r="B404" s="10" t="str">
        <f ca="1">IFERROR(__xludf.DUMMYFUNCTION("""COMPUTED_VALUE"""),"Compensación Predios Exentos 2024")</f>
        <v>Compensación Predios Exentos 2024</v>
      </c>
      <c r="C404" s="26" t="str">
        <f t="shared" ca="1" si="0"/>
        <v xml:space="preserve"> YUMBEL</v>
      </c>
      <c r="D404" s="10" t="str">
        <f ca="1">IFERROR(__xludf.DUMMYFUNCTION("""COMPUTED_VALUE"""),"Resolución de Transferencia")</f>
        <v>Resolución de Transferencia</v>
      </c>
      <c r="E404" s="26" t="str">
        <f ca="1">IFERROR(__xludf.DUMMYFUNCTION("""COMPUTED_VALUE"""),"MUNICIPALIDAD DE YUMBEL")</f>
        <v>MUNICIPALIDAD DE YUMBEL</v>
      </c>
      <c r="F404" s="11">
        <f ca="1">IFERROR(__xludf.DUMMYFUNCTION("""COMPUTED_VALUE"""),165526807)</f>
        <v>165526807</v>
      </c>
      <c r="G404" s="10" t="str">
        <f ca="1">IFERROR(__xludf.DUMMYFUNCTION("""COMPUTED_VALUE"""),"Resolución")</f>
        <v>Resolución</v>
      </c>
      <c r="H404" s="10" t="str">
        <f ca="1">IFERROR(__xludf.DUMMYFUNCTION("""COMPUTED_VALUE"""),"COMPENSACIÓN PREDIOS EXENTOS")</f>
        <v>COMPENSACIÓN PREDIOS EXENTOS</v>
      </c>
      <c r="I404" s="10" t="str">
        <f ca="1">IFERROR(__xludf.DUMMYFUNCTION("""COMPUTED_VALUE"""),"Cumplir con normativa y reglamentos internos del programa en base a los objetivos.")</f>
        <v>Cumplir con normativa y reglamentos internos del programa en base a los objetivos.</v>
      </c>
      <c r="J404" s="11">
        <f ca="1">IFERROR(__xludf.DUMMYFUNCTION("""COMPUTED_VALUE"""),165526807)</f>
        <v>165526807</v>
      </c>
      <c r="K404" s="27">
        <f ca="1">IFERROR(__xludf.DUMMYFUNCTION("""COMPUTED_VALUE"""),1)</f>
        <v>1</v>
      </c>
      <c r="L404" s="28" t="str">
        <f ca="1">IFERROR(__xludf.DUMMYFUNCTION("""COMPUTED_VALUE"""),"1/2024")</f>
        <v>1/2024</v>
      </c>
      <c r="M404" s="10" t="str">
        <f ca="1">IFERROR(__xludf.DUMMYFUNCTION("""COMPUTED_VALUE"""),"Predios Exentos")</f>
        <v>Predios Exentos</v>
      </c>
      <c r="N404" s="1"/>
      <c r="O404" s="1"/>
      <c r="P404" s="1"/>
      <c r="Q404" s="1"/>
      <c r="R404" s="1"/>
      <c r="S404" s="1"/>
      <c r="T404" s="1"/>
      <c r="U404" s="1"/>
      <c r="V404" s="1"/>
      <c r="W404" s="1"/>
      <c r="X404" s="1"/>
      <c r="Y404" s="1"/>
      <c r="Z404" s="1"/>
    </row>
    <row r="405" spans="1:26" ht="12.75" customHeight="1">
      <c r="A405" s="1"/>
      <c r="B405" s="10" t="str">
        <f ca="1">IFERROR(__xludf.DUMMYFUNCTION("""COMPUTED_VALUE"""),"Compensación Predios Exentos 2024")</f>
        <v>Compensación Predios Exentos 2024</v>
      </c>
      <c r="C405" s="26" t="str">
        <f t="shared" ca="1" si="0"/>
        <v xml:space="preserve"> CURANILAHUE</v>
      </c>
      <c r="D405" s="10" t="str">
        <f ca="1">IFERROR(__xludf.DUMMYFUNCTION("""COMPUTED_VALUE"""),"Resolución de Transferencia")</f>
        <v>Resolución de Transferencia</v>
      </c>
      <c r="E405" s="26" t="str">
        <f ca="1">IFERROR(__xludf.DUMMYFUNCTION("""COMPUTED_VALUE"""),"MUNICIPALIDAD DE CURANILAHUE")</f>
        <v>MUNICIPALIDAD DE CURANILAHUE</v>
      </c>
      <c r="F405" s="11">
        <f ca="1">IFERROR(__xludf.DUMMYFUNCTION("""COMPUTED_VALUE"""),97973200)</f>
        <v>97973200</v>
      </c>
      <c r="G405" s="10" t="str">
        <f ca="1">IFERROR(__xludf.DUMMYFUNCTION("""COMPUTED_VALUE"""),"Resolución")</f>
        <v>Resolución</v>
      </c>
      <c r="H405" s="10" t="str">
        <f ca="1">IFERROR(__xludf.DUMMYFUNCTION("""COMPUTED_VALUE"""),"COMPENSACIÓN PREDIOS EXENTOS")</f>
        <v>COMPENSACIÓN PREDIOS EXENTOS</v>
      </c>
      <c r="I405" s="10" t="str">
        <f ca="1">IFERROR(__xludf.DUMMYFUNCTION("""COMPUTED_VALUE"""),"Cumplir con normativa y reglamentos internos del programa en base a los objetivos.")</f>
        <v>Cumplir con normativa y reglamentos internos del programa en base a los objetivos.</v>
      </c>
      <c r="J405" s="11">
        <f ca="1">IFERROR(__xludf.DUMMYFUNCTION("""COMPUTED_VALUE"""),97973200)</f>
        <v>97973200</v>
      </c>
      <c r="K405" s="27">
        <f ca="1">IFERROR(__xludf.DUMMYFUNCTION("""COMPUTED_VALUE"""),1)</f>
        <v>1</v>
      </c>
      <c r="L405" s="28" t="str">
        <f ca="1">IFERROR(__xludf.DUMMYFUNCTION("""COMPUTED_VALUE"""),"1/2024")</f>
        <v>1/2024</v>
      </c>
      <c r="M405" s="10" t="str">
        <f ca="1">IFERROR(__xludf.DUMMYFUNCTION("""COMPUTED_VALUE"""),"Predios Exentos")</f>
        <v>Predios Exentos</v>
      </c>
      <c r="N405" s="1"/>
      <c r="O405" s="1"/>
      <c r="P405" s="1"/>
      <c r="Q405" s="1"/>
      <c r="R405" s="1"/>
      <c r="S405" s="1"/>
      <c r="T405" s="1"/>
      <c r="U405" s="1"/>
      <c r="V405" s="1"/>
      <c r="W405" s="1"/>
      <c r="X405" s="1"/>
      <c r="Y405" s="1"/>
      <c r="Z405" s="1"/>
    </row>
    <row r="406" spans="1:26" ht="12.75" customHeight="1">
      <c r="A406" s="1"/>
      <c r="B406" s="10" t="str">
        <f ca="1">IFERROR(__xludf.DUMMYFUNCTION("""COMPUTED_VALUE"""),"Compensación Predios Exentos 2024")</f>
        <v>Compensación Predios Exentos 2024</v>
      </c>
      <c r="C406" s="26" t="str">
        <f t="shared" ca="1" si="0"/>
        <v xml:space="preserve"> CONTULMO</v>
      </c>
      <c r="D406" s="10" t="str">
        <f ca="1">IFERROR(__xludf.DUMMYFUNCTION("""COMPUTED_VALUE"""),"Resolución de Transferencia")</f>
        <v>Resolución de Transferencia</v>
      </c>
      <c r="E406" s="26" t="str">
        <f ca="1">IFERROR(__xludf.DUMMYFUNCTION("""COMPUTED_VALUE"""),"MUNICIPALIDAD DE CONTULMO")</f>
        <v>MUNICIPALIDAD DE CONTULMO</v>
      </c>
      <c r="F406" s="11">
        <f ca="1">IFERROR(__xludf.DUMMYFUNCTION("""COMPUTED_VALUE"""),36376594)</f>
        <v>36376594</v>
      </c>
      <c r="G406" s="10" t="str">
        <f ca="1">IFERROR(__xludf.DUMMYFUNCTION("""COMPUTED_VALUE"""),"Resolución")</f>
        <v>Resolución</v>
      </c>
      <c r="H406" s="10" t="str">
        <f ca="1">IFERROR(__xludf.DUMMYFUNCTION("""COMPUTED_VALUE"""),"COMPENSACIÓN PREDIOS EXENTOS")</f>
        <v>COMPENSACIÓN PREDIOS EXENTOS</v>
      </c>
      <c r="I406" s="10" t="str">
        <f ca="1">IFERROR(__xludf.DUMMYFUNCTION("""COMPUTED_VALUE"""),"Cumplir con normativa y reglamentos internos del programa en base a los objetivos.")</f>
        <v>Cumplir con normativa y reglamentos internos del programa en base a los objetivos.</v>
      </c>
      <c r="J406" s="11">
        <f ca="1">IFERROR(__xludf.DUMMYFUNCTION("""COMPUTED_VALUE"""),36376594)</f>
        <v>36376594</v>
      </c>
      <c r="K406" s="27">
        <f ca="1">IFERROR(__xludf.DUMMYFUNCTION("""COMPUTED_VALUE"""),1)</f>
        <v>1</v>
      </c>
      <c r="L406" s="28" t="str">
        <f ca="1">IFERROR(__xludf.DUMMYFUNCTION("""COMPUTED_VALUE"""),"1/2024")</f>
        <v>1/2024</v>
      </c>
      <c r="M406" s="10" t="str">
        <f ca="1">IFERROR(__xludf.DUMMYFUNCTION("""COMPUTED_VALUE"""),"Predios Exentos")</f>
        <v>Predios Exentos</v>
      </c>
      <c r="N406" s="1"/>
      <c r="O406" s="1"/>
      <c r="P406" s="1"/>
      <c r="Q406" s="1"/>
      <c r="R406" s="1"/>
      <c r="S406" s="1"/>
      <c r="T406" s="1"/>
      <c r="U406" s="1"/>
      <c r="V406" s="1"/>
      <c r="W406" s="1"/>
      <c r="X406" s="1"/>
      <c r="Y406" s="1"/>
      <c r="Z406" s="1"/>
    </row>
    <row r="407" spans="1:26" ht="12.75" customHeight="1">
      <c r="A407" s="1"/>
      <c r="B407" s="10" t="str">
        <f ca="1">IFERROR(__xludf.DUMMYFUNCTION("""COMPUTED_VALUE"""),"Compensación Predios Exentos 2024")</f>
        <v>Compensación Predios Exentos 2024</v>
      </c>
      <c r="C407" s="26" t="str">
        <f t="shared" ca="1" si="0"/>
        <v xml:space="preserve"> QUILLECO</v>
      </c>
      <c r="D407" s="10" t="str">
        <f ca="1">IFERROR(__xludf.DUMMYFUNCTION("""COMPUTED_VALUE"""),"Resolución de Transferencia")</f>
        <v>Resolución de Transferencia</v>
      </c>
      <c r="E407" s="26" t="str">
        <f ca="1">IFERROR(__xludf.DUMMYFUNCTION("""COMPUTED_VALUE"""),"MUNICIPALIDAD DE QUILLECO")</f>
        <v>MUNICIPALIDAD DE QUILLECO</v>
      </c>
      <c r="F407" s="11">
        <f ca="1">IFERROR(__xludf.DUMMYFUNCTION("""COMPUTED_VALUE"""),51995806)</f>
        <v>51995806</v>
      </c>
      <c r="G407" s="10" t="str">
        <f ca="1">IFERROR(__xludf.DUMMYFUNCTION("""COMPUTED_VALUE"""),"Resolución")</f>
        <v>Resolución</v>
      </c>
      <c r="H407" s="10" t="str">
        <f ca="1">IFERROR(__xludf.DUMMYFUNCTION("""COMPUTED_VALUE"""),"COMPENSACIÓN PREDIOS EXENTOS")</f>
        <v>COMPENSACIÓN PREDIOS EXENTOS</v>
      </c>
      <c r="I407" s="10" t="str">
        <f ca="1">IFERROR(__xludf.DUMMYFUNCTION("""COMPUTED_VALUE"""),"Cumplir con normativa y reglamentos internos del programa en base a los objetivos.")</f>
        <v>Cumplir con normativa y reglamentos internos del programa en base a los objetivos.</v>
      </c>
      <c r="J407" s="11">
        <f ca="1">IFERROR(__xludf.DUMMYFUNCTION("""COMPUTED_VALUE"""),51995806)</f>
        <v>51995806</v>
      </c>
      <c r="K407" s="27">
        <f ca="1">IFERROR(__xludf.DUMMYFUNCTION("""COMPUTED_VALUE"""),1)</f>
        <v>1</v>
      </c>
      <c r="L407" s="28" t="str">
        <f ca="1">IFERROR(__xludf.DUMMYFUNCTION("""COMPUTED_VALUE"""),"1/2024")</f>
        <v>1/2024</v>
      </c>
      <c r="M407" s="10" t="str">
        <f ca="1">IFERROR(__xludf.DUMMYFUNCTION("""COMPUTED_VALUE"""),"Predios Exentos")</f>
        <v>Predios Exentos</v>
      </c>
      <c r="N407" s="1"/>
      <c r="O407" s="1"/>
      <c r="P407" s="1"/>
      <c r="Q407" s="1"/>
      <c r="R407" s="1"/>
      <c r="S407" s="1"/>
      <c r="T407" s="1"/>
      <c r="U407" s="1"/>
      <c r="V407" s="1"/>
      <c r="W407" s="1"/>
      <c r="X407" s="1"/>
      <c r="Y407" s="1"/>
      <c r="Z407" s="1"/>
    </row>
    <row r="408" spans="1:26" ht="12.75" customHeight="1">
      <c r="A408" s="1"/>
      <c r="B408" s="10" t="str">
        <f ca="1">IFERROR(__xludf.DUMMYFUNCTION("""COMPUTED_VALUE"""),"Compensación Predios Exentos 2024")</f>
        <v>Compensación Predios Exentos 2024</v>
      </c>
      <c r="C408" s="26" t="str">
        <f t="shared" ca="1" si="0"/>
        <v xml:space="preserve"> NACIMIENTO</v>
      </c>
      <c r="D408" s="10" t="str">
        <f ca="1">IFERROR(__xludf.DUMMYFUNCTION("""COMPUTED_VALUE"""),"Resolución de Transferencia")</f>
        <v>Resolución de Transferencia</v>
      </c>
      <c r="E408" s="26" t="str">
        <f ca="1">IFERROR(__xludf.DUMMYFUNCTION("""COMPUTED_VALUE"""),"MUNICIPALIDAD DE NACIMIENTO")</f>
        <v>MUNICIPALIDAD DE NACIMIENTO</v>
      </c>
      <c r="F408" s="11">
        <f ca="1">IFERROR(__xludf.DUMMYFUNCTION("""COMPUTED_VALUE"""),119590355)</f>
        <v>119590355</v>
      </c>
      <c r="G408" s="10" t="str">
        <f ca="1">IFERROR(__xludf.DUMMYFUNCTION("""COMPUTED_VALUE"""),"Resolución")</f>
        <v>Resolución</v>
      </c>
      <c r="H408" s="10" t="str">
        <f ca="1">IFERROR(__xludf.DUMMYFUNCTION("""COMPUTED_VALUE"""),"COMPENSACIÓN PREDIOS EXENTOS")</f>
        <v>COMPENSACIÓN PREDIOS EXENTOS</v>
      </c>
      <c r="I408" s="10" t="str">
        <f ca="1">IFERROR(__xludf.DUMMYFUNCTION("""COMPUTED_VALUE"""),"Cumplir con normativa y reglamentos internos del programa en base a los objetivos.")</f>
        <v>Cumplir con normativa y reglamentos internos del programa en base a los objetivos.</v>
      </c>
      <c r="J408" s="11">
        <f ca="1">IFERROR(__xludf.DUMMYFUNCTION("""COMPUTED_VALUE"""),119590355)</f>
        <v>119590355</v>
      </c>
      <c r="K408" s="27">
        <f ca="1">IFERROR(__xludf.DUMMYFUNCTION("""COMPUTED_VALUE"""),1)</f>
        <v>1</v>
      </c>
      <c r="L408" s="28" t="str">
        <f ca="1">IFERROR(__xludf.DUMMYFUNCTION("""COMPUTED_VALUE"""),"1/2024")</f>
        <v>1/2024</v>
      </c>
      <c r="M408" s="10" t="str">
        <f ca="1">IFERROR(__xludf.DUMMYFUNCTION("""COMPUTED_VALUE"""),"Predios Exentos")</f>
        <v>Predios Exentos</v>
      </c>
      <c r="N408" s="1"/>
      <c r="O408" s="1"/>
      <c r="P408" s="1"/>
      <c r="Q408" s="1"/>
      <c r="R408" s="1"/>
      <c r="S408" s="1"/>
      <c r="T408" s="1"/>
      <c r="U408" s="1"/>
      <c r="V408" s="1"/>
      <c r="W408" s="1"/>
      <c r="X408" s="1"/>
      <c r="Y408" s="1"/>
      <c r="Z408" s="1"/>
    </row>
    <row r="409" spans="1:26" ht="12.75" customHeight="1">
      <c r="A409" s="1"/>
      <c r="B409" s="10" t="str">
        <f ca="1">IFERROR(__xludf.DUMMYFUNCTION("""COMPUTED_VALUE"""),"Compensación Predios Exentos 2024")</f>
        <v>Compensación Predios Exentos 2024</v>
      </c>
      <c r="C409" s="26" t="str">
        <f t="shared" ca="1" si="0"/>
        <v xml:space="preserve"> QUILACO</v>
      </c>
      <c r="D409" s="10" t="str">
        <f ca="1">IFERROR(__xludf.DUMMYFUNCTION("""COMPUTED_VALUE"""),"Resolución de Transferencia")</f>
        <v>Resolución de Transferencia</v>
      </c>
      <c r="E409" s="26" t="str">
        <f ca="1">IFERROR(__xludf.DUMMYFUNCTION("""COMPUTED_VALUE"""),"MUNICIPALIDAD DE QUILACO")</f>
        <v>MUNICIPALIDAD DE QUILACO</v>
      </c>
      <c r="F409" s="11">
        <f ca="1">IFERROR(__xludf.DUMMYFUNCTION("""COMPUTED_VALUE"""),25127895)</f>
        <v>25127895</v>
      </c>
      <c r="G409" s="10" t="str">
        <f ca="1">IFERROR(__xludf.DUMMYFUNCTION("""COMPUTED_VALUE"""),"Resolución")</f>
        <v>Resolución</v>
      </c>
      <c r="H409" s="10" t="str">
        <f ca="1">IFERROR(__xludf.DUMMYFUNCTION("""COMPUTED_VALUE"""),"COMPENSACIÓN PREDIOS EXENTOS")</f>
        <v>COMPENSACIÓN PREDIOS EXENTOS</v>
      </c>
      <c r="I409" s="10" t="str">
        <f ca="1">IFERROR(__xludf.DUMMYFUNCTION("""COMPUTED_VALUE"""),"Cumplir con normativa y reglamentos internos del programa en base a los objetivos.")</f>
        <v>Cumplir con normativa y reglamentos internos del programa en base a los objetivos.</v>
      </c>
      <c r="J409" s="11">
        <f ca="1">IFERROR(__xludf.DUMMYFUNCTION("""COMPUTED_VALUE"""),25127895)</f>
        <v>25127895</v>
      </c>
      <c r="K409" s="27">
        <f ca="1">IFERROR(__xludf.DUMMYFUNCTION("""COMPUTED_VALUE"""),1)</f>
        <v>1</v>
      </c>
      <c r="L409" s="28" t="str">
        <f ca="1">IFERROR(__xludf.DUMMYFUNCTION("""COMPUTED_VALUE"""),"1/2024")</f>
        <v>1/2024</v>
      </c>
      <c r="M409" s="10" t="str">
        <f ca="1">IFERROR(__xludf.DUMMYFUNCTION("""COMPUTED_VALUE"""),"Predios Exentos")</f>
        <v>Predios Exentos</v>
      </c>
      <c r="N409" s="1"/>
      <c r="O409" s="1"/>
      <c r="P409" s="1"/>
      <c r="Q409" s="1"/>
      <c r="R409" s="1"/>
      <c r="S409" s="1"/>
      <c r="T409" s="1"/>
      <c r="U409" s="1"/>
      <c r="V409" s="1"/>
      <c r="W409" s="1"/>
      <c r="X409" s="1"/>
      <c r="Y409" s="1"/>
      <c r="Z409" s="1"/>
    </row>
    <row r="410" spans="1:26" ht="12.75" customHeight="1">
      <c r="A410" s="1"/>
      <c r="B410" s="10" t="str">
        <f ca="1">IFERROR(__xludf.DUMMYFUNCTION("""COMPUTED_VALUE"""),"Compensación Predios Exentos 2024")</f>
        <v>Compensación Predios Exentos 2024</v>
      </c>
      <c r="C410" s="26" t="str">
        <f t="shared" ca="1" si="0"/>
        <v xml:space="preserve"> RENAICO</v>
      </c>
      <c r="D410" s="10" t="str">
        <f ca="1">IFERROR(__xludf.DUMMYFUNCTION("""COMPUTED_VALUE"""),"Resolución de Transferencia")</f>
        <v>Resolución de Transferencia</v>
      </c>
      <c r="E410" s="26" t="str">
        <f ca="1">IFERROR(__xludf.DUMMYFUNCTION("""COMPUTED_VALUE"""),"MUNICIPALIDAD DE RENAICO")</f>
        <v>MUNICIPALIDAD DE RENAICO</v>
      </c>
      <c r="F410" s="11">
        <f ca="1">IFERROR(__xludf.DUMMYFUNCTION("""COMPUTED_VALUE"""),45414447)</f>
        <v>45414447</v>
      </c>
      <c r="G410" s="10" t="str">
        <f ca="1">IFERROR(__xludf.DUMMYFUNCTION("""COMPUTED_VALUE"""),"Resolución")</f>
        <v>Resolución</v>
      </c>
      <c r="H410" s="10" t="str">
        <f ca="1">IFERROR(__xludf.DUMMYFUNCTION("""COMPUTED_VALUE"""),"COMPENSACIÓN PREDIOS EXENTOS")</f>
        <v>COMPENSACIÓN PREDIOS EXENTOS</v>
      </c>
      <c r="I410" s="10" t="str">
        <f ca="1">IFERROR(__xludf.DUMMYFUNCTION("""COMPUTED_VALUE"""),"Cumplir con normativa y reglamentos internos del programa en base a los objetivos.")</f>
        <v>Cumplir con normativa y reglamentos internos del programa en base a los objetivos.</v>
      </c>
      <c r="J410" s="11">
        <f ca="1">IFERROR(__xludf.DUMMYFUNCTION("""COMPUTED_VALUE"""),45414447)</f>
        <v>45414447</v>
      </c>
      <c r="K410" s="27">
        <f ca="1">IFERROR(__xludf.DUMMYFUNCTION("""COMPUTED_VALUE"""),1)</f>
        <v>1</v>
      </c>
      <c r="L410" s="28" t="str">
        <f ca="1">IFERROR(__xludf.DUMMYFUNCTION("""COMPUTED_VALUE"""),"1/2024")</f>
        <v>1/2024</v>
      </c>
      <c r="M410" s="10" t="str">
        <f ca="1">IFERROR(__xludf.DUMMYFUNCTION("""COMPUTED_VALUE"""),"Predios Exentos")</f>
        <v>Predios Exentos</v>
      </c>
      <c r="N410" s="1"/>
      <c r="O410" s="1"/>
      <c r="P410" s="1"/>
      <c r="Q410" s="1"/>
      <c r="R410" s="1"/>
      <c r="S410" s="1"/>
      <c r="T410" s="1"/>
      <c r="U410" s="1"/>
      <c r="V410" s="1"/>
      <c r="W410" s="1"/>
      <c r="X410" s="1"/>
      <c r="Y410" s="1"/>
      <c r="Z410" s="1"/>
    </row>
    <row r="411" spans="1:26" ht="12.75" customHeight="1">
      <c r="A411" s="1"/>
      <c r="B411" s="10" t="str">
        <f ca="1">IFERROR(__xludf.DUMMYFUNCTION("""COMPUTED_VALUE"""),"Compensación Predios Exentos 2024")</f>
        <v>Compensación Predios Exentos 2024</v>
      </c>
      <c r="C411" s="26" t="str">
        <f t="shared" ca="1" si="0"/>
        <v xml:space="preserve"> VICTORIA</v>
      </c>
      <c r="D411" s="10" t="str">
        <f ca="1">IFERROR(__xludf.DUMMYFUNCTION("""COMPUTED_VALUE"""),"Resolución de Transferencia")</f>
        <v>Resolución de Transferencia</v>
      </c>
      <c r="E411" s="26" t="str">
        <f ca="1">IFERROR(__xludf.DUMMYFUNCTION("""COMPUTED_VALUE"""),"MUNICIPALIDAD DE VICTORIA")</f>
        <v>MUNICIPALIDAD DE VICTORIA</v>
      </c>
      <c r="F411" s="11">
        <f ca="1">IFERROR(__xludf.DUMMYFUNCTION("""COMPUTED_VALUE"""),134697798)</f>
        <v>134697798</v>
      </c>
      <c r="G411" s="10" t="str">
        <f ca="1">IFERROR(__xludf.DUMMYFUNCTION("""COMPUTED_VALUE"""),"Resolución")</f>
        <v>Resolución</v>
      </c>
      <c r="H411" s="10" t="str">
        <f ca="1">IFERROR(__xludf.DUMMYFUNCTION("""COMPUTED_VALUE"""),"COMPENSACIÓN PREDIOS EXENTOS")</f>
        <v>COMPENSACIÓN PREDIOS EXENTOS</v>
      </c>
      <c r="I411" s="10" t="str">
        <f ca="1">IFERROR(__xludf.DUMMYFUNCTION("""COMPUTED_VALUE"""),"Cumplir con normativa y reglamentos internos del programa en base a los objetivos.")</f>
        <v>Cumplir con normativa y reglamentos internos del programa en base a los objetivos.</v>
      </c>
      <c r="J411" s="11">
        <f ca="1">IFERROR(__xludf.DUMMYFUNCTION("""COMPUTED_VALUE"""),134697798)</f>
        <v>134697798</v>
      </c>
      <c r="K411" s="27">
        <f ca="1">IFERROR(__xludf.DUMMYFUNCTION("""COMPUTED_VALUE"""),1)</f>
        <v>1</v>
      </c>
      <c r="L411" s="28" t="str">
        <f ca="1">IFERROR(__xludf.DUMMYFUNCTION("""COMPUTED_VALUE"""),"1/2024")</f>
        <v>1/2024</v>
      </c>
      <c r="M411" s="10" t="str">
        <f ca="1">IFERROR(__xludf.DUMMYFUNCTION("""COMPUTED_VALUE"""),"Predios Exentos")</f>
        <v>Predios Exentos</v>
      </c>
      <c r="N411" s="1"/>
      <c r="O411" s="1"/>
      <c r="P411" s="1"/>
      <c r="Q411" s="1"/>
      <c r="R411" s="1"/>
      <c r="S411" s="1"/>
      <c r="T411" s="1"/>
      <c r="U411" s="1"/>
      <c r="V411" s="1"/>
      <c r="W411" s="1"/>
      <c r="X411" s="1"/>
      <c r="Y411" s="1"/>
      <c r="Z411" s="1"/>
    </row>
    <row r="412" spans="1:26" ht="12.75" customHeight="1">
      <c r="A412" s="1"/>
      <c r="B412" s="10" t="str">
        <f ca="1">IFERROR(__xludf.DUMMYFUNCTION("""COMPUTED_VALUE"""),"Compensación Predios Exentos 2024")</f>
        <v>Compensación Predios Exentos 2024</v>
      </c>
      <c r="C412" s="26" t="str">
        <f t="shared" ca="1" si="0"/>
        <v xml:space="preserve"> GORBEA</v>
      </c>
      <c r="D412" s="10" t="str">
        <f ca="1">IFERROR(__xludf.DUMMYFUNCTION("""COMPUTED_VALUE"""),"Resolución de Transferencia")</f>
        <v>Resolución de Transferencia</v>
      </c>
      <c r="E412" s="26" t="str">
        <f ca="1">IFERROR(__xludf.DUMMYFUNCTION("""COMPUTED_VALUE"""),"MUNICIPALIDAD DE GORBEA")</f>
        <v>MUNICIPALIDAD DE GORBEA</v>
      </c>
      <c r="F412" s="11">
        <f ca="1">IFERROR(__xludf.DUMMYFUNCTION("""COMPUTED_VALUE"""),74053082)</f>
        <v>74053082</v>
      </c>
      <c r="G412" s="10" t="str">
        <f ca="1">IFERROR(__xludf.DUMMYFUNCTION("""COMPUTED_VALUE"""),"Resolución")</f>
        <v>Resolución</v>
      </c>
      <c r="H412" s="10" t="str">
        <f ca="1">IFERROR(__xludf.DUMMYFUNCTION("""COMPUTED_VALUE"""),"COMPENSACIÓN PREDIOS EXENTOS")</f>
        <v>COMPENSACIÓN PREDIOS EXENTOS</v>
      </c>
      <c r="I412" s="10" t="str">
        <f ca="1">IFERROR(__xludf.DUMMYFUNCTION("""COMPUTED_VALUE"""),"Cumplir con normativa y reglamentos internos del programa en base a los objetivos.")</f>
        <v>Cumplir con normativa y reglamentos internos del programa en base a los objetivos.</v>
      </c>
      <c r="J412" s="11">
        <f ca="1">IFERROR(__xludf.DUMMYFUNCTION("""COMPUTED_VALUE"""),74053082)</f>
        <v>74053082</v>
      </c>
      <c r="K412" s="27">
        <f ca="1">IFERROR(__xludf.DUMMYFUNCTION("""COMPUTED_VALUE"""),1)</f>
        <v>1</v>
      </c>
      <c r="L412" s="28" t="str">
        <f ca="1">IFERROR(__xludf.DUMMYFUNCTION("""COMPUTED_VALUE"""),"1/2024")</f>
        <v>1/2024</v>
      </c>
      <c r="M412" s="10" t="str">
        <f ca="1">IFERROR(__xludf.DUMMYFUNCTION("""COMPUTED_VALUE"""),"Predios Exentos")</f>
        <v>Predios Exentos</v>
      </c>
      <c r="N412" s="1"/>
      <c r="O412" s="1"/>
      <c r="P412" s="1"/>
      <c r="Q412" s="1"/>
      <c r="R412" s="1"/>
      <c r="S412" s="1"/>
      <c r="T412" s="1"/>
      <c r="U412" s="1"/>
      <c r="V412" s="1"/>
      <c r="W412" s="1"/>
      <c r="X412" s="1"/>
      <c r="Y412" s="1"/>
      <c r="Z412" s="1"/>
    </row>
    <row r="413" spans="1:26" ht="12.75" customHeight="1">
      <c r="A413" s="1"/>
      <c r="B413" s="10" t="str">
        <f ca="1">IFERROR(__xludf.DUMMYFUNCTION("""COMPUTED_VALUE"""),"Compensación Predios Exentos 2024")</f>
        <v>Compensación Predios Exentos 2024</v>
      </c>
      <c r="C413" s="26" t="str">
        <f t="shared" ca="1" si="0"/>
        <v xml:space="preserve"> PURRANQUE</v>
      </c>
      <c r="D413" s="10" t="str">
        <f ca="1">IFERROR(__xludf.DUMMYFUNCTION("""COMPUTED_VALUE"""),"Resolución de Transferencia")</f>
        <v>Resolución de Transferencia</v>
      </c>
      <c r="E413" s="26" t="str">
        <f ca="1">IFERROR(__xludf.DUMMYFUNCTION("""COMPUTED_VALUE"""),"MUNICIPALIDAD DE PURRANQUE")</f>
        <v>MUNICIPALIDAD DE PURRANQUE</v>
      </c>
      <c r="F413" s="11">
        <f ca="1">IFERROR(__xludf.DUMMYFUNCTION("""COMPUTED_VALUE"""),63776746)</f>
        <v>63776746</v>
      </c>
      <c r="G413" s="10" t="str">
        <f ca="1">IFERROR(__xludf.DUMMYFUNCTION("""COMPUTED_VALUE"""),"Resolución")</f>
        <v>Resolución</v>
      </c>
      <c r="H413" s="10" t="str">
        <f ca="1">IFERROR(__xludf.DUMMYFUNCTION("""COMPUTED_VALUE"""),"COMPENSACIÓN PREDIOS EXENTOS")</f>
        <v>COMPENSACIÓN PREDIOS EXENTOS</v>
      </c>
      <c r="I413" s="10" t="str">
        <f ca="1">IFERROR(__xludf.DUMMYFUNCTION("""COMPUTED_VALUE"""),"Cumplir con normativa y reglamentos internos del programa en base a los objetivos.")</f>
        <v>Cumplir con normativa y reglamentos internos del programa en base a los objetivos.</v>
      </c>
      <c r="J413" s="11">
        <f ca="1">IFERROR(__xludf.DUMMYFUNCTION("""COMPUTED_VALUE"""),63776746)</f>
        <v>63776746</v>
      </c>
      <c r="K413" s="27">
        <f ca="1">IFERROR(__xludf.DUMMYFUNCTION("""COMPUTED_VALUE"""),1)</f>
        <v>1</v>
      </c>
      <c r="L413" s="28" t="str">
        <f ca="1">IFERROR(__xludf.DUMMYFUNCTION("""COMPUTED_VALUE"""),"1/2024")</f>
        <v>1/2024</v>
      </c>
      <c r="M413" s="10" t="str">
        <f ca="1">IFERROR(__xludf.DUMMYFUNCTION("""COMPUTED_VALUE"""),"Predios Exentos")</f>
        <v>Predios Exentos</v>
      </c>
      <c r="N413" s="1"/>
      <c r="O413" s="1"/>
      <c r="P413" s="1"/>
      <c r="Q413" s="1"/>
      <c r="R413" s="1"/>
      <c r="S413" s="1"/>
      <c r="T413" s="1"/>
      <c r="U413" s="1"/>
      <c r="V413" s="1"/>
      <c r="W413" s="1"/>
      <c r="X413" s="1"/>
      <c r="Y413" s="1"/>
      <c r="Z413" s="1"/>
    </row>
    <row r="414" spans="1:26" ht="12.75" customHeight="1">
      <c r="A414" s="1"/>
      <c r="B414" s="10" t="str">
        <f ca="1">IFERROR(__xludf.DUMMYFUNCTION("""COMPUTED_VALUE"""),"Compensación Predios Exentos 2024")</f>
        <v>Compensación Predios Exentos 2024</v>
      </c>
      <c r="C414" s="26" t="str">
        <f t="shared" ca="1" si="0"/>
        <v xml:space="preserve"> PUERTO MONTT</v>
      </c>
      <c r="D414" s="10" t="str">
        <f ca="1">IFERROR(__xludf.DUMMYFUNCTION("""COMPUTED_VALUE"""),"Resolución de Transferencia")</f>
        <v>Resolución de Transferencia</v>
      </c>
      <c r="E414" s="26" t="str">
        <f ca="1">IFERROR(__xludf.DUMMYFUNCTION("""COMPUTED_VALUE"""),"MUNICIPALIDAD DE PUERTO MONTT")</f>
        <v>MUNICIPALIDAD DE PUERTO MONTT</v>
      </c>
      <c r="F414" s="11">
        <f ca="1">IFERROR(__xludf.DUMMYFUNCTION("""COMPUTED_VALUE"""),788391531)</f>
        <v>788391531</v>
      </c>
      <c r="G414" s="10" t="str">
        <f ca="1">IFERROR(__xludf.DUMMYFUNCTION("""COMPUTED_VALUE"""),"Resolución")</f>
        <v>Resolución</v>
      </c>
      <c r="H414" s="10" t="str">
        <f ca="1">IFERROR(__xludf.DUMMYFUNCTION("""COMPUTED_VALUE"""),"COMPENSACIÓN PREDIOS EXENTOS")</f>
        <v>COMPENSACIÓN PREDIOS EXENTOS</v>
      </c>
      <c r="I414" s="10" t="str">
        <f ca="1">IFERROR(__xludf.DUMMYFUNCTION("""COMPUTED_VALUE"""),"Cumplir con normativa y reglamentos internos del programa en base a los objetivos.")</f>
        <v>Cumplir con normativa y reglamentos internos del programa en base a los objetivos.</v>
      </c>
      <c r="J414" s="11">
        <f ca="1">IFERROR(__xludf.DUMMYFUNCTION("""COMPUTED_VALUE"""),788391531)</f>
        <v>788391531</v>
      </c>
      <c r="K414" s="27">
        <f ca="1">IFERROR(__xludf.DUMMYFUNCTION("""COMPUTED_VALUE"""),1)</f>
        <v>1</v>
      </c>
      <c r="L414" s="28" t="str">
        <f ca="1">IFERROR(__xludf.DUMMYFUNCTION("""COMPUTED_VALUE"""),"1/2024")</f>
        <v>1/2024</v>
      </c>
      <c r="M414" s="10" t="str">
        <f ca="1">IFERROR(__xludf.DUMMYFUNCTION("""COMPUTED_VALUE"""),"Predios Exentos")</f>
        <v>Predios Exentos</v>
      </c>
      <c r="N414" s="1"/>
      <c r="O414" s="1"/>
      <c r="P414" s="1"/>
      <c r="Q414" s="1"/>
      <c r="R414" s="1"/>
      <c r="S414" s="1"/>
      <c r="T414" s="1"/>
      <c r="U414" s="1"/>
      <c r="V414" s="1"/>
      <c r="W414" s="1"/>
      <c r="X414" s="1"/>
      <c r="Y414" s="1"/>
      <c r="Z414" s="1"/>
    </row>
    <row r="415" spans="1:26" ht="12.75" customHeight="1">
      <c r="A415" s="1"/>
      <c r="B415" s="10" t="str">
        <f ca="1">IFERROR(__xludf.DUMMYFUNCTION("""COMPUTED_VALUE"""),"Compensación Predios Exentos 2024")</f>
        <v>Compensación Predios Exentos 2024</v>
      </c>
      <c r="C415" s="26" t="str">
        <f t="shared" ca="1" si="0"/>
        <v xml:space="preserve"> CHONCHI</v>
      </c>
      <c r="D415" s="10" t="str">
        <f ca="1">IFERROR(__xludf.DUMMYFUNCTION("""COMPUTED_VALUE"""),"Resolución de Transferencia")</f>
        <v>Resolución de Transferencia</v>
      </c>
      <c r="E415" s="26" t="str">
        <f ca="1">IFERROR(__xludf.DUMMYFUNCTION("""COMPUTED_VALUE"""),"MUNICIPALIDAD DE CHONCHI")</f>
        <v>MUNICIPALIDAD DE CHONCHI</v>
      </c>
      <c r="F415" s="11">
        <f ca="1">IFERROR(__xludf.DUMMYFUNCTION("""COMPUTED_VALUE"""),85352958)</f>
        <v>85352958</v>
      </c>
      <c r="G415" s="10" t="str">
        <f ca="1">IFERROR(__xludf.DUMMYFUNCTION("""COMPUTED_VALUE"""),"Resolución")</f>
        <v>Resolución</v>
      </c>
      <c r="H415" s="10" t="str">
        <f ca="1">IFERROR(__xludf.DUMMYFUNCTION("""COMPUTED_VALUE"""),"COMPENSACIÓN PREDIOS EXENTOS")</f>
        <v>COMPENSACIÓN PREDIOS EXENTOS</v>
      </c>
      <c r="I415" s="10" t="str">
        <f ca="1">IFERROR(__xludf.DUMMYFUNCTION("""COMPUTED_VALUE"""),"Cumplir con normativa y reglamentos internos del programa en base a los objetivos.")</f>
        <v>Cumplir con normativa y reglamentos internos del programa en base a los objetivos.</v>
      </c>
      <c r="J415" s="11">
        <f ca="1">IFERROR(__xludf.DUMMYFUNCTION("""COMPUTED_VALUE"""),85352958)</f>
        <v>85352958</v>
      </c>
      <c r="K415" s="27">
        <f ca="1">IFERROR(__xludf.DUMMYFUNCTION("""COMPUTED_VALUE"""),1)</f>
        <v>1</v>
      </c>
      <c r="L415" s="28" t="str">
        <f ca="1">IFERROR(__xludf.DUMMYFUNCTION("""COMPUTED_VALUE"""),"1/2024")</f>
        <v>1/2024</v>
      </c>
      <c r="M415" s="10" t="str">
        <f ca="1">IFERROR(__xludf.DUMMYFUNCTION("""COMPUTED_VALUE"""),"Predios Exentos")</f>
        <v>Predios Exentos</v>
      </c>
      <c r="N415" s="1"/>
      <c r="O415" s="1"/>
      <c r="P415" s="1"/>
      <c r="Q415" s="1"/>
      <c r="R415" s="1"/>
      <c r="S415" s="1"/>
      <c r="T415" s="1"/>
      <c r="U415" s="1"/>
      <c r="V415" s="1"/>
      <c r="W415" s="1"/>
      <c r="X415" s="1"/>
      <c r="Y415" s="1"/>
      <c r="Z415" s="1"/>
    </row>
    <row r="416" spans="1:26" ht="12.75" customHeight="1">
      <c r="A416" s="1"/>
      <c r="B416" s="10" t="str">
        <f ca="1">IFERROR(__xludf.DUMMYFUNCTION("""COMPUTED_VALUE"""),"Compensación Predios Exentos 2024")</f>
        <v>Compensación Predios Exentos 2024</v>
      </c>
      <c r="C416" s="26" t="str">
        <f t="shared" ca="1" si="0"/>
        <v xml:space="preserve"> SAN GREGORIO</v>
      </c>
      <c r="D416" s="10" t="str">
        <f ca="1">IFERROR(__xludf.DUMMYFUNCTION("""COMPUTED_VALUE"""),"Resolución de Transferencia")</f>
        <v>Resolución de Transferencia</v>
      </c>
      <c r="E416" s="26" t="str">
        <f ca="1">IFERROR(__xludf.DUMMYFUNCTION("""COMPUTED_VALUE"""),"MUNICIPALIDAD DE SAN GREGORIO")</f>
        <v>MUNICIPALIDAD DE SAN GREGORIO</v>
      </c>
      <c r="F416" s="11">
        <f ca="1">IFERROR(__xludf.DUMMYFUNCTION("""COMPUTED_VALUE"""),1719546)</f>
        <v>1719546</v>
      </c>
      <c r="G416" s="10" t="str">
        <f ca="1">IFERROR(__xludf.DUMMYFUNCTION("""COMPUTED_VALUE"""),"Resolución")</f>
        <v>Resolución</v>
      </c>
      <c r="H416" s="10" t="str">
        <f ca="1">IFERROR(__xludf.DUMMYFUNCTION("""COMPUTED_VALUE"""),"COMPENSACIÓN PREDIOS EXENTOS")</f>
        <v>COMPENSACIÓN PREDIOS EXENTOS</v>
      </c>
      <c r="I416" s="10" t="str">
        <f ca="1">IFERROR(__xludf.DUMMYFUNCTION("""COMPUTED_VALUE"""),"Cumplir con normativa y reglamentos internos del programa en base a los objetivos.")</f>
        <v>Cumplir con normativa y reglamentos internos del programa en base a los objetivos.</v>
      </c>
      <c r="J416" s="11">
        <f ca="1">IFERROR(__xludf.DUMMYFUNCTION("""COMPUTED_VALUE"""),1719546)</f>
        <v>1719546</v>
      </c>
      <c r="K416" s="27">
        <f ca="1">IFERROR(__xludf.DUMMYFUNCTION("""COMPUTED_VALUE"""),1)</f>
        <v>1</v>
      </c>
      <c r="L416" s="28" t="str">
        <f ca="1">IFERROR(__xludf.DUMMYFUNCTION("""COMPUTED_VALUE"""),"1/2024")</f>
        <v>1/2024</v>
      </c>
      <c r="M416" s="10" t="str">
        <f ca="1">IFERROR(__xludf.DUMMYFUNCTION("""COMPUTED_VALUE"""),"Predios Exentos")</f>
        <v>Predios Exentos</v>
      </c>
      <c r="N416" s="1"/>
      <c r="O416" s="1"/>
      <c r="P416" s="1"/>
      <c r="Q416" s="1"/>
      <c r="R416" s="1"/>
      <c r="S416" s="1"/>
      <c r="T416" s="1"/>
      <c r="U416" s="1"/>
      <c r="V416" s="1"/>
      <c r="W416" s="1"/>
      <c r="X416" s="1"/>
      <c r="Y416" s="1"/>
      <c r="Z416" s="1"/>
    </row>
    <row r="417" spans="1:26" ht="12.75" customHeight="1">
      <c r="A417" s="1"/>
      <c r="B417" s="10" t="str">
        <f ca="1">IFERROR(__xludf.DUMMYFUNCTION("""COMPUTED_VALUE"""),"Compensación Predios Exentos 2024")</f>
        <v>Compensación Predios Exentos 2024</v>
      </c>
      <c r="C417" s="26" t="str">
        <f t="shared" ca="1" si="0"/>
        <v xml:space="preserve"> CERRO NAVIA</v>
      </c>
      <c r="D417" s="10" t="str">
        <f ca="1">IFERROR(__xludf.DUMMYFUNCTION("""COMPUTED_VALUE"""),"Resolución de Transferencia")</f>
        <v>Resolución de Transferencia</v>
      </c>
      <c r="E417" s="26" t="str">
        <f ca="1">IFERROR(__xludf.DUMMYFUNCTION("""COMPUTED_VALUE"""),"MUNICIPALIDAD DE CERRO NAVIA")</f>
        <v>MUNICIPALIDAD DE CERRO NAVIA</v>
      </c>
      <c r="F417" s="11">
        <f ca="1">IFERROR(__xludf.DUMMYFUNCTION("""COMPUTED_VALUE"""),304359704)</f>
        <v>304359704</v>
      </c>
      <c r="G417" s="10" t="str">
        <f ca="1">IFERROR(__xludf.DUMMYFUNCTION("""COMPUTED_VALUE"""),"Resolución")</f>
        <v>Resolución</v>
      </c>
      <c r="H417" s="10" t="str">
        <f ca="1">IFERROR(__xludf.DUMMYFUNCTION("""COMPUTED_VALUE"""),"COMPENSACIÓN PREDIOS EXENTOS")</f>
        <v>COMPENSACIÓN PREDIOS EXENTOS</v>
      </c>
      <c r="I417" s="10" t="str">
        <f ca="1">IFERROR(__xludf.DUMMYFUNCTION("""COMPUTED_VALUE"""),"Cumplir con normativa y reglamentos internos del programa en base a los objetivos.")</f>
        <v>Cumplir con normativa y reglamentos internos del programa en base a los objetivos.</v>
      </c>
      <c r="J417" s="11">
        <f ca="1">IFERROR(__xludf.DUMMYFUNCTION("""COMPUTED_VALUE"""),304359704)</f>
        <v>304359704</v>
      </c>
      <c r="K417" s="27">
        <f ca="1">IFERROR(__xludf.DUMMYFUNCTION("""COMPUTED_VALUE"""),1)</f>
        <v>1</v>
      </c>
      <c r="L417" s="28" t="str">
        <f ca="1">IFERROR(__xludf.DUMMYFUNCTION("""COMPUTED_VALUE"""),"1/2024")</f>
        <v>1/2024</v>
      </c>
      <c r="M417" s="10" t="str">
        <f ca="1">IFERROR(__xludf.DUMMYFUNCTION("""COMPUTED_VALUE"""),"Predios Exentos")</f>
        <v>Predios Exentos</v>
      </c>
      <c r="N417" s="1"/>
      <c r="O417" s="1"/>
      <c r="P417" s="1"/>
      <c r="Q417" s="1"/>
      <c r="R417" s="1"/>
      <c r="S417" s="1"/>
      <c r="T417" s="1"/>
      <c r="U417" s="1"/>
      <c r="V417" s="1"/>
      <c r="W417" s="1"/>
      <c r="X417" s="1"/>
      <c r="Y417" s="1"/>
      <c r="Z417" s="1"/>
    </row>
    <row r="418" spans="1:26" ht="12.75" customHeight="1">
      <c r="A418" s="1"/>
      <c r="B418" s="10" t="str">
        <f ca="1">IFERROR(__xludf.DUMMYFUNCTION("""COMPUTED_VALUE"""),"Compensación Predios Exentos 2024")</f>
        <v>Compensación Predios Exentos 2024</v>
      </c>
      <c r="C418" s="26" t="str">
        <f t="shared" ca="1" si="0"/>
        <v xml:space="preserve"> HUALPÉN</v>
      </c>
      <c r="D418" s="10" t="str">
        <f ca="1">IFERROR(__xludf.DUMMYFUNCTION("""COMPUTED_VALUE"""),"Resolución de Transferencia")</f>
        <v>Resolución de Transferencia</v>
      </c>
      <c r="E418" s="26" t="str">
        <f ca="1">IFERROR(__xludf.DUMMYFUNCTION("""COMPUTED_VALUE"""),"MUNICIPALIDAD DE HUALPÉN")</f>
        <v>MUNICIPALIDAD DE HUALPÉN</v>
      </c>
      <c r="F418" s="11">
        <f ca="1">IFERROR(__xludf.DUMMYFUNCTION("""COMPUTED_VALUE"""),304922651)</f>
        <v>304922651</v>
      </c>
      <c r="G418" s="10" t="str">
        <f ca="1">IFERROR(__xludf.DUMMYFUNCTION("""COMPUTED_VALUE"""),"Resolución")</f>
        <v>Resolución</v>
      </c>
      <c r="H418" s="10" t="str">
        <f ca="1">IFERROR(__xludf.DUMMYFUNCTION("""COMPUTED_VALUE"""),"COMPENSACIÓN PREDIOS EXENTOS")</f>
        <v>COMPENSACIÓN PREDIOS EXENTOS</v>
      </c>
      <c r="I418" s="10" t="str">
        <f ca="1">IFERROR(__xludf.DUMMYFUNCTION("""COMPUTED_VALUE"""),"Cumplir con normativa y reglamentos internos del programa en base a los objetivos.")</f>
        <v>Cumplir con normativa y reglamentos internos del programa en base a los objetivos.</v>
      </c>
      <c r="J418" s="11">
        <f ca="1">IFERROR(__xludf.DUMMYFUNCTION("""COMPUTED_VALUE"""),304922651)</f>
        <v>304922651</v>
      </c>
      <c r="K418" s="27">
        <f ca="1">IFERROR(__xludf.DUMMYFUNCTION("""COMPUTED_VALUE"""),1)</f>
        <v>1</v>
      </c>
      <c r="L418" s="28" t="str">
        <f ca="1">IFERROR(__xludf.DUMMYFUNCTION("""COMPUTED_VALUE"""),"1/2024")</f>
        <v>1/2024</v>
      </c>
      <c r="M418" s="10" t="str">
        <f ca="1">IFERROR(__xludf.DUMMYFUNCTION("""COMPUTED_VALUE"""),"Predios Exentos")</f>
        <v>Predios Exentos</v>
      </c>
      <c r="N418" s="1"/>
      <c r="O418" s="1"/>
      <c r="P418" s="1"/>
      <c r="Q418" s="1"/>
      <c r="R418" s="1"/>
      <c r="S418" s="1"/>
      <c r="T418" s="1"/>
      <c r="U418" s="1"/>
      <c r="V418" s="1"/>
      <c r="W418" s="1"/>
      <c r="X418" s="1"/>
      <c r="Y418" s="1"/>
      <c r="Z418" s="1"/>
    </row>
    <row r="419" spans="1:26" ht="12.75" customHeight="1">
      <c r="A419" s="1"/>
      <c r="B419" s="10" t="str">
        <f ca="1">IFERROR(__xludf.DUMMYFUNCTION("""COMPUTED_VALUE"""),"Compensación Predios Exentos 2024")</f>
        <v>Compensación Predios Exentos 2024</v>
      </c>
      <c r="C419" s="26" t="str">
        <f t="shared" ca="1" si="0"/>
        <v xml:space="preserve"> CHIGUAYANTE</v>
      </c>
      <c r="D419" s="10" t="str">
        <f ca="1">IFERROR(__xludf.DUMMYFUNCTION("""COMPUTED_VALUE"""),"Resolución de Transferencia")</f>
        <v>Resolución de Transferencia</v>
      </c>
      <c r="E419" s="26" t="str">
        <f ca="1">IFERROR(__xludf.DUMMYFUNCTION("""COMPUTED_VALUE"""),"MUNICIPALIDAD DE CHIGUAYANTE")</f>
        <v>MUNICIPALIDAD DE CHIGUAYANTE</v>
      </c>
      <c r="F419" s="11">
        <f ca="1">IFERROR(__xludf.DUMMYFUNCTION("""COMPUTED_VALUE"""),235311730)</f>
        <v>235311730</v>
      </c>
      <c r="G419" s="10" t="str">
        <f ca="1">IFERROR(__xludf.DUMMYFUNCTION("""COMPUTED_VALUE"""),"Resolución")</f>
        <v>Resolución</v>
      </c>
      <c r="H419" s="10" t="str">
        <f ca="1">IFERROR(__xludf.DUMMYFUNCTION("""COMPUTED_VALUE"""),"COMPENSACIÓN PREDIOS EXENTOS")</f>
        <v>COMPENSACIÓN PREDIOS EXENTOS</v>
      </c>
      <c r="I419" s="10" t="str">
        <f ca="1">IFERROR(__xludf.DUMMYFUNCTION("""COMPUTED_VALUE"""),"Cumplir con normativa y reglamentos internos del programa en base a los objetivos.")</f>
        <v>Cumplir con normativa y reglamentos internos del programa en base a los objetivos.</v>
      </c>
      <c r="J419" s="11">
        <f ca="1">IFERROR(__xludf.DUMMYFUNCTION("""COMPUTED_VALUE"""),235311730)</f>
        <v>235311730</v>
      </c>
      <c r="K419" s="27">
        <f ca="1">IFERROR(__xludf.DUMMYFUNCTION("""COMPUTED_VALUE"""),1)</f>
        <v>1</v>
      </c>
      <c r="L419" s="28" t="str">
        <f ca="1">IFERROR(__xludf.DUMMYFUNCTION("""COMPUTED_VALUE"""),"1/2024")</f>
        <v>1/2024</v>
      </c>
      <c r="M419" s="10" t="str">
        <f ca="1">IFERROR(__xludf.DUMMYFUNCTION("""COMPUTED_VALUE"""),"Predios Exentos")</f>
        <v>Predios Exentos</v>
      </c>
      <c r="N419" s="1"/>
      <c r="O419" s="1"/>
      <c r="P419" s="1"/>
      <c r="Q419" s="1"/>
      <c r="R419" s="1"/>
      <c r="S419" s="1"/>
      <c r="T419" s="1"/>
      <c r="U419" s="1"/>
      <c r="V419" s="1"/>
      <c r="W419" s="1"/>
      <c r="X419" s="1"/>
      <c r="Y419" s="1"/>
      <c r="Z419" s="1"/>
    </row>
    <row r="420" spans="1:26" ht="12.75" customHeight="1">
      <c r="A420" s="1"/>
      <c r="B420" s="10" t="str">
        <f ca="1">IFERROR(__xludf.DUMMYFUNCTION("""COMPUTED_VALUE"""),"Compensación Predios Exentos 2024")</f>
        <v>Compensación Predios Exentos 2024</v>
      </c>
      <c r="C420" s="26" t="str">
        <f t="shared" ca="1" si="0"/>
        <v xml:space="preserve"> SAN PEDRO DE LA PAZ</v>
      </c>
      <c r="D420" s="10" t="str">
        <f ca="1">IFERROR(__xludf.DUMMYFUNCTION("""COMPUTED_VALUE"""),"Resolución de Transferencia")</f>
        <v>Resolución de Transferencia</v>
      </c>
      <c r="E420" s="26" t="str">
        <f ca="1">IFERROR(__xludf.DUMMYFUNCTION("""COMPUTED_VALUE"""),"MUNICIPALIDAD DE SAN PEDRO DE LA PAZ")</f>
        <v>MUNICIPALIDAD DE SAN PEDRO DE LA PAZ</v>
      </c>
      <c r="F420" s="11">
        <f ca="1">IFERROR(__xludf.DUMMYFUNCTION("""COMPUTED_VALUE"""),410480279)</f>
        <v>410480279</v>
      </c>
      <c r="G420" s="10" t="str">
        <f ca="1">IFERROR(__xludf.DUMMYFUNCTION("""COMPUTED_VALUE"""),"Resolución")</f>
        <v>Resolución</v>
      </c>
      <c r="H420" s="10" t="str">
        <f ca="1">IFERROR(__xludf.DUMMYFUNCTION("""COMPUTED_VALUE"""),"COMPENSACIÓN PREDIOS EXENTOS")</f>
        <v>COMPENSACIÓN PREDIOS EXENTOS</v>
      </c>
      <c r="I420" s="10" t="str">
        <f ca="1">IFERROR(__xludf.DUMMYFUNCTION("""COMPUTED_VALUE"""),"Cumplir con normativa y reglamentos internos del programa en base a los objetivos.")</f>
        <v>Cumplir con normativa y reglamentos internos del programa en base a los objetivos.</v>
      </c>
      <c r="J420" s="11">
        <f ca="1">IFERROR(__xludf.DUMMYFUNCTION("""COMPUTED_VALUE"""),410480279)</f>
        <v>410480279</v>
      </c>
      <c r="K420" s="27">
        <f ca="1">IFERROR(__xludf.DUMMYFUNCTION("""COMPUTED_VALUE"""),1)</f>
        <v>1</v>
      </c>
      <c r="L420" s="28" t="str">
        <f ca="1">IFERROR(__xludf.DUMMYFUNCTION("""COMPUTED_VALUE"""),"1/2024")</f>
        <v>1/2024</v>
      </c>
      <c r="M420" s="10" t="str">
        <f ca="1">IFERROR(__xludf.DUMMYFUNCTION("""COMPUTED_VALUE"""),"Predios Exentos")</f>
        <v>Predios Exentos</v>
      </c>
      <c r="N420" s="1"/>
      <c r="O420" s="1"/>
      <c r="P420" s="1"/>
      <c r="Q420" s="1"/>
      <c r="R420" s="1"/>
      <c r="S420" s="1"/>
      <c r="T420" s="1"/>
      <c r="U420" s="1"/>
      <c r="V420" s="1"/>
      <c r="W420" s="1"/>
      <c r="X420" s="1"/>
      <c r="Y420" s="1"/>
      <c r="Z420" s="1"/>
    </row>
    <row r="421" spans="1:26" ht="12.75" customHeight="1">
      <c r="A421" s="1"/>
      <c r="B421" s="10" t="str">
        <f ca="1">IFERROR(__xludf.DUMMYFUNCTION("""COMPUTED_VALUE"""),"Compensación Predios Exentos 2024")</f>
        <v>Compensación Predios Exentos 2024</v>
      </c>
      <c r="C421" s="26" t="str">
        <f t="shared" ca="1" si="0"/>
        <v xml:space="preserve"> ARICA</v>
      </c>
      <c r="D421" s="10" t="str">
        <f ca="1">IFERROR(__xludf.DUMMYFUNCTION("""COMPUTED_VALUE"""),"Resolución de Transferencia")</f>
        <v>Resolución de Transferencia</v>
      </c>
      <c r="E421" s="26" t="str">
        <f ca="1">IFERROR(__xludf.DUMMYFUNCTION("""COMPUTED_VALUE"""),"MUNICIPALIDAD DE ARICA")</f>
        <v>MUNICIPALIDAD DE ARICA</v>
      </c>
      <c r="F421" s="11">
        <f ca="1">IFERROR(__xludf.DUMMYFUNCTION("""COMPUTED_VALUE"""),617296669)</f>
        <v>617296669</v>
      </c>
      <c r="G421" s="10" t="str">
        <f ca="1">IFERROR(__xludf.DUMMYFUNCTION("""COMPUTED_VALUE"""),"Resolución")</f>
        <v>Resolución</v>
      </c>
      <c r="H421" s="10" t="str">
        <f ca="1">IFERROR(__xludf.DUMMYFUNCTION("""COMPUTED_VALUE"""),"COMPENSACIÓN PREDIOS EXENTOS")</f>
        <v>COMPENSACIÓN PREDIOS EXENTOS</v>
      </c>
      <c r="I421" s="10" t="str">
        <f ca="1">IFERROR(__xludf.DUMMYFUNCTION("""COMPUTED_VALUE"""),"Cumplir con normativa y reglamentos internos del programa en base a los objetivos.")</f>
        <v>Cumplir con normativa y reglamentos internos del programa en base a los objetivos.</v>
      </c>
      <c r="J421" s="11">
        <f ca="1">IFERROR(__xludf.DUMMYFUNCTION("""COMPUTED_VALUE"""),617296669)</f>
        <v>617296669</v>
      </c>
      <c r="K421" s="27">
        <f ca="1">IFERROR(__xludf.DUMMYFUNCTION("""COMPUTED_VALUE"""),1)</f>
        <v>1</v>
      </c>
      <c r="L421" s="28" t="str">
        <f ca="1">IFERROR(__xludf.DUMMYFUNCTION("""COMPUTED_VALUE"""),"1/2024")</f>
        <v>1/2024</v>
      </c>
      <c r="M421" s="10" t="str">
        <f ca="1">IFERROR(__xludf.DUMMYFUNCTION("""COMPUTED_VALUE"""),"Predios Exentos")</f>
        <v>Predios Exentos</v>
      </c>
      <c r="N421" s="1"/>
      <c r="O421" s="1"/>
      <c r="P421" s="1"/>
      <c r="Q421" s="1"/>
      <c r="R421" s="1"/>
      <c r="S421" s="1"/>
      <c r="T421" s="1"/>
      <c r="U421" s="1"/>
      <c r="V421" s="1"/>
      <c r="W421" s="1"/>
      <c r="X421" s="1"/>
      <c r="Y421" s="1"/>
      <c r="Z421" s="1"/>
    </row>
    <row r="422" spans="1:26" ht="12.75" customHeight="1">
      <c r="A422" s="1"/>
      <c r="B422" s="10" t="str">
        <f ca="1">IFERROR(__xludf.DUMMYFUNCTION("""COMPUTED_VALUE"""),"Compensación Predios Exentos 2024")</f>
        <v>Compensación Predios Exentos 2024</v>
      </c>
      <c r="C422" s="26" t="str">
        <f t="shared" ca="1" si="0"/>
        <v xml:space="preserve"> PANQUEHUE</v>
      </c>
      <c r="D422" s="10" t="str">
        <f ca="1">IFERROR(__xludf.DUMMYFUNCTION("""COMPUTED_VALUE"""),"Resolución de Transferencia")</f>
        <v>Resolución de Transferencia</v>
      </c>
      <c r="E422" s="26" t="str">
        <f ca="1">IFERROR(__xludf.DUMMYFUNCTION("""COMPUTED_VALUE"""),"MUNICIPALIDAD DE PANQUEHUE")</f>
        <v>MUNICIPALIDAD DE PANQUEHUE</v>
      </c>
      <c r="F422" s="11">
        <f ca="1">IFERROR(__xludf.DUMMYFUNCTION("""COMPUTED_VALUE"""),20225140)</f>
        <v>20225140</v>
      </c>
      <c r="G422" s="10" t="str">
        <f ca="1">IFERROR(__xludf.DUMMYFUNCTION("""COMPUTED_VALUE"""),"Resolución")</f>
        <v>Resolución</v>
      </c>
      <c r="H422" s="10" t="str">
        <f ca="1">IFERROR(__xludf.DUMMYFUNCTION("""COMPUTED_VALUE"""),"COMPENSACIÓN PREDIOS EXENTOS")</f>
        <v>COMPENSACIÓN PREDIOS EXENTOS</v>
      </c>
      <c r="I422" s="10" t="str">
        <f ca="1">IFERROR(__xludf.DUMMYFUNCTION("""COMPUTED_VALUE"""),"Cumplir con normativa y reglamentos internos del programa en base a los objetivos.")</f>
        <v>Cumplir con normativa y reglamentos internos del programa en base a los objetivos.</v>
      </c>
      <c r="J422" s="11">
        <f ca="1">IFERROR(__xludf.DUMMYFUNCTION("""COMPUTED_VALUE"""),20225140)</f>
        <v>20225140</v>
      </c>
      <c r="K422" s="27">
        <f ca="1">IFERROR(__xludf.DUMMYFUNCTION("""COMPUTED_VALUE"""),1)</f>
        <v>1</v>
      </c>
      <c r="L422" s="28" t="str">
        <f ca="1">IFERROR(__xludf.DUMMYFUNCTION("""COMPUTED_VALUE"""),"1/2024")</f>
        <v>1/2024</v>
      </c>
      <c r="M422" s="10" t="str">
        <f ca="1">IFERROR(__xludf.DUMMYFUNCTION("""COMPUTED_VALUE"""),"Predios Exentos")</f>
        <v>Predios Exentos</v>
      </c>
      <c r="N422" s="1"/>
      <c r="O422" s="1"/>
      <c r="P422" s="1"/>
      <c r="Q422" s="1"/>
      <c r="R422" s="1"/>
      <c r="S422" s="1"/>
      <c r="T422" s="1"/>
      <c r="U422" s="1"/>
      <c r="V422" s="1"/>
      <c r="W422" s="1"/>
      <c r="X422" s="1"/>
      <c r="Y422" s="1"/>
      <c r="Z422" s="1"/>
    </row>
    <row r="423" spans="1:26" ht="12.75" customHeight="1">
      <c r="A423" s="1"/>
      <c r="B423" s="10" t="str">
        <f ca="1">IFERROR(__xludf.DUMMYFUNCTION("""COMPUTED_VALUE"""),"Compensación Predios Exentos 2024")</f>
        <v>Compensación Predios Exentos 2024</v>
      </c>
      <c r="C423" s="26" t="str">
        <f t="shared" ca="1" si="0"/>
        <v xml:space="preserve"> LOS ANDES</v>
      </c>
      <c r="D423" s="10" t="str">
        <f ca="1">IFERROR(__xludf.DUMMYFUNCTION("""COMPUTED_VALUE"""),"Resolución de Transferencia")</f>
        <v>Resolución de Transferencia</v>
      </c>
      <c r="E423" s="26" t="str">
        <f ca="1">IFERROR(__xludf.DUMMYFUNCTION("""COMPUTED_VALUE"""),"MUNICIPALIDAD DE LOS ANDES")</f>
        <v>MUNICIPALIDAD DE LOS ANDES</v>
      </c>
      <c r="F423" s="11">
        <f ca="1">IFERROR(__xludf.DUMMYFUNCTION("""COMPUTED_VALUE"""),224349622)</f>
        <v>224349622</v>
      </c>
      <c r="G423" s="10" t="str">
        <f ca="1">IFERROR(__xludf.DUMMYFUNCTION("""COMPUTED_VALUE"""),"Resolución")</f>
        <v>Resolución</v>
      </c>
      <c r="H423" s="10" t="str">
        <f ca="1">IFERROR(__xludf.DUMMYFUNCTION("""COMPUTED_VALUE"""),"COMPENSACIÓN PREDIOS EXENTOS")</f>
        <v>COMPENSACIÓN PREDIOS EXENTOS</v>
      </c>
      <c r="I423" s="10" t="str">
        <f ca="1">IFERROR(__xludf.DUMMYFUNCTION("""COMPUTED_VALUE"""),"Cumplir con normativa y reglamentos internos del programa en base a los objetivos.")</f>
        <v>Cumplir con normativa y reglamentos internos del programa en base a los objetivos.</v>
      </c>
      <c r="J423" s="11">
        <f ca="1">IFERROR(__xludf.DUMMYFUNCTION("""COMPUTED_VALUE"""),224349622)</f>
        <v>224349622</v>
      </c>
      <c r="K423" s="27">
        <f ca="1">IFERROR(__xludf.DUMMYFUNCTION("""COMPUTED_VALUE"""),1)</f>
        <v>1</v>
      </c>
      <c r="L423" s="28" t="str">
        <f ca="1">IFERROR(__xludf.DUMMYFUNCTION("""COMPUTED_VALUE"""),"1/2024")</f>
        <v>1/2024</v>
      </c>
      <c r="M423" s="10" t="str">
        <f ca="1">IFERROR(__xludf.DUMMYFUNCTION("""COMPUTED_VALUE"""),"Predios Exentos")</f>
        <v>Predios Exentos</v>
      </c>
      <c r="N423" s="1"/>
      <c r="O423" s="1"/>
      <c r="P423" s="1"/>
      <c r="Q423" s="1"/>
      <c r="R423" s="1"/>
      <c r="S423" s="1"/>
      <c r="T423" s="1"/>
      <c r="U423" s="1"/>
      <c r="V423" s="1"/>
      <c r="W423" s="1"/>
      <c r="X423" s="1"/>
      <c r="Y423" s="1"/>
      <c r="Z423" s="1"/>
    </row>
    <row r="424" spans="1:26" ht="12.75" customHeight="1">
      <c r="A424" s="1"/>
      <c r="B424" s="10" t="str">
        <f ca="1">IFERROR(__xludf.DUMMYFUNCTION("""COMPUTED_VALUE"""),"Compensación Predios Exentos 2024")</f>
        <v>Compensación Predios Exentos 2024</v>
      </c>
      <c r="C424" s="26" t="str">
        <f t="shared" ca="1" si="0"/>
        <v xml:space="preserve"> LA CRUZ</v>
      </c>
      <c r="D424" s="10" t="str">
        <f ca="1">IFERROR(__xludf.DUMMYFUNCTION("""COMPUTED_VALUE"""),"Resolución de Transferencia")</f>
        <v>Resolución de Transferencia</v>
      </c>
      <c r="E424" s="26" t="str">
        <f ca="1">IFERROR(__xludf.DUMMYFUNCTION("""COMPUTED_VALUE"""),"MUNICIPALIDAD DE LA CRUZ")</f>
        <v>MUNICIPALIDAD DE LA CRUZ</v>
      </c>
      <c r="F424" s="11">
        <f ca="1">IFERROR(__xludf.DUMMYFUNCTION("""COMPUTED_VALUE"""),71811531)</f>
        <v>71811531</v>
      </c>
      <c r="G424" s="10" t="str">
        <f ca="1">IFERROR(__xludf.DUMMYFUNCTION("""COMPUTED_VALUE"""),"Resolución")</f>
        <v>Resolución</v>
      </c>
      <c r="H424" s="10" t="str">
        <f ca="1">IFERROR(__xludf.DUMMYFUNCTION("""COMPUTED_VALUE"""),"COMPENSACIÓN PREDIOS EXENTOS")</f>
        <v>COMPENSACIÓN PREDIOS EXENTOS</v>
      </c>
      <c r="I424" s="10" t="str">
        <f ca="1">IFERROR(__xludf.DUMMYFUNCTION("""COMPUTED_VALUE"""),"Cumplir con normativa y reglamentos internos del programa en base a los objetivos.")</f>
        <v>Cumplir con normativa y reglamentos internos del programa en base a los objetivos.</v>
      </c>
      <c r="J424" s="11">
        <f ca="1">IFERROR(__xludf.DUMMYFUNCTION("""COMPUTED_VALUE"""),71811531)</f>
        <v>71811531</v>
      </c>
      <c r="K424" s="27">
        <f ca="1">IFERROR(__xludf.DUMMYFUNCTION("""COMPUTED_VALUE"""),1)</f>
        <v>1</v>
      </c>
      <c r="L424" s="28" t="str">
        <f ca="1">IFERROR(__xludf.DUMMYFUNCTION("""COMPUTED_VALUE"""),"1/2024")</f>
        <v>1/2024</v>
      </c>
      <c r="M424" s="10" t="str">
        <f ca="1">IFERROR(__xludf.DUMMYFUNCTION("""COMPUTED_VALUE"""),"Predios Exentos")</f>
        <v>Predios Exentos</v>
      </c>
      <c r="N424" s="1"/>
      <c r="O424" s="1"/>
      <c r="P424" s="1"/>
      <c r="Q424" s="1"/>
      <c r="R424" s="1"/>
      <c r="S424" s="1"/>
      <c r="T424" s="1"/>
      <c r="U424" s="1"/>
      <c r="V424" s="1"/>
      <c r="W424" s="1"/>
      <c r="X424" s="1"/>
      <c r="Y424" s="1"/>
      <c r="Z424" s="1"/>
    </row>
    <row r="425" spans="1:26" ht="12.75" customHeight="1">
      <c r="A425" s="1"/>
      <c r="B425" s="10" t="str">
        <f ca="1">IFERROR(__xludf.DUMMYFUNCTION("""COMPUTED_VALUE"""),"Compensación Predios Exentos 2024")</f>
        <v>Compensación Predios Exentos 2024</v>
      </c>
      <c r="C425" s="26" t="str">
        <f t="shared" ca="1" si="0"/>
        <v xml:space="preserve"> ÑUÑOA</v>
      </c>
      <c r="D425" s="10" t="str">
        <f ca="1">IFERROR(__xludf.DUMMYFUNCTION("""COMPUTED_VALUE"""),"Resolución de Transferencia")</f>
        <v>Resolución de Transferencia</v>
      </c>
      <c r="E425" s="26" t="str">
        <f ca="1">IFERROR(__xludf.DUMMYFUNCTION("""COMPUTED_VALUE"""),"MUNICIPALIDAD DE ÑUÑOA")</f>
        <v>MUNICIPALIDAD DE ÑUÑOA</v>
      </c>
      <c r="F425" s="11">
        <f ca="1">IFERROR(__xludf.DUMMYFUNCTION("""COMPUTED_VALUE"""),391483386)</f>
        <v>391483386</v>
      </c>
      <c r="G425" s="10" t="str">
        <f ca="1">IFERROR(__xludf.DUMMYFUNCTION("""COMPUTED_VALUE"""),"Resolución")</f>
        <v>Resolución</v>
      </c>
      <c r="H425" s="10" t="str">
        <f ca="1">IFERROR(__xludf.DUMMYFUNCTION("""COMPUTED_VALUE"""),"COMPENSACIÓN PREDIOS EXENTOS")</f>
        <v>COMPENSACIÓN PREDIOS EXENTOS</v>
      </c>
      <c r="I425" s="10" t="str">
        <f ca="1">IFERROR(__xludf.DUMMYFUNCTION("""COMPUTED_VALUE"""),"Cumplir con normativa y reglamentos internos del programa en base a los objetivos.")</f>
        <v>Cumplir con normativa y reglamentos internos del programa en base a los objetivos.</v>
      </c>
      <c r="J425" s="11">
        <f ca="1">IFERROR(__xludf.DUMMYFUNCTION("""COMPUTED_VALUE"""),391483386)</f>
        <v>391483386</v>
      </c>
      <c r="K425" s="27">
        <f ca="1">IFERROR(__xludf.DUMMYFUNCTION("""COMPUTED_VALUE"""),1)</f>
        <v>1</v>
      </c>
      <c r="L425" s="28" t="str">
        <f ca="1">IFERROR(__xludf.DUMMYFUNCTION("""COMPUTED_VALUE"""),"1/2024")</f>
        <v>1/2024</v>
      </c>
      <c r="M425" s="10" t="str">
        <f ca="1">IFERROR(__xludf.DUMMYFUNCTION("""COMPUTED_VALUE"""),"Predios Exentos")</f>
        <v>Predios Exentos</v>
      </c>
      <c r="N425" s="1"/>
      <c r="O425" s="1"/>
      <c r="P425" s="1"/>
      <c r="Q425" s="1"/>
      <c r="R425" s="1"/>
      <c r="S425" s="1"/>
      <c r="T425" s="1"/>
      <c r="U425" s="1"/>
      <c r="V425" s="1"/>
      <c r="W425" s="1"/>
      <c r="X425" s="1"/>
      <c r="Y425" s="1"/>
      <c r="Z425" s="1"/>
    </row>
    <row r="426" spans="1:26" ht="12.75" customHeight="1">
      <c r="A426" s="1"/>
      <c r="B426" s="10" t="str">
        <f ca="1">IFERROR(__xludf.DUMMYFUNCTION("""COMPUTED_VALUE"""),"Compensación Predios Exentos 2024")</f>
        <v>Compensación Predios Exentos 2024</v>
      </c>
      <c r="C426" s="26" t="str">
        <f t="shared" ca="1" si="0"/>
        <v xml:space="preserve"> LAMPA</v>
      </c>
      <c r="D426" s="10" t="str">
        <f ca="1">IFERROR(__xludf.DUMMYFUNCTION("""COMPUTED_VALUE"""),"Resolución de Transferencia")</f>
        <v>Resolución de Transferencia</v>
      </c>
      <c r="E426" s="26" t="str">
        <f ca="1">IFERROR(__xludf.DUMMYFUNCTION("""COMPUTED_VALUE"""),"MUNICIPALIDAD DE LAMPA")</f>
        <v>MUNICIPALIDAD DE LAMPA</v>
      </c>
      <c r="F426" s="11">
        <f ca="1">IFERROR(__xludf.DUMMYFUNCTION("""COMPUTED_VALUE"""),237604458)</f>
        <v>237604458</v>
      </c>
      <c r="G426" s="10" t="str">
        <f ca="1">IFERROR(__xludf.DUMMYFUNCTION("""COMPUTED_VALUE"""),"Resolución")</f>
        <v>Resolución</v>
      </c>
      <c r="H426" s="10" t="str">
        <f ca="1">IFERROR(__xludf.DUMMYFUNCTION("""COMPUTED_VALUE"""),"COMPENSACIÓN PREDIOS EXENTOS")</f>
        <v>COMPENSACIÓN PREDIOS EXENTOS</v>
      </c>
      <c r="I426" s="10" t="str">
        <f ca="1">IFERROR(__xludf.DUMMYFUNCTION("""COMPUTED_VALUE"""),"Cumplir con normativa y reglamentos internos del programa en base a los objetivos.")</f>
        <v>Cumplir con normativa y reglamentos internos del programa en base a los objetivos.</v>
      </c>
      <c r="J426" s="11">
        <f ca="1">IFERROR(__xludf.DUMMYFUNCTION("""COMPUTED_VALUE"""),237604458)</f>
        <v>237604458</v>
      </c>
      <c r="K426" s="27">
        <f ca="1">IFERROR(__xludf.DUMMYFUNCTION("""COMPUTED_VALUE"""),1)</f>
        <v>1</v>
      </c>
      <c r="L426" s="28" t="str">
        <f ca="1">IFERROR(__xludf.DUMMYFUNCTION("""COMPUTED_VALUE"""),"1/2024")</f>
        <v>1/2024</v>
      </c>
      <c r="M426" s="10" t="str">
        <f ca="1">IFERROR(__xludf.DUMMYFUNCTION("""COMPUTED_VALUE"""),"Predios Exentos")</f>
        <v>Predios Exentos</v>
      </c>
      <c r="N426" s="1"/>
      <c r="O426" s="1"/>
      <c r="P426" s="1"/>
      <c r="Q426" s="1"/>
      <c r="R426" s="1"/>
      <c r="S426" s="1"/>
      <c r="T426" s="1"/>
      <c r="U426" s="1"/>
      <c r="V426" s="1"/>
      <c r="W426" s="1"/>
      <c r="X426" s="1"/>
      <c r="Y426" s="1"/>
      <c r="Z426" s="1"/>
    </row>
    <row r="427" spans="1:26" ht="12.75" customHeight="1">
      <c r="A427" s="1"/>
      <c r="B427" s="10" t="str">
        <f ca="1">IFERROR(__xludf.DUMMYFUNCTION("""COMPUTED_VALUE"""),"Compensación Predios Exentos 2024")</f>
        <v>Compensación Predios Exentos 2024</v>
      </c>
      <c r="C427" s="26" t="str">
        <f t="shared" ca="1" si="0"/>
        <v xml:space="preserve"> PUENTE ALTO</v>
      </c>
      <c r="D427" s="10" t="str">
        <f ca="1">IFERROR(__xludf.DUMMYFUNCTION("""COMPUTED_VALUE"""),"Resolución de Transferencia")</f>
        <v>Resolución de Transferencia</v>
      </c>
      <c r="E427" s="26" t="str">
        <f ca="1">IFERROR(__xludf.DUMMYFUNCTION("""COMPUTED_VALUE"""),"MUNICIPALIDAD DE PUENTE ALTO")</f>
        <v>MUNICIPALIDAD DE PUENTE ALTO</v>
      </c>
      <c r="F427" s="11">
        <f ca="1">IFERROR(__xludf.DUMMYFUNCTION("""COMPUTED_VALUE"""),1442658446)</f>
        <v>1442658446</v>
      </c>
      <c r="G427" s="10" t="str">
        <f ca="1">IFERROR(__xludf.DUMMYFUNCTION("""COMPUTED_VALUE"""),"Resolución")</f>
        <v>Resolución</v>
      </c>
      <c r="H427" s="10" t="str">
        <f ca="1">IFERROR(__xludf.DUMMYFUNCTION("""COMPUTED_VALUE"""),"COMPENSACIÓN PREDIOS EXENTOS")</f>
        <v>COMPENSACIÓN PREDIOS EXENTOS</v>
      </c>
      <c r="I427" s="10" t="str">
        <f ca="1">IFERROR(__xludf.DUMMYFUNCTION("""COMPUTED_VALUE"""),"Cumplir con normativa y reglamentos internos del programa en base a los objetivos.")</f>
        <v>Cumplir con normativa y reglamentos internos del programa en base a los objetivos.</v>
      </c>
      <c r="J427" s="11">
        <f ca="1">IFERROR(__xludf.DUMMYFUNCTION("""COMPUTED_VALUE"""),1442658446)</f>
        <v>1442658446</v>
      </c>
      <c r="K427" s="27">
        <f ca="1">IFERROR(__xludf.DUMMYFUNCTION("""COMPUTED_VALUE"""),1)</f>
        <v>1</v>
      </c>
      <c r="L427" s="28" t="str">
        <f ca="1">IFERROR(__xludf.DUMMYFUNCTION("""COMPUTED_VALUE"""),"1/2024")</f>
        <v>1/2024</v>
      </c>
      <c r="M427" s="10" t="str">
        <f ca="1">IFERROR(__xludf.DUMMYFUNCTION("""COMPUTED_VALUE"""),"Predios Exentos")</f>
        <v>Predios Exentos</v>
      </c>
      <c r="N427" s="1"/>
      <c r="O427" s="1"/>
      <c r="P427" s="1"/>
      <c r="Q427" s="1"/>
      <c r="R427" s="1"/>
      <c r="S427" s="1"/>
      <c r="T427" s="1"/>
      <c r="U427" s="1"/>
      <c r="V427" s="1"/>
      <c r="W427" s="1"/>
      <c r="X427" s="1"/>
      <c r="Y427" s="1"/>
      <c r="Z427" s="1"/>
    </row>
    <row r="428" spans="1:26" ht="12.75" customHeight="1">
      <c r="A428" s="1"/>
      <c r="B428" s="10" t="str">
        <f ca="1">IFERROR(__xludf.DUMMYFUNCTION("""COMPUTED_VALUE"""),"Compensación Predios Exentos 2024")</f>
        <v>Compensación Predios Exentos 2024</v>
      </c>
      <c r="C428" s="26" t="str">
        <f t="shared" ca="1" si="0"/>
        <v xml:space="preserve"> MELIPILLA</v>
      </c>
      <c r="D428" s="10" t="str">
        <f ca="1">IFERROR(__xludf.DUMMYFUNCTION("""COMPUTED_VALUE"""),"Resolución de Transferencia")</f>
        <v>Resolución de Transferencia</v>
      </c>
      <c r="E428" s="26" t="str">
        <f ca="1">IFERROR(__xludf.DUMMYFUNCTION("""COMPUTED_VALUE"""),"MUNICIPALIDAD DE MELIPILLA")</f>
        <v>MUNICIPALIDAD DE MELIPILLA</v>
      </c>
      <c r="F428" s="11">
        <f ca="1">IFERROR(__xludf.DUMMYFUNCTION("""COMPUTED_VALUE"""),394554005)</f>
        <v>394554005</v>
      </c>
      <c r="G428" s="10" t="str">
        <f ca="1">IFERROR(__xludf.DUMMYFUNCTION("""COMPUTED_VALUE"""),"Resolución")</f>
        <v>Resolución</v>
      </c>
      <c r="H428" s="10" t="str">
        <f ca="1">IFERROR(__xludf.DUMMYFUNCTION("""COMPUTED_VALUE"""),"COMPENSACIÓN PREDIOS EXENTOS")</f>
        <v>COMPENSACIÓN PREDIOS EXENTOS</v>
      </c>
      <c r="I428" s="10" t="str">
        <f ca="1">IFERROR(__xludf.DUMMYFUNCTION("""COMPUTED_VALUE"""),"Cumplir con normativa y reglamentos internos del programa en base a los objetivos.")</f>
        <v>Cumplir con normativa y reglamentos internos del programa en base a los objetivos.</v>
      </c>
      <c r="J428" s="11">
        <f ca="1">IFERROR(__xludf.DUMMYFUNCTION("""COMPUTED_VALUE"""),394554005)</f>
        <v>394554005</v>
      </c>
      <c r="K428" s="27">
        <f ca="1">IFERROR(__xludf.DUMMYFUNCTION("""COMPUTED_VALUE"""),1)</f>
        <v>1</v>
      </c>
      <c r="L428" s="28" t="str">
        <f ca="1">IFERROR(__xludf.DUMMYFUNCTION("""COMPUTED_VALUE"""),"1/2024")</f>
        <v>1/2024</v>
      </c>
      <c r="M428" s="10" t="str">
        <f ca="1">IFERROR(__xludf.DUMMYFUNCTION("""COMPUTED_VALUE"""),"Predios Exentos")</f>
        <v>Predios Exentos</v>
      </c>
      <c r="N428" s="1"/>
      <c r="O428" s="1"/>
      <c r="P428" s="1"/>
      <c r="Q428" s="1"/>
      <c r="R428" s="1"/>
      <c r="S428" s="1"/>
      <c r="T428" s="1"/>
      <c r="U428" s="1"/>
      <c r="V428" s="1"/>
      <c r="W428" s="1"/>
      <c r="X428" s="1"/>
      <c r="Y428" s="1"/>
      <c r="Z428" s="1"/>
    </row>
    <row r="429" spans="1:26" ht="12.75" customHeight="1">
      <c r="A429" s="1"/>
      <c r="B429" s="10" t="str">
        <f ca="1">IFERROR(__xludf.DUMMYFUNCTION("""COMPUTED_VALUE"""),"Compensación Predios Exentos 2024")</f>
        <v>Compensación Predios Exentos 2024</v>
      </c>
      <c r="C429" s="26" t="str">
        <f t="shared" ca="1" si="0"/>
        <v xml:space="preserve"> LITUECHE</v>
      </c>
      <c r="D429" s="10" t="str">
        <f ca="1">IFERROR(__xludf.DUMMYFUNCTION("""COMPUTED_VALUE"""),"Resolución de Transferencia")</f>
        <v>Resolución de Transferencia</v>
      </c>
      <c r="E429" s="26" t="str">
        <f ca="1">IFERROR(__xludf.DUMMYFUNCTION("""COMPUTED_VALUE"""),"MUNICIPALIDAD DE LITUECHE")</f>
        <v>MUNICIPALIDAD DE LITUECHE</v>
      </c>
      <c r="F429" s="11">
        <f ca="1">IFERROR(__xludf.DUMMYFUNCTION("""COMPUTED_VALUE"""),33940570)</f>
        <v>33940570</v>
      </c>
      <c r="G429" s="10" t="str">
        <f ca="1">IFERROR(__xludf.DUMMYFUNCTION("""COMPUTED_VALUE"""),"Resolución")</f>
        <v>Resolución</v>
      </c>
      <c r="H429" s="10" t="str">
        <f ca="1">IFERROR(__xludf.DUMMYFUNCTION("""COMPUTED_VALUE"""),"COMPENSACIÓN PREDIOS EXENTOS")</f>
        <v>COMPENSACIÓN PREDIOS EXENTOS</v>
      </c>
      <c r="I429" s="10" t="str">
        <f ca="1">IFERROR(__xludf.DUMMYFUNCTION("""COMPUTED_VALUE"""),"Cumplir con normativa y reglamentos internos del programa en base a los objetivos.")</f>
        <v>Cumplir con normativa y reglamentos internos del programa en base a los objetivos.</v>
      </c>
      <c r="J429" s="11">
        <f ca="1">IFERROR(__xludf.DUMMYFUNCTION("""COMPUTED_VALUE"""),33940570)</f>
        <v>33940570</v>
      </c>
      <c r="K429" s="27">
        <f ca="1">IFERROR(__xludf.DUMMYFUNCTION("""COMPUTED_VALUE"""),1)</f>
        <v>1</v>
      </c>
      <c r="L429" s="28" t="str">
        <f ca="1">IFERROR(__xludf.DUMMYFUNCTION("""COMPUTED_VALUE"""),"1/2024")</f>
        <v>1/2024</v>
      </c>
      <c r="M429" s="10" t="str">
        <f ca="1">IFERROR(__xludf.DUMMYFUNCTION("""COMPUTED_VALUE"""),"Predios Exentos")</f>
        <v>Predios Exentos</v>
      </c>
      <c r="N429" s="1"/>
      <c r="O429" s="1"/>
      <c r="P429" s="1"/>
      <c r="Q429" s="1"/>
      <c r="R429" s="1"/>
      <c r="S429" s="1"/>
      <c r="T429" s="1"/>
      <c r="U429" s="1"/>
      <c r="V429" s="1"/>
      <c r="W429" s="1"/>
      <c r="X429" s="1"/>
      <c r="Y429" s="1"/>
      <c r="Z429" s="1"/>
    </row>
    <row r="430" spans="1:26" ht="12.75" customHeight="1">
      <c r="A430" s="1"/>
      <c r="B430" s="10" t="str">
        <f ca="1">IFERROR(__xludf.DUMMYFUNCTION("""COMPUTED_VALUE"""),"Compensación Predios Exentos 2024")</f>
        <v>Compensación Predios Exentos 2024</v>
      </c>
      <c r="C430" s="26" t="str">
        <f t="shared" ca="1" si="0"/>
        <v xml:space="preserve"> YERBAS BUENAS</v>
      </c>
      <c r="D430" s="10" t="str">
        <f ca="1">IFERROR(__xludf.DUMMYFUNCTION("""COMPUTED_VALUE"""),"Resolución de Transferencia")</f>
        <v>Resolución de Transferencia</v>
      </c>
      <c r="E430" s="26" t="str">
        <f ca="1">IFERROR(__xludf.DUMMYFUNCTION("""COMPUTED_VALUE"""),"MUNICIPALIDAD DE YERBAS BUENAS")</f>
        <v>MUNICIPALIDAD DE YERBAS BUENAS</v>
      </c>
      <c r="F430" s="11">
        <f ca="1">IFERROR(__xludf.DUMMYFUNCTION("""COMPUTED_VALUE"""),76632402)</f>
        <v>76632402</v>
      </c>
      <c r="G430" s="10" t="str">
        <f ca="1">IFERROR(__xludf.DUMMYFUNCTION("""COMPUTED_VALUE"""),"Resolución")</f>
        <v>Resolución</v>
      </c>
      <c r="H430" s="10" t="str">
        <f ca="1">IFERROR(__xludf.DUMMYFUNCTION("""COMPUTED_VALUE"""),"COMPENSACIÓN PREDIOS EXENTOS")</f>
        <v>COMPENSACIÓN PREDIOS EXENTOS</v>
      </c>
      <c r="I430" s="10" t="str">
        <f ca="1">IFERROR(__xludf.DUMMYFUNCTION("""COMPUTED_VALUE"""),"Cumplir con normativa y reglamentos internos del programa en base a los objetivos.")</f>
        <v>Cumplir con normativa y reglamentos internos del programa en base a los objetivos.</v>
      </c>
      <c r="J430" s="11">
        <f ca="1">IFERROR(__xludf.DUMMYFUNCTION("""COMPUTED_VALUE"""),76632402)</f>
        <v>76632402</v>
      </c>
      <c r="K430" s="27">
        <f ca="1">IFERROR(__xludf.DUMMYFUNCTION("""COMPUTED_VALUE"""),1)</f>
        <v>1</v>
      </c>
      <c r="L430" s="28" t="str">
        <f ca="1">IFERROR(__xludf.DUMMYFUNCTION("""COMPUTED_VALUE"""),"1/2024")</f>
        <v>1/2024</v>
      </c>
      <c r="M430" s="10" t="str">
        <f ca="1">IFERROR(__xludf.DUMMYFUNCTION("""COMPUTED_VALUE"""),"Predios Exentos")</f>
        <v>Predios Exentos</v>
      </c>
      <c r="N430" s="1"/>
      <c r="O430" s="1"/>
      <c r="P430" s="1"/>
      <c r="Q430" s="1"/>
      <c r="R430" s="1"/>
      <c r="S430" s="1"/>
      <c r="T430" s="1"/>
      <c r="U430" s="1"/>
      <c r="V430" s="1"/>
      <c r="W430" s="1"/>
      <c r="X430" s="1"/>
      <c r="Y430" s="1"/>
      <c r="Z430" s="1"/>
    </row>
    <row r="431" spans="1:26" ht="12.75" customHeight="1">
      <c r="A431" s="1"/>
      <c r="B431" s="10" t="str">
        <f ca="1">IFERROR(__xludf.DUMMYFUNCTION("""COMPUTED_VALUE"""),"Compensación Predios Exentos 2024")</f>
        <v>Compensación Predios Exentos 2024</v>
      </c>
      <c r="C431" s="26" t="str">
        <f t="shared" ca="1" si="0"/>
        <v xml:space="preserve"> PINTO</v>
      </c>
      <c r="D431" s="10" t="str">
        <f ca="1">IFERROR(__xludf.DUMMYFUNCTION("""COMPUTED_VALUE"""),"Resolución de Transferencia")</f>
        <v>Resolución de Transferencia</v>
      </c>
      <c r="E431" s="26" t="str">
        <f ca="1">IFERROR(__xludf.DUMMYFUNCTION("""COMPUTED_VALUE"""),"MUNICIPALIDAD DE PINTO")</f>
        <v>MUNICIPALIDAD DE PINTO</v>
      </c>
      <c r="F431" s="11">
        <f ca="1">IFERROR(__xludf.DUMMYFUNCTION("""COMPUTED_VALUE"""),69723510)</f>
        <v>69723510</v>
      </c>
      <c r="G431" s="10" t="str">
        <f ca="1">IFERROR(__xludf.DUMMYFUNCTION("""COMPUTED_VALUE"""),"Resolución")</f>
        <v>Resolución</v>
      </c>
      <c r="H431" s="10" t="str">
        <f ca="1">IFERROR(__xludf.DUMMYFUNCTION("""COMPUTED_VALUE"""),"COMPENSACIÓN PREDIOS EXENTOS")</f>
        <v>COMPENSACIÓN PREDIOS EXENTOS</v>
      </c>
      <c r="I431" s="10" t="str">
        <f ca="1">IFERROR(__xludf.DUMMYFUNCTION("""COMPUTED_VALUE"""),"Cumplir con normativa y reglamentos internos del programa en base a los objetivos.")</f>
        <v>Cumplir con normativa y reglamentos internos del programa en base a los objetivos.</v>
      </c>
      <c r="J431" s="11">
        <f ca="1">IFERROR(__xludf.DUMMYFUNCTION("""COMPUTED_VALUE"""),69723510)</f>
        <v>69723510</v>
      </c>
      <c r="K431" s="27">
        <f ca="1">IFERROR(__xludf.DUMMYFUNCTION("""COMPUTED_VALUE"""),1)</f>
        <v>1</v>
      </c>
      <c r="L431" s="28" t="str">
        <f ca="1">IFERROR(__xludf.DUMMYFUNCTION("""COMPUTED_VALUE"""),"1/2024")</f>
        <v>1/2024</v>
      </c>
      <c r="M431" s="10" t="str">
        <f ca="1">IFERROR(__xludf.DUMMYFUNCTION("""COMPUTED_VALUE"""),"Predios Exentos")</f>
        <v>Predios Exentos</v>
      </c>
      <c r="N431" s="1"/>
      <c r="O431" s="1"/>
      <c r="P431" s="1"/>
      <c r="Q431" s="1"/>
      <c r="R431" s="1"/>
      <c r="S431" s="1"/>
      <c r="T431" s="1"/>
      <c r="U431" s="1"/>
      <c r="V431" s="1"/>
      <c r="W431" s="1"/>
      <c r="X431" s="1"/>
      <c r="Y431" s="1"/>
      <c r="Z431" s="1"/>
    </row>
    <row r="432" spans="1:26" ht="12.75" customHeight="1">
      <c r="A432" s="1"/>
      <c r="B432" s="10" t="str">
        <f ca="1">IFERROR(__xludf.DUMMYFUNCTION("""COMPUTED_VALUE"""),"Compensación Predios Exentos 2024")</f>
        <v>Compensación Predios Exentos 2024</v>
      </c>
      <c r="C432" s="26" t="str">
        <f t="shared" ca="1" si="0"/>
        <v xml:space="preserve"> SANTA BÁRBARA</v>
      </c>
      <c r="D432" s="10" t="str">
        <f ca="1">IFERROR(__xludf.DUMMYFUNCTION("""COMPUTED_VALUE"""),"Resolución de Transferencia")</f>
        <v>Resolución de Transferencia</v>
      </c>
      <c r="E432" s="26" t="str">
        <f ca="1">IFERROR(__xludf.DUMMYFUNCTION("""COMPUTED_VALUE"""),"MUNICIPALIDAD DE SANTA BÁRBARA")</f>
        <v>MUNICIPALIDAD DE SANTA BÁRBARA</v>
      </c>
      <c r="F432" s="11">
        <f ca="1">IFERROR(__xludf.DUMMYFUNCTION("""COMPUTED_VALUE"""),62343791)</f>
        <v>62343791</v>
      </c>
      <c r="G432" s="10" t="str">
        <f ca="1">IFERROR(__xludf.DUMMYFUNCTION("""COMPUTED_VALUE"""),"Resolución")</f>
        <v>Resolución</v>
      </c>
      <c r="H432" s="10" t="str">
        <f ca="1">IFERROR(__xludf.DUMMYFUNCTION("""COMPUTED_VALUE"""),"COMPENSACIÓN PREDIOS EXENTOS")</f>
        <v>COMPENSACIÓN PREDIOS EXENTOS</v>
      </c>
      <c r="I432" s="10" t="str">
        <f ca="1">IFERROR(__xludf.DUMMYFUNCTION("""COMPUTED_VALUE"""),"Cumplir con normativa y reglamentos internos del programa en base a los objetivos.")</f>
        <v>Cumplir con normativa y reglamentos internos del programa en base a los objetivos.</v>
      </c>
      <c r="J432" s="11">
        <f ca="1">IFERROR(__xludf.DUMMYFUNCTION("""COMPUTED_VALUE"""),62343791)</f>
        <v>62343791</v>
      </c>
      <c r="K432" s="27">
        <f ca="1">IFERROR(__xludf.DUMMYFUNCTION("""COMPUTED_VALUE"""),1)</f>
        <v>1</v>
      </c>
      <c r="L432" s="28" t="str">
        <f ca="1">IFERROR(__xludf.DUMMYFUNCTION("""COMPUTED_VALUE"""),"1/2024")</f>
        <v>1/2024</v>
      </c>
      <c r="M432" s="10" t="str">
        <f ca="1">IFERROR(__xludf.DUMMYFUNCTION("""COMPUTED_VALUE"""),"Predios Exentos")</f>
        <v>Predios Exentos</v>
      </c>
      <c r="N432" s="1"/>
      <c r="O432" s="1"/>
      <c r="P432" s="1"/>
      <c r="Q432" s="1"/>
      <c r="R432" s="1"/>
      <c r="S432" s="1"/>
      <c r="T432" s="1"/>
      <c r="U432" s="1"/>
      <c r="V432" s="1"/>
      <c r="W432" s="1"/>
      <c r="X432" s="1"/>
      <c r="Y432" s="1"/>
      <c r="Z432" s="1"/>
    </row>
    <row r="433" spans="1:26" ht="12.75" customHeight="1">
      <c r="A433" s="1"/>
      <c r="B433" s="10" t="str">
        <f ca="1">IFERROR(__xludf.DUMMYFUNCTION("""COMPUTED_VALUE"""),"Compensación Predios Exentos 2024")</f>
        <v>Compensación Predios Exentos 2024</v>
      </c>
      <c r="C433" s="26" t="str">
        <f t="shared" ca="1" si="0"/>
        <v xml:space="preserve"> LONQUIMAY</v>
      </c>
      <c r="D433" s="10" t="str">
        <f ca="1">IFERROR(__xludf.DUMMYFUNCTION("""COMPUTED_VALUE"""),"Resolución de Transferencia")</f>
        <v>Resolución de Transferencia</v>
      </c>
      <c r="E433" s="26" t="str">
        <f ca="1">IFERROR(__xludf.DUMMYFUNCTION("""COMPUTED_VALUE"""),"MUNICIPALIDAD DE LONQUIMAY")</f>
        <v>MUNICIPALIDAD DE LONQUIMAY</v>
      </c>
      <c r="F433" s="11">
        <f ca="1">IFERROR(__xludf.DUMMYFUNCTION("""COMPUTED_VALUE"""),49007071)</f>
        <v>49007071</v>
      </c>
      <c r="G433" s="10" t="str">
        <f ca="1">IFERROR(__xludf.DUMMYFUNCTION("""COMPUTED_VALUE"""),"Resolución")</f>
        <v>Resolución</v>
      </c>
      <c r="H433" s="10" t="str">
        <f ca="1">IFERROR(__xludf.DUMMYFUNCTION("""COMPUTED_VALUE"""),"COMPENSACIÓN PREDIOS EXENTOS")</f>
        <v>COMPENSACIÓN PREDIOS EXENTOS</v>
      </c>
      <c r="I433" s="10" t="str">
        <f ca="1">IFERROR(__xludf.DUMMYFUNCTION("""COMPUTED_VALUE"""),"Cumplir con normativa y reglamentos internos del programa en base a los objetivos.")</f>
        <v>Cumplir con normativa y reglamentos internos del programa en base a los objetivos.</v>
      </c>
      <c r="J433" s="11">
        <f ca="1">IFERROR(__xludf.DUMMYFUNCTION("""COMPUTED_VALUE"""),49007071)</f>
        <v>49007071</v>
      </c>
      <c r="K433" s="27">
        <f ca="1">IFERROR(__xludf.DUMMYFUNCTION("""COMPUTED_VALUE"""),1)</f>
        <v>1</v>
      </c>
      <c r="L433" s="28" t="str">
        <f ca="1">IFERROR(__xludf.DUMMYFUNCTION("""COMPUTED_VALUE"""),"1/2024")</f>
        <v>1/2024</v>
      </c>
      <c r="M433" s="10" t="str">
        <f ca="1">IFERROR(__xludf.DUMMYFUNCTION("""COMPUTED_VALUE"""),"Predios Exentos")</f>
        <v>Predios Exentos</v>
      </c>
      <c r="N433" s="1"/>
      <c r="O433" s="1"/>
      <c r="P433" s="1"/>
      <c r="Q433" s="1"/>
      <c r="R433" s="1"/>
      <c r="S433" s="1"/>
      <c r="T433" s="1"/>
      <c r="U433" s="1"/>
      <c r="V433" s="1"/>
      <c r="W433" s="1"/>
      <c r="X433" s="1"/>
      <c r="Y433" s="1"/>
      <c r="Z433" s="1"/>
    </row>
    <row r="434" spans="1:26" ht="12.75" customHeight="1">
      <c r="A434" s="1"/>
      <c r="B434" s="10" t="str">
        <f ca="1">IFERROR(__xludf.DUMMYFUNCTION("""COMPUTED_VALUE"""),"Compensación Predios Exentos 2024")</f>
        <v>Compensación Predios Exentos 2024</v>
      </c>
      <c r="C434" s="26" t="str">
        <f t="shared" ca="1" si="0"/>
        <v xml:space="preserve"> QUINCHAO</v>
      </c>
      <c r="D434" s="10" t="str">
        <f ca="1">IFERROR(__xludf.DUMMYFUNCTION("""COMPUTED_VALUE"""),"Resolución de Transferencia")</f>
        <v>Resolución de Transferencia</v>
      </c>
      <c r="E434" s="26" t="str">
        <f ca="1">IFERROR(__xludf.DUMMYFUNCTION("""COMPUTED_VALUE"""),"MUNICIPALIDAD DE QUINCHAO")</f>
        <v>MUNICIPALIDAD DE QUINCHAO</v>
      </c>
      <c r="F434" s="11">
        <f ca="1">IFERROR(__xludf.DUMMYFUNCTION("""COMPUTED_VALUE"""),52292633)</f>
        <v>52292633</v>
      </c>
      <c r="G434" s="10" t="str">
        <f ca="1">IFERROR(__xludf.DUMMYFUNCTION("""COMPUTED_VALUE"""),"Resolución")</f>
        <v>Resolución</v>
      </c>
      <c r="H434" s="10" t="str">
        <f ca="1">IFERROR(__xludf.DUMMYFUNCTION("""COMPUTED_VALUE"""),"COMPENSACIÓN PREDIOS EXENTOS")</f>
        <v>COMPENSACIÓN PREDIOS EXENTOS</v>
      </c>
      <c r="I434" s="10" t="str">
        <f ca="1">IFERROR(__xludf.DUMMYFUNCTION("""COMPUTED_VALUE"""),"Cumplir con normativa y reglamentos internos del programa en base a los objetivos.")</f>
        <v>Cumplir con normativa y reglamentos internos del programa en base a los objetivos.</v>
      </c>
      <c r="J434" s="11">
        <f ca="1">IFERROR(__xludf.DUMMYFUNCTION("""COMPUTED_VALUE"""),52292633)</f>
        <v>52292633</v>
      </c>
      <c r="K434" s="27">
        <f ca="1">IFERROR(__xludf.DUMMYFUNCTION("""COMPUTED_VALUE"""),1)</f>
        <v>1</v>
      </c>
      <c r="L434" s="28" t="str">
        <f ca="1">IFERROR(__xludf.DUMMYFUNCTION("""COMPUTED_VALUE"""),"1/2024")</f>
        <v>1/2024</v>
      </c>
      <c r="M434" s="10" t="str">
        <f ca="1">IFERROR(__xludf.DUMMYFUNCTION("""COMPUTED_VALUE"""),"Predios Exentos")</f>
        <v>Predios Exentos</v>
      </c>
      <c r="N434" s="1"/>
      <c r="O434" s="1"/>
      <c r="P434" s="1"/>
      <c r="Q434" s="1"/>
      <c r="R434" s="1"/>
      <c r="S434" s="1"/>
      <c r="T434" s="1"/>
      <c r="U434" s="1"/>
      <c r="V434" s="1"/>
      <c r="W434" s="1"/>
      <c r="X434" s="1"/>
      <c r="Y434" s="1"/>
      <c r="Z434" s="1"/>
    </row>
    <row r="435" spans="1:26" ht="12.75" customHeight="1">
      <c r="A435" s="1"/>
      <c r="B435" s="10" t="str">
        <f ca="1">IFERROR(__xludf.DUMMYFUNCTION("""COMPUTED_VALUE"""),"Compensación Predios Exentos 2024")</f>
        <v>Compensación Predios Exentos 2024</v>
      </c>
      <c r="C435" s="26" t="str">
        <f t="shared" ca="1" si="0"/>
        <v xml:space="preserve"> COLCHANE</v>
      </c>
      <c r="D435" s="10" t="str">
        <f ca="1">IFERROR(__xludf.DUMMYFUNCTION("""COMPUTED_VALUE"""),"Resolución de Transferencia")</f>
        <v>Resolución de Transferencia</v>
      </c>
      <c r="E435" s="26" t="str">
        <f ca="1">IFERROR(__xludf.DUMMYFUNCTION("""COMPUTED_VALUE"""),"MUNICIPALIDAD DE COLCHANE")</f>
        <v>MUNICIPALIDAD DE COLCHANE</v>
      </c>
      <c r="F435" s="11">
        <f ca="1">IFERROR(__xludf.DUMMYFUNCTION("""COMPUTED_VALUE"""),9365386)</f>
        <v>9365386</v>
      </c>
      <c r="G435" s="10" t="str">
        <f ca="1">IFERROR(__xludf.DUMMYFUNCTION("""COMPUTED_VALUE"""),"Resolución")</f>
        <v>Resolución</v>
      </c>
      <c r="H435" s="10" t="str">
        <f ca="1">IFERROR(__xludf.DUMMYFUNCTION("""COMPUTED_VALUE"""),"COMPENSACIÓN PREDIOS EXENTOS")</f>
        <v>COMPENSACIÓN PREDIOS EXENTOS</v>
      </c>
      <c r="I435" s="10" t="str">
        <f ca="1">IFERROR(__xludf.DUMMYFUNCTION("""COMPUTED_VALUE"""),"Cumplir con normativa y reglamentos internos del programa en base a los objetivos.")</f>
        <v>Cumplir con normativa y reglamentos internos del programa en base a los objetivos.</v>
      </c>
      <c r="J435" s="11">
        <f ca="1">IFERROR(__xludf.DUMMYFUNCTION("""COMPUTED_VALUE"""),9365386)</f>
        <v>9365386</v>
      </c>
      <c r="K435" s="27">
        <f ca="1">IFERROR(__xludf.DUMMYFUNCTION("""COMPUTED_VALUE"""),1)</f>
        <v>1</v>
      </c>
      <c r="L435" s="28" t="str">
        <f ca="1">IFERROR(__xludf.DUMMYFUNCTION("""COMPUTED_VALUE"""),"1/2024")</f>
        <v>1/2024</v>
      </c>
      <c r="M435" s="10" t="str">
        <f ca="1">IFERROR(__xludf.DUMMYFUNCTION("""COMPUTED_VALUE"""),"Predios Exentos")</f>
        <v>Predios Exentos</v>
      </c>
      <c r="N435" s="1"/>
      <c r="O435" s="1"/>
      <c r="P435" s="1"/>
      <c r="Q435" s="1"/>
      <c r="R435" s="1"/>
      <c r="S435" s="1"/>
      <c r="T435" s="1"/>
      <c r="U435" s="1"/>
      <c r="V435" s="1"/>
      <c r="W435" s="1"/>
      <c r="X435" s="1"/>
      <c r="Y435" s="1"/>
      <c r="Z435" s="1"/>
    </row>
    <row r="436" spans="1:26" ht="12.75" customHeight="1">
      <c r="A436" s="1"/>
      <c r="B436" s="10" t="str">
        <f ca="1">IFERROR(__xludf.DUMMYFUNCTION("""COMPUTED_VALUE"""),"Compensación Predios Exentos 2024")</f>
        <v>Compensación Predios Exentos 2024</v>
      </c>
      <c r="C436" s="26" t="str">
        <f t="shared" ca="1" si="0"/>
        <v xml:space="preserve"> LAGUNA BLANCA</v>
      </c>
      <c r="D436" s="10" t="str">
        <f ca="1">IFERROR(__xludf.DUMMYFUNCTION("""COMPUTED_VALUE"""),"Resolución de Transferencia")</f>
        <v>Resolución de Transferencia</v>
      </c>
      <c r="E436" s="26" t="str">
        <f ca="1">IFERROR(__xludf.DUMMYFUNCTION("""COMPUTED_VALUE"""),"MUNICIPALIDAD DE LAGUNA BLANCA")</f>
        <v>MUNICIPALIDAD DE LAGUNA BLANCA</v>
      </c>
      <c r="F436" s="11">
        <f ca="1">IFERROR(__xludf.DUMMYFUNCTION("""COMPUTED_VALUE"""),808596)</f>
        <v>808596</v>
      </c>
      <c r="G436" s="10" t="str">
        <f ca="1">IFERROR(__xludf.DUMMYFUNCTION("""COMPUTED_VALUE"""),"Resolución")</f>
        <v>Resolución</v>
      </c>
      <c r="H436" s="10" t="str">
        <f ca="1">IFERROR(__xludf.DUMMYFUNCTION("""COMPUTED_VALUE"""),"COMPENSACIÓN PREDIOS EXENTOS")</f>
        <v>COMPENSACIÓN PREDIOS EXENTOS</v>
      </c>
      <c r="I436" s="10" t="str">
        <f ca="1">IFERROR(__xludf.DUMMYFUNCTION("""COMPUTED_VALUE"""),"Cumplir con normativa y reglamentos internos del programa en base a los objetivos.")</f>
        <v>Cumplir con normativa y reglamentos internos del programa en base a los objetivos.</v>
      </c>
      <c r="J436" s="11">
        <f ca="1">IFERROR(__xludf.DUMMYFUNCTION("""COMPUTED_VALUE"""),808596)</f>
        <v>808596</v>
      </c>
      <c r="K436" s="27">
        <f ca="1">IFERROR(__xludf.DUMMYFUNCTION("""COMPUTED_VALUE"""),1)</f>
        <v>1</v>
      </c>
      <c r="L436" s="28" t="str">
        <f ca="1">IFERROR(__xludf.DUMMYFUNCTION("""COMPUTED_VALUE"""),"1/2024")</f>
        <v>1/2024</v>
      </c>
      <c r="M436" s="10" t="str">
        <f ca="1">IFERROR(__xludf.DUMMYFUNCTION("""COMPUTED_VALUE"""),"Predios Exentos")</f>
        <v>Predios Exentos</v>
      </c>
      <c r="N436" s="1"/>
      <c r="O436" s="1"/>
      <c r="P436" s="1"/>
      <c r="Q436" s="1"/>
      <c r="R436" s="1"/>
      <c r="S436" s="1"/>
      <c r="T436" s="1"/>
      <c r="U436" s="1"/>
      <c r="V436" s="1"/>
      <c r="W436" s="1"/>
      <c r="X436" s="1"/>
      <c r="Y436" s="1"/>
      <c r="Z436" s="1"/>
    </row>
    <row r="437" spans="1:26" ht="12.75" customHeight="1">
      <c r="A437" s="1"/>
      <c r="B437" s="10" t="str">
        <f ca="1">IFERROR(__xludf.DUMMYFUNCTION("""COMPUTED_VALUE"""),"Compensación Predios Exentos 2024")</f>
        <v>Compensación Predios Exentos 2024</v>
      </c>
      <c r="C437" s="26" t="str">
        <f t="shared" ca="1" si="0"/>
        <v xml:space="preserve"> RÍO VERDE</v>
      </c>
      <c r="D437" s="10" t="str">
        <f ca="1">IFERROR(__xludf.DUMMYFUNCTION("""COMPUTED_VALUE"""),"Resolución de Transferencia")</f>
        <v>Resolución de Transferencia</v>
      </c>
      <c r="E437" s="26" t="str">
        <f ca="1">IFERROR(__xludf.DUMMYFUNCTION("""COMPUTED_VALUE"""),"MUNICIPALIDAD DE RÍO VERDE")</f>
        <v>MUNICIPALIDAD DE RÍO VERDE</v>
      </c>
      <c r="F437" s="11">
        <f ca="1">IFERROR(__xludf.DUMMYFUNCTION("""COMPUTED_VALUE"""),777890)</f>
        <v>777890</v>
      </c>
      <c r="G437" s="10" t="str">
        <f ca="1">IFERROR(__xludf.DUMMYFUNCTION("""COMPUTED_VALUE"""),"Resolución")</f>
        <v>Resolución</v>
      </c>
      <c r="H437" s="10" t="str">
        <f ca="1">IFERROR(__xludf.DUMMYFUNCTION("""COMPUTED_VALUE"""),"COMPENSACIÓN PREDIOS EXENTOS")</f>
        <v>COMPENSACIÓN PREDIOS EXENTOS</v>
      </c>
      <c r="I437" s="10" t="str">
        <f ca="1">IFERROR(__xludf.DUMMYFUNCTION("""COMPUTED_VALUE"""),"Cumplir con normativa y reglamentos internos del programa en base a los objetivos.")</f>
        <v>Cumplir con normativa y reglamentos internos del programa en base a los objetivos.</v>
      </c>
      <c r="J437" s="11">
        <f ca="1">IFERROR(__xludf.DUMMYFUNCTION("""COMPUTED_VALUE"""),777890)</f>
        <v>777890</v>
      </c>
      <c r="K437" s="27">
        <f ca="1">IFERROR(__xludf.DUMMYFUNCTION("""COMPUTED_VALUE"""),1)</f>
        <v>1</v>
      </c>
      <c r="L437" s="28" t="str">
        <f ca="1">IFERROR(__xludf.DUMMYFUNCTION("""COMPUTED_VALUE"""),"1/2024")</f>
        <v>1/2024</v>
      </c>
      <c r="M437" s="10" t="str">
        <f ca="1">IFERROR(__xludf.DUMMYFUNCTION("""COMPUTED_VALUE"""),"Predios Exentos")</f>
        <v>Predios Exentos</v>
      </c>
      <c r="N437" s="1"/>
      <c r="O437" s="1"/>
      <c r="P437" s="1"/>
      <c r="Q437" s="1"/>
      <c r="R437" s="1"/>
      <c r="S437" s="1"/>
      <c r="T437" s="1"/>
      <c r="U437" s="1"/>
      <c r="V437" s="1"/>
      <c r="W437" s="1"/>
      <c r="X437" s="1"/>
      <c r="Y437" s="1"/>
      <c r="Z437" s="1"/>
    </row>
    <row r="438" spans="1:26" ht="12.75" customHeight="1">
      <c r="A438" s="1"/>
      <c r="B438" s="10" t="str">
        <f ca="1">IFERROR(__xludf.DUMMYFUNCTION("""COMPUTED_VALUE"""),"Compensación Predios Exentos 2024")</f>
        <v>Compensación Predios Exentos 2024</v>
      </c>
      <c r="C438" s="26" t="str">
        <f t="shared" ca="1" si="0"/>
        <v xml:space="preserve"> HUALAIHUÉ</v>
      </c>
      <c r="D438" s="10" t="str">
        <f ca="1">IFERROR(__xludf.DUMMYFUNCTION("""COMPUTED_VALUE"""),"Resolución de Transferencia")</f>
        <v>Resolución de Transferencia</v>
      </c>
      <c r="E438" s="26" t="str">
        <f ca="1">IFERROR(__xludf.DUMMYFUNCTION("""COMPUTED_VALUE"""),"MUNICIPALIDAD DE HUALAIHUÉ")</f>
        <v>MUNICIPALIDAD DE HUALAIHUÉ</v>
      </c>
      <c r="F438" s="11">
        <f ca="1">IFERROR(__xludf.DUMMYFUNCTION("""COMPUTED_VALUE"""),36028590)</f>
        <v>36028590</v>
      </c>
      <c r="G438" s="10" t="str">
        <f ca="1">IFERROR(__xludf.DUMMYFUNCTION("""COMPUTED_VALUE"""),"Resolución")</f>
        <v>Resolución</v>
      </c>
      <c r="H438" s="10" t="str">
        <f ca="1">IFERROR(__xludf.DUMMYFUNCTION("""COMPUTED_VALUE"""),"COMPENSACIÓN PREDIOS EXENTOS")</f>
        <v>COMPENSACIÓN PREDIOS EXENTOS</v>
      </c>
      <c r="I438" s="10" t="str">
        <f ca="1">IFERROR(__xludf.DUMMYFUNCTION("""COMPUTED_VALUE"""),"Cumplir con normativa y reglamentos internos del programa en base a los objetivos.")</f>
        <v>Cumplir con normativa y reglamentos internos del programa en base a los objetivos.</v>
      </c>
      <c r="J438" s="11">
        <f ca="1">IFERROR(__xludf.DUMMYFUNCTION("""COMPUTED_VALUE"""),36028590)</f>
        <v>36028590</v>
      </c>
      <c r="K438" s="27">
        <f ca="1">IFERROR(__xludf.DUMMYFUNCTION("""COMPUTED_VALUE"""),1)</f>
        <v>1</v>
      </c>
      <c r="L438" s="28" t="str">
        <f ca="1">IFERROR(__xludf.DUMMYFUNCTION("""COMPUTED_VALUE"""),"1/2024")</f>
        <v>1/2024</v>
      </c>
      <c r="M438" s="10" t="str">
        <f ca="1">IFERROR(__xludf.DUMMYFUNCTION("""COMPUTED_VALUE"""),"Predios Exentos")</f>
        <v>Predios Exentos</v>
      </c>
      <c r="N438" s="1"/>
      <c r="O438" s="1"/>
      <c r="P438" s="1"/>
      <c r="Q438" s="1"/>
      <c r="R438" s="1"/>
      <c r="S438" s="1"/>
      <c r="T438" s="1"/>
      <c r="U438" s="1"/>
      <c r="V438" s="1"/>
      <c r="W438" s="1"/>
      <c r="X438" s="1"/>
      <c r="Y438" s="1"/>
      <c r="Z438" s="1"/>
    </row>
    <row r="439" spans="1:26" ht="12.75" customHeight="1">
      <c r="A439" s="1"/>
      <c r="B439" s="10" t="str">
        <f ca="1">IFERROR(__xludf.DUMMYFUNCTION("""COMPUTED_VALUE"""),"Compensación Predios Exentos 2024")</f>
        <v>Compensación Predios Exentos 2024</v>
      </c>
      <c r="C439" s="26" t="str">
        <f t="shared" ca="1" si="0"/>
        <v xml:space="preserve"> TORTEL</v>
      </c>
      <c r="D439" s="10" t="str">
        <f ca="1">IFERROR(__xludf.DUMMYFUNCTION("""COMPUTED_VALUE"""),"Resolución de Transferencia")</f>
        <v>Resolución de Transferencia</v>
      </c>
      <c r="E439" s="26" t="str">
        <f ca="1">IFERROR(__xludf.DUMMYFUNCTION("""COMPUTED_VALUE"""),"MUNICIPALIDAD DE TORTEL")</f>
        <v>MUNICIPALIDAD DE TORTEL</v>
      </c>
      <c r="F439" s="11">
        <f ca="1">IFERROR(__xludf.DUMMYFUNCTION("""COMPUTED_VALUE"""),3060383)</f>
        <v>3060383</v>
      </c>
      <c r="G439" s="10" t="str">
        <f ca="1">IFERROR(__xludf.DUMMYFUNCTION("""COMPUTED_VALUE"""),"Resolución")</f>
        <v>Resolución</v>
      </c>
      <c r="H439" s="10" t="str">
        <f ca="1">IFERROR(__xludf.DUMMYFUNCTION("""COMPUTED_VALUE"""),"COMPENSACIÓN PREDIOS EXENTOS")</f>
        <v>COMPENSACIÓN PREDIOS EXENTOS</v>
      </c>
      <c r="I439" s="10" t="str">
        <f ca="1">IFERROR(__xludf.DUMMYFUNCTION("""COMPUTED_VALUE"""),"Cumplir con normativa y reglamentos internos del programa en base a los objetivos.")</f>
        <v>Cumplir con normativa y reglamentos internos del programa en base a los objetivos.</v>
      </c>
      <c r="J439" s="11">
        <f ca="1">IFERROR(__xludf.DUMMYFUNCTION("""COMPUTED_VALUE"""),3060383)</f>
        <v>3060383</v>
      </c>
      <c r="K439" s="27">
        <f ca="1">IFERROR(__xludf.DUMMYFUNCTION("""COMPUTED_VALUE"""),1)</f>
        <v>1</v>
      </c>
      <c r="L439" s="28" t="str">
        <f ca="1">IFERROR(__xludf.DUMMYFUNCTION("""COMPUTED_VALUE"""),"1/2024")</f>
        <v>1/2024</v>
      </c>
      <c r="M439" s="10" t="str">
        <f ca="1">IFERROR(__xludf.DUMMYFUNCTION("""COMPUTED_VALUE"""),"Predios Exentos")</f>
        <v>Predios Exentos</v>
      </c>
      <c r="N439" s="1"/>
      <c r="O439" s="1"/>
      <c r="P439" s="1"/>
      <c r="Q439" s="1"/>
      <c r="R439" s="1"/>
      <c r="S439" s="1"/>
      <c r="T439" s="1"/>
      <c r="U439" s="1"/>
      <c r="V439" s="1"/>
      <c r="W439" s="1"/>
      <c r="X439" s="1"/>
      <c r="Y439" s="1"/>
      <c r="Z439" s="1"/>
    </row>
    <row r="440" spans="1:26" ht="12.75" customHeight="1">
      <c r="A440" s="1"/>
      <c r="B440" s="10" t="str">
        <f ca="1">IFERROR(__xludf.DUMMYFUNCTION("""COMPUTED_VALUE"""),"Compensación Predios Exentos 2024")</f>
        <v>Compensación Predios Exentos 2024</v>
      </c>
      <c r="C440" s="26" t="str">
        <f t="shared" ca="1" si="0"/>
        <v xml:space="preserve"> PEÑALOLÉN</v>
      </c>
      <c r="D440" s="10" t="str">
        <f ca="1">IFERROR(__xludf.DUMMYFUNCTION("""COMPUTED_VALUE"""),"Resolución de Transferencia")</f>
        <v>Resolución de Transferencia</v>
      </c>
      <c r="E440" s="26" t="str">
        <f ca="1">IFERROR(__xludf.DUMMYFUNCTION("""COMPUTED_VALUE"""),"MUNICIPALIDAD DE PEÑALOLÉN")</f>
        <v>MUNICIPALIDAD DE PEÑALOLÉN</v>
      </c>
      <c r="F440" s="11">
        <f ca="1">IFERROR(__xludf.DUMMYFUNCTION("""COMPUTED_VALUE"""),416007392)</f>
        <v>416007392</v>
      </c>
      <c r="G440" s="10" t="str">
        <f ca="1">IFERROR(__xludf.DUMMYFUNCTION("""COMPUTED_VALUE"""),"Resolución")</f>
        <v>Resolución</v>
      </c>
      <c r="H440" s="10" t="str">
        <f ca="1">IFERROR(__xludf.DUMMYFUNCTION("""COMPUTED_VALUE"""),"COMPENSACIÓN PREDIOS EXENTOS")</f>
        <v>COMPENSACIÓN PREDIOS EXENTOS</v>
      </c>
      <c r="I440" s="10" t="str">
        <f ca="1">IFERROR(__xludf.DUMMYFUNCTION("""COMPUTED_VALUE"""),"Cumplir con normativa y reglamentos internos del programa en base a los objetivos.")</f>
        <v>Cumplir con normativa y reglamentos internos del programa en base a los objetivos.</v>
      </c>
      <c r="J440" s="11">
        <f ca="1">IFERROR(__xludf.DUMMYFUNCTION("""COMPUTED_VALUE"""),416007392)</f>
        <v>416007392</v>
      </c>
      <c r="K440" s="27">
        <f ca="1">IFERROR(__xludf.DUMMYFUNCTION("""COMPUTED_VALUE"""),1)</f>
        <v>1</v>
      </c>
      <c r="L440" s="28" t="str">
        <f ca="1">IFERROR(__xludf.DUMMYFUNCTION("""COMPUTED_VALUE"""),"1/2024")</f>
        <v>1/2024</v>
      </c>
      <c r="M440" s="10" t="str">
        <f ca="1">IFERROR(__xludf.DUMMYFUNCTION("""COMPUTED_VALUE"""),"Predios Exentos")</f>
        <v>Predios Exentos</v>
      </c>
      <c r="N440" s="1"/>
      <c r="O440" s="1"/>
      <c r="P440" s="1"/>
      <c r="Q440" s="1"/>
      <c r="R440" s="1"/>
      <c r="S440" s="1"/>
      <c r="T440" s="1"/>
      <c r="U440" s="1"/>
      <c r="V440" s="1"/>
      <c r="W440" s="1"/>
      <c r="X440" s="1"/>
      <c r="Y440" s="1"/>
      <c r="Z440" s="1"/>
    </row>
    <row r="441" spans="1:26" ht="12.75" customHeight="1">
      <c r="A441" s="1"/>
      <c r="B441" s="10" t="str">
        <f ca="1">IFERROR(__xludf.DUMMYFUNCTION("""COMPUTED_VALUE"""),"Compensación Predios Exentos 2024")</f>
        <v>Compensación Predios Exentos 2024</v>
      </c>
      <c r="C441" s="26" t="str">
        <f t="shared" ca="1" si="0"/>
        <v xml:space="preserve"> LO PRADO</v>
      </c>
      <c r="D441" s="10" t="str">
        <f ca="1">IFERROR(__xludf.DUMMYFUNCTION("""COMPUTED_VALUE"""),"Resolución de Transferencia")</f>
        <v>Resolución de Transferencia</v>
      </c>
      <c r="E441" s="26" t="str">
        <f ca="1">IFERROR(__xludf.DUMMYFUNCTION("""COMPUTED_VALUE"""),"MUNICIPALIDAD DE LO PRADO")</f>
        <v>MUNICIPALIDAD DE LO PRADO</v>
      </c>
      <c r="F441" s="11">
        <f ca="1">IFERROR(__xludf.DUMMYFUNCTION("""COMPUTED_VALUE"""),243100865)</f>
        <v>243100865</v>
      </c>
      <c r="G441" s="10" t="str">
        <f ca="1">IFERROR(__xludf.DUMMYFUNCTION("""COMPUTED_VALUE"""),"Resolución")</f>
        <v>Resolución</v>
      </c>
      <c r="H441" s="10" t="str">
        <f ca="1">IFERROR(__xludf.DUMMYFUNCTION("""COMPUTED_VALUE"""),"COMPENSACIÓN PREDIOS EXENTOS")</f>
        <v>COMPENSACIÓN PREDIOS EXENTOS</v>
      </c>
      <c r="I441" s="10" t="str">
        <f ca="1">IFERROR(__xludf.DUMMYFUNCTION("""COMPUTED_VALUE"""),"Cumplir con normativa y reglamentos internos del programa en base a los objetivos.")</f>
        <v>Cumplir con normativa y reglamentos internos del programa en base a los objetivos.</v>
      </c>
      <c r="J441" s="11">
        <f ca="1">IFERROR(__xludf.DUMMYFUNCTION("""COMPUTED_VALUE"""),243100865)</f>
        <v>243100865</v>
      </c>
      <c r="K441" s="27">
        <f ca="1">IFERROR(__xludf.DUMMYFUNCTION("""COMPUTED_VALUE"""),1)</f>
        <v>1</v>
      </c>
      <c r="L441" s="28" t="str">
        <f ca="1">IFERROR(__xludf.DUMMYFUNCTION("""COMPUTED_VALUE"""),"1/2024")</f>
        <v>1/2024</v>
      </c>
      <c r="M441" s="10" t="str">
        <f ca="1">IFERROR(__xludf.DUMMYFUNCTION("""COMPUTED_VALUE"""),"Predios Exentos")</f>
        <v>Predios Exentos</v>
      </c>
      <c r="N441" s="1"/>
      <c r="O441" s="1"/>
      <c r="P441" s="1"/>
      <c r="Q441" s="1"/>
      <c r="R441" s="1"/>
      <c r="S441" s="1"/>
      <c r="T441" s="1"/>
      <c r="U441" s="1"/>
      <c r="V441" s="1"/>
      <c r="W441" s="1"/>
      <c r="X441" s="1"/>
      <c r="Y441" s="1"/>
      <c r="Z441" s="1"/>
    </row>
    <row r="442" spans="1:26" ht="12.75" customHeight="1">
      <c r="A442" s="1"/>
      <c r="B442" s="10" t="str">
        <f ca="1">IFERROR(__xludf.DUMMYFUNCTION("""COMPUTED_VALUE"""),"Compensación Predios Exentos 2024")</f>
        <v>Compensación Predios Exentos 2024</v>
      </c>
      <c r="C442" s="26" t="str">
        <f t="shared" ca="1" si="0"/>
        <v xml:space="preserve"> LA REINA</v>
      </c>
      <c r="D442" s="10" t="str">
        <f ca="1">IFERROR(__xludf.DUMMYFUNCTION("""COMPUTED_VALUE"""),"Resolución de Transferencia")</f>
        <v>Resolución de Transferencia</v>
      </c>
      <c r="E442" s="26" t="str">
        <f ca="1">IFERROR(__xludf.DUMMYFUNCTION("""COMPUTED_VALUE"""),"MUNICIPALIDAD DE LA REINA")</f>
        <v>MUNICIPALIDAD DE LA REINA</v>
      </c>
      <c r="F442" s="11">
        <f ca="1">IFERROR(__xludf.DUMMYFUNCTION("""COMPUTED_VALUE"""),84175888)</f>
        <v>84175888</v>
      </c>
      <c r="G442" s="10" t="str">
        <f ca="1">IFERROR(__xludf.DUMMYFUNCTION("""COMPUTED_VALUE"""),"Resolución")</f>
        <v>Resolución</v>
      </c>
      <c r="H442" s="10" t="str">
        <f ca="1">IFERROR(__xludf.DUMMYFUNCTION("""COMPUTED_VALUE"""),"COMPENSACIÓN PREDIOS EXENTOS")</f>
        <v>COMPENSACIÓN PREDIOS EXENTOS</v>
      </c>
      <c r="I442" s="10" t="str">
        <f ca="1">IFERROR(__xludf.DUMMYFUNCTION("""COMPUTED_VALUE"""),"Cumplir con normativa y reglamentos internos del programa en base a los objetivos.")</f>
        <v>Cumplir con normativa y reglamentos internos del programa en base a los objetivos.</v>
      </c>
      <c r="J442" s="11">
        <f ca="1">IFERROR(__xludf.DUMMYFUNCTION("""COMPUTED_VALUE"""),84175888)</f>
        <v>84175888</v>
      </c>
      <c r="K442" s="27">
        <f ca="1">IFERROR(__xludf.DUMMYFUNCTION("""COMPUTED_VALUE"""),1)</f>
        <v>1</v>
      </c>
      <c r="L442" s="28" t="str">
        <f ca="1">IFERROR(__xludf.DUMMYFUNCTION("""COMPUTED_VALUE"""),"1/2024")</f>
        <v>1/2024</v>
      </c>
      <c r="M442" s="10" t="str">
        <f ca="1">IFERROR(__xludf.DUMMYFUNCTION("""COMPUTED_VALUE"""),"Predios Exentos")</f>
        <v>Predios Exentos</v>
      </c>
      <c r="N442" s="1"/>
      <c r="O442" s="1"/>
      <c r="P442" s="1"/>
      <c r="Q442" s="1"/>
      <c r="R442" s="1"/>
      <c r="S442" s="1"/>
      <c r="T442" s="1"/>
      <c r="U442" s="1"/>
      <c r="V442" s="1"/>
      <c r="W442" s="1"/>
      <c r="X442" s="1"/>
      <c r="Y442" s="1"/>
      <c r="Z442" s="1"/>
    </row>
    <row r="443" spans="1:26" ht="12.75" customHeight="1">
      <c r="A443" s="1"/>
      <c r="B443" s="10" t="str">
        <f ca="1">IFERROR(__xludf.DUMMYFUNCTION("""COMPUTED_VALUE"""),"Compensación Predios Exentos 2024")</f>
        <v>Compensación Predios Exentos 2024</v>
      </c>
      <c r="C443" s="26" t="str">
        <f t="shared" ca="1" si="0"/>
        <v xml:space="preserve"> PEÑAFLOR</v>
      </c>
      <c r="D443" s="10" t="str">
        <f ca="1">IFERROR(__xludf.DUMMYFUNCTION("""COMPUTED_VALUE"""),"Resolución de Transferencia")</f>
        <v>Resolución de Transferencia</v>
      </c>
      <c r="E443" s="26" t="str">
        <f ca="1">IFERROR(__xludf.DUMMYFUNCTION("""COMPUTED_VALUE"""),"MUNICIPALIDAD DE PEÑAFLOR")</f>
        <v>MUNICIPALIDAD DE PEÑAFLOR</v>
      </c>
      <c r="F443" s="11">
        <f ca="1">IFERROR(__xludf.DUMMYFUNCTION("""COMPUTED_VALUE"""),218935098)</f>
        <v>218935098</v>
      </c>
      <c r="G443" s="10" t="str">
        <f ca="1">IFERROR(__xludf.DUMMYFUNCTION("""COMPUTED_VALUE"""),"Resolución")</f>
        <v>Resolución</v>
      </c>
      <c r="H443" s="10" t="str">
        <f ca="1">IFERROR(__xludf.DUMMYFUNCTION("""COMPUTED_VALUE"""),"COMPENSACIÓN PREDIOS EXENTOS")</f>
        <v>COMPENSACIÓN PREDIOS EXENTOS</v>
      </c>
      <c r="I443" s="10" t="str">
        <f ca="1">IFERROR(__xludf.DUMMYFUNCTION("""COMPUTED_VALUE"""),"Cumplir con normativa y reglamentos internos del programa en base a los objetivos.")</f>
        <v>Cumplir con normativa y reglamentos internos del programa en base a los objetivos.</v>
      </c>
      <c r="J443" s="11">
        <f ca="1">IFERROR(__xludf.DUMMYFUNCTION("""COMPUTED_VALUE"""),218935098)</f>
        <v>218935098</v>
      </c>
      <c r="K443" s="27">
        <f ca="1">IFERROR(__xludf.DUMMYFUNCTION("""COMPUTED_VALUE"""),1)</f>
        <v>1</v>
      </c>
      <c r="L443" s="28" t="str">
        <f ca="1">IFERROR(__xludf.DUMMYFUNCTION("""COMPUTED_VALUE"""),"1/2024")</f>
        <v>1/2024</v>
      </c>
      <c r="M443" s="10" t="str">
        <f ca="1">IFERROR(__xludf.DUMMYFUNCTION("""COMPUTED_VALUE"""),"Predios Exentos")</f>
        <v>Predios Exentos</v>
      </c>
      <c r="N443" s="1"/>
      <c r="O443" s="1"/>
      <c r="P443" s="1"/>
      <c r="Q443" s="1"/>
      <c r="R443" s="1"/>
      <c r="S443" s="1"/>
      <c r="T443" s="1"/>
      <c r="U443" s="1"/>
      <c r="V443" s="1"/>
      <c r="W443" s="1"/>
      <c r="X443" s="1"/>
      <c r="Y443" s="1"/>
      <c r="Z443" s="1"/>
    </row>
    <row r="444" spans="1:26" ht="12.75" customHeight="1">
      <c r="A444" s="1"/>
      <c r="B444" s="10" t="str">
        <f ca="1">IFERROR(__xludf.DUMMYFUNCTION("""COMPUTED_VALUE"""),"Compensación Predios Exentos 2024")</f>
        <v>Compensación Predios Exentos 2024</v>
      </c>
      <c r="C444" s="26" t="str">
        <f t="shared" ca="1" si="0"/>
        <v xml:space="preserve"> CALERA DE TANGO</v>
      </c>
      <c r="D444" s="10" t="str">
        <f ca="1">IFERROR(__xludf.DUMMYFUNCTION("""COMPUTED_VALUE"""),"Resolución de Transferencia")</f>
        <v>Resolución de Transferencia</v>
      </c>
      <c r="E444" s="26" t="str">
        <f ca="1">IFERROR(__xludf.DUMMYFUNCTION("""COMPUTED_VALUE"""),"MUNICIPALIDAD DE CALERA DE TANGO")</f>
        <v>MUNICIPALIDAD DE CALERA DE TANGO</v>
      </c>
      <c r="F444" s="11">
        <f ca="1">IFERROR(__xludf.DUMMYFUNCTION("""COMPUTED_VALUE"""),33653979)</f>
        <v>33653979</v>
      </c>
      <c r="G444" s="10" t="str">
        <f ca="1">IFERROR(__xludf.DUMMYFUNCTION("""COMPUTED_VALUE"""),"Resolución")</f>
        <v>Resolución</v>
      </c>
      <c r="H444" s="10" t="str">
        <f ca="1">IFERROR(__xludf.DUMMYFUNCTION("""COMPUTED_VALUE"""),"COMPENSACIÓN PREDIOS EXENTOS")</f>
        <v>COMPENSACIÓN PREDIOS EXENTOS</v>
      </c>
      <c r="I444" s="10" t="str">
        <f ca="1">IFERROR(__xludf.DUMMYFUNCTION("""COMPUTED_VALUE"""),"Cumplir con normativa y reglamentos internos del programa en base a los objetivos.")</f>
        <v>Cumplir con normativa y reglamentos internos del programa en base a los objetivos.</v>
      </c>
      <c r="J444" s="11">
        <f ca="1">IFERROR(__xludf.DUMMYFUNCTION("""COMPUTED_VALUE"""),33653979)</f>
        <v>33653979</v>
      </c>
      <c r="K444" s="27">
        <f ca="1">IFERROR(__xludf.DUMMYFUNCTION("""COMPUTED_VALUE"""),1)</f>
        <v>1</v>
      </c>
      <c r="L444" s="28" t="str">
        <f ca="1">IFERROR(__xludf.DUMMYFUNCTION("""COMPUTED_VALUE"""),"1/2024")</f>
        <v>1/2024</v>
      </c>
      <c r="M444" s="10" t="str">
        <f ca="1">IFERROR(__xludf.DUMMYFUNCTION("""COMPUTED_VALUE"""),"Predios Exentos")</f>
        <v>Predios Exentos</v>
      </c>
      <c r="N444" s="1"/>
      <c r="O444" s="1"/>
      <c r="P444" s="1"/>
      <c r="Q444" s="1"/>
      <c r="R444" s="1"/>
      <c r="S444" s="1"/>
      <c r="T444" s="1"/>
      <c r="U444" s="1"/>
      <c r="V444" s="1"/>
      <c r="W444" s="1"/>
      <c r="X444" s="1"/>
      <c r="Y444" s="1"/>
      <c r="Z444" s="1"/>
    </row>
    <row r="445" spans="1:26" ht="12.75" customHeight="1">
      <c r="A445" s="1"/>
      <c r="B445" s="10" t="str">
        <f ca="1">IFERROR(__xludf.DUMMYFUNCTION("""COMPUTED_VALUE"""),"Compensación Predios Exentos 2024")</f>
        <v>Compensación Predios Exentos 2024</v>
      </c>
      <c r="C445" s="26" t="str">
        <f t="shared" ca="1" si="0"/>
        <v xml:space="preserve"> NAVIDAD</v>
      </c>
      <c r="D445" s="10" t="str">
        <f ca="1">IFERROR(__xludf.DUMMYFUNCTION("""COMPUTED_VALUE"""),"Resolución de Transferencia")</f>
        <v>Resolución de Transferencia</v>
      </c>
      <c r="E445" s="26" t="str">
        <f ca="1">IFERROR(__xludf.DUMMYFUNCTION("""COMPUTED_VALUE"""),"MUNICIPALIDAD DE NAVIDAD")</f>
        <v>MUNICIPALIDAD DE NAVIDAD</v>
      </c>
      <c r="F445" s="11">
        <f ca="1">IFERROR(__xludf.DUMMYFUNCTION("""COMPUTED_VALUE"""),54196416)</f>
        <v>54196416</v>
      </c>
      <c r="G445" s="10" t="str">
        <f ca="1">IFERROR(__xludf.DUMMYFUNCTION("""COMPUTED_VALUE"""),"Resolución")</f>
        <v>Resolución</v>
      </c>
      <c r="H445" s="10" t="str">
        <f ca="1">IFERROR(__xludf.DUMMYFUNCTION("""COMPUTED_VALUE"""),"COMPENSACIÓN PREDIOS EXENTOS")</f>
        <v>COMPENSACIÓN PREDIOS EXENTOS</v>
      </c>
      <c r="I445" s="10" t="str">
        <f ca="1">IFERROR(__xludf.DUMMYFUNCTION("""COMPUTED_VALUE"""),"Cumplir con normativa y reglamentos internos del programa en base a los objetivos.")</f>
        <v>Cumplir con normativa y reglamentos internos del programa en base a los objetivos.</v>
      </c>
      <c r="J445" s="11">
        <f ca="1">IFERROR(__xludf.DUMMYFUNCTION("""COMPUTED_VALUE"""),54196416)</f>
        <v>54196416</v>
      </c>
      <c r="K445" s="27">
        <f ca="1">IFERROR(__xludf.DUMMYFUNCTION("""COMPUTED_VALUE"""),1)</f>
        <v>1</v>
      </c>
      <c r="L445" s="28" t="str">
        <f ca="1">IFERROR(__xludf.DUMMYFUNCTION("""COMPUTED_VALUE"""),"1/2024")</f>
        <v>1/2024</v>
      </c>
      <c r="M445" s="10" t="str">
        <f ca="1">IFERROR(__xludf.DUMMYFUNCTION("""COMPUTED_VALUE"""),"Predios Exentos")</f>
        <v>Predios Exentos</v>
      </c>
      <c r="N445" s="1"/>
      <c r="O445" s="1"/>
      <c r="P445" s="1"/>
      <c r="Q445" s="1"/>
      <c r="R445" s="1"/>
      <c r="S445" s="1"/>
      <c r="T445" s="1"/>
      <c r="U445" s="1"/>
      <c r="V445" s="1"/>
      <c r="W445" s="1"/>
      <c r="X445" s="1"/>
      <c r="Y445" s="1"/>
      <c r="Z445" s="1"/>
    </row>
    <row r="446" spans="1:26" ht="12.75" customHeight="1">
      <c r="A446" s="1"/>
      <c r="B446" s="10" t="str">
        <f ca="1">IFERROR(__xludf.DUMMYFUNCTION("""COMPUTED_VALUE"""),"Compensación Predios Exentos 2024")</f>
        <v>Compensación Predios Exentos 2024</v>
      </c>
      <c r="C446" s="26" t="str">
        <f t="shared" ca="1" si="0"/>
        <v xml:space="preserve"> COLTAUCO</v>
      </c>
      <c r="D446" s="10" t="str">
        <f ca="1">IFERROR(__xludf.DUMMYFUNCTION("""COMPUTED_VALUE"""),"Resolución de Transferencia")</f>
        <v>Resolución de Transferencia</v>
      </c>
      <c r="E446" s="26" t="str">
        <f ca="1">IFERROR(__xludf.DUMMYFUNCTION("""COMPUTED_VALUE"""),"MUNICIPALIDAD DE COLTAUCO")</f>
        <v>MUNICIPALIDAD DE COLTAUCO</v>
      </c>
      <c r="F446" s="11">
        <f ca="1">IFERROR(__xludf.DUMMYFUNCTION("""COMPUTED_VALUE"""),83694825)</f>
        <v>83694825</v>
      </c>
      <c r="G446" s="10" t="str">
        <f ca="1">IFERROR(__xludf.DUMMYFUNCTION("""COMPUTED_VALUE"""),"Resolución")</f>
        <v>Resolución</v>
      </c>
      <c r="H446" s="10" t="str">
        <f ca="1">IFERROR(__xludf.DUMMYFUNCTION("""COMPUTED_VALUE"""),"COMPENSACIÓN PREDIOS EXENTOS")</f>
        <v>COMPENSACIÓN PREDIOS EXENTOS</v>
      </c>
      <c r="I446" s="10" t="str">
        <f ca="1">IFERROR(__xludf.DUMMYFUNCTION("""COMPUTED_VALUE"""),"Cumplir con normativa y reglamentos internos del programa en base a los objetivos.")</f>
        <v>Cumplir con normativa y reglamentos internos del programa en base a los objetivos.</v>
      </c>
      <c r="J446" s="11">
        <f ca="1">IFERROR(__xludf.DUMMYFUNCTION("""COMPUTED_VALUE"""),83694825)</f>
        <v>83694825</v>
      </c>
      <c r="K446" s="27">
        <f ca="1">IFERROR(__xludf.DUMMYFUNCTION("""COMPUTED_VALUE"""),1)</f>
        <v>1</v>
      </c>
      <c r="L446" s="28" t="str">
        <f ca="1">IFERROR(__xludf.DUMMYFUNCTION("""COMPUTED_VALUE"""),"1/2024")</f>
        <v>1/2024</v>
      </c>
      <c r="M446" s="10" t="str">
        <f ca="1">IFERROR(__xludf.DUMMYFUNCTION("""COMPUTED_VALUE"""),"Predios Exentos")</f>
        <v>Predios Exentos</v>
      </c>
      <c r="N446" s="1"/>
      <c r="O446" s="1"/>
      <c r="P446" s="1"/>
      <c r="Q446" s="1"/>
      <c r="R446" s="1"/>
      <c r="S446" s="1"/>
      <c r="T446" s="1"/>
      <c r="U446" s="1"/>
      <c r="V446" s="1"/>
      <c r="W446" s="1"/>
      <c r="X446" s="1"/>
      <c r="Y446" s="1"/>
      <c r="Z446" s="1"/>
    </row>
    <row r="447" spans="1:26" ht="12.75" customHeight="1">
      <c r="A447" s="1"/>
      <c r="B447" s="10" t="str">
        <f ca="1">IFERROR(__xludf.DUMMYFUNCTION("""COMPUTED_VALUE"""),"Compensación Predios Exentos 2024")</f>
        <v>Compensación Predios Exentos 2024</v>
      </c>
      <c r="C447" s="26" t="str">
        <f t="shared" ca="1" si="0"/>
        <v xml:space="preserve"> PUMANQUE</v>
      </c>
      <c r="D447" s="10" t="str">
        <f ca="1">IFERROR(__xludf.DUMMYFUNCTION("""COMPUTED_VALUE"""),"Resolución de Transferencia")</f>
        <v>Resolución de Transferencia</v>
      </c>
      <c r="E447" s="26" t="str">
        <f ca="1">IFERROR(__xludf.DUMMYFUNCTION("""COMPUTED_VALUE"""),"MUNICIPALIDAD DE PUMANQUE")</f>
        <v>MUNICIPALIDAD DE PUMANQUE</v>
      </c>
      <c r="F447" s="11">
        <f ca="1">IFERROR(__xludf.DUMMYFUNCTION("""COMPUTED_VALUE"""),21197503)</f>
        <v>21197503</v>
      </c>
      <c r="G447" s="10" t="str">
        <f ca="1">IFERROR(__xludf.DUMMYFUNCTION("""COMPUTED_VALUE"""),"Resolución")</f>
        <v>Resolución</v>
      </c>
      <c r="H447" s="10" t="str">
        <f ca="1">IFERROR(__xludf.DUMMYFUNCTION("""COMPUTED_VALUE"""),"COMPENSACIÓN PREDIOS EXENTOS")</f>
        <v>COMPENSACIÓN PREDIOS EXENTOS</v>
      </c>
      <c r="I447" s="10" t="str">
        <f ca="1">IFERROR(__xludf.DUMMYFUNCTION("""COMPUTED_VALUE"""),"Cumplir con normativa y reglamentos internos del programa en base a los objetivos.")</f>
        <v>Cumplir con normativa y reglamentos internos del programa en base a los objetivos.</v>
      </c>
      <c r="J447" s="11">
        <f ca="1">IFERROR(__xludf.DUMMYFUNCTION("""COMPUTED_VALUE"""),21197503)</f>
        <v>21197503</v>
      </c>
      <c r="K447" s="27">
        <f ca="1">IFERROR(__xludf.DUMMYFUNCTION("""COMPUTED_VALUE"""),1)</f>
        <v>1</v>
      </c>
      <c r="L447" s="28" t="str">
        <f ca="1">IFERROR(__xludf.DUMMYFUNCTION("""COMPUTED_VALUE"""),"1/2024")</f>
        <v>1/2024</v>
      </c>
      <c r="M447" s="10" t="str">
        <f ca="1">IFERROR(__xludf.DUMMYFUNCTION("""COMPUTED_VALUE"""),"Predios Exentos")</f>
        <v>Predios Exentos</v>
      </c>
      <c r="N447" s="1"/>
      <c r="O447" s="1"/>
      <c r="P447" s="1"/>
      <c r="Q447" s="1"/>
      <c r="R447" s="1"/>
      <c r="S447" s="1"/>
      <c r="T447" s="1"/>
      <c r="U447" s="1"/>
      <c r="V447" s="1"/>
      <c r="W447" s="1"/>
      <c r="X447" s="1"/>
      <c r="Y447" s="1"/>
      <c r="Z447" s="1"/>
    </row>
    <row r="448" spans="1:26" ht="12.75" customHeight="1">
      <c r="A448" s="1"/>
      <c r="B448" s="10" t="str">
        <f ca="1">IFERROR(__xludf.DUMMYFUNCTION("""COMPUTED_VALUE"""),"Compensación Predios Exentos 2024")</f>
        <v>Compensación Predios Exentos 2024</v>
      </c>
      <c r="C448" s="26" t="str">
        <f t="shared" ca="1" si="0"/>
        <v xml:space="preserve"> PAREDONES</v>
      </c>
      <c r="D448" s="10" t="str">
        <f ca="1">IFERROR(__xludf.DUMMYFUNCTION("""COMPUTED_VALUE"""),"Resolución de Transferencia")</f>
        <v>Resolución de Transferencia</v>
      </c>
      <c r="E448" s="26" t="str">
        <f ca="1">IFERROR(__xludf.DUMMYFUNCTION("""COMPUTED_VALUE"""),"MUNICIPALIDAD DE PAREDONES")</f>
        <v>MUNICIPALIDAD DE PAREDONES</v>
      </c>
      <c r="F448" s="11">
        <f ca="1">IFERROR(__xludf.DUMMYFUNCTION("""COMPUTED_VALUE"""),50562851)</f>
        <v>50562851</v>
      </c>
      <c r="G448" s="10" t="str">
        <f ca="1">IFERROR(__xludf.DUMMYFUNCTION("""COMPUTED_VALUE"""),"Resolución")</f>
        <v>Resolución</v>
      </c>
      <c r="H448" s="10" t="str">
        <f ca="1">IFERROR(__xludf.DUMMYFUNCTION("""COMPUTED_VALUE"""),"COMPENSACIÓN PREDIOS EXENTOS")</f>
        <v>COMPENSACIÓN PREDIOS EXENTOS</v>
      </c>
      <c r="I448" s="10" t="str">
        <f ca="1">IFERROR(__xludf.DUMMYFUNCTION("""COMPUTED_VALUE"""),"Cumplir con normativa y reglamentos internos del programa en base a los objetivos.")</f>
        <v>Cumplir con normativa y reglamentos internos del programa en base a los objetivos.</v>
      </c>
      <c r="J448" s="11">
        <f ca="1">IFERROR(__xludf.DUMMYFUNCTION("""COMPUTED_VALUE"""),50562851)</f>
        <v>50562851</v>
      </c>
      <c r="K448" s="27">
        <f ca="1">IFERROR(__xludf.DUMMYFUNCTION("""COMPUTED_VALUE"""),1)</f>
        <v>1</v>
      </c>
      <c r="L448" s="28" t="str">
        <f ca="1">IFERROR(__xludf.DUMMYFUNCTION("""COMPUTED_VALUE"""),"1/2024")</f>
        <v>1/2024</v>
      </c>
      <c r="M448" s="10" t="str">
        <f ca="1">IFERROR(__xludf.DUMMYFUNCTION("""COMPUTED_VALUE"""),"Predios Exentos")</f>
        <v>Predios Exentos</v>
      </c>
      <c r="N448" s="1"/>
      <c r="O448" s="1"/>
      <c r="P448" s="1"/>
      <c r="Q448" s="1"/>
      <c r="R448" s="1"/>
      <c r="S448" s="1"/>
      <c r="T448" s="1"/>
      <c r="U448" s="1"/>
      <c r="V448" s="1"/>
      <c r="W448" s="1"/>
      <c r="X448" s="1"/>
      <c r="Y448" s="1"/>
      <c r="Z448" s="1"/>
    </row>
    <row r="449" spans="1:26" ht="12.75" customHeight="1">
      <c r="A449" s="1"/>
      <c r="B449" s="10" t="str">
        <f ca="1">IFERROR(__xludf.DUMMYFUNCTION("""COMPUTED_VALUE"""),"Compensación Predios Exentos 2024")</f>
        <v>Compensación Predios Exentos 2024</v>
      </c>
      <c r="C449" s="26" t="str">
        <f t="shared" ca="1" si="0"/>
        <v xml:space="preserve"> PERALILLO</v>
      </c>
      <c r="D449" s="10" t="str">
        <f ca="1">IFERROR(__xludf.DUMMYFUNCTION("""COMPUTED_VALUE"""),"Resolución de Transferencia")</f>
        <v>Resolución de Transferencia</v>
      </c>
      <c r="E449" s="26" t="str">
        <f ca="1">IFERROR(__xludf.DUMMYFUNCTION("""COMPUTED_VALUE"""),"MUNICIPALIDAD DE PERALILLO")</f>
        <v>MUNICIPALIDAD DE PERALILLO</v>
      </c>
      <c r="F449" s="11">
        <f ca="1">IFERROR(__xludf.DUMMYFUNCTION("""COMPUTED_VALUE"""),43326427)</f>
        <v>43326427</v>
      </c>
      <c r="G449" s="10" t="str">
        <f ca="1">IFERROR(__xludf.DUMMYFUNCTION("""COMPUTED_VALUE"""),"Resolución")</f>
        <v>Resolución</v>
      </c>
      <c r="H449" s="10" t="str">
        <f ca="1">IFERROR(__xludf.DUMMYFUNCTION("""COMPUTED_VALUE"""),"COMPENSACIÓN PREDIOS EXENTOS")</f>
        <v>COMPENSACIÓN PREDIOS EXENTOS</v>
      </c>
      <c r="I449" s="10" t="str">
        <f ca="1">IFERROR(__xludf.DUMMYFUNCTION("""COMPUTED_VALUE"""),"Cumplir con normativa y reglamentos internos del programa en base a los objetivos.")</f>
        <v>Cumplir con normativa y reglamentos internos del programa en base a los objetivos.</v>
      </c>
      <c r="J449" s="11">
        <f ca="1">IFERROR(__xludf.DUMMYFUNCTION("""COMPUTED_VALUE"""),43326427)</f>
        <v>43326427</v>
      </c>
      <c r="K449" s="27">
        <f ca="1">IFERROR(__xludf.DUMMYFUNCTION("""COMPUTED_VALUE"""),1)</f>
        <v>1</v>
      </c>
      <c r="L449" s="28" t="str">
        <f ca="1">IFERROR(__xludf.DUMMYFUNCTION("""COMPUTED_VALUE"""),"1/2024")</f>
        <v>1/2024</v>
      </c>
      <c r="M449" s="10" t="str">
        <f ca="1">IFERROR(__xludf.DUMMYFUNCTION("""COMPUTED_VALUE"""),"Predios Exentos")</f>
        <v>Predios Exentos</v>
      </c>
      <c r="N449" s="1"/>
      <c r="O449" s="1"/>
      <c r="P449" s="1"/>
      <c r="Q449" s="1"/>
      <c r="R449" s="1"/>
      <c r="S449" s="1"/>
      <c r="T449" s="1"/>
      <c r="U449" s="1"/>
      <c r="V449" s="1"/>
      <c r="W449" s="1"/>
      <c r="X449" s="1"/>
      <c r="Y449" s="1"/>
      <c r="Z449" s="1"/>
    </row>
    <row r="450" spans="1:26" ht="12.75" customHeight="1">
      <c r="A450" s="1"/>
      <c r="B450" s="10" t="str">
        <f ca="1">IFERROR(__xludf.DUMMYFUNCTION("""COMPUTED_VALUE"""),"Compensación Predios Exentos 2024")</f>
        <v>Compensación Predios Exentos 2024</v>
      </c>
      <c r="C450" s="26" t="str">
        <f t="shared" ca="1" si="0"/>
        <v xml:space="preserve"> SAN ROSENDO</v>
      </c>
      <c r="D450" s="10" t="str">
        <f ca="1">IFERROR(__xludf.DUMMYFUNCTION("""COMPUTED_VALUE"""),"Resolución de Transferencia")</f>
        <v>Resolución de Transferencia</v>
      </c>
      <c r="E450" s="26" t="str">
        <f ca="1">IFERROR(__xludf.DUMMYFUNCTION("""COMPUTED_VALUE"""),"MUNICIPALIDAD DE SAN ROSENDO")</f>
        <v>MUNICIPALIDAD DE SAN ROSENDO</v>
      </c>
      <c r="F450" s="11">
        <f ca="1">IFERROR(__xludf.DUMMYFUNCTION("""COMPUTED_VALUE"""),21565977)</f>
        <v>21565977</v>
      </c>
      <c r="G450" s="10" t="str">
        <f ca="1">IFERROR(__xludf.DUMMYFUNCTION("""COMPUTED_VALUE"""),"Resolución")</f>
        <v>Resolución</v>
      </c>
      <c r="H450" s="10" t="str">
        <f ca="1">IFERROR(__xludf.DUMMYFUNCTION("""COMPUTED_VALUE"""),"COMPENSACIÓN PREDIOS EXENTOS")</f>
        <v>COMPENSACIÓN PREDIOS EXENTOS</v>
      </c>
      <c r="I450" s="10" t="str">
        <f ca="1">IFERROR(__xludf.DUMMYFUNCTION("""COMPUTED_VALUE"""),"Cumplir con normativa y reglamentos internos del programa en base a los objetivos.")</f>
        <v>Cumplir con normativa y reglamentos internos del programa en base a los objetivos.</v>
      </c>
      <c r="J450" s="11">
        <f ca="1">IFERROR(__xludf.DUMMYFUNCTION("""COMPUTED_VALUE"""),21565977)</f>
        <v>21565977</v>
      </c>
      <c r="K450" s="27">
        <f ca="1">IFERROR(__xludf.DUMMYFUNCTION("""COMPUTED_VALUE"""),1)</f>
        <v>1</v>
      </c>
      <c r="L450" s="28" t="str">
        <f ca="1">IFERROR(__xludf.DUMMYFUNCTION("""COMPUTED_VALUE"""),"1/2024")</f>
        <v>1/2024</v>
      </c>
      <c r="M450" s="10" t="str">
        <f ca="1">IFERROR(__xludf.DUMMYFUNCTION("""COMPUTED_VALUE"""),"Predios Exentos")</f>
        <v>Predios Exentos</v>
      </c>
      <c r="N450" s="1"/>
      <c r="O450" s="1"/>
      <c r="P450" s="1"/>
      <c r="Q450" s="1"/>
      <c r="R450" s="1"/>
      <c r="S450" s="1"/>
      <c r="T450" s="1"/>
      <c r="U450" s="1"/>
      <c r="V450" s="1"/>
      <c r="W450" s="1"/>
      <c r="X450" s="1"/>
      <c r="Y450" s="1"/>
      <c r="Z450" s="1"/>
    </row>
    <row r="451" spans="1:26" ht="12.75" customHeight="1">
      <c r="A451" s="1"/>
      <c r="B451" s="10" t="str">
        <f ca="1">IFERROR(__xludf.DUMMYFUNCTION("""COMPUTED_VALUE"""),"Compensación Predios Exentos 2024")</f>
        <v>Compensación Predios Exentos 2024</v>
      </c>
      <c r="C451" s="26" t="str">
        <f t="shared" ca="1" si="0"/>
        <v xml:space="preserve"> LOS ÁNGELES</v>
      </c>
      <c r="D451" s="10" t="str">
        <f ca="1">IFERROR(__xludf.DUMMYFUNCTION("""COMPUTED_VALUE"""),"Resolución de Transferencia")</f>
        <v>Resolución de Transferencia</v>
      </c>
      <c r="E451" s="26" t="str">
        <f ca="1">IFERROR(__xludf.DUMMYFUNCTION("""COMPUTED_VALUE"""),"MUNICIPALIDAD DE LOS ÁNGELES")</f>
        <v>MUNICIPALIDAD DE LOS ÁNGELES</v>
      </c>
      <c r="F451" s="11">
        <f ca="1">IFERROR(__xludf.DUMMYFUNCTION("""COMPUTED_VALUE"""),732455098)</f>
        <v>732455098</v>
      </c>
      <c r="G451" s="10" t="str">
        <f ca="1">IFERROR(__xludf.DUMMYFUNCTION("""COMPUTED_VALUE"""),"Resolución")</f>
        <v>Resolución</v>
      </c>
      <c r="H451" s="10" t="str">
        <f ca="1">IFERROR(__xludf.DUMMYFUNCTION("""COMPUTED_VALUE"""),"COMPENSACIÓN PREDIOS EXENTOS")</f>
        <v>COMPENSACIÓN PREDIOS EXENTOS</v>
      </c>
      <c r="I451" s="10" t="str">
        <f ca="1">IFERROR(__xludf.DUMMYFUNCTION("""COMPUTED_VALUE"""),"Cumplir con normativa y reglamentos internos del programa en base a los objetivos.")</f>
        <v>Cumplir con normativa y reglamentos internos del programa en base a los objetivos.</v>
      </c>
      <c r="J451" s="11">
        <f ca="1">IFERROR(__xludf.DUMMYFUNCTION("""COMPUTED_VALUE"""),732455098)</f>
        <v>732455098</v>
      </c>
      <c r="K451" s="27">
        <f ca="1">IFERROR(__xludf.DUMMYFUNCTION("""COMPUTED_VALUE"""),1)</f>
        <v>1</v>
      </c>
      <c r="L451" s="28" t="str">
        <f ca="1">IFERROR(__xludf.DUMMYFUNCTION("""COMPUTED_VALUE"""),"1/2024")</f>
        <v>1/2024</v>
      </c>
      <c r="M451" s="10" t="str">
        <f ca="1">IFERROR(__xludf.DUMMYFUNCTION("""COMPUTED_VALUE"""),"Predios Exentos")</f>
        <v>Predios Exentos</v>
      </c>
      <c r="N451" s="1"/>
      <c r="O451" s="1"/>
      <c r="P451" s="1"/>
      <c r="Q451" s="1"/>
      <c r="R451" s="1"/>
      <c r="S451" s="1"/>
      <c r="T451" s="1"/>
      <c r="U451" s="1"/>
      <c r="V451" s="1"/>
      <c r="W451" s="1"/>
      <c r="X451" s="1"/>
      <c r="Y451" s="1"/>
      <c r="Z451" s="1"/>
    </row>
    <row r="452" spans="1:26" ht="12.75" customHeight="1">
      <c r="A452" s="1"/>
      <c r="B452" s="10" t="str">
        <f ca="1">IFERROR(__xludf.DUMMYFUNCTION("""COMPUTED_VALUE"""),"Compensación Predios Exentos 2024")</f>
        <v>Compensación Predios Exentos 2024</v>
      </c>
      <c r="C452" s="26" t="str">
        <f t="shared" ca="1" si="0"/>
        <v xml:space="preserve"> ANGOL</v>
      </c>
      <c r="D452" s="10" t="str">
        <f ca="1">IFERROR(__xludf.DUMMYFUNCTION("""COMPUTED_VALUE"""),"Resolución de Transferencia")</f>
        <v>Resolución de Transferencia</v>
      </c>
      <c r="E452" s="26" t="str">
        <f ca="1">IFERROR(__xludf.DUMMYFUNCTION("""COMPUTED_VALUE"""),"MUNICIPALIDAD DE ANGOL")</f>
        <v>MUNICIPALIDAD DE ANGOL</v>
      </c>
      <c r="F452" s="11">
        <f ca="1">IFERROR(__xludf.DUMMYFUNCTION("""COMPUTED_VALUE"""),210849136)</f>
        <v>210849136</v>
      </c>
      <c r="G452" s="10" t="str">
        <f ca="1">IFERROR(__xludf.DUMMYFUNCTION("""COMPUTED_VALUE"""),"Resolución")</f>
        <v>Resolución</v>
      </c>
      <c r="H452" s="10" t="str">
        <f ca="1">IFERROR(__xludf.DUMMYFUNCTION("""COMPUTED_VALUE"""),"COMPENSACIÓN PREDIOS EXENTOS")</f>
        <v>COMPENSACIÓN PREDIOS EXENTOS</v>
      </c>
      <c r="I452" s="10" t="str">
        <f ca="1">IFERROR(__xludf.DUMMYFUNCTION("""COMPUTED_VALUE"""),"Cumplir con normativa y reglamentos internos del programa en base a los objetivos.")</f>
        <v>Cumplir con normativa y reglamentos internos del programa en base a los objetivos.</v>
      </c>
      <c r="J452" s="11">
        <f ca="1">IFERROR(__xludf.DUMMYFUNCTION("""COMPUTED_VALUE"""),210849136)</f>
        <v>210849136</v>
      </c>
      <c r="K452" s="27">
        <f ca="1">IFERROR(__xludf.DUMMYFUNCTION("""COMPUTED_VALUE"""),1)</f>
        <v>1</v>
      </c>
      <c r="L452" s="28" t="str">
        <f ca="1">IFERROR(__xludf.DUMMYFUNCTION("""COMPUTED_VALUE"""),"1/2024")</f>
        <v>1/2024</v>
      </c>
      <c r="M452" s="10" t="str">
        <f ca="1">IFERROR(__xludf.DUMMYFUNCTION("""COMPUTED_VALUE"""),"Predios Exentos")</f>
        <v>Predios Exentos</v>
      </c>
      <c r="N452" s="1"/>
      <c r="O452" s="1"/>
      <c r="P452" s="1"/>
      <c r="Q452" s="1"/>
      <c r="R452" s="1"/>
      <c r="S452" s="1"/>
      <c r="T452" s="1"/>
      <c r="U452" s="1"/>
      <c r="V452" s="1"/>
      <c r="W452" s="1"/>
      <c r="X452" s="1"/>
      <c r="Y452" s="1"/>
      <c r="Z452" s="1"/>
    </row>
    <row r="453" spans="1:26" ht="12.75" customHeight="1">
      <c r="A453" s="1"/>
      <c r="B453" s="10" t="str">
        <f ca="1">IFERROR(__xludf.DUMMYFUNCTION("""COMPUTED_VALUE"""),"Compensación Predios Exentos 2024")</f>
        <v>Compensación Predios Exentos 2024</v>
      </c>
      <c r="C453" s="26" t="str">
        <f t="shared" ca="1" si="0"/>
        <v xml:space="preserve"> PURÉN</v>
      </c>
      <c r="D453" s="10" t="str">
        <f ca="1">IFERROR(__xludf.DUMMYFUNCTION("""COMPUTED_VALUE"""),"Resolución de Transferencia")</f>
        <v>Resolución de Transferencia</v>
      </c>
      <c r="E453" s="26" t="str">
        <f ca="1">IFERROR(__xludf.DUMMYFUNCTION("""COMPUTED_VALUE"""),"MUNICIPALIDAD DE PURÉN")</f>
        <v>MUNICIPALIDAD DE PURÉN</v>
      </c>
      <c r="F453" s="11">
        <f ca="1">IFERROR(__xludf.DUMMYFUNCTION("""COMPUTED_VALUE"""),63357095)</f>
        <v>63357095</v>
      </c>
      <c r="G453" s="10" t="str">
        <f ca="1">IFERROR(__xludf.DUMMYFUNCTION("""COMPUTED_VALUE"""),"Resolución")</f>
        <v>Resolución</v>
      </c>
      <c r="H453" s="10" t="str">
        <f ca="1">IFERROR(__xludf.DUMMYFUNCTION("""COMPUTED_VALUE"""),"COMPENSACIÓN PREDIOS EXENTOS")</f>
        <v>COMPENSACIÓN PREDIOS EXENTOS</v>
      </c>
      <c r="I453" s="10" t="str">
        <f ca="1">IFERROR(__xludf.DUMMYFUNCTION("""COMPUTED_VALUE"""),"Cumplir con normativa y reglamentos internos del programa en base a los objetivos.")</f>
        <v>Cumplir con normativa y reglamentos internos del programa en base a los objetivos.</v>
      </c>
      <c r="J453" s="11">
        <f ca="1">IFERROR(__xludf.DUMMYFUNCTION("""COMPUTED_VALUE"""),63357095)</f>
        <v>63357095</v>
      </c>
      <c r="K453" s="27">
        <f ca="1">IFERROR(__xludf.DUMMYFUNCTION("""COMPUTED_VALUE"""),1)</f>
        <v>1</v>
      </c>
      <c r="L453" s="28" t="str">
        <f ca="1">IFERROR(__xludf.DUMMYFUNCTION("""COMPUTED_VALUE"""),"1/2024")</f>
        <v>1/2024</v>
      </c>
      <c r="M453" s="10" t="str">
        <f ca="1">IFERROR(__xludf.DUMMYFUNCTION("""COMPUTED_VALUE"""),"Predios Exentos")</f>
        <v>Predios Exentos</v>
      </c>
      <c r="N453" s="1"/>
      <c r="O453" s="1"/>
      <c r="P453" s="1"/>
      <c r="Q453" s="1"/>
      <c r="R453" s="1"/>
      <c r="S453" s="1"/>
      <c r="T453" s="1"/>
      <c r="U453" s="1"/>
      <c r="V453" s="1"/>
      <c r="W453" s="1"/>
      <c r="X453" s="1"/>
      <c r="Y453" s="1"/>
      <c r="Z453" s="1"/>
    </row>
    <row r="454" spans="1:26" ht="12.75" customHeight="1">
      <c r="A454" s="1"/>
      <c r="B454" s="10" t="str">
        <f ca="1">IFERROR(__xludf.DUMMYFUNCTION("""COMPUTED_VALUE"""),"Compensación Predios Exentos 2024")</f>
        <v>Compensación Predios Exentos 2024</v>
      </c>
      <c r="C454" s="26" t="str">
        <f t="shared" ca="1" si="0"/>
        <v xml:space="preserve"> TEMUCO</v>
      </c>
      <c r="D454" s="10" t="str">
        <f ca="1">IFERROR(__xludf.DUMMYFUNCTION("""COMPUTED_VALUE"""),"Resolución de Transferencia")</f>
        <v>Resolución de Transferencia</v>
      </c>
      <c r="E454" s="26" t="str">
        <f ca="1">IFERROR(__xludf.DUMMYFUNCTION("""COMPUTED_VALUE"""),"MUNICIPALIDAD DE TEMUCO")</f>
        <v>MUNICIPALIDAD DE TEMUCO</v>
      </c>
      <c r="F454" s="11">
        <f ca="1">IFERROR(__xludf.DUMMYFUNCTION("""COMPUTED_VALUE"""),899056622)</f>
        <v>899056622</v>
      </c>
      <c r="G454" s="10" t="str">
        <f ca="1">IFERROR(__xludf.DUMMYFUNCTION("""COMPUTED_VALUE"""),"Resolución")</f>
        <v>Resolución</v>
      </c>
      <c r="H454" s="10" t="str">
        <f ca="1">IFERROR(__xludf.DUMMYFUNCTION("""COMPUTED_VALUE"""),"COMPENSACIÓN PREDIOS EXENTOS")</f>
        <v>COMPENSACIÓN PREDIOS EXENTOS</v>
      </c>
      <c r="I454" s="10" t="str">
        <f ca="1">IFERROR(__xludf.DUMMYFUNCTION("""COMPUTED_VALUE"""),"Cumplir con normativa y reglamentos internos del programa en base a los objetivos.")</f>
        <v>Cumplir con normativa y reglamentos internos del programa en base a los objetivos.</v>
      </c>
      <c r="J454" s="11">
        <f ca="1">IFERROR(__xludf.DUMMYFUNCTION("""COMPUTED_VALUE"""),899056622)</f>
        <v>899056622</v>
      </c>
      <c r="K454" s="27">
        <f ca="1">IFERROR(__xludf.DUMMYFUNCTION("""COMPUTED_VALUE"""),1)</f>
        <v>1</v>
      </c>
      <c r="L454" s="28" t="str">
        <f ca="1">IFERROR(__xludf.DUMMYFUNCTION("""COMPUTED_VALUE"""),"1/2024")</f>
        <v>1/2024</v>
      </c>
      <c r="M454" s="10" t="str">
        <f ca="1">IFERROR(__xludf.DUMMYFUNCTION("""COMPUTED_VALUE"""),"Predios Exentos")</f>
        <v>Predios Exentos</v>
      </c>
      <c r="N454" s="1"/>
      <c r="O454" s="1"/>
      <c r="P454" s="1"/>
      <c r="Q454" s="1"/>
      <c r="R454" s="1"/>
      <c r="S454" s="1"/>
      <c r="T454" s="1"/>
      <c r="U454" s="1"/>
      <c r="V454" s="1"/>
      <c r="W454" s="1"/>
      <c r="X454" s="1"/>
      <c r="Y454" s="1"/>
      <c r="Z454" s="1"/>
    </row>
    <row r="455" spans="1:26" ht="12.75" customHeight="1">
      <c r="A455" s="1"/>
      <c r="B455" s="10" t="str">
        <f ca="1">IFERROR(__xludf.DUMMYFUNCTION("""COMPUTED_VALUE"""),"Compensación Predios Exentos 2024")</f>
        <v>Compensación Predios Exentos 2024</v>
      </c>
      <c r="C455" s="26" t="str">
        <f t="shared" ca="1" si="0"/>
        <v xml:space="preserve"> CALBUCO</v>
      </c>
      <c r="D455" s="10" t="str">
        <f ca="1">IFERROR(__xludf.DUMMYFUNCTION("""COMPUTED_VALUE"""),"Resolución de Transferencia")</f>
        <v>Resolución de Transferencia</v>
      </c>
      <c r="E455" s="26" t="str">
        <f ca="1">IFERROR(__xludf.DUMMYFUNCTION("""COMPUTED_VALUE"""),"MUNICIPALIDAD DE CALBUCO")</f>
        <v>MUNICIPALIDAD DE CALBUCO</v>
      </c>
      <c r="F455" s="11">
        <f ca="1">IFERROR(__xludf.DUMMYFUNCTION("""COMPUTED_VALUE"""),113756179)</f>
        <v>113756179</v>
      </c>
      <c r="G455" s="10" t="str">
        <f ca="1">IFERROR(__xludf.DUMMYFUNCTION("""COMPUTED_VALUE"""),"Resolución")</f>
        <v>Resolución</v>
      </c>
      <c r="H455" s="10" t="str">
        <f ca="1">IFERROR(__xludf.DUMMYFUNCTION("""COMPUTED_VALUE"""),"COMPENSACIÓN PREDIOS EXENTOS")</f>
        <v>COMPENSACIÓN PREDIOS EXENTOS</v>
      </c>
      <c r="I455" s="10" t="str">
        <f ca="1">IFERROR(__xludf.DUMMYFUNCTION("""COMPUTED_VALUE"""),"Cumplir con normativa y reglamentos internos del programa en base a los objetivos.")</f>
        <v>Cumplir con normativa y reglamentos internos del programa en base a los objetivos.</v>
      </c>
      <c r="J455" s="11">
        <f ca="1">IFERROR(__xludf.DUMMYFUNCTION("""COMPUTED_VALUE"""),113756179)</f>
        <v>113756179</v>
      </c>
      <c r="K455" s="27">
        <f ca="1">IFERROR(__xludf.DUMMYFUNCTION("""COMPUTED_VALUE"""),1)</f>
        <v>1</v>
      </c>
      <c r="L455" s="28" t="str">
        <f ca="1">IFERROR(__xludf.DUMMYFUNCTION("""COMPUTED_VALUE"""),"1/2024")</f>
        <v>1/2024</v>
      </c>
      <c r="M455" s="10" t="str">
        <f ca="1">IFERROR(__xludf.DUMMYFUNCTION("""COMPUTED_VALUE"""),"Predios Exentos")</f>
        <v>Predios Exentos</v>
      </c>
      <c r="N455" s="1"/>
      <c r="O455" s="1"/>
      <c r="P455" s="1"/>
      <c r="Q455" s="1"/>
      <c r="R455" s="1"/>
      <c r="S455" s="1"/>
      <c r="T455" s="1"/>
      <c r="U455" s="1"/>
      <c r="V455" s="1"/>
      <c r="W455" s="1"/>
      <c r="X455" s="1"/>
      <c r="Y455" s="1"/>
      <c r="Z455" s="1"/>
    </row>
    <row r="456" spans="1:26" ht="12.75" customHeight="1">
      <c r="A456" s="1"/>
      <c r="B456" s="10" t="str">
        <f ca="1">IFERROR(__xludf.DUMMYFUNCTION("""COMPUTED_VALUE"""),"Compensación Predios Exentos 2024")</f>
        <v>Compensación Predios Exentos 2024</v>
      </c>
      <c r="C456" s="26" t="str">
        <f t="shared" ca="1" si="0"/>
        <v xml:space="preserve"> QUELLÓN</v>
      </c>
      <c r="D456" s="10" t="str">
        <f ca="1">IFERROR(__xludf.DUMMYFUNCTION("""COMPUTED_VALUE"""),"Resolución de Transferencia")</f>
        <v>Resolución de Transferencia</v>
      </c>
      <c r="E456" s="26" t="str">
        <f ca="1">IFERROR(__xludf.DUMMYFUNCTION("""COMPUTED_VALUE"""),"MUNICIPALIDAD DE QUELLÓN")</f>
        <v>MUNICIPALIDAD DE QUELLÓN</v>
      </c>
      <c r="F456" s="11">
        <f ca="1">IFERROR(__xludf.DUMMYFUNCTION("""COMPUTED_VALUE"""),91852434)</f>
        <v>91852434</v>
      </c>
      <c r="G456" s="10" t="str">
        <f ca="1">IFERROR(__xludf.DUMMYFUNCTION("""COMPUTED_VALUE"""),"Resolución")</f>
        <v>Resolución</v>
      </c>
      <c r="H456" s="10" t="str">
        <f ca="1">IFERROR(__xludf.DUMMYFUNCTION("""COMPUTED_VALUE"""),"COMPENSACIÓN PREDIOS EXENTOS")</f>
        <v>COMPENSACIÓN PREDIOS EXENTOS</v>
      </c>
      <c r="I456" s="10" t="str">
        <f ca="1">IFERROR(__xludf.DUMMYFUNCTION("""COMPUTED_VALUE"""),"Cumplir con normativa y reglamentos internos del programa en base a los objetivos.")</f>
        <v>Cumplir con normativa y reglamentos internos del programa en base a los objetivos.</v>
      </c>
      <c r="J456" s="11">
        <f ca="1">IFERROR(__xludf.DUMMYFUNCTION("""COMPUTED_VALUE"""),91852434)</f>
        <v>91852434</v>
      </c>
      <c r="K456" s="27">
        <f ca="1">IFERROR(__xludf.DUMMYFUNCTION("""COMPUTED_VALUE"""),1)</f>
        <v>1</v>
      </c>
      <c r="L456" s="28" t="str">
        <f ca="1">IFERROR(__xludf.DUMMYFUNCTION("""COMPUTED_VALUE"""),"1/2024")</f>
        <v>1/2024</v>
      </c>
      <c r="M456" s="10" t="str">
        <f ca="1">IFERROR(__xludf.DUMMYFUNCTION("""COMPUTED_VALUE"""),"Predios Exentos")</f>
        <v>Predios Exentos</v>
      </c>
      <c r="N456" s="1"/>
      <c r="O456" s="1"/>
      <c r="P456" s="1"/>
      <c r="Q456" s="1"/>
      <c r="R456" s="1"/>
      <c r="S456" s="1"/>
      <c r="T456" s="1"/>
      <c r="U456" s="1"/>
      <c r="V456" s="1"/>
      <c r="W456" s="1"/>
      <c r="X456" s="1"/>
      <c r="Y456" s="1"/>
      <c r="Z456" s="1"/>
    </row>
    <row r="457" spans="1:26" ht="12.75" customHeight="1">
      <c r="A457" s="1"/>
      <c r="B457" s="10" t="str">
        <f ca="1">IFERROR(__xludf.DUMMYFUNCTION("""COMPUTED_VALUE"""),"Compensación Predios Exentos 2024")</f>
        <v>Compensación Predios Exentos 2024</v>
      </c>
      <c r="C457" s="26" t="str">
        <f t="shared" ca="1" si="0"/>
        <v xml:space="preserve"> O´HIGGINS</v>
      </c>
      <c r="D457" s="10" t="str">
        <f ca="1">IFERROR(__xludf.DUMMYFUNCTION("""COMPUTED_VALUE"""),"Resolución de Transferencia")</f>
        <v>Resolución de Transferencia</v>
      </c>
      <c r="E457" s="26" t="str">
        <f ca="1">IFERROR(__xludf.DUMMYFUNCTION("""COMPUTED_VALUE"""),"MUNICIPALIDAD DE O´HIGGINS")</f>
        <v>MUNICIPALIDAD DE O´HIGGINS</v>
      </c>
      <c r="F457" s="11">
        <f ca="1">IFERROR(__xludf.DUMMYFUNCTION("""COMPUTED_VALUE"""),3398151)</f>
        <v>3398151</v>
      </c>
      <c r="G457" s="10" t="str">
        <f ca="1">IFERROR(__xludf.DUMMYFUNCTION("""COMPUTED_VALUE"""),"Resolución")</f>
        <v>Resolución</v>
      </c>
      <c r="H457" s="10" t="str">
        <f ca="1">IFERROR(__xludf.DUMMYFUNCTION("""COMPUTED_VALUE"""),"COMPENSACIÓN PREDIOS EXENTOS")</f>
        <v>COMPENSACIÓN PREDIOS EXENTOS</v>
      </c>
      <c r="I457" s="10" t="str">
        <f ca="1">IFERROR(__xludf.DUMMYFUNCTION("""COMPUTED_VALUE"""),"Cumplir con normativa y reglamentos internos del programa en base a los objetivos.")</f>
        <v>Cumplir con normativa y reglamentos internos del programa en base a los objetivos.</v>
      </c>
      <c r="J457" s="11">
        <f ca="1">IFERROR(__xludf.DUMMYFUNCTION("""COMPUTED_VALUE"""),3398151)</f>
        <v>3398151</v>
      </c>
      <c r="K457" s="27">
        <f ca="1">IFERROR(__xludf.DUMMYFUNCTION("""COMPUTED_VALUE"""),1)</f>
        <v>1</v>
      </c>
      <c r="L457" s="28" t="str">
        <f ca="1">IFERROR(__xludf.DUMMYFUNCTION("""COMPUTED_VALUE"""),"1/2024")</f>
        <v>1/2024</v>
      </c>
      <c r="M457" s="10" t="str">
        <f ca="1">IFERROR(__xludf.DUMMYFUNCTION("""COMPUTED_VALUE"""),"Predios Exentos")</f>
        <v>Predios Exentos</v>
      </c>
      <c r="N457" s="1"/>
      <c r="O457" s="1"/>
      <c r="P457" s="1"/>
      <c r="Q457" s="1"/>
      <c r="R457" s="1"/>
      <c r="S457" s="1"/>
      <c r="T457" s="1"/>
      <c r="U457" s="1"/>
      <c r="V457" s="1"/>
      <c r="W457" s="1"/>
      <c r="X457" s="1"/>
      <c r="Y457" s="1"/>
      <c r="Z457" s="1"/>
    </row>
    <row r="458" spans="1:26" ht="12.75" customHeight="1">
      <c r="A458" s="1"/>
      <c r="B458" s="10" t="str">
        <f ca="1">IFERROR(__xludf.DUMMYFUNCTION("""COMPUTED_VALUE"""),"Compensación Predios Exentos 2024")</f>
        <v>Compensación Predios Exentos 2024</v>
      </c>
      <c r="C458" s="26" t="str">
        <f t="shared" ca="1" si="0"/>
        <v xml:space="preserve"> ESTACIÓN CENTRAL</v>
      </c>
      <c r="D458" s="10" t="str">
        <f ca="1">IFERROR(__xludf.DUMMYFUNCTION("""COMPUTED_VALUE"""),"Resolución de Transferencia")</f>
        <v>Resolución de Transferencia</v>
      </c>
      <c r="E458" s="26" t="str">
        <f ca="1">IFERROR(__xludf.DUMMYFUNCTION("""COMPUTED_VALUE"""),"MUNICIPALIDAD DE ESTACIÓN CENTRAL")</f>
        <v>MUNICIPALIDAD DE ESTACIÓN CENTRAL</v>
      </c>
      <c r="F458" s="11">
        <f ca="1">IFERROR(__xludf.DUMMYFUNCTION("""COMPUTED_VALUE"""),555167822)</f>
        <v>555167822</v>
      </c>
      <c r="G458" s="10" t="str">
        <f ca="1">IFERROR(__xludf.DUMMYFUNCTION("""COMPUTED_VALUE"""),"Resolución")</f>
        <v>Resolución</v>
      </c>
      <c r="H458" s="10" t="str">
        <f ca="1">IFERROR(__xludf.DUMMYFUNCTION("""COMPUTED_VALUE"""),"COMPENSACIÓN PREDIOS EXENTOS")</f>
        <v>COMPENSACIÓN PREDIOS EXENTOS</v>
      </c>
      <c r="I458" s="10" t="str">
        <f ca="1">IFERROR(__xludf.DUMMYFUNCTION("""COMPUTED_VALUE"""),"Cumplir con normativa y reglamentos internos del programa en base a los objetivos.")</f>
        <v>Cumplir con normativa y reglamentos internos del programa en base a los objetivos.</v>
      </c>
      <c r="J458" s="11">
        <f ca="1">IFERROR(__xludf.DUMMYFUNCTION("""COMPUTED_VALUE"""),555167822)</f>
        <v>555167822</v>
      </c>
      <c r="K458" s="27">
        <f ca="1">IFERROR(__xludf.DUMMYFUNCTION("""COMPUTED_VALUE"""),1)</f>
        <v>1</v>
      </c>
      <c r="L458" s="28" t="str">
        <f ca="1">IFERROR(__xludf.DUMMYFUNCTION("""COMPUTED_VALUE"""),"1/2024")</f>
        <v>1/2024</v>
      </c>
      <c r="M458" s="10" t="str">
        <f ca="1">IFERROR(__xludf.DUMMYFUNCTION("""COMPUTED_VALUE"""),"Predios Exentos")</f>
        <v>Predios Exentos</v>
      </c>
      <c r="N458" s="1"/>
      <c r="O458" s="1"/>
      <c r="P458" s="1"/>
      <c r="Q458" s="1"/>
      <c r="R458" s="1"/>
      <c r="S458" s="1"/>
      <c r="T458" s="1"/>
      <c r="U458" s="1"/>
      <c r="V458" s="1"/>
      <c r="W458" s="1"/>
      <c r="X458" s="1"/>
      <c r="Y458" s="1"/>
      <c r="Z458" s="1"/>
    </row>
    <row r="459" spans="1:26" ht="12.75" customHeight="1">
      <c r="A459" s="1"/>
      <c r="B459" s="10" t="str">
        <f ca="1">IFERROR(__xludf.DUMMYFUNCTION("""COMPUTED_VALUE"""),"Compensación Predios Exentos 2024")</f>
        <v>Compensación Predios Exentos 2024</v>
      </c>
      <c r="C459" s="26" t="str">
        <f t="shared" ca="1" si="0"/>
        <v xml:space="preserve"> CALDERA</v>
      </c>
      <c r="D459" s="10" t="str">
        <f ca="1">IFERROR(__xludf.DUMMYFUNCTION("""COMPUTED_VALUE"""),"Resolución de Transferencia")</f>
        <v>Resolución de Transferencia</v>
      </c>
      <c r="E459" s="26" t="str">
        <f ca="1">IFERROR(__xludf.DUMMYFUNCTION("""COMPUTED_VALUE"""),"MUNICIPALIDAD DE CALDERA")</f>
        <v>MUNICIPALIDAD DE CALDERA</v>
      </c>
      <c r="F459" s="11">
        <f ca="1">IFERROR(__xludf.DUMMYFUNCTION("""COMPUTED_VALUE"""),82282340)</f>
        <v>82282340</v>
      </c>
      <c r="G459" s="10" t="str">
        <f ca="1">IFERROR(__xludf.DUMMYFUNCTION("""COMPUTED_VALUE"""),"Resolución")</f>
        <v>Resolución</v>
      </c>
      <c r="H459" s="10" t="str">
        <f ca="1">IFERROR(__xludf.DUMMYFUNCTION("""COMPUTED_VALUE"""),"COMPENSACIÓN PREDIOS EXENTOS")</f>
        <v>COMPENSACIÓN PREDIOS EXENTOS</v>
      </c>
      <c r="I459" s="10" t="str">
        <f ca="1">IFERROR(__xludf.DUMMYFUNCTION("""COMPUTED_VALUE"""),"Cumplir con normativa y reglamentos internos del programa en base a los objetivos.")</f>
        <v>Cumplir con normativa y reglamentos internos del programa en base a los objetivos.</v>
      </c>
      <c r="J459" s="11">
        <f ca="1">IFERROR(__xludf.DUMMYFUNCTION("""COMPUTED_VALUE"""),82282340)</f>
        <v>82282340</v>
      </c>
      <c r="K459" s="27">
        <f ca="1">IFERROR(__xludf.DUMMYFUNCTION("""COMPUTED_VALUE"""),1)</f>
        <v>1</v>
      </c>
      <c r="L459" s="28" t="str">
        <f ca="1">IFERROR(__xludf.DUMMYFUNCTION("""COMPUTED_VALUE"""),"1/2024")</f>
        <v>1/2024</v>
      </c>
      <c r="M459" s="10" t="str">
        <f ca="1">IFERROR(__xludf.DUMMYFUNCTION("""COMPUTED_VALUE"""),"Predios Exentos")</f>
        <v>Predios Exentos</v>
      </c>
      <c r="N459" s="1"/>
      <c r="O459" s="1"/>
      <c r="P459" s="1"/>
      <c r="Q459" s="1"/>
      <c r="R459" s="1"/>
      <c r="S459" s="1"/>
      <c r="T459" s="1"/>
      <c r="U459" s="1"/>
      <c r="V459" s="1"/>
      <c r="W459" s="1"/>
      <c r="X459" s="1"/>
      <c r="Y459" s="1"/>
      <c r="Z459" s="1"/>
    </row>
    <row r="460" spans="1:26" ht="12.75" customHeight="1">
      <c r="A460" s="1"/>
      <c r="B460" s="10" t="str">
        <f ca="1">IFERROR(__xludf.DUMMYFUNCTION("""COMPUTED_VALUE"""),"Compensación Predios Exentos 2024")</f>
        <v>Compensación Predios Exentos 2024</v>
      </c>
      <c r="C460" s="26" t="str">
        <f t="shared" ca="1" si="0"/>
        <v xml:space="preserve"> LLAILLAY</v>
      </c>
      <c r="D460" s="10" t="str">
        <f ca="1">IFERROR(__xludf.DUMMYFUNCTION("""COMPUTED_VALUE"""),"Resolución de Transferencia")</f>
        <v>Resolución de Transferencia</v>
      </c>
      <c r="E460" s="26" t="str">
        <f ca="1">IFERROR(__xludf.DUMMYFUNCTION("""COMPUTED_VALUE"""),"MUNICIPALIDAD DE LLAILLAY")</f>
        <v>MUNICIPALIDAD DE LLAILLAY</v>
      </c>
      <c r="F460" s="11">
        <f ca="1">IFERROR(__xludf.DUMMYFUNCTION("""COMPUTED_VALUE"""),81156447)</f>
        <v>81156447</v>
      </c>
      <c r="G460" s="10" t="str">
        <f ca="1">IFERROR(__xludf.DUMMYFUNCTION("""COMPUTED_VALUE"""),"Resolución")</f>
        <v>Resolución</v>
      </c>
      <c r="H460" s="10" t="str">
        <f ca="1">IFERROR(__xludf.DUMMYFUNCTION("""COMPUTED_VALUE"""),"COMPENSACIÓN PREDIOS EXENTOS")</f>
        <v>COMPENSACIÓN PREDIOS EXENTOS</v>
      </c>
      <c r="I460" s="10" t="str">
        <f ca="1">IFERROR(__xludf.DUMMYFUNCTION("""COMPUTED_VALUE"""),"Cumplir con normativa y reglamentos internos del programa en base a los objetivos.")</f>
        <v>Cumplir con normativa y reglamentos internos del programa en base a los objetivos.</v>
      </c>
      <c r="J460" s="11">
        <f ca="1">IFERROR(__xludf.DUMMYFUNCTION("""COMPUTED_VALUE"""),81156447)</f>
        <v>81156447</v>
      </c>
      <c r="K460" s="27">
        <f ca="1">IFERROR(__xludf.DUMMYFUNCTION("""COMPUTED_VALUE"""),1)</f>
        <v>1</v>
      </c>
      <c r="L460" s="28" t="str">
        <f ca="1">IFERROR(__xludf.DUMMYFUNCTION("""COMPUTED_VALUE"""),"1/2024")</f>
        <v>1/2024</v>
      </c>
      <c r="M460" s="10" t="str">
        <f ca="1">IFERROR(__xludf.DUMMYFUNCTION("""COMPUTED_VALUE"""),"Predios Exentos")</f>
        <v>Predios Exentos</v>
      </c>
      <c r="N460" s="1"/>
      <c r="O460" s="1"/>
      <c r="P460" s="1"/>
      <c r="Q460" s="1"/>
      <c r="R460" s="1"/>
      <c r="S460" s="1"/>
      <c r="T460" s="1"/>
      <c r="U460" s="1"/>
      <c r="V460" s="1"/>
      <c r="W460" s="1"/>
      <c r="X460" s="1"/>
      <c r="Y460" s="1"/>
      <c r="Z460" s="1"/>
    </row>
    <row r="461" spans="1:26" ht="12.75" customHeight="1">
      <c r="A461" s="1"/>
      <c r="B461" s="10" t="str">
        <f ca="1">IFERROR(__xludf.DUMMYFUNCTION("""COMPUTED_VALUE"""),"Compensación Predios Exentos 2024")</f>
        <v>Compensación Predios Exentos 2024</v>
      </c>
      <c r="C461" s="26" t="str">
        <f t="shared" ca="1" si="0"/>
        <v xml:space="preserve"> ISLA DE MAIPO</v>
      </c>
      <c r="D461" s="10" t="str">
        <f ca="1">IFERROR(__xludf.DUMMYFUNCTION("""COMPUTED_VALUE"""),"Resolución de Transferencia")</f>
        <v>Resolución de Transferencia</v>
      </c>
      <c r="E461" s="26" t="str">
        <f ca="1">IFERROR(__xludf.DUMMYFUNCTION("""COMPUTED_VALUE"""),"MUNICIPALIDAD DE ISLA DE MAIPO")</f>
        <v>MUNICIPALIDAD DE ISLA DE MAIPO</v>
      </c>
      <c r="F461" s="11">
        <f ca="1">IFERROR(__xludf.DUMMYFUNCTION("""COMPUTED_VALUE"""),82845287)</f>
        <v>82845287</v>
      </c>
      <c r="G461" s="10" t="str">
        <f ca="1">IFERROR(__xludf.DUMMYFUNCTION("""COMPUTED_VALUE"""),"Resolución")</f>
        <v>Resolución</v>
      </c>
      <c r="H461" s="10" t="str">
        <f ca="1">IFERROR(__xludf.DUMMYFUNCTION("""COMPUTED_VALUE"""),"COMPENSACIÓN PREDIOS EXENTOS")</f>
        <v>COMPENSACIÓN PREDIOS EXENTOS</v>
      </c>
      <c r="I461" s="10" t="str">
        <f ca="1">IFERROR(__xludf.DUMMYFUNCTION("""COMPUTED_VALUE"""),"Cumplir con normativa y reglamentos internos del programa en base a los objetivos.")</f>
        <v>Cumplir con normativa y reglamentos internos del programa en base a los objetivos.</v>
      </c>
      <c r="J461" s="11">
        <f ca="1">IFERROR(__xludf.DUMMYFUNCTION("""COMPUTED_VALUE"""),82845287)</f>
        <v>82845287</v>
      </c>
      <c r="K461" s="27">
        <f ca="1">IFERROR(__xludf.DUMMYFUNCTION("""COMPUTED_VALUE"""),1)</f>
        <v>1</v>
      </c>
      <c r="L461" s="28" t="str">
        <f ca="1">IFERROR(__xludf.DUMMYFUNCTION("""COMPUTED_VALUE"""),"1/2024")</f>
        <v>1/2024</v>
      </c>
      <c r="M461" s="10" t="str">
        <f ca="1">IFERROR(__xludf.DUMMYFUNCTION("""COMPUTED_VALUE"""),"Predios Exentos")</f>
        <v>Predios Exentos</v>
      </c>
      <c r="N461" s="1"/>
      <c r="O461" s="1"/>
      <c r="P461" s="1"/>
      <c r="Q461" s="1"/>
      <c r="R461" s="1"/>
      <c r="S461" s="1"/>
      <c r="T461" s="1"/>
      <c r="U461" s="1"/>
      <c r="V461" s="1"/>
      <c r="W461" s="1"/>
      <c r="X461" s="1"/>
      <c r="Y461" s="1"/>
      <c r="Z461" s="1"/>
    </row>
    <row r="462" spans="1:26" ht="12.75" customHeight="1">
      <c r="A462" s="1"/>
      <c r="B462" s="10" t="str">
        <f ca="1">IFERROR(__xludf.DUMMYFUNCTION("""COMPUTED_VALUE"""),"Compensación Predios Exentos 2024")</f>
        <v>Compensación Predios Exentos 2024</v>
      </c>
      <c r="C462" s="26" t="str">
        <f t="shared" ca="1" si="0"/>
        <v xml:space="preserve"> PIRQUE</v>
      </c>
      <c r="D462" s="10" t="str">
        <f ca="1">IFERROR(__xludf.DUMMYFUNCTION("""COMPUTED_VALUE"""),"Resolución de Transferencia")</f>
        <v>Resolución de Transferencia</v>
      </c>
      <c r="E462" s="26" t="str">
        <f ca="1">IFERROR(__xludf.DUMMYFUNCTION("""COMPUTED_VALUE"""),"MUNICIPALIDAD DE PIRQUE")</f>
        <v>MUNICIPALIDAD DE PIRQUE</v>
      </c>
      <c r="F462" s="11">
        <f ca="1">IFERROR(__xludf.DUMMYFUNCTION("""COMPUTED_VALUE"""),35547527)</f>
        <v>35547527</v>
      </c>
      <c r="G462" s="10" t="str">
        <f ca="1">IFERROR(__xludf.DUMMYFUNCTION("""COMPUTED_VALUE"""),"Resolución")</f>
        <v>Resolución</v>
      </c>
      <c r="H462" s="10" t="str">
        <f ca="1">IFERROR(__xludf.DUMMYFUNCTION("""COMPUTED_VALUE"""),"COMPENSACIÓN PREDIOS EXENTOS")</f>
        <v>COMPENSACIÓN PREDIOS EXENTOS</v>
      </c>
      <c r="I462" s="10" t="str">
        <f ca="1">IFERROR(__xludf.DUMMYFUNCTION("""COMPUTED_VALUE"""),"Cumplir con normativa y reglamentos internos del programa en base a los objetivos.")</f>
        <v>Cumplir con normativa y reglamentos internos del programa en base a los objetivos.</v>
      </c>
      <c r="J462" s="11">
        <f ca="1">IFERROR(__xludf.DUMMYFUNCTION("""COMPUTED_VALUE"""),35547527)</f>
        <v>35547527</v>
      </c>
      <c r="K462" s="27">
        <f ca="1">IFERROR(__xludf.DUMMYFUNCTION("""COMPUTED_VALUE"""),1)</f>
        <v>1</v>
      </c>
      <c r="L462" s="28" t="str">
        <f ca="1">IFERROR(__xludf.DUMMYFUNCTION("""COMPUTED_VALUE"""),"1/2024")</f>
        <v>1/2024</v>
      </c>
      <c r="M462" s="10" t="str">
        <f ca="1">IFERROR(__xludf.DUMMYFUNCTION("""COMPUTED_VALUE"""),"Predios Exentos")</f>
        <v>Predios Exentos</v>
      </c>
      <c r="N462" s="1"/>
      <c r="O462" s="1"/>
      <c r="P462" s="1"/>
      <c r="Q462" s="1"/>
      <c r="R462" s="1"/>
      <c r="S462" s="1"/>
      <c r="T462" s="1"/>
      <c r="U462" s="1"/>
      <c r="V462" s="1"/>
      <c r="W462" s="1"/>
      <c r="X462" s="1"/>
      <c r="Y462" s="1"/>
      <c r="Z462" s="1"/>
    </row>
    <row r="463" spans="1:26" ht="12.75" customHeight="1">
      <c r="A463" s="1"/>
      <c r="B463" s="10" t="str">
        <f ca="1">IFERROR(__xludf.DUMMYFUNCTION("""COMPUTED_VALUE"""),"Compensación Predios Exentos 2024")</f>
        <v>Compensación Predios Exentos 2024</v>
      </c>
      <c r="C463" s="26" t="str">
        <f t="shared" ca="1" si="0"/>
        <v xml:space="preserve"> SAN BERNARDO</v>
      </c>
      <c r="D463" s="10" t="str">
        <f ca="1">IFERROR(__xludf.DUMMYFUNCTION("""COMPUTED_VALUE"""),"Resolución de Transferencia")</f>
        <v>Resolución de Transferencia</v>
      </c>
      <c r="E463" s="26" t="str">
        <f ca="1">IFERROR(__xludf.DUMMYFUNCTION("""COMPUTED_VALUE"""),"MUNICIPALIDAD DE SAN BERNARDO")</f>
        <v>MUNICIPALIDAD DE SAN BERNARDO</v>
      </c>
      <c r="F463" s="11">
        <f ca="1">IFERROR(__xludf.DUMMYFUNCTION("""COMPUTED_VALUE"""),801697545)</f>
        <v>801697545</v>
      </c>
      <c r="G463" s="10" t="str">
        <f ca="1">IFERROR(__xludf.DUMMYFUNCTION("""COMPUTED_VALUE"""),"Resolución")</f>
        <v>Resolución</v>
      </c>
      <c r="H463" s="10" t="str">
        <f ca="1">IFERROR(__xludf.DUMMYFUNCTION("""COMPUTED_VALUE"""),"COMPENSACIÓN PREDIOS EXENTOS")</f>
        <v>COMPENSACIÓN PREDIOS EXENTOS</v>
      </c>
      <c r="I463" s="10" t="str">
        <f ca="1">IFERROR(__xludf.DUMMYFUNCTION("""COMPUTED_VALUE"""),"Cumplir con normativa y reglamentos internos del programa en base a los objetivos.")</f>
        <v>Cumplir con normativa y reglamentos internos del programa en base a los objetivos.</v>
      </c>
      <c r="J463" s="11">
        <f ca="1">IFERROR(__xludf.DUMMYFUNCTION("""COMPUTED_VALUE"""),801697545)</f>
        <v>801697545</v>
      </c>
      <c r="K463" s="27">
        <f ca="1">IFERROR(__xludf.DUMMYFUNCTION("""COMPUTED_VALUE"""),1)</f>
        <v>1</v>
      </c>
      <c r="L463" s="28" t="str">
        <f ca="1">IFERROR(__xludf.DUMMYFUNCTION("""COMPUTED_VALUE"""),"1/2024")</f>
        <v>1/2024</v>
      </c>
      <c r="M463" s="10" t="str">
        <f ca="1">IFERROR(__xludf.DUMMYFUNCTION("""COMPUTED_VALUE"""),"Predios Exentos")</f>
        <v>Predios Exentos</v>
      </c>
      <c r="N463" s="1"/>
      <c r="O463" s="1"/>
      <c r="P463" s="1"/>
      <c r="Q463" s="1"/>
      <c r="R463" s="1"/>
      <c r="S463" s="1"/>
      <c r="T463" s="1"/>
      <c r="U463" s="1"/>
      <c r="V463" s="1"/>
      <c r="W463" s="1"/>
      <c r="X463" s="1"/>
      <c r="Y463" s="1"/>
      <c r="Z463" s="1"/>
    </row>
    <row r="464" spans="1:26" ht="12.75" customHeight="1">
      <c r="A464" s="1"/>
      <c r="B464" s="10" t="str">
        <f ca="1">IFERROR(__xludf.DUMMYFUNCTION("""COMPUTED_VALUE"""),"Compensación Predios Exentos 2024")</f>
        <v>Compensación Predios Exentos 2024</v>
      </c>
      <c r="C464" s="26" t="str">
        <f t="shared" ca="1" si="0"/>
        <v xml:space="preserve"> MACHALÍ</v>
      </c>
      <c r="D464" s="10" t="str">
        <f ca="1">IFERROR(__xludf.DUMMYFUNCTION("""COMPUTED_VALUE"""),"Resolución de Transferencia")</f>
        <v>Resolución de Transferencia</v>
      </c>
      <c r="E464" s="26" t="str">
        <f ca="1">IFERROR(__xludf.DUMMYFUNCTION("""COMPUTED_VALUE"""),"MUNICIPALIDAD DE MACHALÍ")</f>
        <v>MUNICIPALIDAD DE MACHALÍ</v>
      </c>
      <c r="F464" s="11">
        <f ca="1">IFERROR(__xludf.DUMMYFUNCTION("""COMPUTED_VALUE"""),118239282)</f>
        <v>118239282</v>
      </c>
      <c r="G464" s="10" t="str">
        <f ca="1">IFERROR(__xludf.DUMMYFUNCTION("""COMPUTED_VALUE"""),"Resolución")</f>
        <v>Resolución</v>
      </c>
      <c r="H464" s="10" t="str">
        <f ca="1">IFERROR(__xludf.DUMMYFUNCTION("""COMPUTED_VALUE"""),"COMPENSACIÓN PREDIOS EXENTOS")</f>
        <v>COMPENSACIÓN PREDIOS EXENTOS</v>
      </c>
      <c r="I464" s="10" t="str">
        <f ca="1">IFERROR(__xludf.DUMMYFUNCTION("""COMPUTED_VALUE"""),"Cumplir con normativa y reglamentos internos del programa en base a los objetivos.")</f>
        <v>Cumplir con normativa y reglamentos internos del programa en base a los objetivos.</v>
      </c>
      <c r="J464" s="11">
        <f ca="1">IFERROR(__xludf.DUMMYFUNCTION("""COMPUTED_VALUE"""),118239282)</f>
        <v>118239282</v>
      </c>
      <c r="K464" s="27">
        <f ca="1">IFERROR(__xludf.DUMMYFUNCTION("""COMPUTED_VALUE"""),1)</f>
        <v>1</v>
      </c>
      <c r="L464" s="28" t="str">
        <f ca="1">IFERROR(__xludf.DUMMYFUNCTION("""COMPUTED_VALUE"""),"1/2024")</f>
        <v>1/2024</v>
      </c>
      <c r="M464" s="10" t="str">
        <f ca="1">IFERROR(__xludf.DUMMYFUNCTION("""COMPUTED_VALUE"""),"Predios Exentos")</f>
        <v>Predios Exentos</v>
      </c>
      <c r="N464" s="1"/>
      <c r="O464" s="1"/>
      <c r="P464" s="1"/>
      <c r="Q464" s="1"/>
      <c r="R464" s="1"/>
      <c r="S464" s="1"/>
      <c r="T464" s="1"/>
      <c r="U464" s="1"/>
      <c r="V464" s="1"/>
      <c r="W464" s="1"/>
      <c r="X464" s="1"/>
      <c r="Y464" s="1"/>
      <c r="Z464" s="1"/>
    </row>
    <row r="465" spans="1:26" ht="12.75" customHeight="1">
      <c r="A465" s="1"/>
      <c r="B465" s="10" t="str">
        <f ca="1">IFERROR(__xludf.DUMMYFUNCTION("""COMPUTED_VALUE"""),"Compensación Predios Exentos 2024")</f>
        <v>Compensación Predios Exentos 2024</v>
      </c>
      <c r="C465" s="26" t="str">
        <f t="shared" ca="1" si="0"/>
        <v xml:space="preserve"> RETIRO</v>
      </c>
      <c r="D465" s="10" t="str">
        <f ca="1">IFERROR(__xludf.DUMMYFUNCTION("""COMPUTED_VALUE"""),"Resolución de Transferencia")</f>
        <v>Resolución de Transferencia</v>
      </c>
      <c r="E465" s="26" t="str">
        <f ca="1">IFERROR(__xludf.DUMMYFUNCTION("""COMPUTED_VALUE"""),"MUNICIPALIDAD DE RETIRO")</f>
        <v>MUNICIPALIDAD DE RETIRO</v>
      </c>
      <c r="F465" s="11">
        <f ca="1">IFERROR(__xludf.DUMMYFUNCTION("""COMPUTED_VALUE"""),122650738)</f>
        <v>122650738</v>
      </c>
      <c r="G465" s="10" t="str">
        <f ca="1">IFERROR(__xludf.DUMMYFUNCTION("""COMPUTED_VALUE"""),"Resolución")</f>
        <v>Resolución</v>
      </c>
      <c r="H465" s="10" t="str">
        <f ca="1">IFERROR(__xludf.DUMMYFUNCTION("""COMPUTED_VALUE"""),"COMPENSACIÓN PREDIOS EXENTOS")</f>
        <v>COMPENSACIÓN PREDIOS EXENTOS</v>
      </c>
      <c r="I465" s="10" t="str">
        <f ca="1">IFERROR(__xludf.DUMMYFUNCTION("""COMPUTED_VALUE"""),"Cumplir con normativa y reglamentos internos del programa en base a los objetivos.")</f>
        <v>Cumplir con normativa y reglamentos internos del programa en base a los objetivos.</v>
      </c>
      <c r="J465" s="11">
        <f ca="1">IFERROR(__xludf.DUMMYFUNCTION("""COMPUTED_VALUE"""),122650738)</f>
        <v>122650738</v>
      </c>
      <c r="K465" s="27">
        <f ca="1">IFERROR(__xludf.DUMMYFUNCTION("""COMPUTED_VALUE"""),1)</f>
        <v>1</v>
      </c>
      <c r="L465" s="28" t="str">
        <f ca="1">IFERROR(__xludf.DUMMYFUNCTION("""COMPUTED_VALUE"""),"1/2024")</f>
        <v>1/2024</v>
      </c>
      <c r="M465" s="10" t="str">
        <f ca="1">IFERROR(__xludf.DUMMYFUNCTION("""COMPUTED_VALUE"""),"Predios Exentos")</f>
        <v>Predios Exentos</v>
      </c>
      <c r="N465" s="1"/>
      <c r="O465" s="1"/>
      <c r="P465" s="1"/>
      <c r="Q465" s="1"/>
      <c r="R465" s="1"/>
      <c r="S465" s="1"/>
      <c r="T465" s="1"/>
      <c r="U465" s="1"/>
      <c r="V465" s="1"/>
      <c r="W465" s="1"/>
      <c r="X465" s="1"/>
      <c r="Y465" s="1"/>
      <c r="Z465" s="1"/>
    </row>
    <row r="466" spans="1:26" ht="12.75" customHeight="1">
      <c r="A466" s="1"/>
      <c r="B466" s="10" t="str">
        <f ca="1">IFERROR(__xludf.DUMMYFUNCTION("""COMPUTED_VALUE"""),"Compensación Predios Exentos 2024")</f>
        <v>Compensación Predios Exentos 2024</v>
      </c>
      <c r="C466" s="26" t="str">
        <f t="shared" ca="1" si="0"/>
        <v xml:space="preserve"> QUILLÓN</v>
      </c>
      <c r="D466" s="10" t="str">
        <f ca="1">IFERROR(__xludf.DUMMYFUNCTION("""COMPUTED_VALUE"""),"Resolución de Transferencia")</f>
        <v>Resolución de Transferencia</v>
      </c>
      <c r="E466" s="26" t="str">
        <f ca="1">IFERROR(__xludf.DUMMYFUNCTION("""COMPUTED_VALUE"""),"MUNICIPALIDAD DE QUILLÓN")</f>
        <v>MUNICIPALIDAD DE QUILLÓN</v>
      </c>
      <c r="F466" s="11">
        <f ca="1">IFERROR(__xludf.DUMMYFUNCTION("""COMPUTED_VALUE"""),137225940)</f>
        <v>137225940</v>
      </c>
      <c r="G466" s="10" t="str">
        <f ca="1">IFERROR(__xludf.DUMMYFUNCTION("""COMPUTED_VALUE"""),"Resolución")</f>
        <v>Resolución</v>
      </c>
      <c r="H466" s="10" t="str">
        <f ca="1">IFERROR(__xludf.DUMMYFUNCTION("""COMPUTED_VALUE"""),"COMPENSACIÓN PREDIOS EXENTOS")</f>
        <v>COMPENSACIÓN PREDIOS EXENTOS</v>
      </c>
      <c r="I466" s="10" t="str">
        <f ca="1">IFERROR(__xludf.DUMMYFUNCTION("""COMPUTED_VALUE"""),"Cumplir con normativa y reglamentos internos del programa en base a los objetivos.")</f>
        <v>Cumplir con normativa y reglamentos internos del programa en base a los objetivos.</v>
      </c>
      <c r="J466" s="11">
        <f ca="1">IFERROR(__xludf.DUMMYFUNCTION("""COMPUTED_VALUE"""),137225940)</f>
        <v>137225940</v>
      </c>
      <c r="K466" s="27">
        <f ca="1">IFERROR(__xludf.DUMMYFUNCTION("""COMPUTED_VALUE"""),1)</f>
        <v>1</v>
      </c>
      <c r="L466" s="28" t="str">
        <f ca="1">IFERROR(__xludf.DUMMYFUNCTION("""COMPUTED_VALUE"""),"1/2024")</f>
        <v>1/2024</v>
      </c>
      <c r="M466" s="10" t="str">
        <f ca="1">IFERROR(__xludf.DUMMYFUNCTION("""COMPUTED_VALUE"""),"Predios Exentos")</f>
        <v>Predios Exentos</v>
      </c>
      <c r="N466" s="1"/>
      <c r="O466" s="1"/>
      <c r="P466" s="1"/>
      <c r="Q466" s="1"/>
      <c r="R466" s="1"/>
      <c r="S466" s="1"/>
      <c r="T466" s="1"/>
      <c r="U466" s="1"/>
      <c r="V466" s="1"/>
      <c r="W466" s="1"/>
      <c r="X466" s="1"/>
      <c r="Y466" s="1"/>
      <c r="Z466" s="1"/>
    </row>
    <row r="467" spans="1:26" ht="12.75" customHeight="1">
      <c r="A467" s="1"/>
      <c r="B467" s="10" t="str">
        <f ca="1">IFERROR(__xludf.DUMMYFUNCTION("""COMPUTED_VALUE"""),"Compensación Predios Exentos 2024")</f>
        <v>Compensación Predios Exentos 2024</v>
      </c>
      <c r="C467" s="26" t="str">
        <f t="shared" ca="1" si="0"/>
        <v xml:space="preserve"> LOS ÁLAMOS</v>
      </c>
      <c r="D467" s="10" t="str">
        <f ca="1">IFERROR(__xludf.DUMMYFUNCTION("""COMPUTED_VALUE"""),"Resolución de Transferencia")</f>
        <v>Resolución de Transferencia</v>
      </c>
      <c r="E467" s="26" t="str">
        <f ca="1">IFERROR(__xludf.DUMMYFUNCTION("""COMPUTED_VALUE"""),"MUNICIPALIDAD DE LOS ÁLAMOS")</f>
        <v>MUNICIPALIDAD DE LOS ÁLAMOS</v>
      </c>
      <c r="F467" s="11">
        <f ca="1">IFERROR(__xludf.DUMMYFUNCTION("""COMPUTED_VALUE"""),75260859)</f>
        <v>75260859</v>
      </c>
      <c r="G467" s="10" t="str">
        <f ca="1">IFERROR(__xludf.DUMMYFUNCTION("""COMPUTED_VALUE"""),"Resolución")</f>
        <v>Resolución</v>
      </c>
      <c r="H467" s="10" t="str">
        <f ca="1">IFERROR(__xludf.DUMMYFUNCTION("""COMPUTED_VALUE"""),"COMPENSACIÓN PREDIOS EXENTOS")</f>
        <v>COMPENSACIÓN PREDIOS EXENTOS</v>
      </c>
      <c r="I467" s="10" t="str">
        <f ca="1">IFERROR(__xludf.DUMMYFUNCTION("""COMPUTED_VALUE"""),"Cumplir con normativa y reglamentos internos del programa en base a los objetivos.")</f>
        <v>Cumplir con normativa y reglamentos internos del programa en base a los objetivos.</v>
      </c>
      <c r="J467" s="11">
        <f ca="1">IFERROR(__xludf.DUMMYFUNCTION("""COMPUTED_VALUE"""),75260859)</f>
        <v>75260859</v>
      </c>
      <c r="K467" s="27">
        <f ca="1">IFERROR(__xludf.DUMMYFUNCTION("""COMPUTED_VALUE"""),1)</f>
        <v>1</v>
      </c>
      <c r="L467" s="28" t="str">
        <f ca="1">IFERROR(__xludf.DUMMYFUNCTION("""COMPUTED_VALUE"""),"1/2024")</f>
        <v>1/2024</v>
      </c>
      <c r="M467" s="10" t="str">
        <f ca="1">IFERROR(__xludf.DUMMYFUNCTION("""COMPUTED_VALUE"""),"Predios Exentos")</f>
        <v>Predios Exentos</v>
      </c>
      <c r="N467" s="1"/>
      <c r="O467" s="1"/>
      <c r="P467" s="1"/>
      <c r="Q467" s="1"/>
      <c r="R467" s="1"/>
      <c r="S467" s="1"/>
      <c r="T467" s="1"/>
      <c r="U467" s="1"/>
      <c r="V467" s="1"/>
      <c r="W467" s="1"/>
      <c r="X467" s="1"/>
      <c r="Y467" s="1"/>
      <c r="Z467" s="1"/>
    </row>
    <row r="468" spans="1:26" ht="12.75" customHeight="1">
      <c r="A468" s="1"/>
      <c r="B468" s="10" t="str">
        <f ca="1">IFERROR(__xludf.DUMMYFUNCTION("""COMPUTED_VALUE"""),"Compensación Predios Exentos 2024")</f>
        <v>Compensación Predios Exentos 2024</v>
      </c>
      <c r="C468" s="26" t="str">
        <f t="shared" ca="1" si="0"/>
        <v xml:space="preserve"> TRAIGUÉN</v>
      </c>
      <c r="D468" s="10" t="str">
        <f ca="1">IFERROR(__xludf.DUMMYFUNCTION("""COMPUTED_VALUE"""),"Resolución de Transferencia")</f>
        <v>Resolución de Transferencia</v>
      </c>
      <c r="E468" s="26" t="str">
        <f ca="1">IFERROR(__xludf.DUMMYFUNCTION("""COMPUTED_VALUE"""),"MUNICIPALIDAD DE TRAIGUÉN")</f>
        <v>MUNICIPALIDAD DE TRAIGUÉN</v>
      </c>
      <c r="F468" s="11">
        <f ca="1">IFERROR(__xludf.DUMMYFUNCTION("""COMPUTED_VALUE"""),78648775)</f>
        <v>78648775</v>
      </c>
      <c r="G468" s="10" t="str">
        <f ca="1">IFERROR(__xludf.DUMMYFUNCTION("""COMPUTED_VALUE"""),"Resolución")</f>
        <v>Resolución</v>
      </c>
      <c r="H468" s="10" t="str">
        <f ca="1">IFERROR(__xludf.DUMMYFUNCTION("""COMPUTED_VALUE"""),"COMPENSACIÓN PREDIOS EXENTOS")</f>
        <v>COMPENSACIÓN PREDIOS EXENTOS</v>
      </c>
      <c r="I468" s="10" t="str">
        <f ca="1">IFERROR(__xludf.DUMMYFUNCTION("""COMPUTED_VALUE"""),"Cumplir con normativa y reglamentos internos del programa en base a los objetivos.")</f>
        <v>Cumplir con normativa y reglamentos internos del programa en base a los objetivos.</v>
      </c>
      <c r="J468" s="11">
        <f ca="1">IFERROR(__xludf.DUMMYFUNCTION("""COMPUTED_VALUE"""),78648775)</f>
        <v>78648775</v>
      </c>
      <c r="K468" s="27">
        <f ca="1">IFERROR(__xludf.DUMMYFUNCTION("""COMPUTED_VALUE"""),1)</f>
        <v>1</v>
      </c>
      <c r="L468" s="28" t="str">
        <f ca="1">IFERROR(__xludf.DUMMYFUNCTION("""COMPUTED_VALUE"""),"1/2024")</f>
        <v>1/2024</v>
      </c>
      <c r="M468" s="10" t="str">
        <f ca="1">IFERROR(__xludf.DUMMYFUNCTION("""COMPUTED_VALUE"""),"Predios Exentos")</f>
        <v>Predios Exentos</v>
      </c>
      <c r="N468" s="1"/>
      <c r="O468" s="1"/>
      <c r="P468" s="1"/>
      <c r="Q468" s="1"/>
      <c r="R468" s="1"/>
      <c r="S468" s="1"/>
      <c r="T468" s="1"/>
      <c r="U468" s="1"/>
      <c r="V468" s="1"/>
      <c r="W468" s="1"/>
      <c r="X468" s="1"/>
      <c r="Y468" s="1"/>
      <c r="Z468" s="1"/>
    </row>
    <row r="469" spans="1:26" ht="12.75" customHeight="1">
      <c r="A469" s="1"/>
      <c r="B469" s="10" t="str">
        <f ca="1">IFERROR(__xludf.DUMMYFUNCTION("""COMPUTED_VALUE"""),"Compensación Predios Exentos 2024")</f>
        <v>Compensación Predios Exentos 2024</v>
      </c>
      <c r="C469" s="26" t="str">
        <f t="shared" ca="1" si="0"/>
        <v xml:space="preserve"> PAILLACO</v>
      </c>
      <c r="D469" s="10" t="str">
        <f ca="1">IFERROR(__xludf.DUMMYFUNCTION("""COMPUTED_VALUE"""),"Resolución de Transferencia")</f>
        <v>Resolución de Transferencia</v>
      </c>
      <c r="E469" s="26" t="str">
        <f ca="1">IFERROR(__xludf.DUMMYFUNCTION("""COMPUTED_VALUE"""),"MUNICIPALIDAD DE PAILLACO")</f>
        <v>MUNICIPALIDAD DE PAILLACO</v>
      </c>
      <c r="F469" s="11">
        <f ca="1">IFERROR(__xludf.DUMMYFUNCTION("""COMPUTED_VALUE"""),63848394)</f>
        <v>63848394</v>
      </c>
      <c r="G469" s="10" t="str">
        <f ca="1">IFERROR(__xludf.DUMMYFUNCTION("""COMPUTED_VALUE"""),"Resolución")</f>
        <v>Resolución</v>
      </c>
      <c r="H469" s="10" t="str">
        <f ca="1">IFERROR(__xludf.DUMMYFUNCTION("""COMPUTED_VALUE"""),"COMPENSACIÓN PREDIOS EXENTOS")</f>
        <v>COMPENSACIÓN PREDIOS EXENTOS</v>
      </c>
      <c r="I469" s="10" t="str">
        <f ca="1">IFERROR(__xludf.DUMMYFUNCTION("""COMPUTED_VALUE"""),"Cumplir con normativa y reglamentos internos del programa en base a los objetivos.")</f>
        <v>Cumplir con normativa y reglamentos internos del programa en base a los objetivos.</v>
      </c>
      <c r="J469" s="11">
        <f ca="1">IFERROR(__xludf.DUMMYFUNCTION("""COMPUTED_VALUE"""),63848394)</f>
        <v>63848394</v>
      </c>
      <c r="K469" s="27">
        <f ca="1">IFERROR(__xludf.DUMMYFUNCTION("""COMPUTED_VALUE"""),1)</f>
        <v>1</v>
      </c>
      <c r="L469" s="28" t="str">
        <f ca="1">IFERROR(__xludf.DUMMYFUNCTION("""COMPUTED_VALUE"""),"1/2024")</f>
        <v>1/2024</v>
      </c>
      <c r="M469" s="10" t="str">
        <f ca="1">IFERROR(__xludf.DUMMYFUNCTION("""COMPUTED_VALUE"""),"Predios Exentos")</f>
        <v>Predios Exentos</v>
      </c>
      <c r="N469" s="1"/>
      <c r="O469" s="1"/>
      <c r="P469" s="1"/>
      <c r="Q469" s="1"/>
      <c r="R469" s="1"/>
      <c r="S469" s="1"/>
      <c r="T469" s="1"/>
      <c r="U469" s="1"/>
      <c r="V469" s="1"/>
      <c r="W469" s="1"/>
      <c r="X469" s="1"/>
      <c r="Y469" s="1"/>
      <c r="Z469" s="1"/>
    </row>
    <row r="470" spans="1:26" ht="12.75" customHeight="1">
      <c r="A470" s="1"/>
      <c r="B470" s="10" t="str">
        <f ca="1">IFERROR(__xludf.DUMMYFUNCTION("""COMPUTED_VALUE"""),"Compensación Predios Exentos 2024")</f>
        <v>Compensación Predios Exentos 2024</v>
      </c>
      <c r="C470" s="26" t="str">
        <f t="shared" ca="1" si="0"/>
        <v xml:space="preserve"> PANGUIPULLI</v>
      </c>
      <c r="D470" s="10" t="str">
        <f ca="1">IFERROR(__xludf.DUMMYFUNCTION("""COMPUTED_VALUE"""),"Resolución de Transferencia")</f>
        <v>Resolución de Transferencia</v>
      </c>
      <c r="E470" s="26" t="str">
        <f ca="1">IFERROR(__xludf.DUMMYFUNCTION("""COMPUTED_VALUE"""),"MUNICIPALIDAD DE PANGUIPULLI")</f>
        <v>MUNICIPALIDAD DE PANGUIPULLI</v>
      </c>
      <c r="F470" s="11">
        <f ca="1">IFERROR(__xludf.DUMMYFUNCTION("""COMPUTED_VALUE"""),128996683)</f>
        <v>128996683</v>
      </c>
      <c r="G470" s="10" t="str">
        <f ca="1">IFERROR(__xludf.DUMMYFUNCTION("""COMPUTED_VALUE"""),"Resolución")</f>
        <v>Resolución</v>
      </c>
      <c r="H470" s="10" t="str">
        <f ca="1">IFERROR(__xludf.DUMMYFUNCTION("""COMPUTED_VALUE"""),"COMPENSACIÓN PREDIOS EXENTOS")</f>
        <v>COMPENSACIÓN PREDIOS EXENTOS</v>
      </c>
      <c r="I470" s="10" t="str">
        <f ca="1">IFERROR(__xludf.DUMMYFUNCTION("""COMPUTED_VALUE"""),"Cumplir con normativa y reglamentos internos del programa en base a los objetivos.")</f>
        <v>Cumplir con normativa y reglamentos internos del programa en base a los objetivos.</v>
      </c>
      <c r="J470" s="11">
        <f ca="1">IFERROR(__xludf.DUMMYFUNCTION("""COMPUTED_VALUE"""),128996683)</f>
        <v>128996683</v>
      </c>
      <c r="K470" s="27">
        <f ca="1">IFERROR(__xludf.DUMMYFUNCTION("""COMPUTED_VALUE"""),1)</f>
        <v>1</v>
      </c>
      <c r="L470" s="28" t="str">
        <f ca="1">IFERROR(__xludf.DUMMYFUNCTION("""COMPUTED_VALUE"""),"1/2024")</f>
        <v>1/2024</v>
      </c>
      <c r="M470" s="10" t="str">
        <f ca="1">IFERROR(__xludf.DUMMYFUNCTION("""COMPUTED_VALUE"""),"Predios Exentos")</f>
        <v>Predios Exentos</v>
      </c>
      <c r="N470" s="1"/>
      <c r="O470" s="1"/>
      <c r="P470" s="1"/>
      <c r="Q470" s="1"/>
      <c r="R470" s="1"/>
      <c r="S470" s="1"/>
      <c r="T470" s="1"/>
      <c r="U470" s="1"/>
      <c r="V470" s="1"/>
      <c r="W470" s="1"/>
      <c r="X470" s="1"/>
      <c r="Y470" s="1"/>
      <c r="Z470" s="1"/>
    </row>
    <row r="471" spans="1:26" ht="12.75" customHeight="1">
      <c r="A471" s="1"/>
      <c r="B471" s="10" t="str">
        <f ca="1">IFERROR(__xludf.DUMMYFUNCTION("""COMPUTED_VALUE"""),"Compensación Predios Exentos 2024")</f>
        <v>Compensación Predios Exentos 2024</v>
      </c>
      <c r="C471" s="26" t="str">
        <f t="shared" ca="1" si="0"/>
        <v xml:space="preserve"> PALENA</v>
      </c>
      <c r="D471" s="10" t="str">
        <f ca="1">IFERROR(__xludf.DUMMYFUNCTION("""COMPUTED_VALUE"""),"Resolución de Transferencia")</f>
        <v>Resolución de Transferencia</v>
      </c>
      <c r="E471" s="26" t="str">
        <f ca="1">IFERROR(__xludf.DUMMYFUNCTION("""COMPUTED_VALUE"""),"MUNICIPALIDAD DE PALENA")</f>
        <v>MUNICIPALIDAD DE PALENA</v>
      </c>
      <c r="F471" s="11">
        <f ca="1">IFERROR(__xludf.DUMMYFUNCTION("""COMPUTED_VALUE"""),12364357)</f>
        <v>12364357</v>
      </c>
      <c r="G471" s="10" t="str">
        <f ca="1">IFERROR(__xludf.DUMMYFUNCTION("""COMPUTED_VALUE"""),"Resolución")</f>
        <v>Resolución</v>
      </c>
      <c r="H471" s="10" t="str">
        <f ca="1">IFERROR(__xludf.DUMMYFUNCTION("""COMPUTED_VALUE"""),"COMPENSACIÓN PREDIOS EXENTOS")</f>
        <v>COMPENSACIÓN PREDIOS EXENTOS</v>
      </c>
      <c r="I471" s="10" t="str">
        <f ca="1">IFERROR(__xludf.DUMMYFUNCTION("""COMPUTED_VALUE"""),"Cumplir con normativa y reglamentos internos del programa en base a los objetivos.")</f>
        <v>Cumplir con normativa y reglamentos internos del programa en base a los objetivos.</v>
      </c>
      <c r="J471" s="11">
        <f ca="1">IFERROR(__xludf.DUMMYFUNCTION("""COMPUTED_VALUE"""),12364357)</f>
        <v>12364357</v>
      </c>
      <c r="K471" s="27">
        <f ca="1">IFERROR(__xludf.DUMMYFUNCTION("""COMPUTED_VALUE"""),1)</f>
        <v>1</v>
      </c>
      <c r="L471" s="28" t="str">
        <f ca="1">IFERROR(__xludf.DUMMYFUNCTION("""COMPUTED_VALUE"""),"1/2024")</f>
        <v>1/2024</v>
      </c>
      <c r="M471" s="10" t="str">
        <f ca="1">IFERROR(__xludf.DUMMYFUNCTION("""COMPUTED_VALUE"""),"Predios Exentos")</f>
        <v>Predios Exentos</v>
      </c>
      <c r="N471" s="1"/>
      <c r="O471" s="1"/>
      <c r="P471" s="1"/>
      <c r="Q471" s="1"/>
      <c r="R471" s="1"/>
      <c r="S471" s="1"/>
      <c r="T471" s="1"/>
      <c r="U471" s="1"/>
      <c r="V471" s="1"/>
      <c r="W471" s="1"/>
      <c r="X471" s="1"/>
      <c r="Y471" s="1"/>
      <c r="Z471" s="1"/>
    </row>
    <row r="472" spans="1:26" ht="12.75" customHeight="1">
      <c r="A472" s="1"/>
      <c r="B472" s="10" t="str">
        <f ca="1">IFERROR(__xludf.DUMMYFUNCTION("""COMPUTED_VALUE"""),"Compensación Predios Exentos 2024")</f>
        <v>Compensación Predios Exentos 2024</v>
      </c>
      <c r="C472" s="26" t="str">
        <f t="shared" ca="1" si="0"/>
        <v xml:space="preserve"> CISNES</v>
      </c>
      <c r="D472" s="10" t="str">
        <f ca="1">IFERROR(__xludf.DUMMYFUNCTION("""COMPUTED_VALUE"""),"Resolución de Transferencia")</f>
        <v>Resolución de Transferencia</v>
      </c>
      <c r="E472" s="26" t="str">
        <f ca="1">IFERROR(__xludf.DUMMYFUNCTION("""COMPUTED_VALUE"""),"MUNICIPALIDAD DE CISNES")</f>
        <v>MUNICIPALIDAD DE CISNES</v>
      </c>
      <c r="F472" s="11">
        <f ca="1">IFERROR(__xludf.DUMMYFUNCTION("""COMPUTED_VALUE"""),34462575)</f>
        <v>34462575</v>
      </c>
      <c r="G472" s="10" t="str">
        <f ca="1">IFERROR(__xludf.DUMMYFUNCTION("""COMPUTED_VALUE"""),"Resolución")</f>
        <v>Resolución</v>
      </c>
      <c r="H472" s="10" t="str">
        <f ca="1">IFERROR(__xludf.DUMMYFUNCTION("""COMPUTED_VALUE"""),"COMPENSACIÓN PREDIOS EXENTOS")</f>
        <v>COMPENSACIÓN PREDIOS EXENTOS</v>
      </c>
      <c r="I472" s="10" t="str">
        <f ca="1">IFERROR(__xludf.DUMMYFUNCTION("""COMPUTED_VALUE"""),"Cumplir con normativa y reglamentos internos del programa en base a los objetivos.")</f>
        <v>Cumplir con normativa y reglamentos internos del programa en base a los objetivos.</v>
      </c>
      <c r="J472" s="11">
        <f ca="1">IFERROR(__xludf.DUMMYFUNCTION("""COMPUTED_VALUE"""),34462575)</f>
        <v>34462575</v>
      </c>
      <c r="K472" s="27">
        <f ca="1">IFERROR(__xludf.DUMMYFUNCTION("""COMPUTED_VALUE"""),1)</f>
        <v>1</v>
      </c>
      <c r="L472" s="28" t="str">
        <f ca="1">IFERROR(__xludf.DUMMYFUNCTION("""COMPUTED_VALUE"""),"1/2024")</f>
        <v>1/2024</v>
      </c>
      <c r="M472" s="10" t="str">
        <f ca="1">IFERROR(__xludf.DUMMYFUNCTION("""COMPUTED_VALUE"""),"Predios Exentos")</f>
        <v>Predios Exentos</v>
      </c>
      <c r="N472" s="1"/>
      <c r="O472" s="1"/>
      <c r="P472" s="1"/>
      <c r="Q472" s="1"/>
      <c r="R472" s="1"/>
      <c r="S472" s="1"/>
      <c r="T472" s="1"/>
      <c r="U472" s="1"/>
      <c r="V472" s="1"/>
      <c r="W472" s="1"/>
      <c r="X472" s="1"/>
      <c r="Y472" s="1"/>
      <c r="Z472" s="1"/>
    </row>
    <row r="473" spans="1:26" ht="12.75" customHeight="1">
      <c r="A473" s="1"/>
      <c r="B473" s="10" t="str">
        <f ca="1">IFERROR(__xludf.DUMMYFUNCTION("""COMPUTED_VALUE"""),"Compensación Predios Exentos 2024")</f>
        <v>Compensación Predios Exentos 2024</v>
      </c>
      <c r="C473" s="26" t="str">
        <f t="shared" ca="1" si="0"/>
        <v xml:space="preserve"> RÍO IBÁÑEZ</v>
      </c>
      <c r="D473" s="10" t="str">
        <f ca="1">IFERROR(__xludf.DUMMYFUNCTION("""COMPUTED_VALUE"""),"Resolución de Transferencia")</f>
        <v>Resolución de Transferencia</v>
      </c>
      <c r="E473" s="26" t="str">
        <f ca="1">IFERROR(__xludf.DUMMYFUNCTION("""COMPUTED_VALUE"""),"MUNICIPALIDAD DE RÍO IBÁÑEZ")</f>
        <v>MUNICIPALIDAD DE RÍO IBÁÑEZ</v>
      </c>
      <c r="F473" s="11">
        <f ca="1">IFERROR(__xludf.DUMMYFUNCTION("""COMPUTED_VALUE"""),27205680)</f>
        <v>27205680</v>
      </c>
      <c r="G473" s="10" t="str">
        <f ca="1">IFERROR(__xludf.DUMMYFUNCTION("""COMPUTED_VALUE"""),"Resolución")</f>
        <v>Resolución</v>
      </c>
      <c r="H473" s="10" t="str">
        <f ca="1">IFERROR(__xludf.DUMMYFUNCTION("""COMPUTED_VALUE"""),"COMPENSACIÓN PREDIOS EXENTOS")</f>
        <v>COMPENSACIÓN PREDIOS EXENTOS</v>
      </c>
      <c r="I473" s="10" t="str">
        <f ca="1">IFERROR(__xludf.DUMMYFUNCTION("""COMPUTED_VALUE"""),"Cumplir con normativa y reglamentos internos del programa en base a los objetivos.")</f>
        <v>Cumplir con normativa y reglamentos internos del programa en base a los objetivos.</v>
      </c>
      <c r="J473" s="11">
        <f ca="1">IFERROR(__xludf.DUMMYFUNCTION("""COMPUTED_VALUE"""),27205680)</f>
        <v>27205680</v>
      </c>
      <c r="K473" s="27">
        <f ca="1">IFERROR(__xludf.DUMMYFUNCTION("""COMPUTED_VALUE"""),1)</f>
        <v>1</v>
      </c>
      <c r="L473" s="28" t="str">
        <f ca="1">IFERROR(__xludf.DUMMYFUNCTION("""COMPUTED_VALUE"""),"1/2024")</f>
        <v>1/2024</v>
      </c>
      <c r="M473" s="10" t="str">
        <f ca="1">IFERROR(__xludf.DUMMYFUNCTION("""COMPUTED_VALUE"""),"Predios Exentos")</f>
        <v>Predios Exentos</v>
      </c>
      <c r="N473" s="1"/>
      <c r="O473" s="1"/>
      <c r="P473" s="1"/>
      <c r="Q473" s="1"/>
      <c r="R473" s="1"/>
      <c r="S473" s="1"/>
      <c r="T473" s="1"/>
      <c r="U473" s="1"/>
      <c r="V473" s="1"/>
      <c r="W473" s="1"/>
      <c r="X473" s="1"/>
      <c r="Y473" s="1"/>
      <c r="Z473" s="1"/>
    </row>
    <row r="474" spans="1:26" ht="12.75" customHeight="1">
      <c r="A474" s="1"/>
      <c r="B474" s="10" t="str">
        <f ca="1">IFERROR(__xludf.DUMMYFUNCTION("""COMPUTED_VALUE"""),"Compensación Predios Exentos 2024")</f>
        <v>Compensación Predios Exentos 2024</v>
      </c>
      <c r="C474" s="26" t="str">
        <f t="shared" ca="1" si="0"/>
        <v xml:space="preserve"> MELIPEUCO</v>
      </c>
      <c r="D474" s="10" t="str">
        <f ca="1">IFERROR(__xludf.DUMMYFUNCTION("""COMPUTED_VALUE"""),"Resolución de Transferencia")</f>
        <v>Resolución de Transferencia</v>
      </c>
      <c r="E474" s="26" t="str">
        <f ca="1">IFERROR(__xludf.DUMMYFUNCTION("""COMPUTED_VALUE"""),"MUNICIPALIDAD DE MELIPEUCO")</f>
        <v>MUNICIPALIDAD DE MELIPEUCO</v>
      </c>
      <c r="F474" s="11">
        <f ca="1">IFERROR(__xludf.DUMMYFUNCTION("""COMPUTED_VALUE"""),35189288)</f>
        <v>35189288</v>
      </c>
      <c r="G474" s="10" t="str">
        <f ca="1">IFERROR(__xludf.DUMMYFUNCTION("""COMPUTED_VALUE"""),"Resolución")</f>
        <v>Resolución</v>
      </c>
      <c r="H474" s="10" t="str">
        <f ca="1">IFERROR(__xludf.DUMMYFUNCTION("""COMPUTED_VALUE"""),"COMPENSACIÓN PREDIOS EXENTOS")</f>
        <v>COMPENSACIÓN PREDIOS EXENTOS</v>
      </c>
      <c r="I474" s="10" t="str">
        <f ca="1">IFERROR(__xludf.DUMMYFUNCTION("""COMPUTED_VALUE"""),"Cumplir con normativa y reglamentos internos del programa en base a los objetivos.")</f>
        <v>Cumplir con normativa y reglamentos internos del programa en base a los objetivos.</v>
      </c>
      <c r="J474" s="11">
        <f ca="1">IFERROR(__xludf.DUMMYFUNCTION("""COMPUTED_VALUE"""),35189288)</f>
        <v>35189288</v>
      </c>
      <c r="K474" s="27">
        <f ca="1">IFERROR(__xludf.DUMMYFUNCTION("""COMPUTED_VALUE"""),1)</f>
        <v>1</v>
      </c>
      <c r="L474" s="28" t="str">
        <f ca="1">IFERROR(__xludf.DUMMYFUNCTION("""COMPUTED_VALUE"""),"1/2024")</f>
        <v>1/2024</v>
      </c>
      <c r="M474" s="10" t="str">
        <f ca="1">IFERROR(__xludf.DUMMYFUNCTION("""COMPUTED_VALUE"""),"Predios Exentos")</f>
        <v>Predios Exentos</v>
      </c>
      <c r="N474" s="1"/>
      <c r="O474" s="1"/>
      <c r="P474" s="1"/>
      <c r="Q474" s="1"/>
      <c r="R474" s="1"/>
      <c r="S474" s="1"/>
      <c r="T474" s="1"/>
      <c r="U474" s="1"/>
      <c r="V474" s="1"/>
      <c r="W474" s="1"/>
      <c r="X474" s="1"/>
      <c r="Y474" s="1"/>
      <c r="Z474" s="1"/>
    </row>
    <row r="475" spans="1:26" ht="12.75" customHeight="1">
      <c r="A475" s="1"/>
      <c r="B475" s="10" t="str">
        <f ca="1">IFERROR(__xludf.DUMMYFUNCTION("""COMPUTED_VALUE"""),"Compensación Predios Exentos 2024")</f>
        <v>Compensación Predios Exentos 2024</v>
      </c>
      <c r="C475" s="26" t="str">
        <f t="shared" ca="1" si="0"/>
        <v xml:space="preserve"> RINCONADA</v>
      </c>
      <c r="D475" s="10" t="str">
        <f ca="1">IFERROR(__xludf.DUMMYFUNCTION("""COMPUTED_VALUE"""),"Resolución de Transferencia")</f>
        <v>Resolución de Transferencia</v>
      </c>
      <c r="E475" s="26" t="str">
        <f ca="1">IFERROR(__xludf.DUMMYFUNCTION("""COMPUTED_VALUE"""),"MUNICIPALIDAD DE RINCONADA")</f>
        <v>MUNICIPALIDAD DE RINCONADA</v>
      </c>
      <c r="F475" s="11">
        <f ca="1">IFERROR(__xludf.DUMMYFUNCTION("""COMPUTED_VALUE"""),32589498)</f>
        <v>32589498</v>
      </c>
      <c r="G475" s="10" t="str">
        <f ca="1">IFERROR(__xludf.DUMMYFUNCTION("""COMPUTED_VALUE"""),"Resolución")</f>
        <v>Resolución</v>
      </c>
      <c r="H475" s="10" t="str">
        <f ca="1">IFERROR(__xludf.DUMMYFUNCTION("""COMPUTED_VALUE"""),"COMPENSACIÓN PREDIOS EXENTOS")</f>
        <v>COMPENSACIÓN PREDIOS EXENTOS</v>
      </c>
      <c r="I475" s="10" t="str">
        <f ca="1">IFERROR(__xludf.DUMMYFUNCTION("""COMPUTED_VALUE"""),"Cumplir con normativa y reglamentos internos del programa en base a los objetivos.")</f>
        <v>Cumplir con normativa y reglamentos internos del programa en base a los objetivos.</v>
      </c>
      <c r="J475" s="11">
        <f ca="1">IFERROR(__xludf.DUMMYFUNCTION("""COMPUTED_VALUE"""),32589498)</f>
        <v>32589498</v>
      </c>
      <c r="K475" s="27">
        <f ca="1">IFERROR(__xludf.DUMMYFUNCTION("""COMPUTED_VALUE"""),1)</f>
        <v>1</v>
      </c>
      <c r="L475" s="28" t="str">
        <f ca="1">IFERROR(__xludf.DUMMYFUNCTION("""COMPUTED_VALUE"""),"1/2024")</f>
        <v>1/2024</v>
      </c>
      <c r="M475" s="10" t="str">
        <f ca="1">IFERROR(__xludf.DUMMYFUNCTION("""COMPUTED_VALUE"""),"Predios Exentos")</f>
        <v>Predios Exentos</v>
      </c>
      <c r="N475" s="1"/>
      <c r="O475" s="1"/>
      <c r="P475" s="1"/>
      <c r="Q475" s="1"/>
      <c r="R475" s="1"/>
      <c r="S475" s="1"/>
      <c r="T475" s="1"/>
      <c r="U475" s="1"/>
      <c r="V475" s="1"/>
      <c r="W475" s="1"/>
      <c r="X475" s="1"/>
      <c r="Y475" s="1"/>
      <c r="Z475" s="1"/>
    </row>
    <row r="476" spans="1:26" ht="12.75" customHeight="1">
      <c r="A476" s="1"/>
      <c r="B476" s="10" t="str">
        <f ca="1">IFERROR(__xludf.DUMMYFUNCTION("""COMPUTED_VALUE"""),"Compensación Predios Exentos 2024")</f>
        <v>Compensación Predios Exentos 2024</v>
      </c>
      <c r="C476" s="26" t="str">
        <f t="shared" ca="1" si="0"/>
        <v xml:space="preserve"> CABO DE HORNOS</v>
      </c>
      <c r="D476" s="10" t="str">
        <f ca="1">IFERROR(__xludf.DUMMYFUNCTION("""COMPUTED_VALUE"""),"Resolución de Transferencia")</f>
        <v>Resolución de Transferencia</v>
      </c>
      <c r="E476" s="26" t="str">
        <f ca="1">IFERROR(__xludf.DUMMYFUNCTION("""COMPUTED_VALUE"""),"MUNICIPALIDAD DE CABO DE HORNOS")</f>
        <v>MUNICIPALIDAD DE CABO DE HORNOS</v>
      </c>
      <c r="F476" s="11">
        <f ca="1">IFERROR(__xludf.DUMMYFUNCTION("""COMPUTED_VALUE"""),10051158)</f>
        <v>10051158</v>
      </c>
      <c r="G476" s="10" t="str">
        <f ca="1">IFERROR(__xludf.DUMMYFUNCTION("""COMPUTED_VALUE"""),"Resolución")</f>
        <v>Resolución</v>
      </c>
      <c r="H476" s="10" t="str">
        <f ca="1">IFERROR(__xludf.DUMMYFUNCTION("""COMPUTED_VALUE"""),"COMPENSACIÓN PREDIOS EXENTOS")</f>
        <v>COMPENSACIÓN PREDIOS EXENTOS</v>
      </c>
      <c r="I476" s="10" t="str">
        <f ca="1">IFERROR(__xludf.DUMMYFUNCTION("""COMPUTED_VALUE"""),"Cumplir con normativa y reglamentos internos del programa en base a los objetivos.")</f>
        <v>Cumplir con normativa y reglamentos internos del programa en base a los objetivos.</v>
      </c>
      <c r="J476" s="11">
        <f ca="1">IFERROR(__xludf.DUMMYFUNCTION("""COMPUTED_VALUE"""),10051158)</f>
        <v>10051158</v>
      </c>
      <c r="K476" s="27">
        <f ca="1">IFERROR(__xludf.DUMMYFUNCTION("""COMPUTED_VALUE"""),1)</f>
        <v>1</v>
      </c>
      <c r="L476" s="28" t="str">
        <f ca="1">IFERROR(__xludf.DUMMYFUNCTION("""COMPUTED_VALUE"""),"1/2024")</f>
        <v>1/2024</v>
      </c>
      <c r="M476" s="10" t="str">
        <f ca="1">IFERROR(__xludf.DUMMYFUNCTION("""COMPUTED_VALUE"""),"Predios Exentos")</f>
        <v>Predios Exentos</v>
      </c>
      <c r="N476" s="1"/>
      <c r="O476" s="1"/>
      <c r="P476" s="1"/>
      <c r="Q476" s="1"/>
      <c r="R476" s="1"/>
      <c r="S476" s="1"/>
      <c r="T476" s="1"/>
      <c r="U476" s="1"/>
      <c r="V476" s="1"/>
      <c r="W476" s="1"/>
      <c r="X476" s="1"/>
      <c r="Y476" s="1"/>
      <c r="Z476" s="1"/>
    </row>
    <row r="477" spans="1:26" ht="12.75" customHeight="1">
      <c r="A477" s="1"/>
      <c r="B477" s="10" t="str">
        <f ca="1">IFERROR(__xludf.DUMMYFUNCTION("""COMPUTED_VALUE"""),"Compensación Predios Exentos 2024")</f>
        <v>Compensación Predios Exentos 2024</v>
      </c>
      <c r="C477" s="26" t="str">
        <f t="shared" ca="1" si="0"/>
        <v xml:space="preserve"> CHIMBARONGO</v>
      </c>
      <c r="D477" s="10" t="str">
        <f ca="1">IFERROR(__xludf.DUMMYFUNCTION("""COMPUTED_VALUE"""),"Resolución de Transferencia")</f>
        <v>Resolución de Transferencia</v>
      </c>
      <c r="E477" s="26" t="str">
        <f ca="1">IFERROR(__xludf.DUMMYFUNCTION("""COMPUTED_VALUE"""),"MUNICIPALIDAD DE CHIMBARONGO")</f>
        <v>MUNICIPALIDAD DE CHIMBARONGO</v>
      </c>
      <c r="F477" s="11">
        <f ca="1">IFERROR(__xludf.DUMMYFUNCTION("""COMPUTED_VALUE"""),120972133)</f>
        <v>120972133</v>
      </c>
      <c r="G477" s="10" t="str">
        <f ca="1">IFERROR(__xludf.DUMMYFUNCTION("""COMPUTED_VALUE"""),"Resolución")</f>
        <v>Resolución</v>
      </c>
      <c r="H477" s="10" t="str">
        <f ca="1">IFERROR(__xludf.DUMMYFUNCTION("""COMPUTED_VALUE"""),"COMPENSACIÓN PREDIOS EXENTOS")</f>
        <v>COMPENSACIÓN PREDIOS EXENTOS</v>
      </c>
      <c r="I477" s="10" t="str">
        <f ca="1">IFERROR(__xludf.DUMMYFUNCTION("""COMPUTED_VALUE"""),"Cumplir con normativa y reglamentos internos del programa en base a los objetivos.")</f>
        <v>Cumplir con normativa y reglamentos internos del programa en base a los objetivos.</v>
      </c>
      <c r="J477" s="11">
        <f ca="1">IFERROR(__xludf.DUMMYFUNCTION("""COMPUTED_VALUE"""),120972133)</f>
        <v>120972133</v>
      </c>
      <c r="K477" s="27">
        <f ca="1">IFERROR(__xludf.DUMMYFUNCTION("""COMPUTED_VALUE"""),1)</f>
        <v>1</v>
      </c>
      <c r="L477" s="28" t="str">
        <f ca="1">IFERROR(__xludf.DUMMYFUNCTION("""COMPUTED_VALUE"""),"1/2024")</f>
        <v>1/2024</v>
      </c>
      <c r="M477" s="10" t="str">
        <f ca="1">IFERROR(__xludf.DUMMYFUNCTION("""COMPUTED_VALUE"""),"Predios Exentos")</f>
        <v>Predios Exentos</v>
      </c>
      <c r="N477" s="1"/>
      <c r="O477" s="1"/>
      <c r="P477" s="1"/>
      <c r="Q477" s="1"/>
      <c r="R477" s="1"/>
      <c r="S477" s="1"/>
      <c r="T477" s="1"/>
      <c r="U477" s="1"/>
      <c r="V477" s="1"/>
      <c r="W477" s="1"/>
      <c r="X477" s="1"/>
      <c r="Y477" s="1"/>
      <c r="Z477" s="1"/>
    </row>
    <row r="478" spans="1:26" ht="12.75" customHeight="1">
      <c r="A478" s="1"/>
      <c r="B478" s="10" t="str">
        <f ca="1">IFERROR(__xludf.DUMMYFUNCTION("""COMPUTED_VALUE"""),"Compensación Predios Exentos 2024")</f>
        <v>Compensación Predios Exentos 2024</v>
      </c>
      <c r="C478" s="26" t="str">
        <f t="shared" ca="1" si="0"/>
        <v xml:space="preserve"> CONSTITUCIÓN</v>
      </c>
      <c r="D478" s="10" t="str">
        <f ca="1">IFERROR(__xludf.DUMMYFUNCTION("""COMPUTED_VALUE"""),"Resolución de Transferencia")</f>
        <v>Resolución de Transferencia</v>
      </c>
      <c r="E478" s="26" t="str">
        <f ca="1">IFERROR(__xludf.DUMMYFUNCTION("""COMPUTED_VALUE"""),"MUNICIPALIDAD DE CONSTITUCIÓN")</f>
        <v>MUNICIPALIDAD DE CONSTITUCIÓN</v>
      </c>
      <c r="F478" s="11">
        <f ca="1">IFERROR(__xludf.DUMMYFUNCTION("""COMPUTED_VALUE"""),221258533)</f>
        <v>221258533</v>
      </c>
      <c r="G478" s="10" t="str">
        <f ca="1">IFERROR(__xludf.DUMMYFUNCTION("""COMPUTED_VALUE"""),"Resolución")</f>
        <v>Resolución</v>
      </c>
      <c r="H478" s="10" t="str">
        <f ca="1">IFERROR(__xludf.DUMMYFUNCTION("""COMPUTED_VALUE"""),"COMPENSACIÓN PREDIOS EXENTOS")</f>
        <v>COMPENSACIÓN PREDIOS EXENTOS</v>
      </c>
      <c r="I478" s="10" t="str">
        <f ca="1">IFERROR(__xludf.DUMMYFUNCTION("""COMPUTED_VALUE"""),"Cumplir con normativa y reglamentos internos del programa en base a los objetivos.")</f>
        <v>Cumplir con normativa y reglamentos internos del programa en base a los objetivos.</v>
      </c>
      <c r="J478" s="11">
        <f ca="1">IFERROR(__xludf.DUMMYFUNCTION("""COMPUTED_VALUE"""),221258533)</f>
        <v>221258533</v>
      </c>
      <c r="K478" s="27">
        <f ca="1">IFERROR(__xludf.DUMMYFUNCTION("""COMPUTED_VALUE"""),1)</f>
        <v>1</v>
      </c>
      <c r="L478" s="28" t="str">
        <f ca="1">IFERROR(__xludf.DUMMYFUNCTION("""COMPUTED_VALUE"""),"1/2024")</f>
        <v>1/2024</v>
      </c>
      <c r="M478" s="10" t="str">
        <f ca="1">IFERROR(__xludf.DUMMYFUNCTION("""COMPUTED_VALUE"""),"Predios Exentos")</f>
        <v>Predios Exentos</v>
      </c>
      <c r="N478" s="1"/>
      <c r="O478" s="1"/>
      <c r="P478" s="1"/>
      <c r="Q478" s="1"/>
      <c r="R478" s="1"/>
      <c r="S478" s="1"/>
      <c r="T478" s="1"/>
      <c r="U478" s="1"/>
      <c r="V478" s="1"/>
      <c r="W478" s="1"/>
      <c r="X478" s="1"/>
      <c r="Y478" s="1"/>
      <c r="Z478" s="1"/>
    </row>
    <row r="479" spans="1:26" ht="12.75" customHeight="1">
      <c r="A479" s="1"/>
      <c r="B479" s="10" t="str">
        <f ca="1">IFERROR(__xludf.DUMMYFUNCTION("""COMPUTED_VALUE"""),"Compensación Predios Exentos 2024")</f>
        <v>Compensación Predios Exentos 2024</v>
      </c>
      <c r="C479" s="26" t="str">
        <f t="shared" ca="1" si="0"/>
        <v xml:space="preserve"> ALTO DEL CARMEN</v>
      </c>
      <c r="D479" s="10" t="str">
        <f ca="1">IFERROR(__xludf.DUMMYFUNCTION("""COMPUTED_VALUE"""),"Resolución de Transferencia")</f>
        <v>Resolución de Transferencia</v>
      </c>
      <c r="E479" s="26" t="str">
        <f ca="1">IFERROR(__xludf.DUMMYFUNCTION("""COMPUTED_VALUE"""),"MUNICIPALIDAD DE ALTO DEL CARMEN")</f>
        <v>MUNICIPALIDAD DE ALTO DEL CARMEN</v>
      </c>
      <c r="F479" s="11">
        <f ca="1">IFERROR(__xludf.DUMMYFUNCTION("""COMPUTED_VALUE"""),35916001)</f>
        <v>35916001</v>
      </c>
      <c r="G479" s="10" t="str">
        <f ca="1">IFERROR(__xludf.DUMMYFUNCTION("""COMPUTED_VALUE"""),"Resolución")</f>
        <v>Resolución</v>
      </c>
      <c r="H479" s="10" t="str">
        <f ca="1">IFERROR(__xludf.DUMMYFUNCTION("""COMPUTED_VALUE"""),"COMPENSACIÓN PREDIOS EXENTOS")</f>
        <v>COMPENSACIÓN PREDIOS EXENTOS</v>
      </c>
      <c r="I479" s="10" t="str">
        <f ca="1">IFERROR(__xludf.DUMMYFUNCTION("""COMPUTED_VALUE"""),"Cumplir con normativa y reglamentos internos del programa en base a los objetivos.")</f>
        <v>Cumplir con normativa y reglamentos internos del programa en base a los objetivos.</v>
      </c>
      <c r="J479" s="11">
        <f ca="1">IFERROR(__xludf.DUMMYFUNCTION("""COMPUTED_VALUE"""),35916001)</f>
        <v>35916001</v>
      </c>
      <c r="K479" s="27">
        <f ca="1">IFERROR(__xludf.DUMMYFUNCTION("""COMPUTED_VALUE"""),1)</f>
        <v>1</v>
      </c>
      <c r="L479" s="28" t="str">
        <f ca="1">IFERROR(__xludf.DUMMYFUNCTION("""COMPUTED_VALUE"""),"1/2024")</f>
        <v>1/2024</v>
      </c>
      <c r="M479" s="10" t="str">
        <f ca="1">IFERROR(__xludf.DUMMYFUNCTION("""COMPUTED_VALUE"""),"Predios Exentos")</f>
        <v>Predios Exentos</v>
      </c>
      <c r="N479" s="1"/>
      <c r="O479" s="1"/>
      <c r="P479" s="1"/>
      <c r="Q479" s="1"/>
      <c r="R479" s="1"/>
      <c r="S479" s="1"/>
      <c r="T479" s="1"/>
      <c r="U479" s="1"/>
      <c r="V479" s="1"/>
      <c r="W479" s="1"/>
      <c r="X479" s="1"/>
      <c r="Y479" s="1"/>
      <c r="Z479" s="1"/>
    </row>
    <row r="480" spans="1:26" ht="12.75" customHeight="1">
      <c r="A480" s="1"/>
      <c r="B480" s="10" t="str">
        <f ca="1">IFERROR(__xludf.DUMMYFUNCTION("""COMPUTED_VALUE"""),"Compensación Predios Exentos 2024")</f>
        <v>Compensación Predios Exentos 2024</v>
      </c>
      <c r="C480" s="26" t="str">
        <f t="shared" ca="1" si="0"/>
        <v xml:space="preserve"> LO ESPEJO</v>
      </c>
      <c r="D480" s="10" t="str">
        <f ca="1">IFERROR(__xludf.DUMMYFUNCTION("""COMPUTED_VALUE"""),"Resolución de Transferencia")</f>
        <v>Resolución de Transferencia</v>
      </c>
      <c r="E480" s="26" t="str">
        <f ca="1">IFERROR(__xludf.DUMMYFUNCTION("""COMPUTED_VALUE"""),"MUNICIPALIDAD DE LO ESPEJO")</f>
        <v>MUNICIPALIDAD DE LO ESPEJO</v>
      </c>
      <c r="F480" s="11">
        <f ca="1">IFERROR(__xludf.DUMMYFUNCTION("""COMPUTED_VALUE"""),235547144)</f>
        <v>235547144</v>
      </c>
      <c r="G480" s="10" t="str">
        <f ca="1">IFERROR(__xludf.DUMMYFUNCTION("""COMPUTED_VALUE"""),"Resolución")</f>
        <v>Resolución</v>
      </c>
      <c r="H480" s="10" t="str">
        <f ca="1">IFERROR(__xludf.DUMMYFUNCTION("""COMPUTED_VALUE"""),"COMPENSACIÓN PREDIOS EXENTOS")</f>
        <v>COMPENSACIÓN PREDIOS EXENTOS</v>
      </c>
      <c r="I480" s="10" t="str">
        <f ca="1">IFERROR(__xludf.DUMMYFUNCTION("""COMPUTED_VALUE"""),"Cumplir con normativa y reglamentos internos del programa en base a los objetivos.")</f>
        <v>Cumplir con normativa y reglamentos internos del programa en base a los objetivos.</v>
      </c>
      <c r="J480" s="11">
        <f ca="1">IFERROR(__xludf.DUMMYFUNCTION("""COMPUTED_VALUE"""),235547144)</f>
        <v>235547144</v>
      </c>
      <c r="K480" s="27">
        <f ca="1">IFERROR(__xludf.DUMMYFUNCTION("""COMPUTED_VALUE"""),1)</f>
        <v>1</v>
      </c>
      <c r="L480" s="28" t="str">
        <f ca="1">IFERROR(__xludf.DUMMYFUNCTION("""COMPUTED_VALUE"""),"1/2024")</f>
        <v>1/2024</v>
      </c>
      <c r="M480" s="10" t="str">
        <f ca="1">IFERROR(__xludf.DUMMYFUNCTION("""COMPUTED_VALUE"""),"Predios Exentos")</f>
        <v>Predios Exentos</v>
      </c>
      <c r="N480" s="1"/>
      <c r="O480" s="1"/>
      <c r="P480" s="1"/>
      <c r="Q480" s="1"/>
      <c r="R480" s="1"/>
      <c r="S480" s="1"/>
      <c r="T480" s="1"/>
      <c r="U480" s="1"/>
      <c r="V480" s="1"/>
      <c r="W480" s="1"/>
      <c r="X480" s="1"/>
      <c r="Y480" s="1"/>
      <c r="Z480" s="1"/>
    </row>
    <row r="481" spans="1:26" ht="12.75" customHeight="1">
      <c r="A481" s="1"/>
      <c r="B481" s="10" t="str">
        <f ca="1">IFERROR(__xludf.DUMMYFUNCTION("""COMPUTED_VALUE"""),"Compensación Predios Exentos 2024")</f>
        <v>Compensación Predios Exentos 2024</v>
      </c>
      <c r="C481" s="26" t="str">
        <f t="shared" ca="1" si="0"/>
        <v xml:space="preserve"> TOCOPILLA</v>
      </c>
      <c r="D481" s="10" t="str">
        <f ca="1">IFERROR(__xludf.DUMMYFUNCTION("""COMPUTED_VALUE"""),"Resolución de Transferencia")</f>
        <v>Resolución de Transferencia</v>
      </c>
      <c r="E481" s="26" t="str">
        <f ca="1">IFERROR(__xludf.DUMMYFUNCTION("""COMPUTED_VALUE"""),"MUNICIPALIDAD DE TOCOPILLA")</f>
        <v>MUNICIPALIDAD DE TOCOPILLA</v>
      </c>
      <c r="F481" s="11">
        <f ca="1">IFERROR(__xludf.DUMMYFUNCTION("""COMPUTED_VALUE"""),96489068)</f>
        <v>96489068</v>
      </c>
      <c r="G481" s="10" t="str">
        <f ca="1">IFERROR(__xludf.DUMMYFUNCTION("""COMPUTED_VALUE"""),"Resolución")</f>
        <v>Resolución</v>
      </c>
      <c r="H481" s="10" t="str">
        <f ca="1">IFERROR(__xludf.DUMMYFUNCTION("""COMPUTED_VALUE"""),"COMPENSACIÓN PREDIOS EXENTOS")</f>
        <v>COMPENSACIÓN PREDIOS EXENTOS</v>
      </c>
      <c r="I481" s="10" t="str">
        <f ca="1">IFERROR(__xludf.DUMMYFUNCTION("""COMPUTED_VALUE"""),"Cumplir con normativa y reglamentos internos del programa en base a los objetivos.")</f>
        <v>Cumplir con normativa y reglamentos internos del programa en base a los objetivos.</v>
      </c>
      <c r="J481" s="11">
        <f ca="1">IFERROR(__xludf.DUMMYFUNCTION("""COMPUTED_VALUE"""),96489068)</f>
        <v>96489068</v>
      </c>
      <c r="K481" s="27">
        <f ca="1">IFERROR(__xludf.DUMMYFUNCTION("""COMPUTED_VALUE"""),1)</f>
        <v>1</v>
      </c>
      <c r="L481" s="28" t="str">
        <f ca="1">IFERROR(__xludf.DUMMYFUNCTION("""COMPUTED_VALUE"""),"1/2024")</f>
        <v>1/2024</v>
      </c>
      <c r="M481" s="10" t="str">
        <f ca="1">IFERROR(__xludf.DUMMYFUNCTION("""COMPUTED_VALUE"""),"Predios Exentos")</f>
        <v>Predios Exentos</v>
      </c>
      <c r="N481" s="1"/>
      <c r="O481" s="1"/>
      <c r="P481" s="1"/>
      <c r="Q481" s="1"/>
      <c r="R481" s="1"/>
      <c r="S481" s="1"/>
      <c r="T481" s="1"/>
      <c r="U481" s="1"/>
      <c r="V481" s="1"/>
      <c r="W481" s="1"/>
      <c r="X481" s="1"/>
      <c r="Y481" s="1"/>
      <c r="Z481" s="1"/>
    </row>
    <row r="482" spans="1:26" ht="12.75" customHeight="1">
      <c r="A482" s="1"/>
      <c r="B482" s="10" t="str">
        <f ca="1">IFERROR(__xludf.DUMMYFUNCTION("""COMPUTED_VALUE"""),"Compensación Predios Exentos 2024")</f>
        <v>Compensación Predios Exentos 2024</v>
      </c>
      <c r="C482" s="26" t="str">
        <f t="shared" ca="1" si="0"/>
        <v xml:space="preserve"> MONTE PATRIA</v>
      </c>
      <c r="D482" s="10" t="str">
        <f ca="1">IFERROR(__xludf.DUMMYFUNCTION("""COMPUTED_VALUE"""),"Resolución de Transferencia")</f>
        <v>Resolución de Transferencia</v>
      </c>
      <c r="E482" s="26" t="str">
        <f ca="1">IFERROR(__xludf.DUMMYFUNCTION("""COMPUTED_VALUE"""),"MUNICIPALIDAD DE MONTE PATRIA")</f>
        <v>MUNICIPALIDAD DE MONTE PATRIA</v>
      </c>
      <c r="F482" s="11">
        <f ca="1">IFERROR(__xludf.DUMMYFUNCTION("""COMPUTED_VALUE"""),157461316)</f>
        <v>157461316</v>
      </c>
      <c r="G482" s="10" t="str">
        <f ca="1">IFERROR(__xludf.DUMMYFUNCTION("""COMPUTED_VALUE"""),"Resolución")</f>
        <v>Resolución</v>
      </c>
      <c r="H482" s="10" t="str">
        <f ca="1">IFERROR(__xludf.DUMMYFUNCTION("""COMPUTED_VALUE"""),"COMPENSACIÓN PREDIOS EXENTOS")</f>
        <v>COMPENSACIÓN PREDIOS EXENTOS</v>
      </c>
      <c r="I482" s="10" t="str">
        <f ca="1">IFERROR(__xludf.DUMMYFUNCTION("""COMPUTED_VALUE"""),"Cumplir con normativa y reglamentos internos del programa en base a los objetivos.")</f>
        <v>Cumplir con normativa y reglamentos internos del programa en base a los objetivos.</v>
      </c>
      <c r="J482" s="11">
        <f ca="1">IFERROR(__xludf.DUMMYFUNCTION("""COMPUTED_VALUE"""),157461316)</f>
        <v>157461316</v>
      </c>
      <c r="K482" s="27">
        <f ca="1">IFERROR(__xludf.DUMMYFUNCTION("""COMPUTED_VALUE"""),1)</f>
        <v>1</v>
      </c>
      <c r="L482" s="28" t="str">
        <f ca="1">IFERROR(__xludf.DUMMYFUNCTION("""COMPUTED_VALUE"""),"1/2024")</f>
        <v>1/2024</v>
      </c>
      <c r="M482" s="10" t="str">
        <f ca="1">IFERROR(__xludf.DUMMYFUNCTION("""COMPUTED_VALUE"""),"Predios Exentos")</f>
        <v>Predios Exentos</v>
      </c>
      <c r="N482" s="1"/>
      <c r="O482" s="1"/>
      <c r="P482" s="1"/>
      <c r="Q482" s="1"/>
      <c r="R482" s="1"/>
      <c r="S482" s="1"/>
      <c r="T482" s="1"/>
      <c r="U482" s="1"/>
      <c r="V482" s="1"/>
      <c r="W482" s="1"/>
      <c r="X482" s="1"/>
      <c r="Y482" s="1"/>
      <c r="Z482" s="1"/>
    </row>
    <row r="483" spans="1:26" ht="12.75" customHeight="1">
      <c r="A483" s="1"/>
      <c r="B483" s="10" t="str">
        <f ca="1">IFERROR(__xludf.DUMMYFUNCTION("""COMPUTED_VALUE"""),"Compensación Predios Exentos 2024")</f>
        <v>Compensación Predios Exentos 2024</v>
      </c>
      <c r="C483" s="26" t="str">
        <f t="shared" ca="1" si="0"/>
        <v xml:space="preserve"> TILTIL</v>
      </c>
      <c r="D483" s="10" t="str">
        <f ca="1">IFERROR(__xludf.DUMMYFUNCTION("""COMPUTED_VALUE"""),"Resolución de Transferencia")</f>
        <v>Resolución de Transferencia</v>
      </c>
      <c r="E483" s="26" t="str">
        <f ca="1">IFERROR(__xludf.DUMMYFUNCTION("""COMPUTED_VALUE"""),"MUNICIPALIDAD DE TILTIL")</f>
        <v>MUNICIPALIDAD DE TILTIL</v>
      </c>
      <c r="F483" s="11">
        <f ca="1">IFERROR(__xludf.DUMMYFUNCTION("""COMPUTED_VALUE"""),42528066)</f>
        <v>42528066</v>
      </c>
      <c r="G483" s="10" t="str">
        <f ca="1">IFERROR(__xludf.DUMMYFUNCTION("""COMPUTED_VALUE"""),"Resolución")</f>
        <v>Resolución</v>
      </c>
      <c r="H483" s="10" t="str">
        <f ca="1">IFERROR(__xludf.DUMMYFUNCTION("""COMPUTED_VALUE"""),"COMPENSACIÓN PREDIOS EXENTOS")</f>
        <v>COMPENSACIÓN PREDIOS EXENTOS</v>
      </c>
      <c r="I483" s="10" t="str">
        <f ca="1">IFERROR(__xludf.DUMMYFUNCTION("""COMPUTED_VALUE"""),"Cumplir con normativa y reglamentos internos del programa en base a los objetivos.")</f>
        <v>Cumplir con normativa y reglamentos internos del programa en base a los objetivos.</v>
      </c>
      <c r="J483" s="11">
        <f ca="1">IFERROR(__xludf.DUMMYFUNCTION("""COMPUTED_VALUE"""),42528066)</f>
        <v>42528066</v>
      </c>
      <c r="K483" s="27">
        <f ca="1">IFERROR(__xludf.DUMMYFUNCTION("""COMPUTED_VALUE"""),1)</f>
        <v>1</v>
      </c>
      <c r="L483" s="28" t="str">
        <f ca="1">IFERROR(__xludf.DUMMYFUNCTION("""COMPUTED_VALUE"""),"1/2024")</f>
        <v>1/2024</v>
      </c>
      <c r="M483" s="10" t="str">
        <f ca="1">IFERROR(__xludf.DUMMYFUNCTION("""COMPUTED_VALUE"""),"Predios Exentos")</f>
        <v>Predios Exentos</v>
      </c>
      <c r="N483" s="1"/>
      <c r="O483" s="1"/>
      <c r="P483" s="1"/>
      <c r="Q483" s="1"/>
      <c r="R483" s="1"/>
      <c r="S483" s="1"/>
      <c r="T483" s="1"/>
      <c r="U483" s="1"/>
      <c r="V483" s="1"/>
      <c r="W483" s="1"/>
      <c r="X483" s="1"/>
      <c r="Y483" s="1"/>
      <c r="Z483" s="1"/>
    </row>
    <row r="484" spans="1:26" ht="12.75" customHeight="1">
      <c r="A484" s="1"/>
      <c r="B484" s="10" t="str">
        <f ca="1">IFERROR(__xludf.DUMMYFUNCTION("""COMPUTED_VALUE"""),"Compensación Predios Exentos 2024")</f>
        <v>Compensación Predios Exentos 2024</v>
      </c>
      <c r="C484" s="26" t="str">
        <f t="shared" ca="1" si="0"/>
        <v xml:space="preserve"> SANTO DOMINGO</v>
      </c>
      <c r="D484" s="10" t="str">
        <f ca="1">IFERROR(__xludf.DUMMYFUNCTION("""COMPUTED_VALUE"""),"Resolución de Transferencia")</f>
        <v>Resolución de Transferencia</v>
      </c>
      <c r="E484" s="26" t="str">
        <f ca="1">IFERROR(__xludf.DUMMYFUNCTION("""COMPUTED_VALUE"""),"MUNICIPALIDAD DE SANTO DOMINGO")</f>
        <v>MUNICIPALIDAD DE SANTO DOMINGO</v>
      </c>
      <c r="F484" s="11">
        <f ca="1">IFERROR(__xludf.DUMMYFUNCTION("""COMPUTED_VALUE"""),67901610)</f>
        <v>67901610</v>
      </c>
      <c r="G484" s="10" t="str">
        <f ca="1">IFERROR(__xludf.DUMMYFUNCTION("""COMPUTED_VALUE"""),"Resolución")</f>
        <v>Resolución</v>
      </c>
      <c r="H484" s="10" t="str">
        <f ca="1">IFERROR(__xludf.DUMMYFUNCTION("""COMPUTED_VALUE"""),"COMPENSACIÓN PREDIOS EXENTOS")</f>
        <v>COMPENSACIÓN PREDIOS EXENTOS</v>
      </c>
      <c r="I484" s="10" t="str">
        <f ca="1">IFERROR(__xludf.DUMMYFUNCTION("""COMPUTED_VALUE"""),"Cumplir con normativa y reglamentos internos del programa en base a los objetivos.")</f>
        <v>Cumplir con normativa y reglamentos internos del programa en base a los objetivos.</v>
      </c>
      <c r="J484" s="11">
        <f ca="1">IFERROR(__xludf.DUMMYFUNCTION("""COMPUTED_VALUE"""),67901610)</f>
        <v>67901610</v>
      </c>
      <c r="K484" s="27">
        <f ca="1">IFERROR(__xludf.DUMMYFUNCTION("""COMPUTED_VALUE"""),1)</f>
        <v>1</v>
      </c>
      <c r="L484" s="28" t="str">
        <f ca="1">IFERROR(__xludf.DUMMYFUNCTION("""COMPUTED_VALUE"""),"1/2024")</f>
        <v>1/2024</v>
      </c>
      <c r="M484" s="10" t="str">
        <f ca="1">IFERROR(__xludf.DUMMYFUNCTION("""COMPUTED_VALUE"""),"Predios Exentos")</f>
        <v>Predios Exentos</v>
      </c>
      <c r="N484" s="1"/>
      <c r="O484" s="1"/>
      <c r="P484" s="1"/>
      <c r="Q484" s="1"/>
      <c r="R484" s="1"/>
      <c r="S484" s="1"/>
      <c r="T484" s="1"/>
      <c r="U484" s="1"/>
      <c r="V484" s="1"/>
      <c r="W484" s="1"/>
      <c r="X484" s="1"/>
      <c r="Y484" s="1"/>
      <c r="Z484" s="1"/>
    </row>
    <row r="485" spans="1:26" ht="12.75" customHeight="1">
      <c r="A485" s="1"/>
      <c r="B485" s="10" t="str">
        <f ca="1">IFERROR(__xludf.DUMMYFUNCTION("""COMPUTED_VALUE"""),"Compensación Predios Exentos 2024")</f>
        <v>Compensación Predios Exentos 2024</v>
      </c>
      <c r="C485" s="26" t="str">
        <f t="shared" ca="1" si="0"/>
        <v xml:space="preserve"> REQUÍNOA</v>
      </c>
      <c r="D485" s="10" t="str">
        <f ca="1">IFERROR(__xludf.DUMMYFUNCTION("""COMPUTED_VALUE"""),"Resolución de Transferencia")</f>
        <v>Resolución de Transferencia</v>
      </c>
      <c r="E485" s="26" t="str">
        <f ca="1">IFERROR(__xludf.DUMMYFUNCTION("""COMPUTED_VALUE"""),"MUNICIPALIDAD DE REQUÍNOA")</f>
        <v>MUNICIPALIDAD DE REQUÍNOA</v>
      </c>
      <c r="F485" s="11">
        <f ca="1">IFERROR(__xludf.DUMMYFUNCTION("""COMPUTED_VALUE"""),71606823)</f>
        <v>71606823</v>
      </c>
      <c r="G485" s="10" t="str">
        <f ca="1">IFERROR(__xludf.DUMMYFUNCTION("""COMPUTED_VALUE"""),"Resolución")</f>
        <v>Resolución</v>
      </c>
      <c r="H485" s="10" t="str">
        <f ca="1">IFERROR(__xludf.DUMMYFUNCTION("""COMPUTED_VALUE"""),"COMPENSACIÓN PREDIOS EXENTOS")</f>
        <v>COMPENSACIÓN PREDIOS EXENTOS</v>
      </c>
      <c r="I485" s="10" t="str">
        <f ca="1">IFERROR(__xludf.DUMMYFUNCTION("""COMPUTED_VALUE"""),"Cumplir con normativa y reglamentos internos del programa en base a los objetivos.")</f>
        <v>Cumplir con normativa y reglamentos internos del programa en base a los objetivos.</v>
      </c>
      <c r="J485" s="11">
        <f ca="1">IFERROR(__xludf.DUMMYFUNCTION("""COMPUTED_VALUE"""),71606823)</f>
        <v>71606823</v>
      </c>
      <c r="K485" s="27">
        <f ca="1">IFERROR(__xludf.DUMMYFUNCTION("""COMPUTED_VALUE"""),1)</f>
        <v>1</v>
      </c>
      <c r="L485" s="28" t="str">
        <f ca="1">IFERROR(__xludf.DUMMYFUNCTION("""COMPUTED_VALUE"""),"1/2024")</f>
        <v>1/2024</v>
      </c>
      <c r="M485" s="10" t="str">
        <f ca="1">IFERROR(__xludf.DUMMYFUNCTION("""COMPUTED_VALUE"""),"Predios Exentos")</f>
        <v>Predios Exentos</v>
      </c>
      <c r="N485" s="1"/>
      <c r="O485" s="1"/>
      <c r="P485" s="1"/>
      <c r="Q485" s="1"/>
      <c r="R485" s="1"/>
      <c r="S485" s="1"/>
      <c r="T485" s="1"/>
      <c r="U485" s="1"/>
      <c r="V485" s="1"/>
      <c r="W485" s="1"/>
      <c r="X485" s="1"/>
      <c r="Y485" s="1"/>
      <c r="Z485" s="1"/>
    </row>
    <row r="486" spans="1:26" ht="12.75" customHeight="1">
      <c r="A486" s="1"/>
      <c r="B486" s="10" t="str">
        <f ca="1">IFERROR(__xludf.DUMMYFUNCTION("""COMPUTED_VALUE"""),"Compensación Predios Exentos 2024")</f>
        <v>Compensación Predios Exentos 2024</v>
      </c>
      <c r="C486" s="26" t="str">
        <f t="shared" ca="1" si="0"/>
        <v xml:space="preserve"> EMPEDRADO</v>
      </c>
      <c r="D486" s="10" t="str">
        <f ca="1">IFERROR(__xludf.DUMMYFUNCTION("""COMPUTED_VALUE"""),"Resolución de Transferencia")</f>
        <v>Resolución de Transferencia</v>
      </c>
      <c r="E486" s="26" t="str">
        <f ca="1">IFERROR(__xludf.DUMMYFUNCTION("""COMPUTED_VALUE"""),"MUNICIPALIDAD DE EMPEDRADO")</f>
        <v>MUNICIPALIDAD DE EMPEDRADO</v>
      </c>
      <c r="F486" s="11">
        <f ca="1">IFERROR(__xludf.DUMMYFUNCTION("""COMPUTED_VALUE"""),60511655)</f>
        <v>60511655</v>
      </c>
      <c r="G486" s="10" t="str">
        <f ca="1">IFERROR(__xludf.DUMMYFUNCTION("""COMPUTED_VALUE"""),"Resolución")</f>
        <v>Resolución</v>
      </c>
      <c r="H486" s="10" t="str">
        <f ca="1">IFERROR(__xludf.DUMMYFUNCTION("""COMPUTED_VALUE"""),"COMPENSACIÓN PREDIOS EXENTOS")</f>
        <v>COMPENSACIÓN PREDIOS EXENTOS</v>
      </c>
      <c r="I486" s="10" t="str">
        <f ca="1">IFERROR(__xludf.DUMMYFUNCTION("""COMPUTED_VALUE"""),"Cumplir con normativa y reglamentos internos del programa en base a los objetivos.")</f>
        <v>Cumplir con normativa y reglamentos internos del programa en base a los objetivos.</v>
      </c>
      <c r="J486" s="11">
        <f ca="1">IFERROR(__xludf.DUMMYFUNCTION("""COMPUTED_VALUE"""),60511655)</f>
        <v>60511655</v>
      </c>
      <c r="K486" s="27">
        <f ca="1">IFERROR(__xludf.DUMMYFUNCTION("""COMPUTED_VALUE"""),1)</f>
        <v>1</v>
      </c>
      <c r="L486" s="28" t="str">
        <f ca="1">IFERROR(__xludf.DUMMYFUNCTION("""COMPUTED_VALUE"""),"1/2024")</f>
        <v>1/2024</v>
      </c>
      <c r="M486" s="10" t="str">
        <f ca="1">IFERROR(__xludf.DUMMYFUNCTION("""COMPUTED_VALUE"""),"Predios Exentos")</f>
        <v>Predios Exentos</v>
      </c>
      <c r="N486" s="1"/>
      <c r="O486" s="1"/>
      <c r="P486" s="1"/>
      <c r="Q486" s="1"/>
      <c r="R486" s="1"/>
      <c r="S486" s="1"/>
      <c r="T486" s="1"/>
      <c r="U486" s="1"/>
      <c r="V486" s="1"/>
      <c r="W486" s="1"/>
      <c r="X486" s="1"/>
      <c r="Y486" s="1"/>
      <c r="Z486" s="1"/>
    </row>
    <row r="487" spans="1:26" ht="12.75" customHeight="1">
      <c r="A487" s="1"/>
      <c r="B487" s="10" t="str">
        <f ca="1">IFERROR(__xludf.DUMMYFUNCTION("""COMPUTED_VALUE"""),"Compensación Predios Exentos 2024")</f>
        <v>Compensación Predios Exentos 2024</v>
      </c>
      <c r="C487" s="26" t="str">
        <f t="shared" ca="1" si="0"/>
        <v xml:space="preserve"> RÍO NEGRO</v>
      </c>
      <c r="D487" s="10" t="str">
        <f ca="1">IFERROR(__xludf.DUMMYFUNCTION("""COMPUTED_VALUE"""),"Resolución de Transferencia")</f>
        <v>Resolución de Transferencia</v>
      </c>
      <c r="E487" s="26" t="str">
        <f ca="1">IFERROR(__xludf.DUMMYFUNCTION("""COMPUTED_VALUE"""),"MUNICIPALIDAD DE RÍO NEGRO")</f>
        <v>MUNICIPALIDAD DE RÍO NEGRO</v>
      </c>
      <c r="F487" s="11">
        <f ca="1">IFERROR(__xludf.DUMMYFUNCTION("""COMPUTED_VALUE"""),52313104)</f>
        <v>52313104</v>
      </c>
      <c r="G487" s="10" t="str">
        <f ca="1">IFERROR(__xludf.DUMMYFUNCTION("""COMPUTED_VALUE"""),"Resolución")</f>
        <v>Resolución</v>
      </c>
      <c r="H487" s="10" t="str">
        <f ca="1">IFERROR(__xludf.DUMMYFUNCTION("""COMPUTED_VALUE"""),"COMPENSACIÓN PREDIOS EXENTOS")</f>
        <v>COMPENSACIÓN PREDIOS EXENTOS</v>
      </c>
      <c r="I487" s="10" t="str">
        <f ca="1">IFERROR(__xludf.DUMMYFUNCTION("""COMPUTED_VALUE"""),"Cumplir con normativa y reglamentos internos del programa en base a los objetivos.")</f>
        <v>Cumplir con normativa y reglamentos internos del programa en base a los objetivos.</v>
      </c>
      <c r="J487" s="11">
        <f ca="1">IFERROR(__xludf.DUMMYFUNCTION("""COMPUTED_VALUE"""),52313104)</f>
        <v>52313104</v>
      </c>
      <c r="K487" s="27">
        <f ca="1">IFERROR(__xludf.DUMMYFUNCTION("""COMPUTED_VALUE"""),1)</f>
        <v>1</v>
      </c>
      <c r="L487" s="28" t="str">
        <f ca="1">IFERROR(__xludf.DUMMYFUNCTION("""COMPUTED_VALUE"""),"1/2024")</f>
        <v>1/2024</v>
      </c>
      <c r="M487" s="10" t="str">
        <f ca="1">IFERROR(__xludf.DUMMYFUNCTION("""COMPUTED_VALUE"""),"Predios Exentos")</f>
        <v>Predios Exentos</v>
      </c>
      <c r="N487" s="1"/>
      <c r="O487" s="1"/>
      <c r="P487" s="1"/>
      <c r="Q487" s="1"/>
      <c r="R487" s="1"/>
      <c r="S487" s="1"/>
      <c r="T487" s="1"/>
      <c r="U487" s="1"/>
      <c r="V487" s="1"/>
      <c r="W487" s="1"/>
      <c r="X487" s="1"/>
      <c r="Y487" s="1"/>
      <c r="Z487" s="1"/>
    </row>
    <row r="488" spans="1:26" ht="12.75" customHeight="1">
      <c r="A488" s="1"/>
      <c r="B488" s="10" t="str">
        <f ca="1">IFERROR(__xludf.DUMMYFUNCTION("""COMPUTED_VALUE"""),"Compensación Predios Exentos 2024")</f>
        <v>Compensación Predios Exentos 2024</v>
      </c>
      <c r="C488" s="26" t="str">
        <f t="shared" ca="1" si="0"/>
        <v xml:space="preserve"> DALCAHUE</v>
      </c>
      <c r="D488" s="10" t="str">
        <f ca="1">IFERROR(__xludf.DUMMYFUNCTION("""COMPUTED_VALUE"""),"Resolución de Transferencia")</f>
        <v>Resolución de Transferencia</v>
      </c>
      <c r="E488" s="26" t="str">
        <f ca="1">IFERROR(__xludf.DUMMYFUNCTION("""COMPUTED_VALUE"""),"MUNICIPALIDAD DE DALCAHUE")</f>
        <v>MUNICIPALIDAD DE DALCAHUE</v>
      </c>
      <c r="F488" s="11">
        <f ca="1">IFERROR(__xludf.DUMMYFUNCTION("""COMPUTED_VALUE"""),70685638)</f>
        <v>70685638</v>
      </c>
      <c r="G488" s="10" t="str">
        <f ca="1">IFERROR(__xludf.DUMMYFUNCTION("""COMPUTED_VALUE"""),"Resolución")</f>
        <v>Resolución</v>
      </c>
      <c r="H488" s="10" t="str">
        <f ca="1">IFERROR(__xludf.DUMMYFUNCTION("""COMPUTED_VALUE"""),"COMPENSACIÓN PREDIOS EXENTOS")</f>
        <v>COMPENSACIÓN PREDIOS EXENTOS</v>
      </c>
      <c r="I488" s="10" t="str">
        <f ca="1">IFERROR(__xludf.DUMMYFUNCTION("""COMPUTED_VALUE"""),"Cumplir con normativa y reglamentos internos del programa en base a los objetivos.")</f>
        <v>Cumplir con normativa y reglamentos internos del programa en base a los objetivos.</v>
      </c>
      <c r="J488" s="11">
        <f ca="1">IFERROR(__xludf.DUMMYFUNCTION("""COMPUTED_VALUE"""),70685638)</f>
        <v>70685638</v>
      </c>
      <c r="K488" s="27">
        <f ca="1">IFERROR(__xludf.DUMMYFUNCTION("""COMPUTED_VALUE"""),1)</f>
        <v>1</v>
      </c>
      <c r="L488" s="28" t="str">
        <f ca="1">IFERROR(__xludf.DUMMYFUNCTION("""COMPUTED_VALUE"""),"1/2024")</f>
        <v>1/2024</v>
      </c>
      <c r="M488" s="10" t="str">
        <f ca="1">IFERROR(__xludf.DUMMYFUNCTION("""COMPUTED_VALUE"""),"Predios Exentos")</f>
        <v>Predios Exentos</v>
      </c>
      <c r="N488" s="1"/>
      <c r="O488" s="1"/>
      <c r="P488" s="1"/>
      <c r="Q488" s="1"/>
      <c r="R488" s="1"/>
      <c r="S488" s="1"/>
      <c r="T488" s="1"/>
      <c r="U488" s="1"/>
      <c r="V488" s="1"/>
      <c r="W488" s="1"/>
      <c r="X488" s="1"/>
      <c r="Y488" s="1"/>
      <c r="Z488" s="1"/>
    </row>
    <row r="489" spans="1:26" ht="12.75" customHeight="1">
      <c r="A489" s="1"/>
      <c r="B489" s="10" t="str">
        <f ca="1">IFERROR(__xludf.DUMMYFUNCTION("""COMPUTED_VALUE"""),"Compensación Predios Exentos 2024")</f>
        <v>Compensación Predios Exentos 2024</v>
      </c>
      <c r="C489" s="26" t="str">
        <f t="shared" ca="1" si="0"/>
        <v xml:space="preserve"> RÍO HURTADO</v>
      </c>
      <c r="D489" s="10" t="str">
        <f ca="1">IFERROR(__xludf.DUMMYFUNCTION("""COMPUTED_VALUE"""),"Resolución de Transferencia")</f>
        <v>Resolución de Transferencia</v>
      </c>
      <c r="E489" s="26" t="str">
        <f ca="1">IFERROR(__xludf.DUMMYFUNCTION("""COMPUTED_VALUE"""),"MUNICIPALIDAD DE RÍO HURTADO")</f>
        <v>MUNICIPALIDAD DE RÍO HURTADO</v>
      </c>
      <c r="F489" s="11">
        <f ca="1">IFERROR(__xludf.DUMMYFUNCTION("""COMPUTED_VALUE"""),32671381)</f>
        <v>32671381</v>
      </c>
      <c r="G489" s="10" t="str">
        <f ca="1">IFERROR(__xludf.DUMMYFUNCTION("""COMPUTED_VALUE"""),"Resolución")</f>
        <v>Resolución</v>
      </c>
      <c r="H489" s="10" t="str">
        <f ca="1">IFERROR(__xludf.DUMMYFUNCTION("""COMPUTED_VALUE"""),"COMPENSACIÓN PREDIOS EXENTOS")</f>
        <v>COMPENSACIÓN PREDIOS EXENTOS</v>
      </c>
      <c r="I489" s="10" t="str">
        <f ca="1">IFERROR(__xludf.DUMMYFUNCTION("""COMPUTED_VALUE"""),"Cumplir con normativa y reglamentos internos del programa en base a los objetivos.")</f>
        <v>Cumplir con normativa y reglamentos internos del programa en base a los objetivos.</v>
      </c>
      <c r="J489" s="11">
        <f ca="1">IFERROR(__xludf.DUMMYFUNCTION("""COMPUTED_VALUE"""),32671381)</f>
        <v>32671381</v>
      </c>
      <c r="K489" s="27">
        <f ca="1">IFERROR(__xludf.DUMMYFUNCTION("""COMPUTED_VALUE"""),1)</f>
        <v>1</v>
      </c>
      <c r="L489" s="28" t="str">
        <f ca="1">IFERROR(__xludf.DUMMYFUNCTION("""COMPUTED_VALUE"""),"1/2024")</f>
        <v>1/2024</v>
      </c>
      <c r="M489" s="10" t="str">
        <f ca="1">IFERROR(__xludf.DUMMYFUNCTION("""COMPUTED_VALUE"""),"Predios Exentos")</f>
        <v>Predios Exentos</v>
      </c>
      <c r="N489" s="1"/>
      <c r="O489" s="1"/>
      <c r="P489" s="1"/>
      <c r="Q489" s="1"/>
      <c r="R489" s="1"/>
      <c r="S489" s="1"/>
      <c r="T489" s="1"/>
      <c r="U489" s="1"/>
      <c r="V489" s="1"/>
      <c r="W489" s="1"/>
      <c r="X489" s="1"/>
      <c r="Y489" s="1"/>
      <c r="Z489" s="1"/>
    </row>
    <row r="490" spans="1:26" ht="12.75" customHeight="1">
      <c r="A490" s="1"/>
      <c r="B490" s="10" t="str">
        <f ca="1">IFERROR(__xludf.DUMMYFUNCTION("""COMPUTED_VALUE"""),"Compensación Predios Exentos 2024")</f>
        <v>Compensación Predios Exentos 2024</v>
      </c>
      <c r="C490" s="26" t="str">
        <f t="shared" ca="1" si="0"/>
        <v xml:space="preserve"> LA LIGUA</v>
      </c>
      <c r="D490" s="10" t="str">
        <f ca="1">IFERROR(__xludf.DUMMYFUNCTION("""COMPUTED_VALUE"""),"Resolución de Transferencia")</f>
        <v>Resolución de Transferencia</v>
      </c>
      <c r="E490" s="26" t="str">
        <f ca="1">IFERROR(__xludf.DUMMYFUNCTION("""COMPUTED_VALUE"""),"MUNICIPALIDAD DE LA LIGUA")</f>
        <v>MUNICIPALIDAD DE LA LIGUA</v>
      </c>
      <c r="F490" s="11">
        <f ca="1">IFERROR(__xludf.DUMMYFUNCTION("""COMPUTED_VALUE"""),143316000)</f>
        <v>143316000</v>
      </c>
      <c r="G490" s="10" t="str">
        <f ca="1">IFERROR(__xludf.DUMMYFUNCTION("""COMPUTED_VALUE"""),"Resolución")</f>
        <v>Resolución</v>
      </c>
      <c r="H490" s="10" t="str">
        <f ca="1">IFERROR(__xludf.DUMMYFUNCTION("""COMPUTED_VALUE"""),"COMPENSACIÓN PREDIOS EXENTOS")</f>
        <v>COMPENSACIÓN PREDIOS EXENTOS</v>
      </c>
      <c r="I490" s="10" t="str">
        <f ca="1">IFERROR(__xludf.DUMMYFUNCTION("""COMPUTED_VALUE"""),"Cumplir con normativa y reglamentos internos del programa en base a los objetivos.")</f>
        <v>Cumplir con normativa y reglamentos internos del programa en base a los objetivos.</v>
      </c>
      <c r="J490" s="11">
        <f ca="1">IFERROR(__xludf.DUMMYFUNCTION("""COMPUTED_VALUE"""),143316000)</f>
        <v>143316000</v>
      </c>
      <c r="K490" s="27">
        <f ca="1">IFERROR(__xludf.DUMMYFUNCTION("""COMPUTED_VALUE"""),1)</f>
        <v>1</v>
      </c>
      <c r="L490" s="28" t="str">
        <f ca="1">IFERROR(__xludf.DUMMYFUNCTION("""COMPUTED_VALUE"""),"1/2024")</f>
        <v>1/2024</v>
      </c>
      <c r="M490" s="10" t="str">
        <f ca="1">IFERROR(__xludf.DUMMYFUNCTION("""COMPUTED_VALUE"""),"Predios Exentos")</f>
        <v>Predios Exentos</v>
      </c>
      <c r="N490" s="1"/>
      <c r="O490" s="1"/>
      <c r="P490" s="1"/>
      <c r="Q490" s="1"/>
      <c r="R490" s="1"/>
      <c r="S490" s="1"/>
      <c r="T490" s="1"/>
      <c r="U490" s="1"/>
      <c r="V490" s="1"/>
      <c r="W490" s="1"/>
      <c r="X490" s="1"/>
      <c r="Y490" s="1"/>
      <c r="Z490" s="1"/>
    </row>
    <row r="491" spans="1:26" ht="12.75" customHeight="1">
      <c r="A491" s="1"/>
      <c r="B491" s="10" t="str">
        <f ca="1">IFERROR(__xludf.DUMMYFUNCTION("""COMPUTED_VALUE"""),"Compensación Predios Exentos 2024")</f>
        <v>Compensación Predios Exentos 2024</v>
      </c>
      <c r="C491" s="26" t="str">
        <f t="shared" ca="1" si="0"/>
        <v xml:space="preserve"> SAGRADA FAMILIA</v>
      </c>
      <c r="D491" s="10" t="str">
        <f ca="1">IFERROR(__xludf.DUMMYFUNCTION("""COMPUTED_VALUE"""),"Resolución de Transferencia")</f>
        <v>Resolución de Transferencia</v>
      </c>
      <c r="E491" s="26" t="str">
        <f ca="1">IFERROR(__xludf.DUMMYFUNCTION("""COMPUTED_VALUE"""),"MUNICIPALIDAD DE SAGRADA FAMILIA")</f>
        <v>MUNICIPALIDAD DE SAGRADA FAMILIA</v>
      </c>
      <c r="F491" s="11">
        <f ca="1">IFERROR(__xludf.DUMMYFUNCTION("""COMPUTED_VALUE"""),65383703)</f>
        <v>65383703</v>
      </c>
      <c r="G491" s="10" t="str">
        <f ca="1">IFERROR(__xludf.DUMMYFUNCTION("""COMPUTED_VALUE"""),"Resolución")</f>
        <v>Resolución</v>
      </c>
      <c r="H491" s="10" t="str">
        <f ca="1">IFERROR(__xludf.DUMMYFUNCTION("""COMPUTED_VALUE"""),"COMPENSACIÓN PREDIOS EXENTOS")</f>
        <v>COMPENSACIÓN PREDIOS EXENTOS</v>
      </c>
      <c r="I491" s="10" t="str">
        <f ca="1">IFERROR(__xludf.DUMMYFUNCTION("""COMPUTED_VALUE"""),"Cumplir con normativa y reglamentos internos del programa en base a los objetivos.")</f>
        <v>Cumplir con normativa y reglamentos internos del programa en base a los objetivos.</v>
      </c>
      <c r="J491" s="11">
        <f ca="1">IFERROR(__xludf.DUMMYFUNCTION("""COMPUTED_VALUE"""),65383703)</f>
        <v>65383703</v>
      </c>
      <c r="K491" s="27">
        <f ca="1">IFERROR(__xludf.DUMMYFUNCTION("""COMPUTED_VALUE"""),1)</f>
        <v>1</v>
      </c>
      <c r="L491" s="28" t="str">
        <f ca="1">IFERROR(__xludf.DUMMYFUNCTION("""COMPUTED_VALUE"""),"1/2024")</f>
        <v>1/2024</v>
      </c>
      <c r="M491" s="10" t="str">
        <f ca="1">IFERROR(__xludf.DUMMYFUNCTION("""COMPUTED_VALUE"""),"Predios Exentos")</f>
        <v>Predios Exentos</v>
      </c>
      <c r="N491" s="1"/>
      <c r="O491" s="1"/>
      <c r="P491" s="1"/>
      <c r="Q491" s="1"/>
      <c r="R491" s="1"/>
      <c r="S491" s="1"/>
      <c r="T491" s="1"/>
      <c r="U491" s="1"/>
      <c r="V491" s="1"/>
      <c r="W491" s="1"/>
      <c r="X491" s="1"/>
      <c r="Y491" s="1"/>
      <c r="Z491" s="1"/>
    </row>
    <row r="492" spans="1:26" ht="12.75" customHeight="1">
      <c r="A492" s="1"/>
      <c r="B492" s="10" t="str">
        <f ca="1">IFERROR(__xludf.DUMMYFUNCTION("""COMPUTED_VALUE"""),"Compensación Predios Exentos 2024")</f>
        <v>Compensación Predios Exentos 2024</v>
      </c>
      <c r="C492" s="26" t="str">
        <f t="shared" ca="1" si="0"/>
        <v xml:space="preserve"> SAN FABIÁN</v>
      </c>
      <c r="D492" s="10" t="str">
        <f ca="1">IFERROR(__xludf.DUMMYFUNCTION("""COMPUTED_VALUE"""),"Resolución de Transferencia")</f>
        <v>Resolución de Transferencia</v>
      </c>
      <c r="E492" s="26" t="str">
        <f ca="1">IFERROR(__xludf.DUMMYFUNCTION("""COMPUTED_VALUE"""),"MUNICIPALIDAD DE SAN FABIÁN")</f>
        <v>MUNICIPALIDAD DE SAN FABIÁN</v>
      </c>
      <c r="F492" s="11">
        <f ca="1">IFERROR(__xludf.DUMMYFUNCTION("""COMPUTED_VALUE"""),26038845)</f>
        <v>26038845</v>
      </c>
      <c r="G492" s="10" t="str">
        <f ca="1">IFERROR(__xludf.DUMMYFUNCTION("""COMPUTED_VALUE"""),"Resolución")</f>
        <v>Resolución</v>
      </c>
      <c r="H492" s="10" t="str">
        <f ca="1">IFERROR(__xludf.DUMMYFUNCTION("""COMPUTED_VALUE"""),"COMPENSACIÓN PREDIOS EXENTOS")</f>
        <v>COMPENSACIÓN PREDIOS EXENTOS</v>
      </c>
      <c r="I492" s="10" t="str">
        <f ca="1">IFERROR(__xludf.DUMMYFUNCTION("""COMPUTED_VALUE"""),"Cumplir con normativa y reglamentos internos del programa en base a los objetivos.")</f>
        <v>Cumplir con normativa y reglamentos internos del programa en base a los objetivos.</v>
      </c>
      <c r="J492" s="11">
        <f ca="1">IFERROR(__xludf.DUMMYFUNCTION("""COMPUTED_VALUE"""),26038845)</f>
        <v>26038845</v>
      </c>
      <c r="K492" s="27">
        <f ca="1">IFERROR(__xludf.DUMMYFUNCTION("""COMPUTED_VALUE"""),1)</f>
        <v>1</v>
      </c>
      <c r="L492" s="28" t="str">
        <f ca="1">IFERROR(__xludf.DUMMYFUNCTION("""COMPUTED_VALUE"""),"1/2024")</f>
        <v>1/2024</v>
      </c>
      <c r="M492" s="10" t="str">
        <f ca="1">IFERROR(__xludf.DUMMYFUNCTION("""COMPUTED_VALUE"""),"Predios Exentos")</f>
        <v>Predios Exentos</v>
      </c>
      <c r="N492" s="1"/>
      <c r="O492" s="1"/>
      <c r="P492" s="1"/>
      <c r="Q492" s="1"/>
      <c r="R492" s="1"/>
      <c r="S492" s="1"/>
      <c r="T492" s="1"/>
      <c r="U492" s="1"/>
      <c r="V492" s="1"/>
      <c r="W492" s="1"/>
      <c r="X492" s="1"/>
      <c r="Y492" s="1"/>
      <c r="Z492" s="1"/>
    </row>
    <row r="493" spans="1:26" ht="12.75" customHeight="1">
      <c r="A493" s="1"/>
      <c r="B493" s="10" t="str">
        <f ca="1">IFERROR(__xludf.DUMMYFUNCTION("""COMPUTED_VALUE"""),"Compensación Predios Exentos 2024")</f>
        <v>Compensación Predios Exentos 2024</v>
      </c>
      <c r="C493" s="26" t="str">
        <f t="shared" ca="1" si="0"/>
        <v xml:space="preserve"> CURACO DE VÉLEZ</v>
      </c>
      <c r="D493" s="10" t="str">
        <f ca="1">IFERROR(__xludf.DUMMYFUNCTION("""COMPUTED_VALUE"""),"Resolución de Transferencia")</f>
        <v>Resolución de Transferencia</v>
      </c>
      <c r="E493" s="26" t="str">
        <f ca="1">IFERROR(__xludf.DUMMYFUNCTION("""COMPUTED_VALUE"""),"MUNICIPALIDAD DE CURACO DE VÉLEZ")</f>
        <v>MUNICIPALIDAD DE CURACO DE VÉLEZ</v>
      </c>
      <c r="F493" s="11">
        <f ca="1">IFERROR(__xludf.DUMMYFUNCTION("""COMPUTED_VALUE"""),30286534)</f>
        <v>30286534</v>
      </c>
      <c r="G493" s="10" t="str">
        <f ca="1">IFERROR(__xludf.DUMMYFUNCTION("""COMPUTED_VALUE"""),"Resolución")</f>
        <v>Resolución</v>
      </c>
      <c r="H493" s="10" t="str">
        <f ca="1">IFERROR(__xludf.DUMMYFUNCTION("""COMPUTED_VALUE"""),"COMPENSACIÓN PREDIOS EXENTOS")</f>
        <v>COMPENSACIÓN PREDIOS EXENTOS</v>
      </c>
      <c r="I493" s="10" t="str">
        <f ca="1">IFERROR(__xludf.DUMMYFUNCTION("""COMPUTED_VALUE"""),"Cumplir con normativa y reglamentos internos del programa en base a los objetivos.")</f>
        <v>Cumplir con normativa y reglamentos internos del programa en base a los objetivos.</v>
      </c>
      <c r="J493" s="11">
        <f ca="1">IFERROR(__xludf.DUMMYFUNCTION("""COMPUTED_VALUE"""),30286534)</f>
        <v>30286534</v>
      </c>
      <c r="K493" s="27">
        <f ca="1">IFERROR(__xludf.DUMMYFUNCTION("""COMPUTED_VALUE"""),1)</f>
        <v>1</v>
      </c>
      <c r="L493" s="28" t="str">
        <f ca="1">IFERROR(__xludf.DUMMYFUNCTION("""COMPUTED_VALUE"""),"1/2024")</f>
        <v>1/2024</v>
      </c>
      <c r="M493" s="10" t="str">
        <f ca="1">IFERROR(__xludf.DUMMYFUNCTION("""COMPUTED_VALUE"""),"Predios Exentos")</f>
        <v>Predios Exentos</v>
      </c>
      <c r="N493" s="1"/>
      <c r="O493" s="1"/>
      <c r="P493" s="1"/>
      <c r="Q493" s="1"/>
      <c r="R493" s="1"/>
      <c r="S493" s="1"/>
      <c r="T493" s="1"/>
      <c r="U493" s="1"/>
      <c r="V493" s="1"/>
      <c r="W493" s="1"/>
      <c r="X493" s="1"/>
      <c r="Y493" s="1"/>
      <c r="Z493" s="1"/>
    </row>
    <row r="494" spans="1:26" ht="12.75" customHeight="1">
      <c r="A494" s="1"/>
      <c r="B494" s="10" t="str">
        <f ca="1">IFERROR(__xludf.DUMMYFUNCTION("""COMPUTED_VALUE"""),"Compensación Predios Exentos 2024")</f>
        <v>Compensación Predios Exentos 2024</v>
      </c>
      <c r="C494" s="26" t="str">
        <f t="shared" ca="1" si="0"/>
        <v xml:space="preserve"> HUARA</v>
      </c>
      <c r="D494" s="10" t="str">
        <f ca="1">IFERROR(__xludf.DUMMYFUNCTION("""COMPUTED_VALUE"""),"Resolución de Transferencia")</f>
        <v>Resolución de Transferencia</v>
      </c>
      <c r="E494" s="26" t="str">
        <f ca="1">IFERROR(__xludf.DUMMYFUNCTION("""COMPUTED_VALUE"""),"MUNICIPALIDAD DE HUARA")</f>
        <v>MUNICIPALIDAD DE HUARA</v>
      </c>
      <c r="F494" s="11">
        <f ca="1">IFERROR(__xludf.DUMMYFUNCTION("""COMPUTED_VALUE"""),50419556)</f>
        <v>50419556</v>
      </c>
      <c r="G494" s="10" t="str">
        <f ca="1">IFERROR(__xludf.DUMMYFUNCTION("""COMPUTED_VALUE"""),"Resolución")</f>
        <v>Resolución</v>
      </c>
      <c r="H494" s="10" t="str">
        <f ca="1">IFERROR(__xludf.DUMMYFUNCTION("""COMPUTED_VALUE"""),"COMPENSACIÓN PREDIOS EXENTOS")</f>
        <v>COMPENSACIÓN PREDIOS EXENTOS</v>
      </c>
      <c r="I494" s="10" t="str">
        <f ca="1">IFERROR(__xludf.DUMMYFUNCTION("""COMPUTED_VALUE"""),"Cumplir con normativa y reglamentos internos del programa en base a los objetivos.")</f>
        <v>Cumplir con normativa y reglamentos internos del programa en base a los objetivos.</v>
      </c>
      <c r="J494" s="11">
        <f ca="1">IFERROR(__xludf.DUMMYFUNCTION("""COMPUTED_VALUE"""),50419556)</f>
        <v>50419556</v>
      </c>
      <c r="K494" s="27">
        <f ca="1">IFERROR(__xludf.DUMMYFUNCTION("""COMPUTED_VALUE"""),1)</f>
        <v>1</v>
      </c>
      <c r="L494" s="28" t="str">
        <f ca="1">IFERROR(__xludf.DUMMYFUNCTION("""COMPUTED_VALUE"""),"1/2024")</f>
        <v>1/2024</v>
      </c>
      <c r="M494" s="10" t="str">
        <f ca="1">IFERROR(__xludf.DUMMYFUNCTION("""COMPUTED_VALUE"""),"Predios Exentos")</f>
        <v>Predios Exentos</v>
      </c>
      <c r="N494" s="1"/>
      <c r="O494" s="1"/>
      <c r="P494" s="1"/>
      <c r="Q494" s="1"/>
      <c r="R494" s="1"/>
      <c r="S494" s="1"/>
      <c r="T494" s="1"/>
      <c r="U494" s="1"/>
      <c r="V494" s="1"/>
      <c r="W494" s="1"/>
      <c r="X494" s="1"/>
      <c r="Y494" s="1"/>
      <c r="Z494" s="1"/>
    </row>
    <row r="495" spans="1:26" ht="12.75" customHeight="1">
      <c r="A495" s="1"/>
      <c r="B495" s="10" t="str">
        <f ca="1">IFERROR(__xludf.DUMMYFUNCTION("""COMPUTED_VALUE"""),"Compensación Predios Exentos 2024")</f>
        <v>Compensación Predios Exentos 2024</v>
      </c>
      <c r="C495" s="26" t="str">
        <f t="shared" ca="1" si="0"/>
        <v xml:space="preserve"> CHAÑARAL</v>
      </c>
      <c r="D495" s="10" t="str">
        <f ca="1">IFERROR(__xludf.DUMMYFUNCTION("""COMPUTED_VALUE"""),"Resolución de Transferencia")</f>
        <v>Resolución de Transferencia</v>
      </c>
      <c r="E495" s="26" t="str">
        <f ca="1">IFERROR(__xludf.DUMMYFUNCTION("""COMPUTED_VALUE"""),"MUNICIPALIDAD DE CHAÑARAL")</f>
        <v>MUNICIPALIDAD DE CHAÑARAL</v>
      </c>
      <c r="F495" s="11">
        <f ca="1">IFERROR(__xludf.DUMMYFUNCTION("""COMPUTED_VALUE"""),51105327)</f>
        <v>51105327</v>
      </c>
      <c r="G495" s="10" t="str">
        <f ca="1">IFERROR(__xludf.DUMMYFUNCTION("""COMPUTED_VALUE"""),"Resolución")</f>
        <v>Resolución</v>
      </c>
      <c r="H495" s="10" t="str">
        <f ca="1">IFERROR(__xludf.DUMMYFUNCTION("""COMPUTED_VALUE"""),"COMPENSACIÓN PREDIOS EXENTOS")</f>
        <v>COMPENSACIÓN PREDIOS EXENTOS</v>
      </c>
      <c r="I495" s="10" t="str">
        <f ca="1">IFERROR(__xludf.DUMMYFUNCTION("""COMPUTED_VALUE"""),"Cumplir con normativa y reglamentos internos del programa en base a los objetivos.")</f>
        <v>Cumplir con normativa y reglamentos internos del programa en base a los objetivos.</v>
      </c>
      <c r="J495" s="11">
        <f ca="1">IFERROR(__xludf.DUMMYFUNCTION("""COMPUTED_VALUE"""),51105327)</f>
        <v>51105327</v>
      </c>
      <c r="K495" s="27">
        <f ca="1">IFERROR(__xludf.DUMMYFUNCTION("""COMPUTED_VALUE"""),1)</f>
        <v>1</v>
      </c>
      <c r="L495" s="28" t="str">
        <f ca="1">IFERROR(__xludf.DUMMYFUNCTION("""COMPUTED_VALUE"""),"1/2024")</f>
        <v>1/2024</v>
      </c>
      <c r="M495" s="10" t="str">
        <f ca="1">IFERROR(__xludf.DUMMYFUNCTION("""COMPUTED_VALUE"""),"Predios Exentos")</f>
        <v>Predios Exentos</v>
      </c>
      <c r="N495" s="1"/>
      <c r="O495" s="1"/>
      <c r="P495" s="1"/>
      <c r="Q495" s="1"/>
      <c r="R495" s="1"/>
      <c r="S495" s="1"/>
      <c r="T495" s="1"/>
      <c r="U495" s="1"/>
      <c r="V495" s="1"/>
      <c r="W495" s="1"/>
      <c r="X495" s="1"/>
      <c r="Y495" s="1"/>
      <c r="Z495" s="1"/>
    </row>
    <row r="496" spans="1:26" ht="12.75" customHeight="1">
      <c r="A496" s="1"/>
      <c r="B496" s="10" t="str">
        <f ca="1">IFERROR(__xludf.DUMMYFUNCTION("""COMPUTED_VALUE"""),"Compensación Predios Exentos 2024")</f>
        <v>Compensación Predios Exentos 2024</v>
      </c>
      <c r="C496" s="26" t="str">
        <f t="shared" ca="1" si="0"/>
        <v xml:space="preserve"> FREIRINA</v>
      </c>
      <c r="D496" s="10" t="str">
        <f ca="1">IFERROR(__xludf.DUMMYFUNCTION("""COMPUTED_VALUE"""),"Resolución de Transferencia")</f>
        <v>Resolución de Transferencia</v>
      </c>
      <c r="E496" s="26" t="str">
        <f ca="1">IFERROR(__xludf.DUMMYFUNCTION("""COMPUTED_VALUE"""),"MUNICIPALIDAD DE FREIRINA")</f>
        <v>MUNICIPALIDAD DE FREIRINA</v>
      </c>
      <c r="F496" s="11">
        <f ca="1">IFERROR(__xludf.DUMMYFUNCTION("""COMPUTED_VALUE"""),28638635)</f>
        <v>28638635</v>
      </c>
      <c r="G496" s="10" t="str">
        <f ca="1">IFERROR(__xludf.DUMMYFUNCTION("""COMPUTED_VALUE"""),"Resolución")</f>
        <v>Resolución</v>
      </c>
      <c r="H496" s="10" t="str">
        <f ca="1">IFERROR(__xludf.DUMMYFUNCTION("""COMPUTED_VALUE"""),"COMPENSACIÓN PREDIOS EXENTOS")</f>
        <v>COMPENSACIÓN PREDIOS EXENTOS</v>
      </c>
      <c r="I496" s="10" t="str">
        <f ca="1">IFERROR(__xludf.DUMMYFUNCTION("""COMPUTED_VALUE"""),"Cumplir con normativa y reglamentos internos del programa en base a los objetivos.")</f>
        <v>Cumplir con normativa y reglamentos internos del programa en base a los objetivos.</v>
      </c>
      <c r="J496" s="11">
        <f ca="1">IFERROR(__xludf.DUMMYFUNCTION("""COMPUTED_VALUE"""),28638635)</f>
        <v>28638635</v>
      </c>
      <c r="K496" s="27">
        <f ca="1">IFERROR(__xludf.DUMMYFUNCTION("""COMPUTED_VALUE"""),1)</f>
        <v>1</v>
      </c>
      <c r="L496" s="28" t="str">
        <f ca="1">IFERROR(__xludf.DUMMYFUNCTION("""COMPUTED_VALUE"""),"1/2024")</f>
        <v>1/2024</v>
      </c>
      <c r="M496" s="10" t="str">
        <f ca="1">IFERROR(__xludf.DUMMYFUNCTION("""COMPUTED_VALUE"""),"Predios Exentos")</f>
        <v>Predios Exentos</v>
      </c>
      <c r="N496" s="1"/>
      <c r="O496" s="1"/>
      <c r="P496" s="1"/>
      <c r="Q496" s="1"/>
      <c r="R496" s="1"/>
      <c r="S496" s="1"/>
      <c r="T496" s="1"/>
      <c r="U496" s="1"/>
      <c r="V496" s="1"/>
      <c r="W496" s="1"/>
      <c r="X496" s="1"/>
      <c r="Y496" s="1"/>
      <c r="Z496" s="1"/>
    </row>
    <row r="497" spans="1:26" ht="12.75" customHeight="1">
      <c r="A497" s="1"/>
      <c r="B497" s="10" t="str">
        <f ca="1">IFERROR(__xludf.DUMMYFUNCTION("""COMPUTED_VALUE"""),"Compensación Predios Exentos 2024")</f>
        <v>Compensación Predios Exentos 2024</v>
      </c>
      <c r="C497" s="26" t="str">
        <f t="shared" ca="1" si="0"/>
        <v xml:space="preserve"> PAINE</v>
      </c>
      <c r="D497" s="10" t="str">
        <f ca="1">IFERROR(__xludf.DUMMYFUNCTION("""COMPUTED_VALUE"""),"Resolución de Transferencia")</f>
        <v>Resolución de Transferencia</v>
      </c>
      <c r="E497" s="26" t="str">
        <f ca="1">IFERROR(__xludf.DUMMYFUNCTION("""COMPUTED_VALUE"""),"MUNICIPALIDAD DE PAINE")</f>
        <v>MUNICIPALIDAD DE PAINE</v>
      </c>
      <c r="F497" s="11">
        <f ca="1">IFERROR(__xludf.DUMMYFUNCTION("""COMPUTED_VALUE"""),160798055)</f>
        <v>160798055</v>
      </c>
      <c r="G497" s="10" t="str">
        <f ca="1">IFERROR(__xludf.DUMMYFUNCTION("""COMPUTED_VALUE"""),"Resolución")</f>
        <v>Resolución</v>
      </c>
      <c r="H497" s="10" t="str">
        <f ca="1">IFERROR(__xludf.DUMMYFUNCTION("""COMPUTED_VALUE"""),"COMPENSACIÓN PREDIOS EXENTOS")</f>
        <v>COMPENSACIÓN PREDIOS EXENTOS</v>
      </c>
      <c r="I497" s="10" t="str">
        <f ca="1">IFERROR(__xludf.DUMMYFUNCTION("""COMPUTED_VALUE"""),"Cumplir con normativa y reglamentos internos del programa en base a los objetivos.")</f>
        <v>Cumplir con normativa y reglamentos internos del programa en base a los objetivos.</v>
      </c>
      <c r="J497" s="11">
        <f ca="1">IFERROR(__xludf.DUMMYFUNCTION("""COMPUTED_VALUE"""),160798055)</f>
        <v>160798055</v>
      </c>
      <c r="K497" s="27">
        <f ca="1">IFERROR(__xludf.DUMMYFUNCTION("""COMPUTED_VALUE"""),1)</f>
        <v>1</v>
      </c>
      <c r="L497" s="28" t="str">
        <f ca="1">IFERROR(__xludf.DUMMYFUNCTION("""COMPUTED_VALUE"""),"1/2024")</f>
        <v>1/2024</v>
      </c>
      <c r="M497" s="10" t="str">
        <f ca="1">IFERROR(__xludf.DUMMYFUNCTION("""COMPUTED_VALUE"""),"Predios Exentos")</f>
        <v>Predios Exentos</v>
      </c>
      <c r="N497" s="1"/>
      <c r="O497" s="1"/>
      <c r="P497" s="1"/>
      <c r="Q497" s="1"/>
      <c r="R497" s="1"/>
      <c r="S497" s="1"/>
      <c r="T497" s="1"/>
      <c r="U497" s="1"/>
      <c r="V497" s="1"/>
      <c r="W497" s="1"/>
      <c r="X497" s="1"/>
      <c r="Y497" s="1"/>
      <c r="Z497" s="1"/>
    </row>
    <row r="498" spans="1:26" ht="12.75" customHeight="1">
      <c r="A498" s="1"/>
      <c r="B498" s="10" t="str">
        <f ca="1">IFERROR(__xludf.DUMMYFUNCTION("""COMPUTED_VALUE"""),"Compensación Predios Exentos 2024")</f>
        <v>Compensación Predios Exentos 2024</v>
      </c>
      <c r="C498" s="26" t="str">
        <f t="shared" ca="1" si="0"/>
        <v xml:space="preserve"> LOTA</v>
      </c>
      <c r="D498" s="10" t="str">
        <f ca="1">IFERROR(__xludf.DUMMYFUNCTION("""COMPUTED_VALUE"""),"Resolución de Transferencia")</f>
        <v>Resolución de Transferencia</v>
      </c>
      <c r="E498" s="26" t="str">
        <f ca="1">IFERROR(__xludf.DUMMYFUNCTION("""COMPUTED_VALUE"""),"MUNICIPALIDAD DE LOTA")</f>
        <v>MUNICIPALIDAD DE LOTA</v>
      </c>
      <c r="F498" s="11">
        <f ca="1">IFERROR(__xludf.DUMMYFUNCTION("""COMPUTED_VALUE"""),130388696)</f>
        <v>130388696</v>
      </c>
      <c r="G498" s="10" t="str">
        <f ca="1">IFERROR(__xludf.DUMMYFUNCTION("""COMPUTED_VALUE"""),"Resolución")</f>
        <v>Resolución</v>
      </c>
      <c r="H498" s="10" t="str">
        <f ca="1">IFERROR(__xludf.DUMMYFUNCTION("""COMPUTED_VALUE"""),"COMPENSACIÓN PREDIOS EXENTOS")</f>
        <v>COMPENSACIÓN PREDIOS EXENTOS</v>
      </c>
      <c r="I498" s="10" t="str">
        <f ca="1">IFERROR(__xludf.DUMMYFUNCTION("""COMPUTED_VALUE"""),"Cumplir con normativa y reglamentos internos del programa en base a los objetivos.")</f>
        <v>Cumplir con normativa y reglamentos internos del programa en base a los objetivos.</v>
      </c>
      <c r="J498" s="11">
        <f ca="1">IFERROR(__xludf.DUMMYFUNCTION("""COMPUTED_VALUE"""),130388696)</f>
        <v>130388696</v>
      </c>
      <c r="K498" s="27">
        <f ca="1">IFERROR(__xludf.DUMMYFUNCTION("""COMPUTED_VALUE"""),1)</f>
        <v>1</v>
      </c>
      <c r="L498" s="28" t="str">
        <f ca="1">IFERROR(__xludf.DUMMYFUNCTION("""COMPUTED_VALUE"""),"1/2024")</f>
        <v>1/2024</v>
      </c>
      <c r="M498" s="10" t="str">
        <f ca="1">IFERROR(__xludf.DUMMYFUNCTION("""COMPUTED_VALUE"""),"Predios Exentos")</f>
        <v>Predios Exentos</v>
      </c>
      <c r="N498" s="1"/>
      <c r="O498" s="1"/>
      <c r="P498" s="1"/>
      <c r="Q498" s="1"/>
      <c r="R498" s="1"/>
      <c r="S498" s="1"/>
      <c r="T498" s="1"/>
      <c r="U498" s="1"/>
      <c r="V498" s="1"/>
      <c r="W498" s="1"/>
      <c r="X498" s="1"/>
      <c r="Y498" s="1"/>
      <c r="Z498" s="1"/>
    </row>
    <row r="499" spans="1:26" ht="12.75" customHeight="1">
      <c r="A499" s="1"/>
      <c r="B499" s="10" t="str">
        <f ca="1">IFERROR(__xludf.DUMMYFUNCTION("""COMPUTED_VALUE"""),"Compensación Predios Exentos 2024")</f>
        <v>Compensación Predios Exentos 2024</v>
      </c>
      <c r="C499" s="26" t="str">
        <f t="shared" ca="1" si="0"/>
        <v xml:space="preserve"> LOS LAGOS</v>
      </c>
      <c r="D499" s="10" t="str">
        <f ca="1">IFERROR(__xludf.DUMMYFUNCTION("""COMPUTED_VALUE"""),"Resolución de Transferencia")</f>
        <v>Resolución de Transferencia</v>
      </c>
      <c r="E499" s="26" t="str">
        <f ca="1">IFERROR(__xludf.DUMMYFUNCTION("""COMPUTED_VALUE"""),"MUNICIPALIDAD DE LOS LAGOS")</f>
        <v>MUNICIPALIDAD DE LOS LAGOS</v>
      </c>
      <c r="F499" s="11">
        <f ca="1">IFERROR(__xludf.DUMMYFUNCTION("""COMPUTED_VALUE"""),61484017)</f>
        <v>61484017</v>
      </c>
      <c r="G499" s="10" t="str">
        <f ca="1">IFERROR(__xludf.DUMMYFUNCTION("""COMPUTED_VALUE"""),"Resolución")</f>
        <v>Resolución</v>
      </c>
      <c r="H499" s="10" t="str">
        <f ca="1">IFERROR(__xludf.DUMMYFUNCTION("""COMPUTED_VALUE"""),"COMPENSACIÓN PREDIOS EXENTOS")</f>
        <v>COMPENSACIÓN PREDIOS EXENTOS</v>
      </c>
      <c r="I499" s="10" t="str">
        <f ca="1">IFERROR(__xludf.DUMMYFUNCTION("""COMPUTED_VALUE"""),"Cumplir con normativa y reglamentos internos del programa en base a los objetivos.")</f>
        <v>Cumplir con normativa y reglamentos internos del programa en base a los objetivos.</v>
      </c>
      <c r="J499" s="11">
        <f ca="1">IFERROR(__xludf.DUMMYFUNCTION("""COMPUTED_VALUE"""),61484017)</f>
        <v>61484017</v>
      </c>
      <c r="K499" s="27">
        <f ca="1">IFERROR(__xludf.DUMMYFUNCTION("""COMPUTED_VALUE"""),1)</f>
        <v>1</v>
      </c>
      <c r="L499" s="28" t="str">
        <f ca="1">IFERROR(__xludf.DUMMYFUNCTION("""COMPUTED_VALUE"""),"1/2024")</f>
        <v>1/2024</v>
      </c>
      <c r="M499" s="10" t="str">
        <f ca="1">IFERROR(__xludf.DUMMYFUNCTION("""COMPUTED_VALUE"""),"Predios Exentos")</f>
        <v>Predios Exentos</v>
      </c>
      <c r="N499" s="1"/>
      <c r="O499" s="1"/>
      <c r="P499" s="1"/>
      <c r="Q499" s="1"/>
      <c r="R499" s="1"/>
      <c r="S499" s="1"/>
      <c r="T499" s="1"/>
      <c r="U499" s="1"/>
      <c r="V499" s="1"/>
      <c r="W499" s="1"/>
      <c r="X499" s="1"/>
      <c r="Y499" s="1"/>
      <c r="Z499" s="1"/>
    </row>
    <row r="500" spans="1:26" ht="12.75" customHeight="1">
      <c r="A500" s="1"/>
      <c r="B500" s="10" t="str">
        <f ca="1">IFERROR(__xludf.DUMMYFUNCTION("""COMPUTED_VALUE"""),"Compensación Predios Exentos 2024")</f>
        <v>Compensación Predios Exentos 2024</v>
      </c>
      <c r="C500" s="26" t="str">
        <f t="shared" ca="1" si="0"/>
        <v xml:space="preserve"> FRUTILLAR</v>
      </c>
      <c r="D500" s="10" t="str">
        <f ca="1">IFERROR(__xludf.DUMMYFUNCTION("""COMPUTED_VALUE"""),"Resolución de Transferencia")</f>
        <v>Resolución de Transferencia</v>
      </c>
      <c r="E500" s="26" t="str">
        <f ca="1">IFERROR(__xludf.DUMMYFUNCTION("""COMPUTED_VALUE"""),"MUNICIPALIDAD DE FRUTILLAR")</f>
        <v>MUNICIPALIDAD DE FRUTILLAR</v>
      </c>
      <c r="F500" s="11">
        <f ca="1">IFERROR(__xludf.DUMMYFUNCTION("""COMPUTED_VALUE"""),64953816)</f>
        <v>64953816</v>
      </c>
      <c r="G500" s="10" t="str">
        <f ca="1">IFERROR(__xludf.DUMMYFUNCTION("""COMPUTED_VALUE"""),"Resolución")</f>
        <v>Resolución</v>
      </c>
      <c r="H500" s="10" t="str">
        <f ca="1">IFERROR(__xludf.DUMMYFUNCTION("""COMPUTED_VALUE"""),"COMPENSACIÓN PREDIOS EXENTOS")</f>
        <v>COMPENSACIÓN PREDIOS EXENTOS</v>
      </c>
      <c r="I500" s="10" t="str">
        <f ca="1">IFERROR(__xludf.DUMMYFUNCTION("""COMPUTED_VALUE"""),"Cumplir con normativa y reglamentos internos del programa en base a los objetivos.")</f>
        <v>Cumplir con normativa y reglamentos internos del programa en base a los objetivos.</v>
      </c>
      <c r="J500" s="11">
        <f ca="1">IFERROR(__xludf.DUMMYFUNCTION("""COMPUTED_VALUE"""),64953816)</f>
        <v>64953816</v>
      </c>
      <c r="K500" s="27">
        <f ca="1">IFERROR(__xludf.DUMMYFUNCTION("""COMPUTED_VALUE"""),1)</f>
        <v>1</v>
      </c>
      <c r="L500" s="28" t="str">
        <f ca="1">IFERROR(__xludf.DUMMYFUNCTION("""COMPUTED_VALUE"""),"1/2024")</f>
        <v>1/2024</v>
      </c>
      <c r="M500" s="10" t="str">
        <f ca="1">IFERROR(__xludf.DUMMYFUNCTION("""COMPUTED_VALUE"""),"Predios Exentos")</f>
        <v>Predios Exentos</v>
      </c>
      <c r="N500" s="1"/>
      <c r="O500" s="1"/>
      <c r="P500" s="1"/>
      <c r="Q500" s="1"/>
      <c r="R500" s="1"/>
      <c r="S500" s="1"/>
      <c r="T500" s="1"/>
      <c r="U500" s="1"/>
      <c r="V500" s="1"/>
      <c r="W500" s="1"/>
      <c r="X500" s="1"/>
      <c r="Y500" s="1"/>
      <c r="Z500" s="1"/>
    </row>
    <row r="501" spans="1:26" ht="12.75" customHeight="1">
      <c r="A501" s="1"/>
      <c r="B501" s="10" t="str">
        <f ca="1">IFERROR(__xludf.DUMMYFUNCTION("""COMPUTED_VALUE"""),"Compensación Predios Exentos 2024")</f>
        <v>Compensación Predios Exentos 2024</v>
      </c>
      <c r="C501" s="26" t="str">
        <f t="shared" ca="1" si="0"/>
        <v xml:space="preserve"> POZO ALMONTE</v>
      </c>
      <c r="D501" s="10" t="str">
        <f ca="1">IFERROR(__xludf.DUMMYFUNCTION("""COMPUTED_VALUE"""),"Resolución de Transferencia")</f>
        <v>Resolución de Transferencia</v>
      </c>
      <c r="E501" s="26" t="str">
        <f ca="1">IFERROR(__xludf.DUMMYFUNCTION("""COMPUTED_VALUE"""),"MUNICIPALIDAD DE POZO ALMONTE")</f>
        <v>MUNICIPALIDAD DE POZO ALMONTE</v>
      </c>
      <c r="F501" s="11">
        <f ca="1">IFERROR(__xludf.DUMMYFUNCTION("""COMPUTED_VALUE"""),107584236)</f>
        <v>107584236</v>
      </c>
      <c r="G501" s="10" t="str">
        <f ca="1">IFERROR(__xludf.DUMMYFUNCTION("""COMPUTED_VALUE"""),"Resolución")</f>
        <v>Resolución</v>
      </c>
      <c r="H501" s="10" t="str">
        <f ca="1">IFERROR(__xludf.DUMMYFUNCTION("""COMPUTED_VALUE"""),"COMPENSACIÓN PREDIOS EXENTOS")</f>
        <v>COMPENSACIÓN PREDIOS EXENTOS</v>
      </c>
      <c r="I501" s="10" t="str">
        <f ca="1">IFERROR(__xludf.DUMMYFUNCTION("""COMPUTED_VALUE"""),"Cumplir con normativa y reglamentos internos del programa en base a los objetivos.")</f>
        <v>Cumplir con normativa y reglamentos internos del programa en base a los objetivos.</v>
      </c>
      <c r="J501" s="11">
        <f ca="1">IFERROR(__xludf.DUMMYFUNCTION("""COMPUTED_VALUE"""),107584236)</f>
        <v>107584236</v>
      </c>
      <c r="K501" s="27">
        <f ca="1">IFERROR(__xludf.DUMMYFUNCTION("""COMPUTED_VALUE"""),1)</f>
        <v>1</v>
      </c>
      <c r="L501" s="28" t="str">
        <f ca="1">IFERROR(__xludf.DUMMYFUNCTION("""COMPUTED_VALUE"""),"1/2024")</f>
        <v>1/2024</v>
      </c>
      <c r="M501" s="10" t="str">
        <f ca="1">IFERROR(__xludf.DUMMYFUNCTION("""COMPUTED_VALUE"""),"Predios Exentos")</f>
        <v>Predios Exentos</v>
      </c>
      <c r="N501" s="1"/>
      <c r="O501" s="1"/>
      <c r="P501" s="1"/>
      <c r="Q501" s="1"/>
      <c r="R501" s="1"/>
      <c r="S501" s="1"/>
      <c r="T501" s="1"/>
      <c r="U501" s="1"/>
      <c r="V501" s="1"/>
      <c r="W501" s="1"/>
      <c r="X501" s="1"/>
      <c r="Y501" s="1"/>
      <c r="Z501" s="1"/>
    </row>
    <row r="502" spans="1:26" ht="12.75" customHeight="1">
      <c r="A502" s="1"/>
      <c r="B502" s="10" t="str">
        <f ca="1">IFERROR(__xludf.DUMMYFUNCTION("""COMPUTED_VALUE"""),"Compensación Predios Exentos 2024")</f>
        <v>Compensación Predios Exentos 2024</v>
      </c>
      <c r="C502" s="26" t="str">
        <f t="shared" ca="1" si="0"/>
        <v xml:space="preserve"> HUASCO</v>
      </c>
      <c r="D502" s="10" t="str">
        <f ca="1">IFERROR(__xludf.DUMMYFUNCTION("""COMPUTED_VALUE"""),"Resolución de Transferencia")</f>
        <v>Resolución de Transferencia</v>
      </c>
      <c r="E502" s="26" t="str">
        <f ca="1">IFERROR(__xludf.DUMMYFUNCTION("""COMPUTED_VALUE"""),"MUNICIPALIDAD DE HUASCO")</f>
        <v>MUNICIPALIDAD DE HUASCO</v>
      </c>
      <c r="F502" s="11">
        <f ca="1">IFERROR(__xludf.DUMMYFUNCTION("""COMPUTED_VALUE"""),46745049)</f>
        <v>46745049</v>
      </c>
      <c r="G502" s="10" t="str">
        <f ca="1">IFERROR(__xludf.DUMMYFUNCTION("""COMPUTED_VALUE"""),"Resolución")</f>
        <v>Resolución</v>
      </c>
      <c r="H502" s="10" t="str">
        <f ca="1">IFERROR(__xludf.DUMMYFUNCTION("""COMPUTED_VALUE"""),"COMPENSACIÓN PREDIOS EXENTOS")</f>
        <v>COMPENSACIÓN PREDIOS EXENTOS</v>
      </c>
      <c r="I502" s="10" t="str">
        <f ca="1">IFERROR(__xludf.DUMMYFUNCTION("""COMPUTED_VALUE"""),"Cumplir con normativa y reglamentos internos del programa en base a los objetivos.")</f>
        <v>Cumplir con normativa y reglamentos internos del programa en base a los objetivos.</v>
      </c>
      <c r="J502" s="11">
        <f ca="1">IFERROR(__xludf.DUMMYFUNCTION("""COMPUTED_VALUE"""),46745049)</f>
        <v>46745049</v>
      </c>
      <c r="K502" s="27">
        <f ca="1">IFERROR(__xludf.DUMMYFUNCTION("""COMPUTED_VALUE"""),1)</f>
        <v>1</v>
      </c>
      <c r="L502" s="28" t="str">
        <f ca="1">IFERROR(__xludf.DUMMYFUNCTION("""COMPUTED_VALUE"""),"1/2024")</f>
        <v>1/2024</v>
      </c>
      <c r="M502" s="10" t="str">
        <f ca="1">IFERROR(__xludf.DUMMYFUNCTION("""COMPUTED_VALUE"""),"Predios Exentos")</f>
        <v>Predios Exentos</v>
      </c>
      <c r="N502" s="1"/>
      <c r="O502" s="1"/>
      <c r="P502" s="1"/>
      <c r="Q502" s="1"/>
      <c r="R502" s="1"/>
      <c r="S502" s="1"/>
      <c r="T502" s="1"/>
      <c r="U502" s="1"/>
      <c r="V502" s="1"/>
      <c r="W502" s="1"/>
      <c r="X502" s="1"/>
      <c r="Y502" s="1"/>
      <c r="Z502" s="1"/>
    </row>
    <row r="503" spans="1:26" ht="12.75" customHeight="1">
      <c r="A503" s="1"/>
      <c r="B503" s="10" t="str">
        <f ca="1">IFERROR(__xludf.DUMMYFUNCTION("""COMPUTED_VALUE"""),"Compensación Predios Exentos 2024")</f>
        <v>Compensación Predios Exentos 2024</v>
      </c>
      <c r="C503" s="26" t="str">
        <f t="shared" ca="1" si="0"/>
        <v xml:space="preserve"> SANTA MARÍA</v>
      </c>
      <c r="D503" s="10" t="str">
        <f ca="1">IFERROR(__xludf.DUMMYFUNCTION("""COMPUTED_VALUE"""),"Resolución de Transferencia")</f>
        <v>Resolución de Transferencia</v>
      </c>
      <c r="E503" s="26" t="str">
        <f ca="1">IFERROR(__xludf.DUMMYFUNCTION("""COMPUTED_VALUE"""),"MUNICIPALIDAD DE SANTA MARÍA")</f>
        <v>MUNICIPALIDAD DE SANTA MARÍA</v>
      </c>
      <c r="F503" s="11">
        <f ca="1">IFERROR(__xludf.DUMMYFUNCTION("""COMPUTED_VALUE"""),56611969)</f>
        <v>56611969</v>
      </c>
      <c r="G503" s="10" t="str">
        <f ca="1">IFERROR(__xludf.DUMMYFUNCTION("""COMPUTED_VALUE"""),"Resolución")</f>
        <v>Resolución</v>
      </c>
      <c r="H503" s="10" t="str">
        <f ca="1">IFERROR(__xludf.DUMMYFUNCTION("""COMPUTED_VALUE"""),"COMPENSACIÓN PREDIOS EXENTOS")</f>
        <v>COMPENSACIÓN PREDIOS EXENTOS</v>
      </c>
      <c r="I503" s="10" t="str">
        <f ca="1">IFERROR(__xludf.DUMMYFUNCTION("""COMPUTED_VALUE"""),"Cumplir con normativa y reglamentos internos del programa en base a los objetivos.")</f>
        <v>Cumplir con normativa y reglamentos internos del programa en base a los objetivos.</v>
      </c>
      <c r="J503" s="11">
        <f ca="1">IFERROR(__xludf.DUMMYFUNCTION("""COMPUTED_VALUE"""),56611969)</f>
        <v>56611969</v>
      </c>
      <c r="K503" s="27">
        <f ca="1">IFERROR(__xludf.DUMMYFUNCTION("""COMPUTED_VALUE"""),1)</f>
        <v>1</v>
      </c>
      <c r="L503" s="28" t="str">
        <f ca="1">IFERROR(__xludf.DUMMYFUNCTION("""COMPUTED_VALUE"""),"1/2024")</f>
        <v>1/2024</v>
      </c>
      <c r="M503" s="10" t="str">
        <f ca="1">IFERROR(__xludf.DUMMYFUNCTION("""COMPUTED_VALUE"""),"Predios Exentos")</f>
        <v>Predios Exentos</v>
      </c>
      <c r="N503" s="1"/>
      <c r="O503" s="1"/>
      <c r="P503" s="1"/>
      <c r="Q503" s="1"/>
      <c r="R503" s="1"/>
      <c r="S503" s="1"/>
      <c r="T503" s="1"/>
      <c r="U503" s="1"/>
      <c r="V503" s="1"/>
      <c r="W503" s="1"/>
      <c r="X503" s="1"/>
      <c r="Y503" s="1"/>
      <c r="Z503" s="1"/>
    </row>
    <row r="504" spans="1:26" ht="12.75" customHeight="1">
      <c r="A504" s="1"/>
      <c r="B504" s="10" t="str">
        <f ca="1">IFERROR(__xludf.DUMMYFUNCTION("""COMPUTED_VALUE"""),"Compensación Predios Exentos 2024")</f>
        <v>Compensación Predios Exentos 2024</v>
      </c>
      <c r="C504" s="26" t="str">
        <f t="shared" ca="1" si="0"/>
        <v xml:space="preserve"> SAN PEDRO</v>
      </c>
      <c r="D504" s="10" t="str">
        <f ca="1">IFERROR(__xludf.DUMMYFUNCTION("""COMPUTED_VALUE"""),"Resolución de Transferencia")</f>
        <v>Resolución de Transferencia</v>
      </c>
      <c r="E504" s="26" t="str">
        <f ca="1">IFERROR(__xludf.DUMMYFUNCTION("""COMPUTED_VALUE"""),"MUNICIPALIDAD DE SAN PEDRO")</f>
        <v>MUNICIPALIDAD DE SAN PEDRO</v>
      </c>
      <c r="F504" s="11">
        <f ca="1">IFERROR(__xludf.DUMMYFUNCTION("""COMPUTED_VALUE"""),38403202)</f>
        <v>38403202</v>
      </c>
      <c r="G504" s="10" t="str">
        <f ca="1">IFERROR(__xludf.DUMMYFUNCTION("""COMPUTED_VALUE"""),"Resolución")</f>
        <v>Resolución</v>
      </c>
      <c r="H504" s="10" t="str">
        <f ca="1">IFERROR(__xludf.DUMMYFUNCTION("""COMPUTED_VALUE"""),"COMPENSACIÓN PREDIOS EXENTOS")</f>
        <v>COMPENSACIÓN PREDIOS EXENTOS</v>
      </c>
      <c r="I504" s="10" t="str">
        <f ca="1">IFERROR(__xludf.DUMMYFUNCTION("""COMPUTED_VALUE"""),"Cumplir con normativa y reglamentos internos del programa en base a los objetivos.")</f>
        <v>Cumplir con normativa y reglamentos internos del programa en base a los objetivos.</v>
      </c>
      <c r="J504" s="11">
        <f ca="1">IFERROR(__xludf.DUMMYFUNCTION("""COMPUTED_VALUE"""),38403202)</f>
        <v>38403202</v>
      </c>
      <c r="K504" s="27">
        <f ca="1">IFERROR(__xludf.DUMMYFUNCTION("""COMPUTED_VALUE"""),1)</f>
        <v>1</v>
      </c>
      <c r="L504" s="28" t="str">
        <f ca="1">IFERROR(__xludf.DUMMYFUNCTION("""COMPUTED_VALUE"""),"1/2024")</f>
        <v>1/2024</v>
      </c>
      <c r="M504" s="10" t="str">
        <f ca="1">IFERROR(__xludf.DUMMYFUNCTION("""COMPUTED_VALUE"""),"Predios Exentos")</f>
        <v>Predios Exentos</v>
      </c>
      <c r="N504" s="1"/>
      <c r="O504" s="1"/>
      <c r="P504" s="1"/>
      <c r="Q504" s="1"/>
      <c r="R504" s="1"/>
      <c r="S504" s="1"/>
      <c r="T504" s="1"/>
      <c r="U504" s="1"/>
      <c r="V504" s="1"/>
      <c r="W504" s="1"/>
      <c r="X504" s="1"/>
      <c r="Y504" s="1"/>
      <c r="Z504" s="1"/>
    </row>
    <row r="505" spans="1:26" ht="12.75" customHeight="1">
      <c r="A505" s="1"/>
      <c r="B505" s="10" t="str">
        <f ca="1">IFERROR(__xludf.DUMMYFUNCTION("""COMPUTED_VALUE"""),"Compensación Predios Exentos 2024")</f>
        <v>Compensación Predios Exentos 2024</v>
      </c>
      <c r="C505" s="26" t="str">
        <f t="shared" ca="1" si="0"/>
        <v xml:space="preserve"> PALMILLA</v>
      </c>
      <c r="D505" s="10" t="str">
        <f ca="1">IFERROR(__xludf.DUMMYFUNCTION("""COMPUTED_VALUE"""),"Resolución de Transferencia")</f>
        <v>Resolución de Transferencia</v>
      </c>
      <c r="E505" s="26" t="str">
        <f ca="1">IFERROR(__xludf.DUMMYFUNCTION("""COMPUTED_VALUE"""),"MUNICIPALIDAD DE PALMILLA")</f>
        <v>MUNICIPALIDAD DE PALMILLA</v>
      </c>
      <c r="F505" s="11">
        <f ca="1">IFERROR(__xludf.DUMMYFUNCTION("""COMPUTED_VALUE"""),44667264)</f>
        <v>44667264</v>
      </c>
      <c r="G505" s="10" t="str">
        <f ca="1">IFERROR(__xludf.DUMMYFUNCTION("""COMPUTED_VALUE"""),"Resolución")</f>
        <v>Resolución</v>
      </c>
      <c r="H505" s="10" t="str">
        <f ca="1">IFERROR(__xludf.DUMMYFUNCTION("""COMPUTED_VALUE"""),"COMPENSACIÓN PREDIOS EXENTOS")</f>
        <v>COMPENSACIÓN PREDIOS EXENTOS</v>
      </c>
      <c r="I505" s="10" t="str">
        <f ca="1">IFERROR(__xludf.DUMMYFUNCTION("""COMPUTED_VALUE"""),"Cumplir con normativa y reglamentos internos del programa en base a los objetivos.")</f>
        <v>Cumplir con normativa y reglamentos internos del programa en base a los objetivos.</v>
      </c>
      <c r="J505" s="11">
        <f ca="1">IFERROR(__xludf.DUMMYFUNCTION("""COMPUTED_VALUE"""),44667264)</f>
        <v>44667264</v>
      </c>
      <c r="K505" s="27">
        <f ca="1">IFERROR(__xludf.DUMMYFUNCTION("""COMPUTED_VALUE"""),1)</f>
        <v>1</v>
      </c>
      <c r="L505" s="28" t="str">
        <f ca="1">IFERROR(__xludf.DUMMYFUNCTION("""COMPUTED_VALUE"""),"1/2024")</f>
        <v>1/2024</v>
      </c>
      <c r="M505" s="10" t="str">
        <f ca="1">IFERROR(__xludf.DUMMYFUNCTION("""COMPUTED_VALUE"""),"Predios Exentos")</f>
        <v>Predios Exentos</v>
      </c>
      <c r="N505" s="1"/>
      <c r="O505" s="1"/>
      <c r="P505" s="1"/>
      <c r="Q505" s="1"/>
      <c r="R505" s="1"/>
      <c r="S505" s="1"/>
      <c r="T505" s="1"/>
      <c r="U505" s="1"/>
      <c r="V505" s="1"/>
      <c r="W505" s="1"/>
      <c r="X505" s="1"/>
      <c r="Y505" s="1"/>
      <c r="Z505" s="1"/>
    </row>
    <row r="506" spans="1:26" ht="12.75" customHeight="1">
      <c r="A506" s="1"/>
      <c r="B506" s="10" t="str">
        <f ca="1">IFERROR(__xludf.DUMMYFUNCTION("""COMPUTED_VALUE"""),"Compensación Predios Exentos 2024")</f>
        <v>Compensación Predios Exentos 2024</v>
      </c>
      <c r="C506" s="26" t="str">
        <f t="shared" ca="1" si="0"/>
        <v xml:space="preserve"> EL CARMEN</v>
      </c>
      <c r="D506" s="10" t="str">
        <f ca="1">IFERROR(__xludf.DUMMYFUNCTION("""COMPUTED_VALUE"""),"Resolución de Transferencia")</f>
        <v>Resolución de Transferencia</v>
      </c>
      <c r="E506" s="26" t="str">
        <f ca="1">IFERROR(__xludf.DUMMYFUNCTION("""COMPUTED_VALUE"""),"MUNICIPALIDAD DE EL CARMEN")</f>
        <v>MUNICIPALIDAD DE EL CARMEN</v>
      </c>
      <c r="F506" s="11">
        <f ca="1">IFERROR(__xludf.DUMMYFUNCTION("""COMPUTED_VALUE"""),73848375)</f>
        <v>73848375</v>
      </c>
      <c r="G506" s="10" t="str">
        <f ca="1">IFERROR(__xludf.DUMMYFUNCTION("""COMPUTED_VALUE"""),"Resolución")</f>
        <v>Resolución</v>
      </c>
      <c r="H506" s="10" t="str">
        <f ca="1">IFERROR(__xludf.DUMMYFUNCTION("""COMPUTED_VALUE"""),"COMPENSACIÓN PREDIOS EXENTOS")</f>
        <v>COMPENSACIÓN PREDIOS EXENTOS</v>
      </c>
      <c r="I506" s="10" t="str">
        <f ca="1">IFERROR(__xludf.DUMMYFUNCTION("""COMPUTED_VALUE"""),"Cumplir con normativa y reglamentos internos del programa en base a los objetivos.")</f>
        <v>Cumplir con normativa y reglamentos internos del programa en base a los objetivos.</v>
      </c>
      <c r="J506" s="11">
        <f ca="1">IFERROR(__xludf.DUMMYFUNCTION("""COMPUTED_VALUE"""),73848375)</f>
        <v>73848375</v>
      </c>
      <c r="K506" s="27">
        <f ca="1">IFERROR(__xludf.DUMMYFUNCTION("""COMPUTED_VALUE"""),1)</f>
        <v>1</v>
      </c>
      <c r="L506" s="28" t="str">
        <f ca="1">IFERROR(__xludf.DUMMYFUNCTION("""COMPUTED_VALUE"""),"1/2024")</f>
        <v>1/2024</v>
      </c>
      <c r="M506" s="10" t="str">
        <f ca="1">IFERROR(__xludf.DUMMYFUNCTION("""COMPUTED_VALUE"""),"Predios Exentos")</f>
        <v>Predios Exentos</v>
      </c>
      <c r="N506" s="1"/>
      <c r="O506" s="1"/>
      <c r="P506" s="1"/>
      <c r="Q506" s="1"/>
      <c r="R506" s="1"/>
      <c r="S506" s="1"/>
      <c r="T506" s="1"/>
      <c r="U506" s="1"/>
      <c r="V506" s="1"/>
      <c r="W506" s="1"/>
      <c r="X506" s="1"/>
      <c r="Y506" s="1"/>
      <c r="Z506" s="1"/>
    </row>
    <row r="507" spans="1:26" ht="12.75" customHeight="1">
      <c r="A507" s="1"/>
      <c r="B507" s="10" t="str">
        <f ca="1">IFERROR(__xludf.DUMMYFUNCTION("""COMPUTED_VALUE"""),"Compensación Predios Exentos 2024")</f>
        <v>Compensación Predios Exentos 2024</v>
      </c>
      <c r="C507" s="26" t="str">
        <f t="shared" ca="1" si="0"/>
        <v xml:space="preserve"> CHAITÉN</v>
      </c>
      <c r="D507" s="10" t="str">
        <f ca="1">IFERROR(__xludf.DUMMYFUNCTION("""COMPUTED_VALUE"""),"Resolución de Transferencia")</f>
        <v>Resolución de Transferencia</v>
      </c>
      <c r="E507" s="26" t="str">
        <f ca="1">IFERROR(__xludf.DUMMYFUNCTION("""COMPUTED_VALUE"""),"MUNICIPALIDAD DE CHAITÉN")</f>
        <v>MUNICIPALIDAD DE CHAITÉN</v>
      </c>
      <c r="F507" s="11">
        <f ca="1">IFERROR(__xludf.DUMMYFUNCTION("""COMPUTED_VALUE"""),39007090)</f>
        <v>39007090</v>
      </c>
      <c r="G507" s="10" t="str">
        <f ca="1">IFERROR(__xludf.DUMMYFUNCTION("""COMPUTED_VALUE"""),"Resolución")</f>
        <v>Resolución</v>
      </c>
      <c r="H507" s="10" t="str">
        <f ca="1">IFERROR(__xludf.DUMMYFUNCTION("""COMPUTED_VALUE"""),"COMPENSACIÓN PREDIOS EXENTOS")</f>
        <v>COMPENSACIÓN PREDIOS EXENTOS</v>
      </c>
      <c r="I507" s="10" t="str">
        <f ca="1">IFERROR(__xludf.DUMMYFUNCTION("""COMPUTED_VALUE"""),"Cumplir con normativa y reglamentos internos del programa en base a los objetivos.")</f>
        <v>Cumplir con normativa y reglamentos internos del programa en base a los objetivos.</v>
      </c>
      <c r="J507" s="11">
        <f ca="1">IFERROR(__xludf.DUMMYFUNCTION("""COMPUTED_VALUE"""),39007090)</f>
        <v>39007090</v>
      </c>
      <c r="K507" s="27">
        <f ca="1">IFERROR(__xludf.DUMMYFUNCTION("""COMPUTED_VALUE"""),1)</f>
        <v>1</v>
      </c>
      <c r="L507" s="28" t="str">
        <f ca="1">IFERROR(__xludf.DUMMYFUNCTION("""COMPUTED_VALUE"""),"1/2024")</f>
        <v>1/2024</v>
      </c>
      <c r="M507" s="10" t="str">
        <f ca="1">IFERROR(__xludf.DUMMYFUNCTION("""COMPUTED_VALUE"""),"Predios Exentos")</f>
        <v>Predios Exentos</v>
      </c>
      <c r="N507" s="1"/>
      <c r="O507" s="1"/>
      <c r="P507" s="1"/>
      <c r="Q507" s="1"/>
      <c r="R507" s="1"/>
      <c r="S507" s="1"/>
      <c r="T507" s="1"/>
      <c r="U507" s="1"/>
      <c r="V507" s="1"/>
      <c r="W507" s="1"/>
      <c r="X507" s="1"/>
      <c r="Y507" s="1"/>
      <c r="Z507" s="1"/>
    </row>
    <row r="508" spans="1:26" ht="12.75" customHeight="1">
      <c r="A508" s="1"/>
      <c r="B508" s="10" t="str">
        <f ca="1">IFERROR(__xludf.DUMMYFUNCTION("""COMPUTED_VALUE"""),"Compensación Predios Exentos 2024")</f>
        <v>Compensación Predios Exentos 2024</v>
      </c>
      <c r="C508" s="26" t="str">
        <f t="shared" ca="1" si="0"/>
        <v xml:space="preserve"> CURARREHUE</v>
      </c>
      <c r="D508" s="10" t="str">
        <f ca="1">IFERROR(__xludf.DUMMYFUNCTION("""COMPUTED_VALUE"""),"Resolución de Transferencia")</f>
        <v>Resolución de Transferencia</v>
      </c>
      <c r="E508" s="26" t="str">
        <f ca="1">IFERROR(__xludf.DUMMYFUNCTION("""COMPUTED_VALUE"""),"MUNICIPALIDAD DE CURARREHUE")</f>
        <v>MUNICIPALIDAD DE CURARREHUE</v>
      </c>
      <c r="F508" s="11">
        <f ca="1">IFERROR(__xludf.DUMMYFUNCTION("""COMPUTED_VALUE"""),32384790)</f>
        <v>32384790</v>
      </c>
      <c r="G508" s="10" t="str">
        <f ca="1">IFERROR(__xludf.DUMMYFUNCTION("""COMPUTED_VALUE"""),"Resolución")</f>
        <v>Resolución</v>
      </c>
      <c r="H508" s="10" t="str">
        <f ca="1">IFERROR(__xludf.DUMMYFUNCTION("""COMPUTED_VALUE"""),"COMPENSACIÓN PREDIOS EXENTOS")</f>
        <v>COMPENSACIÓN PREDIOS EXENTOS</v>
      </c>
      <c r="I508" s="10" t="str">
        <f ca="1">IFERROR(__xludf.DUMMYFUNCTION("""COMPUTED_VALUE"""),"Cumplir con normativa y reglamentos internos del programa en base a los objetivos.")</f>
        <v>Cumplir con normativa y reglamentos internos del programa en base a los objetivos.</v>
      </c>
      <c r="J508" s="11">
        <f ca="1">IFERROR(__xludf.DUMMYFUNCTION("""COMPUTED_VALUE"""),32384790)</f>
        <v>32384790</v>
      </c>
      <c r="K508" s="27">
        <f ca="1">IFERROR(__xludf.DUMMYFUNCTION("""COMPUTED_VALUE"""),1)</f>
        <v>1</v>
      </c>
      <c r="L508" s="28" t="str">
        <f ca="1">IFERROR(__xludf.DUMMYFUNCTION("""COMPUTED_VALUE"""),"1/2024")</f>
        <v>1/2024</v>
      </c>
      <c r="M508" s="10" t="str">
        <f ca="1">IFERROR(__xludf.DUMMYFUNCTION("""COMPUTED_VALUE"""),"Predios Exentos")</f>
        <v>Predios Exentos</v>
      </c>
      <c r="N508" s="1"/>
      <c r="O508" s="1"/>
      <c r="P508" s="1"/>
      <c r="Q508" s="1"/>
      <c r="R508" s="1"/>
      <c r="S508" s="1"/>
      <c r="T508" s="1"/>
      <c r="U508" s="1"/>
      <c r="V508" s="1"/>
      <c r="W508" s="1"/>
      <c r="X508" s="1"/>
      <c r="Y508" s="1"/>
      <c r="Z508" s="1"/>
    </row>
    <row r="509" spans="1:26" ht="12.75" customHeight="1">
      <c r="A509" s="1"/>
      <c r="B509" s="10" t="str">
        <f ca="1">IFERROR(__xludf.DUMMYFUNCTION("""COMPUTED_VALUE"""),"Compensación Predios Exentos 2024")</f>
        <v>Compensación Predios Exentos 2024</v>
      </c>
      <c r="C509" s="26" t="str">
        <f t="shared" ca="1" si="0"/>
        <v xml:space="preserve"> PELLUHUE</v>
      </c>
      <c r="D509" s="10" t="str">
        <f ca="1">IFERROR(__xludf.DUMMYFUNCTION("""COMPUTED_VALUE"""),"Resolución de Transferencia")</f>
        <v>Resolución de Transferencia</v>
      </c>
      <c r="E509" s="26" t="str">
        <f ca="1">IFERROR(__xludf.DUMMYFUNCTION("""COMPUTED_VALUE"""),"MUNICIPALIDAD DE PELLUHUE")</f>
        <v>MUNICIPALIDAD DE PELLUHUE</v>
      </c>
      <c r="F509" s="11">
        <f ca="1">IFERROR(__xludf.DUMMYFUNCTION("""COMPUTED_VALUE"""),93725512)</f>
        <v>93725512</v>
      </c>
      <c r="G509" s="10" t="str">
        <f ca="1">IFERROR(__xludf.DUMMYFUNCTION("""COMPUTED_VALUE"""),"Resolución")</f>
        <v>Resolución</v>
      </c>
      <c r="H509" s="10" t="str">
        <f ca="1">IFERROR(__xludf.DUMMYFUNCTION("""COMPUTED_VALUE"""),"COMPENSACIÓN PREDIOS EXENTOS")</f>
        <v>COMPENSACIÓN PREDIOS EXENTOS</v>
      </c>
      <c r="I509" s="10" t="str">
        <f ca="1">IFERROR(__xludf.DUMMYFUNCTION("""COMPUTED_VALUE"""),"Cumplir con normativa y reglamentos internos del programa en base a los objetivos.")</f>
        <v>Cumplir con normativa y reglamentos internos del programa en base a los objetivos.</v>
      </c>
      <c r="J509" s="11">
        <f ca="1">IFERROR(__xludf.DUMMYFUNCTION("""COMPUTED_VALUE"""),93725512)</f>
        <v>93725512</v>
      </c>
      <c r="K509" s="27">
        <f ca="1">IFERROR(__xludf.DUMMYFUNCTION("""COMPUTED_VALUE"""),1)</f>
        <v>1</v>
      </c>
      <c r="L509" s="28" t="str">
        <f ca="1">IFERROR(__xludf.DUMMYFUNCTION("""COMPUTED_VALUE"""),"1/2024")</f>
        <v>1/2024</v>
      </c>
      <c r="M509" s="10" t="str">
        <f ca="1">IFERROR(__xludf.DUMMYFUNCTION("""COMPUTED_VALUE"""),"Predios Exentos")</f>
        <v>Predios Exentos</v>
      </c>
      <c r="N509" s="1"/>
      <c r="O509" s="1"/>
      <c r="P509" s="1"/>
      <c r="Q509" s="1"/>
      <c r="R509" s="1"/>
      <c r="S509" s="1"/>
      <c r="T509" s="1"/>
      <c r="U509" s="1"/>
      <c r="V509" s="1"/>
      <c r="W509" s="1"/>
      <c r="X509" s="1"/>
      <c r="Y509" s="1"/>
      <c r="Z509" s="1"/>
    </row>
    <row r="510" spans="1:26" ht="12.75" customHeight="1">
      <c r="A510" s="1"/>
      <c r="B510" s="10" t="str">
        <f ca="1">IFERROR(__xludf.DUMMYFUNCTION("""COMPUTED_VALUE"""),"Compensación Predios Exentos 2024")</f>
        <v>Compensación Predios Exentos 2024</v>
      </c>
      <c r="C510" s="26" t="str">
        <f t="shared" ca="1" si="0"/>
        <v xml:space="preserve"> LAGO VERDE</v>
      </c>
      <c r="D510" s="10" t="str">
        <f ca="1">IFERROR(__xludf.DUMMYFUNCTION("""COMPUTED_VALUE"""),"Resolución de Transferencia")</f>
        <v>Resolución de Transferencia</v>
      </c>
      <c r="E510" s="26" t="str">
        <f ca="1">IFERROR(__xludf.DUMMYFUNCTION("""COMPUTED_VALUE"""),"MUNICIPALIDAD DE LAGO VERDE")</f>
        <v>MUNICIPALIDAD DE LAGO VERDE</v>
      </c>
      <c r="F510" s="11">
        <f ca="1">IFERROR(__xludf.DUMMYFUNCTION("""COMPUTED_VALUE"""),9754331)</f>
        <v>9754331</v>
      </c>
      <c r="G510" s="10" t="str">
        <f ca="1">IFERROR(__xludf.DUMMYFUNCTION("""COMPUTED_VALUE"""),"Resolución")</f>
        <v>Resolución</v>
      </c>
      <c r="H510" s="10" t="str">
        <f ca="1">IFERROR(__xludf.DUMMYFUNCTION("""COMPUTED_VALUE"""),"COMPENSACIÓN PREDIOS EXENTOS")</f>
        <v>COMPENSACIÓN PREDIOS EXENTOS</v>
      </c>
      <c r="I510" s="10" t="str">
        <f ca="1">IFERROR(__xludf.DUMMYFUNCTION("""COMPUTED_VALUE"""),"Cumplir con normativa y reglamentos internos del programa en base a los objetivos.")</f>
        <v>Cumplir con normativa y reglamentos internos del programa en base a los objetivos.</v>
      </c>
      <c r="J510" s="11">
        <f ca="1">IFERROR(__xludf.DUMMYFUNCTION("""COMPUTED_VALUE"""),9754331)</f>
        <v>9754331</v>
      </c>
      <c r="K510" s="27">
        <f ca="1">IFERROR(__xludf.DUMMYFUNCTION("""COMPUTED_VALUE"""),1)</f>
        <v>1</v>
      </c>
      <c r="L510" s="28" t="str">
        <f ca="1">IFERROR(__xludf.DUMMYFUNCTION("""COMPUTED_VALUE"""),"1/2024")</f>
        <v>1/2024</v>
      </c>
      <c r="M510" s="10" t="str">
        <f ca="1">IFERROR(__xludf.DUMMYFUNCTION("""COMPUTED_VALUE"""),"Predios Exentos")</f>
        <v>Predios Exentos</v>
      </c>
      <c r="N510" s="1"/>
      <c r="O510" s="1"/>
      <c r="P510" s="1"/>
      <c r="Q510" s="1"/>
      <c r="R510" s="1"/>
      <c r="S510" s="1"/>
      <c r="T510" s="1"/>
      <c r="U510" s="1"/>
      <c r="V510" s="1"/>
      <c r="W510" s="1"/>
      <c r="X510" s="1"/>
      <c r="Y510" s="1"/>
      <c r="Z510" s="1"/>
    </row>
    <row r="511" spans="1:26" ht="12.75" customHeight="1">
      <c r="A511" s="1"/>
      <c r="B511" s="10" t="str">
        <f ca="1">IFERROR(__xludf.DUMMYFUNCTION("""COMPUTED_VALUE"""),"Compensación Predios Exentos 2024")</f>
        <v>Compensación Predios Exentos 2024</v>
      </c>
      <c r="C511" s="26" t="str">
        <f t="shared" ca="1" si="0"/>
        <v xml:space="preserve"> RECOLETA</v>
      </c>
      <c r="D511" s="10" t="str">
        <f ca="1">IFERROR(__xludf.DUMMYFUNCTION("""COMPUTED_VALUE"""),"Resolución de Transferencia")</f>
        <v>Resolución de Transferencia</v>
      </c>
      <c r="E511" s="26" t="str">
        <f ca="1">IFERROR(__xludf.DUMMYFUNCTION("""COMPUTED_VALUE"""),"MUNICIPALIDAD DE RECOLETA")</f>
        <v>MUNICIPALIDAD DE RECOLETA</v>
      </c>
      <c r="F511" s="11">
        <f ca="1">IFERROR(__xludf.DUMMYFUNCTION("""COMPUTED_VALUE"""),339180518)</f>
        <v>339180518</v>
      </c>
      <c r="G511" s="10" t="str">
        <f ca="1">IFERROR(__xludf.DUMMYFUNCTION("""COMPUTED_VALUE"""),"Resolución")</f>
        <v>Resolución</v>
      </c>
      <c r="H511" s="10" t="str">
        <f ca="1">IFERROR(__xludf.DUMMYFUNCTION("""COMPUTED_VALUE"""),"COMPENSACIÓN PREDIOS EXENTOS")</f>
        <v>COMPENSACIÓN PREDIOS EXENTOS</v>
      </c>
      <c r="I511" s="10" t="str">
        <f ca="1">IFERROR(__xludf.DUMMYFUNCTION("""COMPUTED_VALUE"""),"Cumplir con normativa y reglamentos internos del programa en base a los objetivos.")</f>
        <v>Cumplir con normativa y reglamentos internos del programa en base a los objetivos.</v>
      </c>
      <c r="J511" s="11">
        <f ca="1">IFERROR(__xludf.DUMMYFUNCTION("""COMPUTED_VALUE"""),339180518)</f>
        <v>339180518</v>
      </c>
      <c r="K511" s="27">
        <f ca="1">IFERROR(__xludf.DUMMYFUNCTION("""COMPUTED_VALUE"""),1)</f>
        <v>1</v>
      </c>
      <c r="L511" s="28" t="str">
        <f ca="1">IFERROR(__xludf.DUMMYFUNCTION("""COMPUTED_VALUE"""),"1/2024")</f>
        <v>1/2024</v>
      </c>
      <c r="M511" s="10" t="str">
        <f ca="1">IFERROR(__xludf.DUMMYFUNCTION("""COMPUTED_VALUE"""),"Predios Exentos")</f>
        <v>Predios Exentos</v>
      </c>
      <c r="N511" s="1"/>
      <c r="O511" s="1"/>
      <c r="P511" s="1"/>
      <c r="Q511" s="1"/>
      <c r="R511" s="1"/>
      <c r="S511" s="1"/>
      <c r="T511" s="1"/>
      <c r="U511" s="1"/>
      <c r="V511" s="1"/>
      <c r="W511" s="1"/>
      <c r="X511" s="1"/>
      <c r="Y511" s="1"/>
      <c r="Z511" s="1"/>
    </row>
    <row r="512" spans="1:26" ht="12.75" customHeight="1">
      <c r="A512" s="1"/>
      <c r="B512" s="10" t="str">
        <f ca="1">IFERROR(__xludf.DUMMYFUNCTION("""COMPUTED_VALUE"""),"Compensación Predios Exentos 2024")</f>
        <v>Compensación Predios Exentos 2024</v>
      </c>
      <c r="C512" s="26" t="str">
        <f t="shared" ca="1" si="0"/>
        <v xml:space="preserve"> COPIAPÓ</v>
      </c>
      <c r="D512" s="10" t="str">
        <f ca="1">IFERROR(__xludf.DUMMYFUNCTION("""COMPUTED_VALUE"""),"Resolución de Transferencia")</f>
        <v>Resolución de Transferencia</v>
      </c>
      <c r="E512" s="26" t="str">
        <f ca="1">IFERROR(__xludf.DUMMYFUNCTION("""COMPUTED_VALUE"""),"MUNICIPALIDAD DE COPIAPÓ")</f>
        <v>MUNICIPALIDAD DE COPIAPÓ</v>
      </c>
      <c r="F512" s="11">
        <f ca="1">IFERROR(__xludf.DUMMYFUNCTION("""COMPUTED_VALUE"""),476764697)</f>
        <v>476764697</v>
      </c>
      <c r="G512" s="10" t="str">
        <f ca="1">IFERROR(__xludf.DUMMYFUNCTION("""COMPUTED_VALUE"""),"Resolución")</f>
        <v>Resolución</v>
      </c>
      <c r="H512" s="10" t="str">
        <f ca="1">IFERROR(__xludf.DUMMYFUNCTION("""COMPUTED_VALUE"""),"COMPENSACIÓN PREDIOS EXENTOS")</f>
        <v>COMPENSACIÓN PREDIOS EXENTOS</v>
      </c>
      <c r="I512" s="10" t="str">
        <f ca="1">IFERROR(__xludf.DUMMYFUNCTION("""COMPUTED_VALUE"""),"Cumplir con normativa y reglamentos internos del programa en base a los objetivos.")</f>
        <v>Cumplir con normativa y reglamentos internos del programa en base a los objetivos.</v>
      </c>
      <c r="J512" s="11">
        <f ca="1">IFERROR(__xludf.DUMMYFUNCTION("""COMPUTED_VALUE"""),476764697)</f>
        <v>476764697</v>
      </c>
      <c r="K512" s="27">
        <f ca="1">IFERROR(__xludf.DUMMYFUNCTION("""COMPUTED_VALUE"""),1)</f>
        <v>1</v>
      </c>
      <c r="L512" s="28" t="str">
        <f ca="1">IFERROR(__xludf.DUMMYFUNCTION("""COMPUTED_VALUE"""),"1/2024")</f>
        <v>1/2024</v>
      </c>
      <c r="M512" s="10" t="str">
        <f ca="1">IFERROR(__xludf.DUMMYFUNCTION("""COMPUTED_VALUE"""),"Predios Exentos")</f>
        <v>Predios Exentos</v>
      </c>
      <c r="N512" s="1"/>
      <c r="O512" s="1"/>
      <c r="P512" s="1"/>
      <c r="Q512" s="1"/>
      <c r="R512" s="1"/>
      <c r="S512" s="1"/>
      <c r="T512" s="1"/>
      <c r="U512" s="1"/>
      <c r="V512" s="1"/>
      <c r="W512" s="1"/>
      <c r="X512" s="1"/>
      <c r="Y512" s="1"/>
      <c r="Z512" s="1"/>
    </row>
    <row r="513" spans="1:26" ht="12.75" customHeight="1">
      <c r="A513" s="1"/>
      <c r="B513" s="10" t="str">
        <f ca="1">IFERROR(__xludf.DUMMYFUNCTION("""COMPUTED_VALUE"""),"Compensación Predios Exentos 2024")</f>
        <v>Compensación Predios Exentos 2024</v>
      </c>
      <c r="C513" s="26" t="str">
        <f t="shared" ca="1" si="0"/>
        <v xml:space="preserve"> VALLENAR</v>
      </c>
      <c r="D513" s="10" t="str">
        <f ca="1">IFERROR(__xludf.DUMMYFUNCTION("""COMPUTED_VALUE"""),"Resolución de Transferencia")</f>
        <v>Resolución de Transferencia</v>
      </c>
      <c r="E513" s="26" t="str">
        <f ca="1">IFERROR(__xludf.DUMMYFUNCTION("""COMPUTED_VALUE"""),"MUNICIPALIDAD DE VALLENAR")</f>
        <v>MUNICIPALIDAD DE VALLENAR</v>
      </c>
      <c r="F513" s="11">
        <f ca="1">IFERROR(__xludf.DUMMYFUNCTION("""COMPUTED_VALUE"""),195209452)</f>
        <v>195209452</v>
      </c>
      <c r="G513" s="10" t="str">
        <f ca="1">IFERROR(__xludf.DUMMYFUNCTION("""COMPUTED_VALUE"""),"Resolución")</f>
        <v>Resolución</v>
      </c>
      <c r="H513" s="10" t="str">
        <f ca="1">IFERROR(__xludf.DUMMYFUNCTION("""COMPUTED_VALUE"""),"COMPENSACIÓN PREDIOS EXENTOS")</f>
        <v>COMPENSACIÓN PREDIOS EXENTOS</v>
      </c>
      <c r="I513" s="10" t="str">
        <f ca="1">IFERROR(__xludf.DUMMYFUNCTION("""COMPUTED_VALUE"""),"Cumplir con normativa y reglamentos internos del programa en base a los objetivos.")</f>
        <v>Cumplir con normativa y reglamentos internos del programa en base a los objetivos.</v>
      </c>
      <c r="J513" s="11">
        <f ca="1">IFERROR(__xludf.DUMMYFUNCTION("""COMPUTED_VALUE"""),195209452)</f>
        <v>195209452</v>
      </c>
      <c r="K513" s="27">
        <f ca="1">IFERROR(__xludf.DUMMYFUNCTION("""COMPUTED_VALUE"""),1)</f>
        <v>1</v>
      </c>
      <c r="L513" s="28" t="str">
        <f ca="1">IFERROR(__xludf.DUMMYFUNCTION("""COMPUTED_VALUE"""),"1/2024")</f>
        <v>1/2024</v>
      </c>
      <c r="M513" s="10" t="str">
        <f ca="1">IFERROR(__xludf.DUMMYFUNCTION("""COMPUTED_VALUE"""),"Predios Exentos")</f>
        <v>Predios Exentos</v>
      </c>
      <c r="N513" s="1"/>
      <c r="O513" s="1"/>
      <c r="P513" s="1"/>
      <c r="Q513" s="1"/>
      <c r="R513" s="1"/>
      <c r="S513" s="1"/>
      <c r="T513" s="1"/>
      <c r="U513" s="1"/>
      <c r="V513" s="1"/>
      <c r="W513" s="1"/>
      <c r="X513" s="1"/>
      <c r="Y513" s="1"/>
      <c r="Z513" s="1"/>
    </row>
    <row r="514" spans="1:26" ht="12.75" customHeight="1">
      <c r="A514" s="1"/>
      <c r="B514" s="10" t="str">
        <f ca="1">IFERROR(__xludf.DUMMYFUNCTION("""COMPUTED_VALUE"""),"Compensación Predios Exentos 2024")</f>
        <v>Compensación Predios Exentos 2024</v>
      </c>
      <c r="C514" s="26" t="str">
        <f t="shared" ca="1" si="0"/>
        <v xml:space="preserve"> MARCHIHUE</v>
      </c>
      <c r="D514" s="10" t="str">
        <f ca="1">IFERROR(__xludf.DUMMYFUNCTION("""COMPUTED_VALUE"""),"Resolución de Transferencia")</f>
        <v>Resolución de Transferencia</v>
      </c>
      <c r="E514" s="26" t="str">
        <f ca="1">IFERROR(__xludf.DUMMYFUNCTION("""COMPUTED_VALUE"""),"MUNICIPALIDAD DE MARCHIHUE")</f>
        <v>MUNICIPALIDAD DE MARCHIHUE</v>
      </c>
      <c r="F514" s="11">
        <f ca="1">IFERROR(__xludf.DUMMYFUNCTION("""COMPUTED_VALUE"""),38208729)</f>
        <v>38208729</v>
      </c>
      <c r="G514" s="10" t="str">
        <f ca="1">IFERROR(__xludf.DUMMYFUNCTION("""COMPUTED_VALUE"""),"Resolución")</f>
        <v>Resolución</v>
      </c>
      <c r="H514" s="10" t="str">
        <f ca="1">IFERROR(__xludf.DUMMYFUNCTION("""COMPUTED_VALUE"""),"COMPENSACIÓN PREDIOS EXENTOS")</f>
        <v>COMPENSACIÓN PREDIOS EXENTOS</v>
      </c>
      <c r="I514" s="10" t="str">
        <f ca="1">IFERROR(__xludf.DUMMYFUNCTION("""COMPUTED_VALUE"""),"Cumplir con normativa y reglamentos internos del programa en base a los objetivos.")</f>
        <v>Cumplir con normativa y reglamentos internos del programa en base a los objetivos.</v>
      </c>
      <c r="J514" s="11">
        <f ca="1">IFERROR(__xludf.DUMMYFUNCTION("""COMPUTED_VALUE"""),38208729)</f>
        <v>38208729</v>
      </c>
      <c r="K514" s="27">
        <f ca="1">IFERROR(__xludf.DUMMYFUNCTION("""COMPUTED_VALUE"""),1)</f>
        <v>1</v>
      </c>
      <c r="L514" s="28" t="str">
        <f ca="1">IFERROR(__xludf.DUMMYFUNCTION("""COMPUTED_VALUE"""),"1/2024")</f>
        <v>1/2024</v>
      </c>
      <c r="M514" s="10" t="str">
        <f ca="1">IFERROR(__xludf.DUMMYFUNCTION("""COMPUTED_VALUE"""),"Predios Exentos")</f>
        <v>Predios Exentos</v>
      </c>
      <c r="N514" s="1"/>
      <c r="O514" s="1"/>
      <c r="P514" s="1"/>
      <c r="Q514" s="1"/>
      <c r="R514" s="1"/>
      <c r="S514" s="1"/>
      <c r="T514" s="1"/>
      <c r="U514" s="1"/>
      <c r="V514" s="1"/>
      <c r="W514" s="1"/>
      <c r="X514" s="1"/>
      <c r="Y514" s="1"/>
      <c r="Z514" s="1"/>
    </row>
    <row r="515" spans="1:26" ht="12.75" customHeight="1">
      <c r="A515" s="1"/>
      <c r="B515" s="10" t="str">
        <f ca="1">IFERROR(__xludf.DUMMYFUNCTION("""COMPUTED_VALUE"""),"Compensación Predios Exentos 2024")</f>
        <v>Compensación Predios Exentos 2024</v>
      </c>
      <c r="C515" s="26" t="str">
        <f t="shared" ca="1" si="0"/>
        <v xml:space="preserve"> CORONEL</v>
      </c>
      <c r="D515" s="10" t="str">
        <f ca="1">IFERROR(__xludf.DUMMYFUNCTION("""COMPUTED_VALUE"""),"Resolución de Transferencia")</f>
        <v>Resolución de Transferencia</v>
      </c>
      <c r="E515" s="26" t="str">
        <f ca="1">IFERROR(__xludf.DUMMYFUNCTION("""COMPUTED_VALUE"""),"MUNICIPALIDAD DE CORONEL")</f>
        <v>MUNICIPALIDAD DE CORONEL</v>
      </c>
      <c r="F515" s="11">
        <f ca="1">IFERROR(__xludf.DUMMYFUNCTION("""COMPUTED_VALUE"""),447706411)</f>
        <v>447706411</v>
      </c>
      <c r="G515" s="10" t="str">
        <f ca="1">IFERROR(__xludf.DUMMYFUNCTION("""COMPUTED_VALUE"""),"Resolución")</f>
        <v>Resolución</v>
      </c>
      <c r="H515" s="10" t="str">
        <f ca="1">IFERROR(__xludf.DUMMYFUNCTION("""COMPUTED_VALUE"""),"COMPENSACIÓN PREDIOS EXENTOS")</f>
        <v>COMPENSACIÓN PREDIOS EXENTOS</v>
      </c>
      <c r="I515" s="10" t="str">
        <f ca="1">IFERROR(__xludf.DUMMYFUNCTION("""COMPUTED_VALUE"""),"Cumplir con normativa y reglamentos internos del programa en base a los objetivos.")</f>
        <v>Cumplir con normativa y reglamentos internos del programa en base a los objetivos.</v>
      </c>
      <c r="J515" s="11">
        <f ca="1">IFERROR(__xludf.DUMMYFUNCTION("""COMPUTED_VALUE"""),447706411)</f>
        <v>447706411</v>
      </c>
      <c r="K515" s="27">
        <f ca="1">IFERROR(__xludf.DUMMYFUNCTION("""COMPUTED_VALUE"""),1)</f>
        <v>1</v>
      </c>
      <c r="L515" s="28" t="str">
        <f ca="1">IFERROR(__xludf.DUMMYFUNCTION("""COMPUTED_VALUE"""),"1/2024")</f>
        <v>1/2024</v>
      </c>
      <c r="M515" s="10" t="str">
        <f ca="1">IFERROR(__xludf.DUMMYFUNCTION("""COMPUTED_VALUE"""),"Predios Exentos")</f>
        <v>Predios Exentos</v>
      </c>
      <c r="N515" s="1"/>
      <c r="O515" s="1"/>
      <c r="P515" s="1"/>
      <c r="Q515" s="1"/>
      <c r="R515" s="1"/>
      <c r="S515" s="1"/>
      <c r="T515" s="1"/>
      <c r="U515" s="1"/>
      <c r="V515" s="1"/>
      <c r="W515" s="1"/>
      <c r="X515" s="1"/>
      <c r="Y515" s="1"/>
      <c r="Z515" s="1"/>
    </row>
    <row r="516" spans="1:26" ht="12.75" customHeight="1">
      <c r="A516" s="1"/>
      <c r="B516" s="10" t="str">
        <f ca="1">IFERROR(__xludf.DUMMYFUNCTION("""COMPUTED_VALUE"""),"Compensación Predios Exentos 2024")</f>
        <v>Compensación Predios Exentos 2024</v>
      </c>
      <c r="C516" s="26" t="str">
        <f t="shared" ca="1" si="0"/>
        <v xml:space="preserve"> LLANQUIHUE</v>
      </c>
      <c r="D516" s="10" t="str">
        <f ca="1">IFERROR(__xludf.DUMMYFUNCTION("""COMPUTED_VALUE"""),"Resolución de Transferencia")</f>
        <v>Resolución de Transferencia</v>
      </c>
      <c r="E516" s="26" t="str">
        <f ca="1">IFERROR(__xludf.DUMMYFUNCTION("""COMPUTED_VALUE"""),"MUNICIPALIDAD DE LLANQUIHUE")</f>
        <v>MUNICIPALIDAD DE LLANQUIHUE</v>
      </c>
      <c r="F516" s="11">
        <f ca="1">IFERROR(__xludf.DUMMYFUNCTION("""COMPUTED_VALUE"""),49058248)</f>
        <v>49058248</v>
      </c>
      <c r="G516" s="10" t="str">
        <f ca="1">IFERROR(__xludf.DUMMYFUNCTION("""COMPUTED_VALUE"""),"Resolución")</f>
        <v>Resolución</v>
      </c>
      <c r="H516" s="10" t="str">
        <f ca="1">IFERROR(__xludf.DUMMYFUNCTION("""COMPUTED_VALUE"""),"COMPENSACIÓN PREDIOS EXENTOS")</f>
        <v>COMPENSACIÓN PREDIOS EXENTOS</v>
      </c>
      <c r="I516" s="10" t="str">
        <f ca="1">IFERROR(__xludf.DUMMYFUNCTION("""COMPUTED_VALUE"""),"Cumplir con normativa y reglamentos internos del programa en base a los objetivos.")</f>
        <v>Cumplir con normativa y reglamentos internos del programa en base a los objetivos.</v>
      </c>
      <c r="J516" s="11">
        <f ca="1">IFERROR(__xludf.DUMMYFUNCTION("""COMPUTED_VALUE"""),49058248)</f>
        <v>49058248</v>
      </c>
      <c r="K516" s="27">
        <f ca="1">IFERROR(__xludf.DUMMYFUNCTION("""COMPUTED_VALUE"""),1)</f>
        <v>1</v>
      </c>
      <c r="L516" s="28" t="str">
        <f ca="1">IFERROR(__xludf.DUMMYFUNCTION("""COMPUTED_VALUE"""),"1/2024")</f>
        <v>1/2024</v>
      </c>
      <c r="M516" s="10" t="str">
        <f ca="1">IFERROR(__xludf.DUMMYFUNCTION("""COMPUTED_VALUE"""),"Predios Exentos")</f>
        <v>Predios Exentos</v>
      </c>
      <c r="N516" s="1"/>
      <c r="O516" s="1"/>
      <c r="P516" s="1"/>
      <c r="Q516" s="1"/>
      <c r="R516" s="1"/>
      <c r="S516" s="1"/>
      <c r="T516" s="1"/>
      <c r="U516" s="1"/>
      <c r="V516" s="1"/>
      <c r="W516" s="1"/>
      <c r="X516" s="1"/>
      <c r="Y516" s="1"/>
      <c r="Z516" s="1"/>
    </row>
    <row r="517" spans="1:26" ht="12.75" customHeight="1">
      <c r="A517" s="1"/>
      <c r="B517" s="10" t="str">
        <f ca="1">IFERROR(__xludf.DUMMYFUNCTION("""COMPUTED_VALUE"""),"Compensación Predios Exentos 2024")</f>
        <v>Compensación Predios Exentos 2024</v>
      </c>
      <c r="C517" s="26" t="str">
        <f t="shared" ca="1" si="0"/>
        <v xml:space="preserve"> FRESIA</v>
      </c>
      <c r="D517" s="10" t="str">
        <f ca="1">IFERROR(__xludf.DUMMYFUNCTION("""COMPUTED_VALUE"""),"Resolución de Transferencia")</f>
        <v>Resolución de Transferencia</v>
      </c>
      <c r="E517" s="26" t="str">
        <f ca="1">IFERROR(__xludf.DUMMYFUNCTION("""COMPUTED_VALUE"""),"MUNICIPALIDAD DE FRESIA")</f>
        <v>MUNICIPALIDAD DE FRESIA</v>
      </c>
      <c r="F517" s="11">
        <f ca="1">IFERROR(__xludf.DUMMYFUNCTION("""COMPUTED_VALUE"""),47901648)</f>
        <v>47901648</v>
      </c>
      <c r="G517" s="10" t="str">
        <f ca="1">IFERROR(__xludf.DUMMYFUNCTION("""COMPUTED_VALUE"""),"Resolución")</f>
        <v>Resolución</v>
      </c>
      <c r="H517" s="10" t="str">
        <f ca="1">IFERROR(__xludf.DUMMYFUNCTION("""COMPUTED_VALUE"""),"COMPENSACIÓN PREDIOS EXENTOS")</f>
        <v>COMPENSACIÓN PREDIOS EXENTOS</v>
      </c>
      <c r="I517" s="10" t="str">
        <f ca="1">IFERROR(__xludf.DUMMYFUNCTION("""COMPUTED_VALUE"""),"Cumplir con normativa y reglamentos internos del programa en base a los objetivos.")</f>
        <v>Cumplir con normativa y reglamentos internos del programa en base a los objetivos.</v>
      </c>
      <c r="J517" s="11">
        <f ca="1">IFERROR(__xludf.DUMMYFUNCTION("""COMPUTED_VALUE"""),47901648)</f>
        <v>47901648</v>
      </c>
      <c r="K517" s="27">
        <f ca="1">IFERROR(__xludf.DUMMYFUNCTION("""COMPUTED_VALUE"""),1)</f>
        <v>1</v>
      </c>
      <c r="L517" s="28" t="str">
        <f ca="1">IFERROR(__xludf.DUMMYFUNCTION("""COMPUTED_VALUE"""),"1/2024")</f>
        <v>1/2024</v>
      </c>
      <c r="M517" s="10" t="str">
        <f ca="1">IFERROR(__xludf.DUMMYFUNCTION("""COMPUTED_VALUE"""),"Predios Exentos")</f>
        <v>Predios Exentos</v>
      </c>
      <c r="N517" s="1"/>
      <c r="O517" s="1"/>
      <c r="P517" s="1"/>
      <c r="Q517" s="1"/>
      <c r="R517" s="1"/>
      <c r="S517" s="1"/>
      <c r="T517" s="1"/>
      <c r="U517" s="1"/>
      <c r="V517" s="1"/>
      <c r="W517" s="1"/>
      <c r="X517" s="1"/>
      <c r="Y517" s="1"/>
      <c r="Z517" s="1"/>
    </row>
    <row r="518" spans="1:26" ht="12.75" customHeight="1">
      <c r="A518" s="1"/>
      <c r="B518" s="10" t="str">
        <f ca="1">IFERROR(__xludf.DUMMYFUNCTION("""COMPUTED_VALUE"""),"Compensación Predios Exentos 2024")</f>
        <v>Compensación Predios Exentos 2024</v>
      </c>
      <c r="C518" s="26" t="str">
        <f t="shared" ca="1" si="0"/>
        <v xml:space="preserve"> ALTO BIOBÍO</v>
      </c>
      <c r="D518" s="10" t="str">
        <f ca="1">IFERROR(__xludf.DUMMYFUNCTION("""COMPUTED_VALUE"""),"Resolución de Transferencia")</f>
        <v>Resolución de Transferencia</v>
      </c>
      <c r="E518" s="26" t="str">
        <f ca="1">IFERROR(__xludf.DUMMYFUNCTION("""COMPUTED_VALUE"""),"MUNICIPALIDAD DE ALTO BIOBÍO")</f>
        <v>MUNICIPALIDAD DE ALTO BIOBÍO</v>
      </c>
      <c r="F518" s="11">
        <f ca="1">IFERROR(__xludf.DUMMYFUNCTION("""COMPUTED_VALUE"""),14104374)</f>
        <v>14104374</v>
      </c>
      <c r="G518" s="10" t="str">
        <f ca="1">IFERROR(__xludf.DUMMYFUNCTION("""COMPUTED_VALUE"""),"Resolución")</f>
        <v>Resolución</v>
      </c>
      <c r="H518" s="10" t="str">
        <f ca="1">IFERROR(__xludf.DUMMYFUNCTION("""COMPUTED_VALUE"""),"COMPENSACIÓN PREDIOS EXENTOS")</f>
        <v>COMPENSACIÓN PREDIOS EXENTOS</v>
      </c>
      <c r="I518" s="10" t="str">
        <f ca="1">IFERROR(__xludf.DUMMYFUNCTION("""COMPUTED_VALUE"""),"Cumplir con normativa y reglamentos internos del programa en base a los objetivos.")</f>
        <v>Cumplir con normativa y reglamentos internos del programa en base a los objetivos.</v>
      </c>
      <c r="J518" s="11">
        <f ca="1">IFERROR(__xludf.DUMMYFUNCTION("""COMPUTED_VALUE"""),14104374)</f>
        <v>14104374</v>
      </c>
      <c r="K518" s="27">
        <f ca="1">IFERROR(__xludf.DUMMYFUNCTION("""COMPUTED_VALUE"""),1)</f>
        <v>1</v>
      </c>
      <c r="L518" s="28" t="str">
        <f ca="1">IFERROR(__xludf.DUMMYFUNCTION("""COMPUTED_VALUE"""),"1/2024")</f>
        <v>1/2024</v>
      </c>
      <c r="M518" s="10" t="str">
        <f ca="1">IFERROR(__xludf.DUMMYFUNCTION("""COMPUTED_VALUE"""),"Predios Exentos")</f>
        <v>Predios Exentos</v>
      </c>
      <c r="N518" s="1"/>
      <c r="O518" s="1"/>
      <c r="P518" s="1"/>
      <c r="Q518" s="1"/>
      <c r="R518" s="1"/>
      <c r="S518" s="1"/>
      <c r="T518" s="1"/>
      <c r="U518" s="1"/>
      <c r="V518" s="1"/>
      <c r="W518" s="1"/>
      <c r="X518" s="1"/>
      <c r="Y518" s="1"/>
      <c r="Z518" s="1"/>
    </row>
    <row r="519" spans="1:26" ht="12.75" customHeight="1">
      <c r="A519" s="1"/>
      <c r="B519" s="10" t="str">
        <f ca="1">IFERROR(__xludf.DUMMYFUNCTION("""COMPUTED_VALUE"""),"Compensación Predios Exentos 2024")</f>
        <v>Compensación Predios Exentos 2024</v>
      </c>
      <c r="C519" s="26" t="str">
        <f t="shared" ca="1" si="0"/>
        <v xml:space="preserve"> IQUIQUE</v>
      </c>
      <c r="D519" s="10" t="str">
        <f ca="1">IFERROR(__xludf.DUMMYFUNCTION("""COMPUTED_VALUE"""),"Resolución de Transferencia")</f>
        <v>Resolución de Transferencia</v>
      </c>
      <c r="E519" s="26" t="str">
        <f ca="1">IFERROR(__xludf.DUMMYFUNCTION("""COMPUTED_VALUE"""),"MUNICIPALIDAD DE IQUIQUE")</f>
        <v>MUNICIPALIDAD DE IQUIQUE</v>
      </c>
      <c r="F519" s="11">
        <f ca="1">IFERROR(__xludf.DUMMYFUNCTION("""COMPUTED_VALUE"""),328945123)</f>
        <v>328945123</v>
      </c>
      <c r="G519" s="10" t="str">
        <f ca="1">IFERROR(__xludf.DUMMYFUNCTION("""COMPUTED_VALUE"""),"Resolución")</f>
        <v>Resolución</v>
      </c>
      <c r="H519" s="10" t="str">
        <f ca="1">IFERROR(__xludf.DUMMYFUNCTION("""COMPUTED_VALUE"""),"COMPENSACIÓN PREDIOS EXENTOS")</f>
        <v>COMPENSACIÓN PREDIOS EXENTOS</v>
      </c>
      <c r="I519" s="10" t="str">
        <f ca="1">IFERROR(__xludf.DUMMYFUNCTION("""COMPUTED_VALUE"""),"Cumplir con normativa y reglamentos internos del programa en base a los objetivos.")</f>
        <v>Cumplir con normativa y reglamentos internos del programa en base a los objetivos.</v>
      </c>
      <c r="J519" s="11">
        <f ca="1">IFERROR(__xludf.DUMMYFUNCTION("""COMPUTED_VALUE"""),328945123)</f>
        <v>328945123</v>
      </c>
      <c r="K519" s="27">
        <f ca="1">IFERROR(__xludf.DUMMYFUNCTION("""COMPUTED_VALUE"""),1)</f>
        <v>1</v>
      </c>
      <c r="L519" s="28" t="str">
        <f ca="1">IFERROR(__xludf.DUMMYFUNCTION("""COMPUTED_VALUE"""),"1/2024")</f>
        <v>1/2024</v>
      </c>
      <c r="M519" s="10" t="str">
        <f ca="1">IFERROR(__xludf.DUMMYFUNCTION("""COMPUTED_VALUE"""),"Predios Exentos")</f>
        <v>Predios Exentos</v>
      </c>
      <c r="N519" s="1"/>
      <c r="O519" s="1"/>
      <c r="P519" s="1"/>
      <c r="Q519" s="1"/>
      <c r="R519" s="1"/>
      <c r="S519" s="1"/>
      <c r="T519" s="1"/>
      <c r="U519" s="1"/>
      <c r="V519" s="1"/>
      <c r="W519" s="1"/>
      <c r="X519" s="1"/>
      <c r="Y519" s="1"/>
      <c r="Z519" s="1"/>
    </row>
    <row r="520" spans="1:26" ht="12.75" customHeight="1">
      <c r="A520" s="1"/>
      <c r="B520" s="10" t="str">
        <f ca="1">IFERROR(__xludf.DUMMYFUNCTION("""COMPUTED_VALUE"""),"Compensación Predios Exentos 2024")</f>
        <v>Compensación Predios Exentos 2024</v>
      </c>
      <c r="C520" s="26" t="str">
        <f t="shared" ca="1" si="0"/>
        <v xml:space="preserve"> PICA</v>
      </c>
      <c r="D520" s="10" t="str">
        <f ca="1">IFERROR(__xludf.DUMMYFUNCTION("""COMPUTED_VALUE"""),"Resolución de Transferencia")</f>
        <v>Resolución de Transferencia</v>
      </c>
      <c r="E520" s="26" t="str">
        <f ca="1">IFERROR(__xludf.DUMMYFUNCTION("""COMPUTED_VALUE"""),"MUNICIPALIDAD DE PICA")</f>
        <v>MUNICIPALIDAD DE PICA</v>
      </c>
      <c r="F520" s="11">
        <f ca="1">IFERROR(__xludf.DUMMYFUNCTION("""COMPUTED_VALUE"""),34953874)</f>
        <v>34953874</v>
      </c>
      <c r="G520" s="10" t="str">
        <f ca="1">IFERROR(__xludf.DUMMYFUNCTION("""COMPUTED_VALUE"""),"Resolución")</f>
        <v>Resolución</v>
      </c>
      <c r="H520" s="10" t="str">
        <f ca="1">IFERROR(__xludf.DUMMYFUNCTION("""COMPUTED_VALUE"""),"COMPENSACIÓN PREDIOS EXENTOS")</f>
        <v>COMPENSACIÓN PREDIOS EXENTOS</v>
      </c>
      <c r="I520" s="10" t="str">
        <f ca="1">IFERROR(__xludf.DUMMYFUNCTION("""COMPUTED_VALUE"""),"Cumplir con normativa y reglamentos internos del programa en base a los objetivos.")</f>
        <v>Cumplir con normativa y reglamentos internos del programa en base a los objetivos.</v>
      </c>
      <c r="J520" s="11">
        <f ca="1">IFERROR(__xludf.DUMMYFUNCTION("""COMPUTED_VALUE"""),34953874)</f>
        <v>34953874</v>
      </c>
      <c r="K520" s="27">
        <f ca="1">IFERROR(__xludf.DUMMYFUNCTION("""COMPUTED_VALUE"""),1)</f>
        <v>1</v>
      </c>
      <c r="L520" s="28" t="str">
        <f ca="1">IFERROR(__xludf.DUMMYFUNCTION("""COMPUTED_VALUE"""),"1/2024")</f>
        <v>1/2024</v>
      </c>
      <c r="M520" s="10" t="str">
        <f ca="1">IFERROR(__xludf.DUMMYFUNCTION("""COMPUTED_VALUE"""),"Predios Exentos")</f>
        <v>Predios Exentos</v>
      </c>
      <c r="N520" s="1"/>
      <c r="O520" s="1"/>
      <c r="P520" s="1"/>
      <c r="Q520" s="1"/>
      <c r="R520" s="1"/>
      <c r="S520" s="1"/>
      <c r="T520" s="1"/>
      <c r="U520" s="1"/>
      <c r="V520" s="1"/>
      <c r="W520" s="1"/>
      <c r="X520" s="1"/>
      <c r="Y520" s="1"/>
      <c r="Z520" s="1"/>
    </row>
    <row r="521" spans="1:26" ht="12.75" customHeight="1">
      <c r="A521" s="1"/>
      <c r="B521" s="10" t="str">
        <f ca="1">IFERROR(__xludf.DUMMYFUNCTION("""COMPUTED_VALUE"""),"Compensación Predios Exentos 2024")</f>
        <v>Compensación Predios Exentos 2024</v>
      </c>
      <c r="C521" s="26" t="str">
        <f t="shared" ca="1" si="0"/>
        <v xml:space="preserve"> CALAMA</v>
      </c>
      <c r="D521" s="10" t="str">
        <f ca="1">IFERROR(__xludf.DUMMYFUNCTION("""COMPUTED_VALUE"""),"Resolución de Transferencia")</f>
        <v>Resolución de Transferencia</v>
      </c>
      <c r="E521" s="26" t="str">
        <f ca="1">IFERROR(__xludf.DUMMYFUNCTION("""COMPUTED_VALUE"""),"MUNICIPALIDAD DE CALAMA")</f>
        <v>MUNICIPALIDAD DE CALAMA</v>
      </c>
      <c r="F521" s="11">
        <f ca="1">IFERROR(__xludf.DUMMYFUNCTION("""COMPUTED_VALUE"""),325352499)</f>
        <v>325352499</v>
      </c>
      <c r="G521" s="10" t="str">
        <f ca="1">IFERROR(__xludf.DUMMYFUNCTION("""COMPUTED_VALUE"""),"Resolución")</f>
        <v>Resolución</v>
      </c>
      <c r="H521" s="10" t="str">
        <f ca="1">IFERROR(__xludf.DUMMYFUNCTION("""COMPUTED_VALUE"""),"COMPENSACIÓN PREDIOS EXENTOS")</f>
        <v>COMPENSACIÓN PREDIOS EXENTOS</v>
      </c>
      <c r="I521" s="10" t="str">
        <f ca="1">IFERROR(__xludf.DUMMYFUNCTION("""COMPUTED_VALUE"""),"Cumplir con normativa y reglamentos internos del programa en base a los objetivos.")</f>
        <v>Cumplir con normativa y reglamentos internos del programa en base a los objetivos.</v>
      </c>
      <c r="J521" s="11">
        <f ca="1">IFERROR(__xludf.DUMMYFUNCTION("""COMPUTED_VALUE"""),325352499)</f>
        <v>325352499</v>
      </c>
      <c r="K521" s="27">
        <f ca="1">IFERROR(__xludf.DUMMYFUNCTION("""COMPUTED_VALUE"""),1)</f>
        <v>1</v>
      </c>
      <c r="L521" s="28" t="str">
        <f ca="1">IFERROR(__xludf.DUMMYFUNCTION("""COMPUTED_VALUE"""),"1/2024")</f>
        <v>1/2024</v>
      </c>
      <c r="M521" s="10" t="str">
        <f ca="1">IFERROR(__xludf.DUMMYFUNCTION("""COMPUTED_VALUE"""),"Predios Exentos")</f>
        <v>Predios Exentos</v>
      </c>
      <c r="N521" s="1"/>
      <c r="O521" s="1"/>
      <c r="P521" s="1"/>
      <c r="Q521" s="1"/>
      <c r="R521" s="1"/>
      <c r="S521" s="1"/>
      <c r="T521" s="1"/>
      <c r="U521" s="1"/>
      <c r="V521" s="1"/>
      <c r="W521" s="1"/>
      <c r="X521" s="1"/>
      <c r="Y521" s="1"/>
      <c r="Z521" s="1"/>
    </row>
    <row r="522" spans="1:26" ht="12.75" customHeight="1">
      <c r="A522" s="1"/>
      <c r="B522" s="10" t="str">
        <f ca="1">IFERROR(__xludf.DUMMYFUNCTION("""COMPUTED_VALUE"""),"Compensación Predios Exentos 2024")</f>
        <v>Compensación Predios Exentos 2024</v>
      </c>
      <c r="C522" s="26" t="str">
        <f t="shared" ca="1" si="0"/>
        <v xml:space="preserve"> ANTOFAGASTA</v>
      </c>
      <c r="D522" s="10" t="str">
        <f ca="1">IFERROR(__xludf.DUMMYFUNCTION("""COMPUTED_VALUE"""),"Resolución de Transferencia")</f>
        <v>Resolución de Transferencia</v>
      </c>
      <c r="E522" s="26" t="str">
        <f ca="1">IFERROR(__xludf.DUMMYFUNCTION("""COMPUTED_VALUE"""),"MUNICIPALIDAD DE ANTOFAGASTA")</f>
        <v>MUNICIPALIDAD DE ANTOFAGASTA</v>
      </c>
      <c r="F522" s="11">
        <f ca="1">IFERROR(__xludf.DUMMYFUNCTION("""COMPUTED_VALUE"""),833765037)</f>
        <v>833765037</v>
      </c>
      <c r="G522" s="10" t="str">
        <f ca="1">IFERROR(__xludf.DUMMYFUNCTION("""COMPUTED_VALUE"""),"Resolución")</f>
        <v>Resolución</v>
      </c>
      <c r="H522" s="10" t="str">
        <f ca="1">IFERROR(__xludf.DUMMYFUNCTION("""COMPUTED_VALUE"""),"COMPENSACIÓN PREDIOS EXENTOS")</f>
        <v>COMPENSACIÓN PREDIOS EXENTOS</v>
      </c>
      <c r="I522" s="10" t="str">
        <f ca="1">IFERROR(__xludf.DUMMYFUNCTION("""COMPUTED_VALUE"""),"Cumplir con normativa y reglamentos internos del programa en base a los objetivos.")</f>
        <v>Cumplir con normativa y reglamentos internos del programa en base a los objetivos.</v>
      </c>
      <c r="J522" s="11">
        <f ca="1">IFERROR(__xludf.DUMMYFUNCTION("""COMPUTED_VALUE"""),833765037)</f>
        <v>833765037</v>
      </c>
      <c r="K522" s="27">
        <f ca="1">IFERROR(__xludf.DUMMYFUNCTION("""COMPUTED_VALUE"""),1)</f>
        <v>1</v>
      </c>
      <c r="L522" s="28" t="str">
        <f ca="1">IFERROR(__xludf.DUMMYFUNCTION("""COMPUTED_VALUE"""),"1/2024")</f>
        <v>1/2024</v>
      </c>
      <c r="M522" s="10" t="str">
        <f ca="1">IFERROR(__xludf.DUMMYFUNCTION("""COMPUTED_VALUE"""),"Predios Exentos")</f>
        <v>Predios Exentos</v>
      </c>
      <c r="N522" s="1"/>
      <c r="O522" s="1"/>
      <c r="P522" s="1"/>
      <c r="Q522" s="1"/>
      <c r="R522" s="1"/>
      <c r="S522" s="1"/>
      <c r="T522" s="1"/>
      <c r="U522" s="1"/>
      <c r="V522" s="1"/>
      <c r="W522" s="1"/>
      <c r="X522" s="1"/>
      <c r="Y522" s="1"/>
      <c r="Z522" s="1"/>
    </row>
    <row r="523" spans="1:26" ht="12.75" customHeight="1">
      <c r="A523" s="1"/>
      <c r="B523" s="10" t="str">
        <f ca="1">IFERROR(__xludf.DUMMYFUNCTION("""COMPUTED_VALUE"""),"Compensación Predios Exentos 2024")</f>
        <v>Compensación Predios Exentos 2024</v>
      </c>
      <c r="C523" s="26" t="str">
        <f t="shared" ca="1" si="0"/>
        <v xml:space="preserve"> MEJILLONES</v>
      </c>
      <c r="D523" s="10" t="str">
        <f ca="1">IFERROR(__xludf.DUMMYFUNCTION("""COMPUTED_VALUE"""),"Resolución de Transferencia")</f>
        <v>Resolución de Transferencia</v>
      </c>
      <c r="E523" s="26" t="str">
        <f ca="1">IFERROR(__xludf.DUMMYFUNCTION("""COMPUTED_VALUE"""),"MUNICIPALIDAD DE MEJILLONES")</f>
        <v>MUNICIPALIDAD DE MEJILLONES</v>
      </c>
      <c r="F523" s="11">
        <f ca="1">IFERROR(__xludf.DUMMYFUNCTION("""COMPUTED_VALUE"""),49303897)</f>
        <v>49303897</v>
      </c>
      <c r="G523" s="10" t="str">
        <f ca="1">IFERROR(__xludf.DUMMYFUNCTION("""COMPUTED_VALUE"""),"Resolución")</f>
        <v>Resolución</v>
      </c>
      <c r="H523" s="10" t="str">
        <f ca="1">IFERROR(__xludf.DUMMYFUNCTION("""COMPUTED_VALUE"""),"COMPENSACIÓN PREDIOS EXENTOS")</f>
        <v>COMPENSACIÓN PREDIOS EXENTOS</v>
      </c>
      <c r="I523" s="10" t="str">
        <f ca="1">IFERROR(__xludf.DUMMYFUNCTION("""COMPUTED_VALUE"""),"Cumplir con normativa y reglamentos internos del programa en base a los objetivos.")</f>
        <v>Cumplir con normativa y reglamentos internos del programa en base a los objetivos.</v>
      </c>
      <c r="J523" s="11">
        <f ca="1">IFERROR(__xludf.DUMMYFUNCTION("""COMPUTED_VALUE"""),49303897)</f>
        <v>49303897</v>
      </c>
      <c r="K523" s="27">
        <f ca="1">IFERROR(__xludf.DUMMYFUNCTION("""COMPUTED_VALUE"""),1)</f>
        <v>1</v>
      </c>
      <c r="L523" s="28" t="str">
        <f ca="1">IFERROR(__xludf.DUMMYFUNCTION("""COMPUTED_VALUE"""),"1/2024")</f>
        <v>1/2024</v>
      </c>
      <c r="M523" s="10" t="str">
        <f ca="1">IFERROR(__xludf.DUMMYFUNCTION("""COMPUTED_VALUE"""),"Predios Exentos")</f>
        <v>Predios Exentos</v>
      </c>
      <c r="N523" s="1"/>
      <c r="O523" s="1"/>
      <c r="P523" s="1"/>
      <c r="Q523" s="1"/>
      <c r="R523" s="1"/>
      <c r="S523" s="1"/>
      <c r="T523" s="1"/>
      <c r="U523" s="1"/>
      <c r="V523" s="1"/>
      <c r="W523" s="1"/>
      <c r="X523" s="1"/>
      <c r="Y523" s="1"/>
      <c r="Z523" s="1"/>
    </row>
    <row r="524" spans="1:26" ht="12.75" customHeight="1">
      <c r="A524" s="1"/>
      <c r="B524" s="10" t="str">
        <f ca="1">IFERROR(__xludf.DUMMYFUNCTION("""COMPUTED_VALUE"""),"Compensación Predios Exentos 2024")</f>
        <v>Compensación Predios Exentos 2024</v>
      </c>
      <c r="C524" s="26" t="str">
        <f t="shared" ca="1" si="0"/>
        <v xml:space="preserve"> TALTAL</v>
      </c>
      <c r="D524" s="10" t="str">
        <f ca="1">IFERROR(__xludf.DUMMYFUNCTION("""COMPUTED_VALUE"""),"Resolución de Transferencia")</f>
        <v>Resolución de Transferencia</v>
      </c>
      <c r="E524" s="26" t="str">
        <f ca="1">IFERROR(__xludf.DUMMYFUNCTION("""COMPUTED_VALUE"""),"MUNICIPALIDAD DE TALTAL")</f>
        <v>MUNICIPALIDAD DE TALTAL</v>
      </c>
      <c r="F524" s="11">
        <f ca="1">IFERROR(__xludf.DUMMYFUNCTION("""COMPUTED_VALUE"""),40071571)</f>
        <v>40071571</v>
      </c>
      <c r="G524" s="10" t="str">
        <f ca="1">IFERROR(__xludf.DUMMYFUNCTION("""COMPUTED_VALUE"""),"Resolución")</f>
        <v>Resolución</v>
      </c>
      <c r="H524" s="10" t="str">
        <f ca="1">IFERROR(__xludf.DUMMYFUNCTION("""COMPUTED_VALUE"""),"COMPENSACIÓN PREDIOS EXENTOS")</f>
        <v>COMPENSACIÓN PREDIOS EXENTOS</v>
      </c>
      <c r="I524" s="10" t="str">
        <f ca="1">IFERROR(__xludf.DUMMYFUNCTION("""COMPUTED_VALUE"""),"Cumplir con normativa y reglamentos internos del programa en base a los objetivos.")</f>
        <v>Cumplir con normativa y reglamentos internos del programa en base a los objetivos.</v>
      </c>
      <c r="J524" s="11">
        <f ca="1">IFERROR(__xludf.DUMMYFUNCTION("""COMPUTED_VALUE"""),40071571)</f>
        <v>40071571</v>
      </c>
      <c r="K524" s="27">
        <f ca="1">IFERROR(__xludf.DUMMYFUNCTION("""COMPUTED_VALUE"""),1)</f>
        <v>1</v>
      </c>
      <c r="L524" s="28" t="str">
        <f ca="1">IFERROR(__xludf.DUMMYFUNCTION("""COMPUTED_VALUE"""),"1/2024")</f>
        <v>1/2024</v>
      </c>
      <c r="M524" s="10" t="str">
        <f ca="1">IFERROR(__xludf.DUMMYFUNCTION("""COMPUTED_VALUE"""),"Predios Exentos")</f>
        <v>Predios Exentos</v>
      </c>
      <c r="N524" s="1"/>
      <c r="O524" s="1"/>
      <c r="P524" s="1"/>
      <c r="Q524" s="1"/>
      <c r="R524" s="1"/>
      <c r="S524" s="1"/>
      <c r="T524" s="1"/>
      <c r="U524" s="1"/>
      <c r="V524" s="1"/>
      <c r="W524" s="1"/>
      <c r="X524" s="1"/>
      <c r="Y524" s="1"/>
      <c r="Z524" s="1"/>
    </row>
    <row r="525" spans="1:26" ht="12.75" customHeight="1">
      <c r="A525" s="1"/>
      <c r="B525" s="10" t="str">
        <f ca="1">IFERROR(__xludf.DUMMYFUNCTION("""COMPUTED_VALUE"""),"Compensación Predios Exentos 2024")</f>
        <v>Compensación Predios Exentos 2024</v>
      </c>
      <c r="C525" s="26" t="str">
        <f t="shared" ca="1" si="0"/>
        <v xml:space="preserve"> TIERRA AMARILLA</v>
      </c>
      <c r="D525" s="10" t="str">
        <f ca="1">IFERROR(__xludf.DUMMYFUNCTION("""COMPUTED_VALUE"""),"Resolución de Transferencia")</f>
        <v>Resolución de Transferencia</v>
      </c>
      <c r="E525" s="26" t="str">
        <f ca="1">IFERROR(__xludf.DUMMYFUNCTION("""COMPUTED_VALUE"""),"MUNICIPALIDAD DE TIERRA AMARILLA")</f>
        <v>MUNICIPALIDAD DE TIERRA AMARILLA</v>
      </c>
      <c r="F525" s="11">
        <f ca="1">IFERROR(__xludf.DUMMYFUNCTION("""COMPUTED_VALUE"""),36980482)</f>
        <v>36980482</v>
      </c>
      <c r="G525" s="10" t="str">
        <f ca="1">IFERROR(__xludf.DUMMYFUNCTION("""COMPUTED_VALUE"""),"Resolución")</f>
        <v>Resolución</v>
      </c>
      <c r="H525" s="10" t="str">
        <f ca="1">IFERROR(__xludf.DUMMYFUNCTION("""COMPUTED_VALUE"""),"COMPENSACIÓN PREDIOS EXENTOS")</f>
        <v>COMPENSACIÓN PREDIOS EXENTOS</v>
      </c>
      <c r="I525" s="10" t="str">
        <f ca="1">IFERROR(__xludf.DUMMYFUNCTION("""COMPUTED_VALUE"""),"Cumplir con normativa y reglamentos internos del programa en base a los objetivos.")</f>
        <v>Cumplir con normativa y reglamentos internos del programa en base a los objetivos.</v>
      </c>
      <c r="J525" s="11">
        <f ca="1">IFERROR(__xludf.DUMMYFUNCTION("""COMPUTED_VALUE"""),36980482)</f>
        <v>36980482</v>
      </c>
      <c r="K525" s="27">
        <f ca="1">IFERROR(__xludf.DUMMYFUNCTION("""COMPUTED_VALUE"""),1)</f>
        <v>1</v>
      </c>
      <c r="L525" s="28" t="str">
        <f ca="1">IFERROR(__xludf.DUMMYFUNCTION("""COMPUTED_VALUE"""),"1/2024")</f>
        <v>1/2024</v>
      </c>
      <c r="M525" s="10" t="str">
        <f ca="1">IFERROR(__xludf.DUMMYFUNCTION("""COMPUTED_VALUE"""),"Predios Exentos")</f>
        <v>Predios Exentos</v>
      </c>
      <c r="N525" s="1"/>
      <c r="O525" s="1"/>
      <c r="P525" s="1"/>
      <c r="Q525" s="1"/>
      <c r="R525" s="1"/>
      <c r="S525" s="1"/>
      <c r="T525" s="1"/>
      <c r="U525" s="1"/>
      <c r="V525" s="1"/>
      <c r="W525" s="1"/>
      <c r="X525" s="1"/>
      <c r="Y525" s="1"/>
      <c r="Z525" s="1"/>
    </row>
    <row r="526" spans="1:26" ht="12.75" customHeight="1">
      <c r="A526" s="1"/>
      <c r="B526" s="10" t="str">
        <f ca="1">IFERROR(__xludf.DUMMYFUNCTION("""COMPUTED_VALUE"""),"Compensación Predios Exentos 2024")</f>
        <v>Compensación Predios Exentos 2024</v>
      </c>
      <c r="C526" s="26" t="str">
        <f t="shared" ca="1" si="0"/>
        <v xml:space="preserve"> LA HIGUERA</v>
      </c>
      <c r="D526" s="10" t="str">
        <f ca="1">IFERROR(__xludf.DUMMYFUNCTION("""COMPUTED_VALUE"""),"Resolución de Transferencia")</f>
        <v>Resolución de Transferencia</v>
      </c>
      <c r="E526" s="26" t="str">
        <f ca="1">IFERROR(__xludf.DUMMYFUNCTION("""COMPUTED_VALUE"""),"MUNICIPALIDAD DE LA HIGUERA")</f>
        <v>MUNICIPALIDAD DE LA HIGUERA</v>
      </c>
      <c r="F526" s="11">
        <f ca="1">IFERROR(__xludf.DUMMYFUNCTION("""COMPUTED_VALUE"""),51832040)</f>
        <v>51832040</v>
      </c>
      <c r="G526" s="10" t="str">
        <f ca="1">IFERROR(__xludf.DUMMYFUNCTION("""COMPUTED_VALUE"""),"Resolución")</f>
        <v>Resolución</v>
      </c>
      <c r="H526" s="10" t="str">
        <f ca="1">IFERROR(__xludf.DUMMYFUNCTION("""COMPUTED_VALUE"""),"COMPENSACIÓN PREDIOS EXENTOS")</f>
        <v>COMPENSACIÓN PREDIOS EXENTOS</v>
      </c>
      <c r="I526" s="10" t="str">
        <f ca="1">IFERROR(__xludf.DUMMYFUNCTION("""COMPUTED_VALUE"""),"Cumplir con normativa y reglamentos internos del programa en base a los objetivos.")</f>
        <v>Cumplir con normativa y reglamentos internos del programa en base a los objetivos.</v>
      </c>
      <c r="J526" s="11">
        <f ca="1">IFERROR(__xludf.DUMMYFUNCTION("""COMPUTED_VALUE"""),51832040)</f>
        <v>51832040</v>
      </c>
      <c r="K526" s="27">
        <f ca="1">IFERROR(__xludf.DUMMYFUNCTION("""COMPUTED_VALUE"""),1)</f>
        <v>1</v>
      </c>
      <c r="L526" s="28" t="str">
        <f ca="1">IFERROR(__xludf.DUMMYFUNCTION("""COMPUTED_VALUE"""),"1/2024")</f>
        <v>1/2024</v>
      </c>
      <c r="M526" s="10" t="str">
        <f ca="1">IFERROR(__xludf.DUMMYFUNCTION("""COMPUTED_VALUE"""),"Predios Exentos")</f>
        <v>Predios Exentos</v>
      </c>
      <c r="N526" s="1"/>
      <c r="O526" s="1"/>
      <c r="P526" s="1"/>
      <c r="Q526" s="1"/>
      <c r="R526" s="1"/>
      <c r="S526" s="1"/>
      <c r="T526" s="1"/>
      <c r="U526" s="1"/>
      <c r="V526" s="1"/>
      <c r="W526" s="1"/>
      <c r="X526" s="1"/>
      <c r="Y526" s="1"/>
      <c r="Z526" s="1"/>
    </row>
    <row r="527" spans="1:26" ht="12.75" customHeight="1">
      <c r="A527" s="1"/>
      <c r="B527" s="10" t="str">
        <f ca="1">IFERROR(__xludf.DUMMYFUNCTION("""COMPUTED_VALUE"""),"Compensación Predios Exentos 2024")</f>
        <v>Compensación Predios Exentos 2024</v>
      </c>
      <c r="C527" s="26" t="str">
        <f t="shared" ca="1" si="0"/>
        <v xml:space="preserve"> COQUIMBO</v>
      </c>
      <c r="D527" s="10" t="str">
        <f ca="1">IFERROR(__xludf.DUMMYFUNCTION("""COMPUTED_VALUE"""),"Resolución de Transferencia")</f>
        <v>Resolución de Transferencia</v>
      </c>
      <c r="E527" s="26" t="str">
        <f ca="1">IFERROR(__xludf.DUMMYFUNCTION("""COMPUTED_VALUE"""),"MUNICIPALIDAD DE COQUIMBO")</f>
        <v>MUNICIPALIDAD DE COQUIMBO</v>
      </c>
      <c r="F527" s="11">
        <f ca="1">IFERROR(__xludf.DUMMYFUNCTION("""COMPUTED_VALUE"""),763406932)</f>
        <v>763406932</v>
      </c>
      <c r="G527" s="10" t="str">
        <f ca="1">IFERROR(__xludf.DUMMYFUNCTION("""COMPUTED_VALUE"""),"Resolución")</f>
        <v>Resolución</v>
      </c>
      <c r="H527" s="10" t="str">
        <f ca="1">IFERROR(__xludf.DUMMYFUNCTION("""COMPUTED_VALUE"""),"COMPENSACIÓN PREDIOS EXENTOS")</f>
        <v>COMPENSACIÓN PREDIOS EXENTOS</v>
      </c>
      <c r="I527" s="10" t="str">
        <f ca="1">IFERROR(__xludf.DUMMYFUNCTION("""COMPUTED_VALUE"""),"Cumplir con normativa y reglamentos internos del programa en base a los objetivos.")</f>
        <v>Cumplir con normativa y reglamentos internos del programa en base a los objetivos.</v>
      </c>
      <c r="J527" s="11">
        <f ca="1">IFERROR(__xludf.DUMMYFUNCTION("""COMPUTED_VALUE"""),763406932)</f>
        <v>763406932</v>
      </c>
      <c r="K527" s="27">
        <f ca="1">IFERROR(__xludf.DUMMYFUNCTION("""COMPUTED_VALUE"""),1)</f>
        <v>1</v>
      </c>
      <c r="L527" s="28" t="str">
        <f ca="1">IFERROR(__xludf.DUMMYFUNCTION("""COMPUTED_VALUE"""),"1/2024")</f>
        <v>1/2024</v>
      </c>
      <c r="M527" s="10" t="str">
        <f ca="1">IFERROR(__xludf.DUMMYFUNCTION("""COMPUTED_VALUE"""),"Predios Exentos")</f>
        <v>Predios Exentos</v>
      </c>
      <c r="N527" s="1"/>
      <c r="O527" s="1"/>
      <c r="P527" s="1"/>
      <c r="Q527" s="1"/>
      <c r="R527" s="1"/>
      <c r="S527" s="1"/>
      <c r="T527" s="1"/>
      <c r="U527" s="1"/>
      <c r="V527" s="1"/>
      <c r="W527" s="1"/>
      <c r="X527" s="1"/>
      <c r="Y527" s="1"/>
      <c r="Z527" s="1"/>
    </row>
    <row r="528" spans="1:26" ht="12.75" customHeight="1">
      <c r="A528" s="1"/>
      <c r="B528" s="10" t="str">
        <f ca="1">IFERROR(__xludf.DUMMYFUNCTION("""COMPUTED_VALUE"""),"Compensación Predios Exentos 2024")</f>
        <v>Compensación Predios Exentos 2024</v>
      </c>
      <c r="C528" s="26" t="str">
        <f t="shared" ca="1" si="0"/>
        <v xml:space="preserve"> OVALLE</v>
      </c>
      <c r="D528" s="10" t="str">
        <f ca="1">IFERROR(__xludf.DUMMYFUNCTION("""COMPUTED_VALUE"""),"Resolución de Transferencia")</f>
        <v>Resolución de Transferencia</v>
      </c>
      <c r="E528" s="26" t="str">
        <f ca="1">IFERROR(__xludf.DUMMYFUNCTION("""COMPUTED_VALUE"""),"MUNICIPALIDAD DE OVALLE")</f>
        <v>MUNICIPALIDAD DE OVALLE</v>
      </c>
      <c r="F528" s="11">
        <f ca="1">IFERROR(__xludf.DUMMYFUNCTION("""COMPUTED_VALUE"""),427819038)</f>
        <v>427819038</v>
      </c>
      <c r="G528" s="10" t="str">
        <f ca="1">IFERROR(__xludf.DUMMYFUNCTION("""COMPUTED_VALUE"""),"Resolución")</f>
        <v>Resolución</v>
      </c>
      <c r="H528" s="10" t="str">
        <f ca="1">IFERROR(__xludf.DUMMYFUNCTION("""COMPUTED_VALUE"""),"COMPENSACIÓN PREDIOS EXENTOS")</f>
        <v>COMPENSACIÓN PREDIOS EXENTOS</v>
      </c>
      <c r="I528" s="10" t="str">
        <f ca="1">IFERROR(__xludf.DUMMYFUNCTION("""COMPUTED_VALUE"""),"Cumplir con normativa y reglamentos internos del programa en base a los objetivos.")</f>
        <v>Cumplir con normativa y reglamentos internos del programa en base a los objetivos.</v>
      </c>
      <c r="J528" s="11">
        <f ca="1">IFERROR(__xludf.DUMMYFUNCTION("""COMPUTED_VALUE"""),427819038)</f>
        <v>427819038</v>
      </c>
      <c r="K528" s="27">
        <f ca="1">IFERROR(__xludf.DUMMYFUNCTION("""COMPUTED_VALUE"""),1)</f>
        <v>1</v>
      </c>
      <c r="L528" s="28" t="str">
        <f ca="1">IFERROR(__xludf.DUMMYFUNCTION("""COMPUTED_VALUE"""),"1/2024")</f>
        <v>1/2024</v>
      </c>
      <c r="M528" s="10" t="str">
        <f ca="1">IFERROR(__xludf.DUMMYFUNCTION("""COMPUTED_VALUE"""),"Predios Exentos")</f>
        <v>Predios Exentos</v>
      </c>
      <c r="N528" s="1"/>
      <c r="O528" s="1"/>
      <c r="P528" s="1"/>
      <c r="Q528" s="1"/>
      <c r="R528" s="1"/>
      <c r="S528" s="1"/>
      <c r="T528" s="1"/>
      <c r="U528" s="1"/>
      <c r="V528" s="1"/>
      <c r="W528" s="1"/>
      <c r="X528" s="1"/>
      <c r="Y528" s="1"/>
      <c r="Z528" s="1"/>
    </row>
    <row r="529" spans="1:26" ht="12.75" customHeight="1">
      <c r="A529" s="1"/>
      <c r="B529" s="10" t="str">
        <f ca="1">IFERROR(__xludf.DUMMYFUNCTION("""COMPUTED_VALUE"""),"Compensación Predios Exentos 2024")</f>
        <v>Compensación Predios Exentos 2024</v>
      </c>
      <c r="C529" s="26" t="str">
        <f t="shared" ca="1" si="0"/>
        <v xml:space="preserve"> PUNITAQUI</v>
      </c>
      <c r="D529" s="10" t="str">
        <f ca="1">IFERROR(__xludf.DUMMYFUNCTION("""COMPUTED_VALUE"""),"Resolución de Transferencia")</f>
        <v>Resolución de Transferencia</v>
      </c>
      <c r="E529" s="26" t="str">
        <f ca="1">IFERROR(__xludf.DUMMYFUNCTION("""COMPUTED_VALUE"""),"MUNICIPALIDAD DE PUNITAQUI")</f>
        <v>MUNICIPALIDAD DE PUNITAQUI</v>
      </c>
      <c r="F529" s="11">
        <f ca="1">IFERROR(__xludf.DUMMYFUNCTION("""COMPUTED_VALUE"""),55823844)</f>
        <v>55823844</v>
      </c>
      <c r="G529" s="10" t="str">
        <f ca="1">IFERROR(__xludf.DUMMYFUNCTION("""COMPUTED_VALUE"""),"Resolución")</f>
        <v>Resolución</v>
      </c>
      <c r="H529" s="10" t="str">
        <f ca="1">IFERROR(__xludf.DUMMYFUNCTION("""COMPUTED_VALUE"""),"COMPENSACIÓN PREDIOS EXENTOS")</f>
        <v>COMPENSACIÓN PREDIOS EXENTOS</v>
      </c>
      <c r="I529" s="10" t="str">
        <f ca="1">IFERROR(__xludf.DUMMYFUNCTION("""COMPUTED_VALUE"""),"Cumplir con normativa y reglamentos internos del programa en base a los objetivos.")</f>
        <v>Cumplir con normativa y reglamentos internos del programa en base a los objetivos.</v>
      </c>
      <c r="J529" s="11">
        <f ca="1">IFERROR(__xludf.DUMMYFUNCTION("""COMPUTED_VALUE"""),55823844)</f>
        <v>55823844</v>
      </c>
      <c r="K529" s="27">
        <f ca="1">IFERROR(__xludf.DUMMYFUNCTION("""COMPUTED_VALUE"""),1)</f>
        <v>1</v>
      </c>
      <c r="L529" s="28" t="str">
        <f ca="1">IFERROR(__xludf.DUMMYFUNCTION("""COMPUTED_VALUE"""),"1/2024")</f>
        <v>1/2024</v>
      </c>
      <c r="M529" s="10" t="str">
        <f ca="1">IFERROR(__xludf.DUMMYFUNCTION("""COMPUTED_VALUE"""),"Predios Exentos")</f>
        <v>Predios Exentos</v>
      </c>
      <c r="N529" s="1"/>
      <c r="O529" s="1"/>
      <c r="P529" s="1"/>
      <c r="Q529" s="1"/>
      <c r="R529" s="1"/>
      <c r="S529" s="1"/>
      <c r="T529" s="1"/>
      <c r="U529" s="1"/>
      <c r="V529" s="1"/>
      <c r="W529" s="1"/>
      <c r="X529" s="1"/>
      <c r="Y529" s="1"/>
      <c r="Z529" s="1"/>
    </row>
    <row r="530" spans="1:26" ht="12.75" customHeight="1">
      <c r="A530" s="1"/>
      <c r="B530" s="10" t="str">
        <f ca="1">IFERROR(__xludf.DUMMYFUNCTION("""COMPUTED_VALUE"""),"Compensación Predios Exentos 2024")</f>
        <v>Compensación Predios Exentos 2024</v>
      </c>
      <c r="C530" s="26" t="str">
        <f t="shared" ca="1" si="0"/>
        <v xml:space="preserve"> ILLAPEL</v>
      </c>
      <c r="D530" s="10" t="str">
        <f ca="1">IFERROR(__xludf.DUMMYFUNCTION("""COMPUTED_VALUE"""),"Resolución de Transferencia")</f>
        <v>Resolución de Transferencia</v>
      </c>
      <c r="E530" s="26" t="str">
        <f ca="1">IFERROR(__xludf.DUMMYFUNCTION("""COMPUTED_VALUE"""),"MUNICIPALIDAD DE ILLAPEL")</f>
        <v>MUNICIPALIDAD DE ILLAPEL</v>
      </c>
      <c r="F530" s="11">
        <f ca="1">IFERROR(__xludf.DUMMYFUNCTION("""COMPUTED_VALUE"""),116970093)</f>
        <v>116970093</v>
      </c>
      <c r="G530" s="10" t="str">
        <f ca="1">IFERROR(__xludf.DUMMYFUNCTION("""COMPUTED_VALUE"""),"Resolución")</f>
        <v>Resolución</v>
      </c>
      <c r="H530" s="10" t="str">
        <f ca="1">IFERROR(__xludf.DUMMYFUNCTION("""COMPUTED_VALUE"""),"COMPENSACIÓN PREDIOS EXENTOS")</f>
        <v>COMPENSACIÓN PREDIOS EXENTOS</v>
      </c>
      <c r="I530" s="10" t="str">
        <f ca="1">IFERROR(__xludf.DUMMYFUNCTION("""COMPUTED_VALUE"""),"Cumplir con normativa y reglamentos internos del programa en base a los objetivos.")</f>
        <v>Cumplir con normativa y reglamentos internos del programa en base a los objetivos.</v>
      </c>
      <c r="J530" s="11">
        <f ca="1">IFERROR(__xludf.DUMMYFUNCTION("""COMPUTED_VALUE"""),116970093)</f>
        <v>116970093</v>
      </c>
      <c r="K530" s="27">
        <f ca="1">IFERROR(__xludf.DUMMYFUNCTION("""COMPUTED_VALUE"""),1)</f>
        <v>1</v>
      </c>
      <c r="L530" s="28" t="str">
        <f ca="1">IFERROR(__xludf.DUMMYFUNCTION("""COMPUTED_VALUE"""),"1/2024")</f>
        <v>1/2024</v>
      </c>
      <c r="M530" s="10" t="str">
        <f ca="1">IFERROR(__xludf.DUMMYFUNCTION("""COMPUTED_VALUE"""),"Predios Exentos")</f>
        <v>Predios Exentos</v>
      </c>
      <c r="N530" s="1"/>
      <c r="O530" s="1"/>
      <c r="P530" s="1"/>
      <c r="Q530" s="1"/>
      <c r="R530" s="1"/>
      <c r="S530" s="1"/>
      <c r="T530" s="1"/>
      <c r="U530" s="1"/>
      <c r="V530" s="1"/>
      <c r="W530" s="1"/>
      <c r="X530" s="1"/>
      <c r="Y530" s="1"/>
      <c r="Z530" s="1"/>
    </row>
    <row r="531" spans="1:26" ht="12.75" customHeight="1">
      <c r="A531" s="1"/>
      <c r="B531" s="10" t="str">
        <f ca="1">IFERROR(__xludf.DUMMYFUNCTION("""COMPUTED_VALUE"""),"Compensación Predios Exentos 2024")</f>
        <v>Compensación Predios Exentos 2024</v>
      </c>
      <c r="C531" s="26" t="str">
        <f t="shared" ca="1" si="0"/>
        <v xml:space="preserve"> SALAMANCA</v>
      </c>
      <c r="D531" s="10" t="str">
        <f ca="1">IFERROR(__xludf.DUMMYFUNCTION("""COMPUTED_VALUE"""),"Resolución de Transferencia")</f>
        <v>Resolución de Transferencia</v>
      </c>
      <c r="E531" s="26" t="str">
        <f ca="1">IFERROR(__xludf.DUMMYFUNCTION("""COMPUTED_VALUE"""),"MUNICIPALIDAD DE SALAMANCA")</f>
        <v>MUNICIPALIDAD DE SALAMANCA</v>
      </c>
      <c r="F531" s="11">
        <f ca="1">IFERROR(__xludf.DUMMYFUNCTION("""COMPUTED_VALUE"""),118802229)</f>
        <v>118802229</v>
      </c>
      <c r="G531" s="10" t="str">
        <f ca="1">IFERROR(__xludf.DUMMYFUNCTION("""COMPUTED_VALUE"""),"Resolución")</f>
        <v>Resolución</v>
      </c>
      <c r="H531" s="10" t="str">
        <f ca="1">IFERROR(__xludf.DUMMYFUNCTION("""COMPUTED_VALUE"""),"COMPENSACIÓN PREDIOS EXENTOS")</f>
        <v>COMPENSACIÓN PREDIOS EXENTOS</v>
      </c>
      <c r="I531" s="10" t="str">
        <f ca="1">IFERROR(__xludf.DUMMYFUNCTION("""COMPUTED_VALUE"""),"Cumplir con normativa y reglamentos internos del programa en base a los objetivos.")</f>
        <v>Cumplir con normativa y reglamentos internos del programa en base a los objetivos.</v>
      </c>
      <c r="J531" s="11">
        <f ca="1">IFERROR(__xludf.DUMMYFUNCTION("""COMPUTED_VALUE"""),118802229)</f>
        <v>118802229</v>
      </c>
      <c r="K531" s="27">
        <f ca="1">IFERROR(__xludf.DUMMYFUNCTION("""COMPUTED_VALUE"""),1)</f>
        <v>1</v>
      </c>
      <c r="L531" s="28" t="str">
        <f ca="1">IFERROR(__xludf.DUMMYFUNCTION("""COMPUTED_VALUE"""),"1/2024")</f>
        <v>1/2024</v>
      </c>
      <c r="M531" s="10" t="str">
        <f ca="1">IFERROR(__xludf.DUMMYFUNCTION("""COMPUTED_VALUE"""),"Predios Exentos")</f>
        <v>Predios Exentos</v>
      </c>
      <c r="N531" s="1"/>
      <c r="O531" s="1"/>
      <c r="P531" s="1"/>
      <c r="Q531" s="1"/>
      <c r="R531" s="1"/>
      <c r="S531" s="1"/>
      <c r="T531" s="1"/>
      <c r="U531" s="1"/>
      <c r="V531" s="1"/>
      <c r="W531" s="1"/>
      <c r="X531" s="1"/>
      <c r="Y531" s="1"/>
      <c r="Z531" s="1"/>
    </row>
    <row r="532" spans="1:26" ht="12.75" customHeight="1">
      <c r="A532" s="1"/>
      <c r="B532" s="10" t="str">
        <f ca="1">IFERROR(__xludf.DUMMYFUNCTION("""COMPUTED_VALUE"""),"Compensación Predios Exentos 2024")</f>
        <v>Compensación Predios Exentos 2024</v>
      </c>
      <c r="C532" s="26" t="str">
        <f t="shared" ca="1" si="0"/>
        <v xml:space="preserve"> CABILDO</v>
      </c>
      <c r="D532" s="10" t="str">
        <f ca="1">IFERROR(__xludf.DUMMYFUNCTION("""COMPUTED_VALUE"""),"Resolución de Transferencia")</f>
        <v>Resolución de Transferencia</v>
      </c>
      <c r="E532" s="26" t="str">
        <f ca="1">IFERROR(__xludf.DUMMYFUNCTION("""COMPUTED_VALUE"""),"MUNICIPALIDAD DE CABILDO")</f>
        <v>MUNICIPALIDAD DE CABILDO</v>
      </c>
      <c r="F532" s="11">
        <f ca="1">IFERROR(__xludf.DUMMYFUNCTION("""COMPUTED_VALUE"""),71269055)</f>
        <v>71269055</v>
      </c>
      <c r="G532" s="10" t="str">
        <f ca="1">IFERROR(__xludf.DUMMYFUNCTION("""COMPUTED_VALUE"""),"Resolución")</f>
        <v>Resolución</v>
      </c>
      <c r="H532" s="10" t="str">
        <f ca="1">IFERROR(__xludf.DUMMYFUNCTION("""COMPUTED_VALUE"""),"COMPENSACIÓN PREDIOS EXENTOS")</f>
        <v>COMPENSACIÓN PREDIOS EXENTOS</v>
      </c>
      <c r="I532" s="10" t="str">
        <f ca="1">IFERROR(__xludf.DUMMYFUNCTION("""COMPUTED_VALUE"""),"Cumplir con normativa y reglamentos internos del programa en base a los objetivos.")</f>
        <v>Cumplir con normativa y reglamentos internos del programa en base a los objetivos.</v>
      </c>
      <c r="J532" s="11">
        <f ca="1">IFERROR(__xludf.DUMMYFUNCTION("""COMPUTED_VALUE"""),71269055)</f>
        <v>71269055</v>
      </c>
      <c r="K532" s="27">
        <f ca="1">IFERROR(__xludf.DUMMYFUNCTION("""COMPUTED_VALUE"""),1)</f>
        <v>1</v>
      </c>
      <c r="L532" s="28" t="str">
        <f ca="1">IFERROR(__xludf.DUMMYFUNCTION("""COMPUTED_VALUE"""),"1/2024")</f>
        <v>1/2024</v>
      </c>
      <c r="M532" s="10" t="str">
        <f ca="1">IFERROR(__xludf.DUMMYFUNCTION("""COMPUTED_VALUE"""),"Predios Exentos")</f>
        <v>Predios Exentos</v>
      </c>
      <c r="N532" s="1"/>
      <c r="O532" s="1"/>
      <c r="P532" s="1"/>
      <c r="Q532" s="1"/>
      <c r="R532" s="1"/>
      <c r="S532" s="1"/>
      <c r="T532" s="1"/>
      <c r="U532" s="1"/>
      <c r="V532" s="1"/>
      <c r="W532" s="1"/>
      <c r="X532" s="1"/>
      <c r="Y532" s="1"/>
      <c r="Z532" s="1"/>
    </row>
    <row r="533" spans="1:26" ht="12.75" customHeight="1">
      <c r="A533" s="1"/>
      <c r="B533" s="10" t="str">
        <f ca="1">IFERROR(__xludf.DUMMYFUNCTION("""COMPUTED_VALUE"""),"Compensación Predios Exentos 2024")</f>
        <v>Compensación Predios Exentos 2024</v>
      </c>
      <c r="C533" s="26" t="str">
        <f t="shared" ca="1" si="0"/>
        <v xml:space="preserve"> PUTAENDO</v>
      </c>
      <c r="D533" s="10" t="str">
        <f ca="1">IFERROR(__xludf.DUMMYFUNCTION("""COMPUTED_VALUE"""),"Resolución de Transferencia")</f>
        <v>Resolución de Transferencia</v>
      </c>
      <c r="E533" s="26" t="str">
        <f ca="1">IFERROR(__xludf.DUMMYFUNCTION("""COMPUTED_VALUE"""),"MUNICIPALIDAD DE PUTAENDO")</f>
        <v>MUNICIPALIDAD DE PUTAENDO</v>
      </c>
      <c r="F533" s="11">
        <f ca="1">IFERROR(__xludf.DUMMYFUNCTION("""COMPUTED_VALUE"""),65946650)</f>
        <v>65946650</v>
      </c>
      <c r="G533" s="10" t="str">
        <f ca="1">IFERROR(__xludf.DUMMYFUNCTION("""COMPUTED_VALUE"""),"Resolución")</f>
        <v>Resolución</v>
      </c>
      <c r="H533" s="10" t="str">
        <f ca="1">IFERROR(__xludf.DUMMYFUNCTION("""COMPUTED_VALUE"""),"COMPENSACIÓN PREDIOS EXENTOS")</f>
        <v>COMPENSACIÓN PREDIOS EXENTOS</v>
      </c>
      <c r="I533" s="10" t="str">
        <f ca="1">IFERROR(__xludf.DUMMYFUNCTION("""COMPUTED_VALUE"""),"Cumplir con normativa y reglamentos internos del programa en base a los objetivos.")</f>
        <v>Cumplir con normativa y reglamentos internos del programa en base a los objetivos.</v>
      </c>
      <c r="J533" s="11">
        <f ca="1">IFERROR(__xludf.DUMMYFUNCTION("""COMPUTED_VALUE"""),65946650)</f>
        <v>65946650</v>
      </c>
      <c r="K533" s="27">
        <f ca="1">IFERROR(__xludf.DUMMYFUNCTION("""COMPUTED_VALUE"""),1)</f>
        <v>1</v>
      </c>
      <c r="L533" s="28" t="str">
        <f ca="1">IFERROR(__xludf.DUMMYFUNCTION("""COMPUTED_VALUE"""),"1/2024")</f>
        <v>1/2024</v>
      </c>
      <c r="M533" s="10" t="str">
        <f ca="1">IFERROR(__xludf.DUMMYFUNCTION("""COMPUTED_VALUE"""),"Predios Exentos")</f>
        <v>Predios Exentos</v>
      </c>
      <c r="N533" s="1"/>
      <c r="O533" s="1"/>
      <c r="P533" s="1"/>
      <c r="Q533" s="1"/>
      <c r="R533" s="1"/>
      <c r="S533" s="1"/>
      <c r="T533" s="1"/>
      <c r="U533" s="1"/>
      <c r="V533" s="1"/>
      <c r="W533" s="1"/>
      <c r="X533" s="1"/>
      <c r="Y533" s="1"/>
      <c r="Z533" s="1"/>
    </row>
    <row r="534" spans="1:26" ht="12.75" customHeight="1">
      <c r="A534" s="1"/>
      <c r="B534" s="10" t="str">
        <f ca="1">IFERROR(__xludf.DUMMYFUNCTION("""COMPUTED_VALUE"""),"Compensación Predios Exentos 2024")</f>
        <v>Compensación Predios Exentos 2024</v>
      </c>
      <c r="C534" s="26" t="str">
        <f t="shared" ca="1" si="0"/>
        <v xml:space="preserve"> CALLE LARGA</v>
      </c>
      <c r="D534" s="10" t="str">
        <f ca="1">IFERROR(__xludf.DUMMYFUNCTION("""COMPUTED_VALUE"""),"Resolución de Transferencia")</f>
        <v>Resolución de Transferencia</v>
      </c>
      <c r="E534" s="26" t="str">
        <f ca="1">IFERROR(__xludf.DUMMYFUNCTION("""COMPUTED_VALUE"""),"MUNICIPALIDAD DE CALLE LARGA")</f>
        <v>MUNICIPALIDAD DE CALLE LARGA</v>
      </c>
      <c r="F534" s="11">
        <f ca="1">IFERROR(__xludf.DUMMYFUNCTION("""COMPUTED_VALUE"""),48055179)</f>
        <v>48055179</v>
      </c>
      <c r="G534" s="10" t="str">
        <f ca="1">IFERROR(__xludf.DUMMYFUNCTION("""COMPUTED_VALUE"""),"Resolución")</f>
        <v>Resolución</v>
      </c>
      <c r="H534" s="10" t="str">
        <f ca="1">IFERROR(__xludf.DUMMYFUNCTION("""COMPUTED_VALUE"""),"COMPENSACIÓN PREDIOS EXENTOS")</f>
        <v>COMPENSACIÓN PREDIOS EXENTOS</v>
      </c>
      <c r="I534" s="10" t="str">
        <f ca="1">IFERROR(__xludf.DUMMYFUNCTION("""COMPUTED_VALUE"""),"Cumplir con normativa y reglamentos internos del programa en base a los objetivos.")</f>
        <v>Cumplir con normativa y reglamentos internos del programa en base a los objetivos.</v>
      </c>
      <c r="J534" s="11">
        <f ca="1">IFERROR(__xludf.DUMMYFUNCTION("""COMPUTED_VALUE"""),48055179)</f>
        <v>48055179</v>
      </c>
      <c r="K534" s="27">
        <f ca="1">IFERROR(__xludf.DUMMYFUNCTION("""COMPUTED_VALUE"""),1)</f>
        <v>1</v>
      </c>
      <c r="L534" s="28" t="str">
        <f ca="1">IFERROR(__xludf.DUMMYFUNCTION("""COMPUTED_VALUE"""),"1/2024")</f>
        <v>1/2024</v>
      </c>
      <c r="M534" s="10" t="str">
        <f ca="1">IFERROR(__xludf.DUMMYFUNCTION("""COMPUTED_VALUE"""),"Predios Exentos")</f>
        <v>Predios Exentos</v>
      </c>
      <c r="N534" s="1"/>
      <c r="O534" s="1"/>
      <c r="P534" s="1"/>
      <c r="Q534" s="1"/>
      <c r="R534" s="1"/>
      <c r="S534" s="1"/>
      <c r="T534" s="1"/>
      <c r="U534" s="1"/>
      <c r="V534" s="1"/>
      <c r="W534" s="1"/>
      <c r="X534" s="1"/>
      <c r="Y534" s="1"/>
      <c r="Z534" s="1"/>
    </row>
    <row r="535" spans="1:26" ht="12.75" customHeight="1">
      <c r="A535" s="1"/>
      <c r="B535" s="10" t="str">
        <f ca="1">IFERROR(__xludf.DUMMYFUNCTION("""COMPUTED_VALUE"""),"Compensación Predios Exentos 2024")</f>
        <v>Compensación Predios Exentos 2024</v>
      </c>
      <c r="C535" s="26" t="str">
        <f t="shared" ca="1" si="0"/>
        <v xml:space="preserve"> HIJUELAS</v>
      </c>
      <c r="D535" s="10" t="str">
        <f ca="1">IFERROR(__xludf.DUMMYFUNCTION("""COMPUTED_VALUE"""),"Resolución de Transferencia")</f>
        <v>Resolución de Transferencia</v>
      </c>
      <c r="E535" s="26" t="str">
        <f ca="1">IFERROR(__xludf.DUMMYFUNCTION("""COMPUTED_VALUE"""),"MUNICIPALIDAD DE HIJUELAS")</f>
        <v>MUNICIPALIDAD DE HIJUELAS</v>
      </c>
      <c r="F535" s="11">
        <f ca="1">IFERROR(__xludf.DUMMYFUNCTION("""COMPUTED_VALUE"""),53398055)</f>
        <v>53398055</v>
      </c>
      <c r="G535" s="10" t="str">
        <f ca="1">IFERROR(__xludf.DUMMYFUNCTION("""COMPUTED_VALUE"""),"Resolución")</f>
        <v>Resolución</v>
      </c>
      <c r="H535" s="10" t="str">
        <f ca="1">IFERROR(__xludf.DUMMYFUNCTION("""COMPUTED_VALUE"""),"COMPENSACIÓN PREDIOS EXENTOS")</f>
        <v>COMPENSACIÓN PREDIOS EXENTOS</v>
      </c>
      <c r="I535" s="10" t="str">
        <f ca="1">IFERROR(__xludf.DUMMYFUNCTION("""COMPUTED_VALUE"""),"Cumplir con normativa y reglamentos internos del programa en base a los objetivos.")</f>
        <v>Cumplir con normativa y reglamentos internos del programa en base a los objetivos.</v>
      </c>
      <c r="J535" s="11">
        <f ca="1">IFERROR(__xludf.DUMMYFUNCTION("""COMPUTED_VALUE"""),53398055)</f>
        <v>53398055</v>
      </c>
      <c r="K535" s="27">
        <f ca="1">IFERROR(__xludf.DUMMYFUNCTION("""COMPUTED_VALUE"""),1)</f>
        <v>1</v>
      </c>
      <c r="L535" s="28" t="str">
        <f ca="1">IFERROR(__xludf.DUMMYFUNCTION("""COMPUTED_VALUE"""),"1/2024")</f>
        <v>1/2024</v>
      </c>
      <c r="M535" s="10" t="str">
        <f ca="1">IFERROR(__xludf.DUMMYFUNCTION("""COMPUTED_VALUE"""),"Predios Exentos")</f>
        <v>Predios Exentos</v>
      </c>
      <c r="N535" s="1"/>
      <c r="O535" s="1"/>
      <c r="P535" s="1"/>
      <c r="Q535" s="1"/>
      <c r="R535" s="1"/>
      <c r="S535" s="1"/>
      <c r="T535" s="1"/>
      <c r="U535" s="1"/>
      <c r="V535" s="1"/>
      <c r="W535" s="1"/>
      <c r="X535" s="1"/>
      <c r="Y535" s="1"/>
      <c r="Z535" s="1"/>
    </row>
    <row r="536" spans="1:26" ht="12.75" customHeight="1">
      <c r="A536" s="1"/>
      <c r="B536" s="10" t="str">
        <f ca="1">IFERROR(__xludf.DUMMYFUNCTION("""COMPUTED_VALUE"""),"Compensación Predios Exentos 2024")</f>
        <v>Compensación Predios Exentos 2024</v>
      </c>
      <c r="C536" s="26" t="str">
        <f t="shared" ca="1" si="0"/>
        <v xml:space="preserve"> NOGALES</v>
      </c>
      <c r="D536" s="10" t="str">
        <f ca="1">IFERROR(__xludf.DUMMYFUNCTION("""COMPUTED_VALUE"""),"Resolución de Transferencia")</f>
        <v>Resolución de Transferencia</v>
      </c>
      <c r="E536" s="26" t="str">
        <f ca="1">IFERROR(__xludf.DUMMYFUNCTION("""COMPUTED_VALUE"""),"MUNICIPALIDAD DE NOGALES")</f>
        <v>MUNICIPALIDAD DE NOGALES</v>
      </c>
      <c r="F536" s="11">
        <f ca="1">IFERROR(__xludf.DUMMYFUNCTION("""COMPUTED_VALUE"""),66161593)</f>
        <v>66161593</v>
      </c>
      <c r="G536" s="10" t="str">
        <f ca="1">IFERROR(__xludf.DUMMYFUNCTION("""COMPUTED_VALUE"""),"Resolución")</f>
        <v>Resolución</v>
      </c>
      <c r="H536" s="10" t="str">
        <f ca="1">IFERROR(__xludf.DUMMYFUNCTION("""COMPUTED_VALUE"""),"COMPENSACIÓN PREDIOS EXENTOS")</f>
        <v>COMPENSACIÓN PREDIOS EXENTOS</v>
      </c>
      <c r="I536" s="10" t="str">
        <f ca="1">IFERROR(__xludf.DUMMYFUNCTION("""COMPUTED_VALUE"""),"Cumplir con normativa y reglamentos internos del programa en base a los objetivos.")</f>
        <v>Cumplir con normativa y reglamentos internos del programa en base a los objetivos.</v>
      </c>
      <c r="J536" s="11">
        <f ca="1">IFERROR(__xludf.DUMMYFUNCTION("""COMPUTED_VALUE"""),66161593)</f>
        <v>66161593</v>
      </c>
      <c r="K536" s="27">
        <f ca="1">IFERROR(__xludf.DUMMYFUNCTION("""COMPUTED_VALUE"""),1)</f>
        <v>1</v>
      </c>
      <c r="L536" s="28" t="str">
        <f ca="1">IFERROR(__xludf.DUMMYFUNCTION("""COMPUTED_VALUE"""),"1/2024")</f>
        <v>1/2024</v>
      </c>
      <c r="M536" s="10" t="str">
        <f ca="1">IFERROR(__xludf.DUMMYFUNCTION("""COMPUTED_VALUE"""),"Predios Exentos")</f>
        <v>Predios Exentos</v>
      </c>
      <c r="N536" s="1"/>
      <c r="O536" s="1"/>
      <c r="P536" s="1"/>
      <c r="Q536" s="1"/>
      <c r="R536" s="1"/>
      <c r="S536" s="1"/>
      <c r="T536" s="1"/>
      <c r="U536" s="1"/>
      <c r="V536" s="1"/>
      <c r="W536" s="1"/>
      <c r="X536" s="1"/>
      <c r="Y536" s="1"/>
      <c r="Z536" s="1"/>
    </row>
    <row r="537" spans="1:26" ht="12.75" customHeight="1">
      <c r="A537" s="1"/>
      <c r="B537" s="10" t="str">
        <f ca="1">IFERROR(__xludf.DUMMYFUNCTION("""COMPUTED_VALUE"""),"Compensación Predios Exentos 2024")</f>
        <v>Compensación Predios Exentos 2024</v>
      </c>
      <c r="C537" s="26" t="str">
        <f t="shared" ca="1" si="0"/>
        <v xml:space="preserve"> QUINTERO</v>
      </c>
      <c r="D537" s="10" t="str">
        <f ca="1">IFERROR(__xludf.DUMMYFUNCTION("""COMPUTED_VALUE"""),"Resolución de Transferencia")</f>
        <v>Resolución de Transferencia</v>
      </c>
      <c r="E537" s="26" t="str">
        <f ca="1">IFERROR(__xludf.DUMMYFUNCTION("""COMPUTED_VALUE"""),"MUNICIPALIDAD DE QUINTERO")</f>
        <v>MUNICIPALIDAD DE QUINTERO</v>
      </c>
      <c r="F537" s="11">
        <f ca="1">IFERROR(__xludf.DUMMYFUNCTION("""COMPUTED_VALUE"""),127707023)</f>
        <v>127707023</v>
      </c>
      <c r="G537" s="10" t="str">
        <f ca="1">IFERROR(__xludf.DUMMYFUNCTION("""COMPUTED_VALUE"""),"Resolución")</f>
        <v>Resolución</v>
      </c>
      <c r="H537" s="10" t="str">
        <f ca="1">IFERROR(__xludf.DUMMYFUNCTION("""COMPUTED_VALUE"""),"COMPENSACIÓN PREDIOS EXENTOS")</f>
        <v>COMPENSACIÓN PREDIOS EXENTOS</v>
      </c>
      <c r="I537" s="10" t="str">
        <f ca="1">IFERROR(__xludf.DUMMYFUNCTION("""COMPUTED_VALUE"""),"Cumplir con normativa y reglamentos internos del programa en base a los objetivos.")</f>
        <v>Cumplir con normativa y reglamentos internos del programa en base a los objetivos.</v>
      </c>
      <c r="J537" s="11">
        <f ca="1">IFERROR(__xludf.DUMMYFUNCTION("""COMPUTED_VALUE"""),127707023)</f>
        <v>127707023</v>
      </c>
      <c r="K537" s="27">
        <f ca="1">IFERROR(__xludf.DUMMYFUNCTION("""COMPUTED_VALUE"""),1)</f>
        <v>1</v>
      </c>
      <c r="L537" s="28" t="str">
        <f ca="1">IFERROR(__xludf.DUMMYFUNCTION("""COMPUTED_VALUE"""),"1/2024")</f>
        <v>1/2024</v>
      </c>
      <c r="M537" s="10" t="str">
        <f ca="1">IFERROR(__xludf.DUMMYFUNCTION("""COMPUTED_VALUE"""),"Predios Exentos")</f>
        <v>Predios Exentos</v>
      </c>
      <c r="N537" s="1"/>
      <c r="O537" s="1"/>
      <c r="P537" s="1"/>
      <c r="Q537" s="1"/>
      <c r="R537" s="1"/>
      <c r="S537" s="1"/>
      <c r="T537" s="1"/>
      <c r="U537" s="1"/>
      <c r="V537" s="1"/>
      <c r="W537" s="1"/>
      <c r="X537" s="1"/>
      <c r="Y537" s="1"/>
      <c r="Z537" s="1"/>
    </row>
    <row r="538" spans="1:26" ht="12.75" customHeight="1">
      <c r="A538" s="1"/>
      <c r="B538" s="10" t="str">
        <f ca="1">IFERROR(__xludf.DUMMYFUNCTION("""COMPUTED_VALUE"""),"Compensación Predios Exentos 2024")</f>
        <v>Compensación Predios Exentos 2024</v>
      </c>
      <c r="C538" s="26" t="str">
        <f t="shared" ca="1" si="0"/>
        <v xml:space="preserve"> PUCHUNCAVÍ</v>
      </c>
      <c r="D538" s="10" t="str">
        <f ca="1">IFERROR(__xludf.DUMMYFUNCTION("""COMPUTED_VALUE"""),"Resolución de Transferencia")</f>
        <v>Resolución de Transferencia</v>
      </c>
      <c r="E538" s="26" t="str">
        <f ca="1">IFERROR(__xludf.DUMMYFUNCTION("""COMPUTED_VALUE"""),"MUNICIPALIDAD DE PUCHUNCAVÍ")</f>
        <v>MUNICIPALIDAD DE PUCHUNCAVÍ</v>
      </c>
      <c r="F538" s="11">
        <f ca="1">IFERROR(__xludf.DUMMYFUNCTION("""COMPUTED_VALUE"""),96591422)</f>
        <v>96591422</v>
      </c>
      <c r="G538" s="10" t="str">
        <f ca="1">IFERROR(__xludf.DUMMYFUNCTION("""COMPUTED_VALUE"""),"Resolución")</f>
        <v>Resolución</v>
      </c>
      <c r="H538" s="10" t="str">
        <f ca="1">IFERROR(__xludf.DUMMYFUNCTION("""COMPUTED_VALUE"""),"COMPENSACIÓN PREDIOS EXENTOS")</f>
        <v>COMPENSACIÓN PREDIOS EXENTOS</v>
      </c>
      <c r="I538" s="10" t="str">
        <f ca="1">IFERROR(__xludf.DUMMYFUNCTION("""COMPUTED_VALUE"""),"Cumplir con normativa y reglamentos internos del programa en base a los objetivos.")</f>
        <v>Cumplir con normativa y reglamentos internos del programa en base a los objetivos.</v>
      </c>
      <c r="J538" s="11">
        <f ca="1">IFERROR(__xludf.DUMMYFUNCTION("""COMPUTED_VALUE"""),96591422)</f>
        <v>96591422</v>
      </c>
      <c r="K538" s="27">
        <f ca="1">IFERROR(__xludf.DUMMYFUNCTION("""COMPUTED_VALUE"""),1)</f>
        <v>1</v>
      </c>
      <c r="L538" s="28" t="str">
        <f ca="1">IFERROR(__xludf.DUMMYFUNCTION("""COMPUTED_VALUE"""),"1/2024")</f>
        <v>1/2024</v>
      </c>
      <c r="M538" s="10" t="str">
        <f ca="1">IFERROR(__xludf.DUMMYFUNCTION("""COMPUTED_VALUE"""),"Predios Exentos")</f>
        <v>Predios Exentos</v>
      </c>
      <c r="N538" s="1"/>
      <c r="O538" s="1"/>
      <c r="P538" s="1"/>
      <c r="Q538" s="1"/>
      <c r="R538" s="1"/>
      <c r="S538" s="1"/>
      <c r="T538" s="1"/>
      <c r="U538" s="1"/>
      <c r="V538" s="1"/>
      <c r="W538" s="1"/>
      <c r="X538" s="1"/>
      <c r="Y538" s="1"/>
      <c r="Z538" s="1"/>
    </row>
    <row r="539" spans="1:26" ht="12.75" customHeight="1">
      <c r="A539" s="1"/>
      <c r="B539" s="10" t="str">
        <f ca="1">IFERROR(__xludf.DUMMYFUNCTION("""COMPUTED_VALUE"""),"Compensación Predios Exentos 2024")</f>
        <v>Compensación Predios Exentos 2024</v>
      </c>
      <c r="C539" s="26" t="str">
        <f t="shared" ca="1" si="0"/>
        <v xml:space="preserve"> VALPARAÍSO</v>
      </c>
      <c r="D539" s="10" t="str">
        <f ca="1">IFERROR(__xludf.DUMMYFUNCTION("""COMPUTED_VALUE"""),"Resolución de Transferencia")</f>
        <v>Resolución de Transferencia</v>
      </c>
      <c r="E539" s="26" t="str">
        <f ca="1">IFERROR(__xludf.DUMMYFUNCTION("""COMPUTED_VALUE"""),"MUNICIPALIDAD DE VALPARAÍSO")</f>
        <v>MUNICIPALIDAD DE VALPARAÍSO</v>
      </c>
      <c r="F539" s="11">
        <f ca="1">IFERROR(__xludf.DUMMYFUNCTION("""COMPUTED_VALUE"""),914901013)</f>
        <v>914901013</v>
      </c>
      <c r="G539" s="10" t="str">
        <f ca="1">IFERROR(__xludf.DUMMYFUNCTION("""COMPUTED_VALUE"""),"Resolución")</f>
        <v>Resolución</v>
      </c>
      <c r="H539" s="10" t="str">
        <f ca="1">IFERROR(__xludf.DUMMYFUNCTION("""COMPUTED_VALUE"""),"COMPENSACIÓN PREDIOS EXENTOS")</f>
        <v>COMPENSACIÓN PREDIOS EXENTOS</v>
      </c>
      <c r="I539" s="10" t="str">
        <f ca="1">IFERROR(__xludf.DUMMYFUNCTION("""COMPUTED_VALUE"""),"Cumplir con normativa y reglamentos internos del programa en base a los objetivos.")</f>
        <v>Cumplir con normativa y reglamentos internos del programa en base a los objetivos.</v>
      </c>
      <c r="J539" s="11">
        <f ca="1">IFERROR(__xludf.DUMMYFUNCTION("""COMPUTED_VALUE"""),914901013)</f>
        <v>914901013</v>
      </c>
      <c r="K539" s="27">
        <f ca="1">IFERROR(__xludf.DUMMYFUNCTION("""COMPUTED_VALUE"""),1)</f>
        <v>1</v>
      </c>
      <c r="L539" s="28" t="str">
        <f ca="1">IFERROR(__xludf.DUMMYFUNCTION("""COMPUTED_VALUE"""),"1/2024")</f>
        <v>1/2024</v>
      </c>
      <c r="M539" s="10" t="str">
        <f ca="1">IFERROR(__xludf.DUMMYFUNCTION("""COMPUTED_VALUE"""),"Predios Exentos")</f>
        <v>Predios Exentos</v>
      </c>
      <c r="N539" s="1"/>
      <c r="O539" s="1"/>
      <c r="P539" s="1"/>
      <c r="Q539" s="1"/>
      <c r="R539" s="1"/>
      <c r="S539" s="1"/>
      <c r="T539" s="1"/>
      <c r="U539" s="1"/>
      <c r="V539" s="1"/>
      <c r="W539" s="1"/>
      <c r="X539" s="1"/>
      <c r="Y539" s="1"/>
      <c r="Z539" s="1"/>
    </row>
    <row r="540" spans="1:26" ht="12.75" customHeight="1">
      <c r="A540" s="1"/>
      <c r="B540" s="10" t="str">
        <f ca="1">IFERROR(__xludf.DUMMYFUNCTION("""COMPUTED_VALUE"""),"Compensación Predios Exentos 2024")</f>
        <v>Compensación Predios Exentos 2024</v>
      </c>
      <c r="C540" s="26" t="str">
        <f t="shared" ca="1" si="0"/>
        <v xml:space="preserve"> QUILPUÉ</v>
      </c>
      <c r="D540" s="10" t="str">
        <f ca="1">IFERROR(__xludf.DUMMYFUNCTION("""COMPUTED_VALUE"""),"Resolución de Transferencia")</f>
        <v>Resolución de Transferencia</v>
      </c>
      <c r="E540" s="26" t="str">
        <f ca="1">IFERROR(__xludf.DUMMYFUNCTION("""COMPUTED_VALUE"""),"MUNICIPALIDAD DE QUILPUÉ")</f>
        <v>MUNICIPALIDAD DE QUILPUÉ</v>
      </c>
      <c r="F540" s="11">
        <f ca="1">IFERROR(__xludf.DUMMYFUNCTION("""COMPUTED_VALUE"""),485341958)</f>
        <v>485341958</v>
      </c>
      <c r="G540" s="10" t="str">
        <f ca="1">IFERROR(__xludf.DUMMYFUNCTION("""COMPUTED_VALUE"""),"Resolución")</f>
        <v>Resolución</v>
      </c>
      <c r="H540" s="10" t="str">
        <f ca="1">IFERROR(__xludf.DUMMYFUNCTION("""COMPUTED_VALUE"""),"COMPENSACIÓN PREDIOS EXENTOS")</f>
        <v>COMPENSACIÓN PREDIOS EXENTOS</v>
      </c>
      <c r="I540" s="10" t="str">
        <f ca="1">IFERROR(__xludf.DUMMYFUNCTION("""COMPUTED_VALUE"""),"Cumplir con normativa y reglamentos internos del programa en base a los objetivos.")</f>
        <v>Cumplir con normativa y reglamentos internos del programa en base a los objetivos.</v>
      </c>
      <c r="J540" s="11">
        <f ca="1">IFERROR(__xludf.DUMMYFUNCTION("""COMPUTED_VALUE"""),485341958)</f>
        <v>485341958</v>
      </c>
      <c r="K540" s="27">
        <f ca="1">IFERROR(__xludf.DUMMYFUNCTION("""COMPUTED_VALUE"""),1)</f>
        <v>1</v>
      </c>
      <c r="L540" s="28" t="str">
        <f ca="1">IFERROR(__xludf.DUMMYFUNCTION("""COMPUTED_VALUE"""),"1/2024")</f>
        <v>1/2024</v>
      </c>
      <c r="M540" s="10" t="str">
        <f ca="1">IFERROR(__xludf.DUMMYFUNCTION("""COMPUTED_VALUE"""),"Predios Exentos")</f>
        <v>Predios Exentos</v>
      </c>
      <c r="N540" s="1"/>
      <c r="O540" s="1"/>
      <c r="P540" s="1"/>
      <c r="Q540" s="1"/>
      <c r="R540" s="1"/>
      <c r="S540" s="1"/>
      <c r="T540" s="1"/>
      <c r="U540" s="1"/>
      <c r="V540" s="1"/>
      <c r="W540" s="1"/>
      <c r="X540" s="1"/>
      <c r="Y540" s="1"/>
      <c r="Z540" s="1"/>
    </row>
    <row r="541" spans="1:26" ht="12.75" customHeight="1">
      <c r="A541" s="1"/>
      <c r="B541" s="10" t="str">
        <f ca="1">IFERROR(__xludf.DUMMYFUNCTION("""COMPUTED_VALUE"""),"Compensación Predios Exentos 2024")</f>
        <v>Compensación Predios Exentos 2024</v>
      </c>
      <c r="C541" s="26" t="str">
        <f t="shared" ca="1" si="0"/>
        <v xml:space="preserve"> CASABLANCA</v>
      </c>
      <c r="D541" s="10" t="str">
        <f ca="1">IFERROR(__xludf.DUMMYFUNCTION("""COMPUTED_VALUE"""),"Resolución de Transferencia")</f>
        <v>Resolución de Transferencia</v>
      </c>
      <c r="E541" s="26" t="str">
        <f ca="1">IFERROR(__xludf.DUMMYFUNCTION("""COMPUTED_VALUE"""),"MUNICIPALIDAD DE CASABLANCA")</f>
        <v>MUNICIPALIDAD DE CASABLANCA</v>
      </c>
      <c r="F541" s="11">
        <f ca="1">IFERROR(__xludf.DUMMYFUNCTION("""COMPUTED_VALUE"""),79191251)</f>
        <v>79191251</v>
      </c>
      <c r="G541" s="10" t="str">
        <f ca="1">IFERROR(__xludf.DUMMYFUNCTION("""COMPUTED_VALUE"""),"Resolución")</f>
        <v>Resolución</v>
      </c>
      <c r="H541" s="10" t="str">
        <f ca="1">IFERROR(__xludf.DUMMYFUNCTION("""COMPUTED_VALUE"""),"COMPENSACIÓN PREDIOS EXENTOS")</f>
        <v>COMPENSACIÓN PREDIOS EXENTOS</v>
      </c>
      <c r="I541" s="10" t="str">
        <f ca="1">IFERROR(__xludf.DUMMYFUNCTION("""COMPUTED_VALUE"""),"Cumplir con normativa y reglamentos internos del programa en base a los objetivos.")</f>
        <v>Cumplir con normativa y reglamentos internos del programa en base a los objetivos.</v>
      </c>
      <c r="J541" s="11">
        <f ca="1">IFERROR(__xludf.DUMMYFUNCTION("""COMPUTED_VALUE"""),79191251)</f>
        <v>79191251</v>
      </c>
      <c r="K541" s="27">
        <f ca="1">IFERROR(__xludf.DUMMYFUNCTION("""COMPUTED_VALUE"""),1)</f>
        <v>1</v>
      </c>
      <c r="L541" s="28" t="str">
        <f ca="1">IFERROR(__xludf.DUMMYFUNCTION("""COMPUTED_VALUE"""),"1/2024")</f>
        <v>1/2024</v>
      </c>
      <c r="M541" s="10" t="str">
        <f ca="1">IFERROR(__xludf.DUMMYFUNCTION("""COMPUTED_VALUE"""),"Predios Exentos")</f>
        <v>Predios Exentos</v>
      </c>
      <c r="N541" s="1"/>
      <c r="O541" s="1"/>
      <c r="P541" s="1"/>
      <c r="Q541" s="1"/>
      <c r="R541" s="1"/>
      <c r="S541" s="1"/>
      <c r="T541" s="1"/>
      <c r="U541" s="1"/>
      <c r="V541" s="1"/>
      <c r="W541" s="1"/>
      <c r="X541" s="1"/>
      <c r="Y541" s="1"/>
      <c r="Z541" s="1"/>
    </row>
    <row r="542" spans="1:26" ht="12.75" customHeight="1">
      <c r="A542" s="1"/>
      <c r="B542" s="10" t="str">
        <f ca="1">IFERROR(__xludf.DUMMYFUNCTION("""COMPUTED_VALUE"""),"Compensación Predios Exentos 2024")</f>
        <v>Compensación Predios Exentos 2024</v>
      </c>
      <c r="C542" s="26" t="str">
        <f t="shared" ca="1" si="0"/>
        <v xml:space="preserve"> ALGARROBO</v>
      </c>
      <c r="D542" s="10" t="str">
        <f ca="1">IFERROR(__xludf.DUMMYFUNCTION("""COMPUTED_VALUE"""),"Resolución de Transferencia")</f>
        <v>Resolución de Transferencia</v>
      </c>
      <c r="E542" s="26" t="str">
        <f ca="1">IFERROR(__xludf.DUMMYFUNCTION("""COMPUTED_VALUE"""),"MUNICIPALIDAD DE ALGARROBO")</f>
        <v>MUNICIPALIDAD DE ALGARROBO</v>
      </c>
      <c r="F542" s="11">
        <f ca="1">IFERROR(__xludf.DUMMYFUNCTION("""COMPUTED_VALUE"""),82292575)</f>
        <v>82292575</v>
      </c>
      <c r="G542" s="10" t="str">
        <f ca="1">IFERROR(__xludf.DUMMYFUNCTION("""COMPUTED_VALUE"""),"Resolución")</f>
        <v>Resolución</v>
      </c>
      <c r="H542" s="10" t="str">
        <f ca="1">IFERROR(__xludf.DUMMYFUNCTION("""COMPUTED_VALUE"""),"COMPENSACIÓN PREDIOS EXENTOS")</f>
        <v>COMPENSACIÓN PREDIOS EXENTOS</v>
      </c>
      <c r="I542" s="10" t="str">
        <f ca="1">IFERROR(__xludf.DUMMYFUNCTION("""COMPUTED_VALUE"""),"Cumplir con normativa y reglamentos internos del programa en base a los objetivos.")</f>
        <v>Cumplir con normativa y reglamentos internos del programa en base a los objetivos.</v>
      </c>
      <c r="J542" s="11">
        <f ca="1">IFERROR(__xludf.DUMMYFUNCTION("""COMPUTED_VALUE"""),82292575)</f>
        <v>82292575</v>
      </c>
      <c r="K542" s="27">
        <f ca="1">IFERROR(__xludf.DUMMYFUNCTION("""COMPUTED_VALUE"""),1)</f>
        <v>1</v>
      </c>
      <c r="L542" s="28" t="str">
        <f ca="1">IFERROR(__xludf.DUMMYFUNCTION("""COMPUTED_VALUE"""),"1/2024")</f>
        <v>1/2024</v>
      </c>
      <c r="M542" s="10" t="str">
        <f ca="1">IFERROR(__xludf.DUMMYFUNCTION("""COMPUTED_VALUE"""),"Predios Exentos")</f>
        <v>Predios Exentos</v>
      </c>
      <c r="N542" s="1"/>
      <c r="O542" s="1"/>
      <c r="P542" s="1"/>
      <c r="Q542" s="1"/>
      <c r="R542" s="1"/>
      <c r="S542" s="1"/>
      <c r="T542" s="1"/>
      <c r="U542" s="1"/>
      <c r="V542" s="1"/>
      <c r="W542" s="1"/>
      <c r="X542" s="1"/>
      <c r="Y542" s="1"/>
      <c r="Z542" s="1"/>
    </row>
    <row r="543" spans="1:26" ht="12.75" customHeight="1">
      <c r="A543" s="1"/>
      <c r="B543" s="10" t="str">
        <f ca="1">IFERROR(__xludf.DUMMYFUNCTION("""COMPUTED_VALUE"""),"Compensación Predios Exentos 2024")</f>
        <v>Compensación Predios Exentos 2024</v>
      </c>
      <c r="C543" s="26" t="str">
        <f t="shared" ca="1" si="0"/>
        <v xml:space="preserve"> ISLA DE PASCUA</v>
      </c>
      <c r="D543" s="10" t="str">
        <f ca="1">IFERROR(__xludf.DUMMYFUNCTION("""COMPUTED_VALUE"""),"Resolución de Transferencia")</f>
        <v>Resolución de Transferencia</v>
      </c>
      <c r="E543" s="26" t="str">
        <f ca="1">IFERROR(__xludf.DUMMYFUNCTION("""COMPUTED_VALUE"""),"MUNICIPALIDAD DE ISLA DE PASCUA")</f>
        <v>MUNICIPALIDAD DE ISLA DE PASCUA</v>
      </c>
      <c r="F543" s="11">
        <f ca="1">IFERROR(__xludf.DUMMYFUNCTION("""COMPUTED_VALUE"""),9744096)</f>
        <v>9744096</v>
      </c>
      <c r="G543" s="10" t="str">
        <f ca="1">IFERROR(__xludf.DUMMYFUNCTION("""COMPUTED_VALUE"""),"Resolución")</f>
        <v>Resolución</v>
      </c>
      <c r="H543" s="10" t="str">
        <f ca="1">IFERROR(__xludf.DUMMYFUNCTION("""COMPUTED_VALUE"""),"COMPENSACIÓN PREDIOS EXENTOS")</f>
        <v>COMPENSACIÓN PREDIOS EXENTOS</v>
      </c>
      <c r="I543" s="10" t="str">
        <f ca="1">IFERROR(__xludf.DUMMYFUNCTION("""COMPUTED_VALUE"""),"Cumplir con normativa y reglamentos internos del programa en base a los objetivos.")</f>
        <v>Cumplir con normativa y reglamentos internos del programa en base a los objetivos.</v>
      </c>
      <c r="J543" s="11">
        <f ca="1">IFERROR(__xludf.DUMMYFUNCTION("""COMPUTED_VALUE"""),9744096)</f>
        <v>9744096</v>
      </c>
      <c r="K543" s="27">
        <f ca="1">IFERROR(__xludf.DUMMYFUNCTION("""COMPUTED_VALUE"""),1)</f>
        <v>1</v>
      </c>
      <c r="L543" s="28" t="str">
        <f ca="1">IFERROR(__xludf.DUMMYFUNCTION("""COMPUTED_VALUE"""),"1/2024")</f>
        <v>1/2024</v>
      </c>
      <c r="M543" s="10" t="str">
        <f ca="1">IFERROR(__xludf.DUMMYFUNCTION("""COMPUTED_VALUE"""),"Predios Exentos")</f>
        <v>Predios Exentos</v>
      </c>
      <c r="N543" s="1"/>
      <c r="O543" s="1"/>
      <c r="P543" s="1"/>
      <c r="Q543" s="1"/>
      <c r="R543" s="1"/>
      <c r="S543" s="1"/>
      <c r="T543" s="1"/>
      <c r="U543" s="1"/>
      <c r="V543" s="1"/>
      <c r="W543" s="1"/>
      <c r="X543" s="1"/>
      <c r="Y543" s="1"/>
      <c r="Z543" s="1"/>
    </row>
    <row r="544" spans="1:26" ht="12.75" customHeight="1">
      <c r="A544" s="1"/>
      <c r="B544" s="10" t="str">
        <f ca="1">IFERROR(__xludf.DUMMYFUNCTION("""COMPUTED_VALUE"""),"Compensación Predios Exentos 2024")</f>
        <v>Compensación Predios Exentos 2024</v>
      </c>
      <c r="C544" s="26" t="str">
        <f t="shared" ca="1" si="0"/>
        <v xml:space="preserve"> EL TABO</v>
      </c>
      <c r="D544" s="10" t="str">
        <f ca="1">IFERROR(__xludf.DUMMYFUNCTION("""COMPUTED_VALUE"""),"Resolución de Transferencia")</f>
        <v>Resolución de Transferencia</v>
      </c>
      <c r="E544" s="26" t="str">
        <f ca="1">IFERROR(__xludf.DUMMYFUNCTION("""COMPUTED_VALUE"""),"MUNICIPALIDAD DE EL TABO")</f>
        <v>MUNICIPALIDAD DE EL TABO</v>
      </c>
      <c r="F544" s="11">
        <f ca="1">IFERROR(__xludf.DUMMYFUNCTION("""COMPUTED_VALUE"""),129293509)</f>
        <v>129293509</v>
      </c>
      <c r="G544" s="10" t="str">
        <f ca="1">IFERROR(__xludf.DUMMYFUNCTION("""COMPUTED_VALUE"""),"Resolución")</f>
        <v>Resolución</v>
      </c>
      <c r="H544" s="10" t="str">
        <f ca="1">IFERROR(__xludf.DUMMYFUNCTION("""COMPUTED_VALUE"""),"COMPENSACIÓN PREDIOS EXENTOS")</f>
        <v>COMPENSACIÓN PREDIOS EXENTOS</v>
      </c>
      <c r="I544" s="10" t="str">
        <f ca="1">IFERROR(__xludf.DUMMYFUNCTION("""COMPUTED_VALUE"""),"Cumplir con normativa y reglamentos internos del programa en base a los objetivos.")</f>
        <v>Cumplir con normativa y reglamentos internos del programa en base a los objetivos.</v>
      </c>
      <c r="J544" s="11">
        <f ca="1">IFERROR(__xludf.DUMMYFUNCTION("""COMPUTED_VALUE"""),129293509)</f>
        <v>129293509</v>
      </c>
      <c r="K544" s="27">
        <f ca="1">IFERROR(__xludf.DUMMYFUNCTION("""COMPUTED_VALUE"""),1)</f>
        <v>1</v>
      </c>
      <c r="L544" s="28" t="str">
        <f ca="1">IFERROR(__xludf.DUMMYFUNCTION("""COMPUTED_VALUE"""),"1/2024")</f>
        <v>1/2024</v>
      </c>
      <c r="M544" s="10" t="str">
        <f ca="1">IFERROR(__xludf.DUMMYFUNCTION("""COMPUTED_VALUE"""),"Predios Exentos")</f>
        <v>Predios Exentos</v>
      </c>
      <c r="N544" s="1"/>
      <c r="O544" s="1"/>
      <c r="P544" s="1"/>
      <c r="Q544" s="1"/>
      <c r="R544" s="1"/>
      <c r="S544" s="1"/>
      <c r="T544" s="1"/>
      <c r="U544" s="1"/>
      <c r="V544" s="1"/>
      <c r="W544" s="1"/>
      <c r="X544" s="1"/>
      <c r="Y544" s="1"/>
      <c r="Z544" s="1"/>
    </row>
    <row r="545" spans="1:26" ht="12.75" customHeight="1">
      <c r="A545" s="1"/>
      <c r="B545" s="10" t="str">
        <f ca="1">IFERROR(__xludf.DUMMYFUNCTION("""COMPUTED_VALUE"""),"Compensación Predios Exentos 2024")</f>
        <v>Compensación Predios Exentos 2024</v>
      </c>
      <c r="C545" s="26" t="str">
        <f t="shared" ca="1" si="0"/>
        <v xml:space="preserve"> GRANEROS</v>
      </c>
      <c r="D545" s="10" t="str">
        <f ca="1">IFERROR(__xludf.DUMMYFUNCTION("""COMPUTED_VALUE"""),"Resolución de Transferencia")</f>
        <v>Resolución de Transferencia</v>
      </c>
      <c r="E545" s="26" t="str">
        <f ca="1">IFERROR(__xludf.DUMMYFUNCTION("""COMPUTED_VALUE"""),"MUNICIPALIDAD DE GRANEROS")</f>
        <v>MUNICIPALIDAD DE GRANEROS</v>
      </c>
      <c r="F545" s="11">
        <f ca="1">IFERROR(__xludf.DUMMYFUNCTION("""COMPUTED_VALUE"""),101412293)</f>
        <v>101412293</v>
      </c>
      <c r="G545" s="10" t="str">
        <f ca="1">IFERROR(__xludf.DUMMYFUNCTION("""COMPUTED_VALUE"""),"Resolución")</f>
        <v>Resolución</v>
      </c>
      <c r="H545" s="10" t="str">
        <f ca="1">IFERROR(__xludf.DUMMYFUNCTION("""COMPUTED_VALUE"""),"COMPENSACIÓN PREDIOS EXENTOS")</f>
        <v>COMPENSACIÓN PREDIOS EXENTOS</v>
      </c>
      <c r="I545" s="10" t="str">
        <f ca="1">IFERROR(__xludf.DUMMYFUNCTION("""COMPUTED_VALUE"""),"Cumplir con normativa y reglamentos internos del programa en base a los objetivos.")</f>
        <v>Cumplir con normativa y reglamentos internos del programa en base a los objetivos.</v>
      </c>
      <c r="J545" s="11">
        <f ca="1">IFERROR(__xludf.DUMMYFUNCTION("""COMPUTED_VALUE"""),101412293)</f>
        <v>101412293</v>
      </c>
      <c r="K545" s="27">
        <f ca="1">IFERROR(__xludf.DUMMYFUNCTION("""COMPUTED_VALUE"""),1)</f>
        <v>1</v>
      </c>
      <c r="L545" s="28" t="str">
        <f ca="1">IFERROR(__xludf.DUMMYFUNCTION("""COMPUTED_VALUE"""),"1/2024")</f>
        <v>1/2024</v>
      </c>
      <c r="M545" s="10" t="str">
        <f ca="1">IFERROR(__xludf.DUMMYFUNCTION("""COMPUTED_VALUE"""),"Predios Exentos")</f>
        <v>Predios Exentos</v>
      </c>
      <c r="N545" s="1"/>
      <c r="O545" s="1"/>
      <c r="P545" s="1"/>
      <c r="Q545" s="1"/>
      <c r="R545" s="1"/>
      <c r="S545" s="1"/>
      <c r="T545" s="1"/>
      <c r="U545" s="1"/>
      <c r="V545" s="1"/>
      <c r="W545" s="1"/>
      <c r="X545" s="1"/>
      <c r="Y545" s="1"/>
      <c r="Z545" s="1"/>
    </row>
    <row r="546" spans="1:26" ht="12.75" customHeight="1">
      <c r="A546" s="1"/>
      <c r="B546" s="10" t="str">
        <f ca="1">IFERROR(__xludf.DUMMYFUNCTION("""COMPUTED_VALUE"""),"Compensación Predios Exentos 2024")</f>
        <v>Compensación Predios Exentos 2024</v>
      </c>
      <c r="C546" s="26" t="str">
        <f t="shared" ca="1" si="0"/>
        <v xml:space="preserve"> CODEGUA</v>
      </c>
      <c r="D546" s="10" t="str">
        <f ca="1">IFERROR(__xludf.DUMMYFUNCTION("""COMPUTED_VALUE"""),"Resolución de Transferencia")</f>
        <v>Resolución de Transferencia</v>
      </c>
      <c r="E546" s="26" t="str">
        <f ca="1">IFERROR(__xludf.DUMMYFUNCTION("""COMPUTED_VALUE"""),"MUNICIPALIDAD DE CODEGUA")</f>
        <v>MUNICIPALIDAD DE CODEGUA</v>
      </c>
      <c r="F546" s="11">
        <f ca="1">IFERROR(__xludf.DUMMYFUNCTION("""COMPUTED_VALUE"""),36028590)</f>
        <v>36028590</v>
      </c>
      <c r="G546" s="10" t="str">
        <f ca="1">IFERROR(__xludf.DUMMYFUNCTION("""COMPUTED_VALUE"""),"Resolución")</f>
        <v>Resolución</v>
      </c>
      <c r="H546" s="10" t="str">
        <f ca="1">IFERROR(__xludf.DUMMYFUNCTION("""COMPUTED_VALUE"""),"COMPENSACIÓN PREDIOS EXENTOS")</f>
        <v>COMPENSACIÓN PREDIOS EXENTOS</v>
      </c>
      <c r="I546" s="10" t="str">
        <f ca="1">IFERROR(__xludf.DUMMYFUNCTION("""COMPUTED_VALUE"""),"Cumplir con normativa y reglamentos internos del programa en base a los objetivos.")</f>
        <v>Cumplir con normativa y reglamentos internos del programa en base a los objetivos.</v>
      </c>
      <c r="J546" s="11">
        <f ca="1">IFERROR(__xludf.DUMMYFUNCTION("""COMPUTED_VALUE"""),36028590)</f>
        <v>36028590</v>
      </c>
      <c r="K546" s="27">
        <f ca="1">IFERROR(__xludf.DUMMYFUNCTION("""COMPUTED_VALUE"""),1)</f>
        <v>1</v>
      </c>
      <c r="L546" s="28" t="str">
        <f ca="1">IFERROR(__xludf.DUMMYFUNCTION("""COMPUTED_VALUE"""),"1/2024")</f>
        <v>1/2024</v>
      </c>
      <c r="M546" s="10" t="str">
        <f ca="1">IFERROR(__xludf.DUMMYFUNCTION("""COMPUTED_VALUE"""),"Predios Exentos")</f>
        <v>Predios Exentos</v>
      </c>
      <c r="N546" s="1"/>
      <c r="O546" s="1"/>
      <c r="P546" s="1"/>
      <c r="Q546" s="1"/>
      <c r="R546" s="1"/>
      <c r="S546" s="1"/>
      <c r="T546" s="1"/>
      <c r="U546" s="1"/>
      <c r="V546" s="1"/>
      <c r="W546" s="1"/>
      <c r="X546" s="1"/>
      <c r="Y546" s="1"/>
      <c r="Z546" s="1"/>
    </row>
    <row r="547" spans="1:26" ht="12.75" customHeight="1">
      <c r="A547" s="1"/>
      <c r="B547" s="10" t="str">
        <f ca="1">IFERROR(__xludf.DUMMYFUNCTION("""COMPUTED_VALUE"""),"Compensación Predios Exentos 2024")</f>
        <v>Compensación Predios Exentos 2024</v>
      </c>
      <c r="C547" s="26" t="str">
        <f t="shared" ca="1" si="0"/>
        <v xml:space="preserve"> MOSTAZAL</v>
      </c>
      <c r="D547" s="10" t="str">
        <f ca="1">IFERROR(__xludf.DUMMYFUNCTION("""COMPUTED_VALUE"""),"Resolución de Transferencia")</f>
        <v>Resolución de Transferencia</v>
      </c>
      <c r="E547" s="26" t="str">
        <f ca="1">IFERROR(__xludf.DUMMYFUNCTION("""COMPUTED_VALUE"""),"MUNICIPALIDAD DE MOSTAZAL")</f>
        <v>MUNICIPALIDAD DE MOSTAZAL</v>
      </c>
      <c r="F547" s="11">
        <f ca="1">IFERROR(__xludf.DUMMYFUNCTION("""COMPUTED_VALUE"""),74728619)</f>
        <v>74728619</v>
      </c>
      <c r="G547" s="10" t="str">
        <f ca="1">IFERROR(__xludf.DUMMYFUNCTION("""COMPUTED_VALUE"""),"Resolución")</f>
        <v>Resolución</v>
      </c>
      <c r="H547" s="10" t="str">
        <f ca="1">IFERROR(__xludf.DUMMYFUNCTION("""COMPUTED_VALUE"""),"COMPENSACIÓN PREDIOS EXENTOS")</f>
        <v>COMPENSACIÓN PREDIOS EXENTOS</v>
      </c>
      <c r="I547" s="10" t="str">
        <f ca="1">IFERROR(__xludf.DUMMYFUNCTION("""COMPUTED_VALUE"""),"Cumplir con normativa y reglamentos internos del programa en base a los objetivos.")</f>
        <v>Cumplir con normativa y reglamentos internos del programa en base a los objetivos.</v>
      </c>
      <c r="J547" s="11">
        <f ca="1">IFERROR(__xludf.DUMMYFUNCTION("""COMPUTED_VALUE"""),74728619)</f>
        <v>74728619</v>
      </c>
      <c r="K547" s="27">
        <f ca="1">IFERROR(__xludf.DUMMYFUNCTION("""COMPUTED_VALUE"""),1)</f>
        <v>1</v>
      </c>
      <c r="L547" s="28" t="str">
        <f ca="1">IFERROR(__xludf.DUMMYFUNCTION("""COMPUTED_VALUE"""),"1/2024")</f>
        <v>1/2024</v>
      </c>
      <c r="M547" s="10" t="str">
        <f ca="1">IFERROR(__xludf.DUMMYFUNCTION("""COMPUTED_VALUE"""),"Predios Exentos")</f>
        <v>Predios Exentos</v>
      </c>
      <c r="N547" s="1"/>
      <c r="O547" s="1"/>
      <c r="P547" s="1"/>
      <c r="Q547" s="1"/>
      <c r="R547" s="1"/>
      <c r="S547" s="1"/>
      <c r="T547" s="1"/>
      <c r="U547" s="1"/>
      <c r="V547" s="1"/>
      <c r="W547" s="1"/>
      <c r="X547" s="1"/>
      <c r="Y547" s="1"/>
      <c r="Z547" s="1"/>
    </row>
    <row r="548" spans="1:26" ht="12.75" customHeight="1">
      <c r="A548" s="1"/>
      <c r="B548" s="10" t="str">
        <f ca="1">IFERROR(__xludf.DUMMYFUNCTION("""COMPUTED_VALUE"""),"Compensación Predios Exentos 2024")</f>
        <v>Compensación Predios Exentos 2024</v>
      </c>
      <c r="C548" s="26" t="str">
        <f t="shared" ca="1" si="0"/>
        <v xml:space="preserve"> DOÑIHUE</v>
      </c>
      <c r="D548" s="10" t="str">
        <f ca="1">IFERROR(__xludf.DUMMYFUNCTION("""COMPUTED_VALUE"""),"Resolución de Transferencia")</f>
        <v>Resolución de Transferencia</v>
      </c>
      <c r="E548" s="26" t="str">
        <f ca="1">IFERROR(__xludf.DUMMYFUNCTION("""COMPUTED_VALUE"""),"MUNICIPALIDAD DE DOÑIHUE")</f>
        <v>MUNICIPALIDAD DE DOÑIHUE</v>
      </c>
      <c r="F548" s="11">
        <f ca="1">IFERROR(__xludf.DUMMYFUNCTION("""COMPUTED_VALUE"""),72036710)</f>
        <v>72036710</v>
      </c>
      <c r="G548" s="10" t="str">
        <f ca="1">IFERROR(__xludf.DUMMYFUNCTION("""COMPUTED_VALUE"""),"Resolución")</f>
        <v>Resolución</v>
      </c>
      <c r="H548" s="10" t="str">
        <f ca="1">IFERROR(__xludf.DUMMYFUNCTION("""COMPUTED_VALUE"""),"COMPENSACIÓN PREDIOS EXENTOS")</f>
        <v>COMPENSACIÓN PREDIOS EXENTOS</v>
      </c>
      <c r="I548" s="10" t="str">
        <f ca="1">IFERROR(__xludf.DUMMYFUNCTION("""COMPUTED_VALUE"""),"Cumplir con normativa y reglamentos internos del programa en base a los objetivos.")</f>
        <v>Cumplir con normativa y reglamentos internos del programa en base a los objetivos.</v>
      </c>
      <c r="J548" s="11">
        <f ca="1">IFERROR(__xludf.DUMMYFUNCTION("""COMPUTED_VALUE"""),72036710)</f>
        <v>72036710</v>
      </c>
      <c r="K548" s="27">
        <f ca="1">IFERROR(__xludf.DUMMYFUNCTION("""COMPUTED_VALUE"""),1)</f>
        <v>1</v>
      </c>
      <c r="L548" s="28" t="str">
        <f ca="1">IFERROR(__xludf.DUMMYFUNCTION("""COMPUTED_VALUE"""),"1/2024")</f>
        <v>1/2024</v>
      </c>
      <c r="M548" s="10" t="str">
        <f ca="1">IFERROR(__xludf.DUMMYFUNCTION("""COMPUTED_VALUE"""),"Predios Exentos")</f>
        <v>Predios Exentos</v>
      </c>
      <c r="N548" s="1"/>
      <c r="O548" s="1"/>
      <c r="P548" s="1"/>
      <c r="Q548" s="1"/>
      <c r="R548" s="1"/>
      <c r="S548" s="1"/>
      <c r="T548" s="1"/>
      <c r="U548" s="1"/>
      <c r="V548" s="1"/>
      <c r="W548" s="1"/>
      <c r="X548" s="1"/>
      <c r="Y548" s="1"/>
      <c r="Z548" s="1"/>
    </row>
    <row r="549" spans="1:26" ht="12.75" customHeight="1">
      <c r="A549" s="1"/>
      <c r="B549" s="10" t="str">
        <f ca="1">IFERROR(__xludf.DUMMYFUNCTION("""COMPUTED_VALUE"""),"Compensación Predios Exentos 2024")</f>
        <v>Compensación Predios Exentos 2024</v>
      </c>
      <c r="C549" s="26" t="str">
        <f t="shared" ca="1" si="0"/>
        <v xml:space="preserve"> PICHIDEGUA</v>
      </c>
      <c r="D549" s="10" t="str">
        <f ca="1">IFERROR(__xludf.DUMMYFUNCTION("""COMPUTED_VALUE"""),"Resolución de Transferencia")</f>
        <v>Resolución de Transferencia</v>
      </c>
      <c r="E549" s="26" t="str">
        <f ca="1">IFERROR(__xludf.DUMMYFUNCTION("""COMPUTED_VALUE"""),"MUNICIPALIDAD DE PICHIDEGUA")</f>
        <v>MUNICIPALIDAD DE PICHIDEGUA</v>
      </c>
      <c r="F549" s="11">
        <f ca="1">IFERROR(__xludf.DUMMYFUNCTION("""COMPUTED_VALUE"""),77451234)</f>
        <v>77451234</v>
      </c>
      <c r="G549" s="10" t="str">
        <f ca="1">IFERROR(__xludf.DUMMYFUNCTION("""COMPUTED_VALUE"""),"Resolución")</f>
        <v>Resolución</v>
      </c>
      <c r="H549" s="10" t="str">
        <f ca="1">IFERROR(__xludf.DUMMYFUNCTION("""COMPUTED_VALUE"""),"COMPENSACIÓN PREDIOS EXENTOS")</f>
        <v>COMPENSACIÓN PREDIOS EXENTOS</v>
      </c>
      <c r="I549" s="10" t="str">
        <f ca="1">IFERROR(__xludf.DUMMYFUNCTION("""COMPUTED_VALUE"""),"Cumplir con normativa y reglamentos internos del programa en base a los objetivos.")</f>
        <v>Cumplir con normativa y reglamentos internos del programa en base a los objetivos.</v>
      </c>
      <c r="J549" s="11">
        <f ca="1">IFERROR(__xludf.DUMMYFUNCTION("""COMPUTED_VALUE"""),77451234)</f>
        <v>77451234</v>
      </c>
      <c r="K549" s="27">
        <f ca="1">IFERROR(__xludf.DUMMYFUNCTION("""COMPUTED_VALUE"""),1)</f>
        <v>1</v>
      </c>
      <c r="L549" s="28" t="str">
        <f ca="1">IFERROR(__xludf.DUMMYFUNCTION("""COMPUTED_VALUE"""),"1/2024")</f>
        <v>1/2024</v>
      </c>
      <c r="M549" s="10" t="str">
        <f ca="1">IFERROR(__xludf.DUMMYFUNCTION("""COMPUTED_VALUE"""),"Predios Exentos")</f>
        <v>Predios Exentos</v>
      </c>
      <c r="N549" s="1"/>
      <c r="O549" s="1"/>
      <c r="P549" s="1"/>
      <c r="Q549" s="1"/>
      <c r="R549" s="1"/>
      <c r="S549" s="1"/>
      <c r="T549" s="1"/>
      <c r="U549" s="1"/>
      <c r="V549" s="1"/>
      <c r="W549" s="1"/>
      <c r="X549" s="1"/>
      <c r="Y549" s="1"/>
      <c r="Z549" s="1"/>
    </row>
    <row r="550" spans="1:26" ht="12.75" customHeight="1">
      <c r="A550" s="1"/>
      <c r="B550" s="10" t="str">
        <f ca="1">IFERROR(__xludf.DUMMYFUNCTION("""COMPUTED_VALUE"""),"Compensación Predios Exentos 2024")</f>
        <v>Compensación Predios Exentos 2024</v>
      </c>
      <c r="C550" s="26" t="str">
        <f t="shared" ca="1" si="0"/>
        <v xml:space="preserve"> RENGO</v>
      </c>
      <c r="D550" s="10" t="str">
        <f ca="1">IFERROR(__xludf.DUMMYFUNCTION("""COMPUTED_VALUE"""),"Resolución de Transferencia")</f>
        <v>Resolución de Transferencia</v>
      </c>
      <c r="E550" s="26" t="str">
        <f ca="1">IFERROR(__xludf.DUMMYFUNCTION("""COMPUTED_VALUE"""),"MUNICIPALIDAD DE RENGO")</f>
        <v>MUNICIPALIDAD DE RENGO</v>
      </c>
      <c r="F550" s="11">
        <f ca="1">IFERROR(__xludf.DUMMYFUNCTION("""COMPUTED_VALUE"""),213837871)</f>
        <v>213837871</v>
      </c>
      <c r="G550" s="10" t="str">
        <f ca="1">IFERROR(__xludf.DUMMYFUNCTION("""COMPUTED_VALUE"""),"Resolución")</f>
        <v>Resolución</v>
      </c>
      <c r="H550" s="10" t="str">
        <f ca="1">IFERROR(__xludf.DUMMYFUNCTION("""COMPUTED_VALUE"""),"COMPENSACIÓN PREDIOS EXENTOS")</f>
        <v>COMPENSACIÓN PREDIOS EXENTOS</v>
      </c>
      <c r="I550" s="10" t="str">
        <f ca="1">IFERROR(__xludf.DUMMYFUNCTION("""COMPUTED_VALUE"""),"Cumplir con normativa y reglamentos internos del programa en base a los objetivos.")</f>
        <v>Cumplir con normativa y reglamentos internos del programa en base a los objetivos.</v>
      </c>
      <c r="J550" s="11">
        <f ca="1">IFERROR(__xludf.DUMMYFUNCTION("""COMPUTED_VALUE"""),213837871)</f>
        <v>213837871</v>
      </c>
      <c r="K550" s="27">
        <f ca="1">IFERROR(__xludf.DUMMYFUNCTION("""COMPUTED_VALUE"""),1)</f>
        <v>1</v>
      </c>
      <c r="L550" s="28" t="str">
        <f ca="1">IFERROR(__xludf.DUMMYFUNCTION("""COMPUTED_VALUE"""),"1/2024")</f>
        <v>1/2024</v>
      </c>
      <c r="M550" s="10" t="str">
        <f ca="1">IFERROR(__xludf.DUMMYFUNCTION("""COMPUTED_VALUE"""),"Predios Exentos")</f>
        <v>Predios Exentos</v>
      </c>
      <c r="N550" s="1"/>
      <c r="O550" s="1"/>
      <c r="P550" s="1"/>
      <c r="Q550" s="1"/>
      <c r="R550" s="1"/>
      <c r="S550" s="1"/>
      <c r="T550" s="1"/>
      <c r="U550" s="1"/>
      <c r="V550" s="1"/>
      <c r="W550" s="1"/>
      <c r="X550" s="1"/>
      <c r="Y550" s="1"/>
      <c r="Z550" s="1"/>
    </row>
    <row r="551" spans="1:26" ht="12.75" customHeight="1">
      <c r="A551" s="1"/>
      <c r="B551" s="10" t="str">
        <f ca="1">IFERROR(__xludf.DUMMYFUNCTION("""COMPUTED_VALUE"""),"Compensación Predios Exentos 2024")</f>
        <v>Compensación Predios Exentos 2024</v>
      </c>
      <c r="C551" s="26" t="str">
        <f t="shared" ca="1" si="0"/>
        <v xml:space="preserve"> OLIVAR</v>
      </c>
      <c r="D551" s="10" t="str">
        <f ca="1">IFERROR(__xludf.DUMMYFUNCTION("""COMPUTED_VALUE"""),"Resolución de Transferencia")</f>
        <v>Resolución de Transferencia</v>
      </c>
      <c r="E551" s="26" t="str">
        <f ca="1">IFERROR(__xludf.DUMMYFUNCTION("""COMPUTED_VALUE"""),"MUNICIPALIDAD DE OLIVAR")</f>
        <v>MUNICIPALIDAD DE OLIVAR</v>
      </c>
      <c r="F551" s="11">
        <f ca="1">IFERROR(__xludf.DUMMYFUNCTION("""COMPUTED_VALUE"""),30829010)</f>
        <v>30829010</v>
      </c>
      <c r="G551" s="10" t="str">
        <f ca="1">IFERROR(__xludf.DUMMYFUNCTION("""COMPUTED_VALUE"""),"Resolución")</f>
        <v>Resolución</v>
      </c>
      <c r="H551" s="10" t="str">
        <f ca="1">IFERROR(__xludf.DUMMYFUNCTION("""COMPUTED_VALUE"""),"COMPENSACIÓN PREDIOS EXENTOS")</f>
        <v>COMPENSACIÓN PREDIOS EXENTOS</v>
      </c>
      <c r="I551" s="10" t="str">
        <f ca="1">IFERROR(__xludf.DUMMYFUNCTION("""COMPUTED_VALUE"""),"Cumplir con normativa y reglamentos internos del programa en base a los objetivos.")</f>
        <v>Cumplir con normativa y reglamentos internos del programa en base a los objetivos.</v>
      </c>
      <c r="J551" s="11">
        <f ca="1">IFERROR(__xludf.DUMMYFUNCTION("""COMPUTED_VALUE"""),30829010)</f>
        <v>30829010</v>
      </c>
      <c r="K551" s="27">
        <f ca="1">IFERROR(__xludf.DUMMYFUNCTION("""COMPUTED_VALUE"""),1)</f>
        <v>1</v>
      </c>
      <c r="L551" s="28" t="str">
        <f ca="1">IFERROR(__xludf.DUMMYFUNCTION("""COMPUTED_VALUE"""),"1/2024")</f>
        <v>1/2024</v>
      </c>
      <c r="M551" s="10" t="str">
        <f ca="1">IFERROR(__xludf.DUMMYFUNCTION("""COMPUTED_VALUE"""),"Predios Exentos")</f>
        <v>Predios Exentos</v>
      </c>
      <c r="N551" s="1"/>
      <c r="O551" s="1"/>
      <c r="P551" s="1"/>
      <c r="Q551" s="1"/>
      <c r="R551" s="1"/>
      <c r="S551" s="1"/>
      <c r="T551" s="1"/>
      <c r="U551" s="1"/>
      <c r="V551" s="1"/>
      <c r="W551" s="1"/>
      <c r="X551" s="1"/>
      <c r="Y551" s="1"/>
      <c r="Z551" s="1"/>
    </row>
    <row r="552" spans="1:26" ht="12.75" customHeight="1">
      <c r="A552" s="1"/>
      <c r="B552" s="10" t="str">
        <f ca="1">IFERROR(__xludf.DUMMYFUNCTION("""COMPUTED_VALUE"""),"Compensación Predios Exentos 2024")</f>
        <v>Compensación Predios Exentos 2024</v>
      </c>
      <c r="C552" s="26" t="str">
        <f t="shared" ca="1" si="0"/>
        <v xml:space="preserve"> MALLOA</v>
      </c>
      <c r="D552" s="10" t="str">
        <f ca="1">IFERROR(__xludf.DUMMYFUNCTION("""COMPUTED_VALUE"""),"Resolución de Transferencia")</f>
        <v>Resolución de Transferencia</v>
      </c>
      <c r="E552" s="26" t="str">
        <f ca="1">IFERROR(__xludf.DUMMYFUNCTION("""COMPUTED_VALUE"""),"MUNICIPALIDAD DE MALLOA")</f>
        <v>MUNICIPALIDAD DE MALLOA</v>
      </c>
      <c r="F552" s="11">
        <f ca="1">IFERROR(__xludf.DUMMYFUNCTION("""COMPUTED_VALUE"""),53080758)</f>
        <v>53080758</v>
      </c>
      <c r="G552" s="10" t="str">
        <f ca="1">IFERROR(__xludf.DUMMYFUNCTION("""COMPUTED_VALUE"""),"Resolución")</f>
        <v>Resolución</v>
      </c>
      <c r="H552" s="10" t="str">
        <f ca="1">IFERROR(__xludf.DUMMYFUNCTION("""COMPUTED_VALUE"""),"COMPENSACIÓN PREDIOS EXENTOS")</f>
        <v>COMPENSACIÓN PREDIOS EXENTOS</v>
      </c>
      <c r="I552" s="10" t="str">
        <f ca="1">IFERROR(__xludf.DUMMYFUNCTION("""COMPUTED_VALUE"""),"Cumplir con normativa y reglamentos internos del programa en base a los objetivos.")</f>
        <v>Cumplir con normativa y reglamentos internos del programa en base a los objetivos.</v>
      </c>
      <c r="J552" s="11">
        <f ca="1">IFERROR(__xludf.DUMMYFUNCTION("""COMPUTED_VALUE"""),53080758)</f>
        <v>53080758</v>
      </c>
      <c r="K552" s="27">
        <f ca="1">IFERROR(__xludf.DUMMYFUNCTION("""COMPUTED_VALUE"""),1)</f>
        <v>1</v>
      </c>
      <c r="L552" s="28" t="str">
        <f ca="1">IFERROR(__xludf.DUMMYFUNCTION("""COMPUTED_VALUE"""),"1/2024")</f>
        <v>1/2024</v>
      </c>
      <c r="M552" s="10" t="str">
        <f ca="1">IFERROR(__xludf.DUMMYFUNCTION("""COMPUTED_VALUE"""),"Predios Exentos")</f>
        <v>Predios Exentos</v>
      </c>
      <c r="N552" s="1"/>
      <c r="O552" s="1"/>
      <c r="P552" s="1"/>
      <c r="Q552" s="1"/>
      <c r="R552" s="1"/>
      <c r="S552" s="1"/>
      <c r="T552" s="1"/>
      <c r="U552" s="1"/>
      <c r="V552" s="1"/>
      <c r="W552" s="1"/>
      <c r="X552" s="1"/>
      <c r="Y552" s="1"/>
      <c r="Z552" s="1"/>
    </row>
    <row r="553" spans="1:26" ht="12.75" customHeight="1">
      <c r="A553" s="1"/>
      <c r="B553" s="10" t="str">
        <f ca="1">IFERROR(__xludf.DUMMYFUNCTION("""COMPUTED_VALUE"""),"Compensación Predios Exentos 2024")</f>
        <v>Compensación Predios Exentos 2024</v>
      </c>
      <c r="C553" s="26" t="str">
        <f t="shared" ca="1" si="0"/>
        <v xml:space="preserve"> QUINTA DE TILCOCO</v>
      </c>
      <c r="D553" s="10" t="str">
        <f ca="1">IFERROR(__xludf.DUMMYFUNCTION("""COMPUTED_VALUE"""),"Resolución de Transferencia")</f>
        <v>Resolución de Transferencia</v>
      </c>
      <c r="E553" s="26" t="str">
        <f ca="1">IFERROR(__xludf.DUMMYFUNCTION("""COMPUTED_VALUE"""),"MUNICIPALIDAD DE QUINTA DE TILCOCO")</f>
        <v>MUNICIPALIDAD DE QUINTA DE TILCOCO</v>
      </c>
      <c r="F553" s="11">
        <f ca="1">IFERROR(__xludf.DUMMYFUNCTION("""COMPUTED_VALUE"""),49048013)</f>
        <v>49048013</v>
      </c>
      <c r="G553" s="10" t="str">
        <f ca="1">IFERROR(__xludf.DUMMYFUNCTION("""COMPUTED_VALUE"""),"Resolución")</f>
        <v>Resolución</v>
      </c>
      <c r="H553" s="10" t="str">
        <f ca="1">IFERROR(__xludf.DUMMYFUNCTION("""COMPUTED_VALUE"""),"COMPENSACIÓN PREDIOS EXENTOS")</f>
        <v>COMPENSACIÓN PREDIOS EXENTOS</v>
      </c>
      <c r="I553" s="10" t="str">
        <f ca="1">IFERROR(__xludf.DUMMYFUNCTION("""COMPUTED_VALUE"""),"Cumplir con normativa y reglamentos internos del programa en base a los objetivos.")</f>
        <v>Cumplir con normativa y reglamentos internos del programa en base a los objetivos.</v>
      </c>
      <c r="J553" s="11">
        <f ca="1">IFERROR(__xludf.DUMMYFUNCTION("""COMPUTED_VALUE"""),49048013)</f>
        <v>49048013</v>
      </c>
      <c r="K553" s="27">
        <f ca="1">IFERROR(__xludf.DUMMYFUNCTION("""COMPUTED_VALUE"""),1)</f>
        <v>1</v>
      </c>
      <c r="L553" s="28" t="str">
        <f ca="1">IFERROR(__xludf.DUMMYFUNCTION("""COMPUTED_VALUE"""),"1/2024")</f>
        <v>1/2024</v>
      </c>
      <c r="M553" s="10" t="str">
        <f ca="1">IFERROR(__xludf.DUMMYFUNCTION("""COMPUTED_VALUE"""),"Predios Exentos")</f>
        <v>Predios Exentos</v>
      </c>
      <c r="N553" s="1"/>
      <c r="O553" s="1"/>
      <c r="P553" s="1"/>
      <c r="Q553" s="1"/>
      <c r="R553" s="1"/>
      <c r="S553" s="1"/>
      <c r="T553" s="1"/>
      <c r="U553" s="1"/>
      <c r="V553" s="1"/>
      <c r="W553" s="1"/>
      <c r="X553" s="1"/>
      <c r="Y553" s="1"/>
      <c r="Z553" s="1"/>
    </row>
    <row r="554" spans="1:26" ht="12.75" customHeight="1">
      <c r="A554" s="1"/>
      <c r="B554" s="10" t="str">
        <f ca="1">IFERROR(__xludf.DUMMYFUNCTION("""COMPUTED_VALUE"""),"Compensación Predios Exentos 2024")</f>
        <v>Compensación Predios Exentos 2024</v>
      </c>
      <c r="C554" s="26" t="str">
        <f t="shared" ca="1" si="0"/>
        <v xml:space="preserve"> PLACILLA</v>
      </c>
      <c r="D554" s="10" t="str">
        <f ca="1">IFERROR(__xludf.DUMMYFUNCTION("""COMPUTED_VALUE"""),"Resolución de Transferencia")</f>
        <v>Resolución de Transferencia</v>
      </c>
      <c r="E554" s="26" t="str">
        <f ca="1">IFERROR(__xludf.DUMMYFUNCTION("""COMPUTED_VALUE"""),"MUNICIPALIDAD DE PLACILLA")</f>
        <v>MUNICIPALIDAD DE PLACILLA</v>
      </c>
      <c r="F554" s="11">
        <f ca="1">IFERROR(__xludf.DUMMYFUNCTION("""COMPUTED_VALUE"""),29866882)</f>
        <v>29866882</v>
      </c>
      <c r="G554" s="10" t="str">
        <f ca="1">IFERROR(__xludf.DUMMYFUNCTION("""COMPUTED_VALUE"""),"Resolución")</f>
        <v>Resolución</v>
      </c>
      <c r="H554" s="10" t="str">
        <f ca="1">IFERROR(__xludf.DUMMYFUNCTION("""COMPUTED_VALUE"""),"COMPENSACIÓN PREDIOS EXENTOS")</f>
        <v>COMPENSACIÓN PREDIOS EXENTOS</v>
      </c>
      <c r="I554" s="10" t="str">
        <f ca="1">IFERROR(__xludf.DUMMYFUNCTION("""COMPUTED_VALUE"""),"Cumplir con normativa y reglamentos internos del programa en base a los objetivos.")</f>
        <v>Cumplir con normativa y reglamentos internos del programa en base a los objetivos.</v>
      </c>
      <c r="J554" s="11">
        <f ca="1">IFERROR(__xludf.DUMMYFUNCTION("""COMPUTED_VALUE"""),29866882)</f>
        <v>29866882</v>
      </c>
      <c r="K554" s="27">
        <f ca="1">IFERROR(__xludf.DUMMYFUNCTION("""COMPUTED_VALUE"""),1)</f>
        <v>1</v>
      </c>
      <c r="L554" s="28" t="str">
        <f ca="1">IFERROR(__xludf.DUMMYFUNCTION("""COMPUTED_VALUE"""),"1/2024")</f>
        <v>1/2024</v>
      </c>
      <c r="M554" s="10" t="str">
        <f ca="1">IFERROR(__xludf.DUMMYFUNCTION("""COMPUTED_VALUE"""),"Predios Exentos")</f>
        <v>Predios Exentos</v>
      </c>
      <c r="N554" s="1"/>
      <c r="O554" s="1"/>
      <c r="P554" s="1"/>
      <c r="Q554" s="1"/>
      <c r="R554" s="1"/>
      <c r="S554" s="1"/>
      <c r="T554" s="1"/>
      <c r="U554" s="1"/>
      <c r="V554" s="1"/>
      <c r="W554" s="1"/>
      <c r="X554" s="1"/>
      <c r="Y554" s="1"/>
      <c r="Z554" s="1"/>
    </row>
    <row r="555" spans="1:26" ht="12.75" customHeight="1">
      <c r="A555" s="1"/>
      <c r="B555" s="10" t="str">
        <f ca="1">IFERROR(__xludf.DUMMYFUNCTION("""COMPUTED_VALUE"""),"Compensación Predios Exentos 2024")</f>
        <v>Compensación Predios Exentos 2024</v>
      </c>
      <c r="C555" s="26" t="str">
        <f t="shared" ca="1" si="0"/>
        <v xml:space="preserve"> NANCAGUA</v>
      </c>
      <c r="D555" s="10" t="str">
        <f ca="1">IFERROR(__xludf.DUMMYFUNCTION("""COMPUTED_VALUE"""),"Resolución de Transferencia")</f>
        <v>Resolución de Transferencia</v>
      </c>
      <c r="E555" s="26" t="str">
        <f ca="1">IFERROR(__xludf.DUMMYFUNCTION("""COMPUTED_VALUE"""),"MUNICIPALIDAD DE NANCAGUA")</f>
        <v>MUNICIPALIDAD DE NANCAGUA</v>
      </c>
      <c r="F555" s="11">
        <f ca="1">IFERROR(__xludf.DUMMYFUNCTION("""COMPUTED_VALUE"""),63367330)</f>
        <v>63367330</v>
      </c>
      <c r="G555" s="10" t="str">
        <f ca="1">IFERROR(__xludf.DUMMYFUNCTION("""COMPUTED_VALUE"""),"Resolución")</f>
        <v>Resolución</v>
      </c>
      <c r="H555" s="10" t="str">
        <f ca="1">IFERROR(__xludf.DUMMYFUNCTION("""COMPUTED_VALUE"""),"COMPENSACIÓN PREDIOS EXENTOS")</f>
        <v>COMPENSACIÓN PREDIOS EXENTOS</v>
      </c>
      <c r="I555" s="10" t="str">
        <f ca="1">IFERROR(__xludf.DUMMYFUNCTION("""COMPUTED_VALUE"""),"Cumplir con normativa y reglamentos internos del programa en base a los objetivos.")</f>
        <v>Cumplir con normativa y reglamentos internos del programa en base a los objetivos.</v>
      </c>
      <c r="J555" s="11">
        <f ca="1">IFERROR(__xludf.DUMMYFUNCTION("""COMPUTED_VALUE"""),63367330)</f>
        <v>63367330</v>
      </c>
      <c r="K555" s="27">
        <f ca="1">IFERROR(__xludf.DUMMYFUNCTION("""COMPUTED_VALUE"""),1)</f>
        <v>1</v>
      </c>
      <c r="L555" s="28" t="str">
        <f ca="1">IFERROR(__xludf.DUMMYFUNCTION("""COMPUTED_VALUE"""),"1/2024")</f>
        <v>1/2024</v>
      </c>
      <c r="M555" s="10" t="str">
        <f ca="1">IFERROR(__xludf.DUMMYFUNCTION("""COMPUTED_VALUE"""),"Predios Exentos")</f>
        <v>Predios Exentos</v>
      </c>
      <c r="N555" s="1"/>
      <c r="O555" s="1"/>
      <c r="P555" s="1"/>
      <c r="Q555" s="1"/>
      <c r="R555" s="1"/>
      <c r="S555" s="1"/>
      <c r="T555" s="1"/>
      <c r="U555" s="1"/>
      <c r="V555" s="1"/>
      <c r="W555" s="1"/>
      <c r="X555" s="1"/>
      <c r="Y555" s="1"/>
      <c r="Z555" s="1"/>
    </row>
    <row r="556" spans="1:26" ht="12.75" customHeight="1">
      <c r="A556" s="1"/>
      <c r="B556" s="10" t="str">
        <f ca="1">IFERROR(__xludf.DUMMYFUNCTION("""COMPUTED_VALUE"""),"Compensación Predios Exentos 2024")</f>
        <v>Compensación Predios Exentos 2024</v>
      </c>
      <c r="C556" s="26" t="str">
        <f t="shared" ca="1" si="0"/>
        <v xml:space="preserve"> CHÉPICA</v>
      </c>
      <c r="D556" s="10" t="str">
        <f ca="1">IFERROR(__xludf.DUMMYFUNCTION("""COMPUTED_VALUE"""),"Resolución de Transferencia")</f>
        <v>Resolución de Transferencia</v>
      </c>
      <c r="E556" s="26" t="str">
        <f ca="1">IFERROR(__xludf.DUMMYFUNCTION("""COMPUTED_VALUE"""),"MUNICIPALIDAD DE CHÉPICA")</f>
        <v>MUNICIPALIDAD DE CHÉPICA</v>
      </c>
      <c r="F556" s="11">
        <f ca="1">IFERROR(__xludf.DUMMYFUNCTION("""COMPUTED_VALUE"""),67625254)</f>
        <v>67625254</v>
      </c>
      <c r="G556" s="10" t="str">
        <f ca="1">IFERROR(__xludf.DUMMYFUNCTION("""COMPUTED_VALUE"""),"Resolución")</f>
        <v>Resolución</v>
      </c>
      <c r="H556" s="10" t="str">
        <f ca="1">IFERROR(__xludf.DUMMYFUNCTION("""COMPUTED_VALUE"""),"COMPENSACIÓN PREDIOS EXENTOS")</f>
        <v>COMPENSACIÓN PREDIOS EXENTOS</v>
      </c>
      <c r="I556" s="10" t="str">
        <f ca="1">IFERROR(__xludf.DUMMYFUNCTION("""COMPUTED_VALUE"""),"Cumplir con normativa y reglamentos internos del programa en base a los objetivos.")</f>
        <v>Cumplir con normativa y reglamentos internos del programa en base a los objetivos.</v>
      </c>
      <c r="J556" s="11">
        <f ca="1">IFERROR(__xludf.DUMMYFUNCTION("""COMPUTED_VALUE"""),67625254)</f>
        <v>67625254</v>
      </c>
      <c r="K556" s="27">
        <f ca="1">IFERROR(__xludf.DUMMYFUNCTION("""COMPUTED_VALUE"""),1)</f>
        <v>1</v>
      </c>
      <c r="L556" s="28" t="str">
        <f ca="1">IFERROR(__xludf.DUMMYFUNCTION("""COMPUTED_VALUE"""),"1/2024")</f>
        <v>1/2024</v>
      </c>
      <c r="M556" s="10" t="str">
        <f ca="1">IFERROR(__xludf.DUMMYFUNCTION("""COMPUTED_VALUE"""),"Predios Exentos")</f>
        <v>Predios Exentos</v>
      </c>
      <c r="N556" s="1"/>
      <c r="O556" s="1"/>
      <c r="P556" s="1"/>
      <c r="Q556" s="1"/>
      <c r="R556" s="1"/>
      <c r="S556" s="1"/>
      <c r="T556" s="1"/>
      <c r="U556" s="1"/>
      <c r="V556" s="1"/>
      <c r="W556" s="1"/>
      <c r="X556" s="1"/>
      <c r="Y556" s="1"/>
      <c r="Z556" s="1"/>
    </row>
    <row r="557" spans="1:26" ht="12.75" customHeight="1">
      <c r="A557" s="1"/>
      <c r="B557" s="10" t="str">
        <f ca="1">IFERROR(__xludf.DUMMYFUNCTION("""COMPUTED_VALUE"""),"Compensación Predios Exentos 2024")</f>
        <v>Compensación Predios Exentos 2024</v>
      </c>
      <c r="C557" s="26" t="str">
        <f t="shared" ca="1" si="0"/>
        <v xml:space="preserve"> LA ESTRELLA</v>
      </c>
      <c r="D557" s="10" t="str">
        <f ca="1">IFERROR(__xludf.DUMMYFUNCTION("""COMPUTED_VALUE"""),"Resolución de Transferencia")</f>
        <v>Resolución de Transferencia</v>
      </c>
      <c r="E557" s="26" t="str">
        <f ca="1">IFERROR(__xludf.DUMMYFUNCTION("""COMPUTED_VALUE"""),"MUNICIPALIDAD DE LA ESTRELLA")</f>
        <v>MUNICIPALIDAD DE LA ESTRELLA</v>
      </c>
      <c r="F557" s="11">
        <f ca="1">IFERROR(__xludf.DUMMYFUNCTION("""COMPUTED_VALUE"""),19692900)</f>
        <v>19692900</v>
      </c>
      <c r="G557" s="10" t="str">
        <f ca="1">IFERROR(__xludf.DUMMYFUNCTION("""COMPUTED_VALUE"""),"Resolución")</f>
        <v>Resolución</v>
      </c>
      <c r="H557" s="10" t="str">
        <f ca="1">IFERROR(__xludf.DUMMYFUNCTION("""COMPUTED_VALUE"""),"COMPENSACIÓN PREDIOS EXENTOS")</f>
        <v>COMPENSACIÓN PREDIOS EXENTOS</v>
      </c>
      <c r="I557" s="10" t="str">
        <f ca="1">IFERROR(__xludf.DUMMYFUNCTION("""COMPUTED_VALUE"""),"Cumplir con normativa y reglamentos internos del programa en base a los objetivos.")</f>
        <v>Cumplir con normativa y reglamentos internos del programa en base a los objetivos.</v>
      </c>
      <c r="J557" s="11">
        <f ca="1">IFERROR(__xludf.DUMMYFUNCTION("""COMPUTED_VALUE"""),19692900)</f>
        <v>19692900</v>
      </c>
      <c r="K557" s="27">
        <f ca="1">IFERROR(__xludf.DUMMYFUNCTION("""COMPUTED_VALUE"""),1)</f>
        <v>1</v>
      </c>
      <c r="L557" s="28" t="str">
        <f ca="1">IFERROR(__xludf.DUMMYFUNCTION("""COMPUTED_VALUE"""),"1/2024")</f>
        <v>1/2024</v>
      </c>
      <c r="M557" s="10" t="str">
        <f ca="1">IFERROR(__xludf.DUMMYFUNCTION("""COMPUTED_VALUE"""),"Predios Exentos")</f>
        <v>Predios Exentos</v>
      </c>
      <c r="N557" s="1"/>
      <c r="O557" s="1"/>
      <c r="P557" s="1"/>
      <c r="Q557" s="1"/>
      <c r="R557" s="1"/>
      <c r="S557" s="1"/>
      <c r="T557" s="1"/>
      <c r="U557" s="1"/>
      <c r="V557" s="1"/>
      <c r="W557" s="1"/>
      <c r="X557" s="1"/>
      <c r="Y557" s="1"/>
      <c r="Z557" s="1"/>
    </row>
    <row r="558" spans="1:26" ht="12.75" customHeight="1">
      <c r="A558" s="1"/>
      <c r="B558" s="10" t="str">
        <f ca="1">IFERROR(__xludf.DUMMYFUNCTION("""COMPUTED_VALUE"""),"Compensación Predios Exentos 2024")</f>
        <v>Compensación Predios Exentos 2024</v>
      </c>
      <c r="C558" s="26" t="str">
        <f t="shared" ca="1" si="0"/>
        <v xml:space="preserve"> HUALAÑÉ</v>
      </c>
      <c r="D558" s="10" t="str">
        <f ca="1">IFERROR(__xludf.DUMMYFUNCTION("""COMPUTED_VALUE"""),"Resolución de Transferencia")</f>
        <v>Resolución de Transferencia</v>
      </c>
      <c r="E558" s="26" t="str">
        <f ca="1">IFERROR(__xludf.DUMMYFUNCTION("""COMPUTED_VALUE"""),"MUNICIPALIDAD DE HUALAÑÉ")</f>
        <v>MUNICIPALIDAD DE HUALAÑÉ</v>
      </c>
      <c r="F558" s="11">
        <f ca="1">IFERROR(__xludf.DUMMYFUNCTION("""COMPUTED_VALUE"""),62006023)</f>
        <v>62006023</v>
      </c>
      <c r="G558" s="10" t="str">
        <f ca="1">IFERROR(__xludf.DUMMYFUNCTION("""COMPUTED_VALUE"""),"Resolución")</f>
        <v>Resolución</v>
      </c>
      <c r="H558" s="10" t="str">
        <f ca="1">IFERROR(__xludf.DUMMYFUNCTION("""COMPUTED_VALUE"""),"COMPENSACIÓN PREDIOS EXENTOS")</f>
        <v>COMPENSACIÓN PREDIOS EXENTOS</v>
      </c>
      <c r="I558" s="10" t="str">
        <f ca="1">IFERROR(__xludf.DUMMYFUNCTION("""COMPUTED_VALUE"""),"Cumplir con normativa y reglamentos internos del programa en base a los objetivos.")</f>
        <v>Cumplir con normativa y reglamentos internos del programa en base a los objetivos.</v>
      </c>
      <c r="J558" s="11">
        <f ca="1">IFERROR(__xludf.DUMMYFUNCTION("""COMPUTED_VALUE"""),62006023)</f>
        <v>62006023</v>
      </c>
      <c r="K558" s="27">
        <f ca="1">IFERROR(__xludf.DUMMYFUNCTION("""COMPUTED_VALUE"""),1)</f>
        <v>1</v>
      </c>
      <c r="L558" s="28" t="str">
        <f ca="1">IFERROR(__xludf.DUMMYFUNCTION("""COMPUTED_VALUE"""),"1/2024")</f>
        <v>1/2024</v>
      </c>
      <c r="M558" s="10" t="str">
        <f ca="1">IFERROR(__xludf.DUMMYFUNCTION("""COMPUTED_VALUE"""),"Predios Exentos")</f>
        <v>Predios Exentos</v>
      </c>
      <c r="N558" s="1"/>
      <c r="O558" s="1"/>
      <c r="P558" s="1"/>
      <c r="Q558" s="1"/>
      <c r="R558" s="1"/>
      <c r="S558" s="1"/>
      <c r="T558" s="1"/>
      <c r="U558" s="1"/>
      <c r="V558" s="1"/>
      <c r="W558" s="1"/>
      <c r="X558" s="1"/>
      <c r="Y558" s="1"/>
      <c r="Z558" s="1"/>
    </row>
    <row r="559" spans="1:26" ht="12.75" customHeight="1">
      <c r="A559" s="1"/>
      <c r="B559" s="10" t="str">
        <f ca="1">IFERROR(__xludf.DUMMYFUNCTION("""COMPUTED_VALUE"""),"Compensación Predios Exentos 2024")</f>
        <v>Compensación Predios Exentos 2024</v>
      </c>
      <c r="C559" s="26" t="str">
        <f t="shared" ca="1" si="0"/>
        <v xml:space="preserve"> PELARCO</v>
      </c>
      <c r="D559" s="10" t="str">
        <f ca="1">IFERROR(__xludf.DUMMYFUNCTION("""COMPUTED_VALUE"""),"Resolución de Transferencia")</f>
        <v>Resolución de Transferencia</v>
      </c>
      <c r="E559" s="26" t="str">
        <f ca="1">IFERROR(__xludf.DUMMYFUNCTION("""COMPUTED_VALUE"""),"MUNICIPALIDAD DE PELARCO")</f>
        <v>MUNICIPALIDAD DE PELARCO</v>
      </c>
      <c r="F559" s="11">
        <f ca="1">IFERROR(__xludf.DUMMYFUNCTION("""COMPUTED_VALUE"""),41883236)</f>
        <v>41883236</v>
      </c>
      <c r="G559" s="10" t="str">
        <f ca="1">IFERROR(__xludf.DUMMYFUNCTION("""COMPUTED_VALUE"""),"Resolución")</f>
        <v>Resolución</v>
      </c>
      <c r="H559" s="10" t="str">
        <f ca="1">IFERROR(__xludf.DUMMYFUNCTION("""COMPUTED_VALUE"""),"COMPENSACIÓN PREDIOS EXENTOS")</f>
        <v>COMPENSACIÓN PREDIOS EXENTOS</v>
      </c>
      <c r="I559" s="10" t="str">
        <f ca="1">IFERROR(__xludf.DUMMYFUNCTION("""COMPUTED_VALUE"""),"Cumplir con normativa y reglamentos internos del programa en base a los objetivos.")</f>
        <v>Cumplir con normativa y reglamentos internos del programa en base a los objetivos.</v>
      </c>
      <c r="J559" s="11">
        <f ca="1">IFERROR(__xludf.DUMMYFUNCTION("""COMPUTED_VALUE"""),41883236)</f>
        <v>41883236</v>
      </c>
      <c r="K559" s="27">
        <f ca="1">IFERROR(__xludf.DUMMYFUNCTION("""COMPUTED_VALUE"""),1)</f>
        <v>1</v>
      </c>
      <c r="L559" s="28" t="str">
        <f ca="1">IFERROR(__xludf.DUMMYFUNCTION("""COMPUTED_VALUE"""),"1/2024")</f>
        <v>1/2024</v>
      </c>
      <c r="M559" s="10" t="str">
        <f ca="1">IFERROR(__xludf.DUMMYFUNCTION("""COMPUTED_VALUE"""),"Predios Exentos")</f>
        <v>Predios Exentos</v>
      </c>
      <c r="N559" s="1"/>
      <c r="O559" s="1"/>
      <c r="P559" s="1"/>
      <c r="Q559" s="1"/>
      <c r="R559" s="1"/>
      <c r="S559" s="1"/>
      <c r="T559" s="1"/>
      <c r="U559" s="1"/>
      <c r="V559" s="1"/>
      <c r="W559" s="1"/>
      <c r="X559" s="1"/>
      <c r="Y559" s="1"/>
      <c r="Z559" s="1"/>
    </row>
    <row r="560" spans="1:26" ht="12.75" customHeight="1">
      <c r="A560" s="1"/>
      <c r="B560" s="10" t="str">
        <f ca="1">IFERROR(__xludf.DUMMYFUNCTION("""COMPUTED_VALUE"""),"Compensación Predios Exentos 2024")</f>
        <v>Compensación Predios Exentos 2024</v>
      </c>
      <c r="C560" s="26" t="str">
        <f t="shared" ca="1" si="0"/>
        <v xml:space="preserve"> RÍO CLARO</v>
      </c>
      <c r="D560" s="10" t="str">
        <f ca="1">IFERROR(__xludf.DUMMYFUNCTION("""COMPUTED_VALUE"""),"Resolución de Transferencia")</f>
        <v>Resolución de Transferencia</v>
      </c>
      <c r="E560" s="26" t="str">
        <f ca="1">IFERROR(__xludf.DUMMYFUNCTION("""COMPUTED_VALUE"""),"MUNICIPALIDAD DE RÍO CLARO")</f>
        <v>MUNICIPALIDAD DE RÍO CLARO</v>
      </c>
      <c r="F560" s="11">
        <f ca="1">IFERROR(__xludf.DUMMYFUNCTION("""COMPUTED_VALUE"""),58280339)</f>
        <v>58280339</v>
      </c>
      <c r="G560" s="10" t="str">
        <f ca="1">IFERROR(__xludf.DUMMYFUNCTION("""COMPUTED_VALUE"""),"Resolución")</f>
        <v>Resolución</v>
      </c>
      <c r="H560" s="10" t="str">
        <f ca="1">IFERROR(__xludf.DUMMYFUNCTION("""COMPUTED_VALUE"""),"COMPENSACIÓN PREDIOS EXENTOS")</f>
        <v>COMPENSACIÓN PREDIOS EXENTOS</v>
      </c>
      <c r="I560" s="10" t="str">
        <f ca="1">IFERROR(__xludf.DUMMYFUNCTION("""COMPUTED_VALUE"""),"Cumplir con normativa y reglamentos internos del programa en base a los objetivos.")</f>
        <v>Cumplir con normativa y reglamentos internos del programa en base a los objetivos.</v>
      </c>
      <c r="J560" s="11">
        <f ca="1">IFERROR(__xludf.DUMMYFUNCTION("""COMPUTED_VALUE"""),58280339)</f>
        <v>58280339</v>
      </c>
      <c r="K560" s="27">
        <f ca="1">IFERROR(__xludf.DUMMYFUNCTION("""COMPUTED_VALUE"""),1)</f>
        <v>1</v>
      </c>
      <c r="L560" s="28" t="str">
        <f ca="1">IFERROR(__xludf.DUMMYFUNCTION("""COMPUTED_VALUE"""),"1/2024")</f>
        <v>1/2024</v>
      </c>
      <c r="M560" s="10" t="str">
        <f ca="1">IFERROR(__xludf.DUMMYFUNCTION("""COMPUTED_VALUE"""),"Predios Exentos")</f>
        <v>Predios Exentos</v>
      </c>
      <c r="N560" s="1"/>
      <c r="O560" s="1"/>
      <c r="P560" s="1"/>
      <c r="Q560" s="1"/>
      <c r="R560" s="1"/>
      <c r="S560" s="1"/>
      <c r="T560" s="1"/>
      <c r="U560" s="1"/>
      <c r="V560" s="1"/>
      <c r="W560" s="1"/>
      <c r="X560" s="1"/>
      <c r="Y560" s="1"/>
      <c r="Z560" s="1"/>
    </row>
    <row r="561" spans="1:26" ht="12.75" customHeight="1">
      <c r="A561" s="1"/>
      <c r="B561" s="10" t="str">
        <f ca="1">IFERROR(__xludf.DUMMYFUNCTION("""COMPUTED_VALUE"""),"Compensación Predios Exentos 2024")</f>
        <v>Compensación Predios Exentos 2024</v>
      </c>
      <c r="C561" s="26" t="str">
        <f t="shared" ca="1" si="0"/>
        <v xml:space="preserve"> TOMÉ</v>
      </c>
      <c r="D561" s="10" t="str">
        <f ca="1">IFERROR(__xludf.DUMMYFUNCTION("""COMPUTED_VALUE"""),"Resolución de Transferencia")</f>
        <v>Resolución de Transferencia</v>
      </c>
      <c r="E561" s="26" t="str">
        <f ca="1">IFERROR(__xludf.DUMMYFUNCTION("""COMPUTED_VALUE"""),"MUNICIPALIDAD DE TOMÉ")</f>
        <v>MUNICIPALIDAD DE TOMÉ</v>
      </c>
      <c r="F561" s="11">
        <f ca="1">IFERROR(__xludf.DUMMYFUNCTION("""COMPUTED_VALUE"""),212118325)</f>
        <v>212118325</v>
      </c>
      <c r="G561" s="10" t="str">
        <f ca="1">IFERROR(__xludf.DUMMYFUNCTION("""COMPUTED_VALUE"""),"Resolución")</f>
        <v>Resolución</v>
      </c>
      <c r="H561" s="10" t="str">
        <f ca="1">IFERROR(__xludf.DUMMYFUNCTION("""COMPUTED_VALUE"""),"COMPENSACIÓN PREDIOS EXENTOS")</f>
        <v>COMPENSACIÓN PREDIOS EXENTOS</v>
      </c>
      <c r="I561" s="10" t="str">
        <f ca="1">IFERROR(__xludf.DUMMYFUNCTION("""COMPUTED_VALUE"""),"Cumplir con normativa y reglamentos internos del programa en base a los objetivos.")</f>
        <v>Cumplir con normativa y reglamentos internos del programa en base a los objetivos.</v>
      </c>
      <c r="J561" s="11">
        <f ca="1">IFERROR(__xludf.DUMMYFUNCTION("""COMPUTED_VALUE"""),212118325)</f>
        <v>212118325</v>
      </c>
      <c r="K561" s="27">
        <f ca="1">IFERROR(__xludf.DUMMYFUNCTION("""COMPUTED_VALUE"""),1)</f>
        <v>1</v>
      </c>
      <c r="L561" s="28" t="str">
        <f ca="1">IFERROR(__xludf.DUMMYFUNCTION("""COMPUTED_VALUE"""),"1/2024")</f>
        <v>1/2024</v>
      </c>
      <c r="M561" s="10" t="str">
        <f ca="1">IFERROR(__xludf.DUMMYFUNCTION("""COMPUTED_VALUE"""),"Predios Exentos")</f>
        <v>Predios Exentos</v>
      </c>
      <c r="N561" s="1"/>
      <c r="O561" s="1"/>
      <c r="P561" s="1"/>
      <c r="Q561" s="1"/>
      <c r="R561" s="1"/>
      <c r="S561" s="1"/>
      <c r="T561" s="1"/>
      <c r="U561" s="1"/>
      <c r="V561" s="1"/>
      <c r="W561" s="1"/>
      <c r="X561" s="1"/>
      <c r="Y561" s="1"/>
      <c r="Z561" s="1"/>
    </row>
    <row r="562" spans="1:26" ht="12.75" customHeight="1">
      <c r="A562" s="1"/>
      <c r="B562" s="10" t="str">
        <f ca="1">IFERROR(__xludf.DUMMYFUNCTION("""COMPUTED_VALUE"""),"Compensación Predios Exentos 2024")</f>
        <v>Compensación Predios Exentos 2024</v>
      </c>
      <c r="C562" s="26" t="str">
        <f t="shared" ca="1" si="0"/>
        <v xml:space="preserve"> CONCEPCIÓN</v>
      </c>
      <c r="D562" s="10" t="str">
        <f ca="1">IFERROR(__xludf.DUMMYFUNCTION("""COMPUTED_VALUE"""),"Resolución de Transferencia")</f>
        <v>Resolución de Transferencia</v>
      </c>
      <c r="E562" s="26" t="str">
        <f ca="1">IFERROR(__xludf.DUMMYFUNCTION("""COMPUTED_VALUE"""),"MUNICIPALIDAD DE CONCEPCIÓN")</f>
        <v>MUNICIPALIDAD DE CONCEPCIÓN</v>
      </c>
      <c r="F562" s="11">
        <f ca="1">IFERROR(__xludf.DUMMYFUNCTION("""COMPUTED_VALUE"""),661032512)</f>
        <v>661032512</v>
      </c>
      <c r="G562" s="10" t="str">
        <f ca="1">IFERROR(__xludf.DUMMYFUNCTION("""COMPUTED_VALUE"""),"Resolución")</f>
        <v>Resolución</v>
      </c>
      <c r="H562" s="10" t="str">
        <f ca="1">IFERROR(__xludf.DUMMYFUNCTION("""COMPUTED_VALUE"""),"COMPENSACIÓN PREDIOS EXENTOS")</f>
        <v>COMPENSACIÓN PREDIOS EXENTOS</v>
      </c>
      <c r="I562" s="10" t="str">
        <f ca="1">IFERROR(__xludf.DUMMYFUNCTION("""COMPUTED_VALUE"""),"Cumplir con normativa y reglamentos internos del programa en base a los objetivos.")</f>
        <v>Cumplir con normativa y reglamentos internos del programa en base a los objetivos.</v>
      </c>
      <c r="J562" s="11">
        <f ca="1">IFERROR(__xludf.DUMMYFUNCTION("""COMPUTED_VALUE"""),661032512)</f>
        <v>661032512</v>
      </c>
      <c r="K562" s="27">
        <f ca="1">IFERROR(__xludf.DUMMYFUNCTION("""COMPUTED_VALUE"""),1)</f>
        <v>1</v>
      </c>
      <c r="L562" s="28" t="str">
        <f ca="1">IFERROR(__xludf.DUMMYFUNCTION("""COMPUTED_VALUE"""),"1/2024")</f>
        <v>1/2024</v>
      </c>
      <c r="M562" s="10" t="str">
        <f ca="1">IFERROR(__xludf.DUMMYFUNCTION("""COMPUTED_VALUE"""),"Predios Exentos")</f>
        <v>Predios Exentos</v>
      </c>
      <c r="N562" s="1"/>
      <c r="O562" s="1"/>
      <c r="P562" s="1"/>
      <c r="Q562" s="1"/>
      <c r="R562" s="1"/>
      <c r="S562" s="1"/>
      <c r="T562" s="1"/>
      <c r="U562" s="1"/>
      <c r="V562" s="1"/>
      <c r="W562" s="1"/>
      <c r="X562" s="1"/>
      <c r="Y562" s="1"/>
      <c r="Z562" s="1"/>
    </row>
    <row r="563" spans="1:26" ht="12.75" customHeight="1">
      <c r="A563" s="1"/>
      <c r="B563" s="10" t="str">
        <f ca="1">IFERROR(__xludf.DUMMYFUNCTION("""COMPUTED_VALUE"""),"Compensación Predios Exentos 2024")</f>
        <v>Compensación Predios Exentos 2024</v>
      </c>
      <c r="C563" s="26" t="str">
        <f t="shared" ca="1" si="0"/>
        <v xml:space="preserve"> PENCO</v>
      </c>
      <c r="D563" s="10" t="str">
        <f ca="1">IFERROR(__xludf.DUMMYFUNCTION("""COMPUTED_VALUE"""),"Resolución de Transferencia")</f>
        <v>Resolución de Transferencia</v>
      </c>
      <c r="E563" s="26" t="str">
        <f ca="1">IFERROR(__xludf.DUMMYFUNCTION("""COMPUTED_VALUE"""),"MUNICIPALIDAD DE PENCO")</f>
        <v>MUNICIPALIDAD DE PENCO</v>
      </c>
      <c r="F563" s="11">
        <f ca="1">IFERROR(__xludf.DUMMYFUNCTION("""COMPUTED_VALUE"""),139068311)</f>
        <v>139068311</v>
      </c>
      <c r="G563" s="10" t="str">
        <f ca="1">IFERROR(__xludf.DUMMYFUNCTION("""COMPUTED_VALUE"""),"Resolución")</f>
        <v>Resolución</v>
      </c>
      <c r="H563" s="10" t="str">
        <f ca="1">IFERROR(__xludf.DUMMYFUNCTION("""COMPUTED_VALUE"""),"COMPENSACIÓN PREDIOS EXENTOS")</f>
        <v>COMPENSACIÓN PREDIOS EXENTOS</v>
      </c>
      <c r="I563" s="10" t="str">
        <f ca="1">IFERROR(__xludf.DUMMYFUNCTION("""COMPUTED_VALUE"""),"Cumplir con normativa y reglamentos internos del programa en base a los objetivos.")</f>
        <v>Cumplir con normativa y reglamentos internos del programa en base a los objetivos.</v>
      </c>
      <c r="J563" s="11">
        <f ca="1">IFERROR(__xludf.DUMMYFUNCTION("""COMPUTED_VALUE"""),139068311)</f>
        <v>139068311</v>
      </c>
      <c r="K563" s="27">
        <f ca="1">IFERROR(__xludf.DUMMYFUNCTION("""COMPUTED_VALUE"""),1)</f>
        <v>1</v>
      </c>
      <c r="L563" s="28" t="str">
        <f ca="1">IFERROR(__xludf.DUMMYFUNCTION("""COMPUTED_VALUE"""),"1/2024")</f>
        <v>1/2024</v>
      </c>
      <c r="M563" s="10" t="str">
        <f ca="1">IFERROR(__xludf.DUMMYFUNCTION("""COMPUTED_VALUE"""),"Predios Exentos")</f>
        <v>Predios Exentos</v>
      </c>
      <c r="N563" s="1"/>
      <c r="O563" s="1"/>
      <c r="P563" s="1"/>
      <c r="Q563" s="1"/>
      <c r="R563" s="1"/>
      <c r="S563" s="1"/>
      <c r="T563" s="1"/>
      <c r="U563" s="1"/>
      <c r="V563" s="1"/>
      <c r="W563" s="1"/>
      <c r="X563" s="1"/>
      <c r="Y563" s="1"/>
      <c r="Z563" s="1"/>
    </row>
    <row r="564" spans="1:26" ht="12.75" customHeight="1">
      <c r="A564" s="1"/>
      <c r="B564" s="10" t="str">
        <f ca="1">IFERROR(__xludf.DUMMYFUNCTION("""COMPUTED_VALUE"""),"Compensación Predios Exentos 2024")</f>
        <v>Compensación Predios Exentos 2024</v>
      </c>
      <c r="C564" s="26" t="str">
        <f t="shared" ca="1" si="0"/>
        <v xml:space="preserve"> HUALQUI</v>
      </c>
      <c r="D564" s="10" t="str">
        <f ca="1">IFERROR(__xludf.DUMMYFUNCTION("""COMPUTED_VALUE"""),"Resolución de Transferencia")</f>
        <v>Resolución de Transferencia</v>
      </c>
      <c r="E564" s="26" t="str">
        <f ca="1">IFERROR(__xludf.DUMMYFUNCTION("""COMPUTED_VALUE"""),"MUNICIPALIDAD DE HUALQUI")</f>
        <v>MUNICIPALIDAD DE HUALQUI</v>
      </c>
      <c r="F564" s="11">
        <f ca="1">IFERROR(__xludf.DUMMYFUNCTION("""COMPUTED_VALUE"""),109989554)</f>
        <v>109989554</v>
      </c>
      <c r="G564" s="10" t="str">
        <f ca="1">IFERROR(__xludf.DUMMYFUNCTION("""COMPUTED_VALUE"""),"Resolución")</f>
        <v>Resolución</v>
      </c>
      <c r="H564" s="10" t="str">
        <f ca="1">IFERROR(__xludf.DUMMYFUNCTION("""COMPUTED_VALUE"""),"COMPENSACIÓN PREDIOS EXENTOS")</f>
        <v>COMPENSACIÓN PREDIOS EXENTOS</v>
      </c>
      <c r="I564" s="10" t="str">
        <f ca="1">IFERROR(__xludf.DUMMYFUNCTION("""COMPUTED_VALUE"""),"Cumplir con normativa y reglamentos internos del programa en base a los objetivos.")</f>
        <v>Cumplir con normativa y reglamentos internos del programa en base a los objetivos.</v>
      </c>
      <c r="J564" s="11">
        <f ca="1">IFERROR(__xludf.DUMMYFUNCTION("""COMPUTED_VALUE"""),109989554)</f>
        <v>109989554</v>
      </c>
      <c r="K564" s="27">
        <f ca="1">IFERROR(__xludf.DUMMYFUNCTION("""COMPUTED_VALUE"""),1)</f>
        <v>1</v>
      </c>
      <c r="L564" s="28" t="str">
        <f ca="1">IFERROR(__xludf.DUMMYFUNCTION("""COMPUTED_VALUE"""),"1/2024")</f>
        <v>1/2024</v>
      </c>
      <c r="M564" s="10" t="str">
        <f ca="1">IFERROR(__xludf.DUMMYFUNCTION("""COMPUTED_VALUE"""),"Predios Exentos")</f>
        <v>Predios Exentos</v>
      </c>
      <c r="N564" s="1"/>
      <c r="O564" s="1"/>
      <c r="P564" s="1"/>
      <c r="Q564" s="1"/>
      <c r="R564" s="1"/>
      <c r="S564" s="1"/>
      <c r="T564" s="1"/>
      <c r="U564" s="1"/>
      <c r="V564" s="1"/>
      <c r="W564" s="1"/>
      <c r="X564" s="1"/>
      <c r="Y564" s="1"/>
      <c r="Z564" s="1"/>
    </row>
    <row r="565" spans="1:26" ht="12.75" customHeight="1">
      <c r="A565" s="1"/>
      <c r="B565" s="10" t="str">
        <f ca="1">IFERROR(__xludf.DUMMYFUNCTION("""COMPUTED_VALUE"""),"Compensación Predios Exentos 2024")</f>
        <v>Compensación Predios Exentos 2024</v>
      </c>
      <c r="C565" s="26" t="str">
        <f t="shared" ca="1" si="0"/>
        <v xml:space="preserve"> TALCAHUANO</v>
      </c>
      <c r="D565" s="10" t="str">
        <f ca="1">IFERROR(__xludf.DUMMYFUNCTION("""COMPUTED_VALUE"""),"Resolución de Transferencia")</f>
        <v>Resolución de Transferencia</v>
      </c>
      <c r="E565" s="26" t="str">
        <f ca="1">IFERROR(__xludf.DUMMYFUNCTION("""COMPUTED_VALUE"""),"MUNICIPALIDAD DE TALCAHUANO")</f>
        <v>MUNICIPALIDAD DE TALCAHUANO</v>
      </c>
      <c r="F565" s="11">
        <f ca="1">IFERROR(__xludf.DUMMYFUNCTION("""COMPUTED_VALUE"""),421411681)</f>
        <v>421411681</v>
      </c>
      <c r="G565" s="10" t="str">
        <f ca="1">IFERROR(__xludf.DUMMYFUNCTION("""COMPUTED_VALUE"""),"Resolución")</f>
        <v>Resolución</v>
      </c>
      <c r="H565" s="10" t="str">
        <f ca="1">IFERROR(__xludf.DUMMYFUNCTION("""COMPUTED_VALUE"""),"COMPENSACIÓN PREDIOS EXENTOS")</f>
        <v>COMPENSACIÓN PREDIOS EXENTOS</v>
      </c>
      <c r="I565" s="10" t="str">
        <f ca="1">IFERROR(__xludf.DUMMYFUNCTION("""COMPUTED_VALUE"""),"Cumplir con normativa y reglamentos internos del programa en base a los objetivos.")</f>
        <v>Cumplir con normativa y reglamentos internos del programa en base a los objetivos.</v>
      </c>
      <c r="J565" s="11">
        <f ca="1">IFERROR(__xludf.DUMMYFUNCTION("""COMPUTED_VALUE"""),421411681)</f>
        <v>421411681</v>
      </c>
      <c r="K565" s="27">
        <f ca="1">IFERROR(__xludf.DUMMYFUNCTION("""COMPUTED_VALUE"""),1)</f>
        <v>1</v>
      </c>
      <c r="L565" s="28" t="str">
        <f ca="1">IFERROR(__xludf.DUMMYFUNCTION("""COMPUTED_VALUE"""),"1/2024")</f>
        <v>1/2024</v>
      </c>
      <c r="M565" s="10" t="str">
        <f ca="1">IFERROR(__xludf.DUMMYFUNCTION("""COMPUTED_VALUE"""),"Predios Exentos")</f>
        <v>Predios Exentos</v>
      </c>
      <c r="N565" s="1"/>
      <c r="O565" s="1"/>
      <c r="P565" s="1"/>
      <c r="Q565" s="1"/>
      <c r="R565" s="1"/>
      <c r="S565" s="1"/>
      <c r="T565" s="1"/>
      <c r="U565" s="1"/>
      <c r="V565" s="1"/>
      <c r="W565" s="1"/>
      <c r="X565" s="1"/>
      <c r="Y565" s="1"/>
      <c r="Z565" s="1"/>
    </row>
    <row r="566" spans="1:26" ht="12.75" customHeight="1">
      <c r="A566" s="1"/>
      <c r="B566" s="10" t="str">
        <f ca="1">IFERROR(__xludf.DUMMYFUNCTION("""COMPUTED_VALUE"""),"Compensación Predios Exentos 2024")</f>
        <v>Compensación Predios Exentos 2024</v>
      </c>
      <c r="C566" s="26" t="str">
        <f t="shared" ca="1" si="0"/>
        <v xml:space="preserve"> CABRERO</v>
      </c>
      <c r="D566" s="10" t="str">
        <f ca="1">IFERROR(__xludf.DUMMYFUNCTION("""COMPUTED_VALUE"""),"Resolución de Transferencia")</f>
        <v>Resolución de Transferencia</v>
      </c>
      <c r="E566" s="26" t="str">
        <f ca="1">IFERROR(__xludf.DUMMYFUNCTION("""COMPUTED_VALUE"""),"MUNICIPALIDAD DE CABRERO")</f>
        <v>MUNICIPALIDAD DE CABRERO</v>
      </c>
      <c r="F566" s="11">
        <f ca="1">IFERROR(__xludf.DUMMYFUNCTION("""COMPUTED_VALUE"""),121217782)</f>
        <v>121217782</v>
      </c>
      <c r="G566" s="10" t="str">
        <f ca="1">IFERROR(__xludf.DUMMYFUNCTION("""COMPUTED_VALUE"""),"Resolución")</f>
        <v>Resolución</v>
      </c>
      <c r="H566" s="10" t="str">
        <f ca="1">IFERROR(__xludf.DUMMYFUNCTION("""COMPUTED_VALUE"""),"COMPENSACIÓN PREDIOS EXENTOS")</f>
        <v>COMPENSACIÓN PREDIOS EXENTOS</v>
      </c>
      <c r="I566" s="10" t="str">
        <f ca="1">IFERROR(__xludf.DUMMYFUNCTION("""COMPUTED_VALUE"""),"Cumplir con normativa y reglamentos internos del programa en base a los objetivos.")</f>
        <v>Cumplir con normativa y reglamentos internos del programa en base a los objetivos.</v>
      </c>
      <c r="J566" s="11">
        <f ca="1">IFERROR(__xludf.DUMMYFUNCTION("""COMPUTED_VALUE"""),121217782)</f>
        <v>121217782</v>
      </c>
      <c r="K566" s="27">
        <f ca="1">IFERROR(__xludf.DUMMYFUNCTION("""COMPUTED_VALUE"""),1)</f>
        <v>1</v>
      </c>
      <c r="L566" s="28" t="str">
        <f ca="1">IFERROR(__xludf.DUMMYFUNCTION("""COMPUTED_VALUE"""),"1/2024")</f>
        <v>1/2024</v>
      </c>
      <c r="M566" s="10" t="str">
        <f ca="1">IFERROR(__xludf.DUMMYFUNCTION("""COMPUTED_VALUE"""),"Predios Exentos")</f>
        <v>Predios Exentos</v>
      </c>
      <c r="N566" s="1"/>
      <c r="O566" s="1"/>
      <c r="P566" s="1"/>
      <c r="Q566" s="1"/>
      <c r="R566" s="1"/>
      <c r="S566" s="1"/>
      <c r="T566" s="1"/>
      <c r="U566" s="1"/>
      <c r="V566" s="1"/>
      <c r="W566" s="1"/>
      <c r="X566" s="1"/>
      <c r="Y566" s="1"/>
      <c r="Z566" s="1"/>
    </row>
    <row r="567" spans="1:26" ht="12.75" customHeight="1">
      <c r="A567" s="1"/>
      <c r="B567" s="10" t="str">
        <f ca="1">IFERROR(__xludf.DUMMYFUNCTION("""COMPUTED_VALUE"""),"Compensación Predios Exentos 2024")</f>
        <v>Compensación Predios Exentos 2024</v>
      </c>
      <c r="C567" s="26" t="str">
        <f t="shared" ca="1" si="0"/>
        <v xml:space="preserve"> LEBU</v>
      </c>
      <c r="D567" s="10" t="str">
        <f ca="1">IFERROR(__xludf.DUMMYFUNCTION("""COMPUTED_VALUE"""),"Resolución de Transferencia")</f>
        <v>Resolución de Transferencia</v>
      </c>
      <c r="E567" s="26" t="str">
        <f ca="1">IFERROR(__xludf.DUMMYFUNCTION("""COMPUTED_VALUE"""),"MUNICIPALIDAD DE LEBU")</f>
        <v>MUNICIPALIDAD DE LEBU</v>
      </c>
      <c r="F567" s="11">
        <f ca="1">IFERROR(__xludf.DUMMYFUNCTION("""COMPUTED_VALUE"""),90931249)</f>
        <v>90931249</v>
      </c>
      <c r="G567" s="10" t="str">
        <f ca="1">IFERROR(__xludf.DUMMYFUNCTION("""COMPUTED_VALUE"""),"Resolución")</f>
        <v>Resolución</v>
      </c>
      <c r="H567" s="10" t="str">
        <f ca="1">IFERROR(__xludf.DUMMYFUNCTION("""COMPUTED_VALUE"""),"COMPENSACIÓN PREDIOS EXENTOS")</f>
        <v>COMPENSACIÓN PREDIOS EXENTOS</v>
      </c>
      <c r="I567" s="10" t="str">
        <f ca="1">IFERROR(__xludf.DUMMYFUNCTION("""COMPUTED_VALUE"""),"Cumplir con normativa y reglamentos internos del programa en base a los objetivos.")</f>
        <v>Cumplir con normativa y reglamentos internos del programa en base a los objetivos.</v>
      </c>
      <c r="J567" s="11">
        <f ca="1">IFERROR(__xludf.DUMMYFUNCTION("""COMPUTED_VALUE"""),90931249)</f>
        <v>90931249</v>
      </c>
      <c r="K567" s="27">
        <f ca="1">IFERROR(__xludf.DUMMYFUNCTION("""COMPUTED_VALUE"""),1)</f>
        <v>1</v>
      </c>
      <c r="L567" s="28" t="str">
        <f ca="1">IFERROR(__xludf.DUMMYFUNCTION("""COMPUTED_VALUE"""),"1/2024")</f>
        <v>1/2024</v>
      </c>
      <c r="M567" s="10" t="str">
        <f ca="1">IFERROR(__xludf.DUMMYFUNCTION("""COMPUTED_VALUE"""),"Predios Exentos")</f>
        <v>Predios Exentos</v>
      </c>
      <c r="N567" s="1"/>
      <c r="O567" s="1"/>
      <c r="P567" s="1"/>
      <c r="Q567" s="1"/>
      <c r="R567" s="1"/>
      <c r="S567" s="1"/>
      <c r="T567" s="1"/>
      <c r="U567" s="1"/>
      <c r="V567" s="1"/>
      <c r="W567" s="1"/>
      <c r="X567" s="1"/>
      <c r="Y567" s="1"/>
      <c r="Z567" s="1"/>
    </row>
    <row r="568" spans="1:26" ht="12.75" customHeight="1">
      <c r="A568" s="1"/>
      <c r="B568" s="10" t="str">
        <f ca="1">IFERROR(__xludf.DUMMYFUNCTION("""COMPUTED_VALUE"""),"Compensación Predios Exentos 2024")</f>
        <v>Compensación Predios Exentos 2024</v>
      </c>
      <c r="C568" s="26" t="str">
        <f t="shared" ca="1" si="0"/>
        <v xml:space="preserve"> TIRÚA</v>
      </c>
      <c r="D568" s="10" t="str">
        <f ca="1">IFERROR(__xludf.DUMMYFUNCTION("""COMPUTED_VALUE"""),"Resolución de Transferencia")</f>
        <v>Resolución de Transferencia</v>
      </c>
      <c r="E568" s="26" t="str">
        <f ca="1">IFERROR(__xludf.DUMMYFUNCTION("""COMPUTED_VALUE"""),"MUNICIPALIDAD DE TIRÚA")</f>
        <v>MUNICIPALIDAD DE TIRÚA</v>
      </c>
      <c r="F568" s="11">
        <f ca="1">IFERROR(__xludf.DUMMYFUNCTION("""COMPUTED_VALUE"""),48781892)</f>
        <v>48781892</v>
      </c>
      <c r="G568" s="10" t="str">
        <f ca="1">IFERROR(__xludf.DUMMYFUNCTION("""COMPUTED_VALUE"""),"Resolución")</f>
        <v>Resolución</v>
      </c>
      <c r="H568" s="10" t="str">
        <f ca="1">IFERROR(__xludf.DUMMYFUNCTION("""COMPUTED_VALUE"""),"COMPENSACIÓN PREDIOS EXENTOS")</f>
        <v>COMPENSACIÓN PREDIOS EXENTOS</v>
      </c>
      <c r="I568" s="10" t="str">
        <f ca="1">IFERROR(__xludf.DUMMYFUNCTION("""COMPUTED_VALUE"""),"Cumplir con normativa y reglamentos internos del programa en base a los objetivos.")</f>
        <v>Cumplir con normativa y reglamentos internos del programa en base a los objetivos.</v>
      </c>
      <c r="J568" s="11">
        <f ca="1">IFERROR(__xludf.DUMMYFUNCTION("""COMPUTED_VALUE"""),48781892)</f>
        <v>48781892</v>
      </c>
      <c r="K568" s="27">
        <f ca="1">IFERROR(__xludf.DUMMYFUNCTION("""COMPUTED_VALUE"""),1)</f>
        <v>1</v>
      </c>
      <c r="L568" s="28" t="str">
        <f ca="1">IFERROR(__xludf.DUMMYFUNCTION("""COMPUTED_VALUE"""),"1/2024")</f>
        <v>1/2024</v>
      </c>
      <c r="M568" s="10" t="str">
        <f ca="1">IFERROR(__xludf.DUMMYFUNCTION("""COMPUTED_VALUE"""),"Predios Exentos")</f>
        <v>Predios Exentos</v>
      </c>
      <c r="N568" s="1"/>
      <c r="O568" s="1"/>
      <c r="P568" s="1"/>
      <c r="Q568" s="1"/>
      <c r="R568" s="1"/>
      <c r="S568" s="1"/>
      <c r="T568" s="1"/>
      <c r="U568" s="1"/>
      <c r="V568" s="1"/>
      <c r="W568" s="1"/>
      <c r="X568" s="1"/>
      <c r="Y568" s="1"/>
      <c r="Z568" s="1"/>
    </row>
    <row r="569" spans="1:26" ht="12.75" customHeight="1">
      <c r="A569" s="1"/>
      <c r="B569" s="10" t="str">
        <f ca="1">IFERROR(__xludf.DUMMYFUNCTION("""COMPUTED_VALUE"""),"Compensación Predios Exentos 2024")</f>
        <v>Compensación Predios Exentos 2024</v>
      </c>
      <c r="C569" s="26" t="str">
        <f t="shared" ca="1" si="0"/>
        <v xml:space="preserve"> MULCHÉN</v>
      </c>
      <c r="D569" s="10" t="str">
        <f ca="1">IFERROR(__xludf.DUMMYFUNCTION("""COMPUTED_VALUE"""),"Resolución de Transferencia")</f>
        <v>Resolución de Transferencia</v>
      </c>
      <c r="E569" s="26" t="str">
        <f ca="1">IFERROR(__xludf.DUMMYFUNCTION("""COMPUTED_VALUE"""),"MUNICIPALIDAD DE MULCHÉN")</f>
        <v>MUNICIPALIDAD DE MULCHÉN</v>
      </c>
      <c r="F569" s="11">
        <f ca="1">IFERROR(__xludf.DUMMYFUNCTION("""COMPUTED_VALUE"""),103797140)</f>
        <v>103797140</v>
      </c>
      <c r="G569" s="10" t="str">
        <f ca="1">IFERROR(__xludf.DUMMYFUNCTION("""COMPUTED_VALUE"""),"Resolución")</f>
        <v>Resolución</v>
      </c>
      <c r="H569" s="10" t="str">
        <f ca="1">IFERROR(__xludf.DUMMYFUNCTION("""COMPUTED_VALUE"""),"COMPENSACIÓN PREDIOS EXENTOS")</f>
        <v>COMPENSACIÓN PREDIOS EXENTOS</v>
      </c>
      <c r="I569" s="10" t="str">
        <f ca="1">IFERROR(__xludf.DUMMYFUNCTION("""COMPUTED_VALUE"""),"Cumplir con normativa y reglamentos internos del programa en base a los objetivos.")</f>
        <v>Cumplir con normativa y reglamentos internos del programa en base a los objetivos.</v>
      </c>
      <c r="J569" s="11">
        <f ca="1">IFERROR(__xludf.DUMMYFUNCTION("""COMPUTED_VALUE"""),103797140)</f>
        <v>103797140</v>
      </c>
      <c r="K569" s="27">
        <f ca="1">IFERROR(__xludf.DUMMYFUNCTION("""COMPUTED_VALUE"""),1)</f>
        <v>1</v>
      </c>
      <c r="L569" s="28" t="str">
        <f ca="1">IFERROR(__xludf.DUMMYFUNCTION("""COMPUTED_VALUE"""),"1/2024")</f>
        <v>1/2024</v>
      </c>
      <c r="M569" s="10" t="str">
        <f ca="1">IFERROR(__xludf.DUMMYFUNCTION("""COMPUTED_VALUE"""),"Predios Exentos")</f>
        <v>Predios Exentos</v>
      </c>
      <c r="N569" s="1"/>
      <c r="O569" s="1"/>
      <c r="P569" s="1"/>
      <c r="Q569" s="1"/>
      <c r="R569" s="1"/>
      <c r="S569" s="1"/>
      <c r="T569" s="1"/>
      <c r="U569" s="1"/>
      <c r="V569" s="1"/>
      <c r="W569" s="1"/>
      <c r="X569" s="1"/>
      <c r="Y569" s="1"/>
      <c r="Z569" s="1"/>
    </row>
    <row r="570" spans="1:26" ht="12.75" customHeight="1">
      <c r="A570" s="1"/>
      <c r="B570" s="10" t="str">
        <f ca="1">IFERROR(__xludf.DUMMYFUNCTION("""COMPUTED_VALUE"""),"Compensación Predios Exentos 2024")</f>
        <v>Compensación Predios Exentos 2024</v>
      </c>
      <c r="C570" s="26" t="str">
        <f t="shared" ca="1" si="0"/>
        <v xml:space="preserve"> NEGRETE</v>
      </c>
      <c r="D570" s="10" t="str">
        <f ca="1">IFERROR(__xludf.DUMMYFUNCTION("""COMPUTED_VALUE"""),"Resolución de Transferencia")</f>
        <v>Resolución de Transferencia</v>
      </c>
      <c r="E570" s="26" t="str">
        <f ca="1">IFERROR(__xludf.DUMMYFUNCTION("""COMPUTED_VALUE"""),"MUNICIPALIDAD DE NEGRETE")</f>
        <v>MUNICIPALIDAD DE NEGRETE</v>
      </c>
      <c r="F570" s="11">
        <f ca="1">IFERROR(__xludf.DUMMYFUNCTION("""COMPUTED_VALUE"""),38925207)</f>
        <v>38925207</v>
      </c>
      <c r="G570" s="10" t="str">
        <f ca="1">IFERROR(__xludf.DUMMYFUNCTION("""COMPUTED_VALUE"""),"Resolución")</f>
        <v>Resolución</v>
      </c>
      <c r="H570" s="10" t="str">
        <f ca="1">IFERROR(__xludf.DUMMYFUNCTION("""COMPUTED_VALUE"""),"COMPENSACIÓN PREDIOS EXENTOS")</f>
        <v>COMPENSACIÓN PREDIOS EXENTOS</v>
      </c>
      <c r="I570" s="10" t="str">
        <f ca="1">IFERROR(__xludf.DUMMYFUNCTION("""COMPUTED_VALUE"""),"Cumplir con normativa y reglamentos internos del programa en base a los objetivos.")</f>
        <v>Cumplir con normativa y reglamentos internos del programa en base a los objetivos.</v>
      </c>
      <c r="J570" s="11">
        <f ca="1">IFERROR(__xludf.DUMMYFUNCTION("""COMPUTED_VALUE"""),38925207)</f>
        <v>38925207</v>
      </c>
      <c r="K570" s="27">
        <f ca="1">IFERROR(__xludf.DUMMYFUNCTION("""COMPUTED_VALUE"""),1)</f>
        <v>1</v>
      </c>
      <c r="L570" s="28" t="str">
        <f ca="1">IFERROR(__xludf.DUMMYFUNCTION("""COMPUTED_VALUE"""),"1/2024")</f>
        <v>1/2024</v>
      </c>
      <c r="M570" s="10" t="str">
        <f ca="1">IFERROR(__xludf.DUMMYFUNCTION("""COMPUTED_VALUE"""),"Predios Exentos")</f>
        <v>Predios Exentos</v>
      </c>
      <c r="N570" s="1"/>
      <c r="O570" s="1"/>
      <c r="P570" s="1"/>
      <c r="Q570" s="1"/>
      <c r="R570" s="1"/>
      <c r="S570" s="1"/>
      <c r="T570" s="1"/>
      <c r="U570" s="1"/>
      <c r="V570" s="1"/>
      <c r="W570" s="1"/>
      <c r="X570" s="1"/>
      <c r="Y570" s="1"/>
      <c r="Z570" s="1"/>
    </row>
    <row r="571" spans="1:26" ht="12.75" customHeight="1">
      <c r="A571" s="1"/>
      <c r="B571" s="10" t="str">
        <f ca="1">IFERROR(__xludf.DUMMYFUNCTION("""COMPUTED_VALUE"""),"Compensación Predios Exentos 2024")</f>
        <v>Compensación Predios Exentos 2024</v>
      </c>
      <c r="C571" s="26" t="str">
        <f t="shared" ca="1" si="0"/>
        <v xml:space="preserve"> LUMACO</v>
      </c>
      <c r="D571" s="10" t="str">
        <f ca="1">IFERROR(__xludf.DUMMYFUNCTION("""COMPUTED_VALUE"""),"Resolución de Transferencia")</f>
        <v>Resolución de Transferencia</v>
      </c>
      <c r="E571" s="26" t="str">
        <f ca="1">IFERROR(__xludf.DUMMYFUNCTION("""COMPUTED_VALUE"""),"MUNICIPALIDAD DE LUMACO")</f>
        <v>MUNICIPALIDAD DE LUMACO</v>
      </c>
      <c r="F571" s="11">
        <f ca="1">IFERROR(__xludf.DUMMYFUNCTION("""COMPUTED_VALUE"""),53172877)</f>
        <v>53172877</v>
      </c>
      <c r="G571" s="10" t="str">
        <f ca="1">IFERROR(__xludf.DUMMYFUNCTION("""COMPUTED_VALUE"""),"Resolución")</f>
        <v>Resolución</v>
      </c>
      <c r="H571" s="10" t="str">
        <f ca="1">IFERROR(__xludf.DUMMYFUNCTION("""COMPUTED_VALUE"""),"COMPENSACIÓN PREDIOS EXENTOS")</f>
        <v>COMPENSACIÓN PREDIOS EXENTOS</v>
      </c>
      <c r="I571" s="10" t="str">
        <f ca="1">IFERROR(__xludf.DUMMYFUNCTION("""COMPUTED_VALUE"""),"Cumplir con normativa y reglamentos internos del programa en base a los objetivos.")</f>
        <v>Cumplir con normativa y reglamentos internos del programa en base a los objetivos.</v>
      </c>
      <c r="J571" s="11">
        <f ca="1">IFERROR(__xludf.DUMMYFUNCTION("""COMPUTED_VALUE"""),53172877)</f>
        <v>53172877</v>
      </c>
      <c r="K571" s="27">
        <f ca="1">IFERROR(__xludf.DUMMYFUNCTION("""COMPUTED_VALUE"""),1)</f>
        <v>1</v>
      </c>
      <c r="L571" s="28" t="str">
        <f ca="1">IFERROR(__xludf.DUMMYFUNCTION("""COMPUTED_VALUE"""),"1/2024")</f>
        <v>1/2024</v>
      </c>
      <c r="M571" s="10" t="str">
        <f ca="1">IFERROR(__xludf.DUMMYFUNCTION("""COMPUTED_VALUE"""),"Predios Exentos")</f>
        <v>Predios Exentos</v>
      </c>
      <c r="N571" s="1"/>
      <c r="O571" s="1"/>
      <c r="P571" s="1"/>
      <c r="Q571" s="1"/>
      <c r="R571" s="1"/>
      <c r="S571" s="1"/>
      <c r="T571" s="1"/>
      <c r="U571" s="1"/>
      <c r="V571" s="1"/>
      <c r="W571" s="1"/>
      <c r="X571" s="1"/>
      <c r="Y571" s="1"/>
      <c r="Z571" s="1"/>
    </row>
    <row r="572" spans="1:26" ht="12.75" customHeight="1">
      <c r="A572" s="1"/>
      <c r="B572" s="10" t="str">
        <f ca="1">IFERROR(__xludf.DUMMYFUNCTION("""COMPUTED_VALUE"""),"Compensación Predios Exentos 2024")</f>
        <v>Compensación Predios Exentos 2024</v>
      </c>
      <c r="C572" s="26" t="str">
        <f t="shared" ca="1" si="0"/>
        <v xml:space="preserve"> CURACAUTÍN</v>
      </c>
      <c r="D572" s="10" t="str">
        <f ca="1">IFERROR(__xludf.DUMMYFUNCTION("""COMPUTED_VALUE"""),"Resolución de Transferencia")</f>
        <v>Resolución de Transferencia</v>
      </c>
      <c r="E572" s="26" t="str">
        <f ca="1">IFERROR(__xludf.DUMMYFUNCTION("""COMPUTED_VALUE"""),"MUNICIPALIDAD DE CURACAUTÍN")</f>
        <v>MUNICIPALIDAD DE CURACAUTÍN</v>
      </c>
      <c r="F572" s="11">
        <f ca="1">IFERROR(__xludf.DUMMYFUNCTION("""COMPUTED_VALUE"""),91535137)</f>
        <v>91535137</v>
      </c>
      <c r="G572" s="10" t="str">
        <f ca="1">IFERROR(__xludf.DUMMYFUNCTION("""COMPUTED_VALUE"""),"Resolución")</f>
        <v>Resolución</v>
      </c>
      <c r="H572" s="10" t="str">
        <f ca="1">IFERROR(__xludf.DUMMYFUNCTION("""COMPUTED_VALUE"""),"COMPENSACIÓN PREDIOS EXENTOS")</f>
        <v>COMPENSACIÓN PREDIOS EXENTOS</v>
      </c>
      <c r="I572" s="10" t="str">
        <f ca="1">IFERROR(__xludf.DUMMYFUNCTION("""COMPUTED_VALUE"""),"Cumplir con normativa y reglamentos internos del programa en base a los objetivos.")</f>
        <v>Cumplir con normativa y reglamentos internos del programa en base a los objetivos.</v>
      </c>
      <c r="J572" s="11">
        <f ca="1">IFERROR(__xludf.DUMMYFUNCTION("""COMPUTED_VALUE"""),91535137)</f>
        <v>91535137</v>
      </c>
      <c r="K572" s="27">
        <f ca="1">IFERROR(__xludf.DUMMYFUNCTION("""COMPUTED_VALUE"""),1)</f>
        <v>1</v>
      </c>
      <c r="L572" s="28" t="str">
        <f ca="1">IFERROR(__xludf.DUMMYFUNCTION("""COMPUTED_VALUE"""),"1/2024")</f>
        <v>1/2024</v>
      </c>
      <c r="M572" s="10" t="str">
        <f ca="1">IFERROR(__xludf.DUMMYFUNCTION("""COMPUTED_VALUE"""),"Predios Exentos")</f>
        <v>Predios Exentos</v>
      </c>
      <c r="N572" s="1"/>
      <c r="O572" s="1"/>
      <c r="P572" s="1"/>
      <c r="Q572" s="1"/>
      <c r="R572" s="1"/>
      <c r="S572" s="1"/>
      <c r="T572" s="1"/>
      <c r="U572" s="1"/>
      <c r="V572" s="1"/>
      <c r="W572" s="1"/>
      <c r="X572" s="1"/>
      <c r="Y572" s="1"/>
      <c r="Z572" s="1"/>
    </row>
    <row r="573" spans="1:26" ht="12.75" customHeight="1">
      <c r="A573" s="1"/>
      <c r="B573" s="10" t="str">
        <f ca="1">IFERROR(__xludf.DUMMYFUNCTION("""COMPUTED_VALUE"""),"Compensación Predios Exentos 2024")</f>
        <v>Compensación Predios Exentos 2024</v>
      </c>
      <c r="C573" s="26" t="str">
        <f t="shared" ca="1" si="0"/>
        <v xml:space="preserve"> FREIRE</v>
      </c>
      <c r="D573" s="10" t="str">
        <f ca="1">IFERROR(__xludf.DUMMYFUNCTION("""COMPUTED_VALUE"""),"Resolución de Transferencia")</f>
        <v>Resolución de Transferencia</v>
      </c>
      <c r="E573" s="26" t="str">
        <f ca="1">IFERROR(__xludf.DUMMYFUNCTION("""COMPUTED_VALUE"""),"MUNICIPALIDAD DE FREIRE")</f>
        <v>MUNICIPALIDAD DE FREIRE</v>
      </c>
      <c r="F573" s="11">
        <f ca="1">IFERROR(__xludf.DUMMYFUNCTION("""COMPUTED_VALUE"""),117799160)</f>
        <v>117799160</v>
      </c>
      <c r="G573" s="10" t="str">
        <f ca="1">IFERROR(__xludf.DUMMYFUNCTION("""COMPUTED_VALUE"""),"Resolución")</f>
        <v>Resolución</v>
      </c>
      <c r="H573" s="10" t="str">
        <f ca="1">IFERROR(__xludf.DUMMYFUNCTION("""COMPUTED_VALUE"""),"COMPENSACIÓN PREDIOS EXENTOS")</f>
        <v>COMPENSACIÓN PREDIOS EXENTOS</v>
      </c>
      <c r="I573" s="10" t="str">
        <f ca="1">IFERROR(__xludf.DUMMYFUNCTION("""COMPUTED_VALUE"""),"Cumplir con normativa y reglamentos internos del programa en base a los objetivos.")</f>
        <v>Cumplir con normativa y reglamentos internos del programa en base a los objetivos.</v>
      </c>
      <c r="J573" s="11">
        <f ca="1">IFERROR(__xludf.DUMMYFUNCTION("""COMPUTED_VALUE"""),117799160)</f>
        <v>117799160</v>
      </c>
      <c r="K573" s="27">
        <f ca="1">IFERROR(__xludf.DUMMYFUNCTION("""COMPUTED_VALUE"""),1)</f>
        <v>1</v>
      </c>
      <c r="L573" s="28" t="str">
        <f ca="1">IFERROR(__xludf.DUMMYFUNCTION("""COMPUTED_VALUE"""),"1/2024")</f>
        <v>1/2024</v>
      </c>
      <c r="M573" s="10" t="str">
        <f ca="1">IFERROR(__xludf.DUMMYFUNCTION("""COMPUTED_VALUE"""),"Predios Exentos")</f>
        <v>Predios Exentos</v>
      </c>
      <c r="N573" s="1"/>
      <c r="O573" s="1"/>
      <c r="P573" s="1"/>
      <c r="Q573" s="1"/>
      <c r="R573" s="1"/>
      <c r="S573" s="1"/>
      <c r="T573" s="1"/>
      <c r="U573" s="1"/>
      <c r="V573" s="1"/>
      <c r="W573" s="1"/>
      <c r="X573" s="1"/>
      <c r="Y573" s="1"/>
      <c r="Z573" s="1"/>
    </row>
    <row r="574" spans="1:26" ht="12.75" customHeight="1">
      <c r="A574" s="1"/>
      <c r="B574" s="10" t="str">
        <f ca="1">IFERROR(__xludf.DUMMYFUNCTION("""COMPUTED_VALUE"""),"Compensación Predios Exentos 2024")</f>
        <v>Compensación Predios Exentos 2024</v>
      </c>
      <c r="C574" s="26" t="str">
        <f t="shared" ca="1" si="0"/>
        <v xml:space="preserve"> VILLARRICA</v>
      </c>
      <c r="D574" s="10" t="str">
        <f ca="1">IFERROR(__xludf.DUMMYFUNCTION("""COMPUTED_VALUE"""),"Resolución de Transferencia")</f>
        <v>Resolución de Transferencia</v>
      </c>
      <c r="E574" s="26" t="str">
        <f ca="1">IFERROR(__xludf.DUMMYFUNCTION("""COMPUTED_VALUE"""),"MUNICIPALIDAD DE VILLARRICA")</f>
        <v>MUNICIPALIDAD DE VILLARRICA</v>
      </c>
      <c r="F574" s="11">
        <f ca="1">IFERROR(__xludf.DUMMYFUNCTION("""COMPUTED_VALUE"""),233090649)</f>
        <v>233090649</v>
      </c>
      <c r="G574" s="10" t="str">
        <f ca="1">IFERROR(__xludf.DUMMYFUNCTION("""COMPUTED_VALUE"""),"Resolución")</f>
        <v>Resolución</v>
      </c>
      <c r="H574" s="10" t="str">
        <f ca="1">IFERROR(__xludf.DUMMYFUNCTION("""COMPUTED_VALUE"""),"COMPENSACIÓN PREDIOS EXENTOS")</f>
        <v>COMPENSACIÓN PREDIOS EXENTOS</v>
      </c>
      <c r="I574" s="10" t="str">
        <f ca="1">IFERROR(__xludf.DUMMYFUNCTION("""COMPUTED_VALUE"""),"Cumplir con normativa y reglamentos internos del programa en base a los objetivos.")</f>
        <v>Cumplir con normativa y reglamentos internos del programa en base a los objetivos.</v>
      </c>
      <c r="J574" s="11">
        <f ca="1">IFERROR(__xludf.DUMMYFUNCTION("""COMPUTED_VALUE"""),233090649)</f>
        <v>233090649</v>
      </c>
      <c r="K574" s="27">
        <f ca="1">IFERROR(__xludf.DUMMYFUNCTION("""COMPUTED_VALUE"""),1)</f>
        <v>1</v>
      </c>
      <c r="L574" s="28" t="str">
        <f ca="1">IFERROR(__xludf.DUMMYFUNCTION("""COMPUTED_VALUE"""),"1/2024")</f>
        <v>1/2024</v>
      </c>
      <c r="M574" s="10" t="str">
        <f ca="1">IFERROR(__xludf.DUMMYFUNCTION("""COMPUTED_VALUE"""),"Predios Exentos")</f>
        <v>Predios Exentos</v>
      </c>
      <c r="N574" s="1"/>
      <c r="O574" s="1"/>
      <c r="P574" s="1"/>
      <c r="Q574" s="1"/>
      <c r="R574" s="1"/>
      <c r="S574" s="1"/>
      <c r="T574" s="1"/>
      <c r="U574" s="1"/>
      <c r="V574" s="1"/>
      <c r="W574" s="1"/>
      <c r="X574" s="1"/>
      <c r="Y574" s="1"/>
      <c r="Z574" s="1"/>
    </row>
    <row r="575" spans="1:26" ht="12.75" customHeight="1">
      <c r="A575" s="1"/>
      <c r="B575" s="10" t="str">
        <f ca="1">IFERROR(__xludf.DUMMYFUNCTION("""COMPUTED_VALUE"""),"Compensación Predios Exentos 2024")</f>
        <v>Compensación Predios Exentos 2024</v>
      </c>
      <c r="C575" s="26" t="str">
        <f t="shared" ca="1" si="0"/>
        <v xml:space="preserve"> PUERTO OCTAY</v>
      </c>
      <c r="D575" s="10" t="str">
        <f ca="1">IFERROR(__xludf.DUMMYFUNCTION("""COMPUTED_VALUE"""),"Resolución de Transferencia")</f>
        <v>Resolución de Transferencia</v>
      </c>
      <c r="E575" s="26" t="str">
        <f ca="1">IFERROR(__xludf.DUMMYFUNCTION("""COMPUTED_VALUE"""),"MUNICIPALIDAD DE PUERTO OCTAY")</f>
        <v>MUNICIPALIDAD DE PUERTO OCTAY</v>
      </c>
      <c r="F575" s="11">
        <f ca="1">IFERROR(__xludf.DUMMYFUNCTION("""COMPUTED_VALUE"""),25086953)</f>
        <v>25086953</v>
      </c>
      <c r="G575" s="10" t="str">
        <f ca="1">IFERROR(__xludf.DUMMYFUNCTION("""COMPUTED_VALUE"""),"Resolución")</f>
        <v>Resolución</v>
      </c>
      <c r="H575" s="10" t="str">
        <f ca="1">IFERROR(__xludf.DUMMYFUNCTION("""COMPUTED_VALUE"""),"COMPENSACIÓN PREDIOS EXENTOS")</f>
        <v>COMPENSACIÓN PREDIOS EXENTOS</v>
      </c>
      <c r="I575" s="10" t="str">
        <f ca="1">IFERROR(__xludf.DUMMYFUNCTION("""COMPUTED_VALUE"""),"Cumplir con normativa y reglamentos internos del programa en base a los objetivos.")</f>
        <v>Cumplir con normativa y reglamentos internos del programa en base a los objetivos.</v>
      </c>
      <c r="J575" s="11">
        <f ca="1">IFERROR(__xludf.DUMMYFUNCTION("""COMPUTED_VALUE"""),25086953)</f>
        <v>25086953</v>
      </c>
      <c r="K575" s="27">
        <f ca="1">IFERROR(__xludf.DUMMYFUNCTION("""COMPUTED_VALUE"""),1)</f>
        <v>1</v>
      </c>
      <c r="L575" s="28" t="str">
        <f ca="1">IFERROR(__xludf.DUMMYFUNCTION("""COMPUTED_VALUE"""),"1/2024")</f>
        <v>1/2024</v>
      </c>
      <c r="M575" s="10" t="str">
        <f ca="1">IFERROR(__xludf.DUMMYFUNCTION("""COMPUTED_VALUE"""),"Predios Exentos")</f>
        <v>Predios Exentos</v>
      </c>
      <c r="N575" s="1"/>
      <c r="O575" s="1"/>
      <c r="P575" s="1"/>
      <c r="Q575" s="1"/>
      <c r="R575" s="1"/>
      <c r="S575" s="1"/>
      <c r="T575" s="1"/>
      <c r="U575" s="1"/>
      <c r="V575" s="1"/>
      <c r="W575" s="1"/>
      <c r="X575" s="1"/>
      <c r="Y575" s="1"/>
      <c r="Z575" s="1"/>
    </row>
    <row r="576" spans="1:26" ht="12.75" customHeight="1">
      <c r="A576" s="1"/>
      <c r="B576" s="10" t="str">
        <f ca="1">IFERROR(__xludf.DUMMYFUNCTION("""COMPUTED_VALUE"""),"Compensación Predios Exentos 2024")</f>
        <v>Compensación Predios Exentos 2024</v>
      </c>
      <c r="C576" s="26" t="str">
        <f t="shared" ca="1" si="0"/>
        <v xml:space="preserve"> PUYEHUE</v>
      </c>
      <c r="D576" s="10" t="str">
        <f ca="1">IFERROR(__xludf.DUMMYFUNCTION("""COMPUTED_VALUE"""),"Resolución de Transferencia")</f>
        <v>Resolución de Transferencia</v>
      </c>
      <c r="E576" s="26" t="str">
        <f ca="1">IFERROR(__xludf.DUMMYFUNCTION("""COMPUTED_VALUE"""),"MUNICIPALIDAD DE PUYEHUE")</f>
        <v>MUNICIPALIDAD DE PUYEHUE</v>
      </c>
      <c r="F576" s="11">
        <f ca="1">IFERROR(__xludf.DUMMYFUNCTION("""COMPUTED_VALUE"""),40614047)</f>
        <v>40614047</v>
      </c>
      <c r="G576" s="10" t="str">
        <f ca="1">IFERROR(__xludf.DUMMYFUNCTION("""COMPUTED_VALUE"""),"Resolución")</f>
        <v>Resolución</v>
      </c>
      <c r="H576" s="10" t="str">
        <f ca="1">IFERROR(__xludf.DUMMYFUNCTION("""COMPUTED_VALUE"""),"COMPENSACIÓN PREDIOS EXENTOS")</f>
        <v>COMPENSACIÓN PREDIOS EXENTOS</v>
      </c>
      <c r="I576" s="10" t="str">
        <f ca="1">IFERROR(__xludf.DUMMYFUNCTION("""COMPUTED_VALUE"""),"Cumplir con normativa y reglamentos internos del programa en base a los objetivos.")</f>
        <v>Cumplir con normativa y reglamentos internos del programa en base a los objetivos.</v>
      </c>
      <c r="J576" s="11">
        <f ca="1">IFERROR(__xludf.DUMMYFUNCTION("""COMPUTED_VALUE"""),40614047)</f>
        <v>40614047</v>
      </c>
      <c r="K576" s="27">
        <f ca="1">IFERROR(__xludf.DUMMYFUNCTION("""COMPUTED_VALUE"""),1)</f>
        <v>1</v>
      </c>
      <c r="L576" s="28" t="str">
        <f ca="1">IFERROR(__xludf.DUMMYFUNCTION("""COMPUTED_VALUE"""),"1/2024")</f>
        <v>1/2024</v>
      </c>
      <c r="M576" s="10" t="str">
        <f ca="1">IFERROR(__xludf.DUMMYFUNCTION("""COMPUTED_VALUE"""),"Predios Exentos")</f>
        <v>Predios Exentos</v>
      </c>
      <c r="N576" s="1"/>
      <c r="O576" s="1"/>
      <c r="P576" s="1"/>
      <c r="Q576" s="1"/>
      <c r="R576" s="1"/>
      <c r="S576" s="1"/>
      <c r="T576" s="1"/>
      <c r="U576" s="1"/>
      <c r="V576" s="1"/>
      <c r="W576" s="1"/>
      <c r="X576" s="1"/>
      <c r="Y576" s="1"/>
      <c r="Z576" s="1"/>
    </row>
    <row r="577" spans="1:26" ht="12.75" customHeight="1">
      <c r="A577" s="1"/>
      <c r="B577" s="10" t="str">
        <f ca="1">IFERROR(__xludf.DUMMYFUNCTION("""COMPUTED_VALUE"""),"Compensación Predios Exentos 2024")</f>
        <v>Compensación Predios Exentos 2024</v>
      </c>
      <c r="C577" s="26" t="str">
        <f t="shared" ca="1" si="0"/>
        <v xml:space="preserve"> PUERTO VARAS</v>
      </c>
      <c r="D577" s="10" t="str">
        <f ca="1">IFERROR(__xludf.DUMMYFUNCTION("""COMPUTED_VALUE"""),"Resolución de Transferencia")</f>
        <v>Resolución de Transferencia</v>
      </c>
      <c r="E577" s="26" t="str">
        <f ca="1">IFERROR(__xludf.DUMMYFUNCTION("""COMPUTED_VALUE"""),"MUNICIPALIDAD DE PUERTO VARAS")</f>
        <v>MUNICIPALIDAD DE PUERTO VARAS</v>
      </c>
      <c r="F577" s="11">
        <f ca="1">IFERROR(__xludf.DUMMYFUNCTION("""COMPUTED_VALUE"""),103520785)</f>
        <v>103520785</v>
      </c>
      <c r="G577" s="10" t="str">
        <f ca="1">IFERROR(__xludf.DUMMYFUNCTION("""COMPUTED_VALUE"""),"Resolución")</f>
        <v>Resolución</v>
      </c>
      <c r="H577" s="10" t="str">
        <f ca="1">IFERROR(__xludf.DUMMYFUNCTION("""COMPUTED_VALUE"""),"COMPENSACIÓN PREDIOS EXENTOS")</f>
        <v>COMPENSACIÓN PREDIOS EXENTOS</v>
      </c>
      <c r="I577" s="10" t="str">
        <f ca="1">IFERROR(__xludf.DUMMYFUNCTION("""COMPUTED_VALUE"""),"Cumplir con normativa y reglamentos internos del programa en base a los objetivos.")</f>
        <v>Cumplir con normativa y reglamentos internos del programa en base a los objetivos.</v>
      </c>
      <c r="J577" s="11">
        <f ca="1">IFERROR(__xludf.DUMMYFUNCTION("""COMPUTED_VALUE"""),103520785)</f>
        <v>103520785</v>
      </c>
      <c r="K577" s="27">
        <f ca="1">IFERROR(__xludf.DUMMYFUNCTION("""COMPUTED_VALUE"""),1)</f>
        <v>1</v>
      </c>
      <c r="L577" s="28" t="str">
        <f ca="1">IFERROR(__xludf.DUMMYFUNCTION("""COMPUTED_VALUE"""),"1/2024")</f>
        <v>1/2024</v>
      </c>
      <c r="M577" s="10" t="str">
        <f ca="1">IFERROR(__xludf.DUMMYFUNCTION("""COMPUTED_VALUE"""),"Predios Exentos")</f>
        <v>Predios Exentos</v>
      </c>
      <c r="N577" s="1"/>
      <c r="O577" s="1"/>
      <c r="P577" s="1"/>
      <c r="Q577" s="1"/>
      <c r="R577" s="1"/>
      <c r="S577" s="1"/>
      <c r="T577" s="1"/>
      <c r="U577" s="1"/>
      <c r="V577" s="1"/>
      <c r="W577" s="1"/>
      <c r="X577" s="1"/>
      <c r="Y577" s="1"/>
      <c r="Z577" s="1"/>
    </row>
    <row r="578" spans="1:26" ht="12.75" customHeight="1">
      <c r="A578" s="1"/>
      <c r="B578" s="10" t="str">
        <f ca="1">IFERROR(__xludf.DUMMYFUNCTION("""COMPUTED_VALUE"""),"Compensación Predios Exentos 2024")</f>
        <v>Compensación Predios Exentos 2024</v>
      </c>
      <c r="C578" s="26" t="str">
        <f t="shared" ca="1" si="0"/>
        <v xml:space="preserve"> MAULLÍN</v>
      </c>
      <c r="D578" s="10" t="str">
        <f ca="1">IFERROR(__xludf.DUMMYFUNCTION("""COMPUTED_VALUE"""),"Resolución de Transferencia")</f>
        <v>Resolución de Transferencia</v>
      </c>
      <c r="E578" s="26" t="str">
        <f ca="1">IFERROR(__xludf.DUMMYFUNCTION("""COMPUTED_VALUE"""),"MUNICIPALIDAD DE MAULLÍN")</f>
        <v>MUNICIPALIDAD DE MAULLÍN</v>
      </c>
      <c r="F578" s="11">
        <f ca="1">IFERROR(__xludf.DUMMYFUNCTION("""COMPUTED_VALUE"""),63224035)</f>
        <v>63224035</v>
      </c>
      <c r="G578" s="10" t="str">
        <f ca="1">IFERROR(__xludf.DUMMYFUNCTION("""COMPUTED_VALUE"""),"Resolución")</f>
        <v>Resolución</v>
      </c>
      <c r="H578" s="10" t="str">
        <f ca="1">IFERROR(__xludf.DUMMYFUNCTION("""COMPUTED_VALUE"""),"COMPENSACIÓN PREDIOS EXENTOS")</f>
        <v>COMPENSACIÓN PREDIOS EXENTOS</v>
      </c>
      <c r="I578" s="10" t="str">
        <f ca="1">IFERROR(__xludf.DUMMYFUNCTION("""COMPUTED_VALUE"""),"Cumplir con normativa y reglamentos internos del programa en base a los objetivos.")</f>
        <v>Cumplir con normativa y reglamentos internos del programa en base a los objetivos.</v>
      </c>
      <c r="J578" s="11">
        <f ca="1">IFERROR(__xludf.DUMMYFUNCTION("""COMPUTED_VALUE"""),63224035)</f>
        <v>63224035</v>
      </c>
      <c r="K578" s="27">
        <f ca="1">IFERROR(__xludf.DUMMYFUNCTION("""COMPUTED_VALUE"""),1)</f>
        <v>1</v>
      </c>
      <c r="L578" s="28" t="str">
        <f ca="1">IFERROR(__xludf.DUMMYFUNCTION("""COMPUTED_VALUE"""),"1/2024")</f>
        <v>1/2024</v>
      </c>
      <c r="M578" s="10" t="str">
        <f ca="1">IFERROR(__xludf.DUMMYFUNCTION("""COMPUTED_VALUE"""),"Predios Exentos")</f>
        <v>Predios Exentos</v>
      </c>
      <c r="N578" s="1"/>
      <c r="O578" s="1"/>
      <c r="P578" s="1"/>
      <c r="Q578" s="1"/>
      <c r="R578" s="1"/>
      <c r="S578" s="1"/>
      <c r="T578" s="1"/>
      <c r="U578" s="1"/>
      <c r="V578" s="1"/>
      <c r="W578" s="1"/>
      <c r="X578" s="1"/>
      <c r="Y578" s="1"/>
      <c r="Z578" s="1"/>
    </row>
    <row r="579" spans="1:26" ht="12.75" customHeight="1">
      <c r="A579" s="1"/>
      <c r="B579" s="10" t="str">
        <f ca="1">IFERROR(__xludf.DUMMYFUNCTION("""COMPUTED_VALUE"""),"Compensación Predios Exentos 2024")</f>
        <v>Compensación Predios Exentos 2024</v>
      </c>
      <c r="C579" s="26" t="str">
        <f t="shared" ca="1" si="0"/>
        <v xml:space="preserve"> LOS MUERMOS</v>
      </c>
      <c r="D579" s="10" t="str">
        <f ca="1">IFERROR(__xludf.DUMMYFUNCTION("""COMPUTED_VALUE"""),"Resolución de Transferencia")</f>
        <v>Resolución de Transferencia</v>
      </c>
      <c r="E579" s="26" t="str">
        <f ca="1">IFERROR(__xludf.DUMMYFUNCTION("""COMPUTED_VALUE"""),"MUNICIPALIDAD DE LOS MUERMOS")</f>
        <v>MUNICIPALIDAD DE LOS MUERMOS</v>
      </c>
      <c r="F579" s="11">
        <f ca="1">IFERROR(__xludf.DUMMYFUNCTION("""COMPUTED_VALUE"""),67932316)</f>
        <v>67932316</v>
      </c>
      <c r="G579" s="10" t="str">
        <f ca="1">IFERROR(__xludf.DUMMYFUNCTION("""COMPUTED_VALUE"""),"Resolución")</f>
        <v>Resolución</v>
      </c>
      <c r="H579" s="10" t="str">
        <f ca="1">IFERROR(__xludf.DUMMYFUNCTION("""COMPUTED_VALUE"""),"COMPENSACIÓN PREDIOS EXENTOS")</f>
        <v>COMPENSACIÓN PREDIOS EXENTOS</v>
      </c>
      <c r="I579" s="10" t="str">
        <f ca="1">IFERROR(__xludf.DUMMYFUNCTION("""COMPUTED_VALUE"""),"Cumplir con normativa y reglamentos internos del programa en base a los objetivos.")</f>
        <v>Cumplir con normativa y reglamentos internos del programa en base a los objetivos.</v>
      </c>
      <c r="J579" s="11">
        <f ca="1">IFERROR(__xludf.DUMMYFUNCTION("""COMPUTED_VALUE"""),67932316)</f>
        <v>67932316</v>
      </c>
      <c r="K579" s="27">
        <f ca="1">IFERROR(__xludf.DUMMYFUNCTION("""COMPUTED_VALUE"""),1)</f>
        <v>1</v>
      </c>
      <c r="L579" s="28" t="str">
        <f ca="1">IFERROR(__xludf.DUMMYFUNCTION("""COMPUTED_VALUE"""),"1/2024")</f>
        <v>1/2024</v>
      </c>
      <c r="M579" s="10" t="str">
        <f ca="1">IFERROR(__xludf.DUMMYFUNCTION("""COMPUTED_VALUE"""),"Predios Exentos")</f>
        <v>Predios Exentos</v>
      </c>
      <c r="N579" s="1"/>
      <c r="O579" s="1"/>
      <c r="P579" s="1"/>
      <c r="Q579" s="1"/>
      <c r="R579" s="1"/>
      <c r="S579" s="1"/>
      <c r="T579" s="1"/>
      <c r="U579" s="1"/>
      <c r="V579" s="1"/>
      <c r="W579" s="1"/>
      <c r="X579" s="1"/>
      <c r="Y579" s="1"/>
      <c r="Z579" s="1"/>
    </row>
    <row r="580" spans="1:26" ht="12.75" customHeight="1">
      <c r="A580" s="1"/>
      <c r="B580" s="10" t="str">
        <f ca="1">IFERROR(__xludf.DUMMYFUNCTION("""COMPUTED_VALUE"""),"Compensación Predios Exentos 2024")</f>
        <v>Compensación Predios Exentos 2024</v>
      </c>
      <c r="C580" s="26" t="str">
        <f t="shared" ca="1" si="0"/>
        <v xml:space="preserve"> QUEILÉN</v>
      </c>
      <c r="D580" s="10" t="str">
        <f ca="1">IFERROR(__xludf.DUMMYFUNCTION("""COMPUTED_VALUE"""),"Resolución de Transferencia")</f>
        <v>Resolución de Transferencia</v>
      </c>
      <c r="E580" s="26" t="str">
        <f ca="1">IFERROR(__xludf.DUMMYFUNCTION("""COMPUTED_VALUE"""),"MUNICIPALIDAD DE QUEILÉN")</f>
        <v>MUNICIPALIDAD DE QUEILÉN</v>
      </c>
      <c r="F580" s="11">
        <f ca="1">IFERROR(__xludf.DUMMYFUNCTION("""COMPUTED_VALUE"""),39825922)</f>
        <v>39825922</v>
      </c>
      <c r="G580" s="10" t="str">
        <f ca="1">IFERROR(__xludf.DUMMYFUNCTION("""COMPUTED_VALUE"""),"Resolución")</f>
        <v>Resolución</v>
      </c>
      <c r="H580" s="10" t="str">
        <f ca="1">IFERROR(__xludf.DUMMYFUNCTION("""COMPUTED_VALUE"""),"COMPENSACIÓN PREDIOS EXENTOS")</f>
        <v>COMPENSACIÓN PREDIOS EXENTOS</v>
      </c>
      <c r="I580" s="10" t="str">
        <f ca="1">IFERROR(__xludf.DUMMYFUNCTION("""COMPUTED_VALUE"""),"Cumplir con normativa y reglamentos internos del programa en base a los objetivos.")</f>
        <v>Cumplir con normativa y reglamentos internos del programa en base a los objetivos.</v>
      </c>
      <c r="J580" s="11">
        <f ca="1">IFERROR(__xludf.DUMMYFUNCTION("""COMPUTED_VALUE"""),39825922)</f>
        <v>39825922</v>
      </c>
      <c r="K580" s="27">
        <f ca="1">IFERROR(__xludf.DUMMYFUNCTION("""COMPUTED_VALUE"""),1)</f>
        <v>1</v>
      </c>
      <c r="L580" s="28" t="str">
        <f ca="1">IFERROR(__xludf.DUMMYFUNCTION("""COMPUTED_VALUE"""),"1/2024")</f>
        <v>1/2024</v>
      </c>
      <c r="M580" s="10" t="str">
        <f ca="1">IFERROR(__xludf.DUMMYFUNCTION("""COMPUTED_VALUE"""),"Predios Exentos")</f>
        <v>Predios Exentos</v>
      </c>
      <c r="N580" s="1"/>
      <c r="O580" s="1"/>
      <c r="P580" s="1"/>
      <c r="Q580" s="1"/>
      <c r="R580" s="1"/>
      <c r="S580" s="1"/>
      <c r="T580" s="1"/>
      <c r="U580" s="1"/>
      <c r="V580" s="1"/>
      <c r="W580" s="1"/>
      <c r="X580" s="1"/>
      <c r="Y580" s="1"/>
      <c r="Z580" s="1"/>
    </row>
    <row r="581" spans="1:26" ht="12.75" customHeight="1">
      <c r="A581" s="1"/>
      <c r="B581" s="10" t="str">
        <f ca="1">IFERROR(__xludf.DUMMYFUNCTION("""COMPUTED_VALUE"""),"Compensación Predios Exentos 2024")</f>
        <v>Compensación Predios Exentos 2024</v>
      </c>
      <c r="C581" s="26" t="str">
        <f t="shared" ca="1" si="0"/>
        <v xml:space="preserve"> PUQUELDÓN</v>
      </c>
      <c r="D581" s="10" t="str">
        <f ca="1">IFERROR(__xludf.DUMMYFUNCTION("""COMPUTED_VALUE"""),"Resolución de Transferencia")</f>
        <v>Resolución de Transferencia</v>
      </c>
      <c r="E581" s="26" t="str">
        <f ca="1">IFERROR(__xludf.DUMMYFUNCTION("""COMPUTED_VALUE"""),"MUNICIPALIDAD DE PUQUELDÓN")</f>
        <v>MUNICIPALIDAD DE PUQUELDÓN</v>
      </c>
      <c r="F581" s="11">
        <f ca="1">IFERROR(__xludf.DUMMYFUNCTION("""COMPUTED_VALUE"""),27400152)</f>
        <v>27400152</v>
      </c>
      <c r="G581" s="10" t="str">
        <f ca="1">IFERROR(__xludf.DUMMYFUNCTION("""COMPUTED_VALUE"""),"Resolución")</f>
        <v>Resolución</v>
      </c>
      <c r="H581" s="10" t="str">
        <f ca="1">IFERROR(__xludf.DUMMYFUNCTION("""COMPUTED_VALUE"""),"COMPENSACIÓN PREDIOS EXENTOS")</f>
        <v>COMPENSACIÓN PREDIOS EXENTOS</v>
      </c>
      <c r="I581" s="10" t="str">
        <f ca="1">IFERROR(__xludf.DUMMYFUNCTION("""COMPUTED_VALUE"""),"Cumplir con normativa y reglamentos internos del programa en base a los objetivos.")</f>
        <v>Cumplir con normativa y reglamentos internos del programa en base a los objetivos.</v>
      </c>
      <c r="J581" s="11">
        <f ca="1">IFERROR(__xludf.DUMMYFUNCTION("""COMPUTED_VALUE"""),27400152)</f>
        <v>27400152</v>
      </c>
      <c r="K581" s="27">
        <f ca="1">IFERROR(__xludf.DUMMYFUNCTION("""COMPUTED_VALUE"""),1)</f>
        <v>1</v>
      </c>
      <c r="L581" s="28" t="str">
        <f ca="1">IFERROR(__xludf.DUMMYFUNCTION("""COMPUTED_VALUE"""),"1/2024")</f>
        <v>1/2024</v>
      </c>
      <c r="M581" s="10" t="str">
        <f ca="1">IFERROR(__xludf.DUMMYFUNCTION("""COMPUTED_VALUE"""),"Predios Exentos")</f>
        <v>Predios Exentos</v>
      </c>
      <c r="N581" s="1"/>
      <c r="O581" s="1"/>
      <c r="P581" s="1"/>
      <c r="Q581" s="1"/>
      <c r="R581" s="1"/>
      <c r="S581" s="1"/>
      <c r="T581" s="1"/>
      <c r="U581" s="1"/>
      <c r="V581" s="1"/>
      <c r="W581" s="1"/>
      <c r="X581" s="1"/>
      <c r="Y581" s="1"/>
      <c r="Z581" s="1"/>
    </row>
    <row r="582" spans="1:26" ht="12.75" customHeight="1">
      <c r="A582" s="1"/>
      <c r="B582" s="10" t="str">
        <f ca="1">IFERROR(__xludf.DUMMYFUNCTION("""COMPUTED_VALUE"""),"Compensación Predios Exentos 2024")</f>
        <v>Compensación Predios Exentos 2024</v>
      </c>
      <c r="C582" s="26" t="str">
        <f t="shared" ca="1" si="0"/>
        <v xml:space="preserve"> DIEGO DE ALMAGRO</v>
      </c>
      <c r="D582" s="10" t="str">
        <f ca="1">IFERROR(__xludf.DUMMYFUNCTION("""COMPUTED_VALUE"""),"Resolución de Transferencia")</f>
        <v>Resolución de Transferencia</v>
      </c>
      <c r="E582" s="26" t="str">
        <f ca="1">IFERROR(__xludf.DUMMYFUNCTION("""COMPUTED_VALUE"""),"MUNICIPALIDAD DE DIEGO DE ALMAGRO")</f>
        <v>MUNICIPALIDAD DE DIEGO DE ALMAGRO</v>
      </c>
      <c r="F582" s="11">
        <f ca="1">IFERROR(__xludf.DUMMYFUNCTION("""COMPUTED_VALUE"""),32845382)</f>
        <v>32845382</v>
      </c>
      <c r="G582" s="10" t="str">
        <f ca="1">IFERROR(__xludf.DUMMYFUNCTION("""COMPUTED_VALUE"""),"Resolución")</f>
        <v>Resolución</v>
      </c>
      <c r="H582" s="10" t="str">
        <f ca="1">IFERROR(__xludf.DUMMYFUNCTION("""COMPUTED_VALUE"""),"COMPENSACIÓN PREDIOS EXENTOS")</f>
        <v>COMPENSACIÓN PREDIOS EXENTOS</v>
      </c>
      <c r="I582" s="10" t="str">
        <f ca="1">IFERROR(__xludf.DUMMYFUNCTION("""COMPUTED_VALUE"""),"Cumplir con normativa y reglamentos internos del programa en base a los objetivos.")</f>
        <v>Cumplir con normativa y reglamentos internos del programa en base a los objetivos.</v>
      </c>
      <c r="J582" s="11">
        <f ca="1">IFERROR(__xludf.DUMMYFUNCTION("""COMPUTED_VALUE"""),32845382)</f>
        <v>32845382</v>
      </c>
      <c r="K582" s="27">
        <f ca="1">IFERROR(__xludf.DUMMYFUNCTION("""COMPUTED_VALUE"""),1)</f>
        <v>1</v>
      </c>
      <c r="L582" s="28" t="str">
        <f ca="1">IFERROR(__xludf.DUMMYFUNCTION("""COMPUTED_VALUE"""),"1/2024")</f>
        <v>1/2024</v>
      </c>
      <c r="M582" s="10" t="str">
        <f ca="1">IFERROR(__xludf.DUMMYFUNCTION("""COMPUTED_VALUE"""),"Predios Exentos")</f>
        <v>Predios Exentos</v>
      </c>
      <c r="N582" s="1"/>
      <c r="O582" s="1"/>
      <c r="P582" s="1"/>
      <c r="Q582" s="1"/>
      <c r="R582" s="1"/>
      <c r="S582" s="1"/>
      <c r="T582" s="1"/>
      <c r="U582" s="1"/>
      <c r="V582" s="1"/>
      <c r="W582" s="1"/>
      <c r="X582" s="1"/>
      <c r="Y582" s="1"/>
      <c r="Z582" s="1"/>
    </row>
    <row r="583" spans="1:26" ht="12.75" customHeight="1">
      <c r="A583" s="1"/>
      <c r="B583" s="10" t="str">
        <f ca="1">IFERROR(__xludf.DUMMYFUNCTION("""COMPUTED_VALUE"""),"Compensación Predios Exentos 2024")</f>
        <v>Compensación Predios Exentos 2024</v>
      </c>
      <c r="C583" s="26" t="str">
        <f t="shared" ca="1" si="0"/>
        <v xml:space="preserve"> ANTUCO</v>
      </c>
      <c r="D583" s="10" t="str">
        <f ca="1">IFERROR(__xludf.DUMMYFUNCTION("""COMPUTED_VALUE"""),"Resolución de Transferencia")</f>
        <v>Resolución de Transferencia</v>
      </c>
      <c r="E583" s="26" t="str">
        <f ca="1">IFERROR(__xludf.DUMMYFUNCTION("""COMPUTED_VALUE"""),"MUNICIPALIDAD DE ANTUCO")</f>
        <v>MUNICIPALIDAD DE ANTUCO</v>
      </c>
      <c r="F583" s="11">
        <f ca="1">IFERROR(__xludf.DUMMYFUNCTION("""COMPUTED_VALUE"""),26202611)</f>
        <v>26202611</v>
      </c>
      <c r="G583" s="10" t="str">
        <f ca="1">IFERROR(__xludf.DUMMYFUNCTION("""COMPUTED_VALUE"""),"Resolución")</f>
        <v>Resolución</v>
      </c>
      <c r="H583" s="10" t="str">
        <f ca="1">IFERROR(__xludf.DUMMYFUNCTION("""COMPUTED_VALUE"""),"COMPENSACIÓN PREDIOS EXENTOS")</f>
        <v>COMPENSACIÓN PREDIOS EXENTOS</v>
      </c>
      <c r="I583" s="10" t="str">
        <f ca="1">IFERROR(__xludf.DUMMYFUNCTION("""COMPUTED_VALUE"""),"Cumplir con normativa y reglamentos internos del programa en base a los objetivos.")</f>
        <v>Cumplir con normativa y reglamentos internos del programa en base a los objetivos.</v>
      </c>
      <c r="J583" s="11">
        <f ca="1">IFERROR(__xludf.DUMMYFUNCTION("""COMPUTED_VALUE"""),26202611)</f>
        <v>26202611</v>
      </c>
      <c r="K583" s="27">
        <f ca="1">IFERROR(__xludf.DUMMYFUNCTION("""COMPUTED_VALUE"""),1)</f>
        <v>1</v>
      </c>
      <c r="L583" s="28" t="str">
        <f ca="1">IFERROR(__xludf.DUMMYFUNCTION("""COMPUTED_VALUE"""),"1/2024")</f>
        <v>1/2024</v>
      </c>
      <c r="M583" s="10" t="str">
        <f ca="1">IFERROR(__xludf.DUMMYFUNCTION("""COMPUTED_VALUE"""),"Predios Exentos")</f>
        <v>Predios Exentos</v>
      </c>
      <c r="N583" s="1"/>
      <c r="O583" s="1"/>
      <c r="P583" s="1"/>
      <c r="Q583" s="1"/>
      <c r="R583" s="1"/>
      <c r="S583" s="1"/>
      <c r="T583" s="1"/>
      <c r="U583" s="1"/>
      <c r="V583" s="1"/>
      <c r="W583" s="1"/>
      <c r="X583" s="1"/>
      <c r="Y583" s="1"/>
      <c r="Z583" s="1"/>
    </row>
    <row r="584" spans="1:26" ht="12.75" customHeight="1">
      <c r="A584" s="1"/>
      <c r="B584" s="10" t="str">
        <f ca="1">IFERROR(__xludf.DUMMYFUNCTION("""COMPUTED_VALUE"""),"Compensación Predios Exentos 2024")</f>
        <v>Compensación Predios Exentos 2024</v>
      </c>
      <c r="C584" s="26" t="str">
        <f t="shared" ca="1" si="0"/>
        <v xml:space="preserve"> CAMIÑA</v>
      </c>
      <c r="D584" s="10" t="str">
        <f ca="1">IFERROR(__xludf.DUMMYFUNCTION("""COMPUTED_VALUE"""),"Resolución de Transferencia")</f>
        <v>Resolución de Transferencia</v>
      </c>
      <c r="E584" s="26" t="str">
        <f ca="1">IFERROR(__xludf.DUMMYFUNCTION("""COMPUTED_VALUE"""),"MUNICIPALIDAD DE CAMIÑA")</f>
        <v>MUNICIPALIDAD DE CAMIÑA</v>
      </c>
      <c r="F584" s="11">
        <f ca="1">IFERROR(__xludf.DUMMYFUNCTION("""COMPUTED_VALUE"""),19181130)</f>
        <v>19181130</v>
      </c>
      <c r="G584" s="10" t="str">
        <f ca="1">IFERROR(__xludf.DUMMYFUNCTION("""COMPUTED_VALUE"""),"Resolución")</f>
        <v>Resolución</v>
      </c>
      <c r="H584" s="10" t="str">
        <f ca="1">IFERROR(__xludf.DUMMYFUNCTION("""COMPUTED_VALUE"""),"COMPENSACIÓN PREDIOS EXENTOS")</f>
        <v>COMPENSACIÓN PREDIOS EXENTOS</v>
      </c>
      <c r="I584" s="10" t="str">
        <f ca="1">IFERROR(__xludf.DUMMYFUNCTION("""COMPUTED_VALUE"""),"Cumplir con normativa y reglamentos internos del programa en base a los objetivos.")</f>
        <v>Cumplir con normativa y reglamentos internos del programa en base a los objetivos.</v>
      </c>
      <c r="J584" s="11">
        <f ca="1">IFERROR(__xludf.DUMMYFUNCTION("""COMPUTED_VALUE"""),19181130)</f>
        <v>19181130</v>
      </c>
      <c r="K584" s="27">
        <f ca="1">IFERROR(__xludf.DUMMYFUNCTION("""COMPUTED_VALUE"""),1)</f>
        <v>1</v>
      </c>
      <c r="L584" s="28" t="str">
        <f ca="1">IFERROR(__xludf.DUMMYFUNCTION("""COMPUTED_VALUE"""),"1/2024")</f>
        <v>1/2024</v>
      </c>
      <c r="M584" s="10" t="str">
        <f ca="1">IFERROR(__xludf.DUMMYFUNCTION("""COMPUTED_VALUE"""),"Predios Exentos")</f>
        <v>Predios Exentos</v>
      </c>
      <c r="N584" s="1"/>
      <c r="O584" s="1"/>
      <c r="P584" s="1"/>
      <c r="Q584" s="1"/>
      <c r="R584" s="1"/>
      <c r="S584" s="1"/>
      <c r="T584" s="1"/>
      <c r="U584" s="1"/>
      <c r="V584" s="1"/>
      <c r="W584" s="1"/>
      <c r="X584" s="1"/>
      <c r="Y584" s="1"/>
      <c r="Z584" s="1"/>
    </row>
    <row r="585" spans="1:26" ht="12.75" customHeight="1">
      <c r="A585" s="1"/>
      <c r="B585" s="10" t="str">
        <f ca="1">IFERROR(__xludf.DUMMYFUNCTION("""COMPUTED_VALUE"""),"Compensación Predios Exentos 2024")</f>
        <v>Compensación Predios Exentos 2024</v>
      </c>
      <c r="C585" s="26" t="str">
        <f t="shared" ca="1" si="0"/>
        <v xml:space="preserve"> COCHAMÓ</v>
      </c>
      <c r="D585" s="10" t="str">
        <f ca="1">IFERROR(__xludf.DUMMYFUNCTION("""COMPUTED_VALUE"""),"Resolución de Transferencia")</f>
        <v>Resolución de Transferencia</v>
      </c>
      <c r="E585" s="26" t="str">
        <f ca="1">IFERROR(__xludf.DUMMYFUNCTION("""COMPUTED_VALUE"""),"MUNICIPALIDAD DE COCHAMÓ")</f>
        <v>MUNICIPALIDAD DE COCHAMÓ</v>
      </c>
      <c r="F585" s="11">
        <f ca="1">IFERROR(__xludf.DUMMYFUNCTION("""COMPUTED_VALUE"""),23613056)</f>
        <v>23613056</v>
      </c>
      <c r="G585" s="10" t="str">
        <f ca="1">IFERROR(__xludf.DUMMYFUNCTION("""COMPUTED_VALUE"""),"Resolución")</f>
        <v>Resolución</v>
      </c>
      <c r="H585" s="10" t="str">
        <f ca="1">IFERROR(__xludf.DUMMYFUNCTION("""COMPUTED_VALUE"""),"COMPENSACIÓN PREDIOS EXENTOS")</f>
        <v>COMPENSACIÓN PREDIOS EXENTOS</v>
      </c>
      <c r="I585" s="10" t="str">
        <f ca="1">IFERROR(__xludf.DUMMYFUNCTION("""COMPUTED_VALUE"""),"Cumplir con normativa y reglamentos internos del programa en base a los objetivos.")</f>
        <v>Cumplir con normativa y reglamentos internos del programa en base a los objetivos.</v>
      </c>
      <c r="J585" s="11">
        <f ca="1">IFERROR(__xludf.DUMMYFUNCTION("""COMPUTED_VALUE"""),23613056)</f>
        <v>23613056</v>
      </c>
      <c r="K585" s="27">
        <f ca="1">IFERROR(__xludf.DUMMYFUNCTION("""COMPUTED_VALUE"""),1)</f>
        <v>1</v>
      </c>
      <c r="L585" s="28" t="str">
        <f ca="1">IFERROR(__xludf.DUMMYFUNCTION("""COMPUTED_VALUE"""),"1/2024")</f>
        <v>1/2024</v>
      </c>
      <c r="M585" s="10" t="str">
        <f ca="1">IFERROR(__xludf.DUMMYFUNCTION("""COMPUTED_VALUE"""),"Predios Exentos")</f>
        <v>Predios Exentos</v>
      </c>
      <c r="N585" s="1"/>
      <c r="O585" s="1"/>
      <c r="P585" s="1"/>
      <c r="Q585" s="1"/>
      <c r="R585" s="1"/>
      <c r="S585" s="1"/>
      <c r="T585" s="1"/>
      <c r="U585" s="1"/>
      <c r="V585" s="1"/>
      <c r="W585" s="1"/>
      <c r="X585" s="1"/>
      <c r="Y585" s="1"/>
      <c r="Z585" s="1"/>
    </row>
    <row r="586" spans="1:26" ht="12.75" customHeight="1">
      <c r="A586" s="1"/>
      <c r="B586" s="10" t="str">
        <f ca="1">IFERROR(__xludf.DUMMYFUNCTION("""COMPUTED_VALUE"""),"Compensación Predios Exentos 2024")</f>
        <v>Compensación Predios Exentos 2024</v>
      </c>
      <c r="C586" s="26" t="str">
        <f t="shared" ca="1" si="0"/>
        <v xml:space="preserve"> JUAN FERNÁNDEZ</v>
      </c>
      <c r="D586" s="10" t="str">
        <f ca="1">IFERROR(__xludf.DUMMYFUNCTION("""COMPUTED_VALUE"""),"Resolución de Transferencia")</f>
        <v>Resolución de Transferencia</v>
      </c>
      <c r="E586" s="26" t="str">
        <f ca="1">IFERROR(__xludf.DUMMYFUNCTION("""COMPUTED_VALUE"""),"MUNICIPALIDAD DE JUAN FERNÁNDEZ")</f>
        <v>MUNICIPALIDAD DE JUAN FERNÁNDEZ</v>
      </c>
      <c r="F586" s="11">
        <f ca="1">IFERROR(__xludf.DUMMYFUNCTION("""COMPUTED_VALUE"""),3889450)</f>
        <v>3889450</v>
      </c>
      <c r="G586" s="10" t="str">
        <f ca="1">IFERROR(__xludf.DUMMYFUNCTION("""COMPUTED_VALUE"""),"Resolución")</f>
        <v>Resolución</v>
      </c>
      <c r="H586" s="10" t="str">
        <f ca="1">IFERROR(__xludf.DUMMYFUNCTION("""COMPUTED_VALUE"""),"COMPENSACIÓN PREDIOS EXENTOS")</f>
        <v>COMPENSACIÓN PREDIOS EXENTOS</v>
      </c>
      <c r="I586" s="10" t="str">
        <f ca="1">IFERROR(__xludf.DUMMYFUNCTION("""COMPUTED_VALUE"""),"Cumplir con normativa y reglamentos internos del programa en base a los objetivos.")</f>
        <v>Cumplir con normativa y reglamentos internos del programa en base a los objetivos.</v>
      </c>
      <c r="J586" s="11">
        <f ca="1">IFERROR(__xludf.DUMMYFUNCTION("""COMPUTED_VALUE"""),3889450)</f>
        <v>3889450</v>
      </c>
      <c r="K586" s="27">
        <f ca="1">IFERROR(__xludf.DUMMYFUNCTION("""COMPUTED_VALUE"""),1)</f>
        <v>1</v>
      </c>
      <c r="L586" s="28" t="str">
        <f ca="1">IFERROR(__xludf.DUMMYFUNCTION("""COMPUTED_VALUE"""),"1/2024")</f>
        <v>1/2024</v>
      </c>
      <c r="M586" s="10" t="str">
        <f ca="1">IFERROR(__xludf.DUMMYFUNCTION("""COMPUTED_VALUE"""),"Predios Exentos")</f>
        <v>Predios Exentos</v>
      </c>
      <c r="N586" s="1"/>
      <c r="O586" s="1"/>
      <c r="P586" s="1"/>
      <c r="Q586" s="1"/>
      <c r="R586" s="1"/>
      <c r="S586" s="1"/>
      <c r="T586" s="1"/>
      <c r="U586" s="1"/>
      <c r="V586" s="1"/>
      <c r="W586" s="1"/>
      <c r="X586" s="1"/>
      <c r="Y586" s="1"/>
      <c r="Z586" s="1"/>
    </row>
    <row r="587" spans="1:26" ht="12.75" customHeight="1">
      <c r="A587" s="1"/>
      <c r="B587" s="10" t="str">
        <f ca="1">IFERROR(__xludf.DUMMYFUNCTION("""COMPUTED_VALUE"""),"Compensación Predios Exentos 2024")</f>
        <v>Compensación Predios Exentos 2024</v>
      </c>
      <c r="C587" s="26" t="str">
        <f t="shared" ca="1" si="0"/>
        <v xml:space="preserve"> SAN PEDRO DE ATACAMA</v>
      </c>
      <c r="D587" s="10" t="str">
        <f ca="1">IFERROR(__xludf.DUMMYFUNCTION("""COMPUTED_VALUE"""),"Resolución de Transferencia")</f>
        <v>Resolución de Transferencia</v>
      </c>
      <c r="E587" s="26" t="str">
        <f ca="1">IFERROR(__xludf.DUMMYFUNCTION("""COMPUTED_VALUE"""),"MUNICIPALIDAD DE SAN PEDRO DE ATACAMA")</f>
        <v>MUNICIPALIDAD DE SAN PEDRO DE ATACAMA</v>
      </c>
      <c r="F587" s="11">
        <f ca="1">IFERROR(__xludf.DUMMYFUNCTION("""COMPUTED_VALUE"""),56632440)</f>
        <v>56632440</v>
      </c>
      <c r="G587" s="10" t="str">
        <f ca="1">IFERROR(__xludf.DUMMYFUNCTION("""COMPUTED_VALUE"""),"Resolución")</f>
        <v>Resolución</v>
      </c>
      <c r="H587" s="10" t="str">
        <f ca="1">IFERROR(__xludf.DUMMYFUNCTION("""COMPUTED_VALUE"""),"COMPENSACIÓN PREDIOS EXENTOS")</f>
        <v>COMPENSACIÓN PREDIOS EXENTOS</v>
      </c>
      <c r="I587" s="10" t="str">
        <f ca="1">IFERROR(__xludf.DUMMYFUNCTION("""COMPUTED_VALUE"""),"Cumplir con normativa y reglamentos internos del programa en base a los objetivos.")</f>
        <v>Cumplir con normativa y reglamentos internos del programa en base a los objetivos.</v>
      </c>
      <c r="J587" s="11">
        <f ca="1">IFERROR(__xludf.DUMMYFUNCTION("""COMPUTED_VALUE"""),56632440)</f>
        <v>56632440</v>
      </c>
      <c r="K587" s="27">
        <f ca="1">IFERROR(__xludf.DUMMYFUNCTION("""COMPUTED_VALUE"""),1)</f>
        <v>1</v>
      </c>
      <c r="L587" s="28" t="str">
        <f ca="1">IFERROR(__xludf.DUMMYFUNCTION("""COMPUTED_VALUE"""),"1/2024")</f>
        <v>1/2024</v>
      </c>
      <c r="M587" s="10" t="str">
        <f ca="1">IFERROR(__xludf.DUMMYFUNCTION("""COMPUTED_VALUE"""),"Predios Exentos")</f>
        <v>Predios Exentos</v>
      </c>
      <c r="N587" s="1"/>
      <c r="O587" s="1"/>
      <c r="P587" s="1"/>
      <c r="Q587" s="1"/>
      <c r="R587" s="1"/>
      <c r="S587" s="1"/>
      <c r="T587" s="1"/>
      <c r="U587" s="1"/>
      <c r="V587" s="1"/>
      <c r="W587" s="1"/>
      <c r="X587" s="1"/>
      <c r="Y587" s="1"/>
      <c r="Z587" s="1"/>
    </row>
    <row r="588" spans="1:26" ht="12.75" customHeight="1">
      <c r="A588" s="1"/>
      <c r="B588" s="10" t="str">
        <f ca="1">IFERROR(__xludf.DUMMYFUNCTION("""COMPUTED_VALUE"""),"Compensación Predios Exentos 2024")</f>
        <v>Compensación Predios Exentos 2024</v>
      </c>
      <c r="C588" s="26" t="str">
        <f t="shared" ca="1" si="0"/>
        <v xml:space="preserve"> OLLAGÜE</v>
      </c>
      <c r="D588" s="10" t="str">
        <f ca="1">IFERROR(__xludf.DUMMYFUNCTION("""COMPUTED_VALUE"""),"Resolución de Transferencia")</f>
        <v>Resolución de Transferencia</v>
      </c>
      <c r="E588" s="26" t="str">
        <f ca="1">IFERROR(__xludf.DUMMYFUNCTION("""COMPUTED_VALUE"""),"MUNICIPALIDAD DE OLLAGÜE")</f>
        <v>MUNICIPALIDAD DE OLLAGÜE</v>
      </c>
      <c r="F588" s="11">
        <f ca="1">IFERROR(__xludf.DUMMYFUNCTION("""COMPUTED_VALUE"""),1862842)</f>
        <v>1862842</v>
      </c>
      <c r="G588" s="10" t="str">
        <f ca="1">IFERROR(__xludf.DUMMYFUNCTION("""COMPUTED_VALUE"""),"Resolución")</f>
        <v>Resolución</v>
      </c>
      <c r="H588" s="10" t="str">
        <f ca="1">IFERROR(__xludf.DUMMYFUNCTION("""COMPUTED_VALUE"""),"COMPENSACIÓN PREDIOS EXENTOS")</f>
        <v>COMPENSACIÓN PREDIOS EXENTOS</v>
      </c>
      <c r="I588" s="10" t="str">
        <f ca="1">IFERROR(__xludf.DUMMYFUNCTION("""COMPUTED_VALUE"""),"Cumplir con normativa y reglamentos internos del programa en base a los objetivos.")</f>
        <v>Cumplir con normativa y reglamentos internos del programa en base a los objetivos.</v>
      </c>
      <c r="J588" s="11">
        <f ca="1">IFERROR(__xludf.DUMMYFUNCTION("""COMPUTED_VALUE"""),1862842)</f>
        <v>1862842</v>
      </c>
      <c r="K588" s="27">
        <f ca="1">IFERROR(__xludf.DUMMYFUNCTION("""COMPUTED_VALUE"""),1)</f>
        <v>1</v>
      </c>
      <c r="L588" s="28" t="str">
        <f ca="1">IFERROR(__xludf.DUMMYFUNCTION("""COMPUTED_VALUE"""),"1/2024")</f>
        <v>1/2024</v>
      </c>
      <c r="M588" s="10" t="str">
        <f ca="1">IFERROR(__xludf.DUMMYFUNCTION("""COMPUTED_VALUE"""),"Predios Exentos")</f>
        <v>Predios Exentos</v>
      </c>
      <c r="N588" s="1"/>
      <c r="O588" s="1"/>
      <c r="P588" s="1"/>
      <c r="Q588" s="1"/>
      <c r="R588" s="1"/>
      <c r="S588" s="1"/>
      <c r="T588" s="1"/>
      <c r="U588" s="1"/>
      <c r="V588" s="1"/>
      <c r="W588" s="1"/>
      <c r="X588" s="1"/>
      <c r="Y588" s="1"/>
      <c r="Z588" s="1"/>
    </row>
    <row r="589" spans="1:26" ht="12.75" customHeight="1">
      <c r="A589" s="1"/>
      <c r="B589" s="10" t="str">
        <f ca="1">IFERROR(__xludf.DUMMYFUNCTION("""COMPUTED_VALUE"""),"Compensación Predios Exentos 2024")</f>
        <v>Compensación Predios Exentos 2024</v>
      </c>
      <c r="C589" s="26" t="str">
        <f t="shared" ca="1" si="0"/>
        <v xml:space="preserve"> SIERRA GORDA</v>
      </c>
      <c r="D589" s="10" t="str">
        <f ca="1">IFERROR(__xludf.DUMMYFUNCTION("""COMPUTED_VALUE"""),"Resolución de Transferencia")</f>
        <v>Resolución de Transferencia</v>
      </c>
      <c r="E589" s="26" t="str">
        <f ca="1">IFERROR(__xludf.DUMMYFUNCTION("""COMPUTED_VALUE"""),"MUNICIPALIDAD DE SIERRA GORDA")</f>
        <v>MUNICIPALIDAD DE SIERRA GORDA</v>
      </c>
      <c r="F589" s="11">
        <f ca="1">IFERROR(__xludf.DUMMYFUNCTION("""COMPUTED_VALUE"""),9160678)</f>
        <v>9160678</v>
      </c>
      <c r="G589" s="10" t="str">
        <f ca="1">IFERROR(__xludf.DUMMYFUNCTION("""COMPUTED_VALUE"""),"Resolución")</f>
        <v>Resolución</v>
      </c>
      <c r="H589" s="10" t="str">
        <f ca="1">IFERROR(__xludf.DUMMYFUNCTION("""COMPUTED_VALUE"""),"COMPENSACIÓN PREDIOS EXENTOS")</f>
        <v>COMPENSACIÓN PREDIOS EXENTOS</v>
      </c>
      <c r="I589" s="10" t="str">
        <f ca="1">IFERROR(__xludf.DUMMYFUNCTION("""COMPUTED_VALUE"""),"Cumplir con normativa y reglamentos internos del programa en base a los objetivos.")</f>
        <v>Cumplir con normativa y reglamentos internos del programa en base a los objetivos.</v>
      </c>
      <c r="J589" s="11">
        <f ca="1">IFERROR(__xludf.DUMMYFUNCTION("""COMPUTED_VALUE"""),9160678)</f>
        <v>9160678</v>
      </c>
      <c r="K589" s="27">
        <f ca="1">IFERROR(__xludf.DUMMYFUNCTION("""COMPUTED_VALUE"""),1)</f>
        <v>1</v>
      </c>
      <c r="L589" s="28" t="str">
        <f ca="1">IFERROR(__xludf.DUMMYFUNCTION("""COMPUTED_VALUE"""),"1/2024")</f>
        <v>1/2024</v>
      </c>
      <c r="M589" s="10" t="str">
        <f ca="1">IFERROR(__xludf.DUMMYFUNCTION("""COMPUTED_VALUE"""),"Predios Exentos")</f>
        <v>Predios Exentos</v>
      </c>
      <c r="N589" s="1"/>
      <c r="O589" s="1"/>
      <c r="P589" s="1"/>
      <c r="Q589" s="1"/>
      <c r="R589" s="1"/>
      <c r="S589" s="1"/>
      <c r="T589" s="1"/>
      <c r="U589" s="1"/>
      <c r="V589" s="1"/>
      <c r="W589" s="1"/>
      <c r="X589" s="1"/>
      <c r="Y589" s="1"/>
      <c r="Z589" s="1"/>
    </row>
    <row r="590" spans="1:26" ht="12.75" customHeight="1">
      <c r="A590" s="1"/>
      <c r="B590" s="10" t="str">
        <f ca="1">IFERROR(__xludf.DUMMYFUNCTION("""COMPUTED_VALUE"""),"Compensación Predios Exentos 2024")</f>
        <v>Compensación Predios Exentos 2024</v>
      </c>
      <c r="C590" s="26" t="str">
        <f t="shared" ca="1" si="0"/>
        <v xml:space="preserve"> ALTO HOSPICIO</v>
      </c>
      <c r="D590" s="10" t="str">
        <f ca="1">IFERROR(__xludf.DUMMYFUNCTION("""COMPUTED_VALUE"""),"Resolución de Transferencia")</f>
        <v>Resolución de Transferencia</v>
      </c>
      <c r="E590" s="26" t="str">
        <f ca="1">IFERROR(__xludf.DUMMYFUNCTION("""COMPUTED_VALUE"""),"MUNICIPALIDAD DE ALTO HOSPICIO")</f>
        <v>MUNICIPALIDAD DE ALTO HOSPICIO</v>
      </c>
      <c r="F590" s="11">
        <f ca="1">IFERROR(__xludf.DUMMYFUNCTION("""COMPUTED_VALUE"""),301708737)</f>
        <v>301708737</v>
      </c>
      <c r="G590" s="10" t="str">
        <f ca="1">IFERROR(__xludf.DUMMYFUNCTION("""COMPUTED_VALUE"""),"Resolución")</f>
        <v>Resolución</v>
      </c>
      <c r="H590" s="10" t="str">
        <f ca="1">IFERROR(__xludf.DUMMYFUNCTION("""COMPUTED_VALUE"""),"COMPENSACIÓN PREDIOS EXENTOS")</f>
        <v>COMPENSACIÓN PREDIOS EXENTOS</v>
      </c>
      <c r="I590" s="10" t="str">
        <f ca="1">IFERROR(__xludf.DUMMYFUNCTION("""COMPUTED_VALUE"""),"Cumplir con normativa y reglamentos internos del programa en base a los objetivos.")</f>
        <v>Cumplir con normativa y reglamentos internos del programa en base a los objetivos.</v>
      </c>
      <c r="J590" s="11">
        <f ca="1">IFERROR(__xludf.DUMMYFUNCTION("""COMPUTED_VALUE"""),301708737)</f>
        <v>301708737</v>
      </c>
      <c r="K590" s="27">
        <f ca="1">IFERROR(__xludf.DUMMYFUNCTION("""COMPUTED_VALUE"""),1)</f>
        <v>1</v>
      </c>
      <c r="L590" s="28" t="str">
        <f ca="1">IFERROR(__xludf.DUMMYFUNCTION("""COMPUTED_VALUE"""),"1/2024")</f>
        <v>1/2024</v>
      </c>
      <c r="M590" s="10" t="str">
        <f ca="1">IFERROR(__xludf.DUMMYFUNCTION("""COMPUTED_VALUE"""),"Predios Exentos")</f>
        <v>Predios Exentos</v>
      </c>
      <c r="N590" s="1"/>
      <c r="O590" s="1"/>
      <c r="P590" s="1"/>
      <c r="Q590" s="1"/>
      <c r="R590" s="1"/>
      <c r="S590" s="1"/>
      <c r="T590" s="1"/>
      <c r="U590" s="1"/>
      <c r="V590" s="1"/>
      <c r="W590" s="1"/>
      <c r="X590" s="1"/>
      <c r="Y590" s="1"/>
      <c r="Z590" s="1"/>
    </row>
    <row r="591" spans="1:26" ht="12.75" customHeight="1">
      <c r="A591" s="1"/>
      <c r="B591" s="10" t="str">
        <f ca="1">IFERROR(__xludf.DUMMYFUNCTION("""COMPUTED_VALUE"""),"Compensación Predios Exentos 2024")</f>
        <v>Compensación Predios Exentos 2024</v>
      </c>
      <c r="C591" s="26" t="str">
        <f t="shared" ca="1" si="0"/>
        <v xml:space="preserve"> CONCÓN</v>
      </c>
      <c r="D591" s="10" t="str">
        <f ca="1">IFERROR(__xludf.DUMMYFUNCTION("""COMPUTED_VALUE"""),"Resolución de Transferencia")</f>
        <v>Resolución de Transferencia</v>
      </c>
      <c r="E591" s="26" t="str">
        <f ca="1">IFERROR(__xludf.DUMMYFUNCTION("""COMPUTED_VALUE"""),"MUNICIPALIDAD DE CONCÓN")</f>
        <v>MUNICIPALIDAD DE CONCÓN</v>
      </c>
      <c r="F591" s="11">
        <f ca="1">IFERROR(__xludf.DUMMYFUNCTION("""COMPUTED_VALUE"""),84012122)</f>
        <v>84012122</v>
      </c>
      <c r="G591" s="10" t="str">
        <f ca="1">IFERROR(__xludf.DUMMYFUNCTION("""COMPUTED_VALUE"""),"Resolución")</f>
        <v>Resolución</v>
      </c>
      <c r="H591" s="10" t="str">
        <f ca="1">IFERROR(__xludf.DUMMYFUNCTION("""COMPUTED_VALUE"""),"COMPENSACIÓN PREDIOS EXENTOS")</f>
        <v>COMPENSACIÓN PREDIOS EXENTOS</v>
      </c>
      <c r="I591" s="10" t="str">
        <f ca="1">IFERROR(__xludf.DUMMYFUNCTION("""COMPUTED_VALUE"""),"Cumplir con normativa y reglamentos internos del programa en base a los objetivos.")</f>
        <v>Cumplir con normativa y reglamentos internos del programa en base a los objetivos.</v>
      </c>
      <c r="J591" s="11">
        <f ca="1">IFERROR(__xludf.DUMMYFUNCTION("""COMPUTED_VALUE"""),84012122)</f>
        <v>84012122</v>
      </c>
      <c r="K591" s="27">
        <f ca="1">IFERROR(__xludf.DUMMYFUNCTION("""COMPUTED_VALUE"""),1)</f>
        <v>1</v>
      </c>
      <c r="L591" s="28" t="str">
        <f ca="1">IFERROR(__xludf.DUMMYFUNCTION("""COMPUTED_VALUE"""),"1/2024")</f>
        <v>1/2024</v>
      </c>
      <c r="M591" s="10" t="str">
        <f ca="1">IFERROR(__xludf.DUMMYFUNCTION("""COMPUTED_VALUE"""),"Predios Exentos")</f>
        <v>Predios Exentos</v>
      </c>
      <c r="N591" s="1"/>
      <c r="O591" s="1"/>
      <c r="P591" s="1"/>
      <c r="Q591" s="1"/>
      <c r="R591" s="1"/>
      <c r="S591" s="1"/>
      <c r="T591" s="1"/>
      <c r="U591" s="1"/>
      <c r="V591" s="1"/>
      <c r="W591" s="1"/>
      <c r="X591" s="1"/>
      <c r="Y591" s="1"/>
      <c r="Z591" s="1"/>
    </row>
    <row r="592" spans="1:26" ht="12.75" customHeight="1">
      <c r="A592" s="1"/>
      <c r="B592" s="10" t="str">
        <f ca="1">IFERROR(__xludf.DUMMYFUNCTION("""COMPUTED_VALUE"""),"Compensación Predios Exentos 2024")</f>
        <v>Compensación Predios Exentos 2024</v>
      </c>
      <c r="C592" s="26" t="str">
        <f t="shared" ca="1" si="0"/>
        <v xml:space="preserve"> SANTIAGO</v>
      </c>
      <c r="D592" s="10" t="str">
        <f ca="1">IFERROR(__xludf.DUMMYFUNCTION("""COMPUTED_VALUE"""),"Resolución de Transferencia")</f>
        <v>Resolución de Transferencia</v>
      </c>
      <c r="E592" s="26" t="str">
        <f ca="1">IFERROR(__xludf.DUMMYFUNCTION("""COMPUTED_VALUE"""),"MUNICIPALIDAD DE SANTIAGO")</f>
        <v>MUNICIPALIDAD DE SANTIAGO</v>
      </c>
      <c r="F592" s="11">
        <f ca="1">IFERROR(__xludf.DUMMYFUNCTION("""COMPUTED_VALUE"""),1375585904)</f>
        <v>1375585904</v>
      </c>
      <c r="G592" s="10" t="str">
        <f ca="1">IFERROR(__xludf.DUMMYFUNCTION("""COMPUTED_VALUE"""),"Resolución")</f>
        <v>Resolución</v>
      </c>
      <c r="H592" s="10" t="str">
        <f ca="1">IFERROR(__xludf.DUMMYFUNCTION("""COMPUTED_VALUE"""),"COMPENSACIÓN PREDIOS EXENTOS")</f>
        <v>COMPENSACIÓN PREDIOS EXENTOS</v>
      </c>
      <c r="I592" s="10" t="str">
        <f ca="1">IFERROR(__xludf.DUMMYFUNCTION("""COMPUTED_VALUE"""),"Cumplir con normativa y reglamentos internos del programa en base a los objetivos.")</f>
        <v>Cumplir con normativa y reglamentos internos del programa en base a los objetivos.</v>
      </c>
      <c r="J592" s="11">
        <f ca="1">IFERROR(__xludf.DUMMYFUNCTION("""COMPUTED_VALUE"""),1375585904)</f>
        <v>1375585904</v>
      </c>
      <c r="K592" s="27">
        <f ca="1">IFERROR(__xludf.DUMMYFUNCTION("""COMPUTED_VALUE"""),1)</f>
        <v>1</v>
      </c>
      <c r="L592" s="28" t="str">
        <f ca="1">IFERROR(__xludf.DUMMYFUNCTION("""COMPUTED_VALUE"""),"1/2024")</f>
        <v>1/2024</v>
      </c>
      <c r="M592" s="10" t="str">
        <f ca="1">IFERROR(__xludf.DUMMYFUNCTION("""COMPUTED_VALUE"""),"Predios Exentos")</f>
        <v>Predios Exentos</v>
      </c>
      <c r="N592" s="1"/>
      <c r="O592" s="1"/>
      <c r="P592" s="1"/>
      <c r="Q592" s="1"/>
      <c r="R592" s="1"/>
      <c r="S592" s="1"/>
      <c r="T592" s="1"/>
      <c r="U592" s="1"/>
      <c r="V592" s="1"/>
      <c r="W592" s="1"/>
      <c r="X592" s="1"/>
      <c r="Y592" s="1"/>
      <c r="Z592" s="1"/>
    </row>
    <row r="593" spans="1:26" ht="12.75" customHeight="1">
      <c r="A593" s="1"/>
      <c r="B593" s="10" t="str">
        <f ca="1">IFERROR(__xludf.DUMMYFUNCTION("""COMPUTED_VALUE"""),"Compensación Predios Exentos 2024")</f>
        <v>Compensación Predios Exentos 2024</v>
      </c>
      <c r="C593" s="26" t="str">
        <f t="shared" ca="1" si="0"/>
        <v xml:space="preserve"> MAIPÚ</v>
      </c>
      <c r="D593" s="10" t="str">
        <f ca="1">IFERROR(__xludf.DUMMYFUNCTION("""COMPUTED_VALUE"""),"Resolución de Transferencia")</f>
        <v>Resolución de Transferencia</v>
      </c>
      <c r="E593" s="26" t="str">
        <f ca="1">IFERROR(__xludf.DUMMYFUNCTION("""COMPUTED_VALUE"""),"MUNICIPALIDAD DE MAIPÚ")</f>
        <v>MUNICIPALIDAD DE MAIPÚ</v>
      </c>
      <c r="F593" s="11">
        <f ca="1">IFERROR(__xludf.DUMMYFUNCTION("""COMPUTED_VALUE"""),1243887077)</f>
        <v>1243887077</v>
      </c>
      <c r="G593" s="10" t="str">
        <f ca="1">IFERROR(__xludf.DUMMYFUNCTION("""COMPUTED_VALUE"""),"Resolución")</f>
        <v>Resolución</v>
      </c>
      <c r="H593" s="10" t="str">
        <f ca="1">IFERROR(__xludf.DUMMYFUNCTION("""COMPUTED_VALUE"""),"COMPENSACIÓN PREDIOS EXENTOS")</f>
        <v>COMPENSACIÓN PREDIOS EXENTOS</v>
      </c>
      <c r="I593" s="10" t="str">
        <f ca="1">IFERROR(__xludf.DUMMYFUNCTION("""COMPUTED_VALUE"""),"Cumplir con normativa y reglamentos internos del programa en base a los objetivos.")</f>
        <v>Cumplir con normativa y reglamentos internos del programa en base a los objetivos.</v>
      </c>
      <c r="J593" s="11">
        <f ca="1">IFERROR(__xludf.DUMMYFUNCTION("""COMPUTED_VALUE"""),1243887077)</f>
        <v>1243887077</v>
      </c>
      <c r="K593" s="27">
        <f ca="1">IFERROR(__xludf.DUMMYFUNCTION("""COMPUTED_VALUE"""),1)</f>
        <v>1</v>
      </c>
      <c r="L593" s="28" t="str">
        <f ca="1">IFERROR(__xludf.DUMMYFUNCTION("""COMPUTED_VALUE"""),"1/2024")</f>
        <v>1/2024</v>
      </c>
      <c r="M593" s="10" t="str">
        <f ca="1">IFERROR(__xludf.DUMMYFUNCTION("""COMPUTED_VALUE"""),"Predios Exentos")</f>
        <v>Predios Exentos</v>
      </c>
      <c r="N593" s="1"/>
      <c r="O593" s="1"/>
      <c r="P593" s="1"/>
      <c r="Q593" s="1"/>
      <c r="R593" s="1"/>
      <c r="S593" s="1"/>
      <c r="T593" s="1"/>
      <c r="U593" s="1"/>
      <c r="V593" s="1"/>
      <c r="W593" s="1"/>
      <c r="X593" s="1"/>
      <c r="Y593" s="1"/>
      <c r="Z593" s="1"/>
    </row>
    <row r="594" spans="1:26" ht="12.75" customHeight="1">
      <c r="A594" s="1"/>
      <c r="B594" s="10" t="str">
        <f ca="1">IFERROR(__xludf.DUMMYFUNCTION("""COMPUTED_VALUE"""),"Compensación Predios Exentos 2024")</f>
        <v>Compensación Predios Exentos 2024</v>
      </c>
      <c r="C594" s="26" t="str">
        <f t="shared" ca="1" si="0"/>
        <v xml:space="preserve"> QUINTA NORMAL</v>
      </c>
      <c r="D594" s="10" t="str">
        <f ca="1">IFERROR(__xludf.DUMMYFUNCTION("""COMPUTED_VALUE"""),"Resolución de Transferencia")</f>
        <v>Resolución de Transferencia</v>
      </c>
      <c r="E594" s="26" t="str">
        <f ca="1">IFERROR(__xludf.DUMMYFUNCTION("""COMPUTED_VALUE"""),"MUNICIPALIDAD DE QUINTA NORMAL")</f>
        <v>MUNICIPALIDAD DE QUINTA NORMAL</v>
      </c>
      <c r="F594" s="11">
        <f ca="1">IFERROR(__xludf.DUMMYFUNCTION("""COMPUTED_VALUE"""),345434344)</f>
        <v>345434344</v>
      </c>
      <c r="G594" s="10" t="str">
        <f ca="1">IFERROR(__xludf.DUMMYFUNCTION("""COMPUTED_VALUE"""),"Resolución")</f>
        <v>Resolución</v>
      </c>
      <c r="H594" s="10" t="str">
        <f ca="1">IFERROR(__xludf.DUMMYFUNCTION("""COMPUTED_VALUE"""),"COMPENSACIÓN PREDIOS EXENTOS")</f>
        <v>COMPENSACIÓN PREDIOS EXENTOS</v>
      </c>
      <c r="I594" s="10" t="str">
        <f ca="1">IFERROR(__xludf.DUMMYFUNCTION("""COMPUTED_VALUE"""),"Cumplir con normativa y reglamentos internos del programa en base a los objetivos.")</f>
        <v>Cumplir con normativa y reglamentos internos del programa en base a los objetivos.</v>
      </c>
      <c r="J594" s="11">
        <f ca="1">IFERROR(__xludf.DUMMYFUNCTION("""COMPUTED_VALUE"""),345434344)</f>
        <v>345434344</v>
      </c>
      <c r="K594" s="27">
        <f ca="1">IFERROR(__xludf.DUMMYFUNCTION("""COMPUTED_VALUE"""),1)</f>
        <v>1</v>
      </c>
      <c r="L594" s="28" t="str">
        <f ca="1">IFERROR(__xludf.DUMMYFUNCTION("""COMPUTED_VALUE"""),"1/2024")</f>
        <v>1/2024</v>
      </c>
      <c r="M594" s="10" t="str">
        <f ca="1">IFERROR(__xludf.DUMMYFUNCTION("""COMPUTED_VALUE"""),"Predios Exentos")</f>
        <v>Predios Exentos</v>
      </c>
      <c r="N594" s="1"/>
      <c r="O594" s="1"/>
      <c r="P594" s="1"/>
      <c r="Q594" s="1"/>
      <c r="R594" s="1"/>
      <c r="S594" s="1"/>
      <c r="T594" s="1"/>
      <c r="U594" s="1"/>
      <c r="V594" s="1"/>
      <c r="W594" s="1"/>
      <c r="X594" s="1"/>
      <c r="Y594" s="1"/>
      <c r="Z594" s="1"/>
    </row>
    <row r="595" spans="1:26" ht="12.75" customHeight="1">
      <c r="A595" s="1"/>
      <c r="B595" s="10" t="str">
        <f ca="1">IFERROR(__xludf.DUMMYFUNCTION("""COMPUTED_VALUE"""),"Compensación Predios Exentos 2024")</f>
        <v>Compensación Predios Exentos 2024</v>
      </c>
      <c r="C595" s="26" t="str">
        <f t="shared" ca="1" si="0"/>
        <v xml:space="preserve"> PUDAHUEL</v>
      </c>
      <c r="D595" s="10" t="str">
        <f ca="1">IFERROR(__xludf.DUMMYFUNCTION("""COMPUTED_VALUE"""),"Resolución de Transferencia")</f>
        <v>Resolución de Transferencia</v>
      </c>
      <c r="E595" s="26" t="str">
        <f ca="1">IFERROR(__xludf.DUMMYFUNCTION("""COMPUTED_VALUE"""),"MUNICIPALIDAD DE PUDAHUEL")</f>
        <v>MUNICIPALIDAD DE PUDAHUEL</v>
      </c>
      <c r="F595" s="11">
        <f ca="1">IFERROR(__xludf.DUMMYFUNCTION("""COMPUTED_VALUE"""),542332637)</f>
        <v>542332637</v>
      </c>
      <c r="G595" s="10" t="str">
        <f ca="1">IFERROR(__xludf.DUMMYFUNCTION("""COMPUTED_VALUE"""),"Resolución")</f>
        <v>Resolución</v>
      </c>
      <c r="H595" s="10" t="str">
        <f ca="1">IFERROR(__xludf.DUMMYFUNCTION("""COMPUTED_VALUE"""),"COMPENSACIÓN PREDIOS EXENTOS")</f>
        <v>COMPENSACIÓN PREDIOS EXENTOS</v>
      </c>
      <c r="I595" s="10" t="str">
        <f ca="1">IFERROR(__xludf.DUMMYFUNCTION("""COMPUTED_VALUE"""),"Cumplir con normativa y reglamentos internos del programa en base a los objetivos.")</f>
        <v>Cumplir con normativa y reglamentos internos del programa en base a los objetivos.</v>
      </c>
      <c r="J595" s="11">
        <f ca="1">IFERROR(__xludf.DUMMYFUNCTION("""COMPUTED_VALUE"""),542332637)</f>
        <v>542332637</v>
      </c>
      <c r="K595" s="27">
        <f ca="1">IFERROR(__xludf.DUMMYFUNCTION("""COMPUTED_VALUE"""),1)</f>
        <v>1</v>
      </c>
      <c r="L595" s="28" t="str">
        <f ca="1">IFERROR(__xludf.DUMMYFUNCTION("""COMPUTED_VALUE"""),"1/2024")</f>
        <v>1/2024</v>
      </c>
      <c r="M595" s="10" t="str">
        <f ca="1">IFERROR(__xludf.DUMMYFUNCTION("""COMPUTED_VALUE"""),"Predios Exentos")</f>
        <v>Predios Exentos</v>
      </c>
      <c r="N595" s="1"/>
      <c r="O595" s="1"/>
      <c r="P595" s="1"/>
      <c r="Q595" s="1"/>
      <c r="R595" s="1"/>
      <c r="S595" s="1"/>
      <c r="T595" s="1"/>
      <c r="U595" s="1"/>
      <c r="V595" s="1"/>
      <c r="W595" s="1"/>
      <c r="X595" s="1"/>
      <c r="Y595" s="1"/>
      <c r="Z595" s="1"/>
    </row>
    <row r="596" spans="1:26" ht="12.75" customHeight="1">
      <c r="A596" s="1"/>
      <c r="B596" s="10" t="str">
        <f ca="1">IFERROR(__xludf.DUMMYFUNCTION("""COMPUTED_VALUE"""),"Compensación Predios Exentos 2024")</f>
        <v>Compensación Predios Exentos 2024</v>
      </c>
      <c r="C596" s="26" t="str">
        <f t="shared" ca="1" si="0"/>
        <v xml:space="preserve"> RENCA</v>
      </c>
      <c r="D596" s="10" t="str">
        <f ca="1">IFERROR(__xludf.DUMMYFUNCTION("""COMPUTED_VALUE"""),"Resolución de Transferencia")</f>
        <v>Resolución de Transferencia</v>
      </c>
      <c r="E596" s="26" t="str">
        <f ca="1">IFERROR(__xludf.DUMMYFUNCTION("""COMPUTED_VALUE"""),"MUNICIPALIDAD DE RENCA")</f>
        <v>MUNICIPALIDAD DE RENCA</v>
      </c>
      <c r="F596" s="11">
        <f ca="1">IFERROR(__xludf.DUMMYFUNCTION("""COMPUTED_VALUE"""),413755605)</f>
        <v>413755605</v>
      </c>
      <c r="G596" s="10" t="str">
        <f ca="1">IFERROR(__xludf.DUMMYFUNCTION("""COMPUTED_VALUE"""),"Resolución")</f>
        <v>Resolución</v>
      </c>
      <c r="H596" s="10" t="str">
        <f ca="1">IFERROR(__xludf.DUMMYFUNCTION("""COMPUTED_VALUE"""),"COMPENSACIÓN PREDIOS EXENTOS")</f>
        <v>COMPENSACIÓN PREDIOS EXENTOS</v>
      </c>
      <c r="I596" s="10" t="str">
        <f ca="1">IFERROR(__xludf.DUMMYFUNCTION("""COMPUTED_VALUE"""),"Cumplir con normativa y reglamentos internos del programa en base a los objetivos.")</f>
        <v>Cumplir con normativa y reglamentos internos del programa en base a los objetivos.</v>
      </c>
      <c r="J596" s="11">
        <f ca="1">IFERROR(__xludf.DUMMYFUNCTION("""COMPUTED_VALUE"""),413755605)</f>
        <v>413755605</v>
      </c>
      <c r="K596" s="27">
        <f ca="1">IFERROR(__xludf.DUMMYFUNCTION("""COMPUTED_VALUE"""),1)</f>
        <v>1</v>
      </c>
      <c r="L596" s="28" t="str">
        <f ca="1">IFERROR(__xludf.DUMMYFUNCTION("""COMPUTED_VALUE"""),"1/2024")</f>
        <v>1/2024</v>
      </c>
      <c r="M596" s="10" t="str">
        <f ca="1">IFERROR(__xludf.DUMMYFUNCTION("""COMPUTED_VALUE"""),"Predios Exentos")</f>
        <v>Predios Exentos</v>
      </c>
      <c r="N596" s="1"/>
      <c r="O596" s="1"/>
      <c r="P596" s="1"/>
      <c r="Q596" s="1"/>
      <c r="R596" s="1"/>
      <c r="S596" s="1"/>
      <c r="T596" s="1"/>
      <c r="U596" s="1"/>
      <c r="V596" s="1"/>
      <c r="W596" s="1"/>
      <c r="X596" s="1"/>
      <c r="Y596" s="1"/>
      <c r="Z596" s="1"/>
    </row>
    <row r="597" spans="1:26" ht="12.75" customHeight="1">
      <c r="A597" s="1"/>
      <c r="B597" s="10" t="str">
        <f ca="1">IFERROR(__xludf.DUMMYFUNCTION("""COMPUTED_VALUE"""),"Compensación Predios Exentos 2024")</f>
        <v>Compensación Predios Exentos 2024</v>
      </c>
      <c r="C597" s="26" t="str">
        <f t="shared" ca="1" si="0"/>
        <v xml:space="preserve"> SAN JOSÉ DE MAIPO</v>
      </c>
      <c r="D597" s="10" t="str">
        <f ca="1">IFERROR(__xludf.DUMMYFUNCTION("""COMPUTED_VALUE"""),"Resolución de Transferencia")</f>
        <v>Resolución de Transferencia</v>
      </c>
      <c r="E597" s="26" t="str">
        <f ca="1">IFERROR(__xludf.DUMMYFUNCTION("""COMPUTED_VALUE"""),"MUNICIPALIDAD DE SAN JOSÉ DE MAIPO")</f>
        <v>MUNICIPALIDAD DE SAN JOSÉ DE MAIPO</v>
      </c>
      <c r="F597" s="11">
        <f ca="1">IFERROR(__xludf.DUMMYFUNCTION("""COMPUTED_VALUE"""),29570056)</f>
        <v>29570056</v>
      </c>
      <c r="G597" s="10" t="str">
        <f ca="1">IFERROR(__xludf.DUMMYFUNCTION("""COMPUTED_VALUE"""),"Resolución")</f>
        <v>Resolución</v>
      </c>
      <c r="H597" s="10" t="str">
        <f ca="1">IFERROR(__xludf.DUMMYFUNCTION("""COMPUTED_VALUE"""),"COMPENSACIÓN PREDIOS EXENTOS")</f>
        <v>COMPENSACIÓN PREDIOS EXENTOS</v>
      </c>
      <c r="I597" s="10" t="str">
        <f ca="1">IFERROR(__xludf.DUMMYFUNCTION("""COMPUTED_VALUE"""),"Cumplir con normativa y reglamentos internos del programa en base a los objetivos.")</f>
        <v>Cumplir con normativa y reglamentos internos del programa en base a los objetivos.</v>
      </c>
      <c r="J597" s="11">
        <f ca="1">IFERROR(__xludf.DUMMYFUNCTION("""COMPUTED_VALUE"""),29570056)</f>
        <v>29570056</v>
      </c>
      <c r="K597" s="27">
        <f ca="1">IFERROR(__xludf.DUMMYFUNCTION("""COMPUTED_VALUE"""),1)</f>
        <v>1</v>
      </c>
      <c r="L597" s="28" t="str">
        <f ca="1">IFERROR(__xludf.DUMMYFUNCTION("""COMPUTED_VALUE"""),"1/2024")</f>
        <v>1/2024</v>
      </c>
      <c r="M597" s="10" t="str">
        <f ca="1">IFERROR(__xludf.DUMMYFUNCTION("""COMPUTED_VALUE"""),"Predios Exentos")</f>
        <v>Predios Exentos</v>
      </c>
      <c r="N597" s="1"/>
      <c r="O597" s="1"/>
      <c r="P597" s="1"/>
      <c r="Q597" s="1"/>
      <c r="R597" s="1"/>
      <c r="S597" s="1"/>
      <c r="T597" s="1"/>
      <c r="U597" s="1"/>
      <c r="V597" s="1"/>
      <c r="W597" s="1"/>
      <c r="X597" s="1"/>
      <c r="Y597" s="1"/>
      <c r="Z597" s="1"/>
    </row>
    <row r="598" spans="1:26" ht="12.75" customHeight="1">
      <c r="A598" s="1"/>
      <c r="B598" s="10" t="str">
        <f ca="1">IFERROR(__xludf.DUMMYFUNCTION("""COMPUTED_VALUE"""),"Compensación Predios Exentos 2024")</f>
        <v>Compensación Predios Exentos 2024</v>
      </c>
      <c r="C598" s="26" t="str">
        <f t="shared" ca="1" si="0"/>
        <v xml:space="preserve"> EL MONTE</v>
      </c>
      <c r="D598" s="10" t="str">
        <f ca="1">IFERROR(__xludf.DUMMYFUNCTION("""COMPUTED_VALUE"""),"Resolución de Transferencia")</f>
        <v>Resolución de Transferencia</v>
      </c>
      <c r="E598" s="26" t="str">
        <f ca="1">IFERROR(__xludf.DUMMYFUNCTION("""COMPUTED_VALUE"""),"MUNICIPALIDAD DE EL MONTE")</f>
        <v>MUNICIPALIDAD DE EL MONTE</v>
      </c>
      <c r="F598" s="11">
        <f ca="1">IFERROR(__xludf.DUMMYFUNCTION("""COMPUTED_VALUE"""),97645668)</f>
        <v>97645668</v>
      </c>
      <c r="G598" s="10" t="str">
        <f ca="1">IFERROR(__xludf.DUMMYFUNCTION("""COMPUTED_VALUE"""),"Resolución")</f>
        <v>Resolución</v>
      </c>
      <c r="H598" s="10" t="str">
        <f ca="1">IFERROR(__xludf.DUMMYFUNCTION("""COMPUTED_VALUE"""),"COMPENSACIÓN PREDIOS EXENTOS")</f>
        <v>COMPENSACIÓN PREDIOS EXENTOS</v>
      </c>
      <c r="I598" s="10" t="str">
        <f ca="1">IFERROR(__xludf.DUMMYFUNCTION("""COMPUTED_VALUE"""),"Cumplir con normativa y reglamentos internos del programa en base a los objetivos.")</f>
        <v>Cumplir con normativa y reglamentos internos del programa en base a los objetivos.</v>
      </c>
      <c r="J598" s="11">
        <f ca="1">IFERROR(__xludf.DUMMYFUNCTION("""COMPUTED_VALUE"""),97645668)</f>
        <v>97645668</v>
      </c>
      <c r="K598" s="27">
        <f ca="1">IFERROR(__xludf.DUMMYFUNCTION("""COMPUTED_VALUE"""),1)</f>
        <v>1</v>
      </c>
      <c r="L598" s="28" t="str">
        <f ca="1">IFERROR(__xludf.DUMMYFUNCTION("""COMPUTED_VALUE"""),"1/2024")</f>
        <v>1/2024</v>
      </c>
      <c r="M598" s="10" t="str">
        <f ca="1">IFERROR(__xludf.DUMMYFUNCTION("""COMPUTED_VALUE"""),"Predios Exentos")</f>
        <v>Predios Exentos</v>
      </c>
      <c r="N598" s="1"/>
      <c r="O598" s="1"/>
      <c r="P598" s="1"/>
      <c r="Q598" s="1"/>
      <c r="R598" s="1"/>
      <c r="S598" s="1"/>
      <c r="T598" s="1"/>
      <c r="U598" s="1"/>
      <c r="V598" s="1"/>
      <c r="W598" s="1"/>
      <c r="X598" s="1"/>
      <c r="Y598" s="1"/>
      <c r="Z598" s="1"/>
    </row>
    <row r="599" spans="1:26" ht="12.75" customHeight="1">
      <c r="A599" s="1"/>
      <c r="B599" s="10" t="str">
        <f ca="1">IFERROR(__xludf.DUMMYFUNCTION("""COMPUTED_VALUE"""),"Compensación Predios Exentos 2024")</f>
        <v>Compensación Predios Exentos 2024</v>
      </c>
      <c r="C599" s="26" t="str">
        <f t="shared" ca="1" si="0"/>
        <v xml:space="preserve"> ALHUÉ</v>
      </c>
      <c r="D599" s="10" t="str">
        <f ca="1">IFERROR(__xludf.DUMMYFUNCTION("""COMPUTED_VALUE"""),"Resolución de Transferencia")</f>
        <v>Resolución de Transferencia</v>
      </c>
      <c r="E599" s="26" t="str">
        <f ca="1">IFERROR(__xludf.DUMMYFUNCTION("""COMPUTED_VALUE"""),"MUNICIPALIDAD DE ALHUÉ")</f>
        <v>MUNICIPALIDAD DE ALHUÉ</v>
      </c>
      <c r="F599" s="11">
        <f ca="1">IFERROR(__xludf.DUMMYFUNCTION("""COMPUTED_VALUE"""),18966187)</f>
        <v>18966187</v>
      </c>
      <c r="G599" s="10" t="str">
        <f ca="1">IFERROR(__xludf.DUMMYFUNCTION("""COMPUTED_VALUE"""),"Resolución")</f>
        <v>Resolución</v>
      </c>
      <c r="H599" s="10" t="str">
        <f ca="1">IFERROR(__xludf.DUMMYFUNCTION("""COMPUTED_VALUE"""),"COMPENSACIÓN PREDIOS EXENTOS")</f>
        <v>COMPENSACIÓN PREDIOS EXENTOS</v>
      </c>
      <c r="I599" s="10" t="str">
        <f ca="1">IFERROR(__xludf.DUMMYFUNCTION("""COMPUTED_VALUE"""),"Cumplir con normativa y reglamentos internos del programa en base a los objetivos.")</f>
        <v>Cumplir con normativa y reglamentos internos del programa en base a los objetivos.</v>
      </c>
      <c r="J599" s="11">
        <f ca="1">IFERROR(__xludf.DUMMYFUNCTION("""COMPUTED_VALUE"""),18966187)</f>
        <v>18966187</v>
      </c>
      <c r="K599" s="27">
        <f ca="1">IFERROR(__xludf.DUMMYFUNCTION("""COMPUTED_VALUE"""),1)</f>
        <v>1</v>
      </c>
      <c r="L599" s="28" t="str">
        <f ca="1">IFERROR(__xludf.DUMMYFUNCTION("""COMPUTED_VALUE"""),"1/2024")</f>
        <v>1/2024</v>
      </c>
      <c r="M599" s="10" t="str">
        <f ca="1">IFERROR(__xludf.DUMMYFUNCTION("""COMPUTED_VALUE"""),"Predios Exentos")</f>
        <v>Predios Exentos</v>
      </c>
      <c r="N599" s="1"/>
      <c r="O599" s="1"/>
      <c r="P599" s="1"/>
      <c r="Q599" s="1"/>
      <c r="R599" s="1"/>
      <c r="S599" s="1"/>
      <c r="T599" s="1"/>
      <c r="U599" s="1"/>
      <c r="V599" s="1"/>
      <c r="W599" s="1"/>
      <c r="X599" s="1"/>
      <c r="Y599" s="1"/>
      <c r="Z599" s="1"/>
    </row>
    <row r="600" spans="1:26" ht="12.75" customHeight="1">
      <c r="A600" s="1"/>
      <c r="B600" s="10" t="str">
        <f ca="1">IFERROR(__xludf.DUMMYFUNCTION("""COMPUTED_VALUE"""),"Compensación Predios Exentos 2024")</f>
        <v>Compensación Predios Exentos 2024</v>
      </c>
      <c r="C600" s="26" t="str">
        <f t="shared" ca="1" si="0"/>
        <v xml:space="preserve"> MARÍA PINTO</v>
      </c>
      <c r="D600" s="10" t="str">
        <f ca="1">IFERROR(__xludf.DUMMYFUNCTION("""COMPUTED_VALUE"""),"Resolución de Transferencia")</f>
        <v>Resolución de Transferencia</v>
      </c>
      <c r="E600" s="26" t="str">
        <f ca="1">IFERROR(__xludf.DUMMYFUNCTION("""COMPUTED_VALUE"""),"MUNICIPALIDAD DE MARÍA PINTO")</f>
        <v>MUNICIPALIDAD DE MARÍA PINTO</v>
      </c>
      <c r="F600" s="11">
        <f ca="1">IFERROR(__xludf.DUMMYFUNCTION("""COMPUTED_VALUE"""),36949776)</f>
        <v>36949776</v>
      </c>
      <c r="G600" s="10" t="str">
        <f ca="1">IFERROR(__xludf.DUMMYFUNCTION("""COMPUTED_VALUE"""),"Resolución")</f>
        <v>Resolución</v>
      </c>
      <c r="H600" s="10" t="str">
        <f ca="1">IFERROR(__xludf.DUMMYFUNCTION("""COMPUTED_VALUE"""),"COMPENSACIÓN PREDIOS EXENTOS")</f>
        <v>COMPENSACIÓN PREDIOS EXENTOS</v>
      </c>
      <c r="I600" s="10" t="str">
        <f ca="1">IFERROR(__xludf.DUMMYFUNCTION("""COMPUTED_VALUE"""),"Cumplir con normativa y reglamentos internos del programa en base a los objetivos.")</f>
        <v>Cumplir con normativa y reglamentos internos del programa en base a los objetivos.</v>
      </c>
      <c r="J600" s="11">
        <f ca="1">IFERROR(__xludf.DUMMYFUNCTION("""COMPUTED_VALUE"""),36949776)</f>
        <v>36949776</v>
      </c>
      <c r="K600" s="27">
        <f ca="1">IFERROR(__xludf.DUMMYFUNCTION("""COMPUTED_VALUE"""),1)</f>
        <v>1</v>
      </c>
      <c r="L600" s="28" t="str">
        <f ca="1">IFERROR(__xludf.DUMMYFUNCTION("""COMPUTED_VALUE"""),"1/2024")</f>
        <v>1/2024</v>
      </c>
      <c r="M600" s="10" t="str">
        <f ca="1">IFERROR(__xludf.DUMMYFUNCTION("""COMPUTED_VALUE"""),"Predios Exentos")</f>
        <v>Predios Exentos</v>
      </c>
      <c r="N600" s="1"/>
      <c r="O600" s="1"/>
      <c r="P600" s="1"/>
      <c r="Q600" s="1"/>
      <c r="R600" s="1"/>
      <c r="S600" s="1"/>
      <c r="T600" s="1"/>
      <c r="U600" s="1"/>
      <c r="V600" s="1"/>
      <c r="W600" s="1"/>
      <c r="X600" s="1"/>
      <c r="Y600" s="1"/>
      <c r="Z600" s="1"/>
    </row>
    <row r="601" spans="1:26" ht="12.75" customHeight="1">
      <c r="A601" s="1"/>
      <c r="B601" s="10" t="str">
        <f ca="1">IFERROR(__xludf.DUMMYFUNCTION("""COMPUTED_VALUE"""),"Compensación Predios Exentos 2024")</f>
        <v>Compensación Predios Exentos 2024</v>
      </c>
      <c r="C601" s="26" t="str">
        <f t="shared" ca="1" si="0"/>
        <v xml:space="preserve"> CURACAVÍ</v>
      </c>
      <c r="D601" s="10" t="str">
        <f ca="1">IFERROR(__xludf.DUMMYFUNCTION("""COMPUTED_VALUE"""),"Resolución de Transferencia")</f>
        <v>Resolución de Transferencia</v>
      </c>
      <c r="E601" s="26" t="str">
        <f ca="1">IFERROR(__xludf.DUMMYFUNCTION("""COMPUTED_VALUE"""),"MUNICIPALIDAD DE CURACAVÍ")</f>
        <v>MUNICIPALIDAD DE CURACAVÍ</v>
      </c>
      <c r="F601" s="11">
        <f ca="1">IFERROR(__xludf.DUMMYFUNCTION("""COMPUTED_VALUE"""),94462460)</f>
        <v>94462460</v>
      </c>
      <c r="G601" s="10" t="str">
        <f ca="1">IFERROR(__xludf.DUMMYFUNCTION("""COMPUTED_VALUE"""),"Resolución")</f>
        <v>Resolución</v>
      </c>
      <c r="H601" s="10" t="str">
        <f ca="1">IFERROR(__xludf.DUMMYFUNCTION("""COMPUTED_VALUE"""),"COMPENSACIÓN PREDIOS EXENTOS")</f>
        <v>COMPENSACIÓN PREDIOS EXENTOS</v>
      </c>
      <c r="I601" s="10" t="str">
        <f ca="1">IFERROR(__xludf.DUMMYFUNCTION("""COMPUTED_VALUE"""),"Cumplir con normativa y reglamentos internos del programa en base a los objetivos.")</f>
        <v>Cumplir con normativa y reglamentos internos del programa en base a los objetivos.</v>
      </c>
      <c r="J601" s="11">
        <f ca="1">IFERROR(__xludf.DUMMYFUNCTION("""COMPUTED_VALUE"""),94462460)</f>
        <v>94462460</v>
      </c>
      <c r="K601" s="27">
        <f ca="1">IFERROR(__xludf.DUMMYFUNCTION("""COMPUTED_VALUE"""),1)</f>
        <v>1</v>
      </c>
      <c r="L601" s="28" t="str">
        <f ca="1">IFERROR(__xludf.DUMMYFUNCTION("""COMPUTED_VALUE"""),"1/2024")</f>
        <v>1/2024</v>
      </c>
      <c r="M601" s="10" t="str">
        <f ca="1">IFERROR(__xludf.DUMMYFUNCTION("""COMPUTED_VALUE"""),"Predios Exentos")</f>
        <v>Predios Exentos</v>
      </c>
      <c r="N601" s="1"/>
      <c r="O601" s="1"/>
      <c r="P601" s="1"/>
      <c r="Q601" s="1"/>
      <c r="R601" s="1"/>
      <c r="S601" s="1"/>
      <c r="T601" s="1"/>
      <c r="U601" s="1"/>
      <c r="V601" s="1"/>
      <c r="W601" s="1"/>
      <c r="X601" s="1"/>
      <c r="Y601" s="1"/>
      <c r="Z601" s="1"/>
    </row>
    <row r="602" spans="1:26" ht="12.75" customHeight="1">
      <c r="A602" s="1"/>
      <c r="B602" s="10" t="str">
        <f ca="1">IFERROR(__xludf.DUMMYFUNCTION("""COMPUTED_VALUE"""),"Compensación Predios Exentos 2024")</f>
        <v>Compensación Predios Exentos 2024</v>
      </c>
      <c r="C602" s="26" t="str">
        <f t="shared" ca="1" si="0"/>
        <v xml:space="preserve"> PORTEZUELO</v>
      </c>
      <c r="D602" s="10" t="str">
        <f ca="1">IFERROR(__xludf.DUMMYFUNCTION("""COMPUTED_VALUE"""),"Resolución de Transferencia")</f>
        <v>Resolución de Transferencia</v>
      </c>
      <c r="E602" s="26" t="str">
        <f ca="1">IFERROR(__xludf.DUMMYFUNCTION("""COMPUTED_VALUE"""),"MUNICIPALIDAD DE PORTEZUELO")</f>
        <v>MUNICIPALIDAD DE PORTEZUELO</v>
      </c>
      <c r="F602" s="11">
        <f ca="1">IFERROR(__xludf.DUMMYFUNCTION("""COMPUTED_VALUE"""),43592547)</f>
        <v>43592547</v>
      </c>
      <c r="G602" s="10" t="str">
        <f ca="1">IFERROR(__xludf.DUMMYFUNCTION("""COMPUTED_VALUE"""),"Resolución")</f>
        <v>Resolución</v>
      </c>
      <c r="H602" s="10" t="str">
        <f ca="1">IFERROR(__xludf.DUMMYFUNCTION("""COMPUTED_VALUE"""),"COMPENSACIÓN PREDIOS EXENTOS")</f>
        <v>COMPENSACIÓN PREDIOS EXENTOS</v>
      </c>
      <c r="I602" s="10" t="str">
        <f ca="1">IFERROR(__xludf.DUMMYFUNCTION("""COMPUTED_VALUE"""),"Cumplir con normativa y reglamentos internos del programa en base a los objetivos.")</f>
        <v>Cumplir con normativa y reglamentos internos del programa en base a los objetivos.</v>
      </c>
      <c r="J602" s="11">
        <f ca="1">IFERROR(__xludf.DUMMYFUNCTION("""COMPUTED_VALUE"""),43592547)</f>
        <v>43592547</v>
      </c>
      <c r="K602" s="27">
        <f ca="1">IFERROR(__xludf.DUMMYFUNCTION("""COMPUTED_VALUE"""),1)</f>
        <v>1</v>
      </c>
      <c r="L602" s="28" t="str">
        <f ca="1">IFERROR(__xludf.DUMMYFUNCTION("""COMPUTED_VALUE"""),"1/2024")</f>
        <v>1/2024</v>
      </c>
      <c r="M602" s="10" t="str">
        <f ca="1">IFERROR(__xludf.DUMMYFUNCTION("""COMPUTED_VALUE"""),"Predios Exentos")</f>
        <v>Predios Exentos</v>
      </c>
      <c r="N602" s="1"/>
      <c r="O602" s="1"/>
      <c r="P602" s="1"/>
      <c r="Q602" s="1"/>
      <c r="R602" s="1"/>
      <c r="S602" s="1"/>
      <c r="T602" s="1"/>
      <c r="U602" s="1"/>
      <c r="V602" s="1"/>
      <c r="W602" s="1"/>
      <c r="X602" s="1"/>
      <c r="Y602" s="1"/>
      <c r="Z602" s="1"/>
    </row>
    <row r="603" spans="1:26" ht="12.75" customHeight="1">
      <c r="A603" s="1"/>
      <c r="B603" s="10" t="str">
        <f ca="1">IFERROR(__xludf.DUMMYFUNCTION("""COMPUTED_VALUE"""),"Compensación Predios Exentos 2024")</f>
        <v>Compensación Predios Exentos 2024</v>
      </c>
      <c r="C603" s="26" t="str">
        <f t="shared" ca="1" si="0"/>
        <v xml:space="preserve"> NINHUE</v>
      </c>
      <c r="D603" s="10" t="str">
        <f ca="1">IFERROR(__xludf.DUMMYFUNCTION("""COMPUTED_VALUE"""),"Resolución de Transferencia")</f>
        <v>Resolución de Transferencia</v>
      </c>
      <c r="E603" s="26" t="str">
        <f ca="1">IFERROR(__xludf.DUMMYFUNCTION("""COMPUTED_VALUE"""),"MUNICIPALIDAD DE NINHUE")</f>
        <v>MUNICIPALIDAD DE NINHUE</v>
      </c>
      <c r="F603" s="11">
        <f ca="1">IFERROR(__xludf.DUMMYFUNCTION("""COMPUTED_VALUE"""),51350976)</f>
        <v>51350976</v>
      </c>
      <c r="G603" s="10" t="str">
        <f ca="1">IFERROR(__xludf.DUMMYFUNCTION("""COMPUTED_VALUE"""),"Resolución")</f>
        <v>Resolución</v>
      </c>
      <c r="H603" s="10" t="str">
        <f ca="1">IFERROR(__xludf.DUMMYFUNCTION("""COMPUTED_VALUE"""),"COMPENSACIÓN PREDIOS EXENTOS")</f>
        <v>COMPENSACIÓN PREDIOS EXENTOS</v>
      </c>
      <c r="I603" s="10" t="str">
        <f ca="1">IFERROR(__xludf.DUMMYFUNCTION("""COMPUTED_VALUE"""),"Cumplir con normativa y reglamentos internos del programa en base a los objetivos.")</f>
        <v>Cumplir con normativa y reglamentos internos del programa en base a los objetivos.</v>
      </c>
      <c r="J603" s="11">
        <f ca="1">IFERROR(__xludf.DUMMYFUNCTION("""COMPUTED_VALUE"""),51350976)</f>
        <v>51350976</v>
      </c>
      <c r="K603" s="27">
        <f ca="1">IFERROR(__xludf.DUMMYFUNCTION("""COMPUTED_VALUE"""),1)</f>
        <v>1</v>
      </c>
      <c r="L603" s="28" t="str">
        <f ca="1">IFERROR(__xludf.DUMMYFUNCTION("""COMPUTED_VALUE"""),"1/2024")</f>
        <v>1/2024</v>
      </c>
      <c r="M603" s="10" t="str">
        <f ca="1">IFERROR(__xludf.DUMMYFUNCTION("""COMPUTED_VALUE"""),"Predios Exentos")</f>
        <v>Predios Exentos</v>
      </c>
      <c r="N603" s="1"/>
      <c r="O603" s="1"/>
      <c r="P603" s="1"/>
      <c r="Q603" s="1"/>
      <c r="R603" s="1"/>
      <c r="S603" s="1"/>
      <c r="T603" s="1"/>
      <c r="U603" s="1"/>
      <c r="V603" s="1"/>
      <c r="W603" s="1"/>
      <c r="X603" s="1"/>
      <c r="Y603" s="1"/>
      <c r="Z603" s="1"/>
    </row>
    <row r="604" spans="1:26" ht="12.75" customHeight="1">
      <c r="A604" s="1"/>
      <c r="B604" s="10" t="str">
        <f ca="1">IFERROR(__xludf.DUMMYFUNCTION("""COMPUTED_VALUE"""),"Compensación Predios Exentos 2024")</f>
        <v>Compensación Predios Exentos 2024</v>
      </c>
      <c r="C604" s="26" t="str">
        <f t="shared" ca="1" si="0"/>
        <v xml:space="preserve"> ÑIQUÉN</v>
      </c>
      <c r="D604" s="10" t="str">
        <f ca="1">IFERROR(__xludf.DUMMYFUNCTION("""COMPUTED_VALUE"""),"Resolución de Transferencia")</f>
        <v>Resolución de Transferencia</v>
      </c>
      <c r="E604" s="26" t="str">
        <f ca="1">IFERROR(__xludf.DUMMYFUNCTION("""COMPUTED_VALUE"""),"MUNICIPALIDAD DE ÑIQUÉN")</f>
        <v>MUNICIPALIDAD DE ÑIQUÉN</v>
      </c>
      <c r="F604" s="11">
        <f ca="1">IFERROR(__xludf.DUMMYFUNCTION("""COMPUTED_VALUE"""),75813570)</f>
        <v>75813570</v>
      </c>
      <c r="G604" s="10" t="str">
        <f ca="1">IFERROR(__xludf.DUMMYFUNCTION("""COMPUTED_VALUE"""),"Resolución")</f>
        <v>Resolución</v>
      </c>
      <c r="H604" s="10" t="str">
        <f ca="1">IFERROR(__xludf.DUMMYFUNCTION("""COMPUTED_VALUE"""),"COMPENSACIÓN PREDIOS EXENTOS")</f>
        <v>COMPENSACIÓN PREDIOS EXENTOS</v>
      </c>
      <c r="I604" s="10" t="str">
        <f ca="1">IFERROR(__xludf.DUMMYFUNCTION("""COMPUTED_VALUE"""),"Cumplir con normativa y reglamentos internos del programa en base a los objetivos.")</f>
        <v>Cumplir con normativa y reglamentos internos del programa en base a los objetivos.</v>
      </c>
      <c r="J604" s="11">
        <f ca="1">IFERROR(__xludf.DUMMYFUNCTION("""COMPUTED_VALUE"""),75813570)</f>
        <v>75813570</v>
      </c>
      <c r="K604" s="27">
        <f ca="1">IFERROR(__xludf.DUMMYFUNCTION("""COMPUTED_VALUE"""),1)</f>
        <v>1</v>
      </c>
      <c r="L604" s="28" t="str">
        <f ca="1">IFERROR(__xludf.DUMMYFUNCTION("""COMPUTED_VALUE"""),"1/2024")</f>
        <v>1/2024</v>
      </c>
      <c r="M604" s="10" t="str">
        <f ca="1">IFERROR(__xludf.DUMMYFUNCTION("""COMPUTED_VALUE"""),"Predios Exentos")</f>
        <v>Predios Exentos</v>
      </c>
      <c r="N604" s="1"/>
      <c r="O604" s="1"/>
      <c r="P604" s="1"/>
      <c r="Q604" s="1"/>
      <c r="R604" s="1"/>
      <c r="S604" s="1"/>
      <c r="T604" s="1"/>
      <c r="U604" s="1"/>
      <c r="V604" s="1"/>
      <c r="W604" s="1"/>
      <c r="X604" s="1"/>
      <c r="Y604" s="1"/>
      <c r="Z604" s="1"/>
    </row>
    <row r="605" spans="1:26" ht="12.75" customHeight="1">
      <c r="A605" s="1"/>
      <c r="B605" s="10" t="str">
        <f ca="1">IFERROR(__xludf.DUMMYFUNCTION("""COMPUTED_VALUE"""),"Compensación Predios Exentos 2024")</f>
        <v>Compensación Predios Exentos 2024</v>
      </c>
      <c r="C605" s="26" t="str">
        <f t="shared" ca="1" si="0"/>
        <v xml:space="preserve"> CHILLÁN</v>
      </c>
      <c r="D605" s="10" t="str">
        <f ca="1">IFERROR(__xludf.DUMMYFUNCTION("""COMPUTED_VALUE"""),"Resolución de Transferencia")</f>
        <v>Resolución de Transferencia</v>
      </c>
      <c r="E605" s="26" t="str">
        <f ca="1">IFERROR(__xludf.DUMMYFUNCTION("""COMPUTED_VALUE"""),"MUNICIPALIDAD DE CHILLÁN")</f>
        <v>MUNICIPALIDAD DE CHILLÁN</v>
      </c>
      <c r="F605" s="11">
        <f ca="1">IFERROR(__xludf.DUMMYFUNCTION("""COMPUTED_VALUE"""),664788902)</f>
        <v>664788902</v>
      </c>
      <c r="G605" s="10" t="str">
        <f ca="1">IFERROR(__xludf.DUMMYFUNCTION("""COMPUTED_VALUE"""),"Resolución")</f>
        <v>Resolución</v>
      </c>
      <c r="H605" s="10" t="str">
        <f ca="1">IFERROR(__xludf.DUMMYFUNCTION("""COMPUTED_VALUE"""),"COMPENSACIÓN PREDIOS EXENTOS")</f>
        <v>COMPENSACIÓN PREDIOS EXENTOS</v>
      </c>
      <c r="I605" s="10" t="str">
        <f ca="1">IFERROR(__xludf.DUMMYFUNCTION("""COMPUTED_VALUE"""),"Cumplir con normativa y reglamentos internos del programa en base a los objetivos.")</f>
        <v>Cumplir con normativa y reglamentos internos del programa en base a los objetivos.</v>
      </c>
      <c r="J605" s="11">
        <f ca="1">IFERROR(__xludf.DUMMYFUNCTION("""COMPUTED_VALUE"""),664788902)</f>
        <v>664788902</v>
      </c>
      <c r="K605" s="27">
        <f ca="1">IFERROR(__xludf.DUMMYFUNCTION("""COMPUTED_VALUE"""),1)</f>
        <v>1</v>
      </c>
      <c r="L605" s="28" t="str">
        <f ca="1">IFERROR(__xludf.DUMMYFUNCTION("""COMPUTED_VALUE"""),"1/2024")</f>
        <v>1/2024</v>
      </c>
      <c r="M605" s="10" t="str">
        <f ca="1">IFERROR(__xludf.DUMMYFUNCTION("""COMPUTED_VALUE"""),"Predios Exentos")</f>
        <v>Predios Exentos</v>
      </c>
      <c r="N605" s="1"/>
      <c r="O605" s="1"/>
      <c r="P605" s="1"/>
      <c r="Q605" s="1"/>
      <c r="R605" s="1"/>
      <c r="S605" s="1"/>
      <c r="T605" s="1"/>
      <c r="U605" s="1"/>
      <c r="V605" s="1"/>
      <c r="W605" s="1"/>
      <c r="X605" s="1"/>
      <c r="Y605" s="1"/>
      <c r="Z605" s="1"/>
    </row>
    <row r="606" spans="1:26" ht="12.75" customHeight="1">
      <c r="A606" s="1"/>
      <c r="B606" s="10" t="str">
        <f ca="1">IFERROR(__xludf.DUMMYFUNCTION("""COMPUTED_VALUE"""),"Compensación Predios Exentos 2024")</f>
        <v>Compensación Predios Exentos 2024</v>
      </c>
      <c r="C606" s="26" t="str">
        <f t="shared" ca="1" si="0"/>
        <v xml:space="preserve"> COIHUECO</v>
      </c>
      <c r="D606" s="10" t="str">
        <f ca="1">IFERROR(__xludf.DUMMYFUNCTION("""COMPUTED_VALUE"""),"Resolución de Transferencia")</f>
        <v>Resolución de Transferencia</v>
      </c>
      <c r="E606" s="26" t="str">
        <f ca="1">IFERROR(__xludf.DUMMYFUNCTION("""COMPUTED_VALUE"""),"MUNICIPALIDAD DE COIHUECO")</f>
        <v>MUNICIPALIDAD DE COIHUECO</v>
      </c>
      <c r="F606" s="11">
        <f ca="1">IFERROR(__xludf.DUMMYFUNCTION("""COMPUTED_VALUE"""),112722405)</f>
        <v>112722405</v>
      </c>
      <c r="G606" s="10" t="str">
        <f ca="1">IFERROR(__xludf.DUMMYFUNCTION("""COMPUTED_VALUE"""),"Resolución")</f>
        <v>Resolución</v>
      </c>
      <c r="H606" s="10" t="str">
        <f ca="1">IFERROR(__xludf.DUMMYFUNCTION("""COMPUTED_VALUE"""),"COMPENSACIÓN PREDIOS EXENTOS")</f>
        <v>COMPENSACIÓN PREDIOS EXENTOS</v>
      </c>
      <c r="I606" s="10" t="str">
        <f ca="1">IFERROR(__xludf.DUMMYFUNCTION("""COMPUTED_VALUE"""),"Cumplir con normativa y reglamentos internos del programa en base a los objetivos.")</f>
        <v>Cumplir con normativa y reglamentos internos del programa en base a los objetivos.</v>
      </c>
      <c r="J606" s="11">
        <f ca="1">IFERROR(__xludf.DUMMYFUNCTION("""COMPUTED_VALUE"""),112722405)</f>
        <v>112722405</v>
      </c>
      <c r="K606" s="27">
        <f ca="1">IFERROR(__xludf.DUMMYFUNCTION("""COMPUTED_VALUE"""),1)</f>
        <v>1</v>
      </c>
      <c r="L606" s="28" t="str">
        <f ca="1">IFERROR(__xludf.DUMMYFUNCTION("""COMPUTED_VALUE"""),"1/2024")</f>
        <v>1/2024</v>
      </c>
      <c r="M606" s="10" t="str">
        <f ca="1">IFERROR(__xludf.DUMMYFUNCTION("""COMPUTED_VALUE"""),"Predios Exentos")</f>
        <v>Predios Exentos</v>
      </c>
      <c r="N606" s="1"/>
      <c r="O606" s="1"/>
      <c r="P606" s="1"/>
      <c r="Q606" s="1"/>
      <c r="R606" s="1"/>
      <c r="S606" s="1"/>
      <c r="T606" s="1"/>
      <c r="U606" s="1"/>
      <c r="V606" s="1"/>
      <c r="W606" s="1"/>
      <c r="X606" s="1"/>
      <c r="Y606" s="1"/>
      <c r="Z606" s="1"/>
    </row>
    <row r="607" spans="1:26" ht="12.75" customHeight="1">
      <c r="A607" s="1"/>
      <c r="B607" s="10" t="str">
        <f ca="1">IFERROR(__xludf.DUMMYFUNCTION("""COMPUTED_VALUE"""),"Compensación Predios Exentos 2024")</f>
        <v>Compensación Predios Exentos 2024</v>
      </c>
      <c r="C607" s="26" t="str">
        <f t="shared" ca="1" si="0"/>
        <v xml:space="preserve"> SAN IGNACIO</v>
      </c>
      <c r="D607" s="10" t="str">
        <f ca="1">IFERROR(__xludf.DUMMYFUNCTION("""COMPUTED_VALUE"""),"Resolución de Transferencia")</f>
        <v>Resolución de Transferencia</v>
      </c>
      <c r="E607" s="26" t="str">
        <f ca="1">IFERROR(__xludf.DUMMYFUNCTION("""COMPUTED_VALUE"""),"MUNICIPALIDAD DE SAN IGNACIO")</f>
        <v>MUNICIPALIDAD DE SAN IGNACIO</v>
      </c>
      <c r="F607" s="11">
        <f ca="1">IFERROR(__xludf.DUMMYFUNCTION("""COMPUTED_VALUE"""),108587305)</f>
        <v>108587305</v>
      </c>
      <c r="G607" s="10" t="str">
        <f ca="1">IFERROR(__xludf.DUMMYFUNCTION("""COMPUTED_VALUE"""),"Resolución")</f>
        <v>Resolución</v>
      </c>
      <c r="H607" s="10" t="str">
        <f ca="1">IFERROR(__xludf.DUMMYFUNCTION("""COMPUTED_VALUE"""),"COMPENSACIÓN PREDIOS EXENTOS")</f>
        <v>COMPENSACIÓN PREDIOS EXENTOS</v>
      </c>
      <c r="I607" s="10" t="str">
        <f ca="1">IFERROR(__xludf.DUMMYFUNCTION("""COMPUTED_VALUE"""),"Cumplir con normativa y reglamentos internos del programa en base a los objetivos.")</f>
        <v>Cumplir con normativa y reglamentos internos del programa en base a los objetivos.</v>
      </c>
      <c r="J607" s="11">
        <f ca="1">IFERROR(__xludf.DUMMYFUNCTION("""COMPUTED_VALUE"""),108587305)</f>
        <v>108587305</v>
      </c>
      <c r="K607" s="27">
        <f ca="1">IFERROR(__xludf.DUMMYFUNCTION("""COMPUTED_VALUE"""),1)</f>
        <v>1</v>
      </c>
      <c r="L607" s="28" t="str">
        <f ca="1">IFERROR(__xludf.DUMMYFUNCTION("""COMPUTED_VALUE"""),"1/2024")</f>
        <v>1/2024</v>
      </c>
      <c r="M607" s="10" t="str">
        <f ca="1">IFERROR(__xludf.DUMMYFUNCTION("""COMPUTED_VALUE"""),"Predios Exentos")</f>
        <v>Predios Exentos</v>
      </c>
      <c r="N607" s="1"/>
      <c r="O607" s="1"/>
      <c r="P607" s="1"/>
      <c r="Q607" s="1"/>
      <c r="R607" s="1"/>
      <c r="S607" s="1"/>
      <c r="T607" s="1"/>
      <c r="U607" s="1"/>
      <c r="V607" s="1"/>
      <c r="W607" s="1"/>
      <c r="X607" s="1"/>
      <c r="Y607" s="1"/>
      <c r="Z607" s="1"/>
    </row>
    <row r="608" spans="1:26" ht="12.75" customHeight="1">
      <c r="A608" s="1"/>
      <c r="B608" s="10" t="str">
        <f ca="1">IFERROR(__xludf.DUMMYFUNCTION("""COMPUTED_VALUE"""),"Compensación Predios Exentos 2024")</f>
        <v>Compensación Predios Exentos 2024</v>
      </c>
      <c r="C608" s="26" t="str">
        <f t="shared" ca="1" si="0"/>
        <v xml:space="preserve"> YUNGAY</v>
      </c>
      <c r="D608" s="10" t="str">
        <f ca="1">IFERROR(__xludf.DUMMYFUNCTION("""COMPUTED_VALUE"""),"Resolución de Transferencia")</f>
        <v>Resolución de Transferencia</v>
      </c>
      <c r="E608" s="26" t="str">
        <f ca="1">IFERROR(__xludf.DUMMYFUNCTION("""COMPUTED_VALUE"""),"MUNICIPALIDAD DE YUNGAY")</f>
        <v>MUNICIPALIDAD DE YUNGAY</v>
      </c>
      <c r="F608" s="11">
        <f ca="1">IFERROR(__xludf.DUMMYFUNCTION("""COMPUTED_VALUE"""),90399008)</f>
        <v>90399008</v>
      </c>
      <c r="G608" s="10" t="str">
        <f ca="1">IFERROR(__xludf.DUMMYFUNCTION("""COMPUTED_VALUE"""),"Resolución")</f>
        <v>Resolución</v>
      </c>
      <c r="H608" s="10" t="str">
        <f ca="1">IFERROR(__xludf.DUMMYFUNCTION("""COMPUTED_VALUE"""),"COMPENSACIÓN PREDIOS EXENTOS")</f>
        <v>COMPENSACIÓN PREDIOS EXENTOS</v>
      </c>
      <c r="I608" s="10" t="str">
        <f ca="1">IFERROR(__xludf.DUMMYFUNCTION("""COMPUTED_VALUE"""),"Cumplir con normativa y reglamentos internos del programa en base a los objetivos.")</f>
        <v>Cumplir con normativa y reglamentos internos del programa en base a los objetivos.</v>
      </c>
      <c r="J608" s="11">
        <f ca="1">IFERROR(__xludf.DUMMYFUNCTION("""COMPUTED_VALUE"""),90399008)</f>
        <v>90399008</v>
      </c>
      <c r="K608" s="27">
        <f ca="1">IFERROR(__xludf.DUMMYFUNCTION("""COMPUTED_VALUE"""),1)</f>
        <v>1</v>
      </c>
      <c r="L608" s="28" t="str">
        <f ca="1">IFERROR(__xludf.DUMMYFUNCTION("""COMPUTED_VALUE"""),"1/2024")</f>
        <v>1/2024</v>
      </c>
      <c r="M608" s="10" t="str">
        <f ca="1">IFERROR(__xludf.DUMMYFUNCTION("""COMPUTED_VALUE"""),"Predios Exentos")</f>
        <v>Predios Exentos</v>
      </c>
      <c r="N608" s="1"/>
      <c r="O608" s="1"/>
      <c r="P608" s="1"/>
      <c r="Q608" s="1"/>
      <c r="R608" s="1"/>
      <c r="S608" s="1"/>
      <c r="T608" s="1"/>
      <c r="U608" s="1"/>
      <c r="V608" s="1"/>
      <c r="W608" s="1"/>
      <c r="X608" s="1"/>
      <c r="Y608" s="1"/>
      <c r="Z608" s="1"/>
    </row>
    <row r="609" spans="1:26" ht="12.75" customHeight="1">
      <c r="A609" s="1"/>
      <c r="B609" s="10" t="str">
        <f ca="1">IFERROR(__xludf.DUMMYFUNCTION("""COMPUTED_VALUE"""),"Compensación Predios Exentos 2024")</f>
        <v>Compensación Predios Exentos 2024</v>
      </c>
      <c r="C609" s="26" t="str">
        <f t="shared" ca="1" si="0"/>
        <v xml:space="preserve"> PEMUCO</v>
      </c>
      <c r="D609" s="10" t="str">
        <f ca="1">IFERROR(__xludf.DUMMYFUNCTION("""COMPUTED_VALUE"""),"Resolución de Transferencia")</f>
        <v>Resolución de Transferencia</v>
      </c>
      <c r="E609" s="26" t="str">
        <f ca="1">IFERROR(__xludf.DUMMYFUNCTION("""COMPUTED_VALUE"""),"MUNICIPALIDAD DE PEMUCO")</f>
        <v>MUNICIPALIDAD DE PEMUCO</v>
      </c>
      <c r="F609" s="11">
        <f ca="1">IFERROR(__xludf.DUMMYFUNCTION("""COMPUTED_VALUE"""),44646793)</f>
        <v>44646793</v>
      </c>
      <c r="G609" s="10" t="str">
        <f ca="1">IFERROR(__xludf.DUMMYFUNCTION("""COMPUTED_VALUE"""),"Resolución")</f>
        <v>Resolución</v>
      </c>
      <c r="H609" s="10" t="str">
        <f ca="1">IFERROR(__xludf.DUMMYFUNCTION("""COMPUTED_VALUE"""),"COMPENSACIÓN PREDIOS EXENTOS")</f>
        <v>COMPENSACIÓN PREDIOS EXENTOS</v>
      </c>
      <c r="I609" s="10" t="str">
        <f ca="1">IFERROR(__xludf.DUMMYFUNCTION("""COMPUTED_VALUE"""),"Cumplir con normativa y reglamentos internos del programa en base a los objetivos.")</f>
        <v>Cumplir con normativa y reglamentos internos del programa en base a los objetivos.</v>
      </c>
      <c r="J609" s="11">
        <f ca="1">IFERROR(__xludf.DUMMYFUNCTION("""COMPUTED_VALUE"""),44646793)</f>
        <v>44646793</v>
      </c>
      <c r="K609" s="27">
        <f ca="1">IFERROR(__xludf.DUMMYFUNCTION("""COMPUTED_VALUE"""),1)</f>
        <v>1</v>
      </c>
      <c r="L609" s="28" t="str">
        <f ca="1">IFERROR(__xludf.DUMMYFUNCTION("""COMPUTED_VALUE"""),"1/2024")</f>
        <v>1/2024</v>
      </c>
      <c r="M609" s="10" t="str">
        <f ca="1">IFERROR(__xludf.DUMMYFUNCTION("""COMPUTED_VALUE"""),"Predios Exentos")</f>
        <v>Predios Exentos</v>
      </c>
      <c r="N609" s="1"/>
      <c r="O609" s="1"/>
      <c r="P609" s="1"/>
      <c r="Q609" s="1"/>
      <c r="R609" s="1"/>
      <c r="S609" s="1"/>
      <c r="T609" s="1"/>
      <c r="U609" s="1"/>
      <c r="V609" s="1"/>
      <c r="W609" s="1"/>
      <c r="X609" s="1"/>
      <c r="Y609" s="1"/>
      <c r="Z609" s="1"/>
    </row>
    <row r="610" spans="1:26" ht="12.75" customHeight="1">
      <c r="A610" s="1"/>
      <c r="B610" s="10" t="str">
        <f ca="1">IFERROR(__xludf.DUMMYFUNCTION("""COMPUTED_VALUE"""),"Compensación Predios Exentos 2024")</f>
        <v>Compensación Predios Exentos 2024</v>
      </c>
      <c r="C610" s="26" t="str">
        <f t="shared" ca="1" si="0"/>
        <v xml:space="preserve"> RÁNQUIL</v>
      </c>
      <c r="D610" s="10" t="str">
        <f ca="1">IFERROR(__xludf.DUMMYFUNCTION("""COMPUTED_VALUE"""),"Resolución de Transferencia")</f>
        <v>Resolución de Transferencia</v>
      </c>
      <c r="E610" s="26" t="str">
        <f ca="1">IFERROR(__xludf.DUMMYFUNCTION("""COMPUTED_VALUE"""),"MUNICIPALIDAD DE RÁNQUIL")</f>
        <v>MUNICIPALIDAD DE RÁNQUIL</v>
      </c>
      <c r="F610" s="11">
        <f ca="1">IFERROR(__xludf.DUMMYFUNCTION("""COMPUTED_VALUE"""),48536243)</f>
        <v>48536243</v>
      </c>
      <c r="G610" s="10" t="str">
        <f ca="1">IFERROR(__xludf.DUMMYFUNCTION("""COMPUTED_VALUE"""),"Resolución")</f>
        <v>Resolución</v>
      </c>
      <c r="H610" s="10" t="str">
        <f ca="1">IFERROR(__xludf.DUMMYFUNCTION("""COMPUTED_VALUE"""),"COMPENSACIÓN PREDIOS EXENTOS")</f>
        <v>COMPENSACIÓN PREDIOS EXENTOS</v>
      </c>
      <c r="I610" s="10" t="str">
        <f ca="1">IFERROR(__xludf.DUMMYFUNCTION("""COMPUTED_VALUE"""),"Cumplir con normativa y reglamentos internos del programa en base a los objetivos.")</f>
        <v>Cumplir con normativa y reglamentos internos del programa en base a los objetivos.</v>
      </c>
      <c r="J610" s="11">
        <f ca="1">IFERROR(__xludf.DUMMYFUNCTION("""COMPUTED_VALUE"""),48536243)</f>
        <v>48536243</v>
      </c>
      <c r="K610" s="27">
        <f ca="1">IFERROR(__xludf.DUMMYFUNCTION("""COMPUTED_VALUE"""),1)</f>
        <v>1</v>
      </c>
      <c r="L610" s="28" t="str">
        <f ca="1">IFERROR(__xludf.DUMMYFUNCTION("""COMPUTED_VALUE"""),"1/2024")</f>
        <v>1/2024</v>
      </c>
      <c r="M610" s="10" t="str">
        <f ca="1">IFERROR(__xludf.DUMMYFUNCTION("""COMPUTED_VALUE"""),"Predios Exentos")</f>
        <v>Predios Exentos</v>
      </c>
      <c r="N610" s="1"/>
      <c r="O610" s="1"/>
      <c r="P610" s="1"/>
      <c r="Q610" s="1"/>
      <c r="R610" s="1"/>
      <c r="S610" s="1"/>
      <c r="T610" s="1"/>
      <c r="U610" s="1"/>
      <c r="V610" s="1"/>
      <c r="W610" s="1"/>
      <c r="X610" s="1"/>
      <c r="Y610" s="1"/>
      <c r="Z610" s="1"/>
    </row>
    <row r="611" spans="1:26" ht="12.75" customHeight="1">
      <c r="A611" s="1"/>
      <c r="B611" s="10" t="str">
        <f ca="1">IFERROR(__xludf.DUMMYFUNCTION("""COMPUTED_VALUE"""),"Compensación Predios Exentos 2024")</f>
        <v>Compensación Predios Exentos 2024</v>
      </c>
      <c r="C611" s="26" t="str">
        <f t="shared" ca="1" si="0"/>
        <v xml:space="preserve"> PERQUENCO</v>
      </c>
      <c r="D611" s="10" t="str">
        <f ca="1">IFERROR(__xludf.DUMMYFUNCTION("""COMPUTED_VALUE"""),"Resolución de Transferencia")</f>
        <v>Resolución de Transferencia</v>
      </c>
      <c r="E611" s="26" t="str">
        <f ca="1">IFERROR(__xludf.DUMMYFUNCTION("""COMPUTED_VALUE"""),"MUNICIPALIDAD DE PERQUENCO")</f>
        <v>MUNICIPALIDAD DE PERQUENCO</v>
      </c>
      <c r="F611" s="11">
        <f ca="1">IFERROR(__xludf.DUMMYFUNCTION("""COMPUTED_VALUE"""),38587439)</f>
        <v>38587439</v>
      </c>
      <c r="G611" s="10" t="str">
        <f ca="1">IFERROR(__xludf.DUMMYFUNCTION("""COMPUTED_VALUE"""),"Resolución")</f>
        <v>Resolución</v>
      </c>
      <c r="H611" s="10" t="str">
        <f ca="1">IFERROR(__xludf.DUMMYFUNCTION("""COMPUTED_VALUE"""),"COMPENSACIÓN PREDIOS EXENTOS")</f>
        <v>COMPENSACIÓN PREDIOS EXENTOS</v>
      </c>
      <c r="I611" s="10" t="str">
        <f ca="1">IFERROR(__xludf.DUMMYFUNCTION("""COMPUTED_VALUE"""),"Cumplir con normativa y reglamentos internos del programa en base a los objetivos.")</f>
        <v>Cumplir con normativa y reglamentos internos del programa en base a los objetivos.</v>
      </c>
      <c r="J611" s="11">
        <f ca="1">IFERROR(__xludf.DUMMYFUNCTION("""COMPUTED_VALUE"""),38587439)</f>
        <v>38587439</v>
      </c>
      <c r="K611" s="27">
        <f ca="1">IFERROR(__xludf.DUMMYFUNCTION("""COMPUTED_VALUE"""),1)</f>
        <v>1</v>
      </c>
      <c r="L611" s="28" t="str">
        <f ca="1">IFERROR(__xludf.DUMMYFUNCTION("""COMPUTED_VALUE"""),"1/2024")</f>
        <v>1/2024</v>
      </c>
      <c r="M611" s="10" t="str">
        <f ca="1">IFERROR(__xludf.DUMMYFUNCTION("""COMPUTED_VALUE"""),"Predios Exentos")</f>
        <v>Predios Exentos</v>
      </c>
      <c r="N611" s="1"/>
      <c r="O611" s="1"/>
      <c r="P611" s="1"/>
      <c r="Q611" s="1"/>
      <c r="R611" s="1"/>
      <c r="S611" s="1"/>
      <c r="T611" s="1"/>
      <c r="U611" s="1"/>
      <c r="V611" s="1"/>
      <c r="W611" s="1"/>
      <c r="X611" s="1"/>
      <c r="Y611" s="1"/>
      <c r="Z611" s="1"/>
    </row>
    <row r="612" spans="1:26" ht="12.75" customHeight="1">
      <c r="A612" s="1"/>
      <c r="B612" s="10" t="str">
        <f ca="1">IFERROR(__xludf.DUMMYFUNCTION("""COMPUTED_VALUE"""),"Compensación Predios Exentos 2024")</f>
        <v>Compensación Predios Exentos 2024</v>
      </c>
      <c r="C612" s="26" t="str">
        <f t="shared" ca="1" si="0"/>
        <v xml:space="preserve"> FUTRONO</v>
      </c>
      <c r="D612" s="10" t="str">
        <f ca="1">IFERROR(__xludf.DUMMYFUNCTION("""COMPUTED_VALUE"""),"Resolución de Transferencia")</f>
        <v>Resolución de Transferencia</v>
      </c>
      <c r="E612" s="26" t="str">
        <f ca="1">IFERROR(__xludf.DUMMYFUNCTION("""COMPUTED_VALUE"""),"MUNICIPALIDAD DE FUTRONO")</f>
        <v>MUNICIPALIDAD DE FUTRONO</v>
      </c>
      <c r="F612" s="11">
        <f ca="1">IFERROR(__xludf.DUMMYFUNCTION("""COMPUTED_VALUE"""),48157533)</f>
        <v>48157533</v>
      </c>
      <c r="G612" s="10" t="str">
        <f ca="1">IFERROR(__xludf.DUMMYFUNCTION("""COMPUTED_VALUE"""),"Resolución")</f>
        <v>Resolución</v>
      </c>
      <c r="H612" s="10" t="str">
        <f ca="1">IFERROR(__xludf.DUMMYFUNCTION("""COMPUTED_VALUE"""),"COMPENSACIÓN PREDIOS EXENTOS")</f>
        <v>COMPENSACIÓN PREDIOS EXENTOS</v>
      </c>
      <c r="I612" s="10" t="str">
        <f ca="1">IFERROR(__xludf.DUMMYFUNCTION("""COMPUTED_VALUE"""),"Cumplir con normativa y reglamentos internos del programa en base a los objetivos.")</f>
        <v>Cumplir con normativa y reglamentos internos del programa en base a los objetivos.</v>
      </c>
      <c r="J612" s="11">
        <f ca="1">IFERROR(__xludf.DUMMYFUNCTION("""COMPUTED_VALUE"""),48157533)</f>
        <v>48157533</v>
      </c>
      <c r="K612" s="27">
        <f ca="1">IFERROR(__xludf.DUMMYFUNCTION("""COMPUTED_VALUE"""),1)</f>
        <v>1</v>
      </c>
      <c r="L612" s="28" t="str">
        <f ca="1">IFERROR(__xludf.DUMMYFUNCTION("""COMPUTED_VALUE"""),"1/2024")</f>
        <v>1/2024</v>
      </c>
      <c r="M612" s="10" t="str">
        <f ca="1">IFERROR(__xludf.DUMMYFUNCTION("""COMPUTED_VALUE"""),"Predios Exentos")</f>
        <v>Predios Exentos</v>
      </c>
      <c r="N612" s="1"/>
      <c r="O612" s="1"/>
      <c r="P612" s="1"/>
      <c r="Q612" s="1"/>
      <c r="R612" s="1"/>
      <c r="S612" s="1"/>
      <c r="T612" s="1"/>
      <c r="U612" s="1"/>
      <c r="V612" s="1"/>
      <c r="W612" s="1"/>
      <c r="X612" s="1"/>
      <c r="Y612" s="1"/>
      <c r="Z612" s="1"/>
    </row>
    <row r="613" spans="1:26" ht="12.75" customHeight="1">
      <c r="A613" s="1"/>
      <c r="B613" s="10" t="str">
        <f ca="1">IFERROR(__xludf.DUMMYFUNCTION("""COMPUTED_VALUE"""),"Compensación Predios Exentos 2024")</f>
        <v>Compensación Predios Exentos 2024</v>
      </c>
      <c r="C613" s="26" t="str">
        <f t="shared" ca="1" si="0"/>
        <v xml:space="preserve"> LA UNIÓN</v>
      </c>
      <c r="D613" s="10" t="str">
        <f ca="1">IFERROR(__xludf.DUMMYFUNCTION("""COMPUTED_VALUE"""),"Resolución de Transferencia")</f>
        <v>Resolución de Transferencia</v>
      </c>
      <c r="E613" s="26" t="str">
        <f ca="1">IFERROR(__xludf.DUMMYFUNCTION("""COMPUTED_VALUE"""),"MUNICIPALIDAD DE LA UNIÓN")</f>
        <v>MUNICIPALIDAD DE LA UNIÓN</v>
      </c>
      <c r="F613" s="11">
        <f ca="1">IFERROR(__xludf.DUMMYFUNCTION("""COMPUTED_VALUE"""),141156332)</f>
        <v>141156332</v>
      </c>
      <c r="G613" s="10" t="str">
        <f ca="1">IFERROR(__xludf.DUMMYFUNCTION("""COMPUTED_VALUE"""),"Resolución")</f>
        <v>Resolución</v>
      </c>
      <c r="H613" s="10" t="str">
        <f ca="1">IFERROR(__xludf.DUMMYFUNCTION("""COMPUTED_VALUE"""),"COMPENSACIÓN PREDIOS EXENTOS")</f>
        <v>COMPENSACIÓN PREDIOS EXENTOS</v>
      </c>
      <c r="I613" s="10" t="str">
        <f ca="1">IFERROR(__xludf.DUMMYFUNCTION("""COMPUTED_VALUE"""),"Cumplir con normativa y reglamentos internos del programa en base a los objetivos.")</f>
        <v>Cumplir con normativa y reglamentos internos del programa en base a los objetivos.</v>
      </c>
      <c r="J613" s="11">
        <f ca="1">IFERROR(__xludf.DUMMYFUNCTION("""COMPUTED_VALUE"""),141156332)</f>
        <v>141156332</v>
      </c>
      <c r="K613" s="27">
        <f ca="1">IFERROR(__xludf.DUMMYFUNCTION("""COMPUTED_VALUE"""),1)</f>
        <v>1</v>
      </c>
      <c r="L613" s="28" t="str">
        <f ca="1">IFERROR(__xludf.DUMMYFUNCTION("""COMPUTED_VALUE"""),"1/2024")</f>
        <v>1/2024</v>
      </c>
      <c r="M613" s="10" t="str">
        <f ca="1">IFERROR(__xludf.DUMMYFUNCTION("""COMPUTED_VALUE"""),"Predios Exentos")</f>
        <v>Predios Exentos</v>
      </c>
      <c r="N613" s="1"/>
      <c r="O613" s="1"/>
      <c r="P613" s="1"/>
      <c r="Q613" s="1"/>
      <c r="R613" s="1"/>
      <c r="S613" s="1"/>
      <c r="T613" s="1"/>
      <c r="U613" s="1"/>
      <c r="V613" s="1"/>
      <c r="W613" s="1"/>
      <c r="X613" s="1"/>
      <c r="Y613" s="1"/>
      <c r="Z613" s="1"/>
    </row>
    <row r="614" spans="1:26" ht="12.75" customHeight="1">
      <c r="A614" s="1"/>
      <c r="B614" s="10" t="str">
        <f ca="1">IFERROR(__xludf.DUMMYFUNCTION("""COMPUTED_VALUE"""),"Compensación Predios Exentos 2024")</f>
        <v>Compensación Predios Exentos 2024</v>
      </c>
      <c r="C614" s="26" t="str">
        <f t="shared" ca="1" si="0"/>
        <v xml:space="preserve"> RÍO BUENO</v>
      </c>
      <c r="D614" s="10" t="str">
        <f ca="1">IFERROR(__xludf.DUMMYFUNCTION("""COMPUTED_VALUE"""),"Resolución de Transferencia")</f>
        <v>Resolución de Transferencia</v>
      </c>
      <c r="E614" s="26" t="str">
        <f ca="1">IFERROR(__xludf.DUMMYFUNCTION("""COMPUTED_VALUE"""),"MUNICIPALIDAD DE RÍO BUENO")</f>
        <v>MUNICIPALIDAD DE RÍO BUENO</v>
      </c>
      <c r="F614" s="11">
        <f ca="1">IFERROR(__xludf.DUMMYFUNCTION("""COMPUTED_VALUE"""),125434765)</f>
        <v>125434765</v>
      </c>
      <c r="G614" s="10" t="str">
        <f ca="1">IFERROR(__xludf.DUMMYFUNCTION("""COMPUTED_VALUE"""),"Resolución")</f>
        <v>Resolución</v>
      </c>
      <c r="H614" s="10" t="str">
        <f ca="1">IFERROR(__xludf.DUMMYFUNCTION("""COMPUTED_VALUE"""),"COMPENSACIÓN PREDIOS EXENTOS")</f>
        <v>COMPENSACIÓN PREDIOS EXENTOS</v>
      </c>
      <c r="I614" s="10" t="str">
        <f ca="1">IFERROR(__xludf.DUMMYFUNCTION("""COMPUTED_VALUE"""),"Cumplir con normativa y reglamentos internos del programa en base a los objetivos.")</f>
        <v>Cumplir con normativa y reglamentos internos del programa en base a los objetivos.</v>
      </c>
      <c r="J614" s="11">
        <f ca="1">IFERROR(__xludf.DUMMYFUNCTION("""COMPUTED_VALUE"""),125434765)</f>
        <v>125434765</v>
      </c>
      <c r="K614" s="27">
        <f ca="1">IFERROR(__xludf.DUMMYFUNCTION("""COMPUTED_VALUE"""),1)</f>
        <v>1</v>
      </c>
      <c r="L614" s="28" t="str">
        <f ca="1">IFERROR(__xludf.DUMMYFUNCTION("""COMPUTED_VALUE"""),"1/2024")</f>
        <v>1/2024</v>
      </c>
      <c r="M614" s="10" t="str">
        <f ca="1">IFERROR(__xludf.DUMMYFUNCTION("""COMPUTED_VALUE"""),"Predios Exentos")</f>
        <v>Predios Exentos</v>
      </c>
      <c r="N614" s="1"/>
      <c r="O614" s="1"/>
      <c r="P614" s="1"/>
      <c r="Q614" s="1"/>
      <c r="R614" s="1"/>
      <c r="S614" s="1"/>
      <c r="T614" s="1"/>
      <c r="U614" s="1"/>
      <c r="V614" s="1"/>
      <c r="W614" s="1"/>
      <c r="X614" s="1"/>
      <c r="Y614" s="1"/>
      <c r="Z614" s="1"/>
    </row>
    <row r="615" spans="1:26" ht="12.75" customHeight="1">
      <c r="A615" s="1"/>
      <c r="B615" s="10" t="str">
        <f ca="1">IFERROR(__xludf.DUMMYFUNCTION("""COMPUTED_VALUE"""),"Compensación Predios Exentos 2024")</f>
        <v>Compensación Predios Exentos 2024</v>
      </c>
      <c r="C615" s="26" t="str">
        <f t="shared" ca="1" si="0"/>
        <v xml:space="preserve"> FUTALEUFÚ</v>
      </c>
      <c r="D615" s="10" t="str">
        <f ca="1">IFERROR(__xludf.DUMMYFUNCTION("""COMPUTED_VALUE"""),"Resolución de Transferencia")</f>
        <v>Resolución de Transferencia</v>
      </c>
      <c r="E615" s="26" t="str">
        <f ca="1">IFERROR(__xludf.DUMMYFUNCTION("""COMPUTED_VALUE"""),"MUNICIPALIDAD DE FUTALEUFÚ")</f>
        <v>MUNICIPALIDAD DE FUTALEUFÚ</v>
      </c>
      <c r="F615" s="11">
        <f ca="1">IFERROR(__xludf.DUMMYFUNCTION("""COMPUTED_VALUE"""),13551663)</f>
        <v>13551663</v>
      </c>
      <c r="G615" s="10" t="str">
        <f ca="1">IFERROR(__xludf.DUMMYFUNCTION("""COMPUTED_VALUE"""),"Resolución")</f>
        <v>Resolución</v>
      </c>
      <c r="H615" s="10" t="str">
        <f ca="1">IFERROR(__xludf.DUMMYFUNCTION("""COMPUTED_VALUE"""),"COMPENSACIÓN PREDIOS EXENTOS")</f>
        <v>COMPENSACIÓN PREDIOS EXENTOS</v>
      </c>
      <c r="I615" s="10" t="str">
        <f ca="1">IFERROR(__xludf.DUMMYFUNCTION("""COMPUTED_VALUE"""),"Cumplir con normativa y reglamentos internos del programa en base a los objetivos.")</f>
        <v>Cumplir con normativa y reglamentos internos del programa en base a los objetivos.</v>
      </c>
      <c r="J615" s="11">
        <f ca="1">IFERROR(__xludf.DUMMYFUNCTION("""COMPUTED_VALUE"""),13551663)</f>
        <v>13551663</v>
      </c>
      <c r="K615" s="27">
        <f ca="1">IFERROR(__xludf.DUMMYFUNCTION("""COMPUTED_VALUE"""),1)</f>
        <v>1</v>
      </c>
      <c r="L615" s="28" t="str">
        <f ca="1">IFERROR(__xludf.DUMMYFUNCTION("""COMPUTED_VALUE"""),"1/2024")</f>
        <v>1/2024</v>
      </c>
      <c r="M615" s="10" t="str">
        <f ca="1">IFERROR(__xludf.DUMMYFUNCTION("""COMPUTED_VALUE"""),"Predios Exentos")</f>
        <v>Predios Exentos</v>
      </c>
      <c r="N615" s="1"/>
      <c r="O615" s="1"/>
      <c r="P615" s="1"/>
      <c r="Q615" s="1"/>
      <c r="R615" s="1"/>
      <c r="S615" s="1"/>
      <c r="T615" s="1"/>
      <c r="U615" s="1"/>
      <c r="V615" s="1"/>
      <c r="W615" s="1"/>
      <c r="X615" s="1"/>
      <c r="Y615" s="1"/>
      <c r="Z615" s="1"/>
    </row>
    <row r="616" spans="1:26" ht="12.75" customHeight="1">
      <c r="A616" s="1"/>
      <c r="B616" s="10" t="str">
        <f ca="1">IFERROR(__xludf.DUMMYFUNCTION("""COMPUTED_VALUE"""),"Compensación Predios Exentos 2024")</f>
        <v>Compensación Predios Exentos 2024</v>
      </c>
      <c r="C616" s="26" t="str">
        <f t="shared" ca="1" si="0"/>
        <v xml:space="preserve"> TREHUACO</v>
      </c>
      <c r="D616" s="10" t="str">
        <f ca="1">IFERROR(__xludf.DUMMYFUNCTION("""COMPUTED_VALUE"""),"Resolución de Transferencia")</f>
        <v>Resolución de Transferencia</v>
      </c>
      <c r="E616" s="26" t="str">
        <f ca="1">IFERROR(__xludf.DUMMYFUNCTION("""COMPUTED_VALUE"""),"MUNICIPALIDAD DE TREHUACO")</f>
        <v>MUNICIPALIDAD DE TREHUACO</v>
      </c>
      <c r="F616" s="11">
        <f ca="1">IFERROR(__xludf.DUMMYFUNCTION("""COMPUTED_VALUE"""),48710245)</f>
        <v>48710245</v>
      </c>
      <c r="G616" s="10" t="str">
        <f ca="1">IFERROR(__xludf.DUMMYFUNCTION("""COMPUTED_VALUE"""),"Resolución")</f>
        <v>Resolución</v>
      </c>
      <c r="H616" s="10" t="str">
        <f ca="1">IFERROR(__xludf.DUMMYFUNCTION("""COMPUTED_VALUE"""),"COMPENSACIÓN PREDIOS EXENTOS")</f>
        <v>COMPENSACIÓN PREDIOS EXENTOS</v>
      </c>
      <c r="I616" s="10" t="str">
        <f ca="1">IFERROR(__xludf.DUMMYFUNCTION("""COMPUTED_VALUE"""),"Cumplir con normativa y reglamentos internos del programa en base a los objetivos.")</f>
        <v>Cumplir con normativa y reglamentos internos del programa en base a los objetivos.</v>
      </c>
      <c r="J616" s="11">
        <f ca="1">IFERROR(__xludf.DUMMYFUNCTION("""COMPUTED_VALUE"""),48710245)</f>
        <v>48710245</v>
      </c>
      <c r="K616" s="27">
        <f ca="1">IFERROR(__xludf.DUMMYFUNCTION("""COMPUTED_VALUE"""),1)</f>
        <v>1</v>
      </c>
      <c r="L616" s="28" t="str">
        <f ca="1">IFERROR(__xludf.DUMMYFUNCTION("""COMPUTED_VALUE"""),"1/2024")</f>
        <v>1/2024</v>
      </c>
      <c r="M616" s="10" t="str">
        <f ca="1">IFERROR(__xludf.DUMMYFUNCTION("""COMPUTED_VALUE"""),"Predios Exentos")</f>
        <v>Predios Exentos</v>
      </c>
      <c r="N616" s="1"/>
      <c r="O616" s="1"/>
      <c r="P616" s="1"/>
      <c r="Q616" s="1"/>
      <c r="R616" s="1"/>
      <c r="S616" s="1"/>
      <c r="T616" s="1"/>
      <c r="U616" s="1"/>
      <c r="V616" s="1"/>
      <c r="W616" s="1"/>
      <c r="X616" s="1"/>
      <c r="Y616" s="1"/>
      <c r="Z616" s="1"/>
    </row>
    <row r="617" spans="1:26" ht="12.75" customHeight="1">
      <c r="A617" s="1"/>
      <c r="B617" s="10" t="str">
        <f ca="1">IFERROR(__xludf.DUMMYFUNCTION("""COMPUTED_VALUE"""),"Compensación Predios Exentos 2024")</f>
        <v>Compensación Predios Exentos 2024</v>
      </c>
      <c r="C617" s="26" t="str">
        <f t="shared" ca="1" si="0"/>
        <v xml:space="preserve"> PUTRE</v>
      </c>
      <c r="D617" s="10" t="str">
        <f ca="1">IFERROR(__xludf.DUMMYFUNCTION("""COMPUTED_VALUE"""),"Resolución de Transferencia")</f>
        <v>Resolución de Transferencia</v>
      </c>
      <c r="E617" s="26" t="str">
        <f ca="1">IFERROR(__xludf.DUMMYFUNCTION("""COMPUTED_VALUE"""),"MUNICIPALIDAD DE PUTRE")</f>
        <v>MUNICIPALIDAD DE PUTRE</v>
      </c>
      <c r="F617" s="11">
        <f ca="1">IFERROR(__xludf.DUMMYFUNCTION("""COMPUTED_VALUE"""),53234289)</f>
        <v>53234289</v>
      </c>
      <c r="G617" s="10" t="str">
        <f ca="1">IFERROR(__xludf.DUMMYFUNCTION("""COMPUTED_VALUE"""),"Resolución")</f>
        <v>Resolución</v>
      </c>
      <c r="H617" s="10" t="str">
        <f ca="1">IFERROR(__xludf.DUMMYFUNCTION("""COMPUTED_VALUE"""),"COMPENSACIÓN PREDIOS EXENTOS")</f>
        <v>COMPENSACIÓN PREDIOS EXENTOS</v>
      </c>
      <c r="I617" s="10" t="str">
        <f ca="1">IFERROR(__xludf.DUMMYFUNCTION("""COMPUTED_VALUE"""),"Cumplir con normativa y reglamentos internos del programa en base a los objetivos.")</f>
        <v>Cumplir con normativa y reglamentos internos del programa en base a los objetivos.</v>
      </c>
      <c r="J617" s="11">
        <f ca="1">IFERROR(__xludf.DUMMYFUNCTION("""COMPUTED_VALUE"""),53234289)</f>
        <v>53234289</v>
      </c>
      <c r="K617" s="27">
        <f ca="1">IFERROR(__xludf.DUMMYFUNCTION("""COMPUTED_VALUE"""),1)</f>
        <v>1</v>
      </c>
      <c r="L617" s="28" t="str">
        <f ca="1">IFERROR(__xludf.DUMMYFUNCTION("""COMPUTED_VALUE"""),"1/2024")</f>
        <v>1/2024</v>
      </c>
      <c r="M617" s="10" t="str">
        <f ca="1">IFERROR(__xludf.DUMMYFUNCTION("""COMPUTED_VALUE"""),"Predios Exentos")</f>
        <v>Predios Exentos</v>
      </c>
      <c r="N617" s="1"/>
      <c r="O617" s="1"/>
      <c r="P617" s="1"/>
      <c r="Q617" s="1"/>
      <c r="R617" s="1"/>
      <c r="S617" s="1"/>
      <c r="T617" s="1"/>
      <c r="U617" s="1"/>
      <c r="V617" s="1"/>
      <c r="W617" s="1"/>
      <c r="X617" s="1"/>
      <c r="Y617" s="1"/>
      <c r="Z617" s="1"/>
    </row>
    <row r="618" spans="1:26" ht="12.75" customHeight="1">
      <c r="A618" s="1"/>
      <c r="B618" s="10" t="str">
        <f ca="1">IFERROR(__xludf.DUMMYFUNCTION("""COMPUTED_VALUE"""),"Compensación Predios Exentos 2024")</f>
        <v>Compensación Predios Exentos 2024</v>
      </c>
      <c r="C618" s="26" t="str">
        <f t="shared" ca="1" si="0"/>
        <v xml:space="preserve"> PRIMAVERA</v>
      </c>
      <c r="D618" s="10" t="str">
        <f ca="1">IFERROR(__xludf.DUMMYFUNCTION("""COMPUTED_VALUE"""),"Resolución de Transferencia")</f>
        <v>Resolución de Transferencia</v>
      </c>
      <c r="E618" s="26" t="str">
        <f ca="1">IFERROR(__xludf.DUMMYFUNCTION("""COMPUTED_VALUE"""),"MUNICIPALIDAD DE PRIMAVERA")</f>
        <v>MUNICIPALIDAD DE PRIMAVERA</v>
      </c>
      <c r="F618" s="11">
        <f ca="1">IFERROR(__xludf.DUMMYFUNCTION("""COMPUTED_VALUE"""),3725684)</f>
        <v>3725684</v>
      </c>
      <c r="G618" s="10" t="str">
        <f ca="1">IFERROR(__xludf.DUMMYFUNCTION("""COMPUTED_VALUE"""),"Resolución")</f>
        <v>Resolución</v>
      </c>
      <c r="H618" s="10" t="str">
        <f ca="1">IFERROR(__xludf.DUMMYFUNCTION("""COMPUTED_VALUE"""),"COMPENSACIÓN PREDIOS EXENTOS")</f>
        <v>COMPENSACIÓN PREDIOS EXENTOS</v>
      </c>
      <c r="I618" s="10" t="str">
        <f ca="1">IFERROR(__xludf.DUMMYFUNCTION("""COMPUTED_VALUE"""),"Cumplir con normativa y reglamentos internos del programa en base a los objetivos.")</f>
        <v>Cumplir con normativa y reglamentos internos del programa en base a los objetivos.</v>
      </c>
      <c r="J618" s="11">
        <f ca="1">IFERROR(__xludf.DUMMYFUNCTION("""COMPUTED_VALUE"""),3725684)</f>
        <v>3725684</v>
      </c>
      <c r="K618" s="27">
        <f ca="1">IFERROR(__xludf.DUMMYFUNCTION("""COMPUTED_VALUE"""),1)</f>
        <v>1</v>
      </c>
      <c r="L618" s="28" t="str">
        <f ca="1">IFERROR(__xludf.DUMMYFUNCTION("""COMPUTED_VALUE"""),"1/2024")</f>
        <v>1/2024</v>
      </c>
      <c r="M618" s="10" t="str">
        <f ca="1">IFERROR(__xludf.DUMMYFUNCTION("""COMPUTED_VALUE"""),"Predios Exentos")</f>
        <v>Predios Exentos</v>
      </c>
      <c r="N618" s="1"/>
      <c r="O618" s="1"/>
      <c r="P618" s="1"/>
      <c r="Q618" s="1"/>
      <c r="R618" s="1"/>
      <c r="S618" s="1"/>
      <c r="T618" s="1"/>
      <c r="U618" s="1"/>
      <c r="V618" s="1"/>
      <c r="W618" s="1"/>
      <c r="X618" s="1"/>
      <c r="Y618" s="1"/>
      <c r="Z618" s="1"/>
    </row>
    <row r="619" spans="1:26" ht="12.75" customHeight="1">
      <c r="A619" s="1"/>
      <c r="B619" s="10" t="str">
        <f ca="1">IFERROR(__xludf.DUMMYFUNCTION("""COMPUTED_VALUE"""),"Compensación Predios Exentos 2024")</f>
        <v>Compensación Predios Exentos 2024</v>
      </c>
      <c r="C619" s="26" t="str">
        <f t="shared" ca="1" si="0"/>
        <v xml:space="preserve"> TIMAUKEL</v>
      </c>
      <c r="D619" s="10" t="str">
        <f ca="1">IFERROR(__xludf.DUMMYFUNCTION("""COMPUTED_VALUE"""),"Resolución de Transferencia")</f>
        <v>Resolución de Transferencia</v>
      </c>
      <c r="E619" s="26" t="str">
        <f ca="1">IFERROR(__xludf.DUMMYFUNCTION("""COMPUTED_VALUE"""),"MUNICIPALIDAD DE TIMAUKEL")</f>
        <v>MUNICIPALIDAD DE TIMAUKEL</v>
      </c>
      <c r="F619" s="11">
        <f ca="1">IFERROR(__xludf.DUMMYFUNCTION("""COMPUTED_VALUE"""),3152502)</f>
        <v>3152502</v>
      </c>
      <c r="G619" s="10" t="str">
        <f ca="1">IFERROR(__xludf.DUMMYFUNCTION("""COMPUTED_VALUE"""),"Resolución")</f>
        <v>Resolución</v>
      </c>
      <c r="H619" s="10" t="str">
        <f ca="1">IFERROR(__xludf.DUMMYFUNCTION("""COMPUTED_VALUE"""),"COMPENSACIÓN PREDIOS EXENTOS")</f>
        <v>COMPENSACIÓN PREDIOS EXENTOS</v>
      </c>
      <c r="I619" s="10" t="str">
        <f ca="1">IFERROR(__xludf.DUMMYFUNCTION("""COMPUTED_VALUE"""),"Cumplir con normativa y reglamentos internos del programa en base a los objetivos.")</f>
        <v>Cumplir con normativa y reglamentos internos del programa en base a los objetivos.</v>
      </c>
      <c r="J619" s="11">
        <f ca="1">IFERROR(__xludf.DUMMYFUNCTION("""COMPUTED_VALUE"""),3152502)</f>
        <v>3152502</v>
      </c>
      <c r="K619" s="27">
        <f ca="1">IFERROR(__xludf.DUMMYFUNCTION("""COMPUTED_VALUE"""),1)</f>
        <v>1</v>
      </c>
      <c r="L619" s="28" t="str">
        <f ca="1">IFERROR(__xludf.DUMMYFUNCTION("""COMPUTED_VALUE"""),"1/2024")</f>
        <v>1/2024</v>
      </c>
      <c r="M619" s="10" t="str">
        <f ca="1">IFERROR(__xludf.DUMMYFUNCTION("""COMPUTED_VALUE"""),"Predios Exentos")</f>
        <v>Predios Exentos</v>
      </c>
      <c r="N619" s="1"/>
      <c r="O619" s="1"/>
      <c r="P619" s="1"/>
      <c r="Q619" s="1"/>
      <c r="R619" s="1"/>
      <c r="S619" s="1"/>
      <c r="T619" s="1"/>
      <c r="U619" s="1"/>
      <c r="V619" s="1"/>
      <c r="W619" s="1"/>
      <c r="X619" s="1"/>
      <c r="Y619" s="1"/>
      <c r="Z619" s="1"/>
    </row>
    <row r="620" spans="1:26" ht="12.75" customHeight="1">
      <c r="A620" s="1"/>
      <c r="B620" s="10" t="str">
        <f ca="1">IFERROR(__xludf.DUMMYFUNCTION("""COMPUTED_VALUE"""),"Compensación Predios Exentos 2024")</f>
        <v>Compensación Predios Exentos 2024</v>
      </c>
      <c r="C620" s="26" t="str">
        <f t="shared" ca="1" si="0"/>
        <v xml:space="preserve"> TORRES DEL PAINE</v>
      </c>
      <c r="D620" s="10" t="str">
        <f ca="1">IFERROR(__xludf.DUMMYFUNCTION("""COMPUTED_VALUE"""),"Resolución de Transferencia")</f>
        <v>Resolución de Transferencia</v>
      </c>
      <c r="E620" s="26" t="str">
        <f ca="1">IFERROR(__xludf.DUMMYFUNCTION("""COMPUTED_VALUE"""),"MUNICIPALIDAD DE TORRES DEL PAINE")</f>
        <v>MUNICIPALIDAD DE TORRES DEL PAINE</v>
      </c>
      <c r="F620" s="11">
        <f ca="1">IFERROR(__xludf.DUMMYFUNCTION("""COMPUTED_VALUE"""),1392014)</f>
        <v>1392014</v>
      </c>
      <c r="G620" s="10" t="str">
        <f ca="1">IFERROR(__xludf.DUMMYFUNCTION("""COMPUTED_VALUE"""),"Resolución")</f>
        <v>Resolución</v>
      </c>
      <c r="H620" s="10" t="str">
        <f ca="1">IFERROR(__xludf.DUMMYFUNCTION("""COMPUTED_VALUE"""),"COMPENSACIÓN PREDIOS EXENTOS")</f>
        <v>COMPENSACIÓN PREDIOS EXENTOS</v>
      </c>
      <c r="I620" s="10" t="str">
        <f ca="1">IFERROR(__xludf.DUMMYFUNCTION("""COMPUTED_VALUE"""),"Cumplir con normativa y reglamentos internos del programa en base a los objetivos.")</f>
        <v>Cumplir con normativa y reglamentos internos del programa en base a los objetivos.</v>
      </c>
      <c r="J620" s="11">
        <f ca="1">IFERROR(__xludf.DUMMYFUNCTION("""COMPUTED_VALUE"""),1392014)</f>
        <v>1392014</v>
      </c>
      <c r="K620" s="27">
        <f ca="1">IFERROR(__xludf.DUMMYFUNCTION("""COMPUTED_VALUE"""),1)</f>
        <v>1</v>
      </c>
      <c r="L620" s="28" t="str">
        <f ca="1">IFERROR(__xludf.DUMMYFUNCTION("""COMPUTED_VALUE"""),"1/2024")</f>
        <v>1/2024</v>
      </c>
      <c r="M620" s="10" t="str">
        <f ca="1">IFERROR(__xludf.DUMMYFUNCTION("""COMPUTED_VALUE"""),"Predios Exentos")</f>
        <v>Predios Exentos</v>
      </c>
      <c r="N620" s="1"/>
      <c r="O620" s="1"/>
      <c r="P620" s="1"/>
      <c r="Q620" s="1"/>
      <c r="R620" s="1"/>
      <c r="S620" s="1"/>
      <c r="T620" s="1"/>
      <c r="U620" s="1"/>
      <c r="V620" s="1"/>
      <c r="W620" s="1"/>
      <c r="X620" s="1"/>
      <c r="Y620" s="1"/>
      <c r="Z620" s="1"/>
    </row>
    <row r="621" spans="1:26" ht="12.75" customHeight="1">
      <c r="A621" s="1"/>
      <c r="B621" s="10" t="str">
        <f ca="1">IFERROR(__xludf.DUMMYFUNCTION("""COMPUTED_VALUE"""),"Compensación Predios Exentos 2024")</f>
        <v>Compensación Predios Exentos 2024</v>
      </c>
      <c r="C621" s="26" t="str">
        <f t="shared" ca="1" si="0"/>
        <v xml:space="preserve"> SAN JUAN DE LA COSTA</v>
      </c>
      <c r="D621" s="10" t="str">
        <f ca="1">IFERROR(__xludf.DUMMYFUNCTION("""COMPUTED_VALUE"""),"Resolución de Transferencia")</f>
        <v>Resolución de Transferencia</v>
      </c>
      <c r="E621" s="26" t="str">
        <f ca="1">IFERROR(__xludf.DUMMYFUNCTION("""COMPUTED_VALUE"""),"MUNICIPALIDAD DE SAN JUAN DE LA COSTA")</f>
        <v>MUNICIPALIDAD DE SAN JUAN DE LA COSTA</v>
      </c>
      <c r="F621" s="11">
        <f ca="1">IFERROR(__xludf.DUMMYFUNCTION("""COMPUTED_VALUE"""),51248623)</f>
        <v>51248623</v>
      </c>
      <c r="G621" s="10" t="str">
        <f ca="1">IFERROR(__xludf.DUMMYFUNCTION("""COMPUTED_VALUE"""),"Resolución")</f>
        <v>Resolución</v>
      </c>
      <c r="H621" s="10" t="str">
        <f ca="1">IFERROR(__xludf.DUMMYFUNCTION("""COMPUTED_VALUE"""),"COMPENSACIÓN PREDIOS EXENTOS")</f>
        <v>COMPENSACIÓN PREDIOS EXENTOS</v>
      </c>
      <c r="I621" s="10" t="str">
        <f ca="1">IFERROR(__xludf.DUMMYFUNCTION("""COMPUTED_VALUE"""),"Cumplir con normativa y reglamentos internos del programa en base a los objetivos.")</f>
        <v>Cumplir con normativa y reglamentos internos del programa en base a los objetivos.</v>
      </c>
      <c r="J621" s="11">
        <f ca="1">IFERROR(__xludf.DUMMYFUNCTION("""COMPUTED_VALUE"""),51248623)</f>
        <v>51248623</v>
      </c>
      <c r="K621" s="27">
        <f ca="1">IFERROR(__xludf.DUMMYFUNCTION("""COMPUTED_VALUE"""),1)</f>
        <v>1</v>
      </c>
      <c r="L621" s="28" t="str">
        <f ca="1">IFERROR(__xludf.DUMMYFUNCTION("""COMPUTED_VALUE"""),"1/2024")</f>
        <v>1/2024</v>
      </c>
      <c r="M621" s="10" t="str">
        <f ca="1">IFERROR(__xludf.DUMMYFUNCTION("""COMPUTED_VALUE"""),"Predios Exentos")</f>
        <v>Predios Exentos</v>
      </c>
      <c r="N621" s="1"/>
      <c r="O621" s="1"/>
      <c r="P621" s="1"/>
      <c r="Q621" s="1"/>
      <c r="R621" s="1"/>
      <c r="S621" s="1"/>
      <c r="T621" s="1"/>
      <c r="U621" s="1"/>
      <c r="V621" s="1"/>
      <c r="W621" s="1"/>
      <c r="X621" s="1"/>
      <c r="Y621" s="1"/>
      <c r="Z621" s="1"/>
    </row>
    <row r="622" spans="1:26" ht="12.75" customHeight="1">
      <c r="A622" s="1"/>
      <c r="B622" s="10" t="str">
        <f ca="1">IFERROR(__xludf.DUMMYFUNCTION("""COMPUTED_VALUE"""),"Compensación Predios Exentos 2024")</f>
        <v>Compensación Predios Exentos 2024</v>
      </c>
      <c r="C622" s="26" t="str">
        <f t="shared" ca="1" si="0"/>
        <v xml:space="preserve"> MACUL</v>
      </c>
      <c r="D622" s="10" t="str">
        <f ca="1">IFERROR(__xludf.DUMMYFUNCTION("""COMPUTED_VALUE"""),"Resolución de Transferencia")</f>
        <v>Resolución de Transferencia</v>
      </c>
      <c r="E622" s="26" t="str">
        <f ca="1">IFERROR(__xludf.DUMMYFUNCTION("""COMPUTED_VALUE"""),"MUNICIPALIDAD DE MACUL")</f>
        <v>MUNICIPALIDAD DE MACUL</v>
      </c>
      <c r="F622" s="11">
        <f ca="1">IFERROR(__xludf.DUMMYFUNCTION("""COMPUTED_VALUE"""),323418010)</f>
        <v>323418010</v>
      </c>
      <c r="G622" s="10" t="str">
        <f ca="1">IFERROR(__xludf.DUMMYFUNCTION("""COMPUTED_VALUE"""),"Resolución")</f>
        <v>Resolución</v>
      </c>
      <c r="H622" s="10" t="str">
        <f ca="1">IFERROR(__xludf.DUMMYFUNCTION("""COMPUTED_VALUE"""),"COMPENSACIÓN PREDIOS EXENTOS")</f>
        <v>COMPENSACIÓN PREDIOS EXENTOS</v>
      </c>
      <c r="I622" s="10" t="str">
        <f ca="1">IFERROR(__xludf.DUMMYFUNCTION("""COMPUTED_VALUE"""),"Cumplir con normativa y reglamentos internos del programa en base a los objetivos.")</f>
        <v>Cumplir con normativa y reglamentos internos del programa en base a los objetivos.</v>
      </c>
      <c r="J622" s="11">
        <f ca="1">IFERROR(__xludf.DUMMYFUNCTION("""COMPUTED_VALUE"""),323418010)</f>
        <v>323418010</v>
      </c>
      <c r="K622" s="27">
        <f ca="1">IFERROR(__xludf.DUMMYFUNCTION("""COMPUTED_VALUE"""),1)</f>
        <v>1</v>
      </c>
      <c r="L622" s="28" t="str">
        <f ca="1">IFERROR(__xludf.DUMMYFUNCTION("""COMPUTED_VALUE"""),"1/2024")</f>
        <v>1/2024</v>
      </c>
      <c r="M622" s="10" t="str">
        <f ca="1">IFERROR(__xludf.DUMMYFUNCTION("""COMPUTED_VALUE"""),"Predios Exentos")</f>
        <v>Predios Exentos</v>
      </c>
      <c r="N622" s="1"/>
      <c r="O622" s="1"/>
      <c r="P622" s="1"/>
      <c r="Q622" s="1"/>
      <c r="R622" s="1"/>
      <c r="S622" s="1"/>
      <c r="T622" s="1"/>
      <c r="U622" s="1"/>
      <c r="V622" s="1"/>
      <c r="W622" s="1"/>
      <c r="X622" s="1"/>
      <c r="Y622" s="1"/>
      <c r="Z622" s="1"/>
    </row>
    <row r="623" spans="1:26" ht="12.75" customHeight="1">
      <c r="A623" s="1"/>
      <c r="B623" s="10" t="str">
        <f ca="1">IFERROR(__xludf.DUMMYFUNCTION("""COMPUTED_VALUE"""),"Compensación Predios Exentos 2024")</f>
        <v>Compensación Predios Exentos 2024</v>
      </c>
      <c r="C623" s="26" t="str">
        <f t="shared" ca="1" si="0"/>
        <v xml:space="preserve"> SAN RAMÓN</v>
      </c>
      <c r="D623" s="10" t="str">
        <f ca="1">IFERROR(__xludf.DUMMYFUNCTION("""COMPUTED_VALUE"""),"Resolución de Transferencia")</f>
        <v>Resolución de Transferencia</v>
      </c>
      <c r="E623" s="26" t="str">
        <f ca="1">IFERROR(__xludf.DUMMYFUNCTION("""COMPUTED_VALUE"""),"MUNICIPALIDAD DE SAN RAMÓN")</f>
        <v>MUNICIPALIDAD DE SAN RAMÓN</v>
      </c>
      <c r="F623" s="11">
        <f ca="1">IFERROR(__xludf.DUMMYFUNCTION("""COMPUTED_VALUE"""),193981205)</f>
        <v>193981205</v>
      </c>
      <c r="G623" s="10" t="str">
        <f ca="1">IFERROR(__xludf.DUMMYFUNCTION("""COMPUTED_VALUE"""),"Resolución")</f>
        <v>Resolución</v>
      </c>
      <c r="H623" s="10" t="str">
        <f ca="1">IFERROR(__xludf.DUMMYFUNCTION("""COMPUTED_VALUE"""),"COMPENSACIÓN PREDIOS EXENTOS")</f>
        <v>COMPENSACIÓN PREDIOS EXENTOS</v>
      </c>
      <c r="I623" s="10" t="str">
        <f ca="1">IFERROR(__xludf.DUMMYFUNCTION("""COMPUTED_VALUE"""),"Cumplir con normativa y reglamentos internos del programa en base a los objetivos.")</f>
        <v>Cumplir con normativa y reglamentos internos del programa en base a los objetivos.</v>
      </c>
      <c r="J623" s="11">
        <f ca="1">IFERROR(__xludf.DUMMYFUNCTION("""COMPUTED_VALUE"""),193981205)</f>
        <v>193981205</v>
      </c>
      <c r="K623" s="27">
        <f ca="1">IFERROR(__xludf.DUMMYFUNCTION("""COMPUTED_VALUE"""),1)</f>
        <v>1</v>
      </c>
      <c r="L623" s="28" t="str">
        <f ca="1">IFERROR(__xludf.DUMMYFUNCTION("""COMPUTED_VALUE"""),"1/2024")</f>
        <v>1/2024</v>
      </c>
      <c r="M623" s="10" t="str">
        <f ca="1">IFERROR(__xludf.DUMMYFUNCTION("""COMPUTED_VALUE"""),"Predios Exentos")</f>
        <v>Predios Exentos</v>
      </c>
      <c r="N623" s="1"/>
      <c r="O623" s="1"/>
      <c r="P623" s="1"/>
      <c r="Q623" s="1"/>
      <c r="R623" s="1"/>
      <c r="S623" s="1"/>
      <c r="T623" s="1"/>
      <c r="U623" s="1"/>
      <c r="V623" s="1"/>
      <c r="W623" s="1"/>
      <c r="X623" s="1"/>
      <c r="Y623" s="1"/>
      <c r="Z623" s="1"/>
    </row>
    <row r="624" spans="1:26" ht="12.75" customHeight="1">
      <c r="A624" s="1"/>
      <c r="B624" s="10" t="str">
        <f ca="1">IFERROR(__xludf.DUMMYFUNCTION("""COMPUTED_VALUE"""),"Compensación Predios Exentos 2024")</f>
        <v>Compensación Predios Exentos 2024</v>
      </c>
      <c r="C624" s="26" t="str">
        <f t="shared" ca="1" si="0"/>
        <v xml:space="preserve"> COCHRANE</v>
      </c>
      <c r="D624" s="10" t="str">
        <f ca="1">IFERROR(__xludf.DUMMYFUNCTION("""COMPUTED_VALUE"""),"Resolución de Transferencia")</f>
        <v>Resolución de Transferencia</v>
      </c>
      <c r="E624" s="26" t="str">
        <f ca="1">IFERROR(__xludf.DUMMYFUNCTION("""COMPUTED_VALUE"""),"MUNICIPALIDAD DE COCHRANE")</f>
        <v>MUNICIPALIDAD DE COCHRANE</v>
      </c>
      <c r="F624" s="11">
        <f ca="1">IFERROR(__xludf.DUMMYFUNCTION("""COMPUTED_VALUE"""),18075707)</f>
        <v>18075707</v>
      </c>
      <c r="G624" s="10" t="str">
        <f ca="1">IFERROR(__xludf.DUMMYFUNCTION("""COMPUTED_VALUE"""),"Resolución")</f>
        <v>Resolución</v>
      </c>
      <c r="H624" s="10" t="str">
        <f ca="1">IFERROR(__xludf.DUMMYFUNCTION("""COMPUTED_VALUE"""),"COMPENSACIÓN PREDIOS EXENTOS")</f>
        <v>COMPENSACIÓN PREDIOS EXENTOS</v>
      </c>
      <c r="I624" s="10" t="str">
        <f ca="1">IFERROR(__xludf.DUMMYFUNCTION("""COMPUTED_VALUE"""),"Cumplir con normativa y reglamentos internos del programa en base a los objetivos.")</f>
        <v>Cumplir con normativa y reglamentos internos del programa en base a los objetivos.</v>
      </c>
      <c r="J624" s="11">
        <f ca="1">IFERROR(__xludf.DUMMYFUNCTION("""COMPUTED_VALUE"""),18075707)</f>
        <v>18075707</v>
      </c>
      <c r="K624" s="27">
        <f ca="1">IFERROR(__xludf.DUMMYFUNCTION("""COMPUTED_VALUE"""),1)</f>
        <v>1</v>
      </c>
      <c r="L624" s="28" t="str">
        <f ca="1">IFERROR(__xludf.DUMMYFUNCTION("""COMPUTED_VALUE"""),"1/2024")</f>
        <v>1/2024</v>
      </c>
      <c r="M624" s="10" t="str">
        <f ca="1">IFERROR(__xludf.DUMMYFUNCTION("""COMPUTED_VALUE"""),"Predios Exentos")</f>
        <v>Predios Exentos</v>
      </c>
      <c r="N624" s="1"/>
      <c r="O624" s="1"/>
      <c r="P624" s="1"/>
      <c r="Q624" s="1"/>
      <c r="R624" s="1"/>
      <c r="S624" s="1"/>
      <c r="T624" s="1"/>
      <c r="U624" s="1"/>
      <c r="V624" s="1"/>
      <c r="W624" s="1"/>
      <c r="X624" s="1"/>
      <c r="Y624" s="1"/>
      <c r="Z624" s="1"/>
    </row>
    <row r="625" spans="1:26" ht="12.75" customHeight="1">
      <c r="A625" s="1"/>
      <c r="B625" s="10" t="str">
        <f ca="1">IFERROR(__xludf.DUMMYFUNCTION("""COMPUTED_VALUE"""),"Compensación Predios Exentos 2024")</f>
        <v>Compensación Predios Exentos 2024</v>
      </c>
      <c r="C625" s="26" t="str">
        <f t="shared" ca="1" si="0"/>
        <v xml:space="preserve"> CERRILLOS</v>
      </c>
      <c r="D625" s="10" t="str">
        <f ca="1">IFERROR(__xludf.DUMMYFUNCTION("""COMPUTED_VALUE"""),"Resolución de Transferencia")</f>
        <v>Resolución de Transferencia</v>
      </c>
      <c r="E625" s="26" t="str">
        <f ca="1">IFERROR(__xludf.DUMMYFUNCTION("""COMPUTED_VALUE"""),"MUNICIPALIDAD DE CERRILLOS")</f>
        <v>MUNICIPALIDAD DE CERRILLOS</v>
      </c>
      <c r="F625" s="11">
        <f ca="1">IFERROR(__xludf.DUMMYFUNCTION("""COMPUTED_VALUE"""),195966872)</f>
        <v>195966872</v>
      </c>
      <c r="G625" s="10" t="str">
        <f ca="1">IFERROR(__xludf.DUMMYFUNCTION("""COMPUTED_VALUE"""),"Resolución")</f>
        <v>Resolución</v>
      </c>
      <c r="H625" s="10" t="str">
        <f ca="1">IFERROR(__xludf.DUMMYFUNCTION("""COMPUTED_VALUE"""),"COMPENSACIÓN PREDIOS EXENTOS")</f>
        <v>COMPENSACIÓN PREDIOS EXENTOS</v>
      </c>
      <c r="I625" s="10" t="str">
        <f ca="1">IFERROR(__xludf.DUMMYFUNCTION("""COMPUTED_VALUE"""),"Cumplir con normativa y reglamentos internos del programa en base a los objetivos.")</f>
        <v>Cumplir con normativa y reglamentos internos del programa en base a los objetivos.</v>
      </c>
      <c r="J625" s="11">
        <f ca="1">IFERROR(__xludf.DUMMYFUNCTION("""COMPUTED_VALUE"""),195966872)</f>
        <v>195966872</v>
      </c>
      <c r="K625" s="27">
        <f ca="1">IFERROR(__xludf.DUMMYFUNCTION("""COMPUTED_VALUE"""),1)</f>
        <v>1</v>
      </c>
      <c r="L625" s="28" t="str">
        <f ca="1">IFERROR(__xludf.DUMMYFUNCTION("""COMPUTED_VALUE"""),"1/2024")</f>
        <v>1/2024</v>
      </c>
      <c r="M625" s="10" t="str">
        <f ca="1">IFERROR(__xludf.DUMMYFUNCTION("""COMPUTED_VALUE"""),"Predios Exentos")</f>
        <v>Predios Exentos</v>
      </c>
      <c r="N625" s="1"/>
      <c r="O625" s="1"/>
      <c r="P625" s="1"/>
      <c r="Q625" s="1"/>
      <c r="R625" s="1"/>
      <c r="S625" s="1"/>
      <c r="T625" s="1"/>
      <c r="U625" s="1"/>
      <c r="V625" s="1"/>
      <c r="W625" s="1"/>
      <c r="X625" s="1"/>
      <c r="Y625" s="1"/>
      <c r="Z625" s="1"/>
    </row>
    <row r="626" spans="1:26" ht="12.75" customHeight="1">
      <c r="A626" s="1"/>
      <c r="B626" s="10" t="str">
        <f ca="1">IFERROR(__xludf.DUMMYFUNCTION("""COMPUTED_VALUE"""),"Compensación Predios Exentos 2024")</f>
        <v>Compensación Predios Exentos 2024</v>
      </c>
      <c r="C626" s="26" t="str">
        <f t="shared" ca="1" si="0"/>
        <v xml:space="preserve"> LO BARNECHEA</v>
      </c>
      <c r="D626" s="10" t="str">
        <f ca="1">IFERROR(__xludf.DUMMYFUNCTION("""COMPUTED_VALUE"""),"Resolución de Transferencia")</f>
        <v>Resolución de Transferencia</v>
      </c>
      <c r="E626" s="26" t="str">
        <f ca="1">IFERROR(__xludf.DUMMYFUNCTION("""COMPUTED_VALUE"""),"MUNICIPALIDAD DE LO BARNECHEA")</f>
        <v>MUNICIPALIDAD DE LO BARNECHEA</v>
      </c>
      <c r="F626" s="11">
        <f ca="1">IFERROR(__xludf.DUMMYFUNCTION("""COMPUTED_VALUE"""),63142151)</f>
        <v>63142151</v>
      </c>
      <c r="G626" s="10" t="str">
        <f ca="1">IFERROR(__xludf.DUMMYFUNCTION("""COMPUTED_VALUE"""),"Resolución")</f>
        <v>Resolución</v>
      </c>
      <c r="H626" s="10" t="str">
        <f ca="1">IFERROR(__xludf.DUMMYFUNCTION("""COMPUTED_VALUE"""),"COMPENSACIÓN PREDIOS EXENTOS")</f>
        <v>COMPENSACIÓN PREDIOS EXENTOS</v>
      </c>
      <c r="I626" s="10" t="str">
        <f ca="1">IFERROR(__xludf.DUMMYFUNCTION("""COMPUTED_VALUE"""),"Cumplir con normativa y reglamentos internos del programa en base a los objetivos.")</f>
        <v>Cumplir con normativa y reglamentos internos del programa en base a los objetivos.</v>
      </c>
      <c r="J626" s="11">
        <f ca="1">IFERROR(__xludf.DUMMYFUNCTION("""COMPUTED_VALUE"""),63142151)</f>
        <v>63142151</v>
      </c>
      <c r="K626" s="27">
        <f ca="1">IFERROR(__xludf.DUMMYFUNCTION("""COMPUTED_VALUE"""),1)</f>
        <v>1</v>
      </c>
      <c r="L626" s="28" t="str">
        <f ca="1">IFERROR(__xludf.DUMMYFUNCTION("""COMPUTED_VALUE"""),"1/2024")</f>
        <v>1/2024</v>
      </c>
      <c r="M626" s="10" t="str">
        <f ca="1">IFERROR(__xludf.DUMMYFUNCTION("""COMPUTED_VALUE"""),"Predios Exentos")</f>
        <v>Predios Exentos</v>
      </c>
      <c r="N626" s="1"/>
      <c r="O626" s="1"/>
      <c r="P626" s="1"/>
      <c r="Q626" s="1"/>
      <c r="R626" s="1"/>
      <c r="S626" s="1"/>
      <c r="T626" s="1"/>
      <c r="U626" s="1"/>
      <c r="V626" s="1"/>
      <c r="W626" s="1"/>
      <c r="X626" s="1"/>
      <c r="Y626" s="1"/>
      <c r="Z626" s="1"/>
    </row>
    <row r="627" spans="1:26" ht="12.75" customHeight="1">
      <c r="A627" s="1"/>
      <c r="B627" s="10" t="str">
        <f ca="1">IFERROR(__xludf.DUMMYFUNCTION("""COMPUTED_VALUE"""),"Compensación Predios Exentos 2024")</f>
        <v>Compensación Predios Exentos 2024</v>
      </c>
      <c r="C627" s="26" t="str">
        <f t="shared" ca="1" si="0"/>
        <v xml:space="preserve"> EL BOSQUE</v>
      </c>
      <c r="D627" s="10" t="str">
        <f ca="1">IFERROR(__xludf.DUMMYFUNCTION("""COMPUTED_VALUE"""),"Resolución de Transferencia")</f>
        <v>Resolución de Transferencia</v>
      </c>
      <c r="E627" s="26" t="str">
        <f ca="1">IFERROR(__xludf.DUMMYFUNCTION("""COMPUTED_VALUE"""),"MUNICIPALIDAD DE EL BOSQUE")</f>
        <v>MUNICIPALIDAD DE EL BOSQUE</v>
      </c>
      <c r="F627" s="11">
        <f ca="1">IFERROR(__xludf.DUMMYFUNCTION("""COMPUTED_VALUE"""),420582614)</f>
        <v>420582614</v>
      </c>
      <c r="G627" s="10" t="str">
        <f ca="1">IFERROR(__xludf.DUMMYFUNCTION("""COMPUTED_VALUE"""),"Resolución")</f>
        <v>Resolución</v>
      </c>
      <c r="H627" s="10" t="str">
        <f ca="1">IFERROR(__xludf.DUMMYFUNCTION("""COMPUTED_VALUE"""),"COMPENSACIÓN PREDIOS EXENTOS")</f>
        <v>COMPENSACIÓN PREDIOS EXENTOS</v>
      </c>
      <c r="I627" s="10" t="str">
        <f ca="1">IFERROR(__xludf.DUMMYFUNCTION("""COMPUTED_VALUE"""),"Cumplir con normativa y reglamentos internos del programa en base a los objetivos.")</f>
        <v>Cumplir con normativa y reglamentos internos del programa en base a los objetivos.</v>
      </c>
      <c r="J627" s="11">
        <f ca="1">IFERROR(__xludf.DUMMYFUNCTION("""COMPUTED_VALUE"""),420582614)</f>
        <v>420582614</v>
      </c>
      <c r="K627" s="27">
        <f ca="1">IFERROR(__xludf.DUMMYFUNCTION("""COMPUTED_VALUE"""),1)</f>
        <v>1</v>
      </c>
      <c r="L627" s="28" t="str">
        <f ca="1">IFERROR(__xludf.DUMMYFUNCTION("""COMPUTED_VALUE"""),"1/2024")</f>
        <v>1/2024</v>
      </c>
      <c r="M627" s="10" t="str">
        <f ca="1">IFERROR(__xludf.DUMMYFUNCTION("""COMPUTED_VALUE"""),"Predios Exentos")</f>
        <v>Predios Exentos</v>
      </c>
      <c r="N627" s="1"/>
      <c r="O627" s="1"/>
      <c r="P627" s="1"/>
      <c r="Q627" s="1"/>
      <c r="R627" s="1"/>
      <c r="S627" s="1"/>
      <c r="T627" s="1"/>
      <c r="U627" s="1"/>
      <c r="V627" s="1"/>
      <c r="W627" s="1"/>
      <c r="X627" s="1"/>
      <c r="Y627" s="1"/>
      <c r="Z627" s="1"/>
    </row>
    <row r="628" spans="1:26" ht="12.75" customHeight="1">
      <c r="A628" s="1"/>
      <c r="B628" s="10" t="str">
        <f ca="1">IFERROR(__xludf.DUMMYFUNCTION("""COMPUTED_VALUE"""),"Compensación Predios Exentos 2024")</f>
        <v>Compensación Predios Exentos 2024</v>
      </c>
      <c r="C628" s="26" t="str">
        <f t="shared" ca="1" si="0"/>
        <v xml:space="preserve"> INDEPENDENCIA</v>
      </c>
      <c r="D628" s="10" t="str">
        <f ca="1">IFERROR(__xludf.DUMMYFUNCTION("""COMPUTED_VALUE"""),"Resolución de Transferencia")</f>
        <v>Resolución de Transferencia</v>
      </c>
      <c r="E628" s="26" t="str">
        <f ca="1">IFERROR(__xludf.DUMMYFUNCTION("""COMPUTED_VALUE"""),"MUNICIPALIDAD DE INDEPENDENCIA")</f>
        <v>MUNICIPALIDAD DE INDEPENDENCIA</v>
      </c>
      <c r="F628" s="11">
        <f ca="1">IFERROR(__xludf.DUMMYFUNCTION("""COMPUTED_VALUE"""),338218391)</f>
        <v>338218391</v>
      </c>
      <c r="G628" s="10" t="str">
        <f ca="1">IFERROR(__xludf.DUMMYFUNCTION("""COMPUTED_VALUE"""),"Resolución")</f>
        <v>Resolución</v>
      </c>
      <c r="H628" s="10" t="str">
        <f ca="1">IFERROR(__xludf.DUMMYFUNCTION("""COMPUTED_VALUE"""),"COMPENSACIÓN PREDIOS EXENTOS")</f>
        <v>COMPENSACIÓN PREDIOS EXENTOS</v>
      </c>
      <c r="I628" s="10" t="str">
        <f ca="1">IFERROR(__xludf.DUMMYFUNCTION("""COMPUTED_VALUE"""),"Cumplir con normativa y reglamentos internos del programa en base a los objetivos.")</f>
        <v>Cumplir con normativa y reglamentos internos del programa en base a los objetivos.</v>
      </c>
      <c r="J628" s="11">
        <f ca="1">IFERROR(__xludf.DUMMYFUNCTION("""COMPUTED_VALUE"""),338218391)</f>
        <v>338218391</v>
      </c>
      <c r="K628" s="27">
        <f ca="1">IFERROR(__xludf.DUMMYFUNCTION("""COMPUTED_VALUE"""),1)</f>
        <v>1</v>
      </c>
      <c r="L628" s="28" t="str">
        <f ca="1">IFERROR(__xludf.DUMMYFUNCTION("""COMPUTED_VALUE"""),"1/2024")</f>
        <v>1/2024</v>
      </c>
      <c r="M628" s="10" t="str">
        <f ca="1">IFERROR(__xludf.DUMMYFUNCTION("""COMPUTED_VALUE"""),"Predios Exentos")</f>
        <v>Predios Exentos</v>
      </c>
      <c r="N628" s="1"/>
      <c r="O628" s="1"/>
      <c r="P628" s="1"/>
      <c r="Q628" s="1"/>
      <c r="R628" s="1"/>
      <c r="S628" s="1"/>
      <c r="T628" s="1"/>
      <c r="U628" s="1"/>
      <c r="V628" s="1"/>
      <c r="W628" s="1"/>
      <c r="X628" s="1"/>
      <c r="Y628" s="1"/>
      <c r="Z628" s="1"/>
    </row>
    <row r="629" spans="1:26" ht="12.75" customHeight="1">
      <c r="A629" s="1"/>
      <c r="B629" s="10" t="str">
        <f ca="1">IFERROR(__xludf.DUMMYFUNCTION("""COMPUTED_VALUE"""),"Compensación Predios Exentos 2024")</f>
        <v>Compensación Predios Exentos 2024</v>
      </c>
      <c r="C629" s="26" t="str">
        <f t="shared" ca="1" si="0"/>
        <v xml:space="preserve"> VITACURA</v>
      </c>
      <c r="D629" s="10" t="str">
        <f ca="1">IFERROR(__xludf.DUMMYFUNCTION("""COMPUTED_VALUE"""),"Resolución de Transferencia")</f>
        <v>Resolución de Transferencia</v>
      </c>
      <c r="E629" s="26" t="str">
        <f ca="1">IFERROR(__xludf.DUMMYFUNCTION("""COMPUTED_VALUE"""),"MUNICIPALIDAD DE VITACURA")</f>
        <v>MUNICIPALIDAD DE VITACURA</v>
      </c>
      <c r="F629" s="11">
        <f ca="1">IFERROR(__xludf.DUMMYFUNCTION("""COMPUTED_VALUE"""),17123816)</f>
        <v>17123816</v>
      </c>
      <c r="G629" s="10" t="str">
        <f ca="1">IFERROR(__xludf.DUMMYFUNCTION("""COMPUTED_VALUE"""),"Resolución")</f>
        <v>Resolución</v>
      </c>
      <c r="H629" s="10" t="str">
        <f ca="1">IFERROR(__xludf.DUMMYFUNCTION("""COMPUTED_VALUE"""),"COMPENSACIÓN PREDIOS EXENTOS")</f>
        <v>COMPENSACIÓN PREDIOS EXENTOS</v>
      </c>
      <c r="I629" s="10" t="str">
        <f ca="1">IFERROR(__xludf.DUMMYFUNCTION("""COMPUTED_VALUE"""),"Cumplir con normativa y reglamentos internos del programa en base a los objetivos.")</f>
        <v>Cumplir con normativa y reglamentos internos del programa en base a los objetivos.</v>
      </c>
      <c r="J629" s="11">
        <f ca="1">IFERROR(__xludf.DUMMYFUNCTION("""COMPUTED_VALUE"""),17123816)</f>
        <v>17123816</v>
      </c>
      <c r="K629" s="27">
        <f ca="1">IFERROR(__xludf.DUMMYFUNCTION("""COMPUTED_VALUE"""),1)</f>
        <v>1</v>
      </c>
      <c r="L629" s="28" t="str">
        <f ca="1">IFERROR(__xludf.DUMMYFUNCTION("""COMPUTED_VALUE"""),"1/2024")</f>
        <v>1/2024</v>
      </c>
      <c r="M629" s="10" t="str">
        <f ca="1">IFERROR(__xludf.DUMMYFUNCTION("""COMPUTED_VALUE"""),"Predios Exentos")</f>
        <v>Predios Exentos</v>
      </c>
      <c r="N629" s="1"/>
      <c r="O629" s="1"/>
      <c r="P629" s="1"/>
      <c r="Q629" s="1"/>
      <c r="R629" s="1"/>
      <c r="S629" s="1"/>
      <c r="T629" s="1"/>
      <c r="U629" s="1"/>
      <c r="V629" s="1"/>
      <c r="W629" s="1"/>
      <c r="X629" s="1"/>
      <c r="Y629" s="1"/>
      <c r="Z629" s="1"/>
    </row>
    <row r="630" spans="1:26" ht="12.75" customHeight="1">
      <c r="A630" s="1"/>
      <c r="B630" s="10" t="str">
        <f ca="1">IFERROR(__xludf.DUMMYFUNCTION("""COMPUTED_VALUE"""),"Compensación Predios Exentos 2024")</f>
        <v>Compensación Predios Exentos 2024</v>
      </c>
      <c r="C630" s="26" t="str">
        <f t="shared" ca="1" si="0"/>
        <v xml:space="preserve"> PADRE HURTADO</v>
      </c>
      <c r="D630" s="10" t="str">
        <f ca="1">IFERROR(__xludf.DUMMYFUNCTION("""COMPUTED_VALUE"""),"Resolución de Transferencia")</f>
        <v>Resolución de Transferencia</v>
      </c>
      <c r="E630" s="26" t="str">
        <f ca="1">IFERROR(__xludf.DUMMYFUNCTION("""COMPUTED_VALUE"""),"MUNICIPALIDAD DE PADRE HURTADO")</f>
        <v>MUNICIPALIDAD DE PADRE HURTADO</v>
      </c>
      <c r="F630" s="11">
        <f ca="1">IFERROR(__xludf.DUMMYFUNCTION("""COMPUTED_VALUE"""),172190049)</f>
        <v>172190049</v>
      </c>
      <c r="G630" s="10" t="str">
        <f ca="1">IFERROR(__xludf.DUMMYFUNCTION("""COMPUTED_VALUE"""),"Resolución")</f>
        <v>Resolución</v>
      </c>
      <c r="H630" s="10" t="str">
        <f ca="1">IFERROR(__xludf.DUMMYFUNCTION("""COMPUTED_VALUE"""),"COMPENSACIÓN PREDIOS EXENTOS")</f>
        <v>COMPENSACIÓN PREDIOS EXENTOS</v>
      </c>
      <c r="I630" s="10" t="str">
        <f ca="1">IFERROR(__xludf.DUMMYFUNCTION("""COMPUTED_VALUE"""),"Cumplir con normativa y reglamentos internos del programa en base a los objetivos.")</f>
        <v>Cumplir con normativa y reglamentos internos del programa en base a los objetivos.</v>
      </c>
      <c r="J630" s="11">
        <f ca="1">IFERROR(__xludf.DUMMYFUNCTION("""COMPUTED_VALUE"""),172190049)</f>
        <v>172190049</v>
      </c>
      <c r="K630" s="27">
        <f ca="1">IFERROR(__xludf.DUMMYFUNCTION("""COMPUTED_VALUE"""),1)</f>
        <v>1</v>
      </c>
      <c r="L630" s="28" t="str">
        <f ca="1">IFERROR(__xludf.DUMMYFUNCTION("""COMPUTED_VALUE"""),"1/2024")</f>
        <v>1/2024</v>
      </c>
      <c r="M630" s="10" t="str">
        <f ca="1">IFERROR(__xludf.DUMMYFUNCTION("""COMPUTED_VALUE"""),"Predios Exentos")</f>
        <v>Predios Exentos</v>
      </c>
      <c r="N630" s="1"/>
      <c r="O630" s="1"/>
      <c r="P630" s="1"/>
      <c r="Q630" s="1"/>
      <c r="R630" s="1"/>
      <c r="S630" s="1"/>
      <c r="T630" s="1"/>
      <c r="U630" s="1"/>
      <c r="V630" s="1"/>
      <c r="W630" s="1"/>
      <c r="X630" s="1"/>
      <c r="Y630" s="1"/>
      <c r="Z630" s="1"/>
    </row>
    <row r="631" spans="1:26" ht="12.75" customHeight="1">
      <c r="A631" s="1"/>
      <c r="B631" s="10" t="str">
        <f ca="1">IFERROR(__xludf.DUMMYFUNCTION("""COMPUTED_VALUE"""),"Compensación Predios Exentos 2024")</f>
        <v>Compensación Predios Exentos 2024</v>
      </c>
      <c r="C631" s="26" t="str">
        <f t="shared" ca="1" si="0"/>
        <v xml:space="preserve"> CHILLÁN VIEJO</v>
      </c>
      <c r="D631" s="10" t="str">
        <f ca="1">IFERROR(__xludf.DUMMYFUNCTION("""COMPUTED_VALUE"""),"Resolución de Transferencia")</f>
        <v>Resolución de Transferencia</v>
      </c>
      <c r="E631" s="26" t="str">
        <f ca="1">IFERROR(__xludf.DUMMYFUNCTION("""COMPUTED_VALUE"""),"MUNICIPALIDAD DE CHILLÁN VIEJO")</f>
        <v>MUNICIPALIDAD DE CHILLÁN VIEJO</v>
      </c>
      <c r="F631" s="11">
        <f ca="1">IFERROR(__xludf.DUMMYFUNCTION("""COMPUTED_VALUE"""),122312970)</f>
        <v>122312970</v>
      </c>
      <c r="G631" s="10" t="str">
        <f ca="1">IFERROR(__xludf.DUMMYFUNCTION("""COMPUTED_VALUE"""),"Resolución")</f>
        <v>Resolución</v>
      </c>
      <c r="H631" s="10" t="str">
        <f ca="1">IFERROR(__xludf.DUMMYFUNCTION("""COMPUTED_VALUE"""),"COMPENSACIÓN PREDIOS EXENTOS")</f>
        <v>COMPENSACIÓN PREDIOS EXENTOS</v>
      </c>
      <c r="I631" s="10" t="str">
        <f ca="1">IFERROR(__xludf.DUMMYFUNCTION("""COMPUTED_VALUE"""),"Cumplir con normativa y reglamentos internos del programa en base a los objetivos.")</f>
        <v>Cumplir con normativa y reglamentos internos del programa en base a los objetivos.</v>
      </c>
      <c r="J631" s="11">
        <f ca="1">IFERROR(__xludf.DUMMYFUNCTION("""COMPUTED_VALUE"""),122312970)</f>
        <v>122312970</v>
      </c>
      <c r="K631" s="27">
        <f ca="1">IFERROR(__xludf.DUMMYFUNCTION("""COMPUTED_VALUE"""),1)</f>
        <v>1</v>
      </c>
      <c r="L631" s="28" t="str">
        <f ca="1">IFERROR(__xludf.DUMMYFUNCTION("""COMPUTED_VALUE"""),"1/2024")</f>
        <v>1/2024</v>
      </c>
      <c r="M631" s="10" t="str">
        <f ca="1">IFERROR(__xludf.DUMMYFUNCTION("""COMPUTED_VALUE"""),"Predios Exentos")</f>
        <v>Predios Exentos</v>
      </c>
      <c r="N631" s="1"/>
      <c r="O631" s="1"/>
      <c r="P631" s="1"/>
      <c r="Q631" s="1"/>
      <c r="R631" s="1"/>
      <c r="S631" s="1"/>
      <c r="T631" s="1"/>
      <c r="U631" s="1"/>
      <c r="V631" s="1"/>
      <c r="W631" s="1"/>
      <c r="X631" s="1"/>
      <c r="Y631" s="1"/>
      <c r="Z631" s="1"/>
    </row>
    <row r="632" spans="1:26" ht="12.75" customHeight="1">
      <c r="A632" s="1"/>
      <c r="B632" s="10"/>
      <c r="C632" s="26"/>
      <c r="D632" s="10"/>
      <c r="E632" s="26"/>
      <c r="F632" s="11"/>
      <c r="G632" s="10"/>
      <c r="H632" s="10"/>
      <c r="I632" s="10"/>
      <c r="J632" s="11"/>
      <c r="K632" s="27"/>
      <c r="L632" s="28"/>
      <c r="M632" s="10"/>
      <c r="N632" s="1"/>
      <c r="O632" s="1"/>
      <c r="P632" s="1"/>
      <c r="Q632" s="1"/>
      <c r="R632" s="1"/>
      <c r="S632" s="1"/>
      <c r="T632" s="1"/>
      <c r="U632" s="1"/>
      <c r="V632" s="1"/>
      <c r="W632" s="1"/>
      <c r="X632" s="1"/>
      <c r="Y632" s="1"/>
      <c r="Z632" s="1"/>
    </row>
    <row r="633" spans="1:26" ht="12.75" customHeight="1">
      <c r="A633" s="1"/>
      <c r="B633" s="10"/>
      <c r="C633" s="26"/>
      <c r="D633" s="10"/>
      <c r="E633" s="26"/>
      <c r="F633" s="11"/>
      <c r="G633" s="10"/>
      <c r="H633" s="10"/>
      <c r="I633" s="10"/>
      <c r="J633" s="11"/>
      <c r="K633" s="27"/>
      <c r="L633" s="28"/>
      <c r="M633" s="10"/>
      <c r="N633" s="1"/>
      <c r="O633" s="1"/>
      <c r="P633" s="1"/>
      <c r="Q633" s="1"/>
      <c r="R633" s="1"/>
      <c r="S633" s="1"/>
      <c r="T633" s="1"/>
      <c r="U633" s="1"/>
      <c r="V633" s="1"/>
      <c r="W633" s="1"/>
      <c r="X633" s="1"/>
      <c r="Y633" s="1"/>
      <c r="Z633" s="1"/>
    </row>
    <row r="634" spans="1:26" ht="12.75" hidden="1" customHeight="1">
      <c r="A634" s="1"/>
      <c r="B634" s="10"/>
      <c r="C634" s="26"/>
      <c r="D634" s="10"/>
      <c r="E634" s="26"/>
      <c r="F634" s="11"/>
      <c r="G634" s="10"/>
      <c r="H634" s="10"/>
      <c r="I634" s="10"/>
      <c r="J634" s="11"/>
      <c r="K634" s="27"/>
      <c r="L634" s="28"/>
      <c r="M634" s="10"/>
      <c r="N634" s="1"/>
      <c r="O634" s="1"/>
      <c r="P634" s="1"/>
      <c r="Q634" s="1"/>
      <c r="R634" s="1"/>
      <c r="S634" s="1"/>
      <c r="T634" s="1"/>
      <c r="U634" s="1"/>
      <c r="V634" s="1"/>
      <c r="W634" s="1"/>
      <c r="X634" s="1"/>
      <c r="Y634" s="1"/>
      <c r="Z634" s="1"/>
    </row>
    <row r="635" spans="1:26" ht="12.75" hidden="1" customHeight="1">
      <c r="A635" s="1"/>
      <c r="B635" s="10"/>
      <c r="C635" s="26"/>
      <c r="D635" s="10"/>
      <c r="E635" s="26"/>
      <c r="F635" s="11"/>
      <c r="G635" s="10"/>
      <c r="H635" s="10"/>
      <c r="I635" s="10"/>
      <c r="J635" s="11"/>
      <c r="K635" s="27"/>
      <c r="L635" s="28"/>
      <c r="M635" s="10"/>
      <c r="N635" s="1"/>
      <c r="O635" s="1"/>
      <c r="P635" s="1"/>
      <c r="Q635" s="1"/>
      <c r="R635" s="1"/>
      <c r="S635" s="1"/>
      <c r="T635" s="1"/>
      <c r="U635" s="1"/>
      <c r="V635" s="1"/>
      <c r="W635" s="1"/>
      <c r="X635" s="1"/>
      <c r="Y635" s="1"/>
      <c r="Z635" s="1"/>
    </row>
    <row r="636" spans="1:26" ht="12.75" hidden="1" customHeight="1">
      <c r="A636" s="1"/>
      <c r="B636" s="10"/>
      <c r="C636" s="26"/>
      <c r="D636" s="10"/>
      <c r="E636" s="26"/>
      <c r="F636" s="11"/>
      <c r="G636" s="10"/>
      <c r="H636" s="10"/>
      <c r="I636" s="10"/>
      <c r="J636" s="11"/>
      <c r="K636" s="27"/>
      <c r="L636" s="28"/>
      <c r="M636" s="10"/>
      <c r="N636" s="1"/>
      <c r="O636" s="1"/>
      <c r="P636" s="1"/>
      <c r="Q636" s="1"/>
      <c r="R636" s="1"/>
      <c r="S636" s="1"/>
      <c r="T636" s="1"/>
      <c r="U636" s="1"/>
      <c r="V636" s="1"/>
      <c r="W636" s="1"/>
      <c r="X636" s="1"/>
      <c r="Y636" s="1"/>
      <c r="Z636" s="1"/>
    </row>
    <row r="637" spans="1:26" ht="12.75" hidden="1" customHeight="1">
      <c r="A637" s="1"/>
      <c r="B637" s="10"/>
      <c r="C637" s="26"/>
      <c r="D637" s="10"/>
      <c r="E637" s="26"/>
      <c r="F637" s="11"/>
      <c r="G637" s="10"/>
      <c r="H637" s="10"/>
      <c r="I637" s="10"/>
      <c r="J637" s="11"/>
      <c r="K637" s="27"/>
      <c r="L637" s="28"/>
      <c r="M637" s="10"/>
      <c r="N637" s="1"/>
      <c r="O637" s="1"/>
      <c r="P637" s="1"/>
      <c r="Q637" s="1"/>
      <c r="R637" s="1"/>
      <c r="S637" s="1"/>
      <c r="T637" s="1"/>
      <c r="U637" s="1"/>
      <c r="V637" s="1"/>
      <c r="W637" s="1"/>
      <c r="X637" s="1"/>
      <c r="Y637" s="1"/>
      <c r="Z637" s="1"/>
    </row>
    <row r="638" spans="1:26" ht="12.75" hidden="1" customHeight="1">
      <c r="A638" s="1"/>
      <c r="B638" s="10"/>
      <c r="C638" s="26"/>
      <c r="D638" s="10"/>
      <c r="E638" s="26"/>
      <c r="F638" s="11"/>
      <c r="G638" s="10"/>
      <c r="H638" s="10"/>
      <c r="I638" s="10"/>
      <c r="J638" s="11"/>
      <c r="K638" s="27"/>
      <c r="L638" s="28"/>
      <c r="M638" s="10"/>
      <c r="N638" s="1"/>
      <c r="O638" s="1"/>
      <c r="P638" s="1"/>
      <c r="Q638" s="1"/>
      <c r="R638" s="1"/>
      <c r="S638" s="1"/>
      <c r="T638" s="1"/>
      <c r="U638" s="1"/>
      <c r="V638" s="1"/>
      <c r="W638" s="1"/>
      <c r="X638" s="1"/>
      <c r="Y638" s="1"/>
      <c r="Z638" s="1"/>
    </row>
    <row r="639" spans="1:26" ht="12.75" hidden="1" customHeight="1">
      <c r="A639" s="1"/>
      <c r="B639" s="10"/>
      <c r="C639" s="26"/>
      <c r="D639" s="10"/>
      <c r="E639" s="26"/>
      <c r="F639" s="11"/>
      <c r="G639" s="10"/>
      <c r="H639" s="10"/>
      <c r="I639" s="10"/>
      <c r="J639" s="11"/>
      <c r="K639" s="27"/>
      <c r="L639" s="28"/>
      <c r="M639" s="10"/>
      <c r="N639" s="1"/>
      <c r="O639" s="1"/>
      <c r="P639" s="1"/>
      <c r="Q639" s="1"/>
      <c r="R639" s="1"/>
      <c r="S639" s="1"/>
      <c r="T639" s="1"/>
      <c r="U639" s="1"/>
      <c r="V639" s="1"/>
      <c r="W639" s="1"/>
      <c r="X639" s="1"/>
      <c r="Y639" s="1"/>
      <c r="Z639" s="1"/>
    </row>
    <row r="640" spans="1:26" ht="12.75" hidden="1" customHeight="1">
      <c r="A640" s="1"/>
      <c r="B640" s="10"/>
      <c r="C640" s="26"/>
      <c r="D640" s="10"/>
      <c r="E640" s="26"/>
      <c r="F640" s="11"/>
      <c r="G640" s="10"/>
      <c r="H640" s="10"/>
      <c r="I640" s="10"/>
      <c r="J640" s="11"/>
      <c r="K640" s="27"/>
      <c r="L640" s="28"/>
      <c r="M640" s="10"/>
      <c r="N640" s="1"/>
      <c r="O640" s="1"/>
      <c r="P640" s="1"/>
      <c r="Q640" s="1"/>
      <c r="R640" s="1"/>
      <c r="S640" s="1"/>
      <c r="T640" s="1"/>
      <c r="U640" s="1"/>
      <c r="V640" s="1"/>
      <c r="W640" s="1"/>
      <c r="X640" s="1"/>
      <c r="Y640" s="1"/>
      <c r="Z640" s="1"/>
    </row>
    <row r="641" spans="1:26" ht="12.75" hidden="1" customHeight="1">
      <c r="A641" s="1"/>
      <c r="B641" s="10"/>
      <c r="C641" s="26"/>
      <c r="D641" s="10"/>
      <c r="E641" s="26"/>
      <c r="F641" s="11"/>
      <c r="G641" s="10"/>
      <c r="H641" s="10"/>
      <c r="I641" s="10"/>
      <c r="J641" s="11"/>
      <c r="K641" s="27"/>
      <c r="L641" s="28"/>
      <c r="M641" s="10"/>
      <c r="N641" s="1"/>
      <c r="O641" s="1"/>
      <c r="P641" s="1"/>
      <c r="Q641" s="1"/>
      <c r="R641" s="1"/>
      <c r="S641" s="1"/>
      <c r="T641" s="1"/>
      <c r="U641" s="1"/>
      <c r="V641" s="1"/>
      <c r="W641" s="1"/>
      <c r="X641" s="1"/>
      <c r="Y641" s="1"/>
      <c r="Z641" s="1"/>
    </row>
    <row r="642" spans="1:26" ht="12.75" hidden="1" customHeight="1">
      <c r="A642" s="1"/>
      <c r="B642" s="10"/>
      <c r="C642" s="26"/>
      <c r="D642" s="10"/>
      <c r="E642" s="26"/>
      <c r="F642" s="11"/>
      <c r="G642" s="10"/>
      <c r="H642" s="10"/>
      <c r="I642" s="10"/>
      <c r="J642" s="11"/>
      <c r="K642" s="27"/>
      <c r="L642" s="28"/>
      <c r="M642" s="10"/>
      <c r="N642" s="1"/>
      <c r="O642" s="1"/>
      <c r="P642" s="1"/>
      <c r="Q642" s="1"/>
      <c r="R642" s="1"/>
      <c r="S642" s="1"/>
      <c r="T642" s="1"/>
      <c r="U642" s="1"/>
      <c r="V642" s="1"/>
      <c r="W642" s="1"/>
      <c r="X642" s="1"/>
      <c r="Y642" s="1"/>
      <c r="Z642" s="1"/>
    </row>
    <row r="643" spans="1:26" ht="12.75" hidden="1" customHeight="1">
      <c r="A643" s="1"/>
      <c r="B643" s="10"/>
      <c r="C643" s="26"/>
      <c r="D643" s="10"/>
      <c r="E643" s="26"/>
      <c r="F643" s="11"/>
      <c r="G643" s="10"/>
      <c r="H643" s="10"/>
      <c r="I643" s="10"/>
      <c r="J643" s="11"/>
      <c r="K643" s="27"/>
      <c r="L643" s="28"/>
      <c r="M643" s="10"/>
      <c r="N643" s="1"/>
      <c r="O643" s="1"/>
      <c r="P643" s="1"/>
      <c r="Q643" s="1"/>
      <c r="R643" s="1"/>
      <c r="S643" s="1"/>
      <c r="T643" s="1"/>
      <c r="U643" s="1"/>
      <c r="V643" s="1"/>
      <c r="W643" s="1"/>
      <c r="X643" s="1"/>
      <c r="Y643" s="1"/>
      <c r="Z643" s="1"/>
    </row>
    <row r="644" spans="1:26" ht="12.75" hidden="1" customHeight="1">
      <c r="A644" s="1"/>
      <c r="B644" s="10"/>
      <c r="C644" s="26"/>
      <c r="D644" s="10"/>
      <c r="E644" s="26"/>
      <c r="F644" s="11"/>
      <c r="G644" s="10"/>
      <c r="H644" s="10"/>
      <c r="I644" s="10"/>
      <c r="J644" s="11"/>
      <c r="K644" s="27"/>
      <c r="L644" s="28"/>
      <c r="M644" s="10"/>
      <c r="N644" s="1"/>
      <c r="O644" s="1"/>
      <c r="P644" s="1"/>
      <c r="Q644" s="1"/>
      <c r="R644" s="1"/>
      <c r="S644" s="1"/>
      <c r="T644" s="1"/>
      <c r="U644" s="1"/>
      <c r="V644" s="1"/>
      <c r="W644" s="1"/>
      <c r="X644" s="1"/>
      <c r="Y644" s="1"/>
      <c r="Z644" s="1"/>
    </row>
    <row r="645" spans="1:26" ht="12.75" hidden="1" customHeight="1">
      <c r="A645" s="1"/>
      <c r="B645" s="10"/>
      <c r="C645" s="26"/>
      <c r="D645" s="10"/>
      <c r="E645" s="26"/>
      <c r="F645" s="11"/>
      <c r="G645" s="10"/>
      <c r="H645" s="10"/>
      <c r="I645" s="10"/>
      <c r="J645" s="11"/>
      <c r="K645" s="27"/>
      <c r="L645" s="28"/>
      <c r="M645" s="10"/>
      <c r="N645" s="1"/>
      <c r="O645" s="1"/>
      <c r="P645" s="1"/>
      <c r="Q645" s="1"/>
      <c r="R645" s="1"/>
      <c r="S645" s="1"/>
      <c r="T645" s="1"/>
      <c r="U645" s="1"/>
      <c r="V645" s="1"/>
      <c r="W645" s="1"/>
      <c r="X645" s="1"/>
      <c r="Y645" s="1"/>
      <c r="Z645" s="1"/>
    </row>
    <row r="646" spans="1:26" ht="12.75" hidden="1" customHeight="1">
      <c r="A646" s="1"/>
      <c r="B646" s="10"/>
      <c r="C646" s="26"/>
      <c r="D646" s="10"/>
      <c r="E646" s="26"/>
      <c r="F646" s="11"/>
      <c r="G646" s="10"/>
      <c r="H646" s="10"/>
      <c r="I646" s="10"/>
      <c r="J646" s="11"/>
      <c r="K646" s="27"/>
      <c r="L646" s="28"/>
      <c r="M646" s="10"/>
      <c r="N646" s="1"/>
      <c r="O646" s="1"/>
      <c r="P646" s="1"/>
      <c r="Q646" s="1"/>
      <c r="R646" s="1"/>
      <c r="S646" s="1"/>
      <c r="T646" s="1"/>
      <c r="U646" s="1"/>
      <c r="V646" s="1"/>
      <c r="W646" s="1"/>
      <c r="X646" s="1"/>
      <c r="Y646" s="1"/>
      <c r="Z646" s="1"/>
    </row>
    <row r="647" spans="1:26" ht="12.75" hidden="1" customHeight="1">
      <c r="A647" s="1"/>
      <c r="B647" s="10"/>
      <c r="C647" s="26"/>
      <c r="D647" s="10"/>
      <c r="E647" s="26"/>
      <c r="F647" s="11"/>
      <c r="G647" s="10"/>
      <c r="H647" s="10"/>
      <c r="I647" s="10"/>
      <c r="J647" s="11"/>
      <c r="K647" s="27"/>
      <c r="L647" s="28"/>
      <c r="M647" s="10"/>
      <c r="N647" s="1"/>
      <c r="O647" s="1"/>
      <c r="P647" s="1"/>
      <c r="Q647" s="1"/>
      <c r="R647" s="1"/>
      <c r="S647" s="1"/>
      <c r="T647" s="1"/>
      <c r="U647" s="1"/>
      <c r="V647" s="1"/>
      <c r="W647" s="1"/>
      <c r="X647" s="1"/>
      <c r="Y647" s="1"/>
      <c r="Z647" s="1"/>
    </row>
    <row r="648" spans="1:26" ht="12.75" hidden="1" customHeight="1">
      <c r="A648" s="1"/>
      <c r="B648" s="10"/>
      <c r="C648" s="26"/>
      <c r="D648" s="10"/>
      <c r="E648" s="26"/>
      <c r="F648" s="11"/>
      <c r="G648" s="10"/>
      <c r="H648" s="10"/>
      <c r="I648" s="10"/>
      <c r="J648" s="11"/>
      <c r="K648" s="27"/>
      <c r="L648" s="28"/>
      <c r="M648" s="10"/>
      <c r="N648" s="1"/>
      <c r="O648" s="1"/>
      <c r="P648" s="1"/>
      <c r="Q648" s="1"/>
      <c r="R648" s="1"/>
      <c r="S648" s="1"/>
      <c r="T648" s="1"/>
      <c r="U648" s="1"/>
      <c r="V648" s="1"/>
      <c r="W648" s="1"/>
      <c r="X648" s="1"/>
      <c r="Y648" s="1"/>
      <c r="Z648" s="1"/>
    </row>
    <row r="649" spans="1:26" ht="12.75" hidden="1" customHeight="1">
      <c r="A649" s="1"/>
      <c r="B649" s="10"/>
      <c r="C649" s="26"/>
      <c r="D649" s="10"/>
      <c r="E649" s="26"/>
      <c r="F649" s="11"/>
      <c r="G649" s="10"/>
      <c r="H649" s="10"/>
      <c r="I649" s="10"/>
      <c r="J649" s="11"/>
      <c r="K649" s="27"/>
      <c r="L649" s="28"/>
      <c r="M649" s="10"/>
      <c r="N649" s="1"/>
      <c r="O649" s="1"/>
      <c r="P649" s="1"/>
      <c r="Q649" s="1"/>
      <c r="R649" s="1"/>
      <c r="S649" s="1"/>
      <c r="T649" s="1"/>
      <c r="U649" s="1"/>
      <c r="V649" s="1"/>
      <c r="W649" s="1"/>
      <c r="X649" s="1"/>
      <c r="Y649" s="1"/>
      <c r="Z649" s="1"/>
    </row>
    <row r="650" spans="1:26" ht="12.75" hidden="1" customHeight="1">
      <c r="A650" s="1"/>
      <c r="B650" s="10"/>
      <c r="C650" s="26"/>
      <c r="D650" s="10"/>
      <c r="E650" s="26"/>
      <c r="F650" s="11"/>
      <c r="G650" s="10"/>
      <c r="H650" s="10"/>
      <c r="I650" s="10"/>
      <c r="J650" s="11"/>
      <c r="K650" s="27"/>
      <c r="L650" s="28"/>
      <c r="M650" s="10"/>
      <c r="N650" s="1"/>
      <c r="O650" s="1"/>
      <c r="P650" s="1"/>
      <c r="Q650" s="1"/>
      <c r="R650" s="1"/>
      <c r="S650" s="1"/>
      <c r="T650" s="1"/>
      <c r="U650" s="1"/>
      <c r="V650" s="1"/>
      <c r="W650" s="1"/>
      <c r="X650" s="1"/>
      <c r="Y650" s="1"/>
      <c r="Z650" s="1"/>
    </row>
    <row r="651" spans="1:26" ht="12.75" hidden="1" customHeight="1">
      <c r="A651" s="1"/>
      <c r="B651" s="10"/>
      <c r="C651" s="26"/>
      <c r="D651" s="10"/>
      <c r="E651" s="26"/>
      <c r="F651" s="11"/>
      <c r="G651" s="10"/>
      <c r="H651" s="10"/>
      <c r="I651" s="10"/>
      <c r="J651" s="11"/>
      <c r="K651" s="27"/>
      <c r="L651" s="28"/>
      <c r="M651" s="10"/>
      <c r="N651" s="1"/>
      <c r="O651" s="1"/>
      <c r="P651" s="1"/>
      <c r="Q651" s="1"/>
      <c r="R651" s="1"/>
      <c r="S651" s="1"/>
      <c r="T651" s="1"/>
      <c r="U651" s="1"/>
      <c r="V651" s="1"/>
      <c r="W651" s="1"/>
      <c r="X651" s="1"/>
      <c r="Y651" s="1"/>
      <c r="Z651" s="1"/>
    </row>
    <row r="652" spans="1:26" ht="12.75" hidden="1" customHeight="1">
      <c r="A652" s="1"/>
      <c r="B652" s="10"/>
      <c r="C652" s="26"/>
      <c r="D652" s="10"/>
      <c r="E652" s="26"/>
      <c r="F652" s="11"/>
      <c r="G652" s="10"/>
      <c r="H652" s="10"/>
      <c r="I652" s="10"/>
      <c r="J652" s="11"/>
      <c r="K652" s="27"/>
      <c r="L652" s="28"/>
      <c r="M652" s="10"/>
      <c r="N652" s="1"/>
      <c r="O652" s="1"/>
      <c r="P652" s="1"/>
      <c r="Q652" s="1"/>
      <c r="R652" s="1"/>
      <c r="S652" s="1"/>
      <c r="T652" s="1"/>
      <c r="U652" s="1"/>
      <c r="V652" s="1"/>
      <c r="W652" s="1"/>
      <c r="X652" s="1"/>
      <c r="Y652" s="1"/>
      <c r="Z652" s="1"/>
    </row>
    <row r="653" spans="1:26" ht="12.75" hidden="1" customHeight="1">
      <c r="A653" s="1"/>
      <c r="B653" s="10"/>
      <c r="C653" s="26"/>
      <c r="D653" s="10"/>
      <c r="E653" s="26"/>
      <c r="F653" s="11"/>
      <c r="G653" s="10"/>
      <c r="H653" s="10"/>
      <c r="I653" s="10"/>
      <c r="J653" s="11"/>
      <c r="K653" s="27"/>
      <c r="L653" s="28"/>
      <c r="M653" s="10"/>
      <c r="N653" s="1"/>
      <c r="O653" s="1"/>
      <c r="P653" s="1"/>
      <c r="Q653" s="1"/>
      <c r="R653" s="1"/>
      <c r="S653" s="1"/>
      <c r="T653" s="1"/>
      <c r="U653" s="1"/>
      <c r="V653" s="1"/>
      <c r="W653" s="1"/>
      <c r="X653" s="1"/>
      <c r="Y653" s="1"/>
      <c r="Z653" s="1"/>
    </row>
    <row r="654" spans="1:26" ht="12.75" hidden="1" customHeight="1">
      <c r="A654" s="1"/>
      <c r="B654" s="10"/>
      <c r="C654" s="26"/>
      <c r="D654" s="10"/>
      <c r="E654" s="26"/>
      <c r="F654" s="11"/>
      <c r="G654" s="10"/>
      <c r="H654" s="10"/>
      <c r="I654" s="10"/>
      <c r="J654" s="11"/>
      <c r="K654" s="27"/>
      <c r="L654" s="28"/>
      <c r="M654" s="10"/>
      <c r="N654" s="1"/>
      <c r="O654" s="1"/>
      <c r="P654" s="1"/>
      <c r="Q654" s="1"/>
      <c r="R654" s="1"/>
      <c r="S654" s="1"/>
      <c r="T654" s="1"/>
      <c r="U654" s="1"/>
      <c r="V654" s="1"/>
      <c r="W654" s="1"/>
      <c r="X654" s="1"/>
      <c r="Y654" s="1"/>
      <c r="Z654" s="1"/>
    </row>
    <row r="655" spans="1:26" ht="12.75" hidden="1" customHeight="1">
      <c r="A655" s="1"/>
      <c r="B655" s="10"/>
      <c r="C655" s="26"/>
      <c r="D655" s="10"/>
      <c r="E655" s="26"/>
      <c r="F655" s="11"/>
      <c r="G655" s="10"/>
      <c r="H655" s="10"/>
      <c r="I655" s="10"/>
      <c r="J655" s="11"/>
      <c r="K655" s="27"/>
      <c r="L655" s="28"/>
      <c r="M655" s="10"/>
      <c r="N655" s="1"/>
      <c r="O655" s="1"/>
      <c r="P655" s="1"/>
      <c r="Q655" s="1"/>
      <c r="R655" s="1"/>
      <c r="S655" s="1"/>
      <c r="T655" s="1"/>
      <c r="U655" s="1"/>
      <c r="V655" s="1"/>
      <c r="W655" s="1"/>
      <c r="X655" s="1"/>
      <c r="Y655" s="1"/>
      <c r="Z655" s="1"/>
    </row>
    <row r="656" spans="1:26" ht="12.75" hidden="1" customHeight="1">
      <c r="A656" s="1"/>
      <c r="B656" s="10"/>
      <c r="C656" s="26"/>
      <c r="D656" s="10"/>
      <c r="E656" s="26"/>
      <c r="F656" s="11"/>
      <c r="G656" s="10"/>
      <c r="H656" s="10"/>
      <c r="I656" s="10"/>
      <c r="J656" s="11"/>
      <c r="K656" s="27"/>
      <c r="L656" s="28"/>
      <c r="M656" s="10"/>
      <c r="N656" s="1"/>
      <c r="O656" s="1"/>
      <c r="P656" s="1"/>
      <c r="Q656" s="1"/>
      <c r="R656" s="1"/>
      <c r="S656" s="1"/>
      <c r="T656" s="1"/>
      <c r="U656" s="1"/>
      <c r="V656" s="1"/>
      <c r="W656" s="1"/>
      <c r="X656" s="1"/>
      <c r="Y656" s="1"/>
      <c r="Z656" s="1"/>
    </row>
    <row r="657" spans="1:26" ht="12.75" hidden="1" customHeight="1">
      <c r="A657" s="1"/>
      <c r="B657" s="10"/>
      <c r="C657" s="26"/>
      <c r="D657" s="10"/>
      <c r="E657" s="26"/>
      <c r="F657" s="11"/>
      <c r="G657" s="10"/>
      <c r="H657" s="10"/>
      <c r="I657" s="10"/>
      <c r="J657" s="11"/>
      <c r="K657" s="27"/>
      <c r="L657" s="28"/>
      <c r="M657" s="10"/>
      <c r="N657" s="1"/>
      <c r="O657" s="1"/>
      <c r="P657" s="1"/>
      <c r="Q657" s="1"/>
      <c r="R657" s="1"/>
      <c r="S657" s="1"/>
      <c r="T657" s="1"/>
      <c r="U657" s="1"/>
      <c r="V657" s="1"/>
      <c r="W657" s="1"/>
      <c r="X657" s="1"/>
      <c r="Y657" s="1"/>
      <c r="Z657" s="1"/>
    </row>
    <row r="658" spans="1:26" ht="12.75" hidden="1" customHeight="1">
      <c r="A658" s="1"/>
      <c r="B658" s="10"/>
      <c r="C658" s="26"/>
      <c r="D658" s="10"/>
      <c r="E658" s="26"/>
      <c r="F658" s="11"/>
      <c r="G658" s="10"/>
      <c r="H658" s="10"/>
      <c r="I658" s="10"/>
      <c r="J658" s="11"/>
      <c r="K658" s="27"/>
      <c r="L658" s="28"/>
      <c r="M658" s="10"/>
      <c r="N658" s="1"/>
      <c r="O658" s="1"/>
      <c r="P658" s="1"/>
      <c r="Q658" s="1"/>
      <c r="R658" s="1"/>
      <c r="S658" s="1"/>
      <c r="T658" s="1"/>
      <c r="U658" s="1"/>
      <c r="V658" s="1"/>
      <c r="W658" s="1"/>
      <c r="X658" s="1"/>
      <c r="Y658" s="1"/>
      <c r="Z658" s="1"/>
    </row>
    <row r="659" spans="1:26" ht="12.75" hidden="1" customHeight="1">
      <c r="A659" s="1"/>
      <c r="B659" s="10"/>
      <c r="C659" s="26"/>
      <c r="D659" s="10"/>
      <c r="E659" s="26"/>
      <c r="F659" s="11"/>
      <c r="G659" s="10"/>
      <c r="H659" s="10"/>
      <c r="I659" s="10"/>
      <c r="J659" s="11"/>
      <c r="K659" s="27"/>
      <c r="L659" s="28"/>
      <c r="M659" s="10"/>
      <c r="N659" s="1"/>
      <c r="O659" s="1"/>
      <c r="P659" s="1"/>
      <c r="Q659" s="1"/>
      <c r="R659" s="1"/>
      <c r="S659" s="1"/>
      <c r="T659" s="1"/>
      <c r="U659" s="1"/>
      <c r="V659" s="1"/>
      <c r="W659" s="1"/>
      <c r="X659" s="1"/>
      <c r="Y659" s="1"/>
      <c r="Z659" s="1"/>
    </row>
    <row r="660" spans="1:26" ht="12.75" hidden="1" customHeight="1">
      <c r="A660" s="1"/>
      <c r="B660" s="10"/>
      <c r="C660" s="26"/>
      <c r="D660" s="10"/>
      <c r="E660" s="26"/>
      <c r="F660" s="11"/>
      <c r="G660" s="10"/>
      <c r="H660" s="10"/>
      <c r="I660" s="10"/>
      <c r="J660" s="11"/>
      <c r="K660" s="27"/>
      <c r="L660" s="28"/>
      <c r="M660" s="10"/>
      <c r="N660" s="1"/>
      <c r="O660" s="1"/>
      <c r="P660" s="1"/>
      <c r="Q660" s="1"/>
      <c r="R660" s="1"/>
      <c r="S660" s="1"/>
      <c r="T660" s="1"/>
      <c r="U660" s="1"/>
      <c r="V660" s="1"/>
      <c r="W660" s="1"/>
      <c r="X660" s="1"/>
      <c r="Y660" s="1"/>
      <c r="Z660" s="1"/>
    </row>
    <row r="661" spans="1:26" ht="12.75" hidden="1" customHeight="1">
      <c r="A661" s="1"/>
      <c r="B661" s="10"/>
      <c r="C661" s="26"/>
      <c r="D661" s="10"/>
      <c r="E661" s="26"/>
      <c r="F661" s="11"/>
      <c r="G661" s="10"/>
      <c r="H661" s="10"/>
      <c r="I661" s="10"/>
      <c r="J661" s="11"/>
      <c r="K661" s="27"/>
      <c r="L661" s="28"/>
      <c r="M661" s="10"/>
      <c r="N661" s="1"/>
      <c r="O661" s="1"/>
      <c r="P661" s="1"/>
      <c r="Q661" s="1"/>
      <c r="R661" s="1"/>
      <c r="S661" s="1"/>
      <c r="T661" s="1"/>
      <c r="U661" s="1"/>
      <c r="V661" s="1"/>
      <c r="W661" s="1"/>
      <c r="X661" s="1"/>
      <c r="Y661" s="1"/>
      <c r="Z661" s="1"/>
    </row>
    <row r="662" spans="1:26" ht="12.75" hidden="1" customHeight="1">
      <c r="A662" s="1"/>
      <c r="B662" s="10"/>
      <c r="C662" s="26"/>
      <c r="D662" s="10"/>
      <c r="E662" s="26"/>
      <c r="F662" s="11"/>
      <c r="G662" s="10"/>
      <c r="H662" s="10"/>
      <c r="I662" s="10"/>
      <c r="J662" s="11"/>
      <c r="K662" s="27"/>
      <c r="L662" s="28"/>
      <c r="M662" s="10"/>
      <c r="N662" s="1"/>
      <c r="O662" s="1"/>
      <c r="P662" s="1"/>
      <c r="Q662" s="1"/>
      <c r="R662" s="1"/>
      <c r="S662" s="1"/>
      <c r="T662" s="1"/>
      <c r="U662" s="1"/>
      <c r="V662" s="1"/>
      <c r="W662" s="1"/>
      <c r="X662" s="1"/>
      <c r="Y662" s="1"/>
      <c r="Z662" s="1"/>
    </row>
    <row r="663" spans="1:26" ht="12.75" hidden="1" customHeight="1">
      <c r="A663" s="1"/>
      <c r="B663" s="10"/>
      <c r="C663" s="26"/>
      <c r="D663" s="10"/>
      <c r="E663" s="26"/>
      <c r="F663" s="11"/>
      <c r="G663" s="10"/>
      <c r="H663" s="10"/>
      <c r="I663" s="10"/>
      <c r="J663" s="11"/>
      <c r="K663" s="27"/>
      <c r="L663" s="28"/>
      <c r="M663" s="10"/>
      <c r="N663" s="1"/>
      <c r="O663" s="1"/>
      <c r="P663" s="1"/>
      <c r="Q663" s="1"/>
      <c r="R663" s="1"/>
      <c r="S663" s="1"/>
      <c r="T663" s="1"/>
      <c r="U663" s="1"/>
      <c r="V663" s="1"/>
      <c r="W663" s="1"/>
      <c r="X663" s="1"/>
      <c r="Y663" s="1"/>
      <c r="Z663" s="1"/>
    </row>
    <row r="664" spans="1:26" ht="12.75" hidden="1" customHeight="1">
      <c r="A664" s="1"/>
      <c r="B664" s="10"/>
      <c r="C664" s="26"/>
      <c r="D664" s="10"/>
      <c r="E664" s="26"/>
      <c r="F664" s="11"/>
      <c r="G664" s="10"/>
      <c r="H664" s="10"/>
      <c r="I664" s="10"/>
      <c r="J664" s="11"/>
      <c r="K664" s="27"/>
      <c r="L664" s="28"/>
      <c r="M664" s="10"/>
      <c r="N664" s="1"/>
      <c r="O664" s="1"/>
      <c r="P664" s="1"/>
      <c r="Q664" s="1"/>
      <c r="R664" s="1"/>
      <c r="S664" s="1"/>
      <c r="T664" s="1"/>
      <c r="U664" s="1"/>
      <c r="V664" s="1"/>
      <c r="W664" s="1"/>
      <c r="X664" s="1"/>
      <c r="Y664" s="1"/>
      <c r="Z664" s="1"/>
    </row>
    <row r="665" spans="1:26" ht="12.75" hidden="1" customHeight="1">
      <c r="A665" s="1"/>
      <c r="B665" s="10"/>
      <c r="C665" s="26"/>
      <c r="D665" s="10"/>
      <c r="E665" s="26"/>
      <c r="F665" s="11"/>
      <c r="G665" s="10"/>
      <c r="H665" s="10"/>
      <c r="I665" s="10"/>
      <c r="J665" s="11"/>
      <c r="K665" s="27"/>
      <c r="L665" s="28"/>
      <c r="M665" s="10"/>
      <c r="N665" s="1"/>
      <c r="O665" s="1"/>
      <c r="P665" s="1"/>
      <c r="Q665" s="1"/>
      <c r="R665" s="1"/>
      <c r="S665" s="1"/>
      <c r="T665" s="1"/>
      <c r="U665" s="1"/>
      <c r="V665" s="1"/>
      <c r="W665" s="1"/>
      <c r="X665" s="1"/>
      <c r="Y665" s="1"/>
      <c r="Z665" s="1"/>
    </row>
    <row r="666" spans="1:26" ht="12.75" hidden="1" customHeight="1">
      <c r="A666" s="1"/>
      <c r="B666" s="10"/>
      <c r="C666" s="26"/>
      <c r="D666" s="10"/>
      <c r="E666" s="26"/>
      <c r="F666" s="11"/>
      <c r="G666" s="10"/>
      <c r="H666" s="10"/>
      <c r="I666" s="10"/>
      <c r="J666" s="11"/>
      <c r="K666" s="27"/>
      <c r="L666" s="28"/>
      <c r="M666" s="10"/>
      <c r="N666" s="1"/>
      <c r="O666" s="1"/>
      <c r="P666" s="1"/>
      <c r="Q666" s="1"/>
      <c r="R666" s="1"/>
      <c r="S666" s="1"/>
      <c r="T666" s="1"/>
      <c r="U666" s="1"/>
      <c r="V666" s="1"/>
      <c r="W666" s="1"/>
      <c r="X666" s="1"/>
      <c r="Y666" s="1"/>
      <c r="Z666" s="1"/>
    </row>
    <row r="667" spans="1:26" ht="12.75" hidden="1" customHeight="1">
      <c r="A667" s="1"/>
      <c r="B667" s="10"/>
      <c r="C667" s="26"/>
      <c r="D667" s="10"/>
      <c r="E667" s="26"/>
      <c r="F667" s="11"/>
      <c r="G667" s="10"/>
      <c r="H667" s="10"/>
      <c r="I667" s="10"/>
      <c r="J667" s="11"/>
      <c r="K667" s="27"/>
      <c r="L667" s="28"/>
      <c r="M667" s="10"/>
      <c r="N667" s="1"/>
      <c r="O667" s="1"/>
      <c r="P667" s="1"/>
      <c r="Q667" s="1"/>
      <c r="R667" s="1"/>
      <c r="S667" s="1"/>
      <c r="T667" s="1"/>
      <c r="U667" s="1"/>
      <c r="V667" s="1"/>
      <c r="W667" s="1"/>
      <c r="X667" s="1"/>
      <c r="Y667" s="1"/>
      <c r="Z667" s="1"/>
    </row>
    <row r="668" spans="1:26" ht="12.75" hidden="1" customHeight="1">
      <c r="A668" s="1"/>
      <c r="B668" s="10"/>
      <c r="C668" s="26"/>
      <c r="D668" s="10"/>
      <c r="E668" s="26"/>
      <c r="F668" s="11"/>
      <c r="G668" s="10"/>
      <c r="H668" s="10"/>
      <c r="I668" s="10"/>
      <c r="J668" s="11"/>
      <c r="K668" s="27"/>
      <c r="L668" s="28"/>
      <c r="M668" s="10"/>
      <c r="N668" s="1"/>
      <c r="O668" s="1"/>
      <c r="P668" s="1"/>
      <c r="Q668" s="1"/>
      <c r="R668" s="1"/>
      <c r="S668" s="1"/>
      <c r="T668" s="1"/>
      <c r="U668" s="1"/>
      <c r="V668" s="1"/>
      <c r="W668" s="1"/>
      <c r="X668" s="1"/>
      <c r="Y668" s="1"/>
      <c r="Z668" s="1"/>
    </row>
    <row r="669" spans="1:26" ht="12.75" hidden="1" customHeight="1">
      <c r="A669" s="1"/>
      <c r="B669" s="10"/>
      <c r="C669" s="26"/>
      <c r="D669" s="10"/>
      <c r="E669" s="26"/>
      <c r="F669" s="11"/>
      <c r="G669" s="10"/>
      <c r="H669" s="10"/>
      <c r="I669" s="10"/>
      <c r="J669" s="11"/>
      <c r="K669" s="27"/>
      <c r="L669" s="28"/>
      <c r="M669" s="10"/>
      <c r="N669" s="1"/>
      <c r="O669" s="1"/>
      <c r="P669" s="1"/>
      <c r="Q669" s="1"/>
      <c r="R669" s="1"/>
      <c r="S669" s="1"/>
      <c r="T669" s="1"/>
      <c r="U669" s="1"/>
      <c r="V669" s="1"/>
      <c r="W669" s="1"/>
      <c r="X669" s="1"/>
      <c r="Y669" s="1"/>
      <c r="Z669" s="1"/>
    </row>
    <row r="670" spans="1:26" ht="12.75" hidden="1" customHeight="1">
      <c r="A670" s="1"/>
      <c r="B670" s="10"/>
      <c r="C670" s="26"/>
      <c r="D670" s="10"/>
      <c r="E670" s="26"/>
      <c r="F670" s="11"/>
      <c r="G670" s="10"/>
      <c r="H670" s="10"/>
      <c r="I670" s="10"/>
      <c r="J670" s="11"/>
      <c r="K670" s="27"/>
      <c r="L670" s="28"/>
      <c r="M670" s="10"/>
      <c r="N670" s="1"/>
      <c r="O670" s="1"/>
      <c r="P670" s="1"/>
      <c r="Q670" s="1"/>
      <c r="R670" s="1"/>
      <c r="S670" s="1"/>
      <c r="T670" s="1"/>
      <c r="U670" s="1"/>
      <c r="V670" s="1"/>
      <c r="W670" s="1"/>
      <c r="X670" s="1"/>
      <c r="Y670" s="1"/>
      <c r="Z670" s="1"/>
    </row>
    <row r="671" spans="1:26" ht="12.75" hidden="1" customHeight="1">
      <c r="A671" s="1"/>
      <c r="B671" s="10"/>
      <c r="C671" s="26"/>
      <c r="D671" s="10"/>
      <c r="E671" s="26"/>
      <c r="F671" s="11"/>
      <c r="G671" s="10"/>
      <c r="H671" s="10"/>
      <c r="I671" s="10"/>
      <c r="J671" s="11"/>
      <c r="K671" s="27"/>
      <c r="L671" s="28"/>
      <c r="M671" s="10"/>
      <c r="N671" s="1"/>
      <c r="O671" s="1"/>
      <c r="P671" s="1"/>
      <c r="Q671" s="1"/>
      <c r="R671" s="1"/>
      <c r="S671" s="1"/>
      <c r="T671" s="1"/>
      <c r="U671" s="1"/>
      <c r="V671" s="1"/>
      <c r="W671" s="1"/>
      <c r="X671" s="1"/>
      <c r="Y671" s="1"/>
      <c r="Z671" s="1"/>
    </row>
    <row r="672" spans="1:26" ht="12.75" hidden="1" customHeight="1">
      <c r="A672" s="1"/>
      <c r="B672" s="10"/>
      <c r="C672" s="26"/>
      <c r="D672" s="10"/>
      <c r="E672" s="26"/>
      <c r="F672" s="11"/>
      <c r="G672" s="10"/>
      <c r="H672" s="10"/>
      <c r="I672" s="10"/>
      <c r="J672" s="11"/>
      <c r="K672" s="27"/>
      <c r="L672" s="28"/>
      <c r="M672" s="10"/>
      <c r="N672" s="1"/>
      <c r="O672" s="1"/>
      <c r="P672" s="1"/>
      <c r="Q672" s="1"/>
      <c r="R672" s="1"/>
      <c r="S672" s="1"/>
      <c r="T672" s="1"/>
      <c r="U672" s="1"/>
      <c r="V672" s="1"/>
      <c r="W672" s="1"/>
      <c r="X672" s="1"/>
      <c r="Y672" s="1"/>
      <c r="Z672" s="1"/>
    </row>
    <row r="673" spans="1:26" ht="12.75" hidden="1" customHeight="1">
      <c r="A673" s="1"/>
      <c r="B673" s="10"/>
      <c r="C673" s="26"/>
      <c r="D673" s="10"/>
      <c r="E673" s="26"/>
      <c r="F673" s="11"/>
      <c r="G673" s="10"/>
      <c r="H673" s="10"/>
      <c r="I673" s="10"/>
      <c r="J673" s="11"/>
      <c r="K673" s="27"/>
      <c r="L673" s="28"/>
      <c r="M673" s="10"/>
      <c r="N673" s="1"/>
      <c r="O673" s="1"/>
      <c r="P673" s="1"/>
      <c r="Q673" s="1"/>
      <c r="R673" s="1"/>
      <c r="S673" s="1"/>
      <c r="T673" s="1"/>
      <c r="U673" s="1"/>
      <c r="V673" s="1"/>
      <c r="W673" s="1"/>
      <c r="X673" s="1"/>
      <c r="Y673" s="1"/>
      <c r="Z673" s="1"/>
    </row>
    <row r="674" spans="1:26" ht="12.75" hidden="1" customHeight="1">
      <c r="A674" s="1"/>
      <c r="B674" s="10"/>
      <c r="C674" s="26"/>
      <c r="D674" s="10"/>
      <c r="E674" s="26"/>
      <c r="F674" s="11"/>
      <c r="G674" s="10"/>
      <c r="H674" s="10"/>
      <c r="I674" s="10"/>
      <c r="J674" s="11"/>
      <c r="K674" s="27"/>
      <c r="L674" s="28"/>
      <c r="M674" s="10"/>
      <c r="N674" s="1"/>
      <c r="O674" s="1"/>
      <c r="P674" s="1"/>
      <c r="Q674" s="1"/>
      <c r="R674" s="1"/>
      <c r="S674" s="1"/>
      <c r="T674" s="1"/>
      <c r="U674" s="1"/>
      <c r="V674" s="1"/>
      <c r="W674" s="1"/>
      <c r="X674" s="1"/>
      <c r="Y674" s="1"/>
      <c r="Z674" s="1"/>
    </row>
    <row r="675" spans="1:26" ht="12.75" hidden="1" customHeight="1">
      <c r="A675" s="1"/>
      <c r="B675" s="10"/>
      <c r="C675" s="26"/>
      <c r="D675" s="10"/>
      <c r="E675" s="26"/>
      <c r="F675" s="11"/>
      <c r="G675" s="10"/>
      <c r="H675" s="10"/>
      <c r="I675" s="10"/>
      <c r="J675" s="11"/>
      <c r="K675" s="27"/>
      <c r="L675" s="28"/>
      <c r="M675" s="10"/>
      <c r="N675" s="1"/>
      <c r="O675" s="1"/>
      <c r="P675" s="1"/>
      <c r="Q675" s="1"/>
      <c r="R675" s="1"/>
      <c r="S675" s="1"/>
      <c r="T675" s="1"/>
      <c r="U675" s="1"/>
      <c r="V675" s="1"/>
      <c r="W675" s="1"/>
      <c r="X675" s="1"/>
      <c r="Y675" s="1"/>
      <c r="Z675" s="1"/>
    </row>
    <row r="676" spans="1:26" ht="12.75" hidden="1" customHeight="1">
      <c r="A676" s="1"/>
      <c r="B676" s="10"/>
      <c r="C676" s="26"/>
      <c r="D676" s="10"/>
      <c r="E676" s="26"/>
      <c r="F676" s="11"/>
      <c r="G676" s="10"/>
      <c r="H676" s="10"/>
      <c r="I676" s="10"/>
      <c r="J676" s="11"/>
      <c r="K676" s="27"/>
      <c r="L676" s="28"/>
      <c r="M676" s="10"/>
      <c r="N676" s="1"/>
      <c r="O676" s="1"/>
      <c r="P676" s="1"/>
      <c r="Q676" s="1"/>
      <c r="R676" s="1"/>
      <c r="S676" s="1"/>
      <c r="T676" s="1"/>
      <c r="U676" s="1"/>
      <c r="V676" s="1"/>
      <c r="W676" s="1"/>
      <c r="X676" s="1"/>
      <c r="Y676" s="1"/>
      <c r="Z676" s="1"/>
    </row>
    <row r="677" spans="1:26" ht="12.75" hidden="1" customHeight="1">
      <c r="A677" s="1"/>
      <c r="B677" s="10"/>
      <c r="C677" s="26"/>
      <c r="D677" s="10"/>
      <c r="E677" s="26"/>
      <c r="F677" s="11"/>
      <c r="G677" s="10"/>
      <c r="H677" s="10"/>
      <c r="I677" s="10"/>
      <c r="J677" s="11"/>
      <c r="K677" s="27"/>
      <c r="L677" s="28"/>
      <c r="M677" s="10"/>
      <c r="N677" s="1"/>
      <c r="O677" s="1"/>
      <c r="P677" s="1"/>
      <c r="Q677" s="1"/>
      <c r="R677" s="1"/>
      <c r="S677" s="1"/>
      <c r="T677" s="1"/>
      <c r="U677" s="1"/>
      <c r="V677" s="1"/>
      <c r="W677" s="1"/>
      <c r="X677" s="1"/>
      <c r="Y677" s="1"/>
      <c r="Z677" s="1"/>
    </row>
    <row r="678" spans="1:26" ht="12.75" hidden="1" customHeight="1">
      <c r="A678" s="1"/>
      <c r="B678" s="10"/>
      <c r="C678" s="26"/>
      <c r="D678" s="10"/>
      <c r="E678" s="26"/>
      <c r="F678" s="11"/>
      <c r="G678" s="10"/>
      <c r="H678" s="10"/>
      <c r="I678" s="10"/>
      <c r="J678" s="11"/>
      <c r="K678" s="27"/>
      <c r="L678" s="28"/>
      <c r="M678" s="10"/>
      <c r="N678" s="1"/>
      <c r="O678" s="1"/>
      <c r="P678" s="1"/>
      <c r="Q678" s="1"/>
      <c r="R678" s="1"/>
      <c r="S678" s="1"/>
      <c r="T678" s="1"/>
      <c r="U678" s="1"/>
      <c r="V678" s="1"/>
      <c r="W678" s="1"/>
      <c r="X678" s="1"/>
      <c r="Y678" s="1"/>
      <c r="Z678" s="1"/>
    </row>
    <row r="679" spans="1:26" ht="12.75" hidden="1" customHeight="1">
      <c r="A679" s="1"/>
      <c r="B679" s="10"/>
      <c r="C679" s="26"/>
      <c r="D679" s="10"/>
      <c r="E679" s="26"/>
      <c r="F679" s="11"/>
      <c r="G679" s="10"/>
      <c r="H679" s="10"/>
      <c r="I679" s="10"/>
      <c r="J679" s="11"/>
      <c r="K679" s="27"/>
      <c r="L679" s="28"/>
      <c r="M679" s="10"/>
      <c r="N679" s="1"/>
      <c r="O679" s="1"/>
      <c r="P679" s="1"/>
      <c r="Q679" s="1"/>
      <c r="R679" s="1"/>
      <c r="S679" s="1"/>
      <c r="T679" s="1"/>
      <c r="U679" s="1"/>
      <c r="V679" s="1"/>
      <c r="W679" s="1"/>
      <c r="X679" s="1"/>
      <c r="Y679" s="1"/>
      <c r="Z679" s="1"/>
    </row>
    <row r="680" spans="1:26" ht="12.75" hidden="1" customHeight="1">
      <c r="A680" s="1"/>
      <c r="B680" s="10"/>
      <c r="C680" s="26"/>
      <c r="D680" s="10"/>
      <c r="E680" s="26"/>
      <c r="F680" s="11"/>
      <c r="G680" s="10"/>
      <c r="H680" s="10"/>
      <c r="I680" s="10"/>
      <c r="J680" s="11"/>
      <c r="K680" s="27"/>
      <c r="L680" s="28"/>
      <c r="M680" s="10"/>
      <c r="N680" s="1"/>
      <c r="O680" s="1"/>
      <c r="P680" s="1"/>
      <c r="Q680" s="1"/>
      <c r="R680" s="1"/>
      <c r="S680" s="1"/>
      <c r="T680" s="1"/>
      <c r="U680" s="1"/>
      <c r="V680" s="1"/>
      <c r="W680" s="1"/>
      <c r="X680" s="1"/>
      <c r="Y680" s="1"/>
      <c r="Z680" s="1"/>
    </row>
    <row r="681" spans="1:26" ht="12.75" hidden="1" customHeight="1">
      <c r="A681" s="1"/>
      <c r="B681" s="10"/>
      <c r="C681" s="26"/>
      <c r="D681" s="10"/>
      <c r="E681" s="26"/>
      <c r="F681" s="11"/>
      <c r="G681" s="10"/>
      <c r="H681" s="10"/>
      <c r="I681" s="10"/>
      <c r="J681" s="11"/>
      <c r="K681" s="27"/>
      <c r="L681" s="28"/>
      <c r="M681" s="10"/>
      <c r="N681" s="1"/>
      <c r="O681" s="1"/>
      <c r="P681" s="1"/>
      <c r="Q681" s="1"/>
      <c r="R681" s="1"/>
      <c r="S681" s="1"/>
      <c r="T681" s="1"/>
      <c r="U681" s="1"/>
      <c r="V681" s="1"/>
      <c r="W681" s="1"/>
      <c r="X681" s="1"/>
      <c r="Y681" s="1"/>
      <c r="Z681" s="1"/>
    </row>
    <row r="682" spans="1:26" ht="12.75" hidden="1" customHeight="1">
      <c r="A682" s="1"/>
      <c r="B682" s="10"/>
      <c r="C682" s="26"/>
      <c r="D682" s="10"/>
      <c r="E682" s="26"/>
      <c r="F682" s="11"/>
      <c r="G682" s="10"/>
      <c r="H682" s="10"/>
      <c r="I682" s="10"/>
      <c r="J682" s="11"/>
      <c r="K682" s="27"/>
      <c r="L682" s="28"/>
      <c r="M682" s="10"/>
      <c r="N682" s="1"/>
      <c r="O682" s="1"/>
      <c r="P682" s="1"/>
      <c r="Q682" s="1"/>
      <c r="R682" s="1"/>
      <c r="S682" s="1"/>
      <c r="T682" s="1"/>
      <c r="U682" s="1"/>
      <c r="V682" s="1"/>
      <c r="W682" s="1"/>
      <c r="X682" s="1"/>
      <c r="Y682" s="1"/>
      <c r="Z682" s="1"/>
    </row>
    <row r="683" spans="1:26" ht="12.75" hidden="1" customHeight="1">
      <c r="A683" s="1"/>
      <c r="B683" s="10"/>
      <c r="C683" s="26"/>
      <c r="D683" s="10"/>
      <c r="E683" s="26"/>
      <c r="F683" s="11"/>
      <c r="G683" s="10"/>
      <c r="H683" s="10"/>
      <c r="I683" s="10"/>
      <c r="J683" s="11"/>
      <c r="K683" s="27"/>
      <c r="L683" s="28"/>
      <c r="M683" s="10"/>
      <c r="N683" s="1"/>
      <c r="O683" s="1"/>
      <c r="P683" s="1"/>
      <c r="Q683" s="1"/>
      <c r="R683" s="1"/>
      <c r="S683" s="1"/>
      <c r="T683" s="1"/>
      <c r="U683" s="1"/>
      <c r="V683" s="1"/>
      <c r="W683" s="1"/>
      <c r="X683" s="1"/>
      <c r="Y683" s="1"/>
      <c r="Z683" s="1"/>
    </row>
    <row r="684" spans="1:26" ht="12.75" hidden="1" customHeight="1">
      <c r="A684" s="1"/>
      <c r="B684" s="10"/>
      <c r="C684" s="26"/>
      <c r="D684" s="10"/>
      <c r="E684" s="26"/>
      <c r="F684" s="11"/>
      <c r="G684" s="10"/>
      <c r="H684" s="10"/>
      <c r="I684" s="10"/>
      <c r="J684" s="11"/>
      <c r="K684" s="27"/>
      <c r="L684" s="28"/>
      <c r="M684" s="10"/>
      <c r="N684" s="1"/>
      <c r="O684" s="1"/>
      <c r="P684" s="1"/>
      <c r="Q684" s="1"/>
      <c r="R684" s="1"/>
      <c r="S684" s="1"/>
      <c r="T684" s="1"/>
      <c r="U684" s="1"/>
      <c r="V684" s="1"/>
      <c r="W684" s="1"/>
      <c r="X684" s="1"/>
      <c r="Y684" s="1"/>
      <c r="Z684" s="1"/>
    </row>
    <row r="685" spans="1:26" ht="12.75" hidden="1" customHeight="1">
      <c r="A685" s="1"/>
      <c r="B685" s="10"/>
      <c r="C685" s="26"/>
      <c r="D685" s="10"/>
      <c r="E685" s="26"/>
      <c r="F685" s="11"/>
      <c r="G685" s="10"/>
      <c r="H685" s="10"/>
      <c r="I685" s="10"/>
      <c r="J685" s="11"/>
      <c r="K685" s="27"/>
      <c r="L685" s="28"/>
      <c r="M685" s="10"/>
      <c r="N685" s="1"/>
      <c r="O685" s="1"/>
      <c r="P685" s="1"/>
      <c r="Q685" s="1"/>
      <c r="R685" s="1"/>
      <c r="S685" s="1"/>
      <c r="T685" s="1"/>
      <c r="U685" s="1"/>
      <c r="V685" s="1"/>
      <c r="W685" s="1"/>
      <c r="X685" s="1"/>
      <c r="Y685" s="1"/>
      <c r="Z685" s="1"/>
    </row>
    <row r="686" spans="1:26" ht="12.75" hidden="1" customHeight="1">
      <c r="A686" s="1"/>
      <c r="B686" s="10"/>
      <c r="C686" s="26"/>
      <c r="D686" s="10"/>
      <c r="E686" s="26"/>
      <c r="F686" s="11"/>
      <c r="G686" s="10"/>
      <c r="H686" s="10"/>
      <c r="I686" s="10"/>
      <c r="J686" s="11"/>
      <c r="K686" s="27"/>
      <c r="L686" s="28"/>
      <c r="M686" s="10"/>
      <c r="N686" s="1"/>
      <c r="O686" s="1"/>
      <c r="P686" s="1"/>
      <c r="Q686" s="1"/>
      <c r="R686" s="1"/>
      <c r="S686" s="1"/>
      <c r="T686" s="1"/>
      <c r="U686" s="1"/>
      <c r="V686" s="1"/>
      <c r="W686" s="1"/>
      <c r="X686" s="1"/>
      <c r="Y686" s="1"/>
      <c r="Z686" s="1"/>
    </row>
    <row r="687" spans="1:26" ht="12.75" hidden="1" customHeight="1">
      <c r="A687" s="1"/>
      <c r="B687" s="10"/>
      <c r="C687" s="26"/>
      <c r="D687" s="10"/>
      <c r="E687" s="26"/>
      <c r="F687" s="11"/>
      <c r="G687" s="10"/>
      <c r="H687" s="10"/>
      <c r="I687" s="10"/>
      <c r="J687" s="11"/>
      <c r="K687" s="27"/>
      <c r="L687" s="28"/>
      <c r="M687" s="10"/>
      <c r="N687" s="1"/>
      <c r="O687" s="1"/>
      <c r="P687" s="1"/>
      <c r="Q687" s="1"/>
      <c r="R687" s="1"/>
      <c r="S687" s="1"/>
      <c r="T687" s="1"/>
      <c r="U687" s="1"/>
      <c r="V687" s="1"/>
      <c r="W687" s="1"/>
      <c r="X687" s="1"/>
      <c r="Y687" s="1"/>
      <c r="Z687" s="1"/>
    </row>
    <row r="688" spans="1:26" ht="12.75" hidden="1" customHeight="1">
      <c r="A688" s="1"/>
      <c r="B688" s="10"/>
      <c r="C688" s="26"/>
      <c r="D688" s="10"/>
      <c r="E688" s="26"/>
      <c r="F688" s="11"/>
      <c r="G688" s="10"/>
      <c r="H688" s="10"/>
      <c r="I688" s="10"/>
      <c r="J688" s="11"/>
      <c r="K688" s="27"/>
      <c r="L688" s="28"/>
      <c r="M688" s="10"/>
      <c r="N688" s="1"/>
      <c r="O688" s="1"/>
      <c r="P688" s="1"/>
      <c r="Q688" s="1"/>
      <c r="R688" s="1"/>
      <c r="S688" s="1"/>
      <c r="T688" s="1"/>
      <c r="U688" s="1"/>
      <c r="V688" s="1"/>
      <c r="W688" s="1"/>
      <c r="X688" s="1"/>
      <c r="Y688" s="1"/>
      <c r="Z688" s="1"/>
    </row>
    <row r="689" spans="1:26" ht="12.75" hidden="1" customHeight="1">
      <c r="A689" s="1"/>
      <c r="B689" s="10"/>
      <c r="C689" s="26"/>
      <c r="D689" s="10"/>
      <c r="E689" s="26"/>
      <c r="F689" s="11"/>
      <c r="G689" s="10"/>
      <c r="H689" s="10"/>
      <c r="I689" s="10"/>
      <c r="J689" s="11"/>
      <c r="K689" s="27"/>
      <c r="L689" s="28"/>
      <c r="M689" s="10"/>
      <c r="N689" s="1"/>
      <c r="O689" s="1"/>
      <c r="P689" s="1"/>
      <c r="Q689" s="1"/>
      <c r="R689" s="1"/>
      <c r="S689" s="1"/>
      <c r="T689" s="1"/>
      <c r="U689" s="1"/>
      <c r="V689" s="1"/>
      <c r="W689" s="1"/>
      <c r="X689" s="1"/>
      <c r="Y689" s="1"/>
      <c r="Z689" s="1"/>
    </row>
    <row r="690" spans="1:26" ht="12.75" hidden="1" customHeight="1">
      <c r="A690" s="1"/>
      <c r="B690" s="10"/>
      <c r="C690" s="26"/>
      <c r="D690" s="10"/>
      <c r="E690" s="26"/>
      <c r="F690" s="11"/>
      <c r="G690" s="10"/>
      <c r="H690" s="10"/>
      <c r="I690" s="10"/>
      <c r="J690" s="11"/>
      <c r="K690" s="27"/>
      <c r="L690" s="28"/>
      <c r="M690" s="10"/>
      <c r="N690" s="1"/>
      <c r="O690" s="1"/>
      <c r="P690" s="1"/>
      <c r="Q690" s="1"/>
      <c r="R690" s="1"/>
      <c r="S690" s="1"/>
      <c r="T690" s="1"/>
      <c r="U690" s="1"/>
      <c r="V690" s="1"/>
      <c r="W690" s="1"/>
      <c r="X690" s="1"/>
      <c r="Y690" s="1"/>
      <c r="Z690" s="1"/>
    </row>
    <row r="691" spans="1:26" ht="12.75" hidden="1" customHeight="1">
      <c r="A691" s="1"/>
      <c r="B691" s="10"/>
      <c r="C691" s="26"/>
      <c r="D691" s="10"/>
      <c r="E691" s="26"/>
      <c r="F691" s="11"/>
      <c r="G691" s="10"/>
      <c r="H691" s="10"/>
      <c r="I691" s="10"/>
      <c r="J691" s="11"/>
      <c r="K691" s="27"/>
      <c r="L691" s="28"/>
      <c r="M691" s="10"/>
      <c r="N691" s="1"/>
      <c r="O691" s="1"/>
      <c r="P691" s="1"/>
      <c r="Q691" s="1"/>
      <c r="R691" s="1"/>
      <c r="S691" s="1"/>
      <c r="T691" s="1"/>
      <c r="U691" s="1"/>
      <c r="V691" s="1"/>
      <c r="W691" s="1"/>
      <c r="X691" s="1"/>
      <c r="Y691" s="1"/>
      <c r="Z691" s="1"/>
    </row>
    <row r="692" spans="1:26" ht="12.75" hidden="1" customHeight="1">
      <c r="A692" s="1"/>
      <c r="B692" s="10"/>
      <c r="C692" s="26"/>
      <c r="D692" s="10"/>
      <c r="E692" s="26"/>
      <c r="F692" s="11"/>
      <c r="G692" s="10"/>
      <c r="H692" s="10"/>
      <c r="I692" s="10"/>
      <c r="J692" s="11"/>
      <c r="K692" s="27"/>
      <c r="L692" s="28"/>
      <c r="M692" s="10"/>
      <c r="N692" s="1"/>
      <c r="O692" s="1"/>
      <c r="P692" s="1"/>
      <c r="Q692" s="1"/>
      <c r="R692" s="1"/>
      <c r="S692" s="1"/>
      <c r="T692" s="1"/>
      <c r="U692" s="1"/>
      <c r="V692" s="1"/>
      <c r="W692" s="1"/>
      <c r="X692" s="1"/>
      <c r="Y692" s="1"/>
      <c r="Z692" s="1"/>
    </row>
    <row r="693" spans="1:26" ht="12.75" hidden="1" customHeight="1">
      <c r="A693" s="1"/>
      <c r="B693" s="10"/>
      <c r="C693" s="26"/>
      <c r="D693" s="10"/>
      <c r="E693" s="26"/>
      <c r="F693" s="11"/>
      <c r="G693" s="10"/>
      <c r="H693" s="10"/>
      <c r="I693" s="10"/>
      <c r="J693" s="11"/>
      <c r="K693" s="27"/>
      <c r="L693" s="28"/>
      <c r="M693" s="10"/>
      <c r="N693" s="1"/>
      <c r="O693" s="1"/>
      <c r="P693" s="1"/>
      <c r="Q693" s="1"/>
      <c r="R693" s="1"/>
      <c r="S693" s="1"/>
      <c r="T693" s="1"/>
      <c r="U693" s="1"/>
      <c r="V693" s="1"/>
      <c r="W693" s="1"/>
      <c r="X693" s="1"/>
      <c r="Y693" s="1"/>
      <c r="Z693" s="1"/>
    </row>
    <row r="694" spans="1:26" ht="12.75" hidden="1" customHeight="1">
      <c r="A694" s="1"/>
      <c r="B694" s="10"/>
      <c r="C694" s="26"/>
      <c r="D694" s="10"/>
      <c r="E694" s="26"/>
      <c r="F694" s="11"/>
      <c r="G694" s="10"/>
      <c r="H694" s="10"/>
      <c r="I694" s="10"/>
      <c r="J694" s="11"/>
      <c r="K694" s="27"/>
      <c r="L694" s="28"/>
      <c r="M694" s="10"/>
      <c r="N694" s="1"/>
      <c r="O694" s="1"/>
      <c r="P694" s="1"/>
      <c r="Q694" s="1"/>
      <c r="R694" s="1"/>
      <c r="S694" s="1"/>
      <c r="T694" s="1"/>
      <c r="U694" s="1"/>
      <c r="V694" s="1"/>
      <c r="W694" s="1"/>
      <c r="X694" s="1"/>
      <c r="Y694" s="1"/>
      <c r="Z694" s="1"/>
    </row>
    <row r="695" spans="1:26" ht="12.75" hidden="1" customHeight="1">
      <c r="A695" s="1"/>
      <c r="B695" s="10"/>
      <c r="C695" s="26"/>
      <c r="D695" s="10"/>
      <c r="E695" s="26"/>
      <c r="F695" s="11"/>
      <c r="G695" s="10"/>
      <c r="H695" s="10"/>
      <c r="I695" s="10"/>
      <c r="J695" s="11"/>
      <c r="K695" s="27"/>
      <c r="L695" s="28"/>
      <c r="M695" s="10"/>
      <c r="N695" s="1"/>
      <c r="O695" s="1"/>
      <c r="P695" s="1"/>
      <c r="Q695" s="1"/>
      <c r="R695" s="1"/>
      <c r="S695" s="1"/>
      <c r="T695" s="1"/>
      <c r="U695" s="1"/>
      <c r="V695" s="1"/>
      <c r="W695" s="1"/>
      <c r="X695" s="1"/>
      <c r="Y695" s="1"/>
      <c r="Z695" s="1"/>
    </row>
    <row r="696" spans="1:26" ht="12.75" hidden="1" customHeight="1">
      <c r="A696" s="1"/>
      <c r="B696" s="10"/>
      <c r="C696" s="26"/>
      <c r="D696" s="10"/>
      <c r="E696" s="26"/>
      <c r="F696" s="11"/>
      <c r="G696" s="10"/>
      <c r="H696" s="10"/>
      <c r="I696" s="10"/>
      <c r="J696" s="11"/>
      <c r="K696" s="27"/>
      <c r="L696" s="28"/>
      <c r="M696" s="10"/>
      <c r="N696" s="1"/>
      <c r="O696" s="1"/>
      <c r="P696" s="1"/>
      <c r="Q696" s="1"/>
      <c r="R696" s="1"/>
      <c r="S696" s="1"/>
      <c r="T696" s="1"/>
      <c r="U696" s="1"/>
      <c r="V696" s="1"/>
      <c r="W696" s="1"/>
      <c r="X696" s="1"/>
      <c r="Y696" s="1"/>
      <c r="Z696" s="1"/>
    </row>
    <row r="697" spans="1:26" ht="12.75" hidden="1" customHeight="1">
      <c r="A697" s="1"/>
      <c r="B697" s="10"/>
      <c r="C697" s="26"/>
      <c r="D697" s="10"/>
      <c r="E697" s="26"/>
      <c r="F697" s="11"/>
      <c r="G697" s="10"/>
      <c r="H697" s="10"/>
      <c r="I697" s="10"/>
      <c r="J697" s="11"/>
      <c r="K697" s="27"/>
      <c r="L697" s="28"/>
      <c r="M697" s="10"/>
      <c r="N697" s="1"/>
      <c r="O697" s="1"/>
      <c r="P697" s="1"/>
      <c r="Q697" s="1"/>
      <c r="R697" s="1"/>
      <c r="S697" s="1"/>
      <c r="T697" s="1"/>
      <c r="U697" s="1"/>
      <c r="V697" s="1"/>
      <c r="W697" s="1"/>
      <c r="X697" s="1"/>
      <c r="Y697" s="1"/>
      <c r="Z697" s="1"/>
    </row>
    <row r="698" spans="1:26" ht="12.75" hidden="1" customHeight="1">
      <c r="A698" s="1"/>
      <c r="B698" s="10"/>
      <c r="C698" s="26"/>
      <c r="D698" s="10"/>
      <c r="E698" s="26"/>
      <c r="F698" s="11"/>
      <c r="G698" s="10"/>
      <c r="H698" s="10"/>
      <c r="I698" s="10"/>
      <c r="J698" s="11"/>
      <c r="K698" s="27"/>
      <c r="L698" s="28"/>
      <c r="M698" s="10"/>
      <c r="N698" s="1"/>
      <c r="O698" s="1"/>
      <c r="P698" s="1"/>
      <c r="Q698" s="1"/>
      <c r="R698" s="1"/>
      <c r="S698" s="1"/>
      <c r="T698" s="1"/>
      <c r="U698" s="1"/>
      <c r="V698" s="1"/>
      <c r="W698" s="1"/>
      <c r="X698" s="1"/>
      <c r="Y698" s="1"/>
      <c r="Z698" s="1"/>
    </row>
    <row r="699" spans="1:26" ht="12.75" hidden="1" customHeight="1">
      <c r="A699" s="1"/>
      <c r="B699" s="10"/>
      <c r="C699" s="26"/>
      <c r="D699" s="10"/>
      <c r="E699" s="26"/>
      <c r="F699" s="11"/>
      <c r="G699" s="10"/>
      <c r="H699" s="10"/>
      <c r="I699" s="10"/>
      <c r="J699" s="11"/>
      <c r="K699" s="27"/>
      <c r="L699" s="28"/>
      <c r="M699" s="10"/>
      <c r="N699" s="1"/>
      <c r="O699" s="1"/>
      <c r="P699" s="1"/>
      <c r="Q699" s="1"/>
      <c r="R699" s="1"/>
      <c r="S699" s="1"/>
      <c r="T699" s="1"/>
      <c r="U699" s="1"/>
      <c r="V699" s="1"/>
      <c r="W699" s="1"/>
      <c r="X699" s="1"/>
      <c r="Y699" s="1"/>
      <c r="Z699" s="1"/>
    </row>
    <row r="700" spans="1:26" ht="12.75" hidden="1" customHeight="1">
      <c r="A700" s="1"/>
      <c r="B700" s="10"/>
      <c r="C700" s="26"/>
      <c r="D700" s="10"/>
      <c r="E700" s="26"/>
      <c r="F700" s="11"/>
      <c r="G700" s="10"/>
      <c r="H700" s="10"/>
      <c r="I700" s="10"/>
      <c r="J700" s="11"/>
      <c r="K700" s="27"/>
      <c r="L700" s="28"/>
      <c r="M700" s="10"/>
      <c r="N700" s="1"/>
      <c r="O700" s="1"/>
      <c r="P700" s="1"/>
      <c r="Q700" s="1"/>
      <c r="R700" s="1"/>
      <c r="S700" s="1"/>
      <c r="T700" s="1"/>
      <c r="U700" s="1"/>
      <c r="V700" s="1"/>
      <c r="W700" s="1"/>
      <c r="X700" s="1"/>
      <c r="Y700" s="1"/>
      <c r="Z700" s="1"/>
    </row>
    <row r="701" spans="1:26" ht="12.75" hidden="1" customHeight="1">
      <c r="A701" s="1"/>
      <c r="B701" s="10"/>
      <c r="C701" s="26"/>
      <c r="D701" s="10"/>
      <c r="E701" s="26"/>
      <c r="F701" s="11"/>
      <c r="G701" s="10"/>
      <c r="H701" s="10"/>
      <c r="I701" s="10"/>
      <c r="J701" s="11"/>
      <c r="K701" s="27"/>
      <c r="L701" s="28"/>
      <c r="M701" s="10"/>
      <c r="N701" s="1"/>
      <c r="O701" s="1"/>
      <c r="P701" s="1"/>
      <c r="Q701" s="1"/>
      <c r="R701" s="1"/>
      <c r="S701" s="1"/>
      <c r="T701" s="1"/>
      <c r="U701" s="1"/>
      <c r="V701" s="1"/>
      <c r="W701" s="1"/>
      <c r="X701" s="1"/>
      <c r="Y701" s="1"/>
      <c r="Z701" s="1"/>
    </row>
    <row r="702" spans="1:26" ht="12.75" hidden="1" customHeight="1">
      <c r="A702" s="1"/>
      <c r="B702" s="10"/>
      <c r="C702" s="26"/>
      <c r="D702" s="10"/>
      <c r="E702" s="26"/>
      <c r="F702" s="11"/>
      <c r="G702" s="10"/>
      <c r="H702" s="10"/>
      <c r="I702" s="10"/>
      <c r="J702" s="11"/>
      <c r="K702" s="27"/>
      <c r="L702" s="28"/>
      <c r="M702" s="10"/>
      <c r="N702" s="1"/>
      <c r="O702" s="1"/>
      <c r="P702" s="1"/>
      <c r="Q702" s="1"/>
      <c r="R702" s="1"/>
      <c r="S702" s="1"/>
      <c r="T702" s="1"/>
      <c r="U702" s="1"/>
      <c r="V702" s="1"/>
      <c r="W702" s="1"/>
      <c r="X702" s="1"/>
      <c r="Y702" s="1"/>
      <c r="Z702" s="1"/>
    </row>
    <row r="703" spans="1:26" ht="12.75" hidden="1" customHeight="1">
      <c r="A703" s="1"/>
      <c r="B703" s="10"/>
      <c r="C703" s="26"/>
      <c r="D703" s="10"/>
      <c r="E703" s="26"/>
      <c r="F703" s="11"/>
      <c r="G703" s="10"/>
      <c r="H703" s="10"/>
      <c r="I703" s="10"/>
      <c r="J703" s="11"/>
      <c r="K703" s="27"/>
      <c r="L703" s="28"/>
      <c r="M703" s="10"/>
      <c r="N703" s="1"/>
      <c r="O703" s="1"/>
      <c r="P703" s="1"/>
      <c r="Q703" s="1"/>
      <c r="R703" s="1"/>
      <c r="S703" s="1"/>
      <c r="T703" s="1"/>
      <c r="U703" s="1"/>
      <c r="V703" s="1"/>
      <c r="W703" s="1"/>
      <c r="X703" s="1"/>
      <c r="Y703" s="1"/>
      <c r="Z703" s="1"/>
    </row>
    <row r="704" spans="1:26" ht="12.75" hidden="1" customHeight="1">
      <c r="A704" s="1"/>
      <c r="B704" s="10"/>
      <c r="C704" s="26"/>
      <c r="D704" s="10"/>
      <c r="E704" s="26"/>
      <c r="F704" s="11"/>
      <c r="G704" s="10"/>
      <c r="H704" s="10"/>
      <c r="I704" s="10"/>
      <c r="J704" s="11"/>
      <c r="K704" s="27"/>
      <c r="L704" s="28"/>
      <c r="M704" s="10"/>
      <c r="N704" s="1"/>
      <c r="O704" s="1"/>
      <c r="P704" s="1"/>
      <c r="Q704" s="1"/>
      <c r="R704" s="1"/>
      <c r="S704" s="1"/>
      <c r="T704" s="1"/>
      <c r="U704" s="1"/>
      <c r="V704" s="1"/>
      <c r="W704" s="1"/>
      <c r="X704" s="1"/>
      <c r="Y704" s="1"/>
      <c r="Z704" s="1"/>
    </row>
    <row r="705" spans="1:26" ht="12.75" hidden="1" customHeight="1">
      <c r="A705" s="1"/>
      <c r="B705" s="10"/>
      <c r="C705" s="26"/>
      <c r="D705" s="10"/>
      <c r="E705" s="26"/>
      <c r="F705" s="11"/>
      <c r="G705" s="10"/>
      <c r="H705" s="10"/>
      <c r="I705" s="10"/>
      <c r="J705" s="11"/>
      <c r="K705" s="27"/>
      <c r="L705" s="28"/>
      <c r="M705" s="10"/>
      <c r="N705" s="1"/>
      <c r="O705" s="1"/>
      <c r="P705" s="1"/>
      <c r="Q705" s="1"/>
      <c r="R705" s="1"/>
      <c r="S705" s="1"/>
      <c r="T705" s="1"/>
      <c r="U705" s="1"/>
      <c r="V705" s="1"/>
      <c r="W705" s="1"/>
      <c r="X705" s="1"/>
      <c r="Y705" s="1"/>
      <c r="Z705" s="1"/>
    </row>
    <row r="706" spans="1:26" ht="12.75" hidden="1" customHeight="1">
      <c r="A706" s="1"/>
      <c r="B706" s="10"/>
      <c r="C706" s="26"/>
      <c r="D706" s="10"/>
      <c r="E706" s="26"/>
      <c r="F706" s="11"/>
      <c r="G706" s="10"/>
      <c r="H706" s="10"/>
      <c r="I706" s="10"/>
      <c r="J706" s="11"/>
      <c r="K706" s="27"/>
      <c r="L706" s="28"/>
      <c r="M706" s="10"/>
      <c r="N706" s="1"/>
      <c r="O706" s="1"/>
      <c r="P706" s="1"/>
      <c r="Q706" s="1"/>
      <c r="R706" s="1"/>
      <c r="S706" s="1"/>
      <c r="T706" s="1"/>
      <c r="U706" s="1"/>
      <c r="V706" s="1"/>
      <c r="W706" s="1"/>
      <c r="X706" s="1"/>
      <c r="Y706" s="1"/>
      <c r="Z706" s="1"/>
    </row>
    <row r="707" spans="1:26" ht="12.75" hidden="1" customHeight="1">
      <c r="A707" s="1"/>
      <c r="B707" s="10"/>
      <c r="C707" s="26"/>
      <c r="D707" s="10"/>
      <c r="E707" s="26"/>
      <c r="F707" s="11"/>
      <c r="G707" s="10"/>
      <c r="H707" s="10"/>
      <c r="I707" s="10"/>
      <c r="J707" s="11"/>
      <c r="K707" s="27"/>
      <c r="L707" s="28"/>
      <c r="M707" s="10"/>
      <c r="N707" s="1"/>
      <c r="O707" s="1"/>
      <c r="P707" s="1"/>
      <c r="Q707" s="1"/>
      <c r="R707" s="1"/>
      <c r="S707" s="1"/>
      <c r="T707" s="1"/>
      <c r="U707" s="1"/>
      <c r="V707" s="1"/>
      <c r="W707" s="1"/>
      <c r="X707" s="1"/>
      <c r="Y707" s="1"/>
      <c r="Z707" s="1"/>
    </row>
    <row r="708" spans="1:26" ht="12.75" hidden="1" customHeight="1">
      <c r="A708" s="1"/>
      <c r="B708" s="10"/>
      <c r="C708" s="26"/>
      <c r="D708" s="10"/>
      <c r="E708" s="26"/>
      <c r="F708" s="11"/>
      <c r="G708" s="10"/>
      <c r="H708" s="10"/>
      <c r="I708" s="10"/>
      <c r="J708" s="11"/>
      <c r="K708" s="27"/>
      <c r="L708" s="28"/>
      <c r="M708" s="10"/>
      <c r="N708" s="1"/>
      <c r="O708" s="1"/>
      <c r="P708" s="1"/>
      <c r="Q708" s="1"/>
      <c r="R708" s="1"/>
      <c r="S708" s="1"/>
      <c r="T708" s="1"/>
      <c r="U708" s="1"/>
      <c r="V708" s="1"/>
      <c r="W708" s="1"/>
      <c r="X708" s="1"/>
      <c r="Y708" s="1"/>
      <c r="Z708" s="1"/>
    </row>
    <row r="709" spans="1:26" ht="12.75" hidden="1" customHeight="1">
      <c r="A709" s="1"/>
      <c r="B709" s="10"/>
      <c r="C709" s="26"/>
      <c r="D709" s="10"/>
      <c r="E709" s="26"/>
      <c r="F709" s="11"/>
      <c r="G709" s="10"/>
      <c r="H709" s="10"/>
      <c r="I709" s="10"/>
      <c r="J709" s="11"/>
      <c r="K709" s="27"/>
      <c r="L709" s="28"/>
      <c r="M709" s="10"/>
      <c r="N709" s="1"/>
      <c r="O709" s="1"/>
      <c r="P709" s="1"/>
      <c r="Q709" s="1"/>
      <c r="R709" s="1"/>
      <c r="S709" s="1"/>
      <c r="T709" s="1"/>
      <c r="U709" s="1"/>
      <c r="V709" s="1"/>
      <c r="W709" s="1"/>
      <c r="X709" s="1"/>
      <c r="Y709" s="1"/>
      <c r="Z709" s="1"/>
    </row>
    <row r="710" spans="1:26" ht="12.75" hidden="1" customHeight="1">
      <c r="A710" s="1"/>
      <c r="B710" s="10"/>
      <c r="C710" s="26"/>
      <c r="D710" s="10"/>
      <c r="E710" s="26"/>
      <c r="F710" s="11"/>
      <c r="G710" s="10"/>
      <c r="H710" s="10"/>
      <c r="I710" s="10"/>
      <c r="J710" s="11"/>
      <c r="K710" s="27"/>
      <c r="L710" s="28"/>
      <c r="M710" s="10"/>
      <c r="N710" s="1"/>
      <c r="O710" s="1"/>
      <c r="P710" s="1"/>
      <c r="Q710" s="1"/>
      <c r="R710" s="1"/>
      <c r="S710" s="1"/>
      <c r="T710" s="1"/>
      <c r="U710" s="1"/>
      <c r="V710" s="1"/>
      <c r="W710" s="1"/>
      <c r="X710" s="1"/>
      <c r="Y710" s="1"/>
      <c r="Z710" s="1"/>
    </row>
    <row r="711" spans="1:26" ht="12.75" hidden="1" customHeight="1">
      <c r="A711" s="1"/>
      <c r="B711" s="10"/>
      <c r="C711" s="26"/>
      <c r="D711" s="10"/>
      <c r="E711" s="26"/>
      <c r="F711" s="11"/>
      <c r="G711" s="10"/>
      <c r="H711" s="10"/>
      <c r="I711" s="10"/>
      <c r="J711" s="11"/>
      <c r="K711" s="27"/>
      <c r="L711" s="28"/>
      <c r="M711" s="10"/>
      <c r="N711" s="1"/>
      <c r="O711" s="1"/>
      <c r="P711" s="1"/>
      <c r="Q711" s="1"/>
      <c r="R711" s="1"/>
      <c r="S711" s="1"/>
      <c r="T711" s="1"/>
      <c r="U711" s="1"/>
      <c r="V711" s="1"/>
      <c r="W711" s="1"/>
      <c r="X711" s="1"/>
      <c r="Y711" s="1"/>
      <c r="Z711" s="1"/>
    </row>
    <row r="712" spans="1:26" ht="12.75" hidden="1" customHeight="1">
      <c r="A712" s="1"/>
      <c r="B712" s="10"/>
      <c r="C712" s="26"/>
      <c r="D712" s="10"/>
      <c r="E712" s="26"/>
      <c r="F712" s="11"/>
      <c r="G712" s="10"/>
      <c r="H712" s="10"/>
      <c r="I712" s="10"/>
      <c r="J712" s="11"/>
      <c r="K712" s="27"/>
      <c r="L712" s="28"/>
      <c r="M712" s="10"/>
      <c r="N712" s="1"/>
      <c r="O712" s="1"/>
      <c r="P712" s="1"/>
      <c r="Q712" s="1"/>
      <c r="R712" s="1"/>
      <c r="S712" s="1"/>
      <c r="T712" s="1"/>
      <c r="U712" s="1"/>
      <c r="V712" s="1"/>
      <c r="W712" s="1"/>
      <c r="X712" s="1"/>
      <c r="Y712" s="1"/>
      <c r="Z712" s="1"/>
    </row>
    <row r="713" spans="1:26" ht="12.75" hidden="1" customHeight="1">
      <c r="A713" s="1"/>
      <c r="B713" s="10"/>
      <c r="C713" s="26"/>
      <c r="D713" s="10"/>
      <c r="E713" s="26"/>
      <c r="F713" s="11"/>
      <c r="G713" s="10"/>
      <c r="H713" s="10"/>
      <c r="I713" s="10"/>
      <c r="J713" s="11"/>
      <c r="K713" s="27"/>
      <c r="L713" s="28"/>
      <c r="M713" s="10"/>
      <c r="N713" s="1"/>
      <c r="O713" s="1"/>
      <c r="P713" s="1"/>
      <c r="Q713" s="1"/>
      <c r="R713" s="1"/>
      <c r="S713" s="1"/>
      <c r="T713" s="1"/>
      <c r="U713" s="1"/>
      <c r="V713" s="1"/>
      <c r="W713" s="1"/>
      <c r="X713" s="1"/>
      <c r="Y713" s="1"/>
      <c r="Z713" s="1"/>
    </row>
    <row r="714" spans="1:26" ht="12.75" hidden="1" customHeight="1">
      <c r="A714" s="1"/>
      <c r="B714" s="10"/>
      <c r="C714" s="26"/>
      <c r="D714" s="10"/>
      <c r="E714" s="26"/>
      <c r="F714" s="11"/>
      <c r="G714" s="10"/>
      <c r="H714" s="10"/>
      <c r="I714" s="10"/>
      <c r="J714" s="11"/>
      <c r="K714" s="27"/>
      <c r="L714" s="28"/>
      <c r="M714" s="10"/>
      <c r="N714" s="1"/>
      <c r="O714" s="1"/>
      <c r="P714" s="1"/>
      <c r="Q714" s="1"/>
      <c r="R714" s="1"/>
      <c r="S714" s="1"/>
      <c r="T714" s="1"/>
      <c r="U714" s="1"/>
      <c r="V714" s="1"/>
      <c r="W714" s="1"/>
      <c r="X714" s="1"/>
      <c r="Y714" s="1"/>
      <c r="Z714" s="1"/>
    </row>
    <row r="715" spans="1:26" ht="12.75" hidden="1" customHeight="1">
      <c r="A715" s="1"/>
      <c r="B715" s="10"/>
      <c r="C715" s="26"/>
      <c r="D715" s="10"/>
      <c r="E715" s="26"/>
      <c r="F715" s="11"/>
      <c r="G715" s="10"/>
      <c r="H715" s="10"/>
      <c r="I715" s="10"/>
      <c r="J715" s="11"/>
      <c r="K715" s="27"/>
      <c r="L715" s="28"/>
      <c r="M715" s="10"/>
      <c r="N715" s="1"/>
      <c r="O715" s="1"/>
      <c r="P715" s="1"/>
      <c r="Q715" s="1"/>
      <c r="R715" s="1"/>
      <c r="S715" s="1"/>
      <c r="T715" s="1"/>
      <c r="U715" s="1"/>
      <c r="V715" s="1"/>
      <c r="W715" s="1"/>
      <c r="X715" s="1"/>
      <c r="Y715" s="1"/>
      <c r="Z715" s="1"/>
    </row>
    <row r="716" spans="1:26" ht="12.75" hidden="1" customHeight="1">
      <c r="A716" s="1"/>
      <c r="B716" s="10"/>
      <c r="C716" s="26"/>
      <c r="D716" s="10"/>
      <c r="E716" s="26"/>
      <c r="F716" s="11"/>
      <c r="G716" s="10"/>
      <c r="H716" s="10"/>
      <c r="I716" s="10"/>
      <c r="J716" s="11"/>
      <c r="K716" s="27"/>
      <c r="L716" s="28"/>
      <c r="M716" s="10"/>
      <c r="N716" s="1"/>
      <c r="O716" s="1"/>
      <c r="P716" s="1"/>
      <c r="Q716" s="1"/>
      <c r="R716" s="1"/>
      <c r="S716" s="1"/>
      <c r="T716" s="1"/>
      <c r="U716" s="1"/>
      <c r="V716" s="1"/>
      <c r="W716" s="1"/>
      <c r="X716" s="1"/>
      <c r="Y716" s="1"/>
      <c r="Z716" s="1"/>
    </row>
    <row r="717" spans="1:26" ht="12.75" hidden="1" customHeight="1">
      <c r="A717" s="1"/>
      <c r="B717" s="10"/>
      <c r="C717" s="26"/>
      <c r="D717" s="10"/>
      <c r="E717" s="26"/>
      <c r="F717" s="11"/>
      <c r="G717" s="10"/>
      <c r="H717" s="10"/>
      <c r="I717" s="10"/>
      <c r="J717" s="11"/>
      <c r="K717" s="27"/>
      <c r="L717" s="28"/>
      <c r="M717" s="10"/>
      <c r="N717" s="1"/>
      <c r="O717" s="1"/>
      <c r="P717" s="1"/>
      <c r="Q717" s="1"/>
      <c r="R717" s="1"/>
      <c r="S717" s="1"/>
      <c r="T717" s="1"/>
      <c r="U717" s="1"/>
      <c r="V717" s="1"/>
      <c r="W717" s="1"/>
      <c r="X717" s="1"/>
      <c r="Y717" s="1"/>
      <c r="Z717" s="1"/>
    </row>
    <row r="718" spans="1:26" ht="12.75" hidden="1" customHeight="1">
      <c r="A718" s="1"/>
      <c r="B718" s="10"/>
      <c r="C718" s="26"/>
      <c r="D718" s="10"/>
      <c r="E718" s="26"/>
      <c r="F718" s="11"/>
      <c r="G718" s="10"/>
      <c r="H718" s="10"/>
      <c r="I718" s="10"/>
      <c r="J718" s="11"/>
      <c r="K718" s="27"/>
      <c r="L718" s="28"/>
      <c r="M718" s="10"/>
      <c r="N718" s="1"/>
      <c r="O718" s="1"/>
      <c r="P718" s="1"/>
      <c r="Q718" s="1"/>
      <c r="R718" s="1"/>
      <c r="S718" s="1"/>
      <c r="T718" s="1"/>
      <c r="U718" s="1"/>
      <c r="V718" s="1"/>
      <c r="W718" s="1"/>
      <c r="X718" s="1"/>
      <c r="Y718" s="1"/>
      <c r="Z718" s="1"/>
    </row>
    <row r="719" spans="1:26" ht="12.75" hidden="1" customHeight="1">
      <c r="A719" s="1"/>
      <c r="B719" s="10"/>
      <c r="C719" s="26"/>
      <c r="D719" s="10"/>
      <c r="E719" s="26"/>
      <c r="F719" s="11"/>
      <c r="G719" s="10"/>
      <c r="H719" s="10"/>
      <c r="I719" s="10"/>
      <c r="J719" s="11"/>
      <c r="K719" s="27"/>
      <c r="L719" s="28"/>
      <c r="M719" s="10"/>
      <c r="N719" s="1"/>
      <c r="O719" s="1"/>
      <c r="P719" s="1"/>
      <c r="Q719" s="1"/>
      <c r="R719" s="1"/>
      <c r="S719" s="1"/>
      <c r="T719" s="1"/>
      <c r="U719" s="1"/>
      <c r="V719" s="1"/>
      <c r="W719" s="1"/>
      <c r="X719" s="1"/>
      <c r="Y719" s="1"/>
      <c r="Z719" s="1"/>
    </row>
    <row r="720" spans="1:26" ht="12.75" hidden="1" customHeight="1">
      <c r="A720" s="1"/>
      <c r="B720" s="10"/>
      <c r="C720" s="26"/>
      <c r="D720" s="10"/>
      <c r="E720" s="26"/>
      <c r="F720" s="11"/>
      <c r="G720" s="10"/>
      <c r="H720" s="10"/>
      <c r="I720" s="10"/>
      <c r="J720" s="11"/>
      <c r="K720" s="27"/>
      <c r="L720" s="28"/>
      <c r="M720" s="10"/>
      <c r="N720" s="1"/>
      <c r="O720" s="1"/>
      <c r="P720" s="1"/>
      <c r="Q720" s="1"/>
      <c r="R720" s="1"/>
      <c r="S720" s="1"/>
      <c r="T720" s="1"/>
      <c r="U720" s="1"/>
      <c r="V720" s="1"/>
      <c r="W720" s="1"/>
      <c r="X720" s="1"/>
      <c r="Y720" s="1"/>
      <c r="Z720" s="1"/>
    </row>
    <row r="721" spans="1:26" ht="12.75" hidden="1" customHeight="1">
      <c r="A721" s="1"/>
      <c r="B721" s="10"/>
      <c r="C721" s="26"/>
      <c r="D721" s="10"/>
      <c r="E721" s="26"/>
      <c r="F721" s="11"/>
      <c r="G721" s="10"/>
      <c r="H721" s="10"/>
      <c r="I721" s="10"/>
      <c r="J721" s="11"/>
      <c r="K721" s="27"/>
      <c r="L721" s="28"/>
      <c r="M721" s="10"/>
      <c r="N721" s="1"/>
      <c r="O721" s="1"/>
      <c r="P721" s="1"/>
      <c r="Q721" s="1"/>
      <c r="R721" s="1"/>
      <c r="S721" s="1"/>
      <c r="T721" s="1"/>
      <c r="U721" s="1"/>
      <c r="V721" s="1"/>
      <c r="W721" s="1"/>
      <c r="X721" s="1"/>
      <c r="Y721" s="1"/>
      <c r="Z721" s="1"/>
    </row>
    <row r="722" spans="1:26" ht="15.75" customHeight="1"/>
    <row r="723" spans="1:26" ht="15.75" customHeight="1"/>
    <row r="724" spans="1:26" ht="21.75" customHeight="1">
      <c r="A724" s="37"/>
      <c r="B724" s="38" t="s">
        <v>40</v>
      </c>
      <c r="C724" s="39" t="str">
        <f>MID(E724,17,30)</f>
        <v/>
      </c>
      <c r="D724" s="40"/>
      <c r="E724" s="39"/>
      <c r="F724" s="41">
        <f ca="1">SUM(F22:F721)</f>
        <v>75612907194</v>
      </c>
      <c r="G724" s="40"/>
      <c r="H724" s="40"/>
      <c r="I724" s="40"/>
      <c r="J724" s="41">
        <f ca="1">SUM(J22:J721)</f>
        <v>75612907194</v>
      </c>
      <c r="K724" s="42"/>
      <c r="L724" s="43"/>
      <c r="M724" s="40"/>
      <c r="N724" s="37"/>
      <c r="O724" s="37"/>
      <c r="P724" s="37"/>
      <c r="Q724" s="37"/>
      <c r="R724" s="37"/>
      <c r="S724" s="37"/>
      <c r="T724" s="37"/>
      <c r="U724" s="37"/>
      <c r="V724" s="37"/>
      <c r="W724" s="37"/>
      <c r="X724" s="37"/>
      <c r="Y724" s="37"/>
      <c r="Z724" s="37"/>
    </row>
    <row r="725" spans="1:26" ht="15.75" customHeight="1"/>
    <row r="726" spans="1:26" ht="15.75" customHeight="1"/>
    <row r="727" spans="1:26" ht="15.75" customHeight="1">
      <c r="B727" s="55" t="s">
        <v>41</v>
      </c>
      <c r="C727" s="56" t="s">
        <v>46</v>
      </c>
    </row>
    <row r="728" spans="1:26" ht="15.75" customHeight="1"/>
    <row r="729" spans="1:26" ht="15.75" customHeight="1"/>
    <row r="730" spans="1:26" ht="15.75" customHeight="1"/>
    <row r="731" spans="1:26" ht="15.75" customHeight="1"/>
    <row r="732" spans="1:26" ht="15.75" customHeight="1"/>
    <row r="733" spans="1:26" ht="15.75" customHeight="1"/>
    <row r="734" spans="1:26" ht="15.75" customHeight="1"/>
    <row r="735" spans="1:26" ht="15.75" customHeight="1"/>
    <row r="736" spans="1:2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17:G17"/>
    <mergeCell ref="B9:C9"/>
    <mergeCell ref="B10:C10"/>
    <mergeCell ref="B11:C11"/>
    <mergeCell ref="B12:C12"/>
    <mergeCell ref="C14:G14"/>
  </mergeCells>
  <pageMargins left="0.25" right="0.25" top="0.75" bottom="0.75" header="0.3" footer="0.3"/>
  <pageSetup paperSize="5" scale="4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102"/>
  <sheetViews>
    <sheetView workbookViewId="0">
      <selection activeCell="U234" sqref="A1:U234"/>
    </sheetView>
  </sheetViews>
  <sheetFormatPr baseColWidth="10" defaultColWidth="12.5703125" defaultRowHeight="15" customHeight="1"/>
  <cols>
    <col min="1" max="1" width="2.140625" customWidth="1"/>
    <col min="2" max="2" width="34.42578125" customWidth="1"/>
    <col min="3" max="3" width="47.140625" customWidth="1"/>
    <col min="4" max="4" width="27.28515625" customWidth="1"/>
    <col min="5" max="5" width="34.7109375" customWidth="1"/>
    <col min="6" max="6" width="17.85546875" customWidth="1"/>
    <col min="7" max="7" width="27.140625" customWidth="1"/>
    <col min="8" max="8" width="17.140625" customWidth="1"/>
    <col min="9" max="9" width="20.42578125" customWidth="1"/>
    <col min="10" max="10" width="21.42578125" customWidth="1"/>
    <col min="11" max="12" width="11.42578125" customWidth="1"/>
    <col min="13" max="13" width="13.7109375" customWidth="1"/>
    <col min="14" max="26" width="11.42578125" customWidth="1"/>
  </cols>
  <sheetData>
    <row r="1" spans="1:26" ht="12.75" customHeight="1">
      <c r="A1" s="1"/>
      <c r="B1" s="1"/>
      <c r="C1" s="1"/>
      <c r="D1" s="1"/>
      <c r="E1" s="1"/>
      <c r="F1" s="1"/>
      <c r="G1" s="1"/>
      <c r="H1" s="57"/>
      <c r="I1" s="1"/>
      <c r="J1" s="1"/>
      <c r="K1" s="1"/>
      <c r="L1" s="1"/>
      <c r="M1" s="1"/>
      <c r="N1" s="1"/>
      <c r="O1" s="1"/>
      <c r="P1" s="1"/>
      <c r="Q1" s="1"/>
      <c r="R1" s="1"/>
      <c r="S1" s="1"/>
      <c r="T1" s="1"/>
      <c r="U1" s="1"/>
      <c r="V1" s="1"/>
      <c r="W1" s="1"/>
      <c r="X1" s="1"/>
      <c r="Y1" s="1"/>
      <c r="Z1" s="1"/>
    </row>
    <row r="2" spans="1:26" ht="12.75" customHeight="1">
      <c r="A2" s="1"/>
      <c r="B2" s="1"/>
      <c r="C2" s="1"/>
      <c r="D2" s="1"/>
      <c r="E2" s="1"/>
      <c r="F2" s="1"/>
      <c r="G2" s="1"/>
      <c r="H2" s="57"/>
      <c r="I2" s="1"/>
      <c r="J2" s="1"/>
      <c r="K2" s="1"/>
      <c r="L2" s="1"/>
      <c r="M2" s="1"/>
      <c r="N2" s="1"/>
      <c r="O2" s="1"/>
      <c r="P2" s="1"/>
      <c r="Q2" s="1"/>
      <c r="R2" s="1"/>
      <c r="S2" s="1"/>
      <c r="T2" s="1"/>
      <c r="U2" s="1"/>
      <c r="V2" s="1"/>
      <c r="W2" s="1"/>
      <c r="X2" s="1"/>
      <c r="Y2" s="1"/>
      <c r="Z2" s="1"/>
    </row>
    <row r="3" spans="1:26" ht="12.75" customHeight="1">
      <c r="A3" s="1"/>
      <c r="B3" s="1"/>
      <c r="C3" s="1"/>
      <c r="D3" s="1"/>
      <c r="E3" s="1"/>
      <c r="F3" s="1"/>
      <c r="G3" s="1"/>
      <c r="H3" s="57"/>
      <c r="I3" s="1"/>
      <c r="J3" s="1"/>
      <c r="K3" s="1"/>
      <c r="L3" s="1"/>
      <c r="M3" s="1"/>
      <c r="N3" s="1"/>
      <c r="O3" s="1"/>
      <c r="P3" s="1"/>
      <c r="Q3" s="1"/>
      <c r="R3" s="1"/>
      <c r="S3" s="1"/>
      <c r="T3" s="1"/>
      <c r="U3" s="1"/>
      <c r="V3" s="1"/>
      <c r="W3" s="1"/>
      <c r="X3" s="1"/>
      <c r="Y3" s="1"/>
      <c r="Z3" s="1"/>
    </row>
    <row r="4" spans="1:26" ht="12.75" customHeight="1">
      <c r="A4" s="1"/>
      <c r="B4" s="1"/>
      <c r="C4" s="1"/>
      <c r="D4" s="1"/>
      <c r="E4" s="1"/>
      <c r="F4" s="1"/>
      <c r="G4" s="1"/>
      <c r="H4" s="57"/>
      <c r="I4" s="1"/>
      <c r="J4" s="1"/>
      <c r="K4" s="1"/>
      <c r="L4" s="1"/>
      <c r="M4" s="1"/>
      <c r="N4" s="1"/>
      <c r="O4" s="1"/>
      <c r="P4" s="1"/>
      <c r="Q4" s="1"/>
      <c r="R4" s="1"/>
      <c r="S4" s="1"/>
      <c r="T4" s="1"/>
      <c r="U4" s="1"/>
      <c r="V4" s="1"/>
      <c r="W4" s="1"/>
      <c r="X4" s="1"/>
      <c r="Y4" s="1"/>
      <c r="Z4" s="1"/>
    </row>
    <row r="5" spans="1:26" ht="12.75" customHeight="1">
      <c r="A5" s="1"/>
      <c r="B5" s="1"/>
      <c r="C5" s="1"/>
      <c r="D5" s="1"/>
      <c r="E5" s="1"/>
      <c r="F5" s="1"/>
      <c r="G5" s="1"/>
      <c r="H5" s="57"/>
      <c r="I5" s="1"/>
      <c r="J5" s="1"/>
      <c r="K5" s="1"/>
      <c r="L5" s="1"/>
      <c r="M5" s="1"/>
      <c r="N5" s="1"/>
      <c r="O5" s="1"/>
      <c r="P5" s="1"/>
      <c r="Q5" s="1"/>
      <c r="R5" s="1"/>
      <c r="S5" s="1"/>
      <c r="T5" s="1"/>
      <c r="U5" s="1"/>
      <c r="V5" s="1"/>
      <c r="W5" s="1"/>
      <c r="X5" s="1"/>
      <c r="Y5" s="1"/>
      <c r="Z5" s="1"/>
    </row>
    <row r="6" spans="1:26" ht="12.75" customHeight="1">
      <c r="A6" s="1"/>
      <c r="B6" s="1"/>
      <c r="C6" s="1"/>
      <c r="D6" s="1"/>
      <c r="E6" s="1"/>
      <c r="F6" s="1"/>
      <c r="G6" s="1"/>
      <c r="H6" s="57"/>
      <c r="I6" s="1"/>
      <c r="J6" s="1"/>
      <c r="K6" s="1"/>
      <c r="L6" s="1"/>
      <c r="M6" s="1"/>
      <c r="N6" s="1"/>
      <c r="O6" s="1"/>
      <c r="P6" s="1"/>
      <c r="Q6" s="1"/>
      <c r="R6" s="1"/>
      <c r="S6" s="1"/>
      <c r="T6" s="1"/>
      <c r="U6" s="1"/>
      <c r="V6" s="1"/>
      <c r="W6" s="1"/>
      <c r="X6" s="1"/>
      <c r="Y6" s="1"/>
      <c r="Z6" s="1"/>
    </row>
    <row r="7" spans="1:26" ht="12.75" customHeight="1">
      <c r="A7" s="1"/>
      <c r="B7" s="1"/>
      <c r="C7" s="1"/>
      <c r="D7" s="1"/>
      <c r="E7" s="1"/>
      <c r="F7" s="1"/>
      <c r="G7" s="1"/>
      <c r="H7" s="57"/>
      <c r="I7" s="1"/>
      <c r="J7" s="1"/>
      <c r="K7" s="1"/>
      <c r="L7" s="1"/>
      <c r="M7" s="1"/>
      <c r="N7" s="1"/>
      <c r="O7" s="1"/>
      <c r="P7" s="1"/>
      <c r="Q7" s="1"/>
      <c r="R7" s="1"/>
      <c r="S7" s="1"/>
      <c r="T7" s="1"/>
      <c r="U7" s="1"/>
      <c r="V7" s="1"/>
      <c r="W7" s="1"/>
      <c r="X7" s="1"/>
      <c r="Y7" s="1"/>
      <c r="Z7" s="1"/>
    </row>
    <row r="8" spans="1:26" ht="12.75" customHeight="1">
      <c r="A8" s="1"/>
      <c r="B8" s="2" t="str">
        <f>'24.03.034'!B8</f>
        <v>4° Trimestre</v>
      </c>
      <c r="C8" s="3"/>
      <c r="D8" s="1"/>
      <c r="E8" s="1"/>
      <c r="F8" s="1"/>
      <c r="G8" s="1"/>
      <c r="H8" s="57"/>
      <c r="I8" s="1"/>
      <c r="J8" s="1"/>
      <c r="K8" s="1"/>
      <c r="L8" s="1"/>
      <c r="M8" s="1"/>
      <c r="N8" s="1"/>
      <c r="O8" s="1"/>
      <c r="P8" s="1"/>
      <c r="Q8" s="1"/>
      <c r="R8" s="1"/>
      <c r="S8" s="1"/>
      <c r="T8" s="1"/>
      <c r="U8" s="1"/>
      <c r="V8" s="1"/>
      <c r="W8" s="1"/>
      <c r="X8" s="1"/>
      <c r="Y8" s="1"/>
      <c r="Z8" s="1"/>
    </row>
    <row r="9" spans="1:26" ht="12.75" customHeight="1">
      <c r="A9" s="1"/>
      <c r="B9" s="110" t="s">
        <v>1</v>
      </c>
      <c r="C9" s="111"/>
      <c r="D9" s="1"/>
      <c r="E9" s="1"/>
      <c r="F9" s="1"/>
      <c r="G9" s="1"/>
      <c r="H9" s="57"/>
      <c r="I9" s="1"/>
      <c r="J9" s="1"/>
      <c r="K9" s="1"/>
      <c r="L9" s="1"/>
      <c r="M9" s="1"/>
      <c r="N9" s="1"/>
      <c r="O9" s="1"/>
      <c r="P9" s="1"/>
      <c r="Q9" s="1"/>
      <c r="R9" s="1"/>
      <c r="S9" s="1"/>
      <c r="T9" s="1"/>
      <c r="U9" s="1"/>
      <c r="V9" s="1"/>
      <c r="W9" s="1"/>
      <c r="X9" s="1"/>
      <c r="Y9" s="1"/>
      <c r="Z9" s="1"/>
    </row>
    <row r="10" spans="1:26" ht="12.75" customHeight="1">
      <c r="A10" s="1"/>
      <c r="B10" s="110" t="s">
        <v>2</v>
      </c>
      <c r="C10" s="111"/>
      <c r="D10" s="1"/>
      <c r="E10" s="1"/>
      <c r="F10" s="1"/>
      <c r="G10" s="1"/>
      <c r="H10" s="57"/>
      <c r="I10" s="1"/>
      <c r="J10" s="1"/>
      <c r="K10" s="1"/>
      <c r="L10" s="1"/>
      <c r="M10" s="1"/>
      <c r="N10" s="1"/>
      <c r="O10" s="1"/>
      <c r="P10" s="1"/>
      <c r="Q10" s="1"/>
      <c r="R10" s="1"/>
      <c r="S10" s="1"/>
      <c r="T10" s="1"/>
      <c r="U10" s="1"/>
      <c r="V10" s="1"/>
      <c r="W10" s="1"/>
      <c r="X10" s="1"/>
      <c r="Y10" s="1"/>
      <c r="Z10" s="1"/>
    </row>
    <row r="11" spans="1:26" ht="12.75" customHeight="1">
      <c r="A11" s="1"/>
      <c r="B11" s="110" t="s">
        <v>47</v>
      </c>
      <c r="C11" s="111"/>
      <c r="D11" s="1"/>
      <c r="E11" s="1"/>
      <c r="F11" s="1"/>
      <c r="G11" s="1"/>
      <c r="H11" s="57"/>
      <c r="I11" s="1"/>
      <c r="J11" s="1"/>
      <c r="K11" s="1"/>
      <c r="L11" s="1"/>
      <c r="M11" s="1"/>
      <c r="N11" s="1"/>
      <c r="O11" s="1"/>
      <c r="P11" s="1"/>
      <c r="Q11" s="1"/>
      <c r="R11" s="1"/>
      <c r="S11" s="1"/>
      <c r="T11" s="1"/>
      <c r="U11" s="1"/>
      <c r="V11" s="1"/>
      <c r="W11" s="1"/>
      <c r="X11" s="1"/>
      <c r="Y11" s="1"/>
      <c r="Z11" s="1"/>
    </row>
    <row r="12" spans="1:26" ht="25.5" customHeight="1">
      <c r="A12" s="1"/>
      <c r="B12" s="110" t="s">
        <v>48</v>
      </c>
      <c r="C12" s="111"/>
      <c r="D12" s="1"/>
      <c r="E12" s="1"/>
      <c r="F12" s="1"/>
      <c r="G12" s="1"/>
      <c r="H12" s="57"/>
      <c r="I12" s="1"/>
      <c r="J12" s="1"/>
      <c r="K12" s="1"/>
      <c r="L12" s="1"/>
      <c r="M12" s="1"/>
      <c r="N12" s="1"/>
      <c r="O12" s="1"/>
      <c r="P12" s="1"/>
      <c r="Q12" s="1"/>
      <c r="R12" s="1"/>
      <c r="S12" s="1"/>
      <c r="T12" s="1"/>
      <c r="U12" s="1"/>
      <c r="V12" s="1"/>
      <c r="W12" s="1"/>
      <c r="X12" s="1"/>
      <c r="Y12" s="1"/>
      <c r="Z12" s="1"/>
    </row>
    <row r="13" spans="1:26" ht="12.75" customHeight="1">
      <c r="A13" s="1"/>
      <c r="B13" s="5"/>
      <c r="C13" s="5"/>
      <c r="D13" s="1"/>
      <c r="E13" s="1"/>
      <c r="F13" s="1"/>
      <c r="G13" s="1"/>
      <c r="H13" s="57"/>
      <c r="I13" s="1"/>
      <c r="J13" s="1"/>
      <c r="K13" s="1"/>
      <c r="L13" s="1"/>
      <c r="M13" s="1"/>
      <c r="N13" s="1"/>
      <c r="O13" s="1"/>
      <c r="P13" s="1"/>
      <c r="Q13" s="1"/>
      <c r="R13" s="1"/>
      <c r="S13" s="1"/>
      <c r="T13" s="1"/>
      <c r="U13" s="1"/>
      <c r="V13" s="1"/>
      <c r="W13" s="1"/>
      <c r="X13" s="1"/>
      <c r="Y13" s="1"/>
      <c r="Z13" s="1"/>
    </row>
    <row r="14" spans="1:26" ht="112.5" customHeight="1">
      <c r="A14" s="1"/>
      <c r="B14" s="4" t="s">
        <v>5</v>
      </c>
      <c r="C14" s="114" t="s">
        <v>6</v>
      </c>
      <c r="D14" s="115"/>
      <c r="E14" s="115"/>
      <c r="F14" s="115"/>
      <c r="G14" s="116"/>
      <c r="H14" s="57"/>
      <c r="I14" s="1"/>
      <c r="J14" s="1"/>
      <c r="K14" s="1"/>
      <c r="L14" s="1"/>
      <c r="M14" s="1"/>
      <c r="N14" s="1"/>
      <c r="O14" s="1"/>
      <c r="P14" s="1"/>
      <c r="Q14" s="1"/>
      <c r="R14" s="1"/>
      <c r="S14" s="1"/>
      <c r="T14" s="1"/>
      <c r="U14" s="1"/>
      <c r="V14" s="1"/>
      <c r="W14" s="1"/>
      <c r="X14" s="1"/>
      <c r="Y14" s="1"/>
      <c r="Z14" s="1"/>
    </row>
    <row r="15" spans="1:26" ht="12.75" customHeight="1">
      <c r="A15" s="1"/>
      <c r="B15" s="5"/>
      <c r="C15" s="5"/>
      <c r="D15" s="1"/>
      <c r="E15" s="1"/>
      <c r="F15" s="1"/>
      <c r="G15" s="1"/>
      <c r="H15" s="57"/>
      <c r="I15" s="1"/>
      <c r="J15" s="1"/>
      <c r="K15" s="1"/>
      <c r="L15" s="1"/>
      <c r="M15" s="1"/>
      <c r="N15" s="1"/>
      <c r="O15" s="1"/>
      <c r="P15" s="1"/>
      <c r="Q15" s="1"/>
      <c r="R15" s="1"/>
      <c r="S15" s="1"/>
      <c r="T15" s="1"/>
      <c r="U15" s="1"/>
      <c r="V15" s="1"/>
      <c r="W15" s="1"/>
      <c r="X15" s="1"/>
      <c r="Y15" s="1"/>
      <c r="Z15" s="1"/>
    </row>
    <row r="16" spans="1:26" ht="12.75" customHeight="1">
      <c r="A16" s="1"/>
      <c r="B16" s="5"/>
      <c r="C16" s="5"/>
      <c r="D16" s="1"/>
      <c r="E16" s="1"/>
      <c r="F16" s="1"/>
      <c r="G16" s="1"/>
      <c r="H16" s="57"/>
      <c r="I16" s="1"/>
      <c r="J16" s="1"/>
      <c r="K16" s="1"/>
      <c r="L16" s="1"/>
      <c r="M16" s="1"/>
      <c r="N16" s="1"/>
      <c r="O16" s="1"/>
      <c r="P16" s="1"/>
      <c r="Q16" s="1"/>
      <c r="R16" s="1"/>
      <c r="S16" s="1"/>
      <c r="T16" s="1"/>
      <c r="U16" s="1"/>
      <c r="V16" s="1"/>
      <c r="W16" s="1"/>
      <c r="X16" s="1"/>
      <c r="Y16" s="1"/>
      <c r="Z16" s="1"/>
    </row>
    <row r="17" spans="1:26" ht="55.5" customHeight="1">
      <c r="A17" s="1"/>
      <c r="B17" s="4" t="s">
        <v>7</v>
      </c>
      <c r="C17" s="114" t="s">
        <v>8</v>
      </c>
      <c r="D17" s="115"/>
      <c r="E17" s="115"/>
      <c r="F17" s="115"/>
      <c r="G17" s="116"/>
      <c r="H17" s="57"/>
      <c r="I17" s="1"/>
      <c r="J17" s="1"/>
      <c r="K17" s="1"/>
      <c r="L17" s="1"/>
      <c r="M17" s="1"/>
      <c r="N17" s="1"/>
      <c r="O17" s="1"/>
      <c r="P17" s="1"/>
      <c r="Q17" s="1"/>
      <c r="R17" s="1"/>
      <c r="S17" s="1"/>
      <c r="T17" s="1"/>
      <c r="U17" s="1"/>
      <c r="V17" s="1"/>
      <c r="W17" s="1"/>
      <c r="X17" s="1"/>
      <c r="Y17" s="1"/>
      <c r="Z17" s="1"/>
    </row>
    <row r="18" spans="1:26" ht="12.75" customHeight="1">
      <c r="A18" s="1"/>
      <c r="B18" s="6"/>
      <c r="C18" s="6"/>
      <c r="D18" s="1"/>
      <c r="E18" s="1"/>
      <c r="F18" s="1"/>
      <c r="G18" s="1"/>
      <c r="H18" s="57"/>
      <c r="I18" s="1"/>
      <c r="J18" s="1"/>
      <c r="K18" s="1"/>
      <c r="L18" s="1"/>
      <c r="M18" s="1"/>
      <c r="N18" s="1"/>
      <c r="O18" s="1"/>
      <c r="P18" s="1"/>
      <c r="Q18" s="1"/>
      <c r="R18" s="1"/>
      <c r="S18" s="1"/>
      <c r="T18" s="1"/>
      <c r="U18" s="1"/>
      <c r="V18" s="1"/>
      <c r="W18" s="1"/>
      <c r="X18" s="1"/>
      <c r="Y18" s="1"/>
      <c r="Z18" s="1"/>
    </row>
    <row r="19" spans="1:26" ht="12.75" customHeight="1">
      <c r="A19" s="1"/>
      <c r="B19" s="1"/>
      <c r="C19" s="1"/>
      <c r="D19" s="1"/>
      <c r="E19" s="1"/>
      <c r="F19" s="1"/>
      <c r="G19" s="1"/>
      <c r="H19" s="57"/>
      <c r="I19" s="1"/>
      <c r="J19" s="1"/>
      <c r="K19" s="1"/>
      <c r="L19" s="1"/>
      <c r="M19" s="1"/>
      <c r="N19" s="1"/>
      <c r="O19" s="1"/>
      <c r="P19" s="1"/>
      <c r="Q19" s="1"/>
      <c r="R19" s="1"/>
      <c r="S19" s="1"/>
      <c r="T19" s="1"/>
      <c r="U19" s="1"/>
      <c r="V19" s="1"/>
      <c r="W19" s="1"/>
      <c r="X19" s="1"/>
      <c r="Y19" s="1"/>
      <c r="Z19" s="1"/>
    </row>
    <row r="20" spans="1:26" ht="12.75" customHeight="1">
      <c r="A20" s="1"/>
      <c r="B20" s="58"/>
      <c r="C20" s="1"/>
      <c r="D20" s="1"/>
      <c r="E20" s="1"/>
      <c r="F20" s="1"/>
      <c r="G20" s="1"/>
      <c r="H20" s="57"/>
      <c r="I20" s="1"/>
      <c r="J20" s="1"/>
      <c r="K20" s="1"/>
      <c r="L20" s="1"/>
      <c r="M20" s="1"/>
      <c r="N20" s="1"/>
      <c r="O20" s="1"/>
      <c r="P20" s="1"/>
      <c r="Q20" s="1"/>
      <c r="R20" s="1"/>
      <c r="S20" s="1"/>
      <c r="T20" s="1"/>
      <c r="U20" s="1"/>
      <c r="V20" s="1"/>
      <c r="W20" s="1"/>
      <c r="X20" s="1"/>
      <c r="Y20" s="1"/>
      <c r="Z20" s="1"/>
    </row>
    <row r="21" spans="1:26" ht="37.5" customHeight="1">
      <c r="A21" s="1"/>
      <c r="B21" s="7" t="s">
        <v>10</v>
      </c>
      <c r="C21" s="7" t="s">
        <v>9</v>
      </c>
      <c r="D21" s="7" t="s">
        <v>11</v>
      </c>
      <c r="E21" s="7" t="s">
        <v>12</v>
      </c>
      <c r="F21" s="7" t="s">
        <v>13</v>
      </c>
      <c r="G21" s="7" t="s">
        <v>14</v>
      </c>
      <c r="H21" s="7" t="s">
        <v>15</v>
      </c>
      <c r="I21" s="8" t="s">
        <v>16</v>
      </c>
      <c r="J21" s="7" t="s">
        <v>17</v>
      </c>
      <c r="K21" s="7" t="s">
        <v>18</v>
      </c>
      <c r="L21" s="7" t="s">
        <v>19</v>
      </c>
      <c r="M21" s="7" t="s">
        <v>20</v>
      </c>
      <c r="N21" s="1"/>
      <c r="O21" s="1"/>
      <c r="P21" s="1"/>
      <c r="Q21" s="1"/>
      <c r="R21" s="1"/>
      <c r="S21" s="1"/>
      <c r="T21" s="1"/>
      <c r="U21" s="1"/>
      <c r="V21" s="1"/>
      <c r="W21" s="1"/>
      <c r="X21" s="1"/>
      <c r="Y21" s="1"/>
      <c r="Z21" s="1"/>
    </row>
    <row r="22" spans="1:26" ht="12.75" customHeight="1">
      <c r="A22" s="1"/>
      <c r="B22" s="10" t="str">
        <f ca="1">IFERROR(__xludf.DUMMYFUNCTION("IMPORTRANGE(""https://docs.google.com/spreadsheets/d/1326rdUM6oOTA_5T6U_eA-Yqy4OMk6d_RGd_Z1bKVaC8/edit#gid=1459860096"",""'24.03.406 PTRAC'!i10:i200"")"),"PVET EMERGENCIA 2024 COMUNA DE QUILPUÉ QUILPUÉ")</f>
        <v>PVET EMERGENCIA 2024 COMUNA DE QUILPUÉ QUILPUÉ</v>
      </c>
      <c r="C22" s="26" t="str">
        <f t="shared" ref="C22:C130" ca="1" si="0">MID(E22,17,30)</f>
        <v xml:space="preserve"> QUILPUÉ</v>
      </c>
      <c r="D22" s="10" t="str">
        <f ca="1">IFERROR(__xludf.DUMMYFUNCTION("IMPORTRANGE(""https://docs.google.com/spreadsheets/d/1326rdUM6oOTA_5T6U_eA-Yqy4OMk6d_RGd_Z1bKVaC8/edit#gid=1459860096"",""'24.03.406 PTRAC'!k10:k200"")"),"Resolución de Transferencia")</f>
        <v>Resolución de Transferencia</v>
      </c>
      <c r="E22" s="26" t="str">
        <f ca="1">IFERROR(__xludf.DUMMYFUNCTION("IMPORTRANGE(""https://docs.google.com/spreadsheets/d/1326rdUM6oOTA_5T6U_eA-Yqy4OMk6d_RGd_Z1bKVaC8/edit#gid=1459860096"",""'24.03.406 PTRAC'!f10:f200"")"),"MUNICIPALIDAD DE QUILPUÉ")</f>
        <v>MUNICIPALIDAD DE QUILPUÉ</v>
      </c>
      <c r="F22" s="11">
        <f ca="1">IFERROR(__xludf.DUMMYFUNCTION("IMPORTRANGE(""https://docs.google.com/spreadsheets/d/1326rdUM6oOTA_5T6U_eA-Yqy4OMk6d_RGd_Z1bKVaC8/edit#gid=1459860096"",""'24.03.406 PTRAC'!p10:p200"")"),8900000)</f>
        <v>8900000</v>
      </c>
      <c r="G22" s="10" t="str">
        <f ca="1">IFERROR(__xludf.DUMMYFUNCTION("IMPORTRANGE(""https://docs.google.com/spreadsheets/d/1326rdUM6oOTA_5T6U_eA-Yqy4OMk6d_RGd_Z1bKVaC8/edit#gid=1459860096"",""'24.03.406 PTRAC'!j10:j200"")"),"Resolución")</f>
        <v>Resolución</v>
      </c>
      <c r="H22" s="10" t="str">
        <f ca="1">IFERROR(__xludf.DUMMYFUNCTION("IMPORTRANGE(""https://docs.google.com/spreadsheets/d/1326rdUM6oOTA_5T6U_eA-Yqy4OMk6d_RGd_Z1bKVaC8/edit#gid=1459860096"",""'24.03.406 PTRAC'!d10:d200"")"),"PVET - EMERGENCIA")</f>
        <v>PVET - EMERGENCIA</v>
      </c>
      <c r="I22" s="10" t="str">
        <f ca="1">IFERROR(__xludf.DUMMYFUNCTION("IMPORTRANGE(""https://docs.google.com/spreadsheets/d/1326rdUM6oOTA_5T6U_eA-Yqy4OMk6d_RGd_Z1bKVaC8/edit#gid=1459860096"",""'24.03.406 PTRAC'!o10:o200"")"),"Cumplir con normativa y reglamentos internos del programa en base a los objetivos.")</f>
        <v>Cumplir con normativa y reglamentos internos del programa en base a los objetivos.</v>
      </c>
      <c r="J22" s="11">
        <f ca="1">IFERROR(__xludf.DUMMYFUNCTION("IMPORTRANGE(""https://docs.google.com/spreadsheets/d/1326rdUM6oOTA_5T6U_eA-Yqy4OMk6d_RGd_Z1bKVaC8/edit#gid=1459860096"",""'24.03.406 PTRAC'!ad10:ad200"")"),8900000)</f>
        <v>8900000</v>
      </c>
      <c r="K22" s="27">
        <f ca="1">IFERROR(__xludf.DUMMYFUNCTION("IMPORTRANGE(""https://docs.google.com/spreadsheets/d/1326rdUM6oOTA_5T6U_eA-Yqy4OMk6d_RGd_Z1bKVaC8/edit#gid=1459860096"",""'24.03.406 PTRAC'!ae10:ae200"")"),1)</f>
        <v>1</v>
      </c>
      <c r="L22" s="28" t="str">
        <f ca="1">IFERROR(__xludf.DUMMYFUNCTION("IMPORTRANGE(""https://docs.google.com/spreadsheets/d/1326rdUM6oOTA_5T6U_eA-Yqy4OMk6d_RGd_Z1bKVaC8/edit#gid=1459860096"",""'24.03.406 PTRAC'!l10:l200"")"),"1572/2024 ")</f>
        <v xml:space="preserve">1572/2024 </v>
      </c>
      <c r="M22" s="10" t="str">
        <f ca="1">IFERROR(__xludf.DUMMYFUNCTION("IMPORTRANGE(""https://docs.google.com/spreadsheets/d/1326rdUM6oOTA_5T6U_eA-Yqy4OMk6d_RGd_Z1bKVaC8/edit#gid=1459860096"",""'24.03.406 PTRAC'!b10:b200"")"),"PTRAC")</f>
        <v>PTRAC</v>
      </c>
      <c r="N22" s="1"/>
      <c r="O22" s="1"/>
      <c r="P22" s="1"/>
      <c r="Q22" s="1"/>
      <c r="R22" s="1"/>
      <c r="S22" s="1"/>
      <c r="T22" s="1"/>
      <c r="U22" s="1"/>
      <c r="V22" s="1"/>
      <c r="W22" s="1"/>
      <c r="X22" s="1"/>
      <c r="Y22" s="1"/>
      <c r="Z22" s="1"/>
    </row>
    <row r="23" spans="1:26" ht="12.75" customHeight="1">
      <c r="A23" s="1"/>
      <c r="B23" s="10" t="str">
        <f ca="1">IFERROR(__xludf.DUMMYFUNCTION("""COMPUTED_VALUE"""),"BOTIQUÍN DE EMERGENCIA 2024 COMUNA DE VIÑA DEL MAR")</f>
        <v>BOTIQUÍN DE EMERGENCIA 2024 COMUNA DE VIÑA DEL MAR</v>
      </c>
      <c r="C23" s="26" t="str">
        <f t="shared" ca="1" si="0"/>
        <v xml:space="preserve"> VIÑA DEL MAR</v>
      </c>
      <c r="D23" s="10" t="str">
        <f ca="1">IFERROR(__xludf.DUMMYFUNCTION("""COMPUTED_VALUE"""),"Resolución de Transferencia")</f>
        <v>Resolución de Transferencia</v>
      </c>
      <c r="E23" s="26" t="str">
        <f ca="1">IFERROR(__xludf.DUMMYFUNCTION("""COMPUTED_VALUE"""),"MUNICIPALIDAD DE VIÑA DEL MAR")</f>
        <v>MUNICIPALIDAD DE VIÑA DEL MAR</v>
      </c>
      <c r="F23" s="11">
        <f ca="1">IFERROR(__xludf.DUMMYFUNCTION("""COMPUTED_VALUE"""),20000000)</f>
        <v>20000000</v>
      </c>
      <c r="G23" s="10" t="str">
        <f ca="1">IFERROR(__xludf.DUMMYFUNCTION("""COMPUTED_VALUE"""),"Resolución")</f>
        <v>Resolución</v>
      </c>
      <c r="H23" s="10" t="str">
        <f ca="1">IFERROR(__xludf.DUMMYFUNCTION("""COMPUTED_VALUE"""),"BOTIQUIN- EMERGENCIA")</f>
        <v>BOTIQUIN- EMERGENCIA</v>
      </c>
      <c r="I23" s="10" t="str">
        <f ca="1">IFERROR(__xludf.DUMMYFUNCTION("""COMPUTED_VALUE"""),"Cumplir con normativa y reglamentos internos del programa en base a los objetivos.")</f>
        <v>Cumplir con normativa y reglamentos internos del programa en base a los objetivos.</v>
      </c>
      <c r="J23" s="11">
        <f ca="1">IFERROR(__xludf.DUMMYFUNCTION("""COMPUTED_VALUE"""),20000000)</f>
        <v>20000000</v>
      </c>
      <c r="K23" s="27">
        <f ca="1">IFERROR(__xludf.DUMMYFUNCTION("""COMPUTED_VALUE"""),1)</f>
        <v>1</v>
      </c>
      <c r="L23" s="28" t="str">
        <f ca="1">IFERROR(__xludf.DUMMYFUNCTION("""COMPUTED_VALUE"""),"2113/2024")</f>
        <v>2113/2024</v>
      </c>
      <c r="M23" s="10" t="str">
        <f ca="1">IFERROR(__xludf.DUMMYFUNCTION("""COMPUTED_VALUE"""),"PTRAC")</f>
        <v>PTRAC</v>
      </c>
      <c r="N23" s="1"/>
      <c r="O23" s="1"/>
      <c r="P23" s="1"/>
      <c r="Q23" s="1"/>
      <c r="R23" s="1"/>
      <c r="S23" s="1"/>
      <c r="T23" s="1"/>
      <c r="U23" s="1"/>
      <c r="V23" s="1"/>
      <c r="W23" s="1"/>
      <c r="X23" s="1"/>
      <c r="Y23" s="1"/>
      <c r="Z23" s="1"/>
    </row>
    <row r="24" spans="1:26" ht="12.75" customHeight="1">
      <c r="A24" s="1"/>
      <c r="B24" s="10" t="str">
        <f ca="1">IFERROR(__xludf.DUMMYFUNCTION("""COMPUTED_VALUE"""),"BOTIQUIN EMERGENCIA 2024 COMUNA DE VILLA ALEMANA")</f>
        <v>BOTIQUIN EMERGENCIA 2024 COMUNA DE VILLA ALEMANA</v>
      </c>
      <c r="C24" s="26" t="str">
        <f t="shared" ca="1" si="0"/>
        <v xml:space="preserve"> VILLA ALEMANA</v>
      </c>
      <c r="D24" s="10" t="str">
        <f ca="1">IFERROR(__xludf.DUMMYFUNCTION("""COMPUTED_VALUE"""),"Resolución de Transferencia")</f>
        <v>Resolución de Transferencia</v>
      </c>
      <c r="E24" s="26" t="str">
        <f ca="1">IFERROR(__xludf.DUMMYFUNCTION("""COMPUTED_VALUE"""),"MUNICIPALIDAD DE VILLA ALEMANA")</f>
        <v>MUNICIPALIDAD DE VILLA ALEMANA</v>
      </c>
      <c r="F24" s="11">
        <f ca="1">IFERROR(__xludf.DUMMYFUNCTION("""COMPUTED_VALUE"""),6000000)</f>
        <v>6000000</v>
      </c>
      <c r="G24" s="10" t="str">
        <f ca="1">IFERROR(__xludf.DUMMYFUNCTION("""COMPUTED_VALUE"""),"Resolución")</f>
        <v>Resolución</v>
      </c>
      <c r="H24" s="10" t="str">
        <f ca="1">IFERROR(__xludf.DUMMYFUNCTION("""COMPUTED_VALUE"""),"BOTIQUIN- EMERGENCIA")</f>
        <v>BOTIQUIN- EMERGENCIA</v>
      </c>
      <c r="I24" s="10" t="str">
        <f ca="1">IFERROR(__xludf.DUMMYFUNCTION("""COMPUTED_VALUE"""),"Cumplir con normativa y reglamentos internos del programa en base a los objetivos.")</f>
        <v>Cumplir con normativa y reglamentos internos del programa en base a los objetivos.</v>
      </c>
      <c r="J24" s="11">
        <f ca="1">IFERROR(__xludf.DUMMYFUNCTION("""COMPUTED_VALUE"""),6000000)</f>
        <v>6000000</v>
      </c>
      <c r="K24" s="27">
        <f ca="1">IFERROR(__xludf.DUMMYFUNCTION("""COMPUTED_VALUE"""),1)</f>
        <v>1</v>
      </c>
      <c r="L24" s="28" t="str">
        <f ca="1">IFERROR(__xludf.DUMMYFUNCTION("""COMPUTED_VALUE"""),"2112/2024")</f>
        <v>2112/2024</v>
      </c>
      <c r="M24" s="10" t="str">
        <f ca="1">IFERROR(__xludf.DUMMYFUNCTION("""COMPUTED_VALUE"""),"PTRAC")</f>
        <v>PTRAC</v>
      </c>
      <c r="N24" s="1"/>
      <c r="O24" s="1"/>
      <c r="P24" s="1"/>
      <c r="Q24" s="1"/>
      <c r="R24" s="1"/>
      <c r="S24" s="1"/>
      <c r="T24" s="1"/>
      <c r="U24" s="1"/>
      <c r="V24" s="1"/>
      <c r="W24" s="1"/>
      <c r="X24" s="1"/>
      <c r="Y24" s="1"/>
      <c r="Z24" s="1"/>
    </row>
    <row r="25" spans="1:26" ht="12.75" customHeight="1">
      <c r="A25" s="1"/>
      <c r="B25" s="10" t="str">
        <f ca="1">IFERROR(__xludf.DUMMYFUNCTION("""COMPUTED_VALUE"""),"PVET EMERGENCIA 2024 COMUNA DE VIÑA DEL MAR")</f>
        <v>PVET EMERGENCIA 2024 COMUNA DE VIÑA DEL MAR</v>
      </c>
      <c r="C25" s="26" t="str">
        <f t="shared" ca="1" si="0"/>
        <v xml:space="preserve"> VIÑA DEL MAR</v>
      </c>
      <c r="D25" s="10" t="str">
        <f ca="1">IFERROR(__xludf.DUMMYFUNCTION("""COMPUTED_VALUE"""),"Resolución de Transferencia")</f>
        <v>Resolución de Transferencia</v>
      </c>
      <c r="E25" s="26" t="str">
        <f ca="1">IFERROR(__xludf.DUMMYFUNCTION("""COMPUTED_VALUE"""),"MUNICIPALIDAD DE VIÑA DEL MAR")</f>
        <v>MUNICIPALIDAD DE VIÑA DEL MAR</v>
      </c>
      <c r="F25" s="11">
        <f ca="1">IFERROR(__xludf.DUMMYFUNCTION("""COMPUTED_VALUE"""),4857000)</f>
        <v>4857000</v>
      </c>
      <c r="G25" s="10" t="str">
        <f ca="1">IFERROR(__xludf.DUMMYFUNCTION("""COMPUTED_VALUE"""),"Resolución")</f>
        <v>Resolución</v>
      </c>
      <c r="H25" s="10" t="str">
        <f ca="1">IFERROR(__xludf.DUMMYFUNCTION("""COMPUTED_VALUE"""),"PVET - EMERGENCIA")</f>
        <v>PVET - EMERGENCIA</v>
      </c>
      <c r="I25" s="10" t="str">
        <f ca="1">IFERROR(__xludf.DUMMYFUNCTION("""COMPUTED_VALUE"""),"Cumplir con normativa y reglamentos internos del programa en base a los objetivos.")</f>
        <v>Cumplir con normativa y reglamentos internos del programa en base a los objetivos.</v>
      </c>
      <c r="J25" s="11">
        <f ca="1">IFERROR(__xludf.DUMMYFUNCTION("""COMPUTED_VALUE"""),4857000)</f>
        <v>4857000</v>
      </c>
      <c r="K25" s="27">
        <f ca="1">IFERROR(__xludf.DUMMYFUNCTION("""COMPUTED_VALUE"""),1)</f>
        <v>1</v>
      </c>
      <c r="L25" s="28" t="str">
        <f ca="1">IFERROR(__xludf.DUMMYFUNCTION("""COMPUTED_VALUE"""),"2237/2024")</f>
        <v>2237/2024</v>
      </c>
      <c r="M25" s="10" t="str">
        <f ca="1">IFERROR(__xludf.DUMMYFUNCTION("""COMPUTED_VALUE"""),"PTRAC")</f>
        <v>PTRAC</v>
      </c>
      <c r="N25" s="1"/>
      <c r="O25" s="1"/>
      <c r="P25" s="1"/>
      <c r="Q25" s="1"/>
      <c r="R25" s="1"/>
      <c r="S25" s="1"/>
      <c r="T25" s="1"/>
      <c r="U25" s="1"/>
      <c r="V25" s="1"/>
      <c r="W25" s="1"/>
      <c r="X25" s="1"/>
      <c r="Y25" s="1"/>
      <c r="Z25" s="1"/>
    </row>
    <row r="26" spans="1:26" ht="12.75" customHeight="1">
      <c r="A26" s="1"/>
      <c r="B26" s="10" t="str">
        <f ca="1">IFERROR(__xludf.DUMMYFUNCTION("""COMPUTED_VALUE"""),"PLAN NACIONAL DE ESTERILIZACIONES RESPONSABILIDAD COMPARTIDA 2023 COMUNA DE SAN CLEMENTE")</f>
        <v>PLAN NACIONAL DE ESTERILIZACIONES RESPONSABILIDAD COMPARTIDA 2023 COMUNA DE SAN CLEMENTE</v>
      </c>
      <c r="C26" s="26" t="str">
        <f t="shared" ca="1" si="0"/>
        <v xml:space="preserve"> SAN CLEMENTE</v>
      </c>
      <c r="D26" s="10" t="str">
        <f ca="1">IFERROR(__xludf.DUMMYFUNCTION("""COMPUTED_VALUE"""),"Resolución de Transferencia")</f>
        <v>Resolución de Transferencia</v>
      </c>
      <c r="E26" s="26" t="str">
        <f ca="1">IFERROR(__xludf.DUMMYFUNCTION("""COMPUTED_VALUE"""),"MUNICIPALIDAD DE SAN CLEMENTE")</f>
        <v>MUNICIPALIDAD DE SAN CLEMENTE</v>
      </c>
      <c r="F26" s="11">
        <f ca="1">IFERROR(__xludf.DUMMYFUNCTION("""COMPUTED_VALUE"""),29200000)</f>
        <v>29200000</v>
      </c>
      <c r="G26" s="10" t="str">
        <f ca="1">IFERROR(__xludf.DUMMYFUNCTION("""COMPUTED_VALUE"""),"Resolución")</f>
        <v>Resolución</v>
      </c>
      <c r="H26" s="10" t="str">
        <f ca="1">IFERROR(__xludf.DUMMYFUNCTION("""COMPUTED_VALUE"""),"Plan Esterilización Responsabilidad Compartida")</f>
        <v>Plan Esterilización Responsabilidad Compartida</v>
      </c>
      <c r="I26" s="10" t="str">
        <f ca="1">IFERROR(__xludf.DUMMYFUNCTION("""COMPUTED_VALUE"""),"Cumplir con normativa y reglamentos internos del programa en base a los objetivos.")</f>
        <v>Cumplir con normativa y reglamentos internos del programa en base a los objetivos.</v>
      </c>
      <c r="J26" s="11">
        <f ca="1">IFERROR(__xludf.DUMMYFUNCTION("""COMPUTED_VALUE"""),29200000)</f>
        <v>29200000</v>
      </c>
      <c r="K26" s="27">
        <f ca="1">IFERROR(__xludf.DUMMYFUNCTION("""COMPUTED_VALUE"""),1)</f>
        <v>1</v>
      </c>
      <c r="L26" s="28" t="str">
        <f ca="1">IFERROR(__xludf.DUMMYFUNCTION("""COMPUTED_VALUE"""),"2764/2024")</f>
        <v>2764/2024</v>
      </c>
      <c r="M26" s="10" t="str">
        <f ca="1">IFERROR(__xludf.DUMMYFUNCTION("""COMPUTED_VALUE"""),"PTRAC")</f>
        <v>PTRAC</v>
      </c>
      <c r="N26" s="1"/>
      <c r="O26" s="1"/>
      <c r="P26" s="1"/>
      <c r="Q26" s="1"/>
      <c r="R26" s="1"/>
      <c r="S26" s="1"/>
      <c r="T26" s="1"/>
      <c r="U26" s="1"/>
      <c r="V26" s="1"/>
      <c r="W26" s="1"/>
      <c r="X26" s="1"/>
      <c r="Y26" s="1"/>
      <c r="Z26" s="1"/>
    </row>
    <row r="27" spans="1:26" ht="12.75" customHeight="1">
      <c r="A27" s="1"/>
      <c r="B27" s="10" t="str">
        <f ca="1">IFERROR(__xludf.DUMMYFUNCTION("""COMPUTED_VALUE"""),"PLAN NACIONAL DE ESTERILIZACIONES RESPONSABILIDAD COMPARTIDA AÑO 2023 COMUNA DE RENCA")</f>
        <v>PLAN NACIONAL DE ESTERILIZACIONES RESPONSABILIDAD COMPARTIDA AÑO 2023 COMUNA DE RENCA</v>
      </c>
      <c r="C27" s="26" t="str">
        <f t="shared" ca="1" si="0"/>
        <v xml:space="preserve"> RENCA</v>
      </c>
      <c r="D27" s="10" t="str">
        <f ca="1">IFERROR(__xludf.DUMMYFUNCTION("""COMPUTED_VALUE"""),"Resolución de Transferencia")</f>
        <v>Resolución de Transferencia</v>
      </c>
      <c r="E27" s="26" t="str">
        <f ca="1">IFERROR(__xludf.DUMMYFUNCTION("""COMPUTED_VALUE"""),"MUNICIPALIDAD DE RENCA")</f>
        <v>MUNICIPALIDAD DE RENCA</v>
      </c>
      <c r="F27" s="11">
        <f ca="1">IFERROR(__xludf.DUMMYFUNCTION("""COMPUTED_VALUE"""),54800000)</f>
        <v>54800000</v>
      </c>
      <c r="G27" s="10" t="str">
        <f ca="1">IFERROR(__xludf.DUMMYFUNCTION("""COMPUTED_VALUE"""),"Resolución")</f>
        <v>Resolución</v>
      </c>
      <c r="H27" s="10" t="str">
        <f ca="1">IFERROR(__xludf.DUMMYFUNCTION("""COMPUTED_VALUE"""),"Plan Esterilización Responsabilidad Compartida")</f>
        <v>Plan Esterilización Responsabilidad Compartida</v>
      </c>
      <c r="I27" s="10" t="str">
        <f ca="1">IFERROR(__xludf.DUMMYFUNCTION("""COMPUTED_VALUE"""),"Cumplir con normativa y reglamentos internos del programa en base a los objetivos.")</f>
        <v>Cumplir con normativa y reglamentos internos del programa en base a los objetivos.</v>
      </c>
      <c r="J27" s="11">
        <f ca="1">IFERROR(__xludf.DUMMYFUNCTION("""COMPUTED_VALUE"""),54800000)</f>
        <v>54800000</v>
      </c>
      <c r="K27" s="27">
        <f ca="1">IFERROR(__xludf.DUMMYFUNCTION("""COMPUTED_VALUE"""),1)</f>
        <v>1</v>
      </c>
      <c r="L27" s="28" t="str">
        <f ca="1">IFERROR(__xludf.DUMMYFUNCTION("""COMPUTED_VALUE"""),"2537/2024")</f>
        <v>2537/2024</v>
      </c>
      <c r="M27" s="10" t="str">
        <f ca="1">IFERROR(__xludf.DUMMYFUNCTION("""COMPUTED_VALUE"""),"PTRAC")</f>
        <v>PTRAC</v>
      </c>
      <c r="N27" s="1"/>
      <c r="O27" s="1"/>
      <c r="P27" s="1"/>
      <c r="Q27" s="1"/>
      <c r="R27" s="1"/>
      <c r="S27" s="1"/>
      <c r="T27" s="1"/>
      <c r="U27" s="1"/>
      <c r="V27" s="1"/>
      <c r="W27" s="1"/>
      <c r="X27" s="1"/>
      <c r="Y27" s="1"/>
      <c r="Z27" s="1"/>
    </row>
    <row r="28" spans="1:26" ht="12.75" customHeight="1">
      <c r="A28" s="1"/>
      <c r="B28" s="10" t="str">
        <f ca="1">IFERROR(__xludf.DUMMYFUNCTION("""COMPUTED_VALUE"""),"PLAN NACIONAL DE ESTERILIZACIONES RESPONSABILIDAD COMPARTIDA 2023, COMUNA DE SIERRA GORDA")</f>
        <v>PLAN NACIONAL DE ESTERILIZACIONES RESPONSABILIDAD COMPARTIDA 2023, COMUNA DE SIERRA GORDA</v>
      </c>
      <c r="C28" s="26" t="str">
        <f t="shared" ca="1" si="0"/>
        <v xml:space="preserve"> SIERRA GORDA</v>
      </c>
      <c r="D28" s="10" t="str">
        <f ca="1">IFERROR(__xludf.DUMMYFUNCTION("""COMPUTED_VALUE"""),"Resolución de Transferencia")</f>
        <v>Resolución de Transferencia</v>
      </c>
      <c r="E28" s="26" t="str">
        <f ca="1">IFERROR(__xludf.DUMMYFUNCTION("""COMPUTED_VALUE"""),"MUNICIPALIDAD DE SIERRA GORDA")</f>
        <v>MUNICIPALIDAD DE SIERRA GORDA</v>
      </c>
      <c r="F28" s="11">
        <f ca="1">IFERROR(__xludf.DUMMYFUNCTION("""COMPUTED_VALUE"""),4480000)</f>
        <v>4480000</v>
      </c>
      <c r="G28" s="10" t="str">
        <f ca="1">IFERROR(__xludf.DUMMYFUNCTION("""COMPUTED_VALUE"""),"Resolución")</f>
        <v>Resolución</v>
      </c>
      <c r="H28" s="10" t="str">
        <f ca="1">IFERROR(__xludf.DUMMYFUNCTION("""COMPUTED_VALUE"""),"Plan Esterilización Responsabilidad Compartida")</f>
        <v>Plan Esterilización Responsabilidad Compartida</v>
      </c>
      <c r="I28" s="10" t="str">
        <f ca="1">IFERROR(__xludf.DUMMYFUNCTION("""COMPUTED_VALUE"""),"Cumplir con normativa y reglamentos internos del programa en base a los objetivos.")</f>
        <v>Cumplir con normativa y reglamentos internos del programa en base a los objetivos.</v>
      </c>
      <c r="J28" s="11">
        <f ca="1">IFERROR(__xludf.DUMMYFUNCTION("""COMPUTED_VALUE"""),4480000)</f>
        <v>4480000</v>
      </c>
      <c r="K28" s="27">
        <f ca="1">IFERROR(__xludf.DUMMYFUNCTION("""COMPUTED_VALUE"""),1)</f>
        <v>1</v>
      </c>
      <c r="L28" s="28" t="str">
        <f ca="1">IFERROR(__xludf.DUMMYFUNCTION("""COMPUTED_VALUE"""),"4802/2024")</f>
        <v>4802/2024</v>
      </c>
      <c r="M28" s="10" t="str">
        <f ca="1">IFERROR(__xludf.DUMMYFUNCTION("""COMPUTED_VALUE"""),"PTRAC")</f>
        <v>PTRAC</v>
      </c>
      <c r="N28" s="1"/>
      <c r="O28" s="1"/>
      <c r="P28" s="1"/>
      <c r="Q28" s="1"/>
      <c r="R28" s="1"/>
      <c r="S28" s="1"/>
      <c r="T28" s="1"/>
      <c r="U28" s="1"/>
      <c r="V28" s="1"/>
      <c r="W28" s="1"/>
      <c r="X28" s="1"/>
      <c r="Y28" s="1"/>
      <c r="Z28" s="1"/>
    </row>
    <row r="29" spans="1:26" ht="12.75" customHeight="1">
      <c r="A29" s="1"/>
      <c r="B29" s="10" t="str">
        <f ca="1">IFERROR(__xludf.DUMMYFUNCTION("""COMPUTED_VALUE"""),"PLAN NACIONAL DE ESTERILIZACIONES RESPONSABILIDAD COMPARTIDA 2023 COMUNA DE MARIA ELENA")</f>
        <v>PLAN NACIONAL DE ESTERILIZACIONES RESPONSABILIDAD COMPARTIDA 2023 COMUNA DE MARIA ELENA</v>
      </c>
      <c r="C29" s="26" t="str">
        <f t="shared" ca="1" si="0"/>
        <v xml:space="preserve"> MARÍA ELENA</v>
      </c>
      <c r="D29" s="10" t="str">
        <f ca="1">IFERROR(__xludf.DUMMYFUNCTION("""COMPUTED_VALUE"""),"Resolución de Transferencia")</f>
        <v>Resolución de Transferencia</v>
      </c>
      <c r="E29" s="26" t="str">
        <f ca="1">IFERROR(__xludf.DUMMYFUNCTION("""COMPUTED_VALUE"""),"MUNICIPALIDAD DE MARÍA ELENA")</f>
        <v>MUNICIPALIDAD DE MARÍA ELENA</v>
      </c>
      <c r="F29" s="11">
        <f ca="1">IFERROR(__xludf.DUMMYFUNCTION("""COMPUTED_VALUE"""),8700000)</f>
        <v>8700000</v>
      </c>
      <c r="G29" s="10" t="str">
        <f ca="1">IFERROR(__xludf.DUMMYFUNCTION("""COMPUTED_VALUE"""),"Resolución")</f>
        <v>Resolución</v>
      </c>
      <c r="H29" s="10" t="str">
        <f ca="1">IFERROR(__xludf.DUMMYFUNCTION("""COMPUTED_VALUE"""),"Plan Esterilización Responsabilidad Compartida")</f>
        <v>Plan Esterilización Responsabilidad Compartida</v>
      </c>
      <c r="I29" s="10" t="str">
        <f ca="1">IFERROR(__xludf.DUMMYFUNCTION("""COMPUTED_VALUE"""),"Cumplir con normativa y reglamentos internos del programa en base a los objetivos.")</f>
        <v>Cumplir con normativa y reglamentos internos del programa en base a los objetivos.</v>
      </c>
      <c r="J29" s="11">
        <f ca="1">IFERROR(__xludf.DUMMYFUNCTION("""COMPUTED_VALUE"""),8700000)</f>
        <v>8700000</v>
      </c>
      <c r="K29" s="27">
        <f ca="1">IFERROR(__xludf.DUMMYFUNCTION("""COMPUTED_VALUE"""),1)</f>
        <v>1</v>
      </c>
      <c r="L29" s="28" t="str">
        <f ca="1">IFERROR(__xludf.DUMMYFUNCTION("""COMPUTED_VALUE"""),"4803/2024")</f>
        <v>4803/2024</v>
      </c>
      <c r="M29" s="10" t="str">
        <f ca="1">IFERROR(__xludf.DUMMYFUNCTION("""COMPUTED_VALUE"""),"PTRAC")</f>
        <v>PTRAC</v>
      </c>
      <c r="N29" s="1"/>
      <c r="O29" s="1"/>
      <c r="P29" s="1"/>
      <c r="Q29" s="1"/>
      <c r="R29" s="1"/>
      <c r="S29" s="1"/>
      <c r="T29" s="1"/>
      <c r="U29" s="1"/>
      <c r="V29" s="1"/>
      <c r="W29" s="1"/>
      <c r="X29" s="1"/>
      <c r="Y29" s="1"/>
      <c r="Z29" s="1"/>
    </row>
    <row r="30" spans="1:26" ht="12.75" customHeight="1">
      <c r="A30" s="1"/>
      <c r="B30" s="10" t="str">
        <f ca="1">IFERROR(__xludf.DUMMYFUNCTION("""COMPUTED_VALUE"""),"PLAN NACIONAL DE ESTERILIZACIONES RESPONSABILIDAD COMPARTIDA 2023 COMUNA DE HUASCO")</f>
        <v>PLAN NACIONAL DE ESTERILIZACIONES RESPONSABILIDAD COMPARTIDA 2023 COMUNA DE HUASCO</v>
      </c>
      <c r="C30" s="26" t="str">
        <f t="shared" ca="1" si="0"/>
        <v xml:space="preserve"> HUASCO</v>
      </c>
      <c r="D30" s="10" t="str">
        <f ca="1">IFERROR(__xludf.DUMMYFUNCTION("""COMPUTED_VALUE"""),"Resolución de Transferencia")</f>
        <v>Resolución de Transferencia</v>
      </c>
      <c r="E30" s="26" t="str">
        <f ca="1">IFERROR(__xludf.DUMMYFUNCTION("""COMPUTED_VALUE"""),"MUNICIPALIDAD DE HUASCO")</f>
        <v>MUNICIPALIDAD DE HUASCO</v>
      </c>
      <c r="F30" s="11">
        <f ca="1">IFERROR(__xludf.DUMMYFUNCTION("""COMPUTED_VALUE"""),23300000)</f>
        <v>23300000</v>
      </c>
      <c r="G30" s="10" t="str">
        <f ca="1">IFERROR(__xludf.DUMMYFUNCTION("""COMPUTED_VALUE"""),"Resolución")</f>
        <v>Resolución</v>
      </c>
      <c r="H30" s="10" t="str">
        <f ca="1">IFERROR(__xludf.DUMMYFUNCTION("""COMPUTED_VALUE"""),"Plan Esterilización Responsabilidad Compartida")</f>
        <v>Plan Esterilización Responsabilidad Compartida</v>
      </c>
      <c r="I30" s="10" t="str">
        <f ca="1">IFERROR(__xludf.DUMMYFUNCTION("""COMPUTED_VALUE"""),"Cumplir con normativa y reglamentos internos del programa en base a los objetivos.")</f>
        <v>Cumplir con normativa y reglamentos internos del programa en base a los objetivos.</v>
      </c>
      <c r="J30" s="11">
        <f ca="1">IFERROR(__xludf.DUMMYFUNCTION("""COMPUTED_VALUE"""),23300000)</f>
        <v>23300000</v>
      </c>
      <c r="K30" s="27">
        <f ca="1">IFERROR(__xludf.DUMMYFUNCTION("""COMPUTED_VALUE"""),1)</f>
        <v>1</v>
      </c>
      <c r="L30" s="28" t="str">
        <f ca="1">IFERROR(__xludf.DUMMYFUNCTION("""COMPUTED_VALUE"""),"4804/2024")</f>
        <v>4804/2024</v>
      </c>
      <c r="M30" s="10" t="str">
        <f ca="1">IFERROR(__xludf.DUMMYFUNCTION("""COMPUTED_VALUE"""),"PTRAC")</f>
        <v>PTRAC</v>
      </c>
      <c r="N30" s="1"/>
      <c r="O30" s="1"/>
      <c r="P30" s="1"/>
      <c r="Q30" s="1"/>
      <c r="R30" s="1"/>
      <c r="S30" s="1"/>
      <c r="T30" s="1"/>
      <c r="U30" s="1"/>
      <c r="V30" s="1"/>
      <c r="W30" s="1"/>
      <c r="X30" s="1"/>
      <c r="Y30" s="1"/>
      <c r="Z30" s="1"/>
    </row>
    <row r="31" spans="1:26" ht="12.75" customHeight="1">
      <c r="A31" s="1"/>
      <c r="B31" s="10" t="str">
        <f ca="1">IFERROR(__xludf.DUMMYFUNCTION("""COMPUTED_VALUE"""),"PLAN NACIONAL DE ESTERILIZACIONES RESPONSABILIDAD COMPARTIDA AÑO 2023, COMUNA DE CALDERA")</f>
        <v>PLAN NACIONAL DE ESTERILIZACIONES RESPONSABILIDAD COMPARTIDA AÑO 2023, COMUNA DE CALDERA</v>
      </c>
      <c r="C31" s="26" t="str">
        <f t="shared" ca="1" si="0"/>
        <v xml:space="preserve"> CALDERA</v>
      </c>
      <c r="D31" s="10" t="str">
        <f ca="1">IFERROR(__xludf.DUMMYFUNCTION("""COMPUTED_VALUE"""),"Resolución de Transferencia")</f>
        <v>Resolución de Transferencia</v>
      </c>
      <c r="E31" s="26" t="str">
        <f ca="1">IFERROR(__xludf.DUMMYFUNCTION("""COMPUTED_VALUE"""),"MUNICIPALIDAD DE CALDERA")</f>
        <v>MUNICIPALIDAD DE CALDERA</v>
      </c>
      <c r="F31" s="11">
        <f ca="1">IFERROR(__xludf.DUMMYFUNCTION("""COMPUTED_VALUE"""),29200000)</f>
        <v>29200000</v>
      </c>
      <c r="G31" s="10" t="str">
        <f ca="1">IFERROR(__xludf.DUMMYFUNCTION("""COMPUTED_VALUE"""),"Resolución")</f>
        <v>Resolución</v>
      </c>
      <c r="H31" s="10" t="str">
        <f ca="1">IFERROR(__xludf.DUMMYFUNCTION("""COMPUTED_VALUE"""),"Plan Esterilización Responsabilidad Compartida")</f>
        <v>Plan Esterilización Responsabilidad Compartida</v>
      </c>
      <c r="I31" s="10" t="str">
        <f ca="1">IFERROR(__xludf.DUMMYFUNCTION("""COMPUTED_VALUE"""),"Cumplir con normativa y reglamentos internos del programa en base a los objetivos.")</f>
        <v>Cumplir con normativa y reglamentos internos del programa en base a los objetivos.</v>
      </c>
      <c r="J31" s="11">
        <f ca="1">IFERROR(__xludf.DUMMYFUNCTION("""COMPUTED_VALUE"""),29200000)</f>
        <v>29200000</v>
      </c>
      <c r="K31" s="27">
        <f ca="1">IFERROR(__xludf.DUMMYFUNCTION("""COMPUTED_VALUE"""),1)</f>
        <v>1</v>
      </c>
      <c r="L31" s="28" t="str">
        <f ca="1">IFERROR(__xludf.DUMMYFUNCTION("""COMPUTED_VALUE"""),"4805/2024")</f>
        <v>4805/2024</v>
      </c>
      <c r="M31" s="10" t="str">
        <f ca="1">IFERROR(__xludf.DUMMYFUNCTION("""COMPUTED_VALUE"""),"PTRAC")</f>
        <v>PTRAC</v>
      </c>
      <c r="N31" s="1"/>
      <c r="O31" s="1"/>
      <c r="P31" s="1"/>
      <c r="Q31" s="1"/>
      <c r="R31" s="1"/>
      <c r="S31" s="1"/>
      <c r="T31" s="1"/>
      <c r="U31" s="1"/>
      <c r="V31" s="1"/>
      <c r="W31" s="1"/>
      <c r="X31" s="1"/>
      <c r="Y31" s="1"/>
      <c r="Z31" s="1"/>
    </row>
    <row r="32" spans="1:26" ht="12.75" customHeight="1">
      <c r="A32" s="1"/>
      <c r="B32" s="10" t="str">
        <f ca="1">IFERROR(__xludf.DUMMYFUNCTION("""COMPUTED_VALUE"""),"PLAN NACIONAL DE ESTERILIZACIONES RESPONSABILIDAD COMPARTIDA 2023 COMUNA DE COPIAPÓ.")</f>
        <v>PLAN NACIONAL DE ESTERILIZACIONES RESPONSABILIDAD COMPARTIDA 2023 COMUNA DE COPIAPÓ.</v>
      </c>
      <c r="C32" s="26" t="str">
        <f t="shared" ca="1" si="0"/>
        <v xml:space="preserve"> COPIAPÓ</v>
      </c>
      <c r="D32" s="10" t="str">
        <f ca="1">IFERROR(__xludf.DUMMYFUNCTION("""COMPUTED_VALUE"""),"Resolución de Transferencia")</f>
        <v>Resolución de Transferencia</v>
      </c>
      <c r="E32" s="26" t="str">
        <f ca="1">IFERROR(__xludf.DUMMYFUNCTION("""COMPUTED_VALUE"""),"MUNICIPALIDAD DE COPIAPÓ")</f>
        <v>MUNICIPALIDAD DE COPIAPÓ</v>
      </c>
      <c r="F32" s="11">
        <f ca="1">IFERROR(__xludf.DUMMYFUNCTION("""COMPUTED_VALUE"""),85800000)</f>
        <v>85800000</v>
      </c>
      <c r="G32" s="10" t="str">
        <f ca="1">IFERROR(__xludf.DUMMYFUNCTION("""COMPUTED_VALUE"""),"Resolución")</f>
        <v>Resolución</v>
      </c>
      <c r="H32" s="10" t="str">
        <f ca="1">IFERROR(__xludf.DUMMYFUNCTION("""COMPUTED_VALUE"""),"Plan Esterilización Responsabilidad Compartida")</f>
        <v>Plan Esterilización Responsabilidad Compartida</v>
      </c>
      <c r="I32" s="10" t="str">
        <f ca="1">IFERROR(__xludf.DUMMYFUNCTION("""COMPUTED_VALUE"""),"Cumplir con normativa y reglamentos internos del programa en base a los objetivos.")</f>
        <v>Cumplir con normativa y reglamentos internos del programa en base a los objetivos.</v>
      </c>
      <c r="J32" s="11">
        <f ca="1">IFERROR(__xludf.DUMMYFUNCTION("""COMPUTED_VALUE"""),85800000)</f>
        <v>85800000</v>
      </c>
      <c r="K32" s="27">
        <f ca="1">IFERROR(__xludf.DUMMYFUNCTION("""COMPUTED_VALUE"""),1)</f>
        <v>1</v>
      </c>
      <c r="L32" s="28" t="str">
        <f ca="1">IFERROR(__xludf.DUMMYFUNCTION("""COMPUTED_VALUE"""),"4801/2024")</f>
        <v>4801/2024</v>
      </c>
      <c r="M32" s="10" t="str">
        <f ca="1">IFERROR(__xludf.DUMMYFUNCTION("""COMPUTED_VALUE"""),"PTRAC")</f>
        <v>PTRAC</v>
      </c>
      <c r="N32" s="1"/>
      <c r="O32" s="1"/>
      <c r="P32" s="1"/>
      <c r="Q32" s="1"/>
      <c r="R32" s="1"/>
      <c r="S32" s="1"/>
      <c r="T32" s="1"/>
      <c r="U32" s="1"/>
      <c r="V32" s="1"/>
      <c r="W32" s="1"/>
      <c r="X32" s="1"/>
      <c r="Y32" s="1"/>
      <c r="Z32" s="1"/>
    </row>
    <row r="33" spans="1:26" ht="12.75" customHeight="1">
      <c r="A33" s="1"/>
      <c r="B33" s="10" t="str">
        <f ca="1">IFERROR(__xludf.DUMMYFUNCTION("""COMPUTED_VALUE"""),"PLAN NACIONAL DE ESTERILIZACIONES RESPONSABILIDAD COMPARTIDA 2023 COMUNA DE JUAN FERNÁNDEZ")</f>
        <v>PLAN NACIONAL DE ESTERILIZACIONES RESPONSABILIDAD COMPARTIDA 2023 COMUNA DE JUAN FERNÁNDEZ</v>
      </c>
      <c r="C33" s="26" t="str">
        <f t="shared" ca="1" si="0"/>
        <v xml:space="preserve"> JUAN FERNÁNDEZ</v>
      </c>
      <c r="D33" s="10" t="str">
        <f ca="1">IFERROR(__xludf.DUMMYFUNCTION("""COMPUTED_VALUE"""),"Resolución de Transferencia")</f>
        <v>Resolución de Transferencia</v>
      </c>
      <c r="E33" s="26" t="str">
        <f ca="1">IFERROR(__xludf.DUMMYFUNCTION("""COMPUTED_VALUE"""),"MUNICIPALIDAD DE JUAN FERNÁNDEZ")</f>
        <v>MUNICIPALIDAD DE JUAN FERNÁNDEZ</v>
      </c>
      <c r="F33" s="11">
        <f ca="1">IFERROR(__xludf.DUMMYFUNCTION("""COMPUTED_VALUE"""),4500000)</f>
        <v>4500000</v>
      </c>
      <c r="G33" s="10" t="str">
        <f ca="1">IFERROR(__xludf.DUMMYFUNCTION("""COMPUTED_VALUE"""),"Resolución")</f>
        <v>Resolución</v>
      </c>
      <c r="H33" s="10" t="str">
        <f ca="1">IFERROR(__xludf.DUMMYFUNCTION("""COMPUTED_VALUE"""),"Plan Esterilización Responsabilidad Compartida")</f>
        <v>Plan Esterilización Responsabilidad Compartida</v>
      </c>
      <c r="I33" s="10" t="str">
        <f ca="1">IFERROR(__xludf.DUMMYFUNCTION("""COMPUTED_VALUE"""),"Cumplir con normativa y reglamentos internos del programa en base a los objetivos.")</f>
        <v>Cumplir con normativa y reglamentos internos del programa en base a los objetivos.</v>
      </c>
      <c r="J33" s="11">
        <f ca="1">IFERROR(__xludf.DUMMYFUNCTION("""COMPUTED_VALUE"""),4500000)</f>
        <v>4500000</v>
      </c>
      <c r="K33" s="27">
        <f ca="1">IFERROR(__xludf.DUMMYFUNCTION("""COMPUTED_VALUE"""),1)</f>
        <v>1</v>
      </c>
      <c r="L33" s="28" t="str">
        <f ca="1">IFERROR(__xludf.DUMMYFUNCTION("""COMPUTED_VALUE"""),"4782/2024")</f>
        <v>4782/2024</v>
      </c>
      <c r="M33" s="10" t="str">
        <f ca="1">IFERROR(__xludf.DUMMYFUNCTION("""COMPUTED_VALUE"""),"PTRAC")</f>
        <v>PTRAC</v>
      </c>
      <c r="N33" s="1"/>
      <c r="O33" s="1"/>
      <c r="P33" s="1"/>
      <c r="Q33" s="1"/>
      <c r="R33" s="1"/>
      <c r="S33" s="1"/>
      <c r="T33" s="1"/>
      <c r="U33" s="1"/>
      <c r="V33" s="1"/>
      <c r="W33" s="1"/>
      <c r="X33" s="1"/>
      <c r="Y33" s="1"/>
      <c r="Z33" s="1"/>
    </row>
    <row r="34" spans="1:26" ht="12.75" customHeight="1">
      <c r="A34" s="1"/>
      <c r="B34" s="10" t="str">
        <f ca="1">IFERROR(__xludf.DUMMYFUNCTION("""COMPUTED_VALUE"""),"PLAN NACIONAL DE ESTERILIZACIÓN DE RESPONSABILIDAD COMPARTIDA 2023 COMUNA DE YUMBEL")</f>
        <v>PLAN NACIONAL DE ESTERILIZACIÓN DE RESPONSABILIDAD COMPARTIDA 2023 COMUNA DE YUMBEL</v>
      </c>
      <c r="C34" s="26" t="str">
        <f t="shared" ca="1" si="0"/>
        <v xml:space="preserve"> YUMBEL</v>
      </c>
      <c r="D34" s="10" t="str">
        <f ca="1">IFERROR(__xludf.DUMMYFUNCTION("""COMPUTED_VALUE"""),"Resolución de Transferencia")</f>
        <v>Resolución de Transferencia</v>
      </c>
      <c r="E34" s="26" t="str">
        <f ca="1">IFERROR(__xludf.DUMMYFUNCTION("""COMPUTED_VALUE"""),"MUNICIPALIDAD DE YUMBEL")</f>
        <v>MUNICIPALIDAD DE YUMBEL</v>
      </c>
      <c r="F34" s="11">
        <f ca="1">IFERROR(__xludf.DUMMYFUNCTION("""COMPUTED_VALUE"""),19348000)</f>
        <v>19348000</v>
      </c>
      <c r="G34" s="10" t="str">
        <f ca="1">IFERROR(__xludf.DUMMYFUNCTION("""COMPUTED_VALUE"""),"Resolución")</f>
        <v>Resolución</v>
      </c>
      <c r="H34" s="10" t="str">
        <f ca="1">IFERROR(__xludf.DUMMYFUNCTION("""COMPUTED_VALUE"""),"Plan Esterilización Responsabilidad Compartida")</f>
        <v>Plan Esterilización Responsabilidad Compartida</v>
      </c>
      <c r="I34" s="10" t="str">
        <f ca="1">IFERROR(__xludf.DUMMYFUNCTION("""COMPUTED_VALUE"""),"Cumplir con normativa y reglamentos internos del programa en base a los objetivos.")</f>
        <v>Cumplir con normativa y reglamentos internos del programa en base a los objetivos.</v>
      </c>
      <c r="J34" s="11">
        <f ca="1">IFERROR(__xludf.DUMMYFUNCTION("""COMPUTED_VALUE"""),19348000)</f>
        <v>19348000</v>
      </c>
      <c r="K34" s="27">
        <f ca="1">IFERROR(__xludf.DUMMYFUNCTION("""COMPUTED_VALUE"""),1)</f>
        <v>1</v>
      </c>
      <c r="L34" s="28" t="str">
        <f ca="1">IFERROR(__xludf.DUMMYFUNCTION("""COMPUTED_VALUE"""),"5303/2024")</f>
        <v>5303/2024</v>
      </c>
      <c r="M34" s="10" t="str">
        <f ca="1">IFERROR(__xludf.DUMMYFUNCTION("""COMPUTED_VALUE"""),"PTRAC")</f>
        <v>PTRAC</v>
      </c>
      <c r="N34" s="1"/>
      <c r="O34" s="1"/>
      <c r="P34" s="1"/>
      <c r="Q34" s="1"/>
      <c r="R34" s="1"/>
      <c r="S34" s="1"/>
      <c r="T34" s="1"/>
      <c r="U34" s="1"/>
      <c r="V34" s="1"/>
      <c r="W34" s="1"/>
      <c r="X34" s="1"/>
      <c r="Y34" s="1"/>
      <c r="Z34" s="1"/>
    </row>
    <row r="35" spans="1:26" ht="12.75" customHeight="1">
      <c r="A35" s="1"/>
      <c r="B35" s="10" t="str">
        <f ca="1">IFERROR(__xludf.DUMMYFUNCTION("""COMPUTED_VALUE"""),"PLAN NACIONAL DE ESTERILIZACIONES RESPONSABILIDAD COMPARTIDA 2023 COMUNA DE ARAUCO")</f>
        <v>PLAN NACIONAL DE ESTERILIZACIONES RESPONSABILIDAD COMPARTIDA 2023 COMUNA DE ARAUCO</v>
      </c>
      <c r="C35" s="26" t="str">
        <f t="shared" ca="1" si="0"/>
        <v xml:space="preserve"> ARAUCO</v>
      </c>
      <c r="D35" s="10" t="str">
        <f ca="1">IFERROR(__xludf.DUMMYFUNCTION("""COMPUTED_VALUE"""),"Resolución de Transferencia")</f>
        <v>Resolución de Transferencia</v>
      </c>
      <c r="E35" s="26" t="str">
        <f ca="1">IFERROR(__xludf.DUMMYFUNCTION("""COMPUTED_VALUE"""),"MUNICIPALIDAD DE ARAUCO")</f>
        <v>MUNICIPALIDAD DE ARAUCO</v>
      </c>
      <c r="F35" s="11">
        <f ca="1">IFERROR(__xludf.DUMMYFUNCTION("""COMPUTED_VALUE"""),16800000)</f>
        <v>16800000</v>
      </c>
      <c r="G35" s="10" t="str">
        <f ca="1">IFERROR(__xludf.DUMMYFUNCTION("""COMPUTED_VALUE"""),"Resolución")</f>
        <v>Resolución</v>
      </c>
      <c r="H35" s="10" t="str">
        <f ca="1">IFERROR(__xludf.DUMMYFUNCTION("""COMPUTED_VALUE"""),"Plan Esterilización Responsabilidad Compartida")</f>
        <v>Plan Esterilización Responsabilidad Compartida</v>
      </c>
      <c r="I35" s="10" t="str">
        <f ca="1">IFERROR(__xludf.DUMMYFUNCTION("""COMPUTED_VALUE"""),"Cumplir con normativa y reglamentos internos del programa en base a los objetivos.")</f>
        <v>Cumplir con normativa y reglamentos internos del programa en base a los objetivos.</v>
      </c>
      <c r="J35" s="11">
        <f ca="1">IFERROR(__xludf.DUMMYFUNCTION("""COMPUTED_VALUE"""),16800000)</f>
        <v>16800000</v>
      </c>
      <c r="K35" s="27">
        <f ca="1">IFERROR(__xludf.DUMMYFUNCTION("""COMPUTED_VALUE"""),1)</f>
        <v>1</v>
      </c>
      <c r="L35" s="28" t="str">
        <f ca="1">IFERROR(__xludf.DUMMYFUNCTION("""COMPUTED_VALUE"""),"4788/2024")</f>
        <v>4788/2024</v>
      </c>
      <c r="M35" s="10" t="str">
        <f ca="1">IFERROR(__xludf.DUMMYFUNCTION("""COMPUTED_VALUE"""),"PTRAC")</f>
        <v>PTRAC</v>
      </c>
      <c r="N35" s="1"/>
      <c r="O35" s="1"/>
      <c r="P35" s="1"/>
      <c r="Q35" s="1"/>
      <c r="R35" s="1"/>
      <c r="S35" s="1"/>
      <c r="T35" s="1"/>
      <c r="U35" s="1"/>
      <c r="V35" s="1"/>
      <c r="W35" s="1"/>
      <c r="X35" s="1"/>
      <c r="Y35" s="1"/>
      <c r="Z35" s="1"/>
    </row>
    <row r="36" spans="1:26" ht="12.75" customHeight="1">
      <c r="A36" s="1"/>
      <c r="B36" s="10" t="str">
        <f ca="1">IFERROR(__xludf.DUMMYFUNCTION("""COMPUTED_VALUE"""),"PLAN NACIONAL DE ESTERILIZACIONES RESPONSABILIDAD COMPARTIDA 2023 COMUNA DE CAÑETE")</f>
        <v>PLAN NACIONAL DE ESTERILIZACIONES RESPONSABILIDAD COMPARTIDA 2023 COMUNA DE CAÑETE</v>
      </c>
      <c r="C36" s="26" t="str">
        <f t="shared" ca="1" si="0"/>
        <v xml:space="preserve"> CAÑETE</v>
      </c>
      <c r="D36" s="10" t="str">
        <f ca="1">IFERROR(__xludf.DUMMYFUNCTION("""COMPUTED_VALUE"""),"Resolución de Transferencia")</f>
        <v>Resolución de Transferencia</v>
      </c>
      <c r="E36" s="26" t="str">
        <f ca="1">IFERROR(__xludf.DUMMYFUNCTION("""COMPUTED_VALUE"""),"MUNICIPALIDAD DE CAÑETE")</f>
        <v>MUNICIPALIDAD DE CAÑETE</v>
      </c>
      <c r="F36" s="11">
        <f ca="1">IFERROR(__xludf.DUMMYFUNCTION("""COMPUTED_VALUE"""),43800000)</f>
        <v>43800000</v>
      </c>
      <c r="G36" s="10" t="str">
        <f ca="1">IFERROR(__xludf.DUMMYFUNCTION("""COMPUTED_VALUE"""),"Resolución")</f>
        <v>Resolución</v>
      </c>
      <c r="H36" s="10" t="str">
        <f ca="1">IFERROR(__xludf.DUMMYFUNCTION("""COMPUTED_VALUE"""),"Plan Esterilización Responsabilidad Compartida")</f>
        <v>Plan Esterilización Responsabilidad Compartida</v>
      </c>
      <c r="I36" s="10" t="str">
        <f ca="1">IFERROR(__xludf.DUMMYFUNCTION("""COMPUTED_VALUE"""),"Cumplir con normativa y reglamentos internos del programa en base a los objetivos.")</f>
        <v>Cumplir con normativa y reglamentos internos del programa en base a los objetivos.</v>
      </c>
      <c r="J36" s="11">
        <f ca="1">IFERROR(__xludf.DUMMYFUNCTION("""COMPUTED_VALUE"""),43800000)</f>
        <v>43800000</v>
      </c>
      <c r="K36" s="27">
        <f ca="1">IFERROR(__xludf.DUMMYFUNCTION("""COMPUTED_VALUE"""),1)</f>
        <v>1</v>
      </c>
      <c r="L36" s="28" t="str">
        <f ca="1">IFERROR(__xludf.DUMMYFUNCTION("""COMPUTED_VALUE"""),"4783/2024")</f>
        <v>4783/2024</v>
      </c>
      <c r="M36" s="10" t="str">
        <f ca="1">IFERROR(__xludf.DUMMYFUNCTION("""COMPUTED_VALUE"""),"PTRAC")</f>
        <v>PTRAC</v>
      </c>
      <c r="N36" s="1"/>
      <c r="O36" s="1"/>
      <c r="P36" s="1"/>
      <c r="Q36" s="1"/>
      <c r="R36" s="1"/>
      <c r="S36" s="1"/>
      <c r="T36" s="1"/>
      <c r="U36" s="1"/>
      <c r="V36" s="1"/>
      <c r="W36" s="1"/>
      <c r="X36" s="1"/>
      <c r="Y36" s="1"/>
      <c r="Z36" s="1"/>
    </row>
    <row r="37" spans="1:26" ht="12.75" customHeight="1">
      <c r="A37" s="1"/>
      <c r="B37" s="10" t="str">
        <f ca="1">IFERROR(__xludf.DUMMYFUNCTION("""COMPUTED_VALUE"""),"PLAN NACIONAL DE ESTERILIZACIONES RESPONSABILIDAD COMPARTIDA AÑO 2023, COMUNA DE LOS ALAMOS.")</f>
        <v>PLAN NACIONAL DE ESTERILIZACIONES RESPONSABILIDAD COMPARTIDA AÑO 2023, COMUNA DE LOS ALAMOS.</v>
      </c>
      <c r="C37" s="26" t="str">
        <f t="shared" ca="1" si="0"/>
        <v xml:space="preserve"> LOS ÁLAMOS</v>
      </c>
      <c r="D37" s="10" t="str">
        <f ca="1">IFERROR(__xludf.DUMMYFUNCTION("""COMPUTED_VALUE"""),"Resolución de Transferencia")</f>
        <v>Resolución de Transferencia</v>
      </c>
      <c r="E37" s="26" t="str">
        <f ca="1">IFERROR(__xludf.DUMMYFUNCTION("""COMPUTED_VALUE"""),"MUNICIPALIDAD DE LOS ÁLAMOS")</f>
        <v>MUNICIPALIDAD DE LOS ÁLAMOS</v>
      </c>
      <c r="F37" s="11">
        <f ca="1">IFERROR(__xludf.DUMMYFUNCTION("""COMPUTED_VALUE"""),23000000)</f>
        <v>23000000</v>
      </c>
      <c r="G37" s="10" t="str">
        <f ca="1">IFERROR(__xludf.DUMMYFUNCTION("""COMPUTED_VALUE"""),"Resolución")</f>
        <v>Resolución</v>
      </c>
      <c r="H37" s="10" t="str">
        <f ca="1">IFERROR(__xludf.DUMMYFUNCTION("""COMPUTED_VALUE"""),"Plan Esterilización Responsabilidad Compartida")</f>
        <v>Plan Esterilización Responsabilidad Compartida</v>
      </c>
      <c r="I37" s="10" t="str">
        <f ca="1">IFERROR(__xludf.DUMMYFUNCTION("""COMPUTED_VALUE"""),"Cumplir con normativa y reglamentos internos del programa en base a los objetivos.")</f>
        <v>Cumplir con normativa y reglamentos internos del programa en base a los objetivos.</v>
      </c>
      <c r="J37" s="11">
        <f ca="1">IFERROR(__xludf.DUMMYFUNCTION("""COMPUTED_VALUE"""),23000000)</f>
        <v>23000000</v>
      </c>
      <c r="K37" s="27">
        <f ca="1">IFERROR(__xludf.DUMMYFUNCTION("""COMPUTED_VALUE"""),1)</f>
        <v>1</v>
      </c>
      <c r="L37" s="28" t="str">
        <f ca="1">IFERROR(__xludf.DUMMYFUNCTION("""COMPUTED_VALUE"""),"4784/2024")</f>
        <v>4784/2024</v>
      </c>
      <c r="M37" s="10" t="str">
        <f ca="1">IFERROR(__xludf.DUMMYFUNCTION("""COMPUTED_VALUE"""),"PTRAC")</f>
        <v>PTRAC</v>
      </c>
      <c r="N37" s="1"/>
      <c r="O37" s="1"/>
      <c r="P37" s="1"/>
      <c r="Q37" s="1"/>
      <c r="R37" s="1"/>
      <c r="S37" s="1"/>
      <c r="T37" s="1"/>
      <c r="U37" s="1"/>
      <c r="V37" s="1"/>
      <c r="W37" s="1"/>
      <c r="X37" s="1"/>
      <c r="Y37" s="1"/>
      <c r="Z37" s="1"/>
    </row>
    <row r="38" spans="1:26" ht="12.75" customHeight="1">
      <c r="A38" s="1"/>
      <c r="B38" s="10" t="str">
        <f ca="1">IFERROR(__xludf.DUMMYFUNCTION("""COMPUTED_VALUE"""),"PLAN NACIONAL DE ESTERILIZACIONES RESPONSABILIDAD COMPARTIDA 2023 COMUNA DE VILLARRICA")</f>
        <v>PLAN NACIONAL DE ESTERILIZACIONES RESPONSABILIDAD COMPARTIDA 2023 COMUNA DE VILLARRICA</v>
      </c>
      <c r="C38" s="26" t="str">
        <f t="shared" ca="1" si="0"/>
        <v xml:space="preserve"> VILLARRICA</v>
      </c>
      <c r="D38" s="10" t="str">
        <f ca="1">IFERROR(__xludf.DUMMYFUNCTION("""COMPUTED_VALUE"""),"Resolución de Transferencia")</f>
        <v>Resolución de Transferencia</v>
      </c>
      <c r="E38" s="26" t="str">
        <f ca="1">IFERROR(__xludf.DUMMYFUNCTION("""COMPUTED_VALUE"""),"MUNICIPALIDAD DE VILLARRICA")</f>
        <v>MUNICIPALIDAD DE VILLARRICA</v>
      </c>
      <c r="F38" s="11">
        <f ca="1">IFERROR(__xludf.DUMMYFUNCTION("""COMPUTED_VALUE"""),29200000)</f>
        <v>29200000</v>
      </c>
      <c r="G38" s="10" t="str">
        <f ca="1">IFERROR(__xludf.DUMMYFUNCTION("""COMPUTED_VALUE"""),"Resolución")</f>
        <v>Resolución</v>
      </c>
      <c r="H38" s="10" t="str">
        <f ca="1">IFERROR(__xludf.DUMMYFUNCTION("""COMPUTED_VALUE"""),"Plan Esterilización Responsabilidad Compartida")</f>
        <v>Plan Esterilización Responsabilidad Compartida</v>
      </c>
      <c r="I38" s="10" t="str">
        <f ca="1">IFERROR(__xludf.DUMMYFUNCTION("""COMPUTED_VALUE"""),"Cumplir con normativa y reglamentos internos del programa en base a los objetivos.")</f>
        <v>Cumplir con normativa y reglamentos internos del programa en base a los objetivos.</v>
      </c>
      <c r="J38" s="11">
        <f ca="1">IFERROR(__xludf.DUMMYFUNCTION("""COMPUTED_VALUE"""),29200000)</f>
        <v>29200000</v>
      </c>
      <c r="K38" s="27">
        <f ca="1">IFERROR(__xludf.DUMMYFUNCTION("""COMPUTED_VALUE"""),1)</f>
        <v>1</v>
      </c>
      <c r="L38" s="28" t="str">
        <f ca="1">IFERROR(__xludf.DUMMYFUNCTION("""COMPUTED_VALUE"""),"4930/2024")</f>
        <v>4930/2024</v>
      </c>
      <c r="M38" s="10" t="str">
        <f ca="1">IFERROR(__xludf.DUMMYFUNCTION("""COMPUTED_VALUE"""),"PTRAC")</f>
        <v>PTRAC</v>
      </c>
      <c r="N38" s="1"/>
      <c r="O38" s="1"/>
      <c r="P38" s="1"/>
      <c r="Q38" s="1"/>
      <c r="R38" s="1"/>
      <c r="S38" s="1"/>
      <c r="T38" s="1"/>
      <c r="U38" s="1"/>
      <c r="V38" s="1"/>
      <c r="W38" s="1"/>
      <c r="X38" s="1"/>
      <c r="Y38" s="1"/>
      <c r="Z38" s="1"/>
    </row>
    <row r="39" spans="1:26" ht="12.75" customHeight="1">
      <c r="A39" s="1"/>
      <c r="B39" s="10" t="str">
        <f ca="1">IFERROR(__xludf.DUMMYFUNCTION("""COMPUTED_VALUE"""),"PLAN NACIONAL DE ESTERILIZACIONES RESPONSABILIDAD COMPARTIDA 2023 COMUNA DE LOS MUERMOS")</f>
        <v>PLAN NACIONAL DE ESTERILIZACIONES RESPONSABILIDAD COMPARTIDA 2023 COMUNA DE LOS MUERMOS</v>
      </c>
      <c r="C39" s="26" t="str">
        <f t="shared" ca="1" si="0"/>
        <v xml:space="preserve"> LOS MUERMOS</v>
      </c>
      <c r="D39" s="10" t="str">
        <f ca="1">IFERROR(__xludf.DUMMYFUNCTION("""COMPUTED_VALUE"""),"Resolución de Transferencia")</f>
        <v>Resolución de Transferencia</v>
      </c>
      <c r="E39" s="26" t="str">
        <f ca="1">IFERROR(__xludf.DUMMYFUNCTION("""COMPUTED_VALUE"""),"MUNICIPALIDAD DE LOS MUERMOS")</f>
        <v>MUNICIPALIDAD DE LOS MUERMOS</v>
      </c>
      <c r="F39" s="11">
        <f ca="1">IFERROR(__xludf.DUMMYFUNCTION("""COMPUTED_VALUE"""),23300000)</f>
        <v>23300000</v>
      </c>
      <c r="G39" s="10" t="str">
        <f ca="1">IFERROR(__xludf.DUMMYFUNCTION("""COMPUTED_VALUE"""),"Resolución")</f>
        <v>Resolución</v>
      </c>
      <c r="H39" s="10" t="str">
        <f ca="1">IFERROR(__xludf.DUMMYFUNCTION("""COMPUTED_VALUE"""),"Plan Esterilización Responsabilidad Compartida")</f>
        <v>Plan Esterilización Responsabilidad Compartida</v>
      </c>
      <c r="I39" s="10" t="str">
        <f ca="1">IFERROR(__xludf.DUMMYFUNCTION("""COMPUTED_VALUE"""),"Cumplir con normativa y reglamentos internos del programa en base a los objetivos.")</f>
        <v>Cumplir con normativa y reglamentos internos del programa en base a los objetivos.</v>
      </c>
      <c r="J39" s="11">
        <f ca="1">IFERROR(__xludf.DUMMYFUNCTION("""COMPUTED_VALUE"""),23300000)</f>
        <v>23300000</v>
      </c>
      <c r="K39" s="27">
        <f ca="1">IFERROR(__xludf.DUMMYFUNCTION("""COMPUTED_VALUE"""),1)</f>
        <v>1</v>
      </c>
      <c r="L39" s="28" t="str">
        <f ca="1">IFERROR(__xludf.DUMMYFUNCTION("""COMPUTED_VALUE"""),"4785/2024")</f>
        <v>4785/2024</v>
      </c>
      <c r="M39" s="10" t="str">
        <f ca="1">IFERROR(__xludf.DUMMYFUNCTION("""COMPUTED_VALUE"""),"PTRAC")</f>
        <v>PTRAC</v>
      </c>
      <c r="N39" s="1"/>
      <c r="O39" s="1"/>
      <c r="P39" s="1"/>
      <c r="Q39" s="1"/>
      <c r="R39" s="1"/>
      <c r="S39" s="1"/>
      <c r="T39" s="1"/>
      <c r="U39" s="1"/>
      <c r="V39" s="1"/>
      <c r="W39" s="1"/>
      <c r="X39" s="1"/>
      <c r="Y39" s="1"/>
      <c r="Z39" s="1"/>
    </row>
    <row r="40" spans="1:26" ht="12.75" customHeight="1">
      <c r="A40" s="1"/>
      <c r="B40" s="10" t="str">
        <f ca="1">IFERROR(__xludf.DUMMYFUNCTION("""COMPUTED_VALUE"""),"PLAN NACIONAL DE ESTERILIZACIONES RESPONSABILIDAD COMPARTIDA AÑO 2023 COMUNA DE FRUTILLAR")</f>
        <v>PLAN NACIONAL DE ESTERILIZACIONES RESPONSABILIDAD COMPARTIDA AÑO 2023 COMUNA DE FRUTILLAR</v>
      </c>
      <c r="C40" s="26" t="str">
        <f t="shared" ca="1" si="0"/>
        <v xml:space="preserve"> FRUTILLAR</v>
      </c>
      <c r="D40" s="10" t="str">
        <f ca="1">IFERROR(__xludf.DUMMYFUNCTION("""COMPUTED_VALUE"""),"Resolución de Transferencia")</f>
        <v>Resolución de Transferencia</v>
      </c>
      <c r="E40" s="26" t="str">
        <f ca="1">IFERROR(__xludf.DUMMYFUNCTION("""COMPUTED_VALUE"""),"MUNICIPALIDAD DE FRUTILLAR")</f>
        <v>MUNICIPALIDAD DE FRUTILLAR</v>
      </c>
      <c r="F40" s="11">
        <f ca="1">IFERROR(__xludf.DUMMYFUNCTION("""COMPUTED_VALUE"""),28600000)</f>
        <v>28600000</v>
      </c>
      <c r="G40" s="10" t="str">
        <f ca="1">IFERROR(__xludf.DUMMYFUNCTION("""COMPUTED_VALUE"""),"Resolución")</f>
        <v>Resolución</v>
      </c>
      <c r="H40" s="10" t="str">
        <f ca="1">IFERROR(__xludf.DUMMYFUNCTION("""COMPUTED_VALUE"""),"Plan Esterilización Responsabilidad Compartida")</f>
        <v>Plan Esterilización Responsabilidad Compartida</v>
      </c>
      <c r="I40" s="10" t="str">
        <f ca="1">IFERROR(__xludf.DUMMYFUNCTION("""COMPUTED_VALUE"""),"Cumplir con normativa y reglamentos internos del programa en base a los objetivos.")</f>
        <v>Cumplir con normativa y reglamentos internos del programa en base a los objetivos.</v>
      </c>
      <c r="J40" s="11">
        <f ca="1">IFERROR(__xludf.DUMMYFUNCTION("""COMPUTED_VALUE"""),28600000)</f>
        <v>28600000</v>
      </c>
      <c r="K40" s="27">
        <f ca="1">IFERROR(__xludf.DUMMYFUNCTION("""COMPUTED_VALUE"""),1)</f>
        <v>1</v>
      </c>
      <c r="L40" s="28" t="str">
        <f ca="1">IFERROR(__xludf.DUMMYFUNCTION("""COMPUTED_VALUE"""),"4767/2024")</f>
        <v>4767/2024</v>
      </c>
      <c r="M40" s="10" t="str">
        <f ca="1">IFERROR(__xludf.DUMMYFUNCTION("""COMPUTED_VALUE"""),"PTRAC")</f>
        <v>PTRAC</v>
      </c>
      <c r="N40" s="1"/>
      <c r="O40" s="1"/>
      <c r="P40" s="1"/>
      <c r="Q40" s="1"/>
      <c r="R40" s="1"/>
      <c r="S40" s="1"/>
      <c r="T40" s="1"/>
      <c r="U40" s="1"/>
      <c r="V40" s="1"/>
      <c r="W40" s="1"/>
      <c r="X40" s="1"/>
      <c r="Y40" s="1"/>
      <c r="Z40" s="1"/>
    </row>
    <row r="41" spans="1:26" ht="12.75" customHeight="1">
      <c r="A41" s="1"/>
      <c r="B41" s="10" t="str">
        <f ca="1">IFERROR(__xludf.DUMMYFUNCTION("""COMPUTED_VALUE"""),"PLAN NACIONAL DE ESTERILIZACIONES RESPONSABILIDAD COMPARTIDA 2023 COMUNA DE ÑUÑOA")</f>
        <v>PLAN NACIONAL DE ESTERILIZACIONES RESPONSABILIDAD COMPARTIDA 2023 COMUNA DE ÑUÑOA</v>
      </c>
      <c r="C41" s="26" t="str">
        <f t="shared" ca="1" si="0"/>
        <v xml:space="preserve"> ÑUÑOA</v>
      </c>
      <c r="D41" s="10" t="str">
        <f ca="1">IFERROR(__xludf.DUMMYFUNCTION("""COMPUTED_VALUE"""),"Resolución de Transferencia")</f>
        <v>Resolución de Transferencia</v>
      </c>
      <c r="E41" s="26" t="str">
        <f ca="1">IFERROR(__xludf.DUMMYFUNCTION("""COMPUTED_VALUE"""),"MUNICIPALIDAD DE ÑUÑOA")</f>
        <v>MUNICIPALIDAD DE ÑUÑOA</v>
      </c>
      <c r="F41" s="11">
        <f ca="1">IFERROR(__xludf.DUMMYFUNCTION("""COMPUTED_VALUE"""),67300000)</f>
        <v>67300000</v>
      </c>
      <c r="G41" s="10" t="str">
        <f ca="1">IFERROR(__xludf.DUMMYFUNCTION("""COMPUTED_VALUE"""),"Resolución")</f>
        <v>Resolución</v>
      </c>
      <c r="H41" s="10" t="str">
        <f ca="1">IFERROR(__xludf.DUMMYFUNCTION("""COMPUTED_VALUE"""),"Plan Esterilización Responsabilidad Compartida")</f>
        <v>Plan Esterilización Responsabilidad Compartida</v>
      </c>
      <c r="I41" s="10" t="str">
        <f ca="1">IFERROR(__xludf.DUMMYFUNCTION("""COMPUTED_VALUE"""),"Cumplir con normativa y reglamentos internos del programa en base a los objetivos.")</f>
        <v>Cumplir con normativa y reglamentos internos del programa en base a los objetivos.</v>
      </c>
      <c r="J41" s="11">
        <f ca="1">IFERROR(__xludf.DUMMYFUNCTION("""COMPUTED_VALUE"""),67300000)</f>
        <v>67300000</v>
      </c>
      <c r="K41" s="27">
        <f ca="1">IFERROR(__xludf.DUMMYFUNCTION("""COMPUTED_VALUE"""),1)</f>
        <v>1</v>
      </c>
      <c r="L41" s="28" t="str">
        <f ca="1">IFERROR(__xludf.DUMMYFUNCTION("""COMPUTED_VALUE"""),"4768/2024")</f>
        <v>4768/2024</v>
      </c>
      <c r="M41" s="10" t="str">
        <f ca="1">IFERROR(__xludf.DUMMYFUNCTION("""COMPUTED_VALUE"""),"PTRAC")</f>
        <v>PTRAC</v>
      </c>
      <c r="N41" s="1"/>
      <c r="O41" s="1"/>
      <c r="P41" s="1"/>
      <c r="Q41" s="1"/>
      <c r="R41" s="1"/>
      <c r="S41" s="1"/>
      <c r="T41" s="1"/>
      <c r="U41" s="1"/>
      <c r="V41" s="1"/>
      <c r="W41" s="1"/>
      <c r="X41" s="1"/>
      <c r="Y41" s="1"/>
      <c r="Z41" s="1"/>
    </row>
    <row r="42" spans="1:26" ht="12.75" customHeight="1">
      <c r="A42" s="1"/>
      <c r="B42" s="10" t="str">
        <f ca="1">IFERROR(__xludf.DUMMYFUNCTION("""COMPUTED_VALUE"""),"PLAN NACIONAL DE ESTERILIZACION RESPONSABILIDAD COMPARTIDA AÑO 2023, COMUNA DE LAMPA")</f>
        <v>PLAN NACIONAL DE ESTERILIZACION RESPONSABILIDAD COMPARTIDA AÑO 2023, COMUNA DE LAMPA</v>
      </c>
      <c r="C42" s="26" t="str">
        <f t="shared" ca="1" si="0"/>
        <v xml:space="preserve"> LAMPA</v>
      </c>
      <c r="D42" s="10" t="str">
        <f ca="1">IFERROR(__xludf.DUMMYFUNCTION("""COMPUTED_VALUE"""),"Resolución de Transferencia")</f>
        <v>Resolución de Transferencia</v>
      </c>
      <c r="E42" s="26" t="str">
        <f ca="1">IFERROR(__xludf.DUMMYFUNCTION("""COMPUTED_VALUE"""),"MUNICIPALIDAD DE LAMPA")</f>
        <v>MUNICIPALIDAD DE LAMPA</v>
      </c>
      <c r="F42" s="11">
        <f ca="1">IFERROR(__xludf.DUMMYFUNCTION("""COMPUTED_VALUE"""),56000000)</f>
        <v>56000000</v>
      </c>
      <c r="G42" s="10" t="str">
        <f ca="1">IFERROR(__xludf.DUMMYFUNCTION("""COMPUTED_VALUE"""),"Resolución")</f>
        <v>Resolución</v>
      </c>
      <c r="H42" s="10" t="str">
        <f ca="1">IFERROR(__xludf.DUMMYFUNCTION("""COMPUTED_VALUE"""),"Plan Esterilización Responsabilidad Compartida")</f>
        <v>Plan Esterilización Responsabilidad Compartida</v>
      </c>
      <c r="I42" s="10" t="str">
        <f ca="1">IFERROR(__xludf.DUMMYFUNCTION("""COMPUTED_VALUE"""),"Cumplir con normativa y reglamentos internos del programa en base a los objetivos.")</f>
        <v>Cumplir con normativa y reglamentos internos del programa en base a los objetivos.</v>
      </c>
      <c r="J42" s="11">
        <f ca="1">IFERROR(__xludf.DUMMYFUNCTION("""COMPUTED_VALUE"""),56000000)</f>
        <v>56000000</v>
      </c>
      <c r="K42" s="27">
        <f ca="1">IFERROR(__xludf.DUMMYFUNCTION("""COMPUTED_VALUE"""),1)</f>
        <v>1</v>
      </c>
      <c r="L42" s="28" t="str">
        <f ca="1">IFERROR(__xludf.DUMMYFUNCTION("""COMPUTED_VALUE"""),"4792/2024")</f>
        <v>4792/2024</v>
      </c>
      <c r="M42" s="10" t="str">
        <f ca="1">IFERROR(__xludf.DUMMYFUNCTION("""COMPUTED_VALUE"""),"PTRAC")</f>
        <v>PTRAC</v>
      </c>
      <c r="N42" s="1"/>
      <c r="O42" s="1"/>
      <c r="P42" s="1"/>
      <c r="Q42" s="1"/>
      <c r="R42" s="1"/>
      <c r="S42" s="1"/>
      <c r="T42" s="1"/>
      <c r="U42" s="1"/>
      <c r="V42" s="1"/>
      <c r="W42" s="1"/>
      <c r="X42" s="1"/>
      <c r="Y42" s="1"/>
      <c r="Z42" s="1"/>
    </row>
    <row r="43" spans="1:26" ht="12.75" customHeight="1">
      <c r="A43" s="1"/>
      <c r="B43" s="10" t="str">
        <f ca="1">IFERROR(__xludf.DUMMYFUNCTION("""COMPUTED_VALUE"""),"PLAN NACIONAL DE ESTERILIZACIONES RESPONSABILIDAD COMPARTIDA 2023 COMUNA DE ALHUÉ")</f>
        <v>PLAN NACIONAL DE ESTERILIZACIONES RESPONSABILIDAD COMPARTIDA 2023 COMUNA DE ALHUÉ</v>
      </c>
      <c r="C43" s="26" t="str">
        <f t="shared" ca="1" si="0"/>
        <v xml:space="preserve"> ALHUÉ</v>
      </c>
      <c r="D43" s="10" t="str">
        <f ca="1">IFERROR(__xludf.DUMMYFUNCTION("""COMPUTED_VALUE"""),"Resolución de Transferencia")</f>
        <v>Resolución de Transferencia</v>
      </c>
      <c r="E43" s="26" t="str">
        <f ca="1">IFERROR(__xludf.DUMMYFUNCTION("""COMPUTED_VALUE"""),"MUNICIPALIDAD DE ALHUÉ")</f>
        <v>MUNICIPALIDAD DE ALHUÉ</v>
      </c>
      <c r="F43" s="11">
        <f ca="1">IFERROR(__xludf.DUMMYFUNCTION("""COMPUTED_VALUE"""),14300000)</f>
        <v>14300000</v>
      </c>
      <c r="G43" s="10" t="str">
        <f ca="1">IFERROR(__xludf.DUMMYFUNCTION("""COMPUTED_VALUE"""),"Resolución")</f>
        <v>Resolución</v>
      </c>
      <c r="H43" s="10" t="str">
        <f ca="1">IFERROR(__xludf.DUMMYFUNCTION("""COMPUTED_VALUE"""),"Plan Esterilización Responsabilidad Compartida")</f>
        <v>Plan Esterilización Responsabilidad Compartida</v>
      </c>
      <c r="I43" s="10" t="str">
        <f ca="1">IFERROR(__xludf.DUMMYFUNCTION("""COMPUTED_VALUE"""),"Cumplir con normativa y reglamentos internos del programa en base a los objetivos.")</f>
        <v>Cumplir con normativa y reglamentos internos del programa en base a los objetivos.</v>
      </c>
      <c r="J43" s="11">
        <f ca="1">IFERROR(__xludf.DUMMYFUNCTION("""COMPUTED_VALUE"""),14300000)</f>
        <v>14300000</v>
      </c>
      <c r="K43" s="27">
        <f ca="1">IFERROR(__xludf.DUMMYFUNCTION("""COMPUTED_VALUE"""),1)</f>
        <v>1</v>
      </c>
      <c r="L43" s="28" t="str">
        <f ca="1">IFERROR(__xludf.DUMMYFUNCTION("""COMPUTED_VALUE"""),"4769/2024")</f>
        <v>4769/2024</v>
      </c>
      <c r="M43" s="10" t="str">
        <f ca="1">IFERROR(__xludf.DUMMYFUNCTION("""COMPUTED_VALUE"""),"PTRAC")</f>
        <v>PTRAC</v>
      </c>
      <c r="N43" s="1"/>
      <c r="O43" s="1"/>
      <c r="P43" s="1"/>
      <c r="Q43" s="1"/>
      <c r="R43" s="1"/>
      <c r="S43" s="1"/>
      <c r="T43" s="1"/>
      <c r="U43" s="1"/>
      <c r="V43" s="1"/>
      <c r="W43" s="1"/>
      <c r="X43" s="1"/>
      <c r="Y43" s="1"/>
      <c r="Z43" s="1"/>
    </row>
    <row r="44" spans="1:26" ht="12.75" customHeight="1">
      <c r="A44" s="1"/>
      <c r="B44" s="10" t="str">
        <f ca="1">IFERROR(__xludf.DUMMYFUNCTION("""COMPUTED_VALUE"""),"PLAN NACIONAL DE ESTERILIZACIONES RESPONSABILIDAD COMPARTIDA AÑO 2023 COMUNA DE LA PINTANA")</f>
        <v>PLAN NACIONAL DE ESTERILIZACIONES RESPONSABILIDAD COMPARTIDA AÑO 2023 COMUNA DE LA PINTANA</v>
      </c>
      <c r="C44" s="26" t="str">
        <f t="shared" ca="1" si="0"/>
        <v xml:space="preserve"> LA PINTANA</v>
      </c>
      <c r="D44" s="10" t="str">
        <f ca="1">IFERROR(__xludf.DUMMYFUNCTION("""COMPUTED_VALUE"""),"Resolución de Transferencia")</f>
        <v>Resolución de Transferencia</v>
      </c>
      <c r="E44" s="26" t="str">
        <f ca="1">IFERROR(__xludf.DUMMYFUNCTION("""COMPUTED_VALUE"""),"MUNICIPALIDAD DE LA PINTANA")</f>
        <v>MUNICIPALIDAD DE LA PINTANA</v>
      </c>
      <c r="F44" s="11">
        <f ca="1">IFERROR(__xludf.DUMMYFUNCTION("""COMPUTED_VALUE"""),82200000)</f>
        <v>82200000</v>
      </c>
      <c r="G44" s="10" t="str">
        <f ca="1">IFERROR(__xludf.DUMMYFUNCTION("""COMPUTED_VALUE"""),"Resolución")</f>
        <v>Resolución</v>
      </c>
      <c r="H44" s="10" t="str">
        <f ca="1">IFERROR(__xludf.DUMMYFUNCTION("""COMPUTED_VALUE"""),"Plan Esterilización Responsabilidad Compartida")</f>
        <v>Plan Esterilización Responsabilidad Compartida</v>
      </c>
      <c r="I44" s="10" t="str">
        <f ca="1">IFERROR(__xludf.DUMMYFUNCTION("""COMPUTED_VALUE"""),"Cumplir con normativa y reglamentos internos del programa en base a los objetivos.")</f>
        <v>Cumplir con normativa y reglamentos internos del programa en base a los objetivos.</v>
      </c>
      <c r="J44" s="11">
        <f ca="1">IFERROR(__xludf.DUMMYFUNCTION("""COMPUTED_VALUE"""),82200000)</f>
        <v>82200000</v>
      </c>
      <c r="K44" s="27">
        <f ca="1">IFERROR(__xludf.DUMMYFUNCTION("""COMPUTED_VALUE"""),1)</f>
        <v>1</v>
      </c>
      <c r="L44" s="28" t="str">
        <f ca="1">IFERROR(__xludf.DUMMYFUNCTION("""COMPUTED_VALUE"""),"4770/2024")</f>
        <v>4770/2024</v>
      </c>
      <c r="M44" s="10" t="str">
        <f ca="1">IFERROR(__xludf.DUMMYFUNCTION("""COMPUTED_VALUE"""),"PTRAC")</f>
        <v>PTRAC</v>
      </c>
      <c r="N44" s="1"/>
      <c r="O44" s="1"/>
      <c r="P44" s="1"/>
      <c r="Q44" s="1"/>
      <c r="R44" s="1"/>
      <c r="S44" s="1"/>
      <c r="T44" s="1"/>
      <c r="U44" s="1"/>
      <c r="V44" s="1"/>
      <c r="W44" s="1"/>
      <c r="X44" s="1"/>
      <c r="Y44" s="1"/>
      <c r="Z44" s="1"/>
    </row>
    <row r="45" spans="1:26" ht="12.75" customHeight="1">
      <c r="A45" s="1"/>
      <c r="B45" s="10" t="str">
        <f ca="1">IFERROR(__xludf.DUMMYFUNCTION("""COMPUTED_VALUE"""),"PLAN NACIONAL DE ESTERILIZACIONES RESPONSABILIDAD COMPARTIDA 2023 COMUNA DE TALAGANTE")</f>
        <v>PLAN NACIONAL DE ESTERILIZACIONES RESPONSABILIDAD COMPARTIDA 2023 COMUNA DE TALAGANTE</v>
      </c>
      <c r="C45" s="26" t="str">
        <f t="shared" ca="1" si="0"/>
        <v xml:space="preserve"> TALAGANTE</v>
      </c>
      <c r="D45" s="10" t="str">
        <f ca="1">IFERROR(__xludf.DUMMYFUNCTION("""COMPUTED_VALUE"""),"Resolución de Transferencia")</f>
        <v>Resolución de Transferencia</v>
      </c>
      <c r="E45" s="26" t="str">
        <f ca="1">IFERROR(__xludf.DUMMYFUNCTION("""COMPUTED_VALUE"""),"MUNICIPALIDAD DE TALAGANTE")</f>
        <v>MUNICIPALIDAD DE TALAGANTE</v>
      </c>
      <c r="F45" s="11">
        <f ca="1">IFERROR(__xludf.DUMMYFUNCTION("""COMPUTED_VALUE"""),28000000)</f>
        <v>28000000</v>
      </c>
      <c r="G45" s="10" t="str">
        <f ca="1">IFERROR(__xludf.DUMMYFUNCTION("""COMPUTED_VALUE"""),"Resolución")</f>
        <v>Resolución</v>
      </c>
      <c r="H45" s="10" t="str">
        <f ca="1">IFERROR(__xludf.DUMMYFUNCTION("""COMPUTED_VALUE"""),"Plan Esterilización Responsabilidad Compartida")</f>
        <v>Plan Esterilización Responsabilidad Compartida</v>
      </c>
      <c r="I45" s="10" t="str">
        <f ca="1">IFERROR(__xludf.DUMMYFUNCTION("""COMPUTED_VALUE"""),"Cumplir con normativa y reglamentos internos del programa en base a los objetivos.")</f>
        <v>Cumplir con normativa y reglamentos internos del programa en base a los objetivos.</v>
      </c>
      <c r="J45" s="11">
        <f ca="1">IFERROR(__xludf.DUMMYFUNCTION("""COMPUTED_VALUE"""),28000000)</f>
        <v>28000000</v>
      </c>
      <c r="K45" s="27">
        <f ca="1">IFERROR(__xludf.DUMMYFUNCTION("""COMPUTED_VALUE"""),1)</f>
        <v>1</v>
      </c>
      <c r="L45" s="28" t="str">
        <f ca="1">IFERROR(__xludf.DUMMYFUNCTION("""COMPUTED_VALUE"""),"5384/2024")</f>
        <v>5384/2024</v>
      </c>
      <c r="M45" s="10" t="str">
        <f ca="1">IFERROR(__xludf.DUMMYFUNCTION("""COMPUTED_VALUE"""),"PTRAC")</f>
        <v>PTRAC</v>
      </c>
      <c r="N45" s="1"/>
      <c r="O45" s="1"/>
      <c r="P45" s="1"/>
      <c r="Q45" s="1"/>
      <c r="R45" s="1"/>
      <c r="S45" s="1"/>
      <c r="T45" s="1"/>
      <c r="U45" s="1"/>
      <c r="V45" s="1"/>
      <c r="W45" s="1"/>
      <c r="X45" s="1"/>
      <c r="Y45" s="1"/>
      <c r="Z45" s="1"/>
    </row>
    <row r="46" spans="1:26" ht="12.75" customHeight="1">
      <c r="A46" s="1"/>
      <c r="B46" s="10" t="str">
        <f ca="1">IFERROR(__xludf.DUMMYFUNCTION("""COMPUTED_VALUE"""),"PLAN NACIONAL DE ESTERILIZACIONES RESPONSABILIDAD COMPARTIDA 2023 COMUNA DE LA UNIÓN")</f>
        <v>PLAN NACIONAL DE ESTERILIZACIONES RESPONSABILIDAD COMPARTIDA 2023 COMUNA DE LA UNIÓN</v>
      </c>
      <c r="C46" s="26" t="str">
        <f t="shared" ca="1" si="0"/>
        <v xml:space="preserve"> LA UNIÓN</v>
      </c>
      <c r="D46" s="10" t="str">
        <f ca="1">IFERROR(__xludf.DUMMYFUNCTION("""COMPUTED_VALUE"""),"Resolución de Transferencia")</f>
        <v>Resolución de Transferencia</v>
      </c>
      <c r="E46" s="26" t="str">
        <f ca="1">IFERROR(__xludf.DUMMYFUNCTION("""COMPUTED_VALUE"""),"MUNICIPALIDAD DE LA UNIÓN")</f>
        <v>MUNICIPALIDAD DE LA UNIÓN</v>
      </c>
      <c r="F46" s="11">
        <f ca="1">IFERROR(__xludf.DUMMYFUNCTION("""COMPUTED_VALUE"""),28900000)</f>
        <v>28900000</v>
      </c>
      <c r="G46" s="10" t="str">
        <f ca="1">IFERROR(__xludf.DUMMYFUNCTION("""COMPUTED_VALUE"""),"Resolución")</f>
        <v>Resolución</v>
      </c>
      <c r="H46" s="10" t="str">
        <f ca="1">IFERROR(__xludf.DUMMYFUNCTION("""COMPUTED_VALUE"""),"Plan Esterilización Responsabilidad Compartida")</f>
        <v>Plan Esterilización Responsabilidad Compartida</v>
      </c>
      <c r="I46" s="10" t="str">
        <f ca="1">IFERROR(__xludf.DUMMYFUNCTION("""COMPUTED_VALUE"""),"Cumplir con normativa y reglamentos internos del programa en base a los objetivos.")</f>
        <v>Cumplir con normativa y reglamentos internos del programa en base a los objetivos.</v>
      </c>
      <c r="J46" s="11">
        <f ca="1">IFERROR(__xludf.DUMMYFUNCTION("""COMPUTED_VALUE"""),28900000)</f>
        <v>28900000</v>
      </c>
      <c r="K46" s="27">
        <f ca="1">IFERROR(__xludf.DUMMYFUNCTION("""COMPUTED_VALUE"""),1)</f>
        <v>1</v>
      </c>
      <c r="L46" s="28" t="str">
        <f ca="1">IFERROR(__xludf.DUMMYFUNCTION("""COMPUTED_VALUE"""),"5382/2024")</f>
        <v>5382/2024</v>
      </c>
      <c r="M46" s="10" t="str">
        <f ca="1">IFERROR(__xludf.DUMMYFUNCTION("""COMPUTED_VALUE"""),"PTRAC")</f>
        <v>PTRAC</v>
      </c>
      <c r="N46" s="1"/>
      <c r="O46" s="1"/>
      <c r="P46" s="1"/>
      <c r="Q46" s="1"/>
      <c r="R46" s="1"/>
      <c r="S46" s="1"/>
      <c r="T46" s="1"/>
      <c r="U46" s="1"/>
      <c r="V46" s="1"/>
      <c r="W46" s="1"/>
      <c r="X46" s="1"/>
      <c r="Y46" s="1"/>
      <c r="Z46" s="1"/>
    </row>
    <row r="47" spans="1:26" ht="12.75" customHeight="1">
      <c r="A47" s="1"/>
      <c r="B47" s="10" t="str">
        <f ca="1">IFERROR(__xludf.DUMMYFUNCTION("""COMPUTED_VALUE"""),"PLAN NACIONAL DE ESTERILIZACIONES RESPONSABILIDAD COMPARTIDA 2023 COMUNA DE ARICA")</f>
        <v>PLAN NACIONAL DE ESTERILIZACIONES RESPONSABILIDAD COMPARTIDA 2023 COMUNA DE ARICA</v>
      </c>
      <c r="C47" s="26" t="str">
        <f t="shared" ca="1" si="0"/>
        <v xml:space="preserve"> ARICA</v>
      </c>
      <c r="D47" s="10" t="str">
        <f ca="1">IFERROR(__xludf.DUMMYFUNCTION("""COMPUTED_VALUE"""),"Resolución de Transferencia")</f>
        <v>Resolución de Transferencia</v>
      </c>
      <c r="E47" s="26" t="str">
        <f ca="1">IFERROR(__xludf.DUMMYFUNCTION("""COMPUTED_VALUE"""),"MUNICIPALIDAD DE ARICA")</f>
        <v>MUNICIPALIDAD DE ARICA</v>
      </c>
      <c r="F47" s="11">
        <f ca="1">IFERROR(__xludf.DUMMYFUNCTION("""COMPUTED_VALUE"""),53000000)</f>
        <v>53000000</v>
      </c>
      <c r="G47" s="10" t="str">
        <f ca="1">IFERROR(__xludf.DUMMYFUNCTION("""COMPUTED_VALUE"""),"Resolución")</f>
        <v>Resolución</v>
      </c>
      <c r="H47" s="10" t="str">
        <f ca="1">IFERROR(__xludf.DUMMYFUNCTION("""COMPUTED_VALUE"""),"Plan Esterilización Responsabilidad Compartida")</f>
        <v>Plan Esterilización Responsabilidad Compartida</v>
      </c>
      <c r="I47" s="10" t="str">
        <f ca="1">IFERROR(__xludf.DUMMYFUNCTION("""COMPUTED_VALUE"""),"Cumplir con normativa y reglamentos internos del programa en base a los objetivos.")</f>
        <v>Cumplir con normativa y reglamentos internos del programa en base a los objetivos.</v>
      </c>
      <c r="J47" s="11">
        <f ca="1">IFERROR(__xludf.DUMMYFUNCTION("""COMPUTED_VALUE"""),53000000)</f>
        <v>53000000</v>
      </c>
      <c r="K47" s="27">
        <f ca="1">IFERROR(__xludf.DUMMYFUNCTION("""COMPUTED_VALUE"""),1)</f>
        <v>1</v>
      </c>
      <c r="L47" s="28" t="str">
        <f ca="1">IFERROR(__xludf.DUMMYFUNCTION("""COMPUTED_VALUE"""),"4927/2024")</f>
        <v>4927/2024</v>
      </c>
      <c r="M47" s="10" t="str">
        <f ca="1">IFERROR(__xludf.DUMMYFUNCTION("""COMPUTED_VALUE"""),"PTRAC")</f>
        <v>PTRAC</v>
      </c>
      <c r="N47" s="1"/>
      <c r="O47" s="1"/>
      <c r="P47" s="1"/>
      <c r="Q47" s="1"/>
      <c r="R47" s="1"/>
      <c r="S47" s="1"/>
      <c r="T47" s="1"/>
      <c r="U47" s="1"/>
      <c r="V47" s="1"/>
      <c r="W47" s="1"/>
      <c r="X47" s="1"/>
      <c r="Y47" s="1"/>
      <c r="Z47" s="1"/>
    </row>
    <row r="48" spans="1:26" ht="12.75" customHeight="1">
      <c r="A48" s="1"/>
      <c r="B48" s="10" t="str">
        <f ca="1">IFERROR(__xludf.DUMMYFUNCTION("""COMPUTED_VALUE"""),"PLAN NACIONAL DE ESTERILIZACIONES RESPONSABILIDAD COMPARTIDA AÑO 2023, COMUNA DE TRAIGUÉN")</f>
        <v>PLAN NACIONAL DE ESTERILIZACIONES RESPONSABILIDAD COMPARTIDA AÑO 2023, COMUNA DE TRAIGUÉN</v>
      </c>
      <c r="C48" s="26" t="str">
        <f t="shared" ca="1" si="0"/>
        <v xml:space="preserve"> TRAIGUÉN</v>
      </c>
      <c r="D48" s="10" t="str">
        <f ca="1">IFERROR(__xludf.DUMMYFUNCTION("""COMPUTED_VALUE"""),"Resolución de Transferencia")</f>
        <v>Resolución de Transferencia</v>
      </c>
      <c r="E48" s="26" t="str">
        <f ca="1">IFERROR(__xludf.DUMMYFUNCTION("""COMPUTED_VALUE"""),"MUNICIPALIDAD DE TRAIGUÉN")</f>
        <v>MUNICIPALIDAD DE TRAIGUÉN</v>
      </c>
      <c r="F48" s="11">
        <f ca="1">IFERROR(__xludf.DUMMYFUNCTION("""COMPUTED_VALUE"""),29800000)</f>
        <v>29800000</v>
      </c>
      <c r="G48" s="10" t="str">
        <f ca="1">IFERROR(__xludf.DUMMYFUNCTION("""COMPUTED_VALUE"""),"Resolución")</f>
        <v>Resolución</v>
      </c>
      <c r="H48" s="10" t="str">
        <f ca="1">IFERROR(__xludf.DUMMYFUNCTION("""COMPUTED_VALUE"""),"Plan Esterilización Responsabilidad Compartida")</f>
        <v>Plan Esterilización Responsabilidad Compartida</v>
      </c>
      <c r="I48" s="10" t="str">
        <f ca="1">IFERROR(__xludf.DUMMYFUNCTION("""COMPUTED_VALUE"""),"Cumplir con normativa y reglamentos internos del programa en base a los objetivos.")</f>
        <v>Cumplir con normativa y reglamentos internos del programa en base a los objetivos.</v>
      </c>
      <c r="J48" s="11">
        <f ca="1">IFERROR(__xludf.DUMMYFUNCTION("""COMPUTED_VALUE"""),29800000)</f>
        <v>29800000</v>
      </c>
      <c r="K48" s="27">
        <f ca="1">IFERROR(__xludf.DUMMYFUNCTION("""COMPUTED_VALUE"""),1)</f>
        <v>1</v>
      </c>
      <c r="L48" s="28" t="str">
        <f ca="1">IFERROR(__xludf.DUMMYFUNCTION("""COMPUTED_VALUE"""),"4919/2024")</f>
        <v>4919/2024</v>
      </c>
      <c r="M48" s="10" t="str">
        <f ca="1">IFERROR(__xludf.DUMMYFUNCTION("""COMPUTED_VALUE"""),"PTRAC")</f>
        <v>PTRAC</v>
      </c>
      <c r="N48" s="1"/>
      <c r="O48" s="1"/>
      <c r="P48" s="1"/>
      <c r="Q48" s="1"/>
      <c r="R48" s="1"/>
      <c r="S48" s="1"/>
      <c r="T48" s="1"/>
      <c r="U48" s="1"/>
      <c r="V48" s="1"/>
      <c r="W48" s="1"/>
      <c r="X48" s="1"/>
      <c r="Y48" s="1"/>
      <c r="Z48" s="1"/>
    </row>
    <row r="49" spans="1:26" ht="12.75" customHeight="1">
      <c r="A49" s="1"/>
      <c r="B49" s="10" t="str">
        <f ca="1">IFERROR(__xludf.DUMMYFUNCTION("""COMPUTED_VALUE"""),"PLAN NACIONAL DE ESTERILIZACIÓN RESPONSABILIDAD COMPARTIDA 2023 COMUNA DE LO ESPEJO")</f>
        <v>PLAN NACIONAL DE ESTERILIZACIÓN RESPONSABILIDAD COMPARTIDA 2023 COMUNA DE LO ESPEJO</v>
      </c>
      <c r="C49" s="26" t="str">
        <f t="shared" ca="1" si="0"/>
        <v xml:space="preserve"> LO ESPEJO</v>
      </c>
      <c r="D49" s="10" t="str">
        <f ca="1">IFERROR(__xludf.DUMMYFUNCTION("""COMPUTED_VALUE"""),"Resolución de Transferencia")</f>
        <v>Resolución de Transferencia</v>
      </c>
      <c r="E49" s="26" t="str">
        <f ca="1">IFERROR(__xludf.DUMMYFUNCTION("""COMPUTED_VALUE"""),"MUNICIPALIDAD DE LO ESPEJO")</f>
        <v>MUNICIPALIDAD DE LO ESPEJO</v>
      </c>
      <c r="F49" s="11">
        <f ca="1">IFERROR(__xludf.DUMMYFUNCTION("""COMPUTED_VALUE"""),27400000)</f>
        <v>27400000</v>
      </c>
      <c r="G49" s="10" t="str">
        <f ca="1">IFERROR(__xludf.DUMMYFUNCTION("""COMPUTED_VALUE"""),"Resolución")</f>
        <v>Resolución</v>
      </c>
      <c r="H49" s="10" t="str">
        <f ca="1">IFERROR(__xludf.DUMMYFUNCTION("""COMPUTED_VALUE"""),"Plan Esterilización Responsabilidad Compartida")</f>
        <v>Plan Esterilización Responsabilidad Compartida</v>
      </c>
      <c r="I49" s="10" t="str">
        <f ca="1">IFERROR(__xludf.DUMMYFUNCTION("""COMPUTED_VALUE"""),"Cumplir con normativa y reglamentos internos del programa en base a los objetivos.")</f>
        <v>Cumplir con normativa y reglamentos internos del programa en base a los objetivos.</v>
      </c>
      <c r="J49" s="11">
        <f ca="1">IFERROR(__xludf.DUMMYFUNCTION("""COMPUTED_VALUE"""),27400000)</f>
        <v>27400000</v>
      </c>
      <c r="K49" s="27">
        <f ca="1">IFERROR(__xludf.DUMMYFUNCTION("""COMPUTED_VALUE"""),1)</f>
        <v>1</v>
      </c>
      <c r="L49" s="28" t="str">
        <f ca="1">IFERROR(__xludf.DUMMYFUNCTION("""COMPUTED_VALUE"""),"4808/2024")</f>
        <v>4808/2024</v>
      </c>
      <c r="M49" s="10" t="str">
        <f ca="1">IFERROR(__xludf.DUMMYFUNCTION("""COMPUTED_VALUE"""),"PTRAC")</f>
        <v>PTRAC</v>
      </c>
      <c r="N49" s="1"/>
      <c r="O49" s="1"/>
      <c r="P49" s="1"/>
      <c r="Q49" s="1"/>
      <c r="R49" s="1"/>
      <c r="S49" s="1"/>
      <c r="T49" s="1"/>
      <c r="U49" s="1"/>
      <c r="V49" s="1"/>
      <c r="W49" s="1"/>
      <c r="X49" s="1"/>
      <c r="Y49" s="1"/>
      <c r="Z49" s="1"/>
    </row>
    <row r="50" spans="1:26" ht="12.75" customHeight="1">
      <c r="A50" s="1"/>
      <c r="B50" s="10" t="str">
        <f ca="1">IFERROR(__xludf.DUMMYFUNCTION("""COMPUTED_VALUE"""),"ESTERILIZACIÓN EN DELEGACIÓN 2024 DELEGACIÓN DE PROVINCIA DE PALENA")</f>
        <v>ESTERILIZACIÓN EN DELEGACIÓN 2024 DELEGACIÓN DE PROVINCIA DE PALENA</v>
      </c>
      <c r="C50" s="26" t="str">
        <f t="shared" ca="1" si="0"/>
        <v>DENCIAL PROVINCIAL DE PALENA</v>
      </c>
      <c r="D50" s="10" t="str">
        <f ca="1">IFERROR(__xludf.DUMMYFUNCTION("""COMPUTED_VALUE"""),"Resolución de Transferencia")</f>
        <v>Resolución de Transferencia</v>
      </c>
      <c r="E50" s="26" t="str">
        <f ca="1">IFERROR(__xludf.DUMMYFUNCTION("""COMPUTED_VALUE"""),"DELEGACIÓN PRESIDENCIAL PROVINCIAL DE PALENA")</f>
        <v>DELEGACIÓN PRESIDENCIAL PROVINCIAL DE PALENA</v>
      </c>
      <c r="F50" s="11">
        <f ca="1">IFERROR(__xludf.DUMMYFUNCTION("""COMPUTED_VALUE"""),28500000)</f>
        <v>28500000</v>
      </c>
      <c r="G50" s="10" t="str">
        <f ca="1">IFERROR(__xludf.DUMMYFUNCTION("""COMPUTED_VALUE"""),"Resolución")</f>
        <v>Resolución</v>
      </c>
      <c r="H50" s="10" t="str">
        <f ca="1">IFERROR(__xludf.DUMMYFUNCTION("""COMPUTED_VALUE"""),"Plan Esterilización Responsabilidad Compartida")</f>
        <v>Plan Esterilización Responsabilidad Compartida</v>
      </c>
      <c r="I50" s="10" t="str">
        <f ca="1">IFERROR(__xludf.DUMMYFUNCTION("""COMPUTED_VALUE"""),"Cumplir con normativa y reglamentos internos del programa en base a los objetivos.")</f>
        <v>Cumplir con normativa y reglamentos internos del programa en base a los objetivos.</v>
      </c>
      <c r="J50" s="11">
        <f ca="1">IFERROR(__xludf.DUMMYFUNCTION("""COMPUTED_VALUE"""),28500000)</f>
        <v>28500000</v>
      </c>
      <c r="K50" s="27">
        <f ca="1">IFERROR(__xludf.DUMMYFUNCTION("""COMPUTED_VALUE"""),1)</f>
        <v>1</v>
      </c>
      <c r="L50" s="28" t="str">
        <f ca="1">IFERROR(__xludf.DUMMYFUNCTION("""COMPUTED_VALUE"""),"4926/2024")</f>
        <v>4926/2024</v>
      </c>
      <c r="M50" s="10" t="str">
        <f ca="1">IFERROR(__xludf.DUMMYFUNCTION("""COMPUTED_VALUE"""),"PTRAC")</f>
        <v>PTRAC</v>
      </c>
      <c r="N50" s="1"/>
      <c r="O50" s="1"/>
      <c r="P50" s="1"/>
      <c r="Q50" s="1"/>
      <c r="R50" s="1"/>
      <c r="S50" s="1"/>
      <c r="T50" s="1"/>
      <c r="U50" s="1"/>
      <c r="V50" s="1"/>
      <c r="W50" s="1"/>
      <c r="X50" s="1"/>
      <c r="Y50" s="1"/>
      <c r="Z50" s="1"/>
    </row>
    <row r="51" spans="1:26" ht="12.75" customHeight="1">
      <c r="A51" s="1"/>
      <c r="B51" s="10" t="str">
        <f ca="1">IFERROR(__xludf.DUMMYFUNCTION("""COMPUTED_VALUE"""),"PLAN NACIONAL DE ESTERILIZACIONES RESPONSABILIDAD COMPARTIDA 2023 COMUNA DE COQUIMBO")</f>
        <v>PLAN NACIONAL DE ESTERILIZACIONES RESPONSABILIDAD COMPARTIDA 2023 COMUNA DE COQUIMBO</v>
      </c>
      <c r="C51" s="26" t="str">
        <f t="shared" ca="1" si="0"/>
        <v xml:space="preserve"> COQUIMBO</v>
      </c>
      <c r="D51" s="10" t="str">
        <f ca="1">IFERROR(__xludf.DUMMYFUNCTION("""COMPUTED_VALUE"""),"Resolución de Transferencia")</f>
        <v>Resolución de Transferencia</v>
      </c>
      <c r="E51" s="26" t="str">
        <f ca="1">IFERROR(__xludf.DUMMYFUNCTION("""COMPUTED_VALUE"""),"MUNICIPALIDAD DE COQUIMBO")</f>
        <v>MUNICIPALIDAD DE COQUIMBO</v>
      </c>
      <c r="F51" s="11">
        <f ca="1">IFERROR(__xludf.DUMMYFUNCTION("""COMPUTED_VALUE"""),58004000)</f>
        <v>58004000</v>
      </c>
      <c r="G51" s="10" t="str">
        <f ca="1">IFERROR(__xludf.DUMMYFUNCTION("""COMPUTED_VALUE"""),"Resolución")</f>
        <v>Resolución</v>
      </c>
      <c r="H51" s="10" t="str">
        <f ca="1">IFERROR(__xludf.DUMMYFUNCTION("""COMPUTED_VALUE"""),"Plan Esterilización Responsabilidad Compartida")</f>
        <v>Plan Esterilización Responsabilidad Compartida</v>
      </c>
      <c r="I51" s="10" t="str">
        <f ca="1">IFERROR(__xludf.DUMMYFUNCTION("""COMPUTED_VALUE"""),"Cumplir con normativa y reglamentos internos del programa en base a los objetivos.")</f>
        <v>Cumplir con normativa y reglamentos internos del programa en base a los objetivos.</v>
      </c>
      <c r="J51" s="11">
        <f ca="1">IFERROR(__xludf.DUMMYFUNCTION("""COMPUTED_VALUE"""),58004000)</f>
        <v>58004000</v>
      </c>
      <c r="K51" s="27">
        <f ca="1">IFERROR(__xludf.DUMMYFUNCTION("""COMPUTED_VALUE"""),1)</f>
        <v>1</v>
      </c>
      <c r="L51" s="28" t="str">
        <f ca="1">IFERROR(__xludf.DUMMYFUNCTION("""COMPUTED_VALUE"""),"4915/2024")</f>
        <v>4915/2024</v>
      </c>
      <c r="M51" s="10" t="str">
        <f ca="1">IFERROR(__xludf.DUMMYFUNCTION("""COMPUTED_VALUE"""),"PTRAC")</f>
        <v>PTRAC</v>
      </c>
      <c r="N51" s="1"/>
      <c r="O51" s="1"/>
      <c r="P51" s="1"/>
      <c r="Q51" s="1"/>
      <c r="R51" s="1"/>
      <c r="S51" s="1"/>
      <c r="T51" s="1"/>
      <c r="U51" s="1"/>
      <c r="V51" s="1"/>
      <c r="W51" s="1"/>
      <c r="X51" s="1"/>
      <c r="Y51" s="1"/>
      <c r="Z51" s="1"/>
    </row>
    <row r="52" spans="1:26" ht="12.75" customHeight="1">
      <c r="A52" s="1"/>
      <c r="B52" s="10" t="str">
        <f ca="1">IFERROR(__xludf.DUMMYFUNCTION("""COMPUTED_VALUE"""),"PLAN NACIONAL DE ESTERILIZACIONES Y RESPONSABILIDAD COMPARTIDA AÑO 2023, COMUNA DE LA HIGUERA")</f>
        <v>PLAN NACIONAL DE ESTERILIZACIONES Y RESPONSABILIDAD COMPARTIDA AÑO 2023, COMUNA DE LA HIGUERA</v>
      </c>
      <c r="C52" s="26" t="str">
        <f t="shared" ca="1" si="0"/>
        <v xml:space="preserve"> LA HIGUERA</v>
      </c>
      <c r="D52" s="10" t="str">
        <f ca="1">IFERROR(__xludf.DUMMYFUNCTION("""COMPUTED_VALUE"""),"Resolución de Transferencia")</f>
        <v>Resolución de Transferencia</v>
      </c>
      <c r="E52" s="26" t="str">
        <f ca="1">IFERROR(__xludf.DUMMYFUNCTION("""COMPUTED_VALUE"""),"MUNICIPALIDAD DE LA HIGUERA")</f>
        <v>MUNICIPALIDAD DE LA HIGUERA</v>
      </c>
      <c r="F52" s="11">
        <f ca="1">IFERROR(__xludf.DUMMYFUNCTION("""COMPUTED_VALUE"""),17400000)</f>
        <v>17400000</v>
      </c>
      <c r="G52" s="10" t="str">
        <f ca="1">IFERROR(__xludf.DUMMYFUNCTION("""COMPUTED_VALUE"""),"Resolución")</f>
        <v>Resolución</v>
      </c>
      <c r="H52" s="10" t="str">
        <f ca="1">IFERROR(__xludf.DUMMYFUNCTION("""COMPUTED_VALUE"""),"Plan Esterilización Responsabilidad Compartida")</f>
        <v>Plan Esterilización Responsabilidad Compartida</v>
      </c>
      <c r="I52" s="10" t="str">
        <f ca="1">IFERROR(__xludf.DUMMYFUNCTION("""COMPUTED_VALUE"""),"Cumplir con normativa y reglamentos internos del programa en base a los objetivos.")</f>
        <v>Cumplir con normativa y reglamentos internos del programa en base a los objetivos.</v>
      </c>
      <c r="J52" s="11">
        <f ca="1">IFERROR(__xludf.DUMMYFUNCTION("""COMPUTED_VALUE"""),17400000)</f>
        <v>17400000</v>
      </c>
      <c r="K52" s="27">
        <f ca="1">IFERROR(__xludf.DUMMYFUNCTION("""COMPUTED_VALUE"""),1)</f>
        <v>1</v>
      </c>
      <c r="L52" s="28" t="str">
        <f ca="1">IFERROR(__xludf.DUMMYFUNCTION("""COMPUTED_VALUE"""),"4920/2024")</f>
        <v>4920/2024</v>
      </c>
      <c r="M52" s="10" t="str">
        <f ca="1">IFERROR(__xludf.DUMMYFUNCTION("""COMPUTED_VALUE"""),"PTRAC")</f>
        <v>PTRAC</v>
      </c>
      <c r="N52" s="1"/>
      <c r="O52" s="1"/>
      <c r="P52" s="1"/>
      <c r="Q52" s="1"/>
      <c r="R52" s="1"/>
      <c r="S52" s="1"/>
      <c r="T52" s="1"/>
      <c r="U52" s="1"/>
      <c r="V52" s="1"/>
      <c r="W52" s="1"/>
      <c r="X52" s="1"/>
      <c r="Y52" s="1"/>
      <c r="Z52" s="1"/>
    </row>
    <row r="53" spans="1:26" ht="12.75" customHeight="1">
      <c r="A53" s="1"/>
      <c r="B53" s="10" t="str">
        <f ca="1">IFERROR(__xludf.DUMMYFUNCTION("""COMPUTED_VALUE"""),"PLAN NACIONAL DE ESTERILIZACIONES RESPONSABILIDAD COMPARTIDA 2023 COMUNA DE OVALLE")</f>
        <v>PLAN NACIONAL DE ESTERILIZACIONES RESPONSABILIDAD COMPARTIDA 2023 COMUNA DE OVALLE</v>
      </c>
      <c r="C53" s="26" t="str">
        <f t="shared" ca="1" si="0"/>
        <v xml:space="preserve"> OVALLE</v>
      </c>
      <c r="D53" s="10" t="str">
        <f ca="1">IFERROR(__xludf.DUMMYFUNCTION("""COMPUTED_VALUE"""),"Resolución de Transferencia")</f>
        <v>Resolución de Transferencia</v>
      </c>
      <c r="E53" s="26" t="str">
        <f ca="1">IFERROR(__xludf.DUMMYFUNCTION("""COMPUTED_VALUE"""),"MUNICIPALIDAD DE OVALLE")</f>
        <v>MUNICIPALIDAD DE OVALLE</v>
      </c>
      <c r="F53" s="11">
        <f ca="1">IFERROR(__xludf.DUMMYFUNCTION("""COMPUTED_VALUE"""),29800000)</f>
        <v>29800000</v>
      </c>
      <c r="G53" s="10" t="str">
        <f ca="1">IFERROR(__xludf.DUMMYFUNCTION("""COMPUTED_VALUE"""),"Resolución")</f>
        <v>Resolución</v>
      </c>
      <c r="H53" s="10" t="str">
        <f ca="1">IFERROR(__xludf.DUMMYFUNCTION("""COMPUTED_VALUE"""),"Plan Esterilización Responsabilidad Compartida")</f>
        <v>Plan Esterilización Responsabilidad Compartida</v>
      </c>
      <c r="I53" s="10" t="str">
        <f ca="1">IFERROR(__xludf.DUMMYFUNCTION("""COMPUTED_VALUE"""),"Cumplir con normativa y reglamentos internos del programa en base a los objetivos.")</f>
        <v>Cumplir con normativa y reglamentos internos del programa en base a los objetivos.</v>
      </c>
      <c r="J53" s="11">
        <f ca="1">IFERROR(__xludf.DUMMYFUNCTION("""COMPUTED_VALUE"""),29800000)</f>
        <v>29800000</v>
      </c>
      <c r="K53" s="27">
        <f ca="1">IFERROR(__xludf.DUMMYFUNCTION("""COMPUTED_VALUE"""),1)</f>
        <v>1</v>
      </c>
      <c r="L53" s="28" t="str">
        <f ca="1">IFERROR(__xludf.DUMMYFUNCTION("""COMPUTED_VALUE"""),"4921/2024")</f>
        <v>4921/2024</v>
      </c>
      <c r="M53" s="10" t="str">
        <f ca="1">IFERROR(__xludf.DUMMYFUNCTION("""COMPUTED_VALUE"""),"PTRAC")</f>
        <v>PTRAC</v>
      </c>
      <c r="N53" s="1"/>
      <c r="O53" s="1"/>
      <c r="P53" s="1"/>
      <c r="Q53" s="1"/>
      <c r="R53" s="1"/>
      <c r="S53" s="1"/>
      <c r="T53" s="1"/>
      <c r="U53" s="1"/>
      <c r="V53" s="1"/>
      <c r="W53" s="1"/>
      <c r="X53" s="1"/>
      <c r="Y53" s="1"/>
      <c r="Z53" s="1"/>
    </row>
    <row r="54" spans="1:26" ht="12.75" customHeight="1">
      <c r="A54" s="1"/>
      <c r="B54" s="10" t="str">
        <f ca="1">IFERROR(__xludf.DUMMYFUNCTION("""COMPUTED_VALUE"""),"PLAN NACIONAL DE ESTERILIZACIONES RESPONSABILIDAD COMPARTIDA 2023 COMUNA DE RIO HURTADO")</f>
        <v>PLAN NACIONAL DE ESTERILIZACIONES RESPONSABILIDAD COMPARTIDA 2023 COMUNA DE RIO HURTADO</v>
      </c>
      <c r="C54" s="26" t="str">
        <f t="shared" ca="1" si="0"/>
        <v xml:space="preserve"> RÍO HURTADO</v>
      </c>
      <c r="D54" s="10" t="str">
        <f ca="1">IFERROR(__xludf.DUMMYFUNCTION("""COMPUTED_VALUE"""),"Resolución de Transferencia")</f>
        <v>Resolución de Transferencia</v>
      </c>
      <c r="E54" s="26" t="str">
        <f ca="1">IFERROR(__xludf.DUMMYFUNCTION("""COMPUTED_VALUE"""),"MUNICIPALIDAD DE RÍO HURTADO")</f>
        <v>MUNICIPALIDAD DE RÍO HURTADO</v>
      </c>
      <c r="F54" s="11">
        <f ca="1">IFERROR(__xludf.DUMMYFUNCTION("""COMPUTED_VALUE"""),29200000)</f>
        <v>29200000</v>
      </c>
      <c r="G54" s="10" t="str">
        <f ca="1">IFERROR(__xludf.DUMMYFUNCTION("""COMPUTED_VALUE"""),"Resolución")</f>
        <v>Resolución</v>
      </c>
      <c r="H54" s="10" t="str">
        <f ca="1">IFERROR(__xludf.DUMMYFUNCTION("""COMPUTED_VALUE"""),"Plan Esterilización Responsabilidad Compartida")</f>
        <v>Plan Esterilización Responsabilidad Compartida</v>
      </c>
      <c r="I54" s="10" t="str">
        <f ca="1">IFERROR(__xludf.DUMMYFUNCTION("""COMPUTED_VALUE"""),"Cumplir con normativa y reglamentos internos del programa en base a los objetivos.")</f>
        <v>Cumplir con normativa y reglamentos internos del programa en base a los objetivos.</v>
      </c>
      <c r="J54" s="11">
        <f ca="1">IFERROR(__xludf.DUMMYFUNCTION("""COMPUTED_VALUE"""),29200000)</f>
        <v>29200000</v>
      </c>
      <c r="K54" s="27">
        <f ca="1">IFERROR(__xludf.DUMMYFUNCTION("""COMPUTED_VALUE"""),1)</f>
        <v>1</v>
      </c>
      <c r="L54" s="28" t="str">
        <f ca="1">IFERROR(__xludf.DUMMYFUNCTION("""COMPUTED_VALUE"""),"4923/2024")</f>
        <v>4923/2024</v>
      </c>
      <c r="M54" s="10" t="str">
        <f ca="1">IFERROR(__xludf.DUMMYFUNCTION("""COMPUTED_VALUE"""),"PTRAC")</f>
        <v>PTRAC</v>
      </c>
      <c r="N54" s="1"/>
      <c r="O54" s="1"/>
      <c r="P54" s="1"/>
      <c r="Q54" s="1"/>
      <c r="R54" s="1"/>
      <c r="S54" s="1"/>
      <c r="T54" s="1"/>
      <c r="U54" s="1"/>
      <c r="V54" s="1"/>
      <c r="W54" s="1"/>
      <c r="X54" s="1"/>
      <c r="Y54" s="1"/>
      <c r="Z54" s="1"/>
    </row>
    <row r="55" spans="1:26" ht="12.75" customHeight="1">
      <c r="A55" s="1"/>
      <c r="B55" s="10" t="str">
        <f ca="1">IFERROR(__xludf.DUMMYFUNCTION("""COMPUTED_VALUE"""),"PLAN NACIONAL DE ESTERILIZACIONES RESPONSABILIDAD COMPARTIDA 2023 COMUNA DE ILLAPEL")</f>
        <v>PLAN NACIONAL DE ESTERILIZACIONES RESPONSABILIDAD COMPARTIDA 2023 COMUNA DE ILLAPEL</v>
      </c>
      <c r="C55" s="26" t="str">
        <f t="shared" ca="1" si="0"/>
        <v xml:space="preserve"> ILLAPEL</v>
      </c>
      <c r="D55" s="10" t="str">
        <f ca="1">IFERROR(__xludf.DUMMYFUNCTION("""COMPUTED_VALUE"""),"Resolución de Transferencia")</f>
        <v>Resolución de Transferencia</v>
      </c>
      <c r="E55" s="26" t="str">
        <f ca="1">IFERROR(__xludf.DUMMYFUNCTION("""COMPUTED_VALUE"""),"MUNICIPALIDAD DE ILLAPEL")</f>
        <v>MUNICIPALIDAD DE ILLAPEL</v>
      </c>
      <c r="F55" s="11">
        <f ca="1">IFERROR(__xludf.DUMMYFUNCTION("""COMPUTED_VALUE"""),29800000)</f>
        <v>29800000</v>
      </c>
      <c r="G55" s="10" t="str">
        <f ca="1">IFERROR(__xludf.DUMMYFUNCTION("""COMPUTED_VALUE"""),"Resolución")</f>
        <v>Resolución</v>
      </c>
      <c r="H55" s="10" t="str">
        <f ca="1">IFERROR(__xludf.DUMMYFUNCTION("""COMPUTED_VALUE"""),"Plan Esterilización Responsabilidad Compartida")</f>
        <v>Plan Esterilización Responsabilidad Compartida</v>
      </c>
      <c r="I55" s="10" t="str">
        <f ca="1">IFERROR(__xludf.DUMMYFUNCTION("""COMPUTED_VALUE"""),"Cumplir con normativa y reglamentos internos del programa en base a los objetivos.")</f>
        <v>Cumplir con normativa y reglamentos internos del programa en base a los objetivos.</v>
      </c>
      <c r="J55" s="11">
        <f ca="1">IFERROR(__xludf.DUMMYFUNCTION("""COMPUTED_VALUE"""),29800000)</f>
        <v>29800000</v>
      </c>
      <c r="K55" s="27">
        <f ca="1">IFERROR(__xludf.DUMMYFUNCTION("""COMPUTED_VALUE"""),1)</f>
        <v>1</v>
      </c>
      <c r="L55" s="28" t="str">
        <f ca="1">IFERROR(__xludf.DUMMYFUNCTION("""COMPUTED_VALUE"""),"4918/2024")</f>
        <v>4918/2024</v>
      </c>
      <c r="M55" s="10" t="str">
        <f ca="1">IFERROR(__xludf.DUMMYFUNCTION("""COMPUTED_VALUE"""),"PTRAC")</f>
        <v>PTRAC</v>
      </c>
      <c r="N55" s="1"/>
      <c r="O55" s="1"/>
      <c r="P55" s="1"/>
      <c r="Q55" s="1"/>
      <c r="R55" s="1"/>
      <c r="S55" s="1"/>
      <c r="T55" s="1"/>
      <c r="U55" s="1"/>
      <c r="V55" s="1"/>
      <c r="W55" s="1"/>
      <c r="X55" s="1"/>
      <c r="Y55" s="1"/>
      <c r="Z55" s="1"/>
    </row>
    <row r="56" spans="1:26" ht="12.75" customHeight="1">
      <c r="A56" s="1"/>
      <c r="B56" s="10" t="str">
        <f ca="1">IFERROR(__xludf.DUMMYFUNCTION("""COMPUTED_VALUE"""),"PLAN NACIONAL DE ESTERILIZACIONES RESPONSABILIDAD COMPARTIDA AÑO 2023, COMUNA DE PAPUDO")</f>
        <v>PLAN NACIONAL DE ESTERILIZACIONES RESPONSABILIDAD COMPARTIDA AÑO 2023, COMUNA DE PAPUDO</v>
      </c>
      <c r="C56" s="26" t="str">
        <f t="shared" ca="1" si="0"/>
        <v xml:space="preserve"> PAPUDO</v>
      </c>
      <c r="D56" s="10" t="str">
        <f ca="1">IFERROR(__xludf.DUMMYFUNCTION("""COMPUTED_VALUE"""),"Resolución de Transferencia")</f>
        <v>Resolución de Transferencia</v>
      </c>
      <c r="E56" s="26" t="str">
        <f ca="1">IFERROR(__xludf.DUMMYFUNCTION("""COMPUTED_VALUE"""),"MUNICIPALIDAD DE PAPUDO")</f>
        <v>MUNICIPALIDAD DE PAPUDO</v>
      </c>
      <c r="F56" s="11">
        <f ca="1">IFERROR(__xludf.DUMMYFUNCTION("""COMPUTED_VALUE"""),17400000)</f>
        <v>17400000</v>
      </c>
      <c r="G56" s="10" t="str">
        <f ca="1">IFERROR(__xludf.DUMMYFUNCTION("""COMPUTED_VALUE"""),"Resolución")</f>
        <v>Resolución</v>
      </c>
      <c r="H56" s="10" t="str">
        <f ca="1">IFERROR(__xludf.DUMMYFUNCTION("""COMPUTED_VALUE"""),"Plan Esterilización Responsabilidad Compartida")</f>
        <v>Plan Esterilización Responsabilidad Compartida</v>
      </c>
      <c r="I56" s="10" t="str">
        <f ca="1">IFERROR(__xludf.DUMMYFUNCTION("""COMPUTED_VALUE"""),"Cumplir con normativa y reglamentos internos del programa en base a los objetivos.")</f>
        <v>Cumplir con normativa y reglamentos internos del programa en base a los objetivos.</v>
      </c>
      <c r="J56" s="11">
        <f ca="1">IFERROR(__xludf.DUMMYFUNCTION("""COMPUTED_VALUE"""),17400000)</f>
        <v>17400000</v>
      </c>
      <c r="K56" s="27">
        <f ca="1">IFERROR(__xludf.DUMMYFUNCTION("""COMPUTED_VALUE"""),1)</f>
        <v>1</v>
      </c>
      <c r="L56" s="28" t="str">
        <f ca="1">IFERROR(__xludf.DUMMYFUNCTION("""COMPUTED_VALUE"""),"4806/2024")</f>
        <v>4806/2024</v>
      </c>
      <c r="M56" s="10" t="str">
        <f ca="1">IFERROR(__xludf.DUMMYFUNCTION("""COMPUTED_VALUE"""),"PTRAC")</f>
        <v>PTRAC</v>
      </c>
      <c r="N56" s="1"/>
      <c r="O56" s="1"/>
      <c r="P56" s="1"/>
      <c r="Q56" s="1"/>
      <c r="R56" s="1"/>
      <c r="S56" s="1"/>
      <c r="T56" s="1"/>
      <c r="U56" s="1"/>
      <c r="V56" s="1"/>
      <c r="W56" s="1"/>
      <c r="X56" s="1"/>
      <c r="Y56" s="1"/>
      <c r="Z56" s="1"/>
    </row>
    <row r="57" spans="1:26" ht="12.75" customHeight="1">
      <c r="A57" s="1"/>
      <c r="B57" s="10" t="str">
        <f ca="1">IFERROR(__xludf.DUMMYFUNCTION("""COMPUTED_VALUE"""),"PLAN NACIONAL DE ESTERILIZACIONES RESPONSABILIDAD COMPARTIDA AÑO 2023 COMUNA DE PADRE LAS CASAS")</f>
        <v>PLAN NACIONAL DE ESTERILIZACIONES RESPONSABILIDAD COMPARTIDA AÑO 2023 COMUNA DE PADRE LAS CASAS</v>
      </c>
      <c r="C57" s="26" t="str">
        <f t="shared" ca="1" si="0"/>
        <v xml:space="preserve"> PADRE LAS CASAS</v>
      </c>
      <c r="D57" s="10" t="str">
        <f ca="1">IFERROR(__xludf.DUMMYFUNCTION("""COMPUTED_VALUE"""),"Resolución de Transferencia")</f>
        <v>Resolución de Transferencia</v>
      </c>
      <c r="E57" s="26" t="str">
        <f ca="1">IFERROR(__xludf.DUMMYFUNCTION("""COMPUTED_VALUE"""),"MUNICIPALIDAD DE PADRE LAS CASAS")</f>
        <v>MUNICIPALIDAD DE PADRE LAS CASAS</v>
      </c>
      <c r="F57" s="11">
        <f ca="1">IFERROR(__xludf.DUMMYFUNCTION("""COMPUTED_VALUE"""),31000000)</f>
        <v>31000000</v>
      </c>
      <c r="G57" s="10" t="str">
        <f ca="1">IFERROR(__xludf.DUMMYFUNCTION("""COMPUTED_VALUE"""),"Resolución")</f>
        <v>Resolución</v>
      </c>
      <c r="H57" s="10" t="str">
        <f ca="1">IFERROR(__xludf.DUMMYFUNCTION("""COMPUTED_VALUE"""),"Plan Esterilización Responsabilidad Compartida")</f>
        <v>Plan Esterilización Responsabilidad Compartida</v>
      </c>
      <c r="I57" s="10" t="str">
        <f ca="1">IFERROR(__xludf.DUMMYFUNCTION("""COMPUTED_VALUE"""),"Cumplir con normativa y reglamentos internos del programa en base a los objetivos.")</f>
        <v>Cumplir con normativa y reglamentos internos del programa en base a los objetivos.</v>
      </c>
      <c r="J57" s="11">
        <f ca="1">IFERROR(__xludf.DUMMYFUNCTION("""COMPUTED_VALUE"""),31000000)</f>
        <v>31000000</v>
      </c>
      <c r="K57" s="27">
        <f ca="1">IFERROR(__xludf.DUMMYFUNCTION("""COMPUTED_VALUE"""),1)</f>
        <v>1</v>
      </c>
      <c r="L57" s="28" t="str">
        <f ca="1">IFERROR(__xludf.DUMMYFUNCTION("""COMPUTED_VALUE"""),"4786/2024")</f>
        <v>4786/2024</v>
      </c>
      <c r="M57" s="10" t="str">
        <f ca="1">IFERROR(__xludf.DUMMYFUNCTION("""COMPUTED_VALUE"""),"PTRAC")</f>
        <v>PTRAC</v>
      </c>
      <c r="N57" s="1"/>
      <c r="O57" s="1"/>
      <c r="P57" s="1"/>
      <c r="Q57" s="1"/>
      <c r="R57" s="1"/>
      <c r="S57" s="1"/>
      <c r="T57" s="1"/>
      <c r="U57" s="1"/>
      <c r="V57" s="1"/>
      <c r="W57" s="1"/>
      <c r="X57" s="1"/>
      <c r="Y57" s="1"/>
      <c r="Z57" s="1"/>
    </row>
    <row r="58" spans="1:26" ht="12.75" customHeight="1">
      <c r="A58" s="1"/>
      <c r="B58" s="10" t="str">
        <f ca="1">IFERROR(__xludf.DUMMYFUNCTION("""COMPUTED_VALUE"""),"PLAN NACIONAL DE ESTERILIZACIONES RESPONSABILIDAD COMPARTIDA 2023 COMUNA DE COYHAIQUE")</f>
        <v>PLAN NACIONAL DE ESTERILIZACIONES RESPONSABILIDAD COMPARTIDA 2023 COMUNA DE COYHAIQUE</v>
      </c>
      <c r="C58" s="26" t="str">
        <f t="shared" ca="1" si="0"/>
        <v xml:space="preserve"> COYHAIQUE</v>
      </c>
      <c r="D58" s="10" t="str">
        <f ca="1">IFERROR(__xludf.DUMMYFUNCTION("""COMPUTED_VALUE"""),"Resolución de Transferencia")</f>
        <v>Resolución de Transferencia</v>
      </c>
      <c r="E58" s="26" t="str">
        <f ca="1">IFERROR(__xludf.DUMMYFUNCTION("""COMPUTED_VALUE"""),"MUNICIPALIDAD DE COYHAIQUE")</f>
        <v>MUNICIPALIDAD DE COYHAIQUE</v>
      </c>
      <c r="F58" s="11">
        <f ca="1">IFERROR(__xludf.DUMMYFUNCTION("""COMPUTED_VALUE"""),66000000)</f>
        <v>66000000</v>
      </c>
      <c r="G58" s="10" t="str">
        <f ca="1">IFERROR(__xludf.DUMMYFUNCTION("""COMPUTED_VALUE"""),"Resolución")</f>
        <v>Resolución</v>
      </c>
      <c r="H58" s="10" t="str">
        <f ca="1">IFERROR(__xludf.DUMMYFUNCTION("""COMPUTED_VALUE"""),"Plan Esterilización Responsabilidad Compartida")</f>
        <v>Plan Esterilización Responsabilidad Compartida</v>
      </c>
      <c r="I58" s="10" t="str">
        <f ca="1">IFERROR(__xludf.DUMMYFUNCTION("""COMPUTED_VALUE"""),"Cumplir con normativa y reglamentos internos del programa en base a los objetivos.")</f>
        <v>Cumplir con normativa y reglamentos internos del programa en base a los objetivos.</v>
      </c>
      <c r="J58" s="11">
        <f ca="1">IFERROR(__xludf.DUMMYFUNCTION("""COMPUTED_VALUE"""),66000000)</f>
        <v>66000000</v>
      </c>
      <c r="K58" s="27">
        <f ca="1">IFERROR(__xludf.DUMMYFUNCTION("""COMPUTED_VALUE"""),1)</f>
        <v>1</v>
      </c>
      <c r="L58" s="28" t="str">
        <f ca="1">IFERROR(__xludf.DUMMYFUNCTION("""COMPUTED_VALUE"""),"4924/2024")</f>
        <v>4924/2024</v>
      </c>
      <c r="M58" s="10" t="str">
        <f ca="1">IFERROR(__xludf.DUMMYFUNCTION("""COMPUTED_VALUE"""),"PTRAC")</f>
        <v>PTRAC</v>
      </c>
      <c r="N58" s="1"/>
      <c r="O58" s="1"/>
      <c r="P58" s="1"/>
      <c r="Q58" s="1"/>
      <c r="R58" s="1"/>
      <c r="S58" s="1"/>
      <c r="T58" s="1"/>
      <c r="U58" s="1"/>
      <c r="V58" s="1"/>
      <c r="W58" s="1"/>
      <c r="X58" s="1"/>
      <c r="Y58" s="1"/>
      <c r="Z58" s="1"/>
    </row>
    <row r="59" spans="1:26" ht="12.75" customHeight="1">
      <c r="A59" s="1"/>
      <c r="B59" s="10" t="str">
        <f ca="1">IFERROR(__xludf.DUMMYFUNCTION("""COMPUTED_VALUE"""),"PLAN NACIONAL DE ESTERILIZACIONES RESPONSABILIDAD COMPARTIDA 2023 COMUNA DE NEGRETE")</f>
        <v>PLAN NACIONAL DE ESTERILIZACIONES RESPONSABILIDAD COMPARTIDA 2023 COMUNA DE NEGRETE</v>
      </c>
      <c r="C59" s="26" t="str">
        <f t="shared" ca="1" si="0"/>
        <v xml:space="preserve"> NEGRETE</v>
      </c>
      <c r="D59" s="10" t="str">
        <f ca="1">IFERROR(__xludf.DUMMYFUNCTION("""COMPUTED_VALUE"""),"Resolución de Transferencia")</f>
        <v>Resolución de Transferencia</v>
      </c>
      <c r="E59" s="26" t="str">
        <f ca="1">IFERROR(__xludf.DUMMYFUNCTION("""COMPUTED_VALUE"""),"MUNICIPALIDAD DE NEGRETE")</f>
        <v>MUNICIPALIDAD DE NEGRETE</v>
      </c>
      <c r="F59" s="11">
        <f ca="1">IFERROR(__xludf.DUMMYFUNCTION("""COMPUTED_VALUE"""),29200000)</f>
        <v>29200000</v>
      </c>
      <c r="G59" s="10" t="str">
        <f ca="1">IFERROR(__xludf.DUMMYFUNCTION("""COMPUTED_VALUE"""),"Resolución")</f>
        <v>Resolución</v>
      </c>
      <c r="H59" s="10" t="str">
        <f ca="1">IFERROR(__xludf.DUMMYFUNCTION("""COMPUTED_VALUE"""),"Plan Esterilización Responsabilidad Compartida")</f>
        <v>Plan Esterilización Responsabilidad Compartida</v>
      </c>
      <c r="I59" s="10" t="str">
        <f ca="1">IFERROR(__xludf.DUMMYFUNCTION("""COMPUTED_VALUE"""),"Cumplir con normativa y reglamentos internos del programa en base a los objetivos.")</f>
        <v>Cumplir con normativa y reglamentos internos del programa en base a los objetivos.</v>
      </c>
      <c r="J59" s="11">
        <f ca="1">IFERROR(__xludf.DUMMYFUNCTION("""COMPUTED_VALUE"""),29200000)</f>
        <v>29200000</v>
      </c>
      <c r="K59" s="27">
        <f ca="1">IFERROR(__xludf.DUMMYFUNCTION("""COMPUTED_VALUE"""),1)</f>
        <v>1</v>
      </c>
      <c r="L59" s="28" t="str">
        <f ca="1">IFERROR(__xludf.DUMMYFUNCTION("""COMPUTED_VALUE"""),"6485/2024")</f>
        <v>6485/2024</v>
      </c>
      <c r="M59" s="10" t="str">
        <f ca="1">IFERROR(__xludf.DUMMYFUNCTION("""COMPUTED_VALUE"""),"PTRAC")</f>
        <v>PTRAC</v>
      </c>
      <c r="N59" s="1"/>
      <c r="O59" s="1"/>
      <c r="P59" s="1"/>
      <c r="Q59" s="1"/>
      <c r="R59" s="1"/>
      <c r="S59" s="1"/>
      <c r="T59" s="1"/>
      <c r="U59" s="1"/>
      <c r="V59" s="1"/>
      <c r="W59" s="1"/>
      <c r="X59" s="1"/>
      <c r="Y59" s="1"/>
      <c r="Z59" s="1"/>
    </row>
    <row r="60" spans="1:26" ht="12.75" customHeight="1">
      <c r="A60" s="1"/>
      <c r="B60" s="10" t="str">
        <f ca="1">IFERROR(__xludf.DUMMYFUNCTION("""COMPUTED_VALUE"""),"PLAN NACIONAL DE ESTERILIZACIONES RESPONSABILIDAD COMPARTIDA 2023 COMUNA DE LA GRANJA")</f>
        <v>PLAN NACIONAL DE ESTERILIZACIONES RESPONSABILIDAD COMPARTIDA 2023 COMUNA DE LA GRANJA</v>
      </c>
      <c r="C60" s="26" t="str">
        <f t="shared" ca="1" si="0"/>
        <v xml:space="preserve"> LA GRANJA</v>
      </c>
      <c r="D60" s="10" t="str">
        <f ca="1">IFERROR(__xludf.DUMMYFUNCTION("""COMPUTED_VALUE"""),"Resolución de Transferencia")</f>
        <v>Resolución de Transferencia</v>
      </c>
      <c r="E60" s="26" t="str">
        <f ca="1">IFERROR(__xludf.DUMMYFUNCTION("""COMPUTED_VALUE"""),"MUNICIPALIDAD DE LA GRANJA")</f>
        <v>MUNICIPALIDAD DE LA GRANJA</v>
      </c>
      <c r="F60" s="11">
        <f ca="1">IFERROR(__xludf.DUMMYFUNCTION("""COMPUTED_VALUE"""),31000000)</f>
        <v>31000000</v>
      </c>
      <c r="G60" s="10" t="str">
        <f ca="1">IFERROR(__xludf.DUMMYFUNCTION("""COMPUTED_VALUE"""),"Resolución")</f>
        <v>Resolución</v>
      </c>
      <c r="H60" s="10" t="str">
        <f ca="1">IFERROR(__xludf.DUMMYFUNCTION("""COMPUTED_VALUE"""),"Plan Esterilización Responsabilidad Compartida")</f>
        <v>Plan Esterilización Responsabilidad Compartida</v>
      </c>
      <c r="I60" s="10" t="str">
        <f ca="1">IFERROR(__xludf.DUMMYFUNCTION("""COMPUTED_VALUE"""),"Cumplir con normativa y reglamentos internos del programa en base a los objetivos.")</f>
        <v>Cumplir con normativa y reglamentos internos del programa en base a los objetivos.</v>
      </c>
      <c r="J60" s="11">
        <f ca="1">IFERROR(__xludf.DUMMYFUNCTION("""COMPUTED_VALUE"""),31000000)</f>
        <v>31000000</v>
      </c>
      <c r="K60" s="27">
        <f ca="1">IFERROR(__xludf.DUMMYFUNCTION("""COMPUTED_VALUE"""),1)</f>
        <v>1</v>
      </c>
      <c r="L60" s="28" t="str">
        <f ca="1">IFERROR(__xludf.DUMMYFUNCTION("""COMPUTED_VALUE"""),"7547/2024")</f>
        <v>7547/2024</v>
      </c>
      <c r="M60" s="10" t="str">
        <f ca="1">IFERROR(__xludf.DUMMYFUNCTION("""COMPUTED_VALUE"""),"PTRAC")</f>
        <v>PTRAC</v>
      </c>
      <c r="N60" s="1"/>
      <c r="O60" s="1"/>
      <c r="P60" s="1"/>
      <c r="Q60" s="1"/>
      <c r="R60" s="1"/>
      <c r="S60" s="1"/>
      <c r="T60" s="1"/>
      <c r="U60" s="1"/>
      <c r="V60" s="1"/>
      <c r="W60" s="1"/>
      <c r="X60" s="1"/>
      <c r="Y60" s="1"/>
      <c r="Z60" s="1"/>
    </row>
    <row r="61" spans="1:26" ht="12.75" customHeight="1">
      <c r="A61" s="1"/>
      <c r="B61" s="10" t="str">
        <f ca="1">IFERROR(__xludf.DUMMYFUNCTION("""COMPUTED_VALUE"""),"PLAN NACIONAL DE ESTERILIZACIONES RESPONSABILIDAD COMPARTIDA 2023 COMUNA DE CONCEPCIÓN")</f>
        <v>PLAN NACIONAL DE ESTERILIZACIONES RESPONSABILIDAD COMPARTIDA 2023 COMUNA DE CONCEPCIÓN</v>
      </c>
      <c r="C61" s="26" t="str">
        <f t="shared" ca="1" si="0"/>
        <v xml:space="preserve"> CONCEPCIÓN</v>
      </c>
      <c r="D61" s="10" t="str">
        <f ca="1">IFERROR(__xludf.DUMMYFUNCTION("""COMPUTED_VALUE"""),"Resolución de Transferencia")</f>
        <v>Resolución de Transferencia</v>
      </c>
      <c r="E61" s="26" t="str">
        <f ca="1">IFERROR(__xludf.DUMMYFUNCTION("""COMPUTED_VALUE"""),"MUNICIPALIDAD DE CONCEPCIÓN")</f>
        <v>MUNICIPALIDAD DE CONCEPCIÓN</v>
      </c>
      <c r="F61" s="11">
        <f ca="1">IFERROR(__xludf.DUMMYFUNCTION("""COMPUTED_VALUE"""),59000000)</f>
        <v>59000000</v>
      </c>
      <c r="G61" s="10" t="str">
        <f ca="1">IFERROR(__xludf.DUMMYFUNCTION("""COMPUTED_VALUE"""),"Resolución")</f>
        <v>Resolución</v>
      </c>
      <c r="H61" s="10" t="str">
        <f ca="1">IFERROR(__xludf.DUMMYFUNCTION("""COMPUTED_VALUE"""),"Plan Esterilización Responsabilidad Compartida")</f>
        <v>Plan Esterilización Responsabilidad Compartida</v>
      </c>
      <c r="I61" s="10" t="str">
        <f ca="1">IFERROR(__xludf.DUMMYFUNCTION("""COMPUTED_VALUE"""),"Cumplir con normativa y reglamentos internos del programa en base a los objetivos.")</f>
        <v>Cumplir con normativa y reglamentos internos del programa en base a los objetivos.</v>
      </c>
      <c r="J61" s="11">
        <f ca="1">IFERROR(__xludf.DUMMYFUNCTION("""COMPUTED_VALUE"""),59000000)</f>
        <v>59000000</v>
      </c>
      <c r="K61" s="27">
        <f ca="1">IFERROR(__xludf.DUMMYFUNCTION("""COMPUTED_VALUE"""),1)</f>
        <v>1</v>
      </c>
      <c r="L61" s="28" t="str">
        <f ca="1">IFERROR(__xludf.DUMMYFUNCTION("""COMPUTED_VALUE"""),"7543/2024")</f>
        <v>7543/2024</v>
      </c>
      <c r="M61" s="10" t="str">
        <f ca="1">IFERROR(__xludf.DUMMYFUNCTION("""COMPUTED_VALUE"""),"PTRAC")</f>
        <v>PTRAC</v>
      </c>
      <c r="N61" s="1"/>
      <c r="O61" s="1"/>
      <c r="P61" s="1"/>
      <c r="Q61" s="1"/>
      <c r="R61" s="1"/>
      <c r="S61" s="1"/>
      <c r="T61" s="1"/>
      <c r="U61" s="1"/>
      <c r="V61" s="1"/>
      <c r="W61" s="1"/>
      <c r="X61" s="1"/>
      <c r="Y61" s="1"/>
      <c r="Z61" s="1"/>
    </row>
    <row r="62" spans="1:26" ht="12.75" customHeight="1">
      <c r="A62" s="1"/>
      <c r="B62" s="10" t="str">
        <f ca="1">IFERROR(__xludf.DUMMYFUNCTION("""COMPUTED_VALUE"""),"PLAN NACIONAL DE ESTERILIZACIONES RESPONSABILIDAD COMPARTIDA 2023 COMUNA DE CARTAGENA")</f>
        <v>PLAN NACIONAL DE ESTERILIZACIONES RESPONSABILIDAD COMPARTIDA 2023 COMUNA DE CARTAGENA</v>
      </c>
      <c r="C62" s="26" t="str">
        <f t="shared" ca="1" si="0"/>
        <v xml:space="preserve"> CARTAGENA</v>
      </c>
      <c r="D62" s="10" t="str">
        <f ca="1">IFERROR(__xludf.DUMMYFUNCTION("""COMPUTED_VALUE"""),"Resolución de Transferencia")</f>
        <v>Resolución de Transferencia</v>
      </c>
      <c r="E62" s="26" t="str">
        <f ca="1">IFERROR(__xludf.DUMMYFUNCTION("""COMPUTED_VALUE"""),"MUNICIPALIDAD DE CARTAGENA")</f>
        <v>MUNICIPALIDAD DE CARTAGENA</v>
      </c>
      <c r="F62" s="11">
        <f ca="1">IFERROR(__xludf.DUMMYFUNCTION("""COMPUTED_VALUE"""),31000000)</f>
        <v>31000000</v>
      </c>
      <c r="G62" s="10" t="str">
        <f ca="1">IFERROR(__xludf.DUMMYFUNCTION("""COMPUTED_VALUE"""),"Resolución")</f>
        <v>Resolución</v>
      </c>
      <c r="H62" s="10" t="str">
        <f ca="1">IFERROR(__xludf.DUMMYFUNCTION("""COMPUTED_VALUE"""),"Plan Esterilización Responsabilidad Compartida")</f>
        <v>Plan Esterilización Responsabilidad Compartida</v>
      </c>
      <c r="I62" s="10" t="str">
        <f ca="1">IFERROR(__xludf.DUMMYFUNCTION("""COMPUTED_VALUE"""),"Cumplir con normativa y reglamentos internos del programa en base a los objetivos.")</f>
        <v>Cumplir con normativa y reglamentos internos del programa en base a los objetivos.</v>
      </c>
      <c r="J62" s="11">
        <f ca="1">IFERROR(__xludf.DUMMYFUNCTION("""COMPUTED_VALUE"""),31000000)</f>
        <v>31000000</v>
      </c>
      <c r="K62" s="27">
        <f ca="1">IFERROR(__xludf.DUMMYFUNCTION("""COMPUTED_VALUE"""),1)</f>
        <v>1</v>
      </c>
      <c r="L62" s="28" t="str">
        <f ca="1">IFERROR(__xludf.DUMMYFUNCTION("""COMPUTED_VALUE"""),"7545/2024")</f>
        <v>7545/2024</v>
      </c>
      <c r="M62" s="10" t="str">
        <f ca="1">IFERROR(__xludf.DUMMYFUNCTION("""COMPUTED_VALUE"""),"PTRAC")</f>
        <v>PTRAC</v>
      </c>
      <c r="N62" s="1"/>
      <c r="O62" s="1"/>
      <c r="P62" s="1"/>
      <c r="Q62" s="1"/>
      <c r="R62" s="1"/>
      <c r="S62" s="1"/>
      <c r="T62" s="1"/>
      <c r="U62" s="1"/>
      <c r="V62" s="1"/>
      <c r="W62" s="1"/>
      <c r="X62" s="1"/>
      <c r="Y62" s="1"/>
      <c r="Z62" s="1"/>
    </row>
    <row r="63" spans="1:26" ht="12.75" customHeight="1">
      <c r="A63" s="1"/>
      <c r="B63" s="10" t="str">
        <f ca="1">IFERROR(__xludf.DUMMYFUNCTION("""COMPUTED_VALUE"""),"PLAN NACIONAL DE ESTERILIZACIONES RESPONSABILIDAD COMPARTIDA 2024 COMUNA DE LONQUIMAY")</f>
        <v>PLAN NACIONAL DE ESTERILIZACIONES RESPONSABILIDAD COMPARTIDA 2024 COMUNA DE LONQUIMAY</v>
      </c>
      <c r="C63" s="26" t="str">
        <f t="shared" ca="1" si="0"/>
        <v xml:space="preserve"> LONQUIMAY</v>
      </c>
      <c r="D63" s="10" t="str">
        <f ca="1">IFERROR(__xludf.DUMMYFUNCTION("""COMPUTED_VALUE"""),"Resolución de Transferencia")</f>
        <v>Resolución de Transferencia</v>
      </c>
      <c r="E63" s="26" t="str">
        <f ca="1">IFERROR(__xludf.DUMMYFUNCTION("""COMPUTED_VALUE"""),"MUNICIPALIDAD DE LONQUIMAY")</f>
        <v>MUNICIPALIDAD DE LONQUIMAY</v>
      </c>
      <c r="F63" s="11">
        <f ca="1">IFERROR(__xludf.DUMMYFUNCTION("""COMPUTED_VALUE"""),27400000)</f>
        <v>27400000</v>
      </c>
      <c r="G63" s="10" t="str">
        <f ca="1">IFERROR(__xludf.DUMMYFUNCTION("""COMPUTED_VALUE"""),"Resolución")</f>
        <v>Resolución</v>
      </c>
      <c r="H63" s="10" t="str">
        <f ca="1">IFERROR(__xludf.DUMMYFUNCTION("""COMPUTED_VALUE"""),"Plan Esterilización Responsabilidad Compartida")</f>
        <v>Plan Esterilización Responsabilidad Compartida</v>
      </c>
      <c r="I63" s="10" t="str">
        <f ca="1">IFERROR(__xludf.DUMMYFUNCTION("""COMPUTED_VALUE"""),"Cumplir con normativa y reglamentos internos del programa en base a los objetivos.")</f>
        <v>Cumplir con normativa y reglamentos internos del programa en base a los objetivos.</v>
      </c>
      <c r="J63" s="11">
        <f ca="1">IFERROR(__xludf.DUMMYFUNCTION("""COMPUTED_VALUE"""),27400000)</f>
        <v>27400000</v>
      </c>
      <c r="K63" s="27">
        <f ca="1">IFERROR(__xludf.DUMMYFUNCTION("""COMPUTED_VALUE"""),1)</f>
        <v>1</v>
      </c>
      <c r="L63" s="28" t="str">
        <f ca="1">IFERROR(__xludf.DUMMYFUNCTION("""COMPUTED_VALUE"""),"7541/2024")</f>
        <v>7541/2024</v>
      </c>
      <c r="M63" s="10" t="str">
        <f ca="1">IFERROR(__xludf.DUMMYFUNCTION("""COMPUTED_VALUE"""),"PTRAC")</f>
        <v>PTRAC</v>
      </c>
      <c r="N63" s="1"/>
      <c r="O63" s="1"/>
      <c r="P63" s="1"/>
      <c r="Q63" s="1"/>
      <c r="R63" s="1"/>
      <c r="S63" s="1"/>
      <c r="T63" s="1"/>
      <c r="U63" s="1"/>
      <c r="V63" s="1"/>
      <c r="W63" s="1"/>
      <c r="X63" s="1"/>
      <c r="Y63" s="1"/>
      <c r="Z63" s="1"/>
    </row>
    <row r="64" spans="1:26" ht="12.75" customHeight="1">
      <c r="A64" s="1"/>
      <c r="B64" s="10" t="str">
        <f ca="1">IFERROR(__xludf.DUMMYFUNCTION("""COMPUTED_VALUE"""),"PLAN NACIONAL DE ESTERILIZACIONES RESPONSABILIDAD COMPARTIDA 2023 COMUNA DE OLMUÉ")</f>
        <v>PLAN NACIONAL DE ESTERILIZACIONES RESPONSABILIDAD COMPARTIDA 2023 COMUNA DE OLMUÉ</v>
      </c>
      <c r="C64" s="26" t="str">
        <f t="shared" ca="1" si="0"/>
        <v xml:space="preserve"> OLMUÉ</v>
      </c>
      <c r="D64" s="10" t="str">
        <f ca="1">IFERROR(__xludf.DUMMYFUNCTION("""COMPUTED_VALUE"""),"Resolución de Transferencia")</f>
        <v>Resolución de Transferencia</v>
      </c>
      <c r="E64" s="26" t="str">
        <f ca="1">IFERROR(__xludf.DUMMYFUNCTION("""COMPUTED_VALUE"""),"MUNICIPALIDAD DE OLMUÉ")</f>
        <v>MUNICIPALIDAD DE OLMUÉ</v>
      </c>
      <c r="F64" s="11">
        <f ca="1">IFERROR(__xludf.DUMMYFUNCTION("""COMPUTED_VALUE"""),19900000)</f>
        <v>19900000</v>
      </c>
      <c r="G64" s="10" t="str">
        <f ca="1">IFERROR(__xludf.DUMMYFUNCTION("""COMPUTED_VALUE"""),"Resolución")</f>
        <v>Resolución</v>
      </c>
      <c r="H64" s="10" t="str">
        <f ca="1">IFERROR(__xludf.DUMMYFUNCTION("""COMPUTED_VALUE"""),"Plan Esterilización Responsabilidad Compartida")</f>
        <v>Plan Esterilización Responsabilidad Compartida</v>
      </c>
      <c r="I64" s="10" t="str">
        <f ca="1">IFERROR(__xludf.DUMMYFUNCTION("""COMPUTED_VALUE"""),"Cumplir con normativa y reglamentos internos del programa en base a los objetivos.")</f>
        <v>Cumplir con normativa y reglamentos internos del programa en base a los objetivos.</v>
      </c>
      <c r="J64" s="11">
        <f ca="1">IFERROR(__xludf.DUMMYFUNCTION("""COMPUTED_VALUE"""),19900000)</f>
        <v>19900000</v>
      </c>
      <c r="K64" s="27">
        <f ca="1">IFERROR(__xludf.DUMMYFUNCTION("""COMPUTED_VALUE"""),1)</f>
        <v>1</v>
      </c>
      <c r="L64" s="28" t="str">
        <f ca="1">IFERROR(__xludf.DUMMYFUNCTION("""COMPUTED_VALUE"""),"7535/2024")</f>
        <v>7535/2024</v>
      </c>
      <c r="M64" s="10" t="str">
        <f ca="1">IFERROR(__xludf.DUMMYFUNCTION("""COMPUTED_VALUE"""),"PTRAC")</f>
        <v>PTRAC</v>
      </c>
      <c r="N64" s="1"/>
      <c r="O64" s="1"/>
      <c r="P64" s="1"/>
      <c r="Q64" s="1"/>
      <c r="R64" s="1"/>
      <c r="S64" s="1"/>
      <c r="T64" s="1"/>
      <c r="U64" s="1"/>
      <c r="V64" s="1"/>
      <c r="W64" s="1"/>
      <c r="X64" s="1"/>
      <c r="Y64" s="1"/>
      <c r="Z64" s="1"/>
    </row>
    <row r="65" spans="1:26" ht="12.75" customHeight="1">
      <c r="A65" s="1"/>
      <c r="B65" s="10" t="str">
        <f ca="1">IFERROR(__xludf.DUMMYFUNCTION("""COMPUTED_VALUE"""),"PLAN NACIONAL DE ESTERILIZACIONES RESPONSABILIDAD COMPARTIDA 2023 COMUNA DE PUERTO VARAS")</f>
        <v>PLAN NACIONAL DE ESTERILIZACIONES RESPONSABILIDAD COMPARTIDA 2023 COMUNA DE PUERTO VARAS</v>
      </c>
      <c r="C65" s="26" t="str">
        <f t="shared" ca="1" si="0"/>
        <v xml:space="preserve"> PUERTO VARAS</v>
      </c>
      <c r="D65" s="10" t="str">
        <f ca="1">IFERROR(__xludf.DUMMYFUNCTION("""COMPUTED_VALUE"""),"Resolución de Transferencia")</f>
        <v>Resolución de Transferencia</v>
      </c>
      <c r="E65" s="26" t="str">
        <f ca="1">IFERROR(__xludf.DUMMYFUNCTION("""COMPUTED_VALUE"""),"MUNICIPALIDAD DE PUERTO VARAS")</f>
        <v>MUNICIPALIDAD DE PUERTO VARAS</v>
      </c>
      <c r="F65" s="11">
        <f ca="1">IFERROR(__xludf.DUMMYFUNCTION("""COMPUTED_VALUE"""),27880000)</f>
        <v>27880000</v>
      </c>
      <c r="G65" s="10" t="str">
        <f ca="1">IFERROR(__xludf.DUMMYFUNCTION("""COMPUTED_VALUE"""),"Resolución")</f>
        <v>Resolución</v>
      </c>
      <c r="H65" s="10" t="str">
        <f ca="1">IFERROR(__xludf.DUMMYFUNCTION("""COMPUTED_VALUE"""),"Plan Esterilización Responsabilidad Compartida")</f>
        <v>Plan Esterilización Responsabilidad Compartida</v>
      </c>
      <c r="I65" s="10" t="str">
        <f ca="1">IFERROR(__xludf.DUMMYFUNCTION("""COMPUTED_VALUE"""),"Cumplir con normativa y reglamentos internos del programa en base a los objetivos.")</f>
        <v>Cumplir con normativa y reglamentos internos del programa en base a los objetivos.</v>
      </c>
      <c r="J65" s="11">
        <f ca="1">IFERROR(__xludf.DUMMYFUNCTION("""COMPUTED_VALUE"""),27880000)</f>
        <v>27880000</v>
      </c>
      <c r="K65" s="27">
        <f ca="1">IFERROR(__xludf.DUMMYFUNCTION("""COMPUTED_VALUE"""),1)</f>
        <v>1</v>
      </c>
      <c r="L65" s="28" t="str">
        <f ca="1">IFERROR(__xludf.DUMMYFUNCTION("""COMPUTED_VALUE"""),"7542/2024")</f>
        <v>7542/2024</v>
      </c>
      <c r="M65" s="10" t="str">
        <f ca="1">IFERROR(__xludf.DUMMYFUNCTION("""COMPUTED_VALUE"""),"PTRAC")</f>
        <v>PTRAC</v>
      </c>
      <c r="N65" s="1"/>
      <c r="O65" s="1"/>
      <c r="P65" s="1"/>
      <c r="Q65" s="1"/>
      <c r="R65" s="1"/>
      <c r="S65" s="1"/>
      <c r="T65" s="1"/>
      <c r="U65" s="1"/>
      <c r="V65" s="1"/>
      <c r="W65" s="1"/>
      <c r="X65" s="1"/>
      <c r="Y65" s="1"/>
      <c r="Z65" s="1"/>
    </row>
    <row r="66" spans="1:26" ht="12.75" customHeight="1">
      <c r="A66" s="1"/>
      <c r="B66" s="10" t="str">
        <f ca="1">IFERROR(__xludf.DUMMYFUNCTION("""COMPUTED_VALUE"""),"PLAN NACIONAL DE ESTERILIZACIONES RESPONSABILIDAD COMPARTIDA 2023 COMUNA DE CURARREHUE")</f>
        <v>PLAN NACIONAL DE ESTERILIZACIONES RESPONSABILIDAD COMPARTIDA 2023 COMUNA DE CURARREHUE</v>
      </c>
      <c r="C66" s="26" t="str">
        <f t="shared" ca="1" si="0"/>
        <v xml:space="preserve"> CURARREHUE</v>
      </c>
      <c r="D66" s="10" t="str">
        <f ca="1">IFERROR(__xludf.DUMMYFUNCTION("""COMPUTED_VALUE"""),"Resolución de Transferencia")</f>
        <v>Resolución de Transferencia</v>
      </c>
      <c r="E66" s="26" t="str">
        <f ca="1">IFERROR(__xludf.DUMMYFUNCTION("""COMPUTED_VALUE"""),"MUNICIPALIDAD DE CURARREHUE")</f>
        <v>MUNICIPALIDAD DE CURARREHUE</v>
      </c>
      <c r="F66" s="11">
        <f ca="1">IFERROR(__xludf.DUMMYFUNCTION("""COMPUTED_VALUE"""),16800000)</f>
        <v>16800000</v>
      </c>
      <c r="G66" s="10" t="str">
        <f ca="1">IFERROR(__xludf.DUMMYFUNCTION("""COMPUTED_VALUE"""),"Resolución")</f>
        <v>Resolución</v>
      </c>
      <c r="H66" s="10" t="str">
        <f ca="1">IFERROR(__xludf.DUMMYFUNCTION("""COMPUTED_VALUE"""),"Plan Esterilización Responsabilidad Compartida")</f>
        <v>Plan Esterilización Responsabilidad Compartida</v>
      </c>
      <c r="I66" s="10" t="str">
        <f ca="1">IFERROR(__xludf.DUMMYFUNCTION("""COMPUTED_VALUE"""),"Cumplir con normativa y reglamentos internos del programa en base a los objetivos.")</f>
        <v>Cumplir con normativa y reglamentos internos del programa en base a los objetivos.</v>
      </c>
      <c r="J66" s="11">
        <f ca="1">IFERROR(__xludf.DUMMYFUNCTION("""COMPUTED_VALUE"""),16800000)</f>
        <v>16800000</v>
      </c>
      <c r="K66" s="27">
        <f ca="1">IFERROR(__xludf.DUMMYFUNCTION("""COMPUTED_VALUE"""),1)</f>
        <v>1</v>
      </c>
      <c r="L66" s="28" t="str">
        <f ca="1">IFERROR(__xludf.DUMMYFUNCTION("""COMPUTED_VALUE"""),"7616/2024")</f>
        <v>7616/2024</v>
      </c>
      <c r="M66" s="10" t="str">
        <f ca="1">IFERROR(__xludf.DUMMYFUNCTION("""COMPUTED_VALUE"""),"PTRAC")</f>
        <v>PTRAC</v>
      </c>
      <c r="N66" s="1"/>
      <c r="O66" s="1"/>
      <c r="P66" s="1"/>
      <c r="Q66" s="1"/>
      <c r="R66" s="1"/>
      <c r="S66" s="1"/>
      <c r="T66" s="1"/>
      <c r="U66" s="1"/>
      <c r="V66" s="1"/>
      <c r="W66" s="1"/>
      <c r="X66" s="1"/>
      <c r="Y66" s="1"/>
      <c r="Z66" s="1"/>
    </row>
    <row r="67" spans="1:26" ht="12.75" customHeight="1">
      <c r="A67" s="1"/>
      <c r="B67" s="10" t="str">
        <f ca="1">IFERROR(__xludf.DUMMYFUNCTION("""COMPUTED_VALUE"""),"PLAN NACIONAL DE ESTERILIZACIONES RESPONSABILIDAD COMPARTIDA 2023 COMUNA DE NUEVA IMPERIAL")</f>
        <v>PLAN NACIONAL DE ESTERILIZACIONES RESPONSABILIDAD COMPARTIDA 2023 COMUNA DE NUEVA IMPERIAL</v>
      </c>
      <c r="C67" s="26" t="str">
        <f t="shared" ca="1" si="0"/>
        <v xml:space="preserve"> NUEVA IMPERIAL</v>
      </c>
      <c r="D67" s="10" t="str">
        <f ca="1">IFERROR(__xludf.DUMMYFUNCTION("""COMPUTED_VALUE"""),"Resolución de Transferencia")</f>
        <v>Resolución de Transferencia</v>
      </c>
      <c r="E67" s="26" t="str">
        <f ca="1">IFERROR(__xludf.DUMMYFUNCTION("""COMPUTED_VALUE"""),"MUNICIPALIDAD DE NUEVA IMPERIAL")</f>
        <v>MUNICIPALIDAD DE NUEVA IMPERIAL</v>
      </c>
      <c r="F67" s="11">
        <f ca="1">IFERROR(__xludf.DUMMYFUNCTION("""COMPUTED_VALUE"""),29800000)</f>
        <v>29800000</v>
      </c>
      <c r="G67" s="10" t="str">
        <f ca="1">IFERROR(__xludf.DUMMYFUNCTION("""COMPUTED_VALUE"""),"Resolución")</f>
        <v>Resolución</v>
      </c>
      <c r="H67" s="10" t="str">
        <f ca="1">IFERROR(__xludf.DUMMYFUNCTION("""COMPUTED_VALUE"""),"Plan Esterilización Responsabilidad Compartida")</f>
        <v>Plan Esterilización Responsabilidad Compartida</v>
      </c>
      <c r="I67" s="10" t="str">
        <f ca="1">IFERROR(__xludf.DUMMYFUNCTION("""COMPUTED_VALUE"""),"Cumplir con normativa y reglamentos internos del programa en base a los objetivos.")</f>
        <v>Cumplir con normativa y reglamentos internos del programa en base a los objetivos.</v>
      </c>
      <c r="J67" s="11">
        <f ca="1">IFERROR(__xludf.DUMMYFUNCTION("""COMPUTED_VALUE"""),29800000)</f>
        <v>29800000</v>
      </c>
      <c r="K67" s="27">
        <f ca="1">IFERROR(__xludf.DUMMYFUNCTION("""COMPUTED_VALUE"""),1)</f>
        <v>1</v>
      </c>
      <c r="L67" s="28" t="str">
        <f ca="1">IFERROR(__xludf.DUMMYFUNCTION("""COMPUTED_VALUE"""),"7470/2024")</f>
        <v>7470/2024</v>
      </c>
      <c r="M67" s="10" t="str">
        <f ca="1">IFERROR(__xludf.DUMMYFUNCTION("""COMPUTED_VALUE"""),"PTRAC")</f>
        <v>PTRAC</v>
      </c>
      <c r="N67" s="1"/>
      <c r="O67" s="1"/>
      <c r="P67" s="1"/>
      <c r="Q67" s="1"/>
      <c r="R67" s="1"/>
      <c r="S67" s="1"/>
      <c r="T67" s="1"/>
      <c r="U67" s="1"/>
      <c r="V67" s="1"/>
      <c r="W67" s="1"/>
      <c r="X67" s="1"/>
      <c r="Y67" s="1"/>
      <c r="Z67" s="1"/>
    </row>
    <row r="68" spans="1:26" ht="12.75" customHeight="1">
      <c r="A68" s="1"/>
      <c r="B68" s="10" t="str">
        <f ca="1">IFERROR(__xludf.DUMMYFUNCTION("""COMPUTED_VALUE"""),"PLAN NACIONAL DE ESTERILIZACIONES RESPONSABILIDAD COMPARTIDA 2023 COMUNA DE CHIGUAYANTE")</f>
        <v>PLAN NACIONAL DE ESTERILIZACIONES RESPONSABILIDAD COMPARTIDA 2023 COMUNA DE CHIGUAYANTE</v>
      </c>
      <c r="C68" s="26" t="str">
        <f t="shared" ca="1" si="0"/>
        <v xml:space="preserve"> CHIGUAYANTE</v>
      </c>
      <c r="D68" s="10" t="str">
        <f ca="1">IFERROR(__xludf.DUMMYFUNCTION("""COMPUTED_VALUE"""),"Resolución de Transferencia")</f>
        <v>Resolución de Transferencia</v>
      </c>
      <c r="E68" s="26" t="str">
        <f ca="1">IFERROR(__xludf.DUMMYFUNCTION("""COMPUTED_VALUE"""),"MUNICIPALIDAD DE CHIGUAYANTE")</f>
        <v>MUNICIPALIDAD DE CHIGUAYANTE</v>
      </c>
      <c r="F68" s="11">
        <f ca="1">IFERROR(__xludf.DUMMYFUNCTION("""COMPUTED_VALUE"""),28600000)</f>
        <v>28600000</v>
      </c>
      <c r="G68" s="10" t="str">
        <f ca="1">IFERROR(__xludf.DUMMYFUNCTION("""COMPUTED_VALUE"""),"Resolución")</f>
        <v>Resolución</v>
      </c>
      <c r="H68" s="10" t="str">
        <f ca="1">IFERROR(__xludf.DUMMYFUNCTION("""COMPUTED_VALUE"""),"Plan Esterilización Responsabilidad Compartida")</f>
        <v>Plan Esterilización Responsabilidad Compartida</v>
      </c>
      <c r="I68" s="10" t="str">
        <f ca="1">IFERROR(__xludf.DUMMYFUNCTION("""COMPUTED_VALUE"""),"Cumplir con normativa y reglamentos internos del programa en base a los objetivos.")</f>
        <v>Cumplir con normativa y reglamentos internos del programa en base a los objetivos.</v>
      </c>
      <c r="J68" s="11">
        <f ca="1">IFERROR(__xludf.DUMMYFUNCTION("""COMPUTED_VALUE"""),28600000)</f>
        <v>28600000</v>
      </c>
      <c r="K68" s="27">
        <f ca="1">IFERROR(__xludf.DUMMYFUNCTION("""COMPUTED_VALUE"""),1)</f>
        <v>1</v>
      </c>
      <c r="L68" s="28" t="str">
        <f ca="1">IFERROR(__xludf.DUMMYFUNCTION("""COMPUTED_VALUE"""),"7474/2024")</f>
        <v>7474/2024</v>
      </c>
      <c r="M68" s="10" t="str">
        <f ca="1">IFERROR(__xludf.DUMMYFUNCTION("""COMPUTED_VALUE"""),"PTRAC")</f>
        <v>PTRAC</v>
      </c>
      <c r="N68" s="1"/>
      <c r="O68" s="1"/>
      <c r="P68" s="1"/>
      <c r="Q68" s="1"/>
      <c r="R68" s="1"/>
      <c r="S68" s="1"/>
      <c r="T68" s="1"/>
      <c r="U68" s="1"/>
      <c r="V68" s="1"/>
      <c r="W68" s="1"/>
      <c r="X68" s="1"/>
      <c r="Y68" s="1"/>
      <c r="Z68" s="1"/>
    </row>
    <row r="69" spans="1:26" ht="12.75" customHeight="1">
      <c r="A69" s="1"/>
      <c r="B69" s="10" t="str">
        <f ca="1">IFERROR(__xludf.DUMMYFUNCTION("""COMPUTED_VALUE"""),"PLAN NACIONAL DE ESTERILIZACIONES RESPONSABILIDAD COMPARTIDA 2023 COMUNA DE VILCUN")</f>
        <v>PLAN NACIONAL DE ESTERILIZACIONES RESPONSABILIDAD COMPARTIDA 2023 COMUNA DE VILCUN</v>
      </c>
      <c r="C69" s="26" t="str">
        <f t="shared" ca="1" si="0"/>
        <v xml:space="preserve"> VILCÚN</v>
      </c>
      <c r="D69" s="10" t="str">
        <f ca="1">IFERROR(__xludf.DUMMYFUNCTION("""COMPUTED_VALUE"""),"Resolución de Transferencia")</f>
        <v>Resolución de Transferencia</v>
      </c>
      <c r="E69" s="26" t="str">
        <f ca="1">IFERROR(__xludf.DUMMYFUNCTION("""COMPUTED_VALUE"""),"MUNICIPALIDAD DE VILCÚN")</f>
        <v>MUNICIPALIDAD DE VILCÚN</v>
      </c>
      <c r="F69" s="11">
        <f ca="1">IFERROR(__xludf.DUMMYFUNCTION("""COMPUTED_VALUE"""),28600000)</f>
        <v>28600000</v>
      </c>
      <c r="G69" s="10" t="str">
        <f ca="1">IFERROR(__xludf.DUMMYFUNCTION("""COMPUTED_VALUE"""),"Resolución")</f>
        <v>Resolución</v>
      </c>
      <c r="H69" s="10" t="str">
        <f ca="1">IFERROR(__xludf.DUMMYFUNCTION("""COMPUTED_VALUE"""),"Plan Esterilización Responsabilidad Compartida")</f>
        <v>Plan Esterilización Responsabilidad Compartida</v>
      </c>
      <c r="I69" s="10" t="str">
        <f ca="1">IFERROR(__xludf.DUMMYFUNCTION("""COMPUTED_VALUE"""),"Cumplir con normativa y reglamentos internos del programa en base a los objetivos.")</f>
        <v>Cumplir con normativa y reglamentos internos del programa en base a los objetivos.</v>
      </c>
      <c r="J69" s="11">
        <f ca="1">IFERROR(__xludf.DUMMYFUNCTION("""COMPUTED_VALUE"""),28600000)</f>
        <v>28600000</v>
      </c>
      <c r="K69" s="27">
        <f ca="1">IFERROR(__xludf.DUMMYFUNCTION("""COMPUTED_VALUE"""),1)</f>
        <v>1</v>
      </c>
      <c r="L69" s="28" t="str">
        <f ca="1">IFERROR(__xludf.DUMMYFUNCTION("""COMPUTED_VALUE"""),"7615/2024")</f>
        <v>7615/2024</v>
      </c>
      <c r="M69" s="10" t="str">
        <f ca="1">IFERROR(__xludf.DUMMYFUNCTION("""COMPUTED_VALUE"""),"PTRAC")</f>
        <v>PTRAC</v>
      </c>
      <c r="N69" s="1"/>
      <c r="O69" s="1"/>
      <c r="P69" s="1"/>
      <c r="Q69" s="1"/>
      <c r="R69" s="1"/>
      <c r="S69" s="1"/>
      <c r="T69" s="1"/>
      <c r="U69" s="1"/>
      <c r="V69" s="1"/>
      <c r="W69" s="1"/>
      <c r="X69" s="1"/>
      <c r="Y69" s="1"/>
      <c r="Z69" s="1"/>
    </row>
    <row r="70" spans="1:26" ht="12.75" customHeight="1">
      <c r="A70" s="1"/>
      <c r="B70" s="10" t="str">
        <f ca="1">IFERROR(__xludf.DUMMYFUNCTION("""COMPUTED_VALUE"""),"PLAN NACIONAL DE ESTERILIZACIONES RESPONSABILIDAD COMPARTIDA AÑO 2023 DALCAHUE")</f>
        <v>PLAN NACIONAL DE ESTERILIZACIONES RESPONSABILIDAD COMPARTIDA AÑO 2023 DALCAHUE</v>
      </c>
      <c r="C70" s="26" t="str">
        <f t="shared" ca="1" si="0"/>
        <v xml:space="preserve"> DALCAHUE</v>
      </c>
      <c r="D70" s="10" t="str">
        <f ca="1">IFERROR(__xludf.DUMMYFUNCTION("""COMPUTED_VALUE"""),"Resolución de Transferencia")</f>
        <v>Resolución de Transferencia</v>
      </c>
      <c r="E70" s="26" t="str">
        <f ca="1">IFERROR(__xludf.DUMMYFUNCTION("""COMPUTED_VALUE"""),"MUNICIPALIDAD DE DALCAHUE")</f>
        <v>MUNICIPALIDAD DE DALCAHUE</v>
      </c>
      <c r="F70" s="11">
        <f ca="1">IFERROR(__xludf.DUMMYFUNCTION("""COMPUTED_VALUE"""),27100000)</f>
        <v>27100000</v>
      </c>
      <c r="G70" s="10" t="str">
        <f ca="1">IFERROR(__xludf.DUMMYFUNCTION("""COMPUTED_VALUE"""),"Resolución")</f>
        <v>Resolución</v>
      </c>
      <c r="H70" s="10" t="str">
        <f ca="1">IFERROR(__xludf.DUMMYFUNCTION("""COMPUTED_VALUE"""),"Plan Esterilización Responsabilidad Compartida")</f>
        <v>Plan Esterilización Responsabilidad Compartida</v>
      </c>
      <c r="I70" s="10" t="str">
        <f ca="1">IFERROR(__xludf.DUMMYFUNCTION("""COMPUTED_VALUE"""),"Cumplir con normativa y reglamentos internos del programa en base a los objetivos.")</f>
        <v>Cumplir con normativa y reglamentos internos del programa en base a los objetivos.</v>
      </c>
      <c r="J70" s="11">
        <f ca="1">IFERROR(__xludf.DUMMYFUNCTION("""COMPUTED_VALUE"""),27100000)</f>
        <v>27100000</v>
      </c>
      <c r="K70" s="27">
        <f ca="1">IFERROR(__xludf.DUMMYFUNCTION("""COMPUTED_VALUE"""),1)</f>
        <v>1</v>
      </c>
      <c r="L70" s="28" t="str">
        <f ca="1">IFERROR(__xludf.DUMMYFUNCTION("""COMPUTED_VALUE"""),"7467/2024")</f>
        <v>7467/2024</v>
      </c>
      <c r="M70" s="10" t="str">
        <f ca="1">IFERROR(__xludf.DUMMYFUNCTION("""COMPUTED_VALUE"""),"PTRAC")</f>
        <v>PTRAC</v>
      </c>
      <c r="N70" s="1"/>
      <c r="O70" s="1"/>
      <c r="P70" s="1"/>
      <c r="Q70" s="1"/>
      <c r="R70" s="1"/>
      <c r="S70" s="1"/>
      <c r="T70" s="1"/>
      <c r="U70" s="1"/>
      <c r="V70" s="1"/>
      <c r="W70" s="1"/>
      <c r="X70" s="1"/>
      <c r="Y70" s="1"/>
      <c r="Z70" s="1"/>
    </row>
    <row r="71" spans="1:26" ht="12.75" customHeight="1">
      <c r="A71" s="1"/>
      <c r="B71" s="10" t="str">
        <f ca="1">IFERROR(__xludf.DUMMYFUNCTION("""COMPUTED_VALUE"""),"PLAN NACIONAL DE ESTERILIZACIONES RESPONSABILIDAD COMPARTIDA 2023 COMUNA DE PURRANQUE")</f>
        <v>PLAN NACIONAL DE ESTERILIZACIONES RESPONSABILIDAD COMPARTIDA 2023 COMUNA DE PURRANQUE</v>
      </c>
      <c r="C71" s="26" t="str">
        <f t="shared" ca="1" si="0"/>
        <v xml:space="preserve"> PURRANQUE</v>
      </c>
      <c r="D71" s="10" t="str">
        <f ca="1">IFERROR(__xludf.DUMMYFUNCTION("""COMPUTED_VALUE"""),"Resolución de Transferencia")</f>
        <v>Resolución de Transferencia</v>
      </c>
      <c r="E71" s="26" t="str">
        <f ca="1">IFERROR(__xludf.DUMMYFUNCTION("""COMPUTED_VALUE"""),"MUNICIPALIDAD DE PURRANQUE")</f>
        <v>MUNICIPALIDAD DE PURRANQUE</v>
      </c>
      <c r="F71" s="11">
        <f ca="1">IFERROR(__xludf.DUMMYFUNCTION("""COMPUTED_VALUE"""),28600000)</f>
        <v>28600000</v>
      </c>
      <c r="G71" s="10" t="str">
        <f ca="1">IFERROR(__xludf.DUMMYFUNCTION("""COMPUTED_VALUE"""),"Resolución")</f>
        <v>Resolución</v>
      </c>
      <c r="H71" s="10" t="str">
        <f ca="1">IFERROR(__xludf.DUMMYFUNCTION("""COMPUTED_VALUE"""),"Plan Esterilización Responsabilidad Compartida")</f>
        <v>Plan Esterilización Responsabilidad Compartida</v>
      </c>
      <c r="I71" s="10" t="str">
        <f ca="1">IFERROR(__xludf.DUMMYFUNCTION("""COMPUTED_VALUE"""),"Cumplir con normativa y reglamentos internos del programa en base a los objetivos.")</f>
        <v>Cumplir con normativa y reglamentos internos del programa en base a los objetivos.</v>
      </c>
      <c r="J71" s="11">
        <f ca="1">IFERROR(__xludf.DUMMYFUNCTION("""COMPUTED_VALUE"""),28600000)</f>
        <v>28600000</v>
      </c>
      <c r="K71" s="27">
        <f ca="1">IFERROR(__xludf.DUMMYFUNCTION("""COMPUTED_VALUE"""),1)</f>
        <v>1</v>
      </c>
      <c r="L71" s="28" t="str">
        <f ca="1">IFERROR(__xludf.DUMMYFUNCTION("""COMPUTED_VALUE"""),"7535/2024")</f>
        <v>7535/2024</v>
      </c>
      <c r="M71" s="10" t="str">
        <f ca="1">IFERROR(__xludf.DUMMYFUNCTION("""COMPUTED_VALUE"""),"PTRAC")</f>
        <v>PTRAC</v>
      </c>
      <c r="N71" s="1"/>
      <c r="O71" s="1"/>
      <c r="P71" s="1"/>
      <c r="Q71" s="1"/>
      <c r="R71" s="1"/>
      <c r="S71" s="1"/>
      <c r="T71" s="1"/>
      <c r="U71" s="1"/>
      <c r="V71" s="1"/>
      <c r="W71" s="1"/>
      <c r="X71" s="1"/>
      <c r="Y71" s="1"/>
      <c r="Z71" s="1"/>
    </row>
    <row r="72" spans="1:26" ht="12.75" customHeight="1">
      <c r="A72" s="1"/>
      <c r="B72" s="10" t="str">
        <f ca="1">IFERROR(__xludf.DUMMYFUNCTION("""COMPUTED_VALUE"""),"PLAN NACIONAL DE ESTERILIZACIONES RESPONSABILIDAD COMPARTIDA 2024 COMUNA DE NACIMIENTO")</f>
        <v>PLAN NACIONAL DE ESTERILIZACIONES RESPONSABILIDAD COMPARTIDA 2024 COMUNA DE NACIMIENTO</v>
      </c>
      <c r="C72" s="26" t="str">
        <f t="shared" ca="1" si="0"/>
        <v xml:space="preserve"> NACIMIENTO</v>
      </c>
      <c r="D72" s="10" t="str">
        <f ca="1">IFERROR(__xludf.DUMMYFUNCTION("""COMPUTED_VALUE"""),"Resolución de Transferencia")</f>
        <v>Resolución de Transferencia</v>
      </c>
      <c r="E72" s="26" t="str">
        <f ca="1">IFERROR(__xludf.DUMMYFUNCTION("""COMPUTED_VALUE"""),"MUNICIPALIDAD DE NACIMIENTO")</f>
        <v>MUNICIPALIDAD DE NACIMIENTO</v>
      </c>
      <c r="F72" s="11">
        <f ca="1">IFERROR(__xludf.DUMMYFUNCTION("""COMPUTED_VALUE"""),16800000)</f>
        <v>16800000</v>
      </c>
      <c r="G72" s="10" t="str">
        <f ca="1">IFERROR(__xludf.DUMMYFUNCTION("""COMPUTED_VALUE"""),"Resolución")</f>
        <v>Resolución</v>
      </c>
      <c r="H72" s="10" t="str">
        <f ca="1">IFERROR(__xludf.DUMMYFUNCTION("""COMPUTED_VALUE"""),"Plan Esterilización Responsabilidad Compartida")</f>
        <v>Plan Esterilización Responsabilidad Compartida</v>
      </c>
      <c r="I72" s="10" t="str">
        <f ca="1">IFERROR(__xludf.DUMMYFUNCTION("""COMPUTED_VALUE"""),"Cumplir con normativa y reglamentos internos del programa en base a los objetivos.")</f>
        <v>Cumplir con normativa y reglamentos internos del programa en base a los objetivos.</v>
      </c>
      <c r="J72" s="11">
        <f ca="1">IFERROR(__xludf.DUMMYFUNCTION("""COMPUTED_VALUE"""),16800000)</f>
        <v>16800000</v>
      </c>
      <c r="K72" s="27">
        <f ca="1">IFERROR(__xludf.DUMMYFUNCTION("""COMPUTED_VALUE"""),1)</f>
        <v>1</v>
      </c>
      <c r="L72" s="28" t="str">
        <f ca="1">IFERROR(__xludf.DUMMYFUNCTION("""COMPUTED_VALUE"""),"7540/2024")</f>
        <v>7540/2024</v>
      </c>
      <c r="M72" s="10" t="str">
        <f ca="1">IFERROR(__xludf.DUMMYFUNCTION("""COMPUTED_VALUE"""),"PTRAC")</f>
        <v>PTRAC</v>
      </c>
      <c r="N72" s="1"/>
      <c r="O72" s="1"/>
      <c r="P72" s="1"/>
      <c r="Q72" s="1"/>
      <c r="R72" s="1"/>
      <c r="S72" s="1"/>
      <c r="T72" s="1"/>
      <c r="U72" s="1"/>
      <c r="V72" s="1"/>
      <c r="W72" s="1"/>
      <c r="X72" s="1"/>
      <c r="Y72" s="1"/>
      <c r="Z72" s="1"/>
    </row>
    <row r="73" spans="1:26" ht="12.75" customHeight="1">
      <c r="A73" s="1"/>
      <c r="B73" s="10" t="str">
        <f ca="1">IFERROR(__xludf.DUMMYFUNCTION("""COMPUTED_VALUE"""),"PLAN NACIONAL DE ESTERILIZACIONES RESPONSABILIDAD COMPARTIDA 2023 COMUNA DE SAN MIGUEL")</f>
        <v>PLAN NACIONAL DE ESTERILIZACIONES RESPONSABILIDAD COMPARTIDA 2023 COMUNA DE SAN MIGUEL</v>
      </c>
      <c r="C73" s="26" t="str">
        <f t="shared" ca="1" si="0"/>
        <v xml:space="preserve"> SAN MIGUEL</v>
      </c>
      <c r="D73" s="10" t="str">
        <f ca="1">IFERROR(__xludf.DUMMYFUNCTION("""COMPUTED_VALUE"""),"Resolución de Transferencia")</f>
        <v>Resolución de Transferencia</v>
      </c>
      <c r="E73" s="26" t="str">
        <f ca="1">IFERROR(__xludf.DUMMYFUNCTION("""COMPUTED_VALUE"""),"MUNICIPALIDAD DE SAN MIGUEL")</f>
        <v>MUNICIPALIDAD DE SAN MIGUEL</v>
      </c>
      <c r="F73" s="11">
        <f ca="1">IFERROR(__xludf.DUMMYFUNCTION("""COMPUTED_VALUE"""),27400000)</f>
        <v>27400000</v>
      </c>
      <c r="G73" s="10" t="str">
        <f ca="1">IFERROR(__xludf.DUMMYFUNCTION("""COMPUTED_VALUE"""),"Resolución")</f>
        <v>Resolución</v>
      </c>
      <c r="H73" s="10" t="str">
        <f ca="1">IFERROR(__xludf.DUMMYFUNCTION("""COMPUTED_VALUE"""),"Plan Esterilización Responsabilidad Compartida")</f>
        <v>Plan Esterilización Responsabilidad Compartida</v>
      </c>
      <c r="I73" s="10" t="str">
        <f ca="1">IFERROR(__xludf.DUMMYFUNCTION("""COMPUTED_VALUE"""),"Cumplir con normativa y reglamentos internos del programa en base a los objetivos.")</f>
        <v>Cumplir con normativa y reglamentos internos del programa en base a los objetivos.</v>
      </c>
      <c r="J73" s="11">
        <f ca="1">IFERROR(__xludf.DUMMYFUNCTION("""COMPUTED_VALUE"""),27400000)</f>
        <v>27400000</v>
      </c>
      <c r="K73" s="27">
        <f ca="1">IFERROR(__xludf.DUMMYFUNCTION("""COMPUTED_VALUE"""),1)</f>
        <v>1</v>
      </c>
      <c r="L73" s="28" t="str">
        <f ca="1">IFERROR(__xludf.DUMMYFUNCTION("""COMPUTED_VALUE"""),"7607/2024")</f>
        <v>7607/2024</v>
      </c>
      <c r="M73" s="10" t="str">
        <f ca="1">IFERROR(__xludf.DUMMYFUNCTION("""COMPUTED_VALUE"""),"PTRAC")</f>
        <v>PTRAC</v>
      </c>
      <c r="N73" s="1"/>
      <c r="O73" s="1"/>
      <c r="P73" s="1"/>
      <c r="Q73" s="1"/>
      <c r="R73" s="1"/>
      <c r="S73" s="1"/>
      <c r="T73" s="1"/>
      <c r="U73" s="1"/>
      <c r="V73" s="1"/>
      <c r="W73" s="1"/>
      <c r="X73" s="1"/>
      <c r="Y73" s="1"/>
      <c r="Z73" s="1"/>
    </row>
    <row r="74" spans="1:26" ht="12.75" customHeight="1">
      <c r="A74" s="1"/>
      <c r="B74" s="10" t="str">
        <f ca="1">IFERROR(__xludf.DUMMYFUNCTION("""COMPUTED_VALUE"""),"PLAN NACIONAL DE ESTERILIZACIONES COMPARTIDA AÑO 2023 EN LA COMUNA DE NATALES")</f>
        <v>PLAN NACIONAL DE ESTERILIZACIONES COMPARTIDA AÑO 2023 EN LA COMUNA DE NATALES</v>
      </c>
      <c r="C74" s="26" t="str">
        <f t="shared" ca="1" si="0"/>
        <v xml:space="preserve"> NATALES</v>
      </c>
      <c r="D74" s="10" t="str">
        <f ca="1">IFERROR(__xludf.DUMMYFUNCTION("""COMPUTED_VALUE"""),"Resolución de Transferencia")</f>
        <v>Resolución de Transferencia</v>
      </c>
      <c r="E74" s="26" t="str">
        <f ca="1">IFERROR(__xludf.DUMMYFUNCTION("""COMPUTED_VALUE"""),"MUNICIPALIDAD DE NATALES")</f>
        <v>MUNICIPALIDAD DE NATALES</v>
      </c>
      <c r="F74" s="11">
        <f ca="1">IFERROR(__xludf.DUMMYFUNCTION("""COMPUTED_VALUE"""),55500000)</f>
        <v>55500000</v>
      </c>
      <c r="G74" s="10" t="str">
        <f ca="1">IFERROR(__xludf.DUMMYFUNCTION("""COMPUTED_VALUE"""),"Resolución")</f>
        <v>Resolución</v>
      </c>
      <c r="H74" s="10" t="str">
        <f ca="1">IFERROR(__xludf.DUMMYFUNCTION("""COMPUTED_VALUE"""),"Plan Esterilización Responsabilidad Compartida")</f>
        <v>Plan Esterilización Responsabilidad Compartida</v>
      </c>
      <c r="I74" s="10" t="str">
        <f ca="1">IFERROR(__xludf.DUMMYFUNCTION("""COMPUTED_VALUE"""),"Cumplir con normativa y reglamentos internos del programa en base a los objetivos.")</f>
        <v>Cumplir con normativa y reglamentos internos del programa en base a los objetivos.</v>
      </c>
      <c r="J74" s="11">
        <f ca="1">IFERROR(__xludf.DUMMYFUNCTION("""COMPUTED_VALUE"""),55500000)</f>
        <v>55500000</v>
      </c>
      <c r="K74" s="27">
        <f ca="1">IFERROR(__xludf.DUMMYFUNCTION("""COMPUTED_VALUE"""),1)</f>
        <v>1</v>
      </c>
      <c r="L74" s="28" t="str">
        <f ca="1">IFERROR(__xludf.DUMMYFUNCTION("""COMPUTED_VALUE"""),"7606/2024")</f>
        <v>7606/2024</v>
      </c>
      <c r="M74" s="10" t="str">
        <f ca="1">IFERROR(__xludf.DUMMYFUNCTION("""COMPUTED_VALUE"""),"PTRAC")</f>
        <v>PTRAC</v>
      </c>
      <c r="N74" s="1"/>
      <c r="O74" s="1"/>
      <c r="P74" s="1"/>
      <c r="Q74" s="1"/>
      <c r="R74" s="1"/>
      <c r="S74" s="1"/>
      <c r="T74" s="1"/>
      <c r="U74" s="1"/>
      <c r="V74" s="1"/>
      <c r="W74" s="1"/>
      <c r="X74" s="1"/>
      <c r="Y74" s="1"/>
      <c r="Z74" s="1"/>
    </row>
    <row r="75" spans="1:26" ht="12.75" customHeight="1">
      <c r="A75" s="1"/>
      <c r="B75" s="10" t="str">
        <f ca="1">IFERROR(__xludf.DUMMYFUNCTION("""COMPUTED_VALUE"""),"PLAN NACIONAL DE ESTERILIZACIONES RESPONSABILIDAD COMPARTIDA 2023 COMUNA DE MEJILLONES.")</f>
        <v>PLAN NACIONAL DE ESTERILIZACIONES RESPONSABILIDAD COMPARTIDA 2023 COMUNA DE MEJILLONES.</v>
      </c>
      <c r="C75" s="26" t="str">
        <f t="shared" ca="1" si="0"/>
        <v xml:space="preserve"> MEJILLONES</v>
      </c>
      <c r="D75" s="10" t="str">
        <f ca="1">IFERROR(__xludf.DUMMYFUNCTION("""COMPUTED_VALUE"""),"Resolución de Transferencia")</f>
        <v>Resolución de Transferencia</v>
      </c>
      <c r="E75" s="26" t="str">
        <f ca="1">IFERROR(__xludf.DUMMYFUNCTION("""COMPUTED_VALUE"""),"MUNICIPALIDAD DE MEJILLONES")</f>
        <v>MUNICIPALIDAD DE MEJILLONES</v>
      </c>
      <c r="F75" s="11">
        <f ca="1">IFERROR(__xludf.DUMMYFUNCTION("""COMPUTED_VALUE"""),29200000)</f>
        <v>29200000</v>
      </c>
      <c r="G75" s="10" t="str">
        <f ca="1">IFERROR(__xludf.DUMMYFUNCTION("""COMPUTED_VALUE"""),"Resolución")</f>
        <v>Resolución</v>
      </c>
      <c r="H75" s="10" t="str">
        <f ca="1">IFERROR(__xludf.DUMMYFUNCTION("""COMPUTED_VALUE"""),"Plan Esterilización Responsabilidad Compartida")</f>
        <v>Plan Esterilización Responsabilidad Compartida</v>
      </c>
      <c r="I75" s="10" t="str">
        <f ca="1">IFERROR(__xludf.DUMMYFUNCTION("""COMPUTED_VALUE"""),"Cumplir con normativa y reglamentos internos del programa en base a los objetivos.")</f>
        <v>Cumplir con normativa y reglamentos internos del programa en base a los objetivos.</v>
      </c>
      <c r="J75" s="11">
        <f ca="1">IFERROR(__xludf.DUMMYFUNCTION("""COMPUTED_VALUE"""),29200000)</f>
        <v>29200000</v>
      </c>
      <c r="K75" s="27">
        <f ca="1">IFERROR(__xludf.DUMMYFUNCTION("""COMPUTED_VALUE"""),1)</f>
        <v>1</v>
      </c>
      <c r="L75" s="28" t="str">
        <f ca="1">IFERROR(__xludf.DUMMYFUNCTION("""COMPUTED_VALUE"""),"7546/2024")</f>
        <v>7546/2024</v>
      </c>
      <c r="M75" s="10" t="str">
        <f ca="1">IFERROR(__xludf.DUMMYFUNCTION("""COMPUTED_VALUE"""),"PTRAC")</f>
        <v>PTRAC</v>
      </c>
      <c r="N75" s="1"/>
      <c r="O75" s="1"/>
      <c r="P75" s="1"/>
      <c r="Q75" s="1"/>
      <c r="R75" s="1"/>
      <c r="S75" s="1"/>
      <c r="T75" s="1"/>
      <c r="U75" s="1"/>
      <c r="V75" s="1"/>
      <c r="W75" s="1"/>
      <c r="X75" s="1"/>
      <c r="Y75" s="1"/>
      <c r="Z75" s="1"/>
    </row>
    <row r="76" spans="1:26" ht="12.75" customHeight="1">
      <c r="A76" s="1"/>
      <c r="B76" s="10" t="str">
        <f ca="1">IFERROR(__xludf.DUMMYFUNCTION("""COMPUTED_VALUE"""),"PLAN NACIONAL DE ESTERILIZACIONES RESPONSABILIDAD COMPARTIDA 2023 COMUNA DE CABILDO")</f>
        <v>PLAN NACIONAL DE ESTERILIZACIONES RESPONSABILIDAD COMPARTIDA 2023 COMUNA DE CABILDO</v>
      </c>
      <c r="C76" s="26" t="str">
        <f t="shared" ca="1" si="0"/>
        <v xml:space="preserve"> CABILDO</v>
      </c>
      <c r="D76" s="10" t="str">
        <f ca="1">IFERROR(__xludf.DUMMYFUNCTION("""COMPUTED_VALUE"""),"Resolución de Transferencia")</f>
        <v>Resolución de Transferencia</v>
      </c>
      <c r="E76" s="26" t="str">
        <f ca="1">IFERROR(__xludf.DUMMYFUNCTION("""COMPUTED_VALUE"""),"MUNICIPALIDAD DE CABILDO")</f>
        <v>MUNICIPALIDAD DE CABILDO</v>
      </c>
      <c r="F76" s="11">
        <f ca="1">IFERROR(__xludf.DUMMYFUNCTION("""COMPUTED_VALUE"""),29200000)</f>
        <v>29200000</v>
      </c>
      <c r="G76" s="10" t="str">
        <f ca="1">IFERROR(__xludf.DUMMYFUNCTION("""COMPUTED_VALUE"""),"Resolución")</f>
        <v>Resolución</v>
      </c>
      <c r="H76" s="10" t="str">
        <f ca="1">IFERROR(__xludf.DUMMYFUNCTION("""COMPUTED_VALUE"""),"Plan Esterilización Responsabilidad Compartida")</f>
        <v>Plan Esterilización Responsabilidad Compartida</v>
      </c>
      <c r="I76" s="10" t="str">
        <f ca="1">IFERROR(__xludf.DUMMYFUNCTION("""COMPUTED_VALUE"""),"Cumplir con normativa y reglamentos internos del programa en base a los objetivos.")</f>
        <v>Cumplir con normativa y reglamentos internos del programa en base a los objetivos.</v>
      </c>
      <c r="J76" s="11">
        <f ca="1">IFERROR(__xludf.DUMMYFUNCTION("""COMPUTED_VALUE"""),29200000)</f>
        <v>29200000</v>
      </c>
      <c r="K76" s="27">
        <f ca="1">IFERROR(__xludf.DUMMYFUNCTION("""COMPUTED_VALUE"""),1)</f>
        <v>1</v>
      </c>
      <c r="L76" s="28" t="str">
        <f ca="1">IFERROR(__xludf.DUMMYFUNCTION("""COMPUTED_VALUE"""),"7539/2024")</f>
        <v>7539/2024</v>
      </c>
      <c r="M76" s="10" t="str">
        <f ca="1">IFERROR(__xludf.DUMMYFUNCTION("""COMPUTED_VALUE"""),"PTRAC")</f>
        <v>PTRAC</v>
      </c>
      <c r="N76" s="1"/>
      <c r="O76" s="1"/>
      <c r="P76" s="1"/>
      <c r="Q76" s="1"/>
      <c r="R76" s="1"/>
      <c r="S76" s="1"/>
      <c r="T76" s="1"/>
      <c r="U76" s="1"/>
      <c r="V76" s="1"/>
      <c r="W76" s="1"/>
      <c r="X76" s="1"/>
      <c r="Y76" s="1"/>
      <c r="Z76" s="1"/>
    </row>
    <row r="77" spans="1:26" ht="12.75" customHeight="1">
      <c r="A77" s="1"/>
      <c r="B77" s="10" t="str">
        <f ca="1">IFERROR(__xludf.DUMMYFUNCTION("""COMPUTED_VALUE"""),"PLAN NACIONAL DE ESTERILIZACIONES RESPONSABILIDAD COMPARTIDA 2023 COMUNA DE LLAY LLAY")</f>
        <v>PLAN NACIONAL DE ESTERILIZACIONES RESPONSABILIDAD COMPARTIDA 2023 COMUNA DE LLAY LLAY</v>
      </c>
      <c r="C77" s="26" t="str">
        <f t="shared" ca="1" si="0"/>
        <v xml:space="preserve"> LLAILLAY</v>
      </c>
      <c r="D77" s="10" t="str">
        <f ca="1">IFERROR(__xludf.DUMMYFUNCTION("""COMPUTED_VALUE"""),"Resolución de Transferencia")</f>
        <v>Resolución de Transferencia</v>
      </c>
      <c r="E77" s="26" t="str">
        <f ca="1">IFERROR(__xludf.DUMMYFUNCTION("""COMPUTED_VALUE"""),"MUNICIPALIDAD DE LLAILLAY")</f>
        <v>MUNICIPALIDAD DE LLAILLAY</v>
      </c>
      <c r="F77" s="11">
        <f ca="1">IFERROR(__xludf.DUMMYFUNCTION("""COMPUTED_VALUE"""),29200000)</f>
        <v>29200000</v>
      </c>
      <c r="G77" s="10" t="str">
        <f ca="1">IFERROR(__xludf.DUMMYFUNCTION("""COMPUTED_VALUE"""),"Resolución")</f>
        <v>Resolución</v>
      </c>
      <c r="H77" s="10" t="str">
        <f ca="1">IFERROR(__xludf.DUMMYFUNCTION("""COMPUTED_VALUE"""),"Plan Esterilización Responsabilidad Compartida")</f>
        <v>Plan Esterilización Responsabilidad Compartida</v>
      </c>
      <c r="I77" s="10" t="str">
        <f ca="1">IFERROR(__xludf.DUMMYFUNCTION("""COMPUTED_VALUE"""),"Cumplir con normativa y reglamentos internos del programa en base a los objetivos.")</f>
        <v>Cumplir con normativa y reglamentos internos del programa en base a los objetivos.</v>
      </c>
      <c r="J77" s="11">
        <f ca="1">IFERROR(__xludf.DUMMYFUNCTION("""COMPUTED_VALUE"""),29200000)</f>
        <v>29200000</v>
      </c>
      <c r="K77" s="27">
        <f ca="1">IFERROR(__xludf.DUMMYFUNCTION("""COMPUTED_VALUE"""),1)</f>
        <v>1</v>
      </c>
      <c r="L77" s="28" t="str">
        <f ca="1">IFERROR(__xludf.DUMMYFUNCTION("""COMPUTED_VALUE"""),"7614/2024")</f>
        <v>7614/2024</v>
      </c>
      <c r="M77" s="10" t="str">
        <f ca="1">IFERROR(__xludf.DUMMYFUNCTION("""COMPUTED_VALUE"""),"PTRAC")</f>
        <v>PTRAC</v>
      </c>
      <c r="N77" s="1"/>
      <c r="O77" s="1"/>
      <c r="P77" s="1"/>
      <c r="Q77" s="1"/>
      <c r="R77" s="1"/>
      <c r="S77" s="1"/>
      <c r="T77" s="1"/>
      <c r="U77" s="1"/>
      <c r="V77" s="1"/>
      <c r="W77" s="1"/>
      <c r="X77" s="1"/>
      <c r="Y77" s="1"/>
      <c r="Z77" s="1"/>
    </row>
    <row r="78" spans="1:26" ht="12.75" customHeight="1">
      <c r="A78" s="1"/>
      <c r="B78" s="10" t="str">
        <f ca="1">IFERROR(__xludf.DUMMYFUNCTION("""COMPUTED_VALUE"""),"PLAN NACIONAL DE ESTERILIZACIONES RESPONSABILIDAD COMPARTIDA 2023 COMUNA DE FUTRONO")</f>
        <v>PLAN NACIONAL DE ESTERILIZACIONES RESPONSABILIDAD COMPARTIDA 2023 COMUNA DE FUTRONO</v>
      </c>
      <c r="C78" s="26" t="str">
        <f t="shared" ca="1" si="0"/>
        <v xml:space="preserve"> FUTRONO</v>
      </c>
      <c r="D78" s="10" t="str">
        <f ca="1">IFERROR(__xludf.DUMMYFUNCTION("""COMPUTED_VALUE"""),"Resolución de Transferencia")</f>
        <v>Resolución de Transferencia</v>
      </c>
      <c r="E78" s="26" t="str">
        <f ca="1">IFERROR(__xludf.DUMMYFUNCTION("""COMPUTED_VALUE"""),"MUNICIPALIDAD DE FUTRONO")</f>
        <v>MUNICIPALIDAD DE FUTRONO</v>
      </c>
      <c r="F78" s="11">
        <f ca="1">IFERROR(__xludf.DUMMYFUNCTION("""COMPUTED_VALUE"""),22400000)</f>
        <v>22400000</v>
      </c>
      <c r="G78" s="10" t="str">
        <f ca="1">IFERROR(__xludf.DUMMYFUNCTION("""COMPUTED_VALUE"""),"Resolución")</f>
        <v>Resolución</v>
      </c>
      <c r="H78" s="10" t="str">
        <f ca="1">IFERROR(__xludf.DUMMYFUNCTION("""COMPUTED_VALUE"""),"Plan Esterilización Responsabilidad Compartida")</f>
        <v>Plan Esterilización Responsabilidad Compartida</v>
      </c>
      <c r="I78" s="10" t="str">
        <f ca="1">IFERROR(__xludf.DUMMYFUNCTION("""COMPUTED_VALUE"""),"Cumplir con normativa y reglamentos internos del programa en base a los objetivos.")</f>
        <v>Cumplir con normativa y reglamentos internos del programa en base a los objetivos.</v>
      </c>
      <c r="J78" s="11">
        <f ca="1">IFERROR(__xludf.DUMMYFUNCTION("""COMPUTED_VALUE"""),22400000)</f>
        <v>22400000</v>
      </c>
      <c r="K78" s="27">
        <f ca="1">IFERROR(__xludf.DUMMYFUNCTION("""COMPUTED_VALUE"""),1)</f>
        <v>1</v>
      </c>
      <c r="L78" s="28" t="str">
        <f ca="1">IFERROR(__xludf.DUMMYFUNCTION("""COMPUTED_VALUE"""),"7630/2024")</f>
        <v>7630/2024</v>
      </c>
      <c r="M78" s="10" t="str">
        <f ca="1">IFERROR(__xludf.DUMMYFUNCTION("""COMPUTED_VALUE"""),"PTRAC")</f>
        <v>PTRAC</v>
      </c>
      <c r="N78" s="1"/>
      <c r="O78" s="1"/>
      <c r="P78" s="1"/>
      <c r="Q78" s="1"/>
      <c r="R78" s="1"/>
      <c r="S78" s="1"/>
      <c r="T78" s="1"/>
      <c r="U78" s="1"/>
      <c r="V78" s="1"/>
      <c r="W78" s="1"/>
      <c r="X78" s="1"/>
      <c r="Y78" s="1"/>
      <c r="Z78" s="1"/>
    </row>
    <row r="79" spans="1:26" ht="12.75" customHeight="1">
      <c r="A79" s="1"/>
      <c r="B79" s="10" t="str">
        <f ca="1">IFERROR(__xludf.DUMMYFUNCTION("""COMPUTED_VALUE"""),"PLAN NACIONAL DE ESTERILIZACIONES RESPONSABILIDAD COMPARTIDA 2023, COMUNA DE QUEMCHI")</f>
        <v>PLAN NACIONAL DE ESTERILIZACIONES RESPONSABILIDAD COMPARTIDA 2023, COMUNA DE QUEMCHI</v>
      </c>
      <c r="C79" s="26" t="str">
        <f t="shared" ca="1" si="0"/>
        <v xml:space="preserve"> QUEMCHI</v>
      </c>
      <c r="D79" s="10" t="str">
        <f ca="1">IFERROR(__xludf.DUMMYFUNCTION("""COMPUTED_VALUE"""),"Resolución de Transferencia")</f>
        <v>Resolución de Transferencia</v>
      </c>
      <c r="E79" s="26" t="str">
        <f ca="1">IFERROR(__xludf.DUMMYFUNCTION("""COMPUTED_VALUE"""),"MUNICIPALIDAD DE QUEMCHI")</f>
        <v>MUNICIPALIDAD DE QUEMCHI</v>
      </c>
      <c r="F79" s="11">
        <f ca="1">IFERROR(__xludf.DUMMYFUNCTION("""COMPUTED_VALUE"""),10900000)</f>
        <v>10900000</v>
      </c>
      <c r="G79" s="10" t="str">
        <f ca="1">IFERROR(__xludf.DUMMYFUNCTION("""COMPUTED_VALUE"""),"Resolución")</f>
        <v>Resolución</v>
      </c>
      <c r="H79" s="10" t="str">
        <f ca="1">IFERROR(__xludf.DUMMYFUNCTION("""COMPUTED_VALUE"""),"Plan Esterilización Responsabilidad Compartida")</f>
        <v>Plan Esterilización Responsabilidad Compartida</v>
      </c>
      <c r="I79" s="10" t="str">
        <f ca="1">IFERROR(__xludf.DUMMYFUNCTION("""COMPUTED_VALUE"""),"Cumplir con normativa y reglamentos internos del programa en base a los objetivos.")</f>
        <v>Cumplir con normativa y reglamentos internos del programa en base a los objetivos.</v>
      </c>
      <c r="J79" s="11">
        <f ca="1">IFERROR(__xludf.DUMMYFUNCTION("""COMPUTED_VALUE"""),10900000)</f>
        <v>10900000</v>
      </c>
      <c r="K79" s="27">
        <f ca="1">IFERROR(__xludf.DUMMYFUNCTION("""COMPUTED_VALUE"""),1)</f>
        <v>1</v>
      </c>
      <c r="L79" s="28" t="str">
        <f ca="1">IFERROR(__xludf.DUMMYFUNCTION("""COMPUTED_VALUE"""),"7626/2024")</f>
        <v>7626/2024</v>
      </c>
      <c r="M79" s="10" t="str">
        <f ca="1">IFERROR(__xludf.DUMMYFUNCTION("""COMPUTED_VALUE"""),"PTRAC")</f>
        <v>PTRAC</v>
      </c>
      <c r="N79" s="1"/>
      <c r="O79" s="1"/>
      <c r="P79" s="1"/>
      <c r="Q79" s="1"/>
      <c r="R79" s="1"/>
      <c r="S79" s="1"/>
      <c r="T79" s="1"/>
      <c r="U79" s="1"/>
      <c r="V79" s="1"/>
      <c r="W79" s="1"/>
      <c r="X79" s="1"/>
      <c r="Y79" s="1"/>
      <c r="Z79" s="1"/>
    </row>
    <row r="80" spans="1:26" ht="12.75" customHeight="1">
      <c r="A80" s="1"/>
      <c r="B80" s="10" t="str">
        <f ca="1">IFERROR(__xludf.DUMMYFUNCTION("""COMPUTED_VALUE"""),"PLAN NACIONAL DE ESTERILIZACIONES RESPONSABILIDAD COMPARTIDA 2024 COMUNA DE LLANQUIHUE")</f>
        <v>PLAN NACIONAL DE ESTERILIZACIONES RESPONSABILIDAD COMPARTIDA 2024 COMUNA DE LLANQUIHUE</v>
      </c>
      <c r="C80" s="26" t="str">
        <f t="shared" ca="1" si="0"/>
        <v xml:space="preserve"> FRESIA</v>
      </c>
      <c r="D80" s="10" t="str">
        <f ca="1">IFERROR(__xludf.DUMMYFUNCTION("""COMPUTED_VALUE"""),"Resolución de Transferencia")</f>
        <v>Resolución de Transferencia</v>
      </c>
      <c r="E80" s="26" t="str">
        <f ca="1">IFERROR(__xludf.DUMMYFUNCTION("""COMPUTED_VALUE"""),"MUNICIPALIDAD DE FRESIA")</f>
        <v>MUNICIPALIDAD DE FRESIA</v>
      </c>
      <c r="F80" s="11">
        <f ca="1">IFERROR(__xludf.DUMMYFUNCTION("""COMPUTED_VALUE"""),27700000)</f>
        <v>27700000</v>
      </c>
      <c r="G80" s="10" t="str">
        <f ca="1">IFERROR(__xludf.DUMMYFUNCTION("""COMPUTED_VALUE"""),"Resolución")</f>
        <v>Resolución</v>
      </c>
      <c r="H80" s="10" t="str">
        <f ca="1">IFERROR(__xludf.DUMMYFUNCTION("""COMPUTED_VALUE"""),"Plan Esterilización Responsabilidad Compartida")</f>
        <v>Plan Esterilización Responsabilidad Compartida</v>
      </c>
      <c r="I80" s="10" t="str">
        <f ca="1">IFERROR(__xludf.DUMMYFUNCTION("""COMPUTED_VALUE"""),"Cumplir con normativa y reglamentos internos del programa en base a los objetivos.")</f>
        <v>Cumplir con normativa y reglamentos internos del programa en base a los objetivos.</v>
      </c>
      <c r="J80" s="11">
        <f ca="1">IFERROR(__xludf.DUMMYFUNCTION("""COMPUTED_VALUE"""),27700000)</f>
        <v>27700000</v>
      </c>
      <c r="K80" s="27">
        <f ca="1">IFERROR(__xludf.DUMMYFUNCTION("""COMPUTED_VALUE"""),1)</f>
        <v>1</v>
      </c>
      <c r="L80" s="28" t="str">
        <f ca="1">IFERROR(__xludf.DUMMYFUNCTION("""COMPUTED_VALUE"""),"7628/2024")</f>
        <v>7628/2024</v>
      </c>
      <c r="M80" s="10" t="str">
        <f ca="1">IFERROR(__xludf.DUMMYFUNCTION("""COMPUTED_VALUE"""),"PTRAC")</f>
        <v>PTRAC</v>
      </c>
      <c r="N80" s="1"/>
      <c r="O80" s="1"/>
      <c r="P80" s="1"/>
      <c r="Q80" s="1"/>
      <c r="R80" s="1"/>
      <c r="S80" s="1"/>
      <c r="T80" s="1"/>
      <c r="U80" s="1"/>
      <c r="V80" s="1"/>
      <c r="W80" s="1"/>
      <c r="X80" s="1"/>
      <c r="Y80" s="1"/>
      <c r="Z80" s="1"/>
    </row>
    <row r="81" spans="1:26" ht="12.75" customHeight="1">
      <c r="A81" s="1"/>
      <c r="B81" s="10" t="str">
        <f ca="1">IFERROR(__xludf.DUMMYFUNCTION("""COMPUTED_VALUE"""),"PLAN NACIONAL DE ESTERILIZACIONES RESPONSABILIDAD COMPARTIDA 2023 COMUNA DE HUALAIHUE")</f>
        <v>PLAN NACIONAL DE ESTERILIZACIONES RESPONSABILIDAD COMPARTIDA 2023 COMUNA DE HUALAIHUE</v>
      </c>
      <c r="C81" s="26" t="str">
        <f t="shared" ca="1" si="0"/>
        <v xml:space="preserve"> HUALAIHUÉ</v>
      </c>
      <c r="D81" s="10" t="str">
        <f ca="1">IFERROR(__xludf.DUMMYFUNCTION("""COMPUTED_VALUE"""),"Resolución de Transferencia")</f>
        <v>Resolución de Transferencia</v>
      </c>
      <c r="E81" s="26" t="str">
        <f ca="1">IFERROR(__xludf.DUMMYFUNCTION("""COMPUTED_VALUE"""),"MUNICIPALIDAD DE HUALAIHUÉ")</f>
        <v>MUNICIPALIDAD DE HUALAIHUÉ</v>
      </c>
      <c r="F81" s="11">
        <f ca="1">IFERROR(__xludf.DUMMYFUNCTION("""COMPUTED_VALUE"""),31200000)</f>
        <v>31200000</v>
      </c>
      <c r="G81" s="10" t="str">
        <f ca="1">IFERROR(__xludf.DUMMYFUNCTION("""COMPUTED_VALUE"""),"Resolución")</f>
        <v>Resolución</v>
      </c>
      <c r="H81" s="10" t="str">
        <f ca="1">IFERROR(__xludf.DUMMYFUNCTION("""COMPUTED_VALUE"""),"Plan Esterilización Responsabilidad Compartida")</f>
        <v>Plan Esterilización Responsabilidad Compartida</v>
      </c>
      <c r="I81" s="10" t="str">
        <f ca="1">IFERROR(__xludf.DUMMYFUNCTION("""COMPUTED_VALUE"""),"Cumplir con normativa y reglamentos internos del programa en base a los objetivos.")</f>
        <v>Cumplir con normativa y reglamentos internos del programa en base a los objetivos.</v>
      </c>
      <c r="J81" s="11">
        <f ca="1">IFERROR(__xludf.DUMMYFUNCTION("""COMPUTED_VALUE"""),31200000)</f>
        <v>31200000</v>
      </c>
      <c r="K81" s="27">
        <f ca="1">IFERROR(__xludf.DUMMYFUNCTION("""COMPUTED_VALUE"""),1)</f>
        <v>1</v>
      </c>
      <c r="L81" s="28" t="str">
        <f ca="1">IFERROR(__xludf.DUMMYFUNCTION("""COMPUTED_VALUE"""),"7620/2024")</f>
        <v>7620/2024</v>
      </c>
      <c r="M81" s="10" t="str">
        <f ca="1">IFERROR(__xludf.DUMMYFUNCTION("""COMPUTED_VALUE"""),"PTRAC")</f>
        <v>PTRAC</v>
      </c>
      <c r="N81" s="1"/>
      <c r="O81" s="1"/>
      <c r="P81" s="1"/>
      <c r="Q81" s="1"/>
      <c r="R81" s="1"/>
      <c r="S81" s="1"/>
      <c r="T81" s="1"/>
      <c r="U81" s="1"/>
      <c r="V81" s="1"/>
      <c r="W81" s="1"/>
      <c r="X81" s="1"/>
      <c r="Y81" s="1"/>
      <c r="Z81" s="1"/>
    </row>
    <row r="82" spans="1:26" ht="12.75" customHeight="1">
      <c r="A82" s="1"/>
      <c r="B82" s="10" t="str">
        <f ca="1">IFERROR(__xludf.DUMMYFUNCTION("""COMPUTED_VALUE"""),"PLAN NACIONAL DE ESTERILIZACIONES RESPONSABILIDAD COMPARTIDA 2023 COMUNA DE YERBAS BUENAS")</f>
        <v>PLAN NACIONAL DE ESTERILIZACIONES RESPONSABILIDAD COMPARTIDA 2023 COMUNA DE YERBAS BUENAS</v>
      </c>
      <c r="C82" s="26" t="str">
        <f t="shared" ca="1" si="0"/>
        <v xml:space="preserve"> YERBAS BUENAS</v>
      </c>
      <c r="D82" s="10" t="str">
        <f ca="1">IFERROR(__xludf.DUMMYFUNCTION("""COMPUTED_VALUE"""),"Resolución de Transferencia")</f>
        <v>Resolución de Transferencia</v>
      </c>
      <c r="E82" s="26" t="str">
        <f ca="1">IFERROR(__xludf.DUMMYFUNCTION("""COMPUTED_VALUE"""),"MUNICIPALIDAD DE YERBAS BUENAS")</f>
        <v>MUNICIPALIDAD DE YERBAS BUENAS</v>
      </c>
      <c r="F82" s="11">
        <f ca="1">IFERROR(__xludf.DUMMYFUNCTION("""COMPUTED_VALUE"""),29080000)</f>
        <v>29080000</v>
      </c>
      <c r="G82" s="10" t="str">
        <f ca="1">IFERROR(__xludf.DUMMYFUNCTION("""COMPUTED_VALUE"""),"Resolución")</f>
        <v>Resolución</v>
      </c>
      <c r="H82" s="10" t="str">
        <f ca="1">IFERROR(__xludf.DUMMYFUNCTION("""COMPUTED_VALUE"""),"Plan Esterilización Responsabilidad Compartida")</f>
        <v>Plan Esterilización Responsabilidad Compartida</v>
      </c>
      <c r="I82" s="10" t="str">
        <f ca="1">IFERROR(__xludf.DUMMYFUNCTION("""COMPUTED_VALUE"""),"Cumplir con normativa y reglamentos internos del programa en base a los objetivos.")</f>
        <v>Cumplir con normativa y reglamentos internos del programa en base a los objetivos.</v>
      </c>
      <c r="J82" s="11">
        <f ca="1">IFERROR(__xludf.DUMMYFUNCTION("""COMPUTED_VALUE"""),29080000)</f>
        <v>29080000</v>
      </c>
      <c r="K82" s="27">
        <f ca="1">IFERROR(__xludf.DUMMYFUNCTION("""COMPUTED_VALUE"""),1)</f>
        <v>1</v>
      </c>
      <c r="L82" s="28" t="str">
        <f ca="1">IFERROR(__xludf.DUMMYFUNCTION("""COMPUTED_VALUE"""),"7623/2024")</f>
        <v>7623/2024</v>
      </c>
      <c r="M82" s="10" t="str">
        <f ca="1">IFERROR(__xludf.DUMMYFUNCTION("""COMPUTED_VALUE"""),"PTRAC")</f>
        <v>PTRAC</v>
      </c>
      <c r="N82" s="1"/>
      <c r="O82" s="1"/>
      <c r="P82" s="1"/>
      <c r="Q82" s="1"/>
      <c r="R82" s="1"/>
      <c r="S82" s="1"/>
      <c r="T82" s="1"/>
      <c r="U82" s="1"/>
      <c r="V82" s="1"/>
      <c r="W82" s="1"/>
      <c r="X82" s="1"/>
      <c r="Y82" s="1"/>
      <c r="Z82" s="1"/>
    </row>
    <row r="83" spans="1:26" ht="12.75" customHeight="1">
      <c r="A83" s="1"/>
      <c r="B83" s="10" t="str">
        <f ca="1">IFERROR(__xludf.DUMMYFUNCTION("""COMPUTED_VALUE"""),"PLAN NACIONAL DE ESTERILIZACIONES RESPONSABILIDAD COMPARTIDA 2023, COMUNA DE EL TABO.")</f>
        <v>PLAN NACIONAL DE ESTERILIZACIONES RESPONSABILIDAD COMPARTIDA 2023, COMUNA DE EL TABO.</v>
      </c>
      <c r="C83" s="26" t="str">
        <f t="shared" ca="1" si="0"/>
        <v xml:space="preserve"> EL TABO</v>
      </c>
      <c r="D83" s="10" t="str">
        <f ca="1">IFERROR(__xludf.DUMMYFUNCTION("""COMPUTED_VALUE"""),"Resolución de Transferencia")</f>
        <v>Resolución de Transferencia</v>
      </c>
      <c r="E83" s="26" t="str">
        <f ca="1">IFERROR(__xludf.DUMMYFUNCTION("""COMPUTED_VALUE"""),"MUNICIPALIDAD DE EL TABO")</f>
        <v>MUNICIPALIDAD DE EL TABO</v>
      </c>
      <c r="F83" s="11">
        <f ca="1">IFERROR(__xludf.DUMMYFUNCTION("""COMPUTED_VALUE"""),28000000)</f>
        <v>28000000</v>
      </c>
      <c r="G83" s="10" t="str">
        <f ca="1">IFERROR(__xludf.DUMMYFUNCTION("""COMPUTED_VALUE"""),"Resolución")</f>
        <v>Resolución</v>
      </c>
      <c r="H83" s="10" t="str">
        <f ca="1">IFERROR(__xludf.DUMMYFUNCTION("""COMPUTED_VALUE"""),"Plan Esterilización Responsabilidad Compartida")</f>
        <v>Plan Esterilización Responsabilidad Compartida</v>
      </c>
      <c r="I83" s="10" t="str">
        <f ca="1">IFERROR(__xludf.DUMMYFUNCTION("""COMPUTED_VALUE"""),"Cumplir con normativa y reglamentos internos del programa en base a los objetivos.")</f>
        <v>Cumplir con normativa y reglamentos internos del programa en base a los objetivos.</v>
      </c>
      <c r="J83" s="11">
        <f ca="1">IFERROR(__xludf.DUMMYFUNCTION("""COMPUTED_VALUE"""),28000000)</f>
        <v>28000000</v>
      </c>
      <c r="K83" s="27">
        <f ca="1">IFERROR(__xludf.DUMMYFUNCTION("""COMPUTED_VALUE"""),1)</f>
        <v>1</v>
      </c>
      <c r="L83" s="28" t="str">
        <f ca="1">IFERROR(__xludf.DUMMYFUNCTION("""COMPUTED_VALUE"""),"7475/2024")</f>
        <v>7475/2024</v>
      </c>
      <c r="M83" s="10" t="str">
        <f ca="1">IFERROR(__xludf.DUMMYFUNCTION("""COMPUTED_VALUE"""),"PTRAC")</f>
        <v>PTRAC</v>
      </c>
      <c r="N83" s="1"/>
      <c r="O83" s="1"/>
      <c r="P83" s="1"/>
      <c r="Q83" s="1"/>
      <c r="R83" s="1"/>
      <c r="S83" s="1"/>
      <c r="T83" s="1"/>
      <c r="U83" s="1"/>
      <c r="V83" s="1"/>
      <c r="W83" s="1"/>
      <c r="X83" s="1"/>
      <c r="Y83" s="1"/>
      <c r="Z83" s="1"/>
    </row>
    <row r="84" spans="1:26" ht="12.75" customHeight="1">
      <c r="A84" s="1"/>
      <c r="B84" s="10" t="str">
        <f ca="1">IFERROR(__xludf.DUMMYFUNCTION("""COMPUTED_VALUE"""),"PLAN NACIONAL DE ESTERILIZACIONES RESPONSABILIDAD COMPARTIDA 2024, COMUNA DE CALBUCO")</f>
        <v>PLAN NACIONAL DE ESTERILIZACIONES RESPONSABILIDAD COMPARTIDA 2024, COMUNA DE CALBUCO</v>
      </c>
      <c r="C84" s="26" t="str">
        <f t="shared" ca="1" si="0"/>
        <v xml:space="preserve"> CALBUCO</v>
      </c>
      <c r="D84" s="10" t="str">
        <f ca="1">IFERROR(__xludf.DUMMYFUNCTION("""COMPUTED_VALUE"""),"Resolución de Transferencia")</f>
        <v>Resolución de Transferencia</v>
      </c>
      <c r="E84" s="26" t="str">
        <f ca="1">IFERROR(__xludf.DUMMYFUNCTION("""COMPUTED_VALUE"""),"MUNICIPALIDAD DE CALBUCO")</f>
        <v>MUNICIPALIDAD DE CALBUCO</v>
      </c>
      <c r="F84" s="11">
        <f ca="1">IFERROR(__xludf.DUMMYFUNCTION("""COMPUTED_VALUE"""),28600000)</f>
        <v>28600000</v>
      </c>
      <c r="G84" s="10" t="str">
        <f ca="1">IFERROR(__xludf.DUMMYFUNCTION("""COMPUTED_VALUE"""),"Resolución")</f>
        <v>Resolución</v>
      </c>
      <c r="H84" s="10" t="str">
        <f ca="1">IFERROR(__xludf.DUMMYFUNCTION("""COMPUTED_VALUE"""),"Plan Esterilización Responsabilidad Compartida")</f>
        <v>Plan Esterilización Responsabilidad Compartida</v>
      </c>
      <c r="I84" s="10" t="str">
        <f ca="1">IFERROR(__xludf.DUMMYFUNCTION("""COMPUTED_VALUE"""),"Cumplir con normativa y reglamentos internos del programa en base a los objetivos.")</f>
        <v>Cumplir con normativa y reglamentos internos del programa en base a los objetivos.</v>
      </c>
      <c r="J84" s="11">
        <f ca="1">IFERROR(__xludf.DUMMYFUNCTION("""COMPUTED_VALUE"""),28600000)</f>
        <v>28600000</v>
      </c>
      <c r="K84" s="27">
        <f ca="1">IFERROR(__xludf.DUMMYFUNCTION("""COMPUTED_VALUE"""),1)</f>
        <v>1</v>
      </c>
      <c r="L84" s="28" t="str">
        <f ca="1">IFERROR(__xludf.DUMMYFUNCTION("""COMPUTED_VALUE"""),"7627/2024")</f>
        <v>7627/2024</v>
      </c>
      <c r="M84" s="10" t="str">
        <f ca="1">IFERROR(__xludf.DUMMYFUNCTION("""COMPUTED_VALUE"""),"PTRAC")</f>
        <v>PTRAC</v>
      </c>
      <c r="N84" s="1"/>
      <c r="O84" s="1"/>
      <c r="P84" s="1"/>
      <c r="Q84" s="1"/>
      <c r="R84" s="1"/>
      <c r="S84" s="1"/>
      <c r="T84" s="1"/>
      <c r="U84" s="1"/>
      <c r="V84" s="1"/>
      <c r="W84" s="1"/>
      <c r="X84" s="1"/>
      <c r="Y84" s="1"/>
      <c r="Z84" s="1"/>
    </row>
    <row r="85" spans="1:26" ht="12.75" customHeight="1">
      <c r="A85" s="1"/>
      <c r="B85" s="10" t="str">
        <f ca="1">IFERROR(__xludf.DUMMYFUNCTION("""COMPUTED_VALUE"""),"PLAN NACIONAL DE ESTERILIZACIONES RESPONSABILIDAD COMPARTIDA 2024 COMUNA DE LLANQUIHUE")</f>
        <v>PLAN NACIONAL DE ESTERILIZACIONES RESPONSABILIDAD COMPARTIDA 2024 COMUNA DE LLANQUIHUE</v>
      </c>
      <c r="C85" s="26" t="str">
        <f t="shared" ca="1" si="0"/>
        <v xml:space="preserve"> LLANQUIHUE</v>
      </c>
      <c r="D85" s="10" t="str">
        <f ca="1">IFERROR(__xludf.DUMMYFUNCTION("""COMPUTED_VALUE"""),"Resolución de Transferencia")</f>
        <v>Resolución de Transferencia</v>
      </c>
      <c r="E85" s="26" t="str">
        <f ca="1">IFERROR(__xludf.DUMMYFUNCTION("""COMPUTED_VALUE"""),"MUNICIPALIDAD DE LLANQUIHUE")</f>
        <v>MUNICIPALIDAD DE LLANQUIHUE</v>
      </c>
      <c r="F85" s="11">
        <f ca="1">IFERROR(__xludf.DUMMYFUNCTION("""COMPUTED_VALUE"""),41400000)</f>
        <v>41400000</v>
      </c>
      <c r="G85" s="10" t="str">
        <f ca="1">IFERROR(__xludf.DUMMYFUNCTION("""COMPUTED_VALUE"""),"Resolución")</f>
        <v>Resolución</v>
      </c>
      <c r="H85" s="10" t="str">
        <f ca="1">IFERROR(__xludf.DUMMYFUNCTION("""COMPUTED_VALUE"""),"Plan Esterilización Responsabilidad Compartida")</f>
        <v>Plan Esterilización Responsabilidad Compartida</v>
      </c>
      <c r="I85" s="10" t="str">
        <f ca="1">IFERROR(__xludf.DUMMYFUNCTION("""COMPUTED_VALUE"""),"Cumplir con normativa y reglamentos internos del programa en base a los objetivos.")</f>
        <v>Cumplir con normativa y reglamentos internos del programa en base a los objetivos.</v>
      </c>
      <c r="J85" s="11">
        <f ca="1">IFERROR(__xludf.DUMMYFUNCTION("""COMPUTED_VALUE"""),41400000)</f>
        <v>41400000</v>
      </c>
      <c r="K85" s="27">
        <f ca="1">IFERROR(__xludf.DUMMYFUNCTION("""COMPUTED_VALUE"""),1)</f>
        <v>1</v>
      </c>
      <c r="L85" s="28" t="str">
        <f ca="1">IFERROR(__xludf.DUMMYFUNCTION("""COMPUTED_VALUE"""),"7628/2024")</f>
        <v>7628/2024</v>
      </c>
      <c r="M85" s="10" t="str">
        <f ca="1">IFERROR(__xludf.DUMMYFUNCTION("""COMPUTED_VALUE"""),"PTRAC")</f>
        <v>PTRAC</v>
      </c>
      <c r="N85" s="1"/>
      <c r="O85" s="1"/>
      <c r="P85" s="1"/>
      <c r="Q85" s="1"/>
      <c r="R85" s="1"/>
      <c r="S85" s="1"/>
      <c r="T85" s="1"/>
      <c r="U85" s="1"/>
      <c r="V85" s="1"/>
      <c r="W85" s="1"/>
      <c r="X85" s="1"/>
      <c r="Y85" s="1"/>
      <c r="Z85" s="1"/>
    </row>
    <row r="86" spans="1:26" ht="12.75" customHeight="1">
      <c r="A86" s="1"/>
      <c r="B86" s="10" t="str">
        <f ca="1">IFERROR(__xludf.DUMMYFUNCTION("""COMPUTED_VALUE"""),"BOTIQUIN EMERGENCIA AÑO 2024 COMUNA CONTULMO")</f>
        <v>BOTIQUIN EMERGENCIA AÑO 2024 COMUNA CONTULMO</v>
      </c>
      <c r="C86" s="26" t="str">
        <f t="shared" ca="1" si="0"/>
        <v xml:space="preserve"> CONTULMO</v>
      </c>
      <c r="D86" s="10" t="str">
        <f ca="1">IFERROR(__xludf.DUMMYFUNCTION("""COMPUTED_VALUE"""),"Resolución de Transferencia")</f>
        <v>Resolución de Transferencia</v>
      </c>
      <c r="E86" s="26" t="str">
        <f ca="1">IFERROR(__xludf.DUMMYFUNCTION("""COMPUTED_VALUE"""),"MUNICIPALIDAD DE CONTULMO")</f>
        <v>MUNICIPALIDAD DE CONTULMO</v>
      </c>
      <c r="F86" s="11">
        <f ca="1">IFERROR(__xludf.DUMMYFUNCTION("""COMPUTED_VALUE"""),6112455)</f>
        <v>6112455</v>
      </c>
      <c r="G86" s="10" t="str">
        <f ca="1">IFERROR(__xludf.DUMMYFUNCTION("""COMPUTED_VALUE"""),"Resolución")</f>
        <v>Resolución</v>
      </c>
      <c r="H86" s="10" t="str">
        <f ca="1">IFERROR(__xludf.DUMMYFUNCTION("""COMPUTED_VALUE"""),"Plan Esterilización Responsabilidad Compartida")</f>
        <v>Plan Esterilización Responsabilidad Compartida</v>
      </c>
      <c r="I86" s="10" t="str">
        <f ca="1">IFERROR(__xludf.DUMMYFUNCTION("""COMPUTED_VALUE"""),"Cumplir con normativa y reglamentos internos del programa en base a los objetivos.")</f>
        <v>Cumplir con normativa y reglamentos internos del programa en base a los objetivos.</v>
      </c>
      <c r="J86" s="11">
        <f ca="1">IFERROR(__xludf.DUMMYFUNCTION("""COMPUTED_VALUE"""),6112455)</f>
        <v>6112455</v>
      </c>
      <c r="K86" s="27">
        <f ca="1">IFERROR(__xludf.DUMMYFUNCTION("""COMPUTED_VALUE"""),1)</f>
        <v>1</v>
      </c>
      <c r="L86" s="28" t="str">
        <f ca="1">IFERROR(__xludf.DUMMYFUNCTION("""COMPUTED_VALUE"""),"7713/2024")</f>
        <v>7713/2024</v>
      </c>
      <c r="M86" s="10" t="str">
        <f ca="1">IFERROR(__xludf.DUMMYFUNCTION("""COMPUTED_VALUE"""),"PTRAC")</f>
        <v>PTRAC</v>
      </c>
      <c r="N86" s="1"/>
      <c r="O86" s="1"/>
      <c r="P86" s="1"/>
      <c r="Q86" s="1"/>
      <c r="R86" s="1"/>
      <c r="S86" s="1"/>
      <c r="T86" s="1"/>
      <c r="U86" s="1"/>
      <c r="V86" s="1"/>
      <c r="W86" s="1"/>
      <c r="X86" s="1"/>
      <c r="Y86" s="1"/>
      <c r="Z86" s="1"/>
    </row>
    <row r="87" spans="1:26" ht="12.75" customHeight="1">
      <c r="A87" s="1"/>
      <c r="B87" s="10" t="str">
        <f ca="1">IFERROR(__xludf.DUMMYFUNCTION("""COMPUTED_VALUE"""),"PLAN NACIONAL DE ESTERILIZACIONES RESPONSABILIDAD COMPARTIDA 2023 COMUNA DE SAN JAVIER")</f>
        <v>PLAN NACIONAL DE ESTERILIZACIONES RESPONSABILIDAD COMPARTIDA 2023 COMUNA DE SAN JAVIER</v>
      </c>
      <c r="C87" s="26" t="str">
        <f t="shared" ca="1" si="0"/>
        <v xml:space="preserve"> SAN JAVIER</v>
      </c>
      <c r="D87" s="10" t="str">
        <f ca="1">IFERROR(__xludf.DUMMYFUNCTION("""COMPUTED_VALUE"""),"Resolución de Transferencia")</f>
        <v>Resolución de Transferencia</v>
      </c>
      <c r="E87" s="26" t="str">
        <f ca="1">IFERROR(__xludf.DUMMYFUNCTION("""COMPUTED_VALUE"""),"MUNICIPALIDAD DE SAN JAVIER")</f>
        <v>MUNICIPALIDAD DE SAN JAVIER</v>
      </c>
      <c r="F87" s="11">
        <f ca="1">IFERROR(__xludf.DUMMYFUNCTION("""COMPUTED_VALUE"""),28720000)</f>
        <v>28720000</v>
      </c>
      <c r="G87" s="10" t="str">
        <f ca="1">IFERROR(__xludf.DUMMYFUNCTION("""COMPUTED_VALUE"""),"Resolución")</f>
        <v>Resolución</v>
      </c>
      <c r="H87" s="10" t="str">
        <f ca="1">IFERROR(__xludf.DUMMYFUNCTION("""COMPUTED_VALUE"""),"Plan Esterilización Responsabilidad Compartida")</f>
        <v>Plan Esterilización Responsabilidad Compartida</v>
      </c>
      <c r="I87" s="10" t="str">
        <f ca="1">IFERROR(__xludf.DUMMYFUNCTION("""COMPUTED_VALUE"""),"Cumplir con normativa y reglamentos internos del programa en base a los objetivos.")</f>
        <v>Cumplir con normativa y reglamentos internos del programa en base a los objetivos.</v>
      </c>
      <c r="J87" s="11">
        <f ca="1">IFERROR(__xludf.DUMMYFUNCTION("""COMPUTED_VALUE"""),28720000)</f>
        <v>28720000</v>
      </c>
      <c r="K87" s="27">
        <f ca="1">IFERROR(__xludf.DUMMYFUNCTION("""COMPUTED_VALUE"""),1)</f>
        <v>1</v>
      </c>
      <c r="L87" s="28" t="str">
        <f ca="1">IFERROR(__xludf.DUMMYFUNCTION("""COMPUTED_VALUE"""),"7538/2024")</f>
        <v>7538/2024</v>
      </c>
      <c r="M87" s="10" t="str">
        <f ca="1">IFERROR(__xludf.DUMMYFUNCTION("""COMPUTED_VALUE"""),"PTRAC")</f>
        <v>PTRAC</v>
      </c>
      <c r="N87" s="1"/>
      <c r="O87" s="1"/>
      <c r="P87" s="1"/>
      <c r="Q87" s="1"/>
      <c r="R87" s="1"/>
      <c r="S87" s="1"/>
      <c r="T87" s="1"/>
      <c r="U87" s="1"/>
      <c r="V87" s="1"/>
      <c r="W87" s="1"/>
      <c r="X87" s="1"/>
      <c r="Y87" s="1"/>
      <c r="Z87" s="1"/>
    </row>
    <row r="88" spans="1:26" ht="12.75" customHeight="1">
      <c r="A88" s="1"/>
      <c r="B88" s="10" t="str">
        <f ca="1">IFERROR(__xludf.DUMMYFUNCTION("""COMPUTED_VALUE"""),"PLAN NACIONAL DE ESTERILIZACIONES RESPONSABILIDAD COMPARTIDA 2023 COMUNA RIO IBAÑEZ NORTE")</f>
        <v>PLAN NACIONAL DE ESTERILIZACIONES RESPONSABILIDAD COMPARTIDA 2023 COMUNA RIO IBAÑEZ NORTE</v>
      </c>
      <c r="C88" s="26" t="str">
        <f t="shared" ca="1" si="0"/>
        <v xml:space="preserve"> RÍO IBÁÑEZ</v>
      </c>
      <c r="D88" s="10" t="str">
        <f ca="1">IFERROR(__xludf.DUMMYFUNCTION("""COMPUTED_VALUE"""),"Resolución de Transferencia")</f>
        <v>Resolución de Transferencia</v>
      </c>
      <c r="E88" s="26" t="str">
        <f ca="1">IFERROR(__xludf.DUMMYFUNCTION("""COMPUTED_VALUE"""),"MUNICIPALIDAD DE RÍO IBÁÑEZ")</f>
        <v>MUNICIPALIDAD DE RÍO IBÁÑEZ</v>
      </c>
      <c r="F88" s="11">
        <f ca="1">IFERROR(__xludf.DUMMYFUNCTION("""COMPUTED_VALUE"""),10250000)</f>
        <v>10250000</v>
      </c>
      <c r="G88" s="10" t="str">
        <f ca="1">IFERROR(__xludf.DUMMYFUNCTION("""COMPUTED_VALUE"""),"Resolución")</f>
        <v>Resolución</v>
      </c>
      <c r="H88" s="10" t="str">
        <f ca="1">IFERROR(__xludf.DUMMYFUNCTION("""COMPUTED_VALUE"""),"Plan Esterilización Responsabilidad Compartida")</f>
        <v>Plan Esterilización Responsabilidad Compartida</v>
      </c>
      <c r="I88" s="10" t="str">
        <f ca="1">IFERROR(__xludf.DUMMYFUNCTION("""COMPUTED_VALUE"""),"Cumplir con normativa y reglamentos internos del programa en base a los objetivos.")</f>
        <v>Cumplir con normativa y reglamentos internos del programa en base a los objetivos.</v>
      </c>
      <c r="J88" s="11">
        <f ca="1">IFERROR(__xludf.DUMMYFUNCTION("""COMPUTED_VALUE"""),10250000)</f>
        <v>10250000</v>
      </c>
      <c r="K88" s="27">
        <f ca="1">IFERROR(__xludf.DUMMYFUNCTION("""COMPUTED_VALUE"""),1)</f>
        <v>1</v>
      </c>
      <c r="L88" s="28" t="str">
        <f ca="1">IFERROR(__xludf.DUMMYFUNCTION("""COMPUTED_VALUE"""),"7906/2024")</f>
        <v>7906/2024</v>
      </c>
      <c r="M88" s="10" t="str">
        <f ca="1">IFERROR(__xludf.DUMMYFUNCTION("""COMPUTED_VALUE"""),"PTRAC")</f>
        <v>PTRAC</v>
      </c>
      <c r="N88" s="1"/>
      <c r="O88" s="1"/>
      <c r="P88" s="1"/>
      <c r="Q88" s="1"/>
      <c r="R88" s="1"/>
      <c r="S88" s="1"/>
      <c r="T88" s="1"/>
      <c r="U88" s="1"/>
      <c r="V88" s="1"/>
      <c r="W88" s="1"/>
      <c r="X88" s="1"/>
      <c r="Y88" s="1"/>
      <c r="Z88" s="1"/>
    </row>
    <row r="89" spans="1:26" ht="12.75" customHeight="1">
      <c r="A89" s="1"/>
      <c r="B89" s="10" t="str">
        <f ca="1">IFERROR(__xludf.DUMMYFUNCTION("""COMPUTED_VALUE"""),"PLAN NACIONAL DE ESTERILIZACIONES RESPONSABILIDAD COMPARTIDA 2023 COMUNA DE PAREDONES")</f>
        <v>PLAN NACIONAL DE ESTERILIZACIONES RESPONSABILIDAD COMPARTIDA 2023 COMUNA DE PAREDONES</v>
      </c>
      <c r="C89" s="26" t="str">
        <f t="shared" ca="1" si="0"/>
        <v xml:space="preserve"> PAREDONES</v>
      </c>
      <c r="D89" s="10" t="str">
        <f ca="1">IFERROR(__xludf.DUMMYFUNCTION("""COMPUTED_VALUE"""),"Resolución de Transferencia")</f>
        <v>Resolución de Transferencia</v>
      </c>
      <c r="E89" s="26" t="str">
        <f ca="1">IFERROR(__xludf.DUMMYFUNCTION("""COMPUTED_VALUE"""),"MUNICIPALIDAD DE PAREDONES")</f>
        <v>MUNICIPALIDAD DE PAREDONES</v>
      </c>
      <c r="F89" s="11">
        <f ca="1">IFERROR(__xludf.DUMMYFUNCTION("""COMPUTED_VALUE"""),28000000)</f>
        <v>28000000</v>
      </c>
      <c r="G89" s="10" t="str">
        <f ca="1">IFERROR(__xludf.DUMMYFUNCTION("""COMPUTED_VALUE"""),"Resolución")</f>
        <v>Resolución</v>
      </c>
      <c r="H89" s="10" t="str">
        <f ca="1">IFERROR(__xludf.DUMMYFUNCTION("""COMPUTED_VALUE"""),"Plan Esterilización Responsabilidad Compartida")</f>
        <v>Plan Esterilización Responsabilidad Compartida</v>
      </c>
      <c r="I89" s="10" t="str">
        <f ca="1">IFERROR(__xludf.DUMMYFUNCTION("""COMPUTED_VALUE"""),"Cumplir con normativa y reglamentos internos del programa en base a los objetivos.")</f>
        <v>Cumplir con normativa y reglamentos internos del programa en base a los objetivos.</v>
      </c>
      <c r="J89" s="11">
        <f ca="1">IFERROR(__xludf.DUMMYFUNCTION("""COMPUTED_VALUE"""),28000000)</f>
        <v>28000000</v>
      </c>
      <c r="K89" s="27">
        <f ca="1">IFERROR(__xludf.DUMMYFUNCTION("""COMPUTED_VALUE"""),1)</f>
        <v>1</v>
      </c>
      <c r="L89" s="28" t="str">
        <f ca="1">IFERROR(__xludf.DUMMYFUNCTION("""COMPUTED_VALUE"""),"7537/2024")</f>
        <v>7537/2024</v>
      </c>
      <c r="M89" s="10" t="str">
        <f ca="1">IFERROR(__xludf.DUMMYFUNCTION("""COMPUTED_VALUE"""),"PTRAC")</f>
        <v>PTRAC</v>
      </c>
      <c r="N89" s="1"/>
      <c r="O89" s="1"/>
      <c r="P89" s="1"/>
      <c r="Q89" s="1"/>
      <c r="R89" s="1"/>
      <c r="S89" s="1"/>
      <c r="T89" s="1"/>
      <c r="U89" s="1"/>
      <c r="V89" s="1"/>
      <c r="W89" s="1"/>
      <c r="X89" s="1"/>
      <c r="Y89" s="1"/>
      <c r="Z89" s="1"/>
    </row>
    <row r="90" spans="1:26" ht="12.75" customHeight="1">
      <c r="A90" s="1"/>
      <c r="B90" s="10" t="str">
        <f ca="1">IFERROR(__xludf.DUMMYFUNCTION("""COMPUTED_VALUE"""),"PLAN NACIONAL DE ESTERILIZACIONES RESPONSABILIDAD COMPARTIDA 2023 COMUNA DE RANCAGUA")</f>
        <v>PLAN NACIONAL DE ESTERILIZACIONES RESPONSABILIDAD COMPARTIDA 2023 COMUNA DE RANCAGUA</v>
      </c>
      <c r="C90" s="26" t="str">
        <f t="shared" ca="1" si="0"/>
        <v xml:space="preserve"> RANCAGUA</v>
      </c>
      <c r="D90" s="10" t="str">
        <f ca="1">IFERROR(__xludf.DUMMYFUNCTION("""COMPUTED_VALUE"""),"Resolución de Transferencia")</f>
        <v>Resolución de Transferencia</v>
      </c>
      <c r="E90" s="26" t="str">
        <f ca="1">IFERROR(__xludf.DUMMYFUNCTION("""COMPUTED_VALUE"""),"MUNICIPALIDAD DE RANCAGUA")</f>
        <v>MUNICIPALIDAD DE RANCAGUA</v>
      </c>
      <c r="F90" s="11">
        <f ca="1">IFERROR(__xludf.DUMMYFUNCTION("""COMPUTED_VALUE"""),57800000)</f>
        <v>57800000</v>
      </c>
      <c r="G90" s="10" t="str">
        <f ca="1">IFERROR(__xludf.DUMMYFUNCTION("""COMPUTED_VALUE"""),"Resolución")</f>
        <v>Resolución</v>
      </c>
      <c r="H90" s="10" t="str">
        <f ca="1">IFERROR(__xludf.DUMMYFUNCTION("""COMPUTED_VALUE"""),"Plan Esterilización Responsabilidad Compartida")</f>
        <v>Plan Esterilización Responsabilidad Compartida</v>
      </c>
      <c r="I90" s="10" t="str">
        <f ca="1">IFERROR(__xludf.DUMMYFUNCTION("""COMPUTED_VALUE"""),"Cumplir con normativa y reglamentos internos del programa en base a los objetivos.")</f>
        <v>Cumplir con normativa y reglamentos internos del programa en base a los objetivos.</v>
      </c>
      <c r="J90" s="11">
        <f ca="1">IFERROR(__xludf.DUMMYFUNCTION("""COMPUTED_VALUE"""),57800000)</f>
        <v>57800000</v>
      </c>
      <c r="K90" s="27">
        <f ca="1">IFERROR(__xludf.DUMMYFUNCTION("""COMPUTED_VALUE"""),1)</f>
        <v>1</v>
      </c>
      <c r="L90" s="28" t="str">
        <f ca="1">IFERROR(__xludf.DUMMYFUNCTION("""COMPUTED_VALUE"""),"7466/2024")</f>
        <v>7466/2024</v>
      </c>
      <c r="M90" s="10" t="str">
        <f ca="1">IFERROR(__xludf.DUMMYFUNCTION("""COMPUTED_VALUE"""),"PTRAC")</f>
        <v>PTRAC</v>
      </c>
      <c r="N90" s="1"/>
      <c r="O90" s="1"/>
      <c r="P90" s="1"/>
      <c r="Q90" s="1"/>
      <c r="R90" s="1"/>
      <c r="S90" s="1"/>
      <c r="T90" s="1"/>
      <c r="U90" s="1"/>
      <c r="V90" s="1"/>
      <c r="W90" s="1"/>
      <c r="X90" s="1"/>
      <c r="Y90" s="1"/>
      <c r="Z90" s="1"/>
    </row>
    <row r="91" spans="1:26" ht="12.75" customHeight="1">
      <c r="A91" s="1"/>
      <c r="B91" s="10" t="str">
        <f ca="1">IFERROR(__xludf.DUMMYFUNCTION("""COMPUTED_VALUE"""),"PLAN NACIONAL DE ESTERILIZACIONES RESPONSABILIDAD COMPARTIDA 2023 COMUNA DE VICHUQUEN")</f>
        <v>PLAN NACIONAL DE ESTERILIZACIONES RESPONSABILIDAD COMPARTIDA 2023 COMUNA DE VICHUQUEN</v>
      </c>
      <c r="C91" s="26" t="str">
        <f t="shared" ca="1" si="0"/>
        <v xml:space="preserve"> VICHUQUÉN</v>
      </c>
      <c r="D91" s="10" t="str">
        <f ca="1">IFERROR(__xludf.DUMMYFUNCTION("""COMPUTED_VALUE"""),"Resolución de Transferencia")</f>
        <v>Resolución de Transferencia</v>
      </c>
      <c r="E91" s="26" t="str">
        <f ca="1">IFERROR(__xludf.DUMMYFUNCTION("""COMPUTED_VALUE"""),"MUNICIPALIDAD DE VICHUQUÉN")</f>
        <v>MUNICIPALIDAD DE VICHUQUÉN</v>
      </c>
      <c r="F91" s="11">
        <f ca="1">IFERROR(__xludf.DUMMYFUNCTION("""COMPUTED_VALUE"""),3540000)</f>
        <v>3540000</v>
      </c>
      <c r="G91" s="10" t="str">
        <f ca="1">IFERROR(__xludf.DUMMYFUNCTION("""COMPUTED_VALUE"""),"Resolución")</f>
        <v>Resolución</v>
      </c>
      <c r="H91" s="10" t="str">
        <f ca="1">IFERROR(__xludf.DUMMYFUNCTION("""COMPUTED_VALUE"""),"Plan Esterilización Responsabilidad Compartida")</f>
        <v>Plan Esterilización Responsabilidad Compartida</v>
      </c>
      <c r="I91" s="10" t="str">
        <f ca="1">IFERROR(__xludf.DUMMYFUNCTION("""COMPUTED_VALUE"""),"Cumplir con normativa y reglamentos internos del programa en base a los objetivos.")</f>
        <v>Cumplir con normativa y reglamentos internos del programa en base a los objetivos.</v>
      </c>
      <c r="J91" s="11">
        <f ca="1">IFERROR(__xludf.DUMMYFUNCTION("""COMPUTED_VALUE"""),3540000)</f>
        <v>3540000</v>
      </c>
      <c r="K91" s="27">
        <f ca="1">IFERROR(__xludf.DUMMYFUNCTION("""COMPUTED_VALUE"""),1)</f>
        <v>1</v>
      </c>
      <c r="L91" s="28" t="str">
        <f ca="1">IFERROR(__xludf.DUMMYFUNCTION("""COMPUTED_VALUE"""),"8475/2024")</f>
        <v>8475/2024</v>
      </c>
      <c r="M91" s="10" t="str">
        <f ca="1">IFERROR(__xludf.DUMMYFUNCTION("""COMPUTED_VALUE"""),"PTRAC")</f>
        <v>PTRAC</v>
      </c>
      <c r="N91" s="1"/>
      <c r="O91" s="1"/>
      <c r="P91" s="1"/>
      <c r="Q91" s="1"/>
      <c r="R91" s="1"/>
      <c r="S91" s="1"/>
      <c r="T91" s="1"/>
      <c r="U91" s="1"/>
      <c r="V91" s="1"/>
      <c r="W91" s="1"/>
      <c r="X91" s="1"/>
      <c r="Y91" s="1"/>
      <c r="Z91" s="1"/>
    </row>
    <row r="92" spans="1:26" ht="12.75" customHeight="1">
      <c r="A92" s="1"/>
      <c r="B92" s="10" t="str">
        <f ca="1">IFERROR(__xludf.DUMMYFUNCTION("""COMPUTED_VALUE"""),"PLAN NACIONAL DE ESTERILIZACION RESPONSABILIDAD COMPARTIDA AÑO 2024 COMUNA DE PUTRE")</f>
        <v>PLAN NACIONAL DE ESTERILIZACION RESPONSABILIDAD COMPARTIDA AÑO 2024 COMUNA DE PUTRE</v>
      </c>
      <c r="C92" s="26" t="str">
        <f t="shared" ca="1" si="0"/>
        <v xml:space="preserve"> PUTRE</v>
      </c>
      <c r="D92" s="10" t="str">
        <f ca="1">IFERROR(__xludf.DUMMYFUNCTION("""COMPUTED_VALUE"""),"Resolución de Transferencia")</f>
        <v>Resolución de Transferencia</v>
      </c>
      <c r="E92" s="26" t="str">
        <f ca="1">IFERROR(__xludf.DUMMYFUNCTION("""COMPUTED_VALUE"""),"MUNICIPALIDAD DE PUTRE")</f>
        <v>MUNICIPALIDAD DE PUTRE</v>
      </c>
      <c r="F92" s="11">
        <f ca="1">IFERROR(__xludf.DUMMYFUNCTION("""COMPUTED_VALUE"""),6194480)</f>
        <v>6194480</v>
      </c>
      <c r="G92" s="10" t="str">
        <f ca="1">IFERROR(__xludf.DUMMYFUNCTION("""COMPUTED_VALUE"""),"Resolución")</f>
        <v>Resolución</v>
      </c>
      <c r="H92" s="10" t="str">
        <f ca="1">IFERROR(__xludf.DUMMYFUNCTION("""COMPUTED_VALUE"""),"Plan Esterilización Responsabilidad Compartida")</f>
        <v>Plan Esterilización Responsabilidad Compartida</v>
      </c>
      <c r="I92" s="10" t="str">
        <f ca="1">IFERROR(__xludf.DUMMYFUNCTION("""COMPUTED_VALUE"""),"Cumplir con normativa y reglamentos internos del programa en base a los objetivos.")</f>
        <v>Cumplir con normativa y reglamentos internos del programa en base a los objetivos.</v>
      </c>
      <c r="J92" s="11">
        <f ca="1">IFERROR(__xludf.DUMMYFUNCTION("""COMPUTED_VALUE"""),6194480)</f>
        <v>6194480</v>
      </c>
      <c r="K92" s="27">
        <f ca="1">IFERROR(__xludf.DUMMYFUNCTION("""COMPUTED_VALUE"""),1)</f>
        <v>1</v>
      </c>
      <c r="L92" s="28" t="str">
        <f ca="1">IFERROR(__xludf.DUMMYFUNCTION("""COMPUTED_VALUE"""),"7622/2024")</f>
        <v>7622/2024</v>
      </c>
      <c r="M92" s="10" t="str">
        <f ca="1">IFERROR(__xludf.DUMMYFUNCTION("""COMPUTED_VALUE"""),"PTRAC")</f>
        <v>PTRAC</v>
      </c>
      <c r="N92" s="1"/>
      <c r="O92" s="1"/>
      <c r="P92" s="1"/>
      <c r="Q92" s="1"/>
      <c r="R92" s="1"/>
      <c r="S92" s="1"/>
      <c r="T92" s="1"/>
      <c r="U92" s="1"/>
      <c r="V92" s="1"/>
      <c r="W92" s="1"/>
      <c r="X92" s="1"/>
      <c r="Y92" s="1"/>
      <c r="Z92" s="1"/>
    </row>
    <row r="93" spans="1:26" ht="12.75" customHeight="1">
      <c r="A93" s="1"/>
      <c r="B93" s="10" t="str">
        <f ca="1">IFERROR(__xludf.DUMMYFUNCTION("""COMPUTED_VALUE"""),"PLAN NACIONAL DE ESTERILIZACIONES RESPONSABILIDAD COMPARTIDA AÑO 2024 COMUNA DE PENCAHUE")</f>
        <v>PLAN NACIONAL DE ESTERILIZACIONES RESPONSABILIDAD COMPARTIDA AÑO 2024 COMUNA DE PENCAHUE</v>
      </c>
      <c r="C93" s="26" t="str">
        <f t="shared" ca="1" si="0"/>
        <v xml:space="preserve"> PENCAHUE</v>
      </c>
      <c r="D93" s="10" t="str">
        <f ca="1">IFERROR(__xludf.DUMMYFUNCTION("""COMPUTED_VALUE"""),"Resolución de Transferencia")</f>
        <v>Resolución de Transferencia</v>
      </c>
      <c r="E93" s="26" t="str">
        <f ca="1">IFERROR(__xludf.DUMMYFUNCTION("""COMPUTED_VALUE"""),"MUNICIPALIDAD DE PENCAHUE")</f>
        <v>MUNICIPALIDAD DE PENCAHUE</v>
      </c>
      <c r="F93" s="11">
        <f ca="1">IFERROR(__xludf.DUMMYFUNCTION("""COMPUTED_VALUE"""),11200000)</f>
        <v>11200000</v>
      </c>
      <c r="G93" s="10" t="str">
        <f ca="1">IFERROR(__xludf.DUMMYFUNCTION("""COMPUTED_VALUE"""),"Resolución")</f>
        <v>Resolución</v>
      </c>
      <c r="H93" s="10" t="str">
        <f ca="1">IFERROR(__xludf.DUMMYFUNCTION("""COMPUTED_VALUE"""),"Plan Esterilización Responsabilidad Compartida")</f>
        <v>Plan Esterilización Responsabilidad Compartida</v>
      </c>
      <c r="I93" s="10" t="str">
        <f ca="1">IFERROR(__xludf.DUMMYFUNCTION("""COMPUTED_VALUE"""),"Cumplir con normativa y reglamentos internos del programa en base a los objetivos.")</f>
        <v>Cumplir con normativa y reglamentos internos del programa en base a los objetivos.</v>
      </c>
      <c r="J93" s="11">
        <f ca="1">IFERROR(__xludf.DUMMYFUNCTION("""COMPUTED_VALUE"""),11200000)</f>
        <v>11200000</v>
      </c>
      <c r="K93" s="27">
        <f ca="1">IFERROR(__xludf.DUMMYFUNCTION("""COMPUTED_VALUE"""),1)</f>
        <v>1</v>
      </c>
      <c r="L93" s="28" t="str">
        <f ca="1">IFERROR(__xludf.DUMMYFUNCTION("""COMPUTED_VALUE"""),"7621/2024")</f>
        <v>7621/2024</v>
      </c>
      <c r="M93" s="10" t="str">
        <f ca="1">IFERROR(__xludf.DUMMYFUNCTION("""COMPUTED_VALUE"""),"PTRAC")</f>
        <v>PTRAC</v>
      </c>
      <c r="N93" s="1"/>
      <c r="O93" s="1"/>
      <c r="P93" s="1"/>
      <c r="Q93" s="1"/>
      <c r="R93" s="1"/>
      <c r="S93" s="1"/>
      <c r="T93" s="1"/>
      <c r="U93" s="1"/>
      <c r="V93" s="1"/>
      <c r="W93" s="1"/>
      <c r="X93" s="1"/>
      <c r="Y93" s="1"/>
      <c r="Z93" s="1"/>
    </row>
    <row r="94" spans="1:26" ht="12.75" customHeight="1">
      <c r="A94" s="1"/>
      <c r="B94" s="10" t="str">
        <f ca="1">IFERROR(__xludf.DUMMYFUNCTION("""COMPUTED_VALUE"""),"PVET - EMERGENCIA AÑO 2024, COMUNA DE ANTUCO")</f>
        <v>PVET - EMERGENCIA AÑO 2024, COMUNA DE ANTUCO</v>
      </c>
      <c r="C94" s="26" t="str">
        <f t="shared" ca="1" si="0"/>
        <v xml:space="preserve"> ANTUCO</v>
      </c>
      <c r="D94" s="10" t="str">
        <f ca="1">IFERROR(__xludf.DUMMYFUNCTION("""COMPUTED_VALUE"""),"Resolución de Transferencia")</f>
        <v>Resolución de Transferencia</v>
      </c>
      <c r="E94" s="26" t="str">
        <f ca="1">IFERROR(__xludf.DUMMYFUNCTION("""COMPUTED_VALUE"""),"MUNICIPALIDAD DE ANTUCO")</f>
        <v>MUNICIPALIDAD DE ANTUCO</v>
      </c>
      <c r="F94" s="11">
        <f ca="1">IFERROR(__xludf.DUMMYFUNCTION("""COMPUTED_VALUE"""),9111820)</f>
        <v>9111820</v>
      </c>
      <c r="G94" s="10" t="str">
        <f ca="1">IFERROR(__xludf.DUMMYFUNCTION("""COMPUTED_VALUE"""),"Resolución")</f>
        <v>Resolución</v>
      </c>
      <c r="H94" s="10" t="str">
        <f ca="1">IFERROR(__xludf.DUMMYFUNCTION("""COMPUTED_VALUE"""),"Plan Esterilización Responsabilidad Compartida")</f>
        <v>Plan Esterilización Responsabilidad Compartida</v>
      </c>
      <c r="I94" s="10" t="str">
        <f ca="1">IFERROR(__xludf.DUMMYFUNCTION("""COMPUTED_VALUE"""),"Cumplir con normativa y reglamentos internos del programa en base a los objetivos.")</f>
        <v>Cumplir con normativa y reglamentos internos del programa en base a los objetivos.</v>
      </c>
      <c r="J94" s="11">
        <f ca="1">IFERROR(__xludf.DUMMYFUNCTION("""COMPUTED_VALUE"""),9111820)</f>
        <v>9111820</v>
      </c>
      <c r="K94" s="27">
        <f ca="1">IFERROR(__xludf.DUMMYFUNCTION("""COMPUTED_VALUE"""),1)</f>
        <v>1</v>
      </c>
      <c r="L94" s="28" t="str">
        <f ca="1">IFERROR(__xludf.DUMMYFUNCTION("""COMPUTED_VALUE"""),"8464/2024")</f>
        <v>8464/2024</v>
      </c>
      <c r="M94" s="10" t="str">
        <f ca="1">IFERROR(__xludf.DUMMYFUNCTION("""COMPUTED_VALUE"""),"PTRAC")</f>
        <v>PTRAC</v>
      </c>
      <c r="N94" s="1"/>
      <c r="O94" s="1"/>
      <c r="P94" s="1"/>
      <c r="Q94" s="1"/>
      <c r="R94" s="1"/>
      <c r="S94" s="1"/>
      <c r="T94" s="1"/>
      <c r="U94" s="1"/>
      <c r="V94" s="1"/>
      <c r="W94" s="1"/>
      <c r="X94" s="1"/>
      <c r="Y94" s="1"/>
      <c r="Z94" s="1"/>
    </row>
    <row r="95" spans="1:26" ht="12.75" customHeight="1">
      <c r="A95" s="1"/>
      <c r="B95" s="10" t="str">
        <f ca="1">IFERROR(__xludf.DUMMYFUNCTION("""COMPUTED_VALUE"""),"PLAN NACIONAL DE ESTERILIZACIONES RESPONSABILIDAD COMPARTIDA 2023 COMUNA EL CARMEN")</f>
        <v>PLAN NACIONAL DE ESTERILIZACIONES RESPONSABILIDAD COMPARTIDA 2023 COMUNA EL CARMEN</v>
      </c>
      <c r="C95" s="26" t="str">
        <f t="shared" ca="1" si="0"/>
        <v xml:space="preserve"> EL CARMEN</v>
      </c>
      <c r="D95" s="10" t="str">
        <f ca="1">IFERROR(__xludf.DUMMYFUNCTION("""COMPUTED_VALUE"""),"Resolución de Transferencia")</f>
        <v>Resolución de Transferencia</v>
      </c>
      <c r="E95" s="26" t="str">
        <f ca="1">IFERROR(__xludf.DUMMYFUNCTION("""COMPUTED_VALUE"""),"MUNICIPALIDAD DE EL CARMEN")</f>
        <v>MUNICIPALIDAD DE EL CARMEN</v>
      </c>
      <c r="F95" s="11">
        <f ca="1">IFERROR(__xludf.DUMMYFUNCTION("""COMPUTED_VALUE"""),29200000)</f>
        <v>29200000</v>
      </c>
      <c r="G95" s="10" t="str">
        <f ca="1">IFERROR(__xludf.DUMMYFUNCTION("""COMPUTED_VALUE"""),"Resolución")</f>
        <v>Resolución</v>
      </c>
      <c r="H95" s="10" t="str">
        <f ca="1">IFERROR(__xludf.DUMMYFUNCTION("""COMPUTED_VALUE"""),"Plan Esterilización Responsabilidad Compartida")</f>
        <v>Plan Esterilización Responsabilidad Compartida</v>
      </c>
      <c r="I95" s="10" t="str">
        <f ca="1">IFERROR(__xludf.DUMMYFUNCTION("""COMPUTED_VALUE"""),"Cumplir con normativa y reglamentos internos del programa en base a los objetivos.")</f>
        <v>Cumplir con normativa y reglamentos internos del programa en base a los objetivos.</v>
      </c>
      <c r="J95" s="11">
        <f ca="1">IFERROR(__xludf.DUMMYFUNCTION("""COMPUTED_VALUE"""),29200000)</f>
        <v>29200000</v>
      </c>
      <c r="K95" s="27">
        <f ca="1">IFERROR(__xludf.DUMMYFUNCTION("""COMPUTED_VALUE"""),1)</f>
        <v>1</v>
      </c>
      <c r="L95" s="28" t="str">
        <f ca="1">IFERROR(__xludf.DUMMYFUNCTION("""COMPUTED_VALUE"""),"7544/2024")</f>
        <v>7544/2024</v>
      </c>
      <c r="M95" s="10" t="str">
        <f ca="1">IFERROR(__xludf.DUMMYFUNCTION("""COMPUTED_VALUE"""),"PTRAC")</f>
        <v>PTRAC</v>
      </c>
      <c r="N95" s="1"/>
      <c r="O95" s="1"/>
      <c r="P95" s="1"/>
      <c r="Q95" s="1"/>
      <c r="R95" s="1"/>
      <c r="S95" s="1"/>
      <c r="T95" s="1"/>
      <c r="U95" s="1"/>
      <c r="V95" s="1"/>
      <c r="W95" s="1"/>
      <c r="X95" s="1"/>
      <c r="Y95" s="1"/>
      <c r="Z95" s="1"/>
    </row>
    <row r="96" spans="1:26" ht="12.75" customHeight="1">
      <c r="A96" s="1"/>
      <c r="B96" s="10" t="str">
        <f ca="1">IFERROR(__xludf.DUMMYFUNCTION("""COMPUTED_VALUE"""),"PLAN NACIONAL DE ESTERILIZACIONES RESPONSABILIDAD COMPARTIDA AÑO 2023 COMUNA DE CORONEL")</f>
        <v>PLAN NACIONAL DE ESTERILIZACIONES RESPONSABILIDAD COMPARTIDA AÑO 2023 COMUNA DE CORONEL</v>
      </c>
      <c r="C96" s="26" t="str">
        <f t="shared" ca="1" si="0"/>
        <v xml:space="preserve"> CORONEL</v>
      </c>
      <c r="D96" s="10" t="str">
        <f ca="1">IFERROR(__xludf.DUMMYFUNCTION("""COMPUTED_VALUE"""),"Resolución de Transferencia")</f>
        <v>Resolución de Transferencia</v>
      </c>
      <c r="E96" s="26" t="str">
        <f ca="1">IFERROR(__xludf.DUMMYFUNCTION("""COMPUTED_VALUE"""),"MUNICIPALIDAD DE CORONEL")</f>
        <v>MUNICIPALIDAD DE CORONEL</v>
      </c>
      <c r="F96" s="11">
        <f ca="1">IFERROR(__xludf.DUMMYFUNCTION("""COMPUTED_VALUE"""),28600000)</f>
        <v>28600000</v>
      </c>
      <c r="G96" s="10" t="str">
        <f ca="1">IFERROR(__xludf.DUMMYFUNCTION("""COMPUTED_VALUE"""),"Resolución")</f>
        <v>Resolución</v>
      </c>
      <c r="H96" s="10" t="str">
        <f ca="1">IFERROR(__xludf.DUMMYFUNCTION("""COMPUTED_VALUE"""),"Plan Esterilización Responsabilidad Compartida")</f>
        <v>Plan Esterilización Responsabilidad Compartida</v>
      </c>
      <c r="I96" s="10" t="str">
        <f ca="1">IFERROR(__xludf.DUMMYFUNCTION("""COMPUTED_VALUE"""),"Cumplir con normativa y reglamentos internos del programa en base a los objetivos.")</f>
        <v>Cumplir con normativa y reglamentos internos del programa en base a los objetivos.</v>
      </c>
      <c r="J96" s="11">
        <f ca="1">IFERROR(__xludf.DUMMYFUNCTION("""COMPUTED_VALUE"""),28600000)</f>
        <v>28600000</v>
      </c>
      <c r="K96" s="27">
        <f ca="1">IFERROR(__xludf.DUMMYFUNCTION("""COMPUTED_VALUE"""),1)</f>
        <v>1</v>
      </c>
      <c r="L96" s="28" t="str">
        <f ca="1">IFERROR(__xludf.DUMMYFUNCTION("""COMPUTED_VALUE"""),"8029/2024")</f>
        <v>8029/2024</v>
      </c>
      <c r="M96" s="10" t="str">
        <f ca="1">IFERROR(__xludf.DUMMYFUNCTION("""COMPUTED_VALUE"""),"PTRAC")</f>
        <v>PTRAC</v>
      </c>
      <c r="N96" s="1"/>
      <c r="O96" s="1"/>
      <c r="P96" s="1"/>
      <c r="Q96" s="1"/>
      <c r="R96" s="1"/>
      <c r="S96" s="1"/>
      <c r="T96" s="1"/>
      <c r="U96" s="1"/>
      <c r="V96" s="1"/>
      <c r="W96" s="1"/>
      <c r="X96" s="1"/>
      <c r="Y96" s="1"/>
      <c r="Z96" s="1"/>
    </row>
    <row r="97" spans="1:26" ht="12.75" customHeight="1">
      <c r="A97" s="1"/>
      <c r="B97" s="10" t="str">
        <f ca="1">IFERROR(__xludf.DUMMYFUNCTION("""COMPUTED_VALUE"""),"PLAN NACIONAL DE ESTERILIZACIONES RESPONSABILIDAD COMPARTIDA 2024 COMUNA DE NINHUE")</f>
        <v>PLAN NACIONAL DE ESTERILIZACIONES RESPONSABILIDAD COMPARTIDA 2024 COMUNA DE NINHUE</v>
      </c>
      <c r="C97" s="26" t="str">
        <f t="shared" ca="1" si="0"/>
        <v xml:space="preserve"> NINHUE</v>
      </c>
      <c r="D97" s="10" t="str">
        <f ca="1">IFERROR(__xludf.DUMMYFUNCTION("""COMPUTED_VALUE"""),"Resolución de Transferencia")</f>
        <v>Resolución de Transferencia</v>
      </c>
      <c r="E97" s="26" t="str">
        <f ca="1">IFERROR(__xludf.DUMMYFUNCTION("""COMPUTED_VALUE"""),"MUNICIPALIDAD DE NINHUE")</f>
        <v>MUNICIPALIDAD DE NINHUE</v>
      </c>
      <c r="F97" s="11">
        <f ca="1">IFERROR(__xludf.DUMMYFUNCTION("""COMPUTED_VALUE"""),8700000)</f>
        <v>8700000</v>
      </c>
      <c r="G97" s="10" t="str">
        <f ca="1">IFERROR(__xludf.DUMMYFUNCTION("""COMPUTED_VALUE"""),"Resolución")</f>
        <v>Resolución</v>
      </c>
      <c r="H97" s="10" t="str">
        <f ca="1">IFERROR(__xludf.DUMMYFUNCTION("""COMPUTED_VALUE"""),"Plan Esterilización Responsabilidad Compartida")</f>
        <v>Plan Esterilización Responsabilidad Compartida</v>
      </c>
      <c r="I97" s="10" t="str">
        <f ca="1">IFERROR(__xludf.DUMMYFUNCTION("""COMPUTED_VALUE"""),"Cumplir con normativa y reglamentos internos del programa en base a los objetivos.")</f>
        <v>Cumplir con normativa y reglamentos internos del programa en base a los objetivos.</v>
      </c>
      <c r="J97" s="11">
        <f ca="1">IFERROR(__xludf.DUMMYFUNCTION("""COMPUTED_VALUE"""),8700000)</f>
        <v>8700000</v>
      </c>
      <c r="K97" s="27">
        <f ca="1">IFERROR(__xludf.DUMMYFUNCTION("""COMPUTED_VALUE"""),1)</f>
        <v>1</v>
      </c>
      <c r="L97" s="28" t="str">
        <f ca="1">IFERROR(__xludf.DUMMYFUNCTION("""COMPUTED_VALUE"""),"8315/2024")</f>
        <v>8315/2024</v>
      </c>
      <c r="M97" s="10" t="str">
        <f ca="1">IFERROR(__xludf.DUMMYFUNCTION("""COMPUTED_VALUE"""),"PTRAC")</f>
        <v>PTRAC</v>
      </c>
      <c r="N97" s="1"/>
      <c r="O97" s="1"/>
      <c r="P97" s="1"/>
      <c r="Q97" s="1"/>
      <c r="R97" s="1"/>
      <c r="S97" s="1"/>
      <c r="T97" s="1"/>
      <c r="U97" s="1"/>
      <c r="V97" s="1"/>
      <c r="W97" s="1"/>
      <c r="X97" s="1"/>
      <c r="Y97" s="1"/>
      <c r="Z97" s="1"/>
    </row>
    <row r="98" spans="1:26" ht="12.75" customHeight="1">
      <c r="A98" s="1"/>
      <c r="B98" s="10" t="str">
        <f ca="1">IFERROR(__xludf.DUMMYFUNCTION("""COMPUTED_VALUE"""),"PLAN NACIONAL DE ESTERILIZACIONES RESPONSABILIDAD COMPARTIDA 2023 COMUNA DE RÍO VERDE")</f>
        <v>PLAN NACIONAL DE ESTERILIZACIONES RESPONSABILIDAD COMPARTIDA 2023 COMUNA DE RÍO VERDE</v>
      </c>
      <c r="C98" s="26" t="str">
        <f t="shared" ca="1" si="0"/>
        <v xml:space="preserve"> RÍO VERDE</v>
      </c>
      <c r="D98" s="10" t="str">
        <f ca="1">IFERROR(__xludf.DUMMYFUNCTION("""COMPUTED_VALUE"""),"Resolución de Transferencia")</f>
        <v>Resolución de Transferencia</v>
      </c>
      <c r="E98" s="26" t="str">
        <f ca="1">IFERROR(__xludf.DUMMYFUNCTION("""COMPUTED_VALUE"""),"MUNICIPALIDAD DE RÍO VERDE")</f>
        <v>MUNICIPALIDAD DE RÍO VERDE</v>
      </c>
      <c r="F98" s="11">
        <f ca="1">IFERROR(__xludf.DUMMYFUNCTION("""COMPUTED_VALUE"""),4050000)</f>
        <v>4050000</v>
      </c>
      <c r="G98" s="10" t="str">
        <f ca="1">IFERROR(__xludf.DUMMYFUNCTION("""COMPUTED_VALUE"""),"Resolución")</f>
        <v>Resolución</v>
      </c>
      <c r="H98" s="10" t="str">
        <f ca="1">IFERROR(__xludf.DUMMYFUNCTION("""COMPUTED_VALUE"""),"Plan Esterilización Responsabilidad Compartida")</f>
        <v>Plan Esterilización Responsabilidad Compartida</v>
      </c>
      <c r="I98" s="10" t="str">
        <f ca="1">IFERROR(__xludf.DUMMYFUNCTION("""COMPUTED_VALUE"""),"Cumplir con normativa y reglamentos internos del programa en base a los objetivos.")</f>
        <v>Cumplir con normativa y reglamentos internos del programa en base a los objetivos.</v>
      </c>
      <c r="J98" s="11">
        <f ca="1">IFERROR(__xludf.DUMMYFUNCTION("""COMPUTED_VALUE"""),4050000)</f>
        <v>4050000</v>
      </c>
      <c r="K98" s="27">
        <f ca="1">IFERROR(__xludf.DUMMYFUNCTION("""COMPUTED_VALUE"""),1)</f>
        <v>1</v>
      </c>
      <c r="L98" s="28" t="str">
        <f ca="1">IFERROR(__xludf.DUMMYFUNCTION("""COMPUTED_VALUE"""),"8933/2024")</f>
        <v>8933/2024</v>
      </c>
      <c r="M98" s="10" t="str">
        <f ca="1">IFERROR(__xludf.DUMMYFUNCTION("""COMPUTED_VALUE"""),"PTRAC")</f>
        <v>PTRAC</v>
      </c>
      <c r="N98" s="1"/>
      <c r="O98" s="1"/>
      <c r="P98" s="1"/>
      <c r="Q98" s="1"/>
      <c r="R98" s="1"/>
      <c r="S98" s="1"/>
      <c r="T98" s="1"/>
      <c r="U98" s="1"/>
      <c r="V98" s="1"/>
      <c r="W98" s="1"/>
      <c r="X98" s="1"/>
      <c r="Y98" s="1"/>
      <c r="Z98" s="1"/>
    </row>
    <row r="99" spans="1:26" ht="12.75" customHeight="1">
      <c r="A99" s="1"/>
      <c r="B99" s="10" t="str">
        <f ca="1">IFERROR(__xludf.DUMMYFUNCTION("""COMPUTED_VALUE"""),"BOTIQUÍN EMERGENCIA 2024 COMUNA DE LOTA")</f>
        <v>BOTIQUÍN EMERGENCIA 2024 COMUNA DE LOTA</v>
      </c>
      <c r="C99" s="26" t="str">
        <f t="shared" ca="1" si="0"/>
        <v xml:space="preserve"> LOTA</v>
      </c>
      <c r="D99" s="10" t="str">
        <f ca="1">IFERROR(__xludf.DUMMYFUNCTION("""COMPUTED_VALUE"""),"Resolución de Transferencia")</f>
        <v>Resolución de Transferencia</v>
      </c>
      <c r="E99" s="26" t="str">
        <f ca="1">IFERROR(__xludf.DUMMYFUNCTION("""COMPUTED_VALUE"""),"MUNICIPALIDAD DE LOTA")</f>
        <v>MUNICIPALIDAD DE LOTA</v>
      </c>
      <c r="F99" s="11">
        <f ca="1">IFERROR(__xludf.DUMMYFUNCTION("""COMPUTED_VALUE"""),6112455)</f>
        <v>6112455</v>
      </c>
      <c r="G99" s="10" t="str">
        <f ca="1">IFERROR(__xludf.DUMMYFUNCTION("""COMPUTED_VALUE"""),"Resolución")</f>
        <v>Resolución</v>
      </c>
      <c r="H99" s="10" t="str">
        <f ca="1">IFERROR(__xludf.DUMMYFUNCTION("""COMPUTED_VALUE"""),"Plan Esterilización Responsabilidad Compartida")</f>
        <v>Plan Esterilización Responsabilidad Compartida</v>
      </c>
      <c r="I99" s="10" t="str">
        <f ca="1">IFERROR(__xludf.DUMMYFUNCTION("""COMPUTED_VALUE"""),"Cumplir con normativa y reglamentos internos del programa en base a los objetivos.")</f>
        <v>Cumplir con normativa y reglamentos internos del programa en base a los objetivos.</v>
      </c>
      <c r="J99" s="11">
        <f ca="1">IFERROR(__xludf.DUMMYFUNCTION("""COMPUTED_VALUE"""),6112455)</f>
        <v>6112455</v>
      </c>
      <c r="K99" s="27">
        <f ca="1">IFERROR(__xludf.DUMMYFUNCTION("""COMPUTED_VALUE"""),1)</f>
        <v>1</v>
      </c>
      <c r="L99" s="28" t="str">
        <f ca="1">IFERROR(__xludf.DUMMYFUNCTION("""COMPUTED_VALUE"""),"8895/2024")</f>
        <v>8895/2024</v>
      </c>
      <c r="M99" s="10" t="str">
        <f ca="1">IFERROR(__xludf.DUMMYFUNCTION("""COMPUTED_VALUE"""),"PTRAC")</f>
        <v>PTRAC</v>
      </c>
      <c r="N99" s="1"/>
      <c r="O99" s="1"/>
      <c r="P99" s="1"/>
      <c r="Q99" s="1"/>
      <c r="R99" s="1"/>
      <c r="S99" s="1"/>
      <c r="T99" s="1"/>
      <c r="U99" s="1"/>
      <c r="V99" s="1"/>
      <c r="W99" s="1"/>
      <c r="X99" s="1"/>
      <c r="Y99" s="1"/>
      <c r="Z99" s="1"/>
    </row>
    <row r="100" spans="1:26" ht="12.75" customHeight="1">
      <c r="A100" s="1"/>
      <c r="B100" s="10" t="str">
        <f ca="1">IFERROR(__xludf.DUMMYFUNCTION("""COMPUTED_VALUE"""),"BOTIQUIN DE EMERGENCIA AÑO 2024, COMUNA DE CURANILAHUE")</f>
        <v>BOTIQUIN DE EMERGENCIA AÑO 2024, COMUNA DE CURANILAHUE</v>
      </c>
      <c r="C100" s="26" t="str">
        <f t="shared" ca="1" si="0"/>
        <v xml:space="preserve"> CURANILAHUE</v>
      </c>
      <c r="D100" s="10" t="str">
        <f ca="1">IFERROR(__xludf.DUMMYFUNCTION("""COMPUTED_VALUE"""),"Resolución de Transferencia")</f>
        <v>Resolución de Transferencia</v>
      </c>
      <c r="E100" s="26" t="str">
        <f ca="1">IFERROR(__xludf.DUMMYFUNCTION("""COMPUTED_VALUE"""),"MUNICIPALIDAD DE CURANILAHUE")</f>
        <v>MUNICIPALIDAD DE CURANILAHUE</v>
      </c>
      <c r="F100" s="11">
        <f ca="1">IFERROR(__xludf.DUMMYFUNCTION("""COMPUTED_VALUE"""),6112455)</f>
        <v>6112455</v>
      </c>
      <c r="G100" s="10" t="str">
        <f ca="1">IFERROR(__xludf.DUMMYFUNCTION("""COMPUTED_VALUE"""),"Resolución")</f>
        <v>Resolución</v>
      </c>
      <c r="H100" s="10" t="str">
        <f ca="1">IFERROR(__xludf.DUMMYFUNCTION("""COMPUTED_VALUE"""),"Plan Esterilización Responsabilidad Compartida")</f>
        <v>Plan Esterilización Responsabilidad Compartida</v>
      </c>
      <c r="I100" s="10" t="str">
        <f ca="1">IFERROR(__xludf.DUMMYFUNCTION("""COMPUTED_VALUE"""),"Cumplir con normativa y reglamentos internos del programa en base a los objetivos.")</f>
        <v>Cumplir con normativa y reglamentos internos del programa en base a los objetivos.</v>
      </c>
      <c r="J100" s="11">
        <f ca="1">IFERROR(__xludf.DUMMYFUNCTION("""COMPUTED_VALUE"""),6112455)</f>
        <v>6112455</v>
      </c>
      <c r="K100" s="27">
        <f ca="1">IFERROR(__xludf.DUMMYFUNCTION("""COMPUTED_VALUE"""),1)</f>
        <v>1</v>
      </c>
      <c r="L100" s="28" t="str">
        <f ca="1">IFERROR(__xludf.DUMMYFUNCTION("""COMPUTED_VALUE"""),"8893/2024")</f>
        <v>8893/2024</v>
      </c>
      <c r="M100" s="10" t="str">
        <f ca="1">IFERROR(__xludf.DUMMYFUNCTION("""COMPUTED_VALUE"""),"PTRAC")</f>
        <v>PTRAC</v>
      </c>
      <c r="N100" s="1"/>
      <c r="O100" s="1"/>
      <c r="P100" s="1"/>
      <c r="Q100" s="1"/>
      <c r="R100" s="1"/>
      <c r="S100" s="1"/>
      <c r="T100" s="1"/>
      <c r="U100" s="1"/>
      <c r="V100" s="1"/>
      <c r="W100" s="1"/>
      <c r="X100" s="1"/>
      <c r="Y100" s="1"/>
      <c r="Z100" s="1"/>
    </row>
    <row r="101" spans="1:26" ht="12.75" customHeight="1">
      <c r="A101" s="1"/>
      <c r="B101" s="10" t="str">
        <f ca="1">IFERROR(__xludf.DUMMYFUNCTION("""COMPUTED_VALUE"""),"- BOTIQUÍN EMERGENCIA 2024 COMUNA DE FLORIDA")</f>
        <v>- BOTIQUÍN EMERGENCIA 2024 COMUNA DE FLORIDA</v>
      </c>
      <c r="C101" s="26" t="str">
        <f t="shared" ca="1" si="0"/>
        <v xml:space="preserve"> FLORIDA</v>
      </c>
      <c r="D101" s="10" t="str">
        <f ca="1">IFERROR(__xludf.DUMMYFUNCTION("""COMPUTED_VALUE"""),"Resolución de Transferencia")</f>
        <v>Resolución de Transferencia</v>
      </c>
      <c r="E101" s="26" t="str">
        <f ca="1">IFERROR(__xludf.DUMMYFUNCTION("""COMPUTED_VALUE"""),"MUNICIPALIDAD DE FLORIDA")</f>
        <v>MUNICIPALIDAD DE FLORIDA</v>
      </c>
      <c r="F101" s="11">
        <f ca="1">IFERROR(__xludf.DUMMYFUNCTION("""COMPUTED_VALUE"""),6112455)</f>
        <v>6112455</v>
      </c>
      <c r="G101" s="10" t="str">
        <f ca="1">IFERROR(__xludf.DUMMYFUNCTION("""COMPUTED_VALUE"""),"Resolución")</f>
        <v>Resolución</v>
      </c>
      <c r="H101" s="10" t="str">
        <f ca="1">IFERROR(__xludf.DUMMYFUNCTION("""COMPUTED_VALUE"""),"Plan Esterilización Responsabilidad Compartida")</f>
        <v>Plan Esterilización Responsabilidad Compartida</v>
      </c>
      <c r="I101" s="10" t="str">
        <f ca="1">IFERROR(__xludf.DUMMYFUNCTION("""COMPUTED_VALUE"""),"Cumplir con normativa y reglamentos internos del programa en base a los objetivos.")</f>
        <v>Cumplir con normativa y reglamentos internos del programa en base a los objetivos.</v>
      </c>
      <c r="J101" s="11">
        <f ca="1">IFERROR(__xludf.DUMMYFUNCTION("""COMPUTED_VALUE"""),6112455)</f>
        <v>6112455</v>
      </c>
      <c r="K101" s="27">
        <f ca="1">IFERROR(__xludf.DUMMYFUNCTION("""COMPUTED_VALUE"""),1)</f>
        <v>1</v>
      </c>
      <c r="L101" s="28" t="str">
        <f ca="1">IFERROR(__xludf.DUMMYFUNCTION("""COMPUTED_VALUE"""),"8919/2024")</f>
        <v>8919/2024</v>
      </c>
      <c r="M101" s="10" t="str">
        <f ca="1">IFERROR(__xludf.DUMMYFUNCTION("""COMPUTED_VALUE"""),"PTRAC")</f>
        <v>PTRAC</v>
      </c>
      <c r="N101" s="1"/>
      <c r="O101" s="1"/>
      <c r="P101" s="1"/>
      <c r="Q101" s="1"/>
      <c r="R101" s="1"/>
      <c r="S101" s="1"/>
      <c r="T101" s="1"/>
      <c r="U101" s="1"/>
      <c r="V101" s="1"/>
      <c r="W101" s="1"/>
      <c r="X101" s="1"/>
      <c r="Y101" s="1"/>
      <c r="Z101" s="1"/>
    </row>
    <row r="102" spans="1:26" ht="12.75" customHeight="1">
      <c r="A102" s="1"/>
      <c r="B102" s="10" t="str">
        <f ca="1">IFERROR(__xludf.DUMMYFUNCTION("""COMPUTED_VALUE"""),"PVET-EMERGENCIA 2024 COMUNA DE NACIMIENTO")</f>
        <v>PVET-EMERGENCIA 2024 COMUNA DE NACIMIENTO</v>
      </c>
      <c r="C102" s="26" t="str">
        <f t="shared" ca="1" si="0"/>
        <v xml:space="preserve"> NACIMIENTO</v>
      </c>
      <c r="D102" s="10" t="str">
        <f ca="1">IFERROR(__xludf.DUMMYFUNCTION("""COMPUTED_VALUE"""),"Resolución de Transferencia")</f>
        <v>Resolución de Transferencia</v>
      </c>
      <c r="E102" s="26" t="str">
        <f ca="1">IFERROR(__xludf.DUMMYFUNCTION("""COMPUTED_VALUE"""),"MUNICIPALIDAD DE NACIMIENTO")</f>
        <v>MUNICIPALIDAD DE NACIMIENTO</v>
      </c>
      <c r="F102" s="11">
        <f ca="1">IFERROR(__xludf.DUMMYFUNCTION("""COMPUTED_VALUE"""),9111820)</f>
        <v>9111820</v>
      </c>
      <c r="G102" s="10" t="str">
        <f ca="1">IFERROR(__xludf.DUMMYFUNCTION("""COMPUTED_VALUE"""),"Resolución")</f>
        <v>Resolución</v>
      </c>
      <c r="H102" s="10" t="str">
        <f ca="1">IFERROR(__xludf.DUMMYFUNCTION("""COMPUTED_VALUE"""),"Plan Esterilización Responsabilidad Compartida")</f>
        <v>Plan Esterilización Responsabilidad Compartida</v>
      </c>
      <c r="I102" s="10" t="str">
        <f ca="1">IFERROR(__xludf.DUMMYFUNCTION("""COMPUTED_VALUE"""),"Cumplir con normativa y reglamentos internos del programa en base a los objetivos.")</f>
        <v>Cumplir con normativa y reglamentos internos del programa en base a los objetivos.</v>
      </c>
      <c r="J102" s="11">
        <f ca="1">IFERROR(__xludf.DUMMYFUNCTION("""COMPUTED_VALUE"""),9111820)</f>
        <v>9111820</v>
      </c>
      <c r="K102" s="27">
        <f ca="1">IFERROR(__xludf.DUMMYFUNCTION("""COMPUTED_VALUE"""),1)</f>
        <v>1</v>
      </c>
      <c r="L102" s="28" t="str">
        <f ca="1">IFERROR(__xludf.DUMMYFUNCTION("""COMPUTED_VALUE"""),"8897/2024")</f>
        <v>8897/2024</v>
      </c>
      <c r="M102" s="10" t="str">
        <f ca="1">IFERROR(__xludf.DUMMYFUNCTION("""COMPUTED_VALUE"""),"PTRAC")</f>
        <v>PTRAC</v>
      </c>
      <c r="N102" s="1"/>
      <c r="O102" s="1"/>
      <c r="P102" s="1"/>
      <c r="Q102" s="1"/>
      <c r="R102" s="1"/>
      <c r="S102" s="1"/>
      <c r="T102" s="1"/>
      <c r="U102" s="1"/>
      <c r="V102" s="1"/>
      <c r="W102" s="1"/>
      <c r="X102" s="1"/>
      <c r="Y102" s="1"/>
      <c r="Z102" s="1"/>
    </row>
    <row r="103" spans="1:26" ht="12.75" customHeight="1">
      <c r="A103" s="1"/>
      <c r="B103" s="10" t="str">
        <f ca="1">IFERROR(__xludf.DUMMYFUNCTION("""COMPUTED_VALUE"""),"PVET - EMERGENCIA 2024 COMUNA DE ARAUCO")</f>
        <v>PVET - EMERGENCIA 2024 COMUNA DE ARAUCO</v>
      </c>
      <c r="C103" s="26" t="str">
        <f t="shared" ca="1" si="0"/>
        <v xml:space="preserve"> ARAUCO</v>
      </c>
      <c r="D103" s="10" t="str">
        <f ca="1">IFERROR(__xludf.DUMMYFUNCTION("""COMPUTED_VALUE"""),"Resolución de Transferencia")</f>
        <v>Resolución de Transferencia</v>
      </c>
      <c r="E103" s="26" t="str">
        <f ca="1">IFERROR(__xludf.DUMMYFUNCTION("""COMPUTED_VALUE"""),"MUNICIPALIDAD DE ARAUCO")</f>
        <v>MUNICIPALIDAD DE ARAUCO</v>
      </c>
      <c r="F103" s="11">
        <f ca="1">IFERROR(__xludf.DUMMYFUNCTION("""COMPUTED_VALUE"""),9111820)</f>
        <v>9111820</v>
      </c>
      <c r="G103" s="10" t="str">
        <f ca="1">IFERROR(__xludf.DUMMYFUNCTION("""COMPUTED_VALUE"""),"Resolución")</f>
        <v>Resolución</v>
      </c>
      <c r="H103" s="10" t="str">
        <f ca="1">IFERROR(__xludf.DUMMYFUNCTION("""COMPUTED_VALUE"""),"Plan Esterilización Responsabilidad Compartida")</f>
        <v>Plan Esterilización Responsabilidad Compartida</v>
      </c>
      <c r="I103" s="10" t="str">
        <f ca="1">IFERROR(__xludf.DUMMYFUNCTION("""COMPUTED_VALUE"""),"Cumplir con normativa y reglamentos internos del programa en base a los objetivos.")</f>
        <v>Cumplir con normativa y reglamentos internos del programa en base a los objetivos.</v>
      </c>
      <c r="J103" s="11">
        <f ca="1">IFERROR(__xludf.DUMMYFUNCTION("""COMPUTED_VALUE"""),9111820)</f>
        <v>9111820</v>
      </c>
      <c r="K103" s="27">
        <f ca="1">IFERROR(__xludf.DUMMYFUNCTION("""COMPUTED_VALUE"""),1)</f>
        <v>1</v>
      </c>
      <c r="L103" s="28" t="str">
        <f ca="1">IFERROR(__xludf.DUMMYFUNCTION("""COMPUTED_VALUE"""),"8916/2024")</f>
        <v>8916/2024</v>
      </c>
      <c r="M103" s="10" t="str">
        <f ca="1">IFERROR(__xludf.DUMMYFUNCTION("""COMPUTED_VALUE"""),"PTRAC")</f>
        <v>PTRAC</v>
      </c>
      <c r="N103" s="1"/>
      <c r="O103" s="1"/>
      <c r="P103" s="1"/>
      <c r="Q103" s="1"/>
      <c r="R103" s="1"/>
      <c r="S103" s="1"/>
      <c r="T103" s="1"/>
      <c r="U103" s="1"/>
      <c r="V103" s="1"/>
      <c r="W103" s="1"/>
      <c r="X103" s="1"/>
      <c r="Y103" s="1"/>
      <c r="Z103" s="1"/>
    </row>
    <row r="104" spans="1:26" ht="12.75" customHeight="1">
      <c r="A104" s="1"/>
      <c r="B104" s="10" t="str">
        <f ca="1">IFERROR(__xludf.DUMMYFUNCTION("""COMPUTED_VALUE"""),"BOTIQUIN EMERGENCIA 2024 COMUNA DE SANTA JUANA")</f>
        <v>BOTIQUIN EMERGENCIA 2024 COMUNA DE SANTA JUANA</v>
      </c>
      <c r="C104" s="26" t="str">
        <f t="shared" ca="1" si="0"/>
        <v xml:space="preserve"> SANTA JUANA</v>
      </c>
      <c r="D104" s="10" t="str">
        <f ca="1">IFERROR(__xludf.DUMMYFUNCTION("""COMPUTED_VALUE"""),"Resolución de Transferencia")</f>
        <v>Resolución de Transferencia</v>
      </c>
      <c r="E104" s="26" t="str">
        <f ca="1">IFERROR(__xludf.DUMMYFUNCTION("""COMPUTED_VALUE"""),"MUNICIPALIDAD DE SANTA JUANA")</f>
        <v>MUNICIPALIDAD DE SANTA JUANA</v>
      </c>
      <c r="F104" s="11">
        <f ca="1">IFERROR(__xludf.DUMMYFUNCTION("""COMPUTED_VALUE"""),6112455)</f>
        <v>6112455</v>
      </c>
      <c r="G104" s="10" t="str">
        <f ca="1">IFERROR(__xludf.DUMMYFUNCTION("""COMPUTED_VALUE"""),"Resolución")</f>
        <v>Resolución</v>
      </c>
      <c r="H104" s="10" t="str">
        <f ca="1">IFERROR(__xludf.DUMMYFUNCTION("""COMPUTED_VALUE"""),"Plan Esterilización Responsabilidad Compartida")</f>
        <v>Plan Esterilización Responsabilidad Compartida</v>
      </c>
      <c r="I104" s="10" t="str">
        <f ca="1">IFERROR(__xludf.DUMMYFUNCTION("""COMPUTED_VALUE"""),"Cumplir con normativa y reglamentos internos del programa en base a los objetivos.")</f>
        <v>Cumplir con normativa y reglamentos internos del programa en base a los objetivos.</v>
      </c>
      <c r="J104" s="11">
        <f ca="1">IFERROR(__xludf.DUMMYFUNCTION("""COMPUTED_VALUE"""),6112455)</f>
        <v>6112455</v>
      </c>
      <c r="K104" s="27">
        <f ca="1">IFERROR(__xludf.DUMMYFUNCTION("""COMPUTED_VALUE"""),1)</f>
        <v>1</v>
      </c>
      <c r="L104" s="28" t="str">
        <f ca="1">IFERROR(__xludf.DUMMYFUNCTION("""COMPUTED_VALUE"""),"8918/2024")</f>
        <v>8918/2024</v>
      </c>
      <c r="M104" s="10" t="str">
        <f ca="1">IFERROR(__xludf.DUMMYFUNCTION("""COMPUTED_VALUE"""),"PTRAC")</f>
        <v>PTRAC</v>
      </c>
      <c r="N104" s="1"/>
      <c r="O104" s="1"/>
      <c r="P104" s="1"/>
      <c r="Q104" s="1"/>
      <c r="R104" s="1"/>
      <c r="S104" s="1"/>
      <c r="T104" s="1"/>
      <c r="U104" s="1"/>
      <c r="V104" s="1"/>
      <c r="W104" s="1"/>
      <c r="X104" s="1"/>
      <c r="Y104" s="1"/>
      <c r="Z104" s="1"/>
    </row>
    <row r="105" spans="1:26" ht="12.75" customHeight="1">
      <c r="A105" s="1"/>
      <c r="B105" s="10" t="str">
        <f ca="1">IFERROR(__xludf.DUMMYFUNCTION("""COMPUTED_VALUE"""),"BOTIQUÍN DE EMERGENCIA 2024 COMUNA DE HUALQUI")</f>
        <v>BOTIQUÍN DE EMERGENCIA 2024 COMUNA DE HUALQUI</v>
      </c>
      <c r="C105" s="26" t="str">
        <f t="shared" ca="1" si="0"/>
        <v xml:space="preserve"> HUALQUI</v>
      </c>
      <c r="D105" s="10" t="str">
        <f ca="1">IFERROR(__xludf.DUMMYFUNCTION("""COMPUTED_VALUE"""),"Resolución de Transferencia")</f>
        <v>Resolución de Transferencia</v>
      </c>
      <c r="E105" s="26" t="str">
        <f ca="1">IFERROR(__xludf.DUMMYFUNCTION("""COMPUTED_VALUE"""),"MUNICIPALIDAD DE HUALQUI")</f>
        <v>MUNICIPALIDAD DE HUALQUI</v>
      </c>
      <c r="F105" s="11">
        <f ca="1">IFERROR(__xludf.DUMMYFUNCTION("""COMPUTED_VALUE"""),6112455)</f>
        <v>6112455</v>
      </c>
      <c r="G105" s="10" t="str">
        <f ca="1">IFERROR(__xludf.DUMMYFUNCTION("""COMPUTED_VALUE"""),"Resolución")</f>
        <v>Resolución</v>
      </c>
      <c r="H105" s="10" t="str">
        <f ca="1">IFERROR(__xludf.DUMMYFUNCTION("""COMPUTED_VALUE"""),"Plan Esterilización Responsabilidad Compartida")</f>
        <v>Plan Esterilización Responsabilidad Compartida</v>
      </c>
      <c r="I105" s="10" t="str">
        <f ca="1">IFERROR(__xludf.DUMMYFUNCTION("""COMPUTED_VALUE"""),"Cumplir con normativa y reglamentos internos del programa en base a los objetivos.")</f>
        <v>Cumplir con normativa y reglamentos internos del programa en base a los objetivos.</v>
      </c>
      <c r="J105" s="11">
        <f ca="1">IFERROR(__xludf.DUMMYFUNCTION("""COMPUTED_VALUE"""),6112455)</f>
        <v>6112455</v>
      </c>
      <c r="K105" s="27">
        <f ca="1">IFERROR(__xludf.DUMMYFUNCTION("""COMPUTED_VALUE"""),1)</f>
        <v>1</v>
      </c>
      <c r="L105" s="28" t="str">
        <f ca="1">IFERROR(__xludf.DUMMYFUNCTION("""COMPUTED_VALUE"""),"8914/2024")</f>
        <v>8914/2024</v>
      </c>
      <c r="M105" s="10" t="str">
        <f ca="1">IFERROR(__xludf.DUMMYFUNCTION("""COMPUTED_VALUE"""),"PTRAC")</f>
        <v>PTRAC</v>
      </c>
      <c r="N105" s="1"/>
      <c r="O105" s="1"/>
      <c r="P105" s="1"/>
      <c r="Q105" s="1"/>
      <c r="R105" s="1"/>
      <c r="S105" s="1"/>
      <c r="T105" s="1"/>
      <c r="U105" s="1"/>
      <c r="V105" s="1"/>
      <c r="W105" s="1"/>
      <c r="X105" s="1"/>
      <c r="Y105" s="1"/>
      <c r="Z105" s="1"/>
    </row>
    <row r="106" spans="1:26" ht="12.75" customHeight="1">
      <c r="A106" s="1"/>
      <c r="B106" s="10" t="str">
        <f ca="1">IFERROR(__xludf.DUMMYFUNCTION("""COMPUTED_VALUE"""),"PLAN NACIONAL DE ESTERILIZACIONES RESPONSABILIDAD COMPARTIDA 2023 COMUNA DE CHIMBARONGO")</f>
        <v>PLAN NACIONAL DE ESTERILIZACIONES RESPONSABILIDAD COMPARTIDA 2023 COMUNA DE CHIMBARONGO</v>
      </c>
      <c r="C106" s="26" t="str">
        <f t="shared" ca="1" si="0"/>
        <v xml:space="preserve"> CHIMBARONGO</v>
      </c>
      <c r="D106" s="10" t="str">
        <f ca="1">IFERROR(__xludf.DUMMYFUNCTION("""COMPUTED_VALUE"""),"Resolución de Transferencia")</f>
        <v>Resolución de Transferencia</v>
      </c>
      <c r="E106" s="26" t="str">
        <f ca="1">IFERROR(__xludf.DUMMYFUNCTION("""COMPUTED_VALUE"""),"MUNICIPALIDAD DE CHIMBARONGO")</f>
        <v>MUNICIPALIDAD DE CHIMBARONGO</v>
      </c>
      <c r="F106" s="11">
        <f ca="1">IFERROR(__xludf.DUMMYFUNCTION("""COMPUTED_VALUE"""),29200000)</f>
        <v>29200000</v>
      </c>
      <c r="G106" s="10" t="str">
        <f ca="1">IFERROR(__xludf.DUMMYFUNCTION("""COMPUTED_VALUE"""),"Resolución")</f>
        <v>Resolución</v>
      </c>
      <c r="H106" s="10" t="str">
        <f ca="1">IFERROR(__xludf.DUMMYFUNCTION("""COMPUTED_VALUE"""),"Plan Esterilización Responsabilidad Compartida")</f>
        <v>Plan Esterilización Responsabilidad Compartida</v>
      </c>
      <c r="I106" s="10" t="str">
        <f ca="1">IFERROR(__xludf.DUMMYFUNCTION("""COMPUTED_VALUE"""),"Cumplir con normativa y reglamentos internos del programa en base a los objetivos.")</f>
        <v>Cumplir con normativa y reglamentos internos del programa en base a los objetivos.</v>
      </c>
      <c r="J106" s="11">
        <f ca="1">IFERROR(__xludf.DUMMYFUNCTION("""COMPUTED_VALUE"""),29200000)</f>
        <v>29200000</v>
      </c>
      <c r="K106" s="27">
        <f ca="1">IFERROR(__xludf.DUMMYFUNCTION("""COMPUTED_VALUE"""),1)</f>
        <v>1</v>
      </c>
      <c r="L106" s="28" t="str">
        <f ca="1">IFERROR(__xludf.DUMMYFUNCTION("""COMPUTED_VALUE"""),"8474/2024")</f>
        <v>8474/2024</v>
      </c>
      <c r="M106" s="10" t="str">
        <f ca="1">IFERROR(__xludf.DUMMYFUNCTION("""COMPUTED_VALUE"""),"PTRAC")</f>
        <v>PTRAC</v>
      </c>
      <c r="N106" s="1"/>
      <c r="O106" s="1"/>
      <c r="P106" s="1"/>
      <c r="Q106" s="1"/>
      <c r="R106" s="1"/>
      <c r="S106" s="1"/>
      <c r="T106" s="1"/>
      <c r="U106" s="1"/>
      <c r="V106" s="1"/>
      <c r="W106" s="1"/>
      <c r="X106" s="1"/>
      <c r="Y106" s="1"/>
      <c r="Z106" s="1"/>
    </row>
    <row r="107" spans="1:26" ht="12.75" customHeight="1">
      <c r="A107" s="1"/>
      <c r="B107" s="10" t="str">
        <f ca="1">IFERROR(__xludf.DUMMYFUNCTION("""COMPUTED_VALUE"""),"PLAN NACIONAL DE ESTERILIZACIONES RESPONSABILIDAD COMPARTIDA 2024 COMUNA DE PEMUCO")</f>
        <v>PLAN NACIONAL DE ESTERILIZACIONES RESPONSABILIDAD COMPARTIDA 2024 COMUNA DE PEMUCO</v>
      </c>
      <c r="C107" s="26" t="str">
        <f t="shared" ca="1" si="0"/>
        <v xml:space="preserve"> PEMUCO</v>
      </c>
      <c r="D107" s="10" t="str">
        <f ca="1">IFERROR(__xludf.DUMMYFUNCTION("""COMPUTED_VALUE"""),"Resolución de Transferencia")</f>
        <v>Resolución de Transferencia</v>
      </c>
      <c r="E107" s="26" t="str">
        <f ca="1">IFERROR(__xludf.DUMMYFUNCTION("""COMPUTED_VALUE"""),"MUNICIPALIDAD DE PEMUCO")</f>
        <v>MUNICIPALIDAD DE PEMUCO</v>
      </c>
      <c r="F107" s="11">
        <f ca="1">IFERROR(__xludf.DUMMYFUNCTION("""COMPUTED_VALUE"""),20280000)</f>
        <v>20280000</v>
      </c>
      <c r="G107" s="10" t="str">
        <f ca="1">IFERROR(__xludf.DUMMYFUNCTION("""COMPUTED_VALUE"""),"Resolución")</f>
        <v>Resolución</v>
      </c>
      <c r="H107" s="10" t="str">
        <f ca="1">IFERROR(__xludf.DUMMYFUNCTION("""COMPUTED_VALUE"""),"Plan Esterilización Responsabilidad Compartida")</f>
        <v>Plan Esterilización Responsabilidad Compartida</v>
      </c>
      <c r="I107" s="10" t="str">
        <f ca="1">IFERROR(__xludf.DUMMYFUNCTION("""COMPUTED_VALUE"""),"Cumplir con normativa y reglamentos internos del programa en base a los objetivos.")</f>
        <v>Cumplir con normativa y reglamentos internos del programa en base a los objetivos.</v>
      </c>
      <c r="J107" s="11">
        <f ca="1">IFERROR(__xludf.DUMMYFUNCTION("""COMPUTED_VALUE"""),20280000)</f>
        <v>20280000</v>
      </c>
      <c r="K107" s="27">
        <f ca="1">IFERROR(__xludf.DUMMYFUNCTION("""COMPUTED_VALUE"""),1)</f>
        <v>1</v>
      </c>
      <c r="L107" s="28" t="str">
        <f ca="1">IFERROR(__xludf.DUMMYFUNCTION("""COMPUTED_VALUE"""),"7624/2024")</f>
        <v>7624/2024</v>
      </c>
      <c r="M107" s="10" t="str">
        <f ca="1">IFERROR(__xludf.DUMMYFUNCTION("""COMPUTED_VALUE"""),"PTRAC")</f>
        <v>PTRAC</v>
      </c>
      <c r="N107" s="1"/>
      <c r="O107" s="1"/>
      <c r="P107" s="1"/>
      <c r="Q107" s="1"/>
      <c r="R107" s="1"/>
      <c r="S107" s="1"/>
      <c r="T107" s="1"/>
      <c r="U107" s="1"/>
      <c r="V107" s="1"/>
      <c r="W107" s="1"/>
      <c r="X107" s="1"/>
      <c r="Y107" s="1"/>
      <c r="Z107" s="1"/>
    </row>
    <row r="108" spans="1:26" ht="12.75" customHeight="1">
      <c r="A108" s="1"/>
      <c r="B108" s="10" t="str">
        <f ca="1">IFERROR(__xludf.DUMMYFUNCTION("""COMPUTED_VALUE"""),"BOTIQUÍN EMERGENCIA 2024 COMUNA DE CONCEPCIÓN")</f>
        <v>BOTIQUÍN EMERGENCIA 2024 COMUNA DE CONCEPCIÓN</v>
      </c>
      <c r="C108" s="26" t="str">
        <f t="shared" ca="1" si="0"/>
        <v xml:space="preserve"> CONCEPCIÓN</v>
      </c>
      <c r="D108" s="10" t="str">
        <f ca="1">IFERROR(__xludf.DUMMYFUNCTION("""COMPUTED_VALUE"""),"Resolución de Transferencia")</f>
        <v>Resolución de Transferencia</v>
      </c>
      <c r="E108" s="26" t="str">
        <f ca="1">IFERROR(__xludf.DUMMYFUNCTION("""COMPUTED_VALUE"""),"MUNICIPALIDAD DE CONCEPCIÓN")</f>
        <v>MUNICIPALIDAD DE CONCEPCIÓN</v>
      </c>
      <c r="F108" s="11">
        <f ca="1">IFERROR(__xludf.DUMMYFUNCTION("""COMPUTED_VALUE"""),11408205)</f>
        <v>11408205</v>
      </c>
      <c r="G108" s="10" t="str">
        <f ca="1">IFERROR(__xludf.DUMMYFUNCTION("""COMPUTED_VALUE"""),"Resolución")</f>
        <v>Resolución</v>
      </c>
      <c r="H108" s="10" t="str">
        <f ca="1">IFERROR(__xludf.DUMMYFUNCTION("""COMPUTED_VALUE"""),"Plan Esterilización Responsabilidad Compartida")</f>
        <v>Plan Esterilización Responsabilidad Compartida</v>
      </c>
      <c r="I108" s="10" t="str">
        <f ca="1">IFERROR(__xludf.DUMMYFUNCTION("""COMPUTED_VALUE"""),"Cumplir con normativa y reglamentos internos del programa en base a los objetivos.")</f>
        <v>Cumplir con normativa y reglamentos internos del programa en base a los objetivos.</v>
      </c>
      <c r="J108" s="11">
        <f ca="1">IFERROR(__xludf.DUMMYFUNCTION("""COMPUTED_VALUE"""),11408205)</f>
        <v>11408205</v>
      </c>
      <c r="K108" s="27">
        <f ca="1">IFERROR(__xludf.DUMMYFUNCTION("""COMPUTED_VALUE"""),1)</f>
        <v>1</v>
      </c>
      <c r="L108" s="28" t="str">
        <f ca="1">IFERROR(__xludf.DUMMYFUNCTION("""COMPUTED_VALUE"""),"8896/2024")</f>
        <v>8896/2024</v>
      </c>
      <c r="M108" s="10" t="str">
        <f ca="1">IFERROR(__xludf.DUMMYFUNCTION("""COMPUTED_VALUE"""),"PTRAC")</f>
        <v>PTRAC</v>
      </c>
      <c r="N108" s="1"/>
      <c r="O108" s="1"/>
      <c r="P108" s="1"/>
      <c r="Q108" s="1"/>
      <c r="R108" s="1"/>
      <c r="S108" s="1"/>
      <c r="T108" s="1"/>
      <c r="U108" s="1"/>
      <c r="V108" s="1"/>
      <c r="W108" s="1"/>
      <c r="X108" s="1"/>
      <c r="Y108" s="1"/>
      <c r="Z108" s="1"/>
    </row>
    <row r="109" spans="1:26" ht="12.75" customHeight="1">
      <c r="A109" s="1"/>
      <c r="B109" s="10" t="str">
        <f ca="1">IFERROR(__xludf.DUMMYFUNCTION("""COMPUTED_VALUE"""),"PVET EMERGENCIA 2024 COMUNA DE NEGRETE")</f>
        <v>PVET EMERGENCIA 2024 COMUNA DE NEGRETE</v>
      </c>
      <c r="C109" s="26" t="str">
        <f t="shared" ca="1" si="0"/>
        <v xml:space="preserve"> NEGRETE</v>
      </c>
      <c r="D109" s="10" t="str">
        <f ca="1">IFERROR(__xludf.DUMMYFUNCTION("""COMPUTED_VALUE"""),"Resolución de Transferencia")</f>
        <v>Resolución de Transferencia</v>
      </c>
      <c r="E109" s="26" t="str">
        <f ca="1">IFERROR(__xludf.DUMMYFUNCTION("""COMPUTED_VALUE"""),"MUNICIPALIDAD DE NEGRETE")</f>
        <v>MUNICIPALIDAD DE NEGRETE</v>
      </c>
      <c r="F109" s="11">
        <f ca="1">IFERROR(__xludf.DUMMYFUNCTION("""COMPUTED_VALUE"""),9111820)</f>
        <v>9111820</v>
      </c>
      <c r="G109" s="10" t="str">
        <f ca="1">IFERROR(__xludf.DUMMYFUNCTION("""COMPUTED_VALUE"""),"Resolución")</f>
        <v>Resolución</v>
      </c>
      <c r="H109" s="10" t="str">
        <f ca="1">IFERROR(__xludf.DUMMYFUNCTION("""COMPUTED_VALUE"""),"Plan Esterilización Responsabilidad Compartida")</f>
        <v>Plan Esterilización Responsabilidad Compartida</v>
      </c>
      <c r="I109" s="10" t="str">
        <f ca="1">IFERROR(__xludf.DUMMYFUNCTION("""COMPUTED_VALUE"""),"Cumplir con normativa y reglamentos internos del programa en base a los objetivos.")</f>
        <v>Cumplir con normativa y reglamentos internos del programa en base a los objetivos.</v>
      </c>
      <c r="J109" s="11">
        <f ca="1">IFERROR(__xludf.DUMMYFUNCTION("""COMPUTED_VALUE"""),9111820)</f>
        <v>9111820</v>
      </c>
      <c r="K109" s="27">
        <f ca="1">IFERROR(__xludf.DUMMYFUNCTION("""COMPUTED_VALUE"""),1)</f>
        <v>1</v>
      </c>
      <c r="L109" s="28" t="str">
        <f ca="1">IFERROR(__xludf.DUMMYFUNCTION("""COMPUTED_VALUE"""),"8917/2024")</f>
        <v>8917/2024</v>
      </c>
      <c r="M109" s="10" t="str">
        <f ca="1">IFERROR(__xludf.DUMMYFUNCTION("""COMPUTED_VALUE"""),"PTRAC")</f>
        <v>PTRAC</v>
      </c>
      <c r="N109" s="1"/>
      <c r="O109" s="1"/>
      <c r="P109" s="1"/>
      <c r="Q109" s="1"/>
      <c r="R109" s="1"/>
      <c r="S109" s="1"/>
      <c r="T109" s="1"/>
      <c r="U109" s="1"/>
      <c r="V109" s="1"/>
      <c r="W109" s="1"/>
      <c r="X109" s="1"/>
      <c r="Y109" s="1"/>
      <c r="Z109" s="1"/>
    </row>
    <row r="110" spans="1:26" ht="12.75" customHeight="1">
      <c r="A110" s="1"/>
      <c r="B110" s="10" t="str">
        <f ca="1">IFERROR(__xludf.DUMMYFUNCTION("""COMPUTED_VALUE"""),"PLAN NACIONAL DE ESTERILIZACION RESPOSABILIDAD COMPARTIDA 2023, COMUNA DE SAN VICENTE DE TAGUA TAGUA")</f>
        <v>PLAN NACIONAL DE ESTERILIZACION RESPOSABILIDAD COMPARTIDA 2023, COMUNA DE SAN VICENTE DE TAGUA TAGUA</v>
      </c>
      <c r="C110" s="26" t="str">
        <f t="shared" ca="1" si="0"/>
        <v xml:space="preserve"> SAN VICENTE</v>
      </c>
      <c r="D110" s="10" t="str">
        <f ca="1">IFERROR(__xludf.DUMMYFUNCTION("""COMPUTED_VALUE"""),"Resolución de Transferencia")</f>
        <v>Resolución de Transferencia</v>
      </c>
      <c r="E110" s="26" t="str">
        <f ca="1">IFERROR(__xludf.DUMMYFUNCTION("""COMPUTED_VALUE"""),"MUNICIPALIDAD DE SAN VICENTE")</f>
        <v>MUNICIPALIDAD DE SAN VICENTE</v>
      </c>
      <c r="F110" s="11">
        <f ca="1">IFERROR(__xludf.DUMMYFUNCTION("""COMPUTED_VALUE"""),43500000)</f>
        <v>43500000</v>
      </c>
      <c r="G110" s="10" t="str">
        <f ca="1">IFERROR(__xludf.DUMMYFUNCTION("""COMPUTED_VALUE"""),"Resolución")</f>
        <v>Resolución</v>
      </c>
      <c r="H110" s="10" t="str">
        <f ca="1">IFERROR(__xludf.DUMMYFUNCTION("""COMPUTED_VALUE"""),"Plan Esterilización Responsabilidad Compartida")</f>
        <v>Plan Esterilización Responsabilidad Compartida</v>
      </c>
      <c r="I110" s="10" t="str">
        <f ca="1">IFERROR(__xludf.DUMMYFUNCTION("""COMPUTED_VALUE"""),"Cumplir con normativa y reglamentos internos del programa en base a los objetivos.")</f>
        <v>Cumplir con normativa y reglamentos internos del programa en base a los objetivos.</v>
      </c>
      <c r="J110" s="11">
        <f ca="1">IFERROR(__xludf.DUMMYFUNCTION("""COMPUTED_VALUE"""),43500000)</f>
        <v>43500000</v>
      </c>
      <c r="K110" s="27">
        <f ca="1">IFERROR(__xludf.DUMMYFUNCTION("""COMPUTED_VALUE"""),1)</f>
        <v>1</v>
      </c>
      <c r="L110" s="28" t="str">
        <f ca="1">IFERROR(__xludf.DUMMYFUNCTION("""COMPUTED_VALUE"""),"10644/2024")</f>
        <v>10644/2024</v>
      </c>
      <c r="M110" s="10" t="str">
        <f ca="1">IFERROR(__xludf.DUMMYFUNCTION("""COMPUTED_VALUE"""),"PTRAC")</f>
        <v>PTRAC</v>
      </c>
      <c r="N110" s="1"/>
      <c r="O110" s="1"/>
      <c r="P110" s="1"/>
      <c r="Q110" s="1"/>
      <c r="R110" s="1"/>
      <c r="S110" s="1"/>
      <c r="T110" s="1"/>
      <c r="U110" s="1"/>
      <c r="V110" s="1"/>
      <c r="W110" s="1"/>
      <c r="X110" s="1"/>
      <c r="Y110" s="1"/>
      <c r="Z110" s="1"/>
    </row>
    <row r="111" spans="1:26" ht="12.75" customHeight="1">
      <c r="A111" s="1"/>
      <c r="B111" s="10" t="str">
        <f ca="1">IFERROR(__xludf.DUMMYFUNCTION("""COMPUTED_VALUE"""),"PLAN NACIONAL DE ESTERILIZACIONES RESPONSABILIDAD COMPARTIDA AÑO 2023, COMUNA DE QUILLOTA")</f>
        <v>PLAN NACIONAL DE ESTERILIZACIONES RESPONSABILIDAD COMPARTIDA AÑO 2023, COMUNA DE QUILLOTA</v>
      </c>
      <c r="C111" s="26" t="str">
        <f t="shared" ca="1" si="0"/>
        <v xml:space="preserve"> QUILLOTA</v>
      </c>
      <c r="D111" s="10" t="str">
        <f ca="1">IFERROR(__xludf.DUMMYFUNCTION("""COMPUTED_VALUE"""),"Resolución de Transferencia")</f>
        <v>Resolución de Transferencia</v>
      </c>
      <c r="E111" s="26" t="str">
        <f ca="1">IFERROR(__xludf.DUMMYFUNCTION("""COMPUTED_VALUE"""),"MUNICIPALIDAD DE QUILLOTA")</f>
        <v>MUNICIPALIDAD DE QUILLOTA</v>
      </c>
      <c r="F111" s="11">
        <f ca="1">IFERROR(__xludf.DUMMYFUNCTION("""COMPUTED_VALUE"""),43500000)</f>
        <v>43500000</v>
      </c>
      <c r="G111" s="10" t="str">
        <f ca="1">IFERROR(__xludf.DUMMYFUNCTION("""COMPUTED_VALUE"""),"Resolución")</f>
        <v>Resolución</v>
      </c>
      <c r="H111" s="10" t="str">
        <f ca="1">IFERROR(__xludf.DUMMYFUNCTION("""COMPUTED_VALUE"""),"Plan Esterilización Responsabilidad Compartida")</f>
        <v>Plan Esterilización Responsabilidad Compartida</v>
      </c>
      <c r="I111" s="10" t="str">
        <f ca="1">IFERROR(__xludf.DUMMYFUNCTION("""COMPUTED_VALUE"""),"Cumplir con normativa y reglamentos internos del programa en base a los objetivos.")</f>
        <v>Cumplir con normativa y reglamentos internos del programa en base a los objetivos.</v>
      </c>
      <c r="J111" s="11">
        <f ca="1">IFERROR(__xludf.DUMMYFUNCTION("""COMPUTED_VALUE"""),43500000)</f>
        <v>43500000</v>
      </c>
      <c r="K111" s="27">
        <f ca="1">IFERROR(__xludf.DUMMYFUNCTION("""COMPUTED_VALUE"""),1)</f>
        <v>1</v>
      </c>
      <c r="L111" s="28" t="str">
        <f ca="1">IFERROR(__xludf.DUMMYFUNCTION("""COMPUTED_VALUE"""),"11884/2024")</f>
        <v>11884/2024</v>
      </c>
      <c r="M111" s="10" t="str">
        <f ca="1">IFERROR(__xludf.DUMMYFUNCTION("""COMPUTED_VALUE"""),"PTRAC")</f>
        <v>PTRAC</v>
      </c>
      <c r="N111" s="1"/>
      <c r="O111" s="1"/>
      <c r="P111" s="1"/>
      <c r="Q111" s="1"/>
      <c r="R111" s="1"/>
      <c r="S111" s="1"/>
      <c r="T111" s="1"/>
      <c r="U111" s="1"/>
      <c r="V111" s="1"/>
      <c r="W111" s="1"/>
      <c r="X111" s="1"/>
      <c r="Y111" s="1"/>
      <c r="Z111" s="1"/>
    </row>
    <row r="112" spans="1:26" ht="12.75" customHeight="1">
      <c r="A112" s="1"/>
      <c r="B112" s="10" t="str">
        <f ca="1">IFERROR(__xludf.DUMMYFUNCTION("""COMPUTED_VALUE"""),"PLAN NACIONAL DE ESTERILIZACIONES RESPONSABILIDAD COMPARTIDA 2024 PARA LA COMUNA DE CALAMA")</f>
        <v>PLAN NACIONAL DE ESTERILIZACIONES RESPONSABILIDAD COMPARTIDA 2024 PARA LA COMUNA DE CALAMA</v>
      </c>
      <c r="C112" s="26" t="str">
        <f t="shared" ca="1" si="0"/>
        <v xml:space="preserve"> CALAMA</v>
      </c>
      <c r="D112" s="10" t="str">
        <f ca="1">IFERROR(__xludf.DUMMYFUNCTION("""COMPUTED_VALUE"""),"Resolución de Transferencia")</f>
        <v>Resolución de Transferencia</v>
      </c>
      <c r="E112" s="26" t="str">
        <f ca="1">IFERROR(__xludf.DUMMYFUNCTION("""COMPUTED_VALUE"""),"MUNICIPALIDAD DE CALAMA")</f>
        <v>MUNICIPALIDAD DE CALAMA</v>
      </c>
      <c r="F112" s="11">
        <f ca="1">IFERROR(__xludf.DUMMYFUNCTION("""COMPUTED_VALUE"""),87000000)</f>
        <v>87000000</v>
      </c>
      <c r="G112" s="10" t="str">
        <f ca="1">IFERROR(__xludf.DUMMYFUNCTION("""COMPUTED_VALUE"""),"Resolución")</f>
        <v>Resolución</v>
      </c>
      <c r="H112" s="10" t="str">
        <f ca="1">IFERROR(__xludf.DUMMYFUNCTION("""COMPUTED_VALUE"""),"Plan Esterilización Responsabilidad Compartida")</f>
        <v>Plan Esterilización Responsabilidad Compartida</v>
      </c>
      <c r="I112" s="10" t="str">
        <f ca="1">IFERROR(__xludf.DUMMYFUNCTION("""COMPUTED_VALUE"""),"Cumplir con normativa y reglamentos internos del programa en base a los objetivos.")</f>
        <v>Cumplir con normativa y reglamentos internos del programa en base a los objetivos.</v>
      </c>
      <c r="J112" s="11">
        <f ca="1">IFERROR(__xludf.DUMMYFUNCTION("""COMPUTED_VALUE"""),87000000)</f>
        <v>87000000</v>
      </c>
      <c r="K112" s="27">
        <f ca="1">IFERROR(__xludf.DUMMYFUNCTION("""COMPUTED_VALUE"""),1)</f>
        <v>1</v>
      </c>
      <c r="L112" s="28" t="str">
        <f ca="1">IFERROR(__xludf.DUMMYFUNCTION("""COMPUTED_VALUE"""),"11877/2024")</f>
        <v>11877/2024</v>
      </c>
      <c r="M112" s="10" t="str">
        <f ca="1">IFERROR(__xludf.DUMMYFUNCTION("""COMPUTED_VALUE"""),"PTRAC")</f>
        <v>PTRAC</v>
      </c>
      <c r="N112" s="1"/>
      <c r="O112" s="1"/>
      <c r="P112" s="1"/>
      <c r="Q112" s="1"/>
      <c r="R112" s="1"/>
      <c r="S112" s="1"/>
      <c r="T112" s="1"/>
      <c r="U112" s="1"/>
      <c r="V112" s="1"/>
      <c r="W112" s="1"/>
      <c r="X112" s="1"/>
      <c r="Y112" s="1"/>
      <c r="Z112" s="1"/>
    </row>
    <row r="113" spans="1:26" ht="12.75" customHeight="1">
      <c r="A113" s="1"/>
      <c r="B113" s="10" t="str">
        <f ca="1">IFERROR(__xludf.DUMMYFUNCTION("""COMPUTED_VALUE"""),"PLAN NACIONAL DE ESTERILIZACIONES RESPONSABILIDAD COMPARTIDA 2023 COMUNA DE ANTOFAGASTA")</f>
        <v>PLAN NACIONAL DE ESTERILIZACIONES RESPONSABILIDAD COMPARTIDA 2023 COMUNA DE ANTOFAGASTA</v>
      </c>
      <c r="C113" s="26" t="str">
        <f t="shared" ca="1" si="0"/>
        <v xml:space="preserve"> ANTOFAGASTA</v>
      </c>
      <c r="D113" s="10" t="str">
        <f ca="1">IFERROR(__xludf.DUMMYFUNCTION("""COMPUTED_VALUE"""),"Resolución de Transferencia")</f>
        <v>Resolución de Transferencia</v>
      </c>
      <c r="E113" s="26" t="str">
        <f ca="1">IFERROR(__xludf.DUMMYFUNCTION("""COMPUTED_VALUE"""),"MUNICIPALIDAD DE ANTOFAGASTA")</f>
        <v>MUNICIPALIDAD DE ANTOFAGASTA</v>
      </c>
      <c r="F113" s="11">
        <f ca="1">IFERROR(__xludf.DUMMYFUNCTION("""COMPUTED_VALUE"""),68500000)</f>
        <v>68500000</v>
      </c>
      <c r="G113" s="10" t="str">
        <f ca="1">IFERROR(__xludf.DUMMYFUNCTION("""COMPUTED_VALUE"""),"Resolución")</f>
        <v>Resolución</v>
      </c>
      <c r="H113" s="10" t="str">
        <f ca="1">IFERROR(__xludf.DUMMYFUNCTION("""COMPUTED_VALUE"""),"Plan Esterilización Responsabilidad Compartida")</f>
        <v>Plan Esterilización Responsabilidad Compartida</v>
      </c>
      <c r="I113" s="10" t="str">
        <f ca="1">IFERROR(__xludf.DUMMYFUNCTION("""COMPUTED_VALUE"""),"Cumplir con normativa y reglamentos internos del programa en base a los objetivos.")</f>
        <v>Cumplir con normativa y reglamentos internos del programa en base a los objetivos.</v>
      </c>
      <c r="J113" s="11">
        <f ca="1">IFERROR(__xludf.DUMMYFUNCTION("""COMPUTED_VALUE"""),68500000)</f>
        <v>68500000</v>
      </c>
      <c r="K113" s="27">
        <f ca="1">IFERROR(__xludf.DUMMYFUNCTION("""COMPUTED_VALUE"""),1)</f>
        <v>1</v>
      </c>
      <c r="L113" s="28" t="str">
        <f ca="1">IFERROR(__xludf.DUMMYFUNCTION("""COMPUTED_VALUE"""),"11839/2024")</f>
        <v>11839/2024</v>
      </c>
      <c r="M113" s="10" t="str">
        <f ca="1">IFERROR(__xludf.DUMMYFUNCTION("""COMPUTED_VALUE"""),"PTRAC")</f>
        <v>PTRAC</v>
      </c>
      <c r="N113" s="1"/>
      <c r="O113" s="1"/>
      <c r="P113" s="1"/>
      <c r="Q113" s="1"/>
      <c r="R113" s="1"/>
      <c r="S113" s="1"/>
      <c r="T113" s="1"/>
      <c r="U113" s="1"/>
      <c r="V113" s="1"/>
      <c r="W113" s="1"/>
      <c r="X113" s="1"/>
      <c r="Y113" s="1"/>
      <c r="Z113" s="1"/>
    </row>
    <row r="114" spans="1:26" ht="12.75" customHeight="1">
      <c r="A114" s="1"/>
      <c r="B114" s="10" t="str">
        <f ca="1">IFERROR(__xludf.DUMMYFUNCTION("""COMPUTED_VALUE"""),"PLAN NACIONAL DE ESTERILIZACIONES RESPONSABILIDAD COMPARTIDA 2023 COMUNA DE O’HIGGINS.")</f>
        <v>PLAN NACIONAL DE ESTERILIZACIONES RESPONSABILIDAD COMPARTIDA 2023 COMUNA DE O’HIGGINS.</v>
      </c>
      <c r="C114" s="26" t="str">
        <f t="shared" ca="1" si="0"/>
        <v xml:space="preserve"> O´HIGGINS</v>
      </c>
      <c r="D114" s="10" t="str">
        <f ca="1">IFERROR(__xludf.DUMMYFUNCTION("""COMPUTED_VALUE"""),"Resolución de Transferencia")</f>
        <v>Resolución de Transferencia</v>
      </c>
      <c r="E114" s="26" t="str">
        <f ca="1">IFERROR(__xludf.DUMMYFUNCTION("""COMPUTED_VALUE"""),"MUNICIPALIDAD DE O´HIGGINS")</f>
        <v>MUNICIPALIDAD DE O´HIGGINS</v>
      </c>
      <c r="F114" s="11">
        <f ca="1">IFERROR(__xludf.DUMMYFUNCTION("""COMPUTED_VALUE"""),4900000)</f>
        <v>4900000</v>
      </c>
      <c r="G114" s="10" t="str">
        <f ca="1">IFERROR(__xludf.DUMMYFUNCTION("""COMPUTED_VALUE"""),"Resolución")</f>
        <v>Resolución</v>
      </c>
      <c r="H114" s="10" t="str">
        <f ca="1">IFERROR(__xludf.DUMMYFUNCTION("""COMPUTED_VALUE"""),"Plan Esterilización Responsabilidad Compartida")</f>
        <v>Plan Esterilización Responsabilidad Compartida</v>
      </c>
      <c r="I114" s="10" t="str">
        <f ca="1">IFERROR(__xludf.DUMMYFUNCTION("""COMPUTED_VALUE"""),"Cumplir con normativa y reglamentos internos del programa en base a los objetivos.")</f>
        <v>Cumplir con normativa y reglamentos internos del programa en base a los objetivos.</v>
      </c>
      <c r="J114" s="11">
        <f ca="1">IFERROR(__xludf.DUMMYFUNCTION("""COMPUTED_VALUE"""),4900000)</f>
        <v>4900000</v>
      </c>
      <c r="K114" s="27">
        <f ca="1">IFERROR(__xludf.DUMMYFUNCTION("""COMPUTED_VALUE"""),1)</f>
        <v>1</v>
      </c>
      <c r="L114" s="28" t="str">
        <f ca="1">IFERROR(__xludf.DUMMYFUNCTION("""COMPUTED_VALUE"""),"11834/2024")</f>
        <v>11834/2024</v>
      </c>
      <c r="M114" s="10" t="str">
        <f ca="1">IFERROR(__xludf.DUMMYFUNCTION("""COMPUTED_VALUE"""),"PTRAC")</f>
        <v>PTRAC</v>
      </c>
      <c r="N114" s="1"/>
      <c r="O114" s="1"/>
      <c r="P114" s="1"/>
      <c r="Q114" s="1"/>
      <c r="R114" s="1"/>
      <c r="S114" s="1"/>
      <c r="T114" s="1"/>
      <c r="U114" s="1"/>
      <c r="V114" s="1"/>
      <c r="W114" s="1"/>
      <c r="X114" s="1"/>
      <c r="Y114" s="1"/>
      <c r="Z114" s="1"/>
    </row>
    <row r="115" spans="1:26" ht="12.75" customHeight="1">
      <c r="A115" s="1"/>
      <c r="B115" s="10" t="str">
        <f ca="1">IFERROR(__xludf.DUMMYFUNCTION("""COMPUTED_VALUE"""),"PLAN NACIONAL DE ESTERILIZACIONES RESPONSABILIDAD COMPARTIDA 2023 COCHRANE")</f>
        <v>PLAN NACIONAL DE ESTERILIZACIONES RESPONSABILIDAD COMPARTIDA 2023 COCHRANE</v>
      </c>
      <c r="C115" s="26" t="str">
        <f t="shared" ca="1" si="0"/>
        <v xml:space="preserve"> COCHRANE</v>
      </c>
      <c r="D115" s="10" t="str">
        <f ca="1">IFERROR(__xludf.DUMMYFUNCTION("""COMPUTED_VALUE"""),"Resolución de Transferencia")</f>
        <v>Resolución de Transferencia</v>
      </c>
      <c r="E115" s="26" t="str">
        <f ca="1">IFERROR(__xludf.DUMMYFUNCTION("""COMPUTED_VALUE"""),"MUNICIPALIDAD DE COCHRANE")</f>
        <v>MUNICIPALIDAD DE COCHRANE</v>
      </c>
      <c r="F115" s="11">
        <f ca="1">IFERROR(__xludf.DUMMYFUNCTION("""COMPUTED_VALUE"""),13500000)</f>
        <v>13500000</v>
      </c>
      <c r="G115" s="10" t="str">
        <f ca="1">IFERROR(__xludf.DUMMYFUNCTION("""COMPUTED_VALUE"""),"Resolución")</f>
        <v>Resolución</v>
      </c>
      <c r="H115" s="10" t="str">
        <f ca="1">IFERROR(__xludf.DUMMYFUNCTION("""COMPUTED_VALUE"""),"Plan Esterilización Responsabilidad Compartida")</f>
        <v>Plan Esterilización Responsabilidad Compartida</v>
      </c>
      <c r="I115" s="10" t="str">
        <f ca="1">IFERROR(__xludf.DUMMYFUNCTION("""COMPUTED_VALUE"""),"Cumplir con normativa y reglamentos internos del programa en base a los objetivos.")</f>
        <v>Cumplir con normativa y reglamentos internos del programa en base a los objetivos.</v>
      </c>
      <c r="J115" s="11">
        <f ca="1">IFERROR(__xludf.DUMMYFUNCTION("""COMPUTED_VALUE"""),13500000)</f>
        <v>13500000</v>
      </c>
      <c r="K115" s="27">
        <f ca="1">IFERROR(__xludf.DUMMYFUNCTION("""COMPUTED_VALUE"""),1)</f>
        <v>1</v>
      </c>
      <c r="L115" s="28" t="str">
        <f ca="1">IFERROR(__xludf.DUMMYFUNCTION("""COMPUTED_VALUE"""),"11836/2024")</f>
        <v>11836/2024</v>
      </c>
      <c r="M115" s="10" t="str">
        <f ca="1">IFERROR(__xludf.DUMMYFUNCTION("""COMPUTED_VALUE"""),"PTRAC")</f>
        <v>PTRAC</v>
      </c>
      <c r="N115" s="1"/>
      <c r="O115" s="1"/>
      <c r="P115" s="1"/>
      <c r="Q115" s="1"/>
      <c r="R115" s="1"/>
      <c r="S115" s="1"/>
      <c r="T115" s="1"/>
      <c r="U115" s="1"/>
      <c r="V115" s="1"/>
      <c r="W115" s="1"/>
      <c r="X115" s="1"/>
      <c r="Y115" s="1"/>
      <c r="Z115" s="1"/>
    </row>
    <row r="116" spans="1:26" ht="12.75" customHeight="1">
      <c r="A116" s="1"/>
      <c r="B116" s="10" t="str">
        <f ca="1">IFERROR(__xludf.DUMMYFUNCTION("""COMPUTED_VALUE"""),"PLAN NACIONAL DE ESTERILIZACIONES RESPONSABILIDAD COMPARTIDA 2023 COMUNA DE RETIRO")</f>
        <v>PLAN NACIONAL DE ESTERILIZACIONES RESPONSABILIDAD COMPARTIDA 2023 COMUNA DE RETIRO</v>
      </c>
      <c r="C116" s="26" t="str">
        <f t="shared" ca="1" si="0"/>
        <v xml:space="preserve"> RETIRO</v>
      </c>
      <c r="D116" s="10" t="str">
        <f ca="1">IFERROR(__xludf.DUMMYFUNCTION("""COMPUTED_VALUE"""),"Resolución de Transferencia")</f>
        <v>Resolución de Transferencia</v>
      </c>
      <c r="E116" s="26" t="str">
        <f ca="1">IFERROR(__xludf.DUMMYFUNCTION("""COMPUTED_VALUE"""),"MUNICIPALIDAD DE RETIRO")</f>
        <v>MUNICIPALIDAD DE RETIRO</v>
      </c>
      <c r="F116" s="11">
        <f ca="1">IFERROR(__xludf.DUMMYFUNCTION("""COMPUTED_VALUE"""),12750000)</f>
        <v>12750000</v>
      </c>
      <c r="G116" s="10" t="str">
        <f ca="1">IFERROR(__xludf.DUMMYFUNCTION("""COMPUTED_VALUE"""),"Resolución")</f>
        <v>Resolución</v>
      </c>
      <c r="H116" s="10" t="str">
        <f ca="1">IFERROR(__xludf.DUMMYFUNCTION("""COMPUTED_VALUE"""),"Plan Esterilización Responsabilidad Compartida")</f>
        <v>Plan Esterilización Responsabilidad Compartida</v>
      </c>
      <c r="I116" s="10" t="str">
        <f ca="1">IFERROR(__xludf.DUMMYFUNCTION("""COMPUTED_VALUE"""),"Cumplir con normativa y reglamentos internos del programa en base a los objetivos.")</f>
        <v>Cumplir con normativa y reglamentos internos del programa en base a los objetivos.</v>
      </c>
      <c r="J116" s="11">
        <f ca="1">IFERROR(__xludf.DUMMYFUNCTION("""COMPUTED_VALUE"""),12750000)</f>
        <v>12750000</v>
      </c>
      <c r="K116" s="27">
        <f ca="1">IFERROR(__xludf.DUMMYFUNCTION("""COMPUTED_VALUE"""),1)</f>
        <v>1</v>
      </c>
      <c r="L116" s="28" t="str">
        <f ca="1">IFERROR(__xludf.DUMMYFUNCTION("""COMPUTED_VALUE"""),"11885/2024")</f>
        <v>11885/2024</v>
      </c>
      <c r="M116" s="10" t="str">
        <f ca="1">IFERROR(__xludf.DUMMYFUNCTION("""COMPUTED_VALUE"""),"PTRAC")</f>
        <v>PTRAC</v>
      </c>
      <c r="N116" s="1"/>
      <c r="O116" s="1"/>
      <c r="P116" s="1"/>
      <c r="Q116" s="1"/>
      <c r="R116" s="1"/>
      <c r="S116" s="1"/>
      <c r="T116" s="1"/>
      <c r="U116" s="1"/>
      <c r="V116" s="1"/>
      <c r="W116" s="1"/>
      <c r="X116" s="1"/>
      <c r="Y116" s="1"/>
      <c r="Z116" s="1"/>
    </row>
    <row r="117" spans="1:26" ht="12.75" customHeight="1">
      <c r="A117" s="1"/>
      <c r="B117" s="10" t="str">
        <f ca="1">IFERROR(__xludf.DUMMYFUNCTION("""COMPUTED_VALUE"""),"PLAN NACIONAL DE ESTERILIZACIONES RESPONSABILIDAD COMPARTIDA AÑO 2024 COMUNA DE MONTE PATRIA")</f>
        <v>PLAN NACIONAL DE ESTERILIZACIONES RESPONSABILIDAD COMPARTIDA AÑO 2024 COMUNA DE MONTE PATRIA</v>
      </c>
      <c r="C117" s="26" t="str">
        <f t="shared" ca="1" si="0"/>
        <v xml:space="preserve"> MONTE PATRIA</v>
      </c>
      <c r="D117" s="10" t="str">
        <f ca="1">IFERROR(__xludf.DUMMYFUNCTION("""COMPUTED_VALUE"""),"Resolución de Transferencia")</f>
        <v>Resolución de Transferencia</v>
      </c>
      <c r="E117" s="26" t="str">
        <f ca="1">IFERROR(__xludf.DUMMYFUNCTION("""COMPUTED_VALUE"""),"MUNICIPALIDAD DE MONTE PATRIA")</f>
        <v>MUNICIPALIDAD DE MONTE PATRIA</v>
      </c>
      <c r="F117" s="11">
        <f ca="1">IFERROR(__xludf.DUMMYFUNCTION("""COMPUTED_VALUE"""),28970550)</f>
        <v>28970550</v>
      </c>
      <c r="G117" s="10" t="str">
        <f ca="1">IFERROR(__xludf.DUMMYFUNCTION("""COMPUTED_VALUE"""),"Resolución")</f>
        <v>Resolución</v>
      </c>
      <c r="H117" s="10" t="str">
        <f ca="1">IFERROR(__xludf.DUMMYFUNCTION("""COMPUTED_VALUE"""),"Plan Esterilización Responsabilidad Compartida")</f>
        <v>Plan Esterilización Responsabilidad Compartida</v>
      </c>
      <c r="I117" s="10" t="str">
        <f ca="1">IFERROR(__xludf.DUMMYFUNCTION("""COMPUTED_VALUE"""),"Cumplir con normativa y reglamentos internos del programa en base a los objetivos.")</f>
        <v>Cumplir con normativa y reglamentos internos del programa en base a los objetivos.</v>
      </c>
      <c r="J117" s="11">
        <f ca="1">IFERROR(__xludf.DUMMYFUNCTION("""COMPUTED_VALUE"""),28970550)</f>
        <v>28970550</v>
      </c>
      <c r="K117" s="27">
        <f ca="1">IFERROR(__xludf.DUMMYFUNCTION("""COMPUTED_VALUE"""),1)</f>
        <v>1</v>
      </c>
      <c r="L117" s="28" t="str">
        <f ca="1">IFERROR(__xludf.DUMMYFUNCTION("""COMPUTED_VALUE"""),"12301/2024")</f>
        <v>12301/2024</v>
      </c>
      <c r="M117" s="10" t="str">
        <f ca="1">IFERROR(__xludf.DUMMYFUNCTION("""COMPUTED_VALUE"""),"PTRAC")</f>
        <v>PTRAC</v>
      </c>
      <c r="N117" s="1"/>
      <c r="O117" s="1"/>
      <c r="P117" s="1"/>
      <c r="Q117" s="1"/>
      <c r="R117" s="1"/>
      <c r="S117" s="1"/>
      <c r="T117" s="1"/>
      <c r="U117" s="1"/>
      <c r="V117" s="1"/>
      <c r="W117" s="1"/>
      <c r="X117" s="1"/>
      <c r="Y117" s="1"/>
      <c r="Z117" s="1"/>
    </row>
    <row r="118" spans="1:26" ht="12.75" customHeight="1">
      <c r="A118" s="1"/>
      <c r="B118" s="10" t="str">
        <f ca="1">IFERROR(__xludf.DUMMYFUNCTION("""COMPUTED_VALUE"""),"PLAN NACIONAL DE ESTERILIZACIONES RESPONSABILIDAD COMPARTIDA AÑO 2024, COMUNA DE FUTALEUFU")</f>
        <v>PLAN NACIONAL DE ESTERILIZACIONES RESPONSABILIDAD COMPARTIDA AÑO 2024, COMUNA DE FUTALEUFU</v>
      </c>
      <c r="C118" s="26" t="str">
        <f t="shared" ca="1" si="0"/>
        <v xml:space="preserve"> FUTALEUFÚ</v>
      </c>
      <c r="D118" s="10" t="str">
        <f ca="1">IFERROR(__xludf.DUMMYFUNCTION("""COMPUTED_VALUE"""),"Resolución de Transferencia")</f>
        <v>Resolución de Transferencia</v>
      </c>
      <c r="E118" s="26" t="str">
        <f ca="1">IFERROR(__xludf.DUMMYFUNCTION("""COMPUTED_VALUE"""),"MUNICIPALIDAD DE FUTALEUFÚ")</f>
        <v>MUNICIPALIDAD DE FUTALEUFÚ</v>
      </c>
      <c r="F118" s="11">
        <f ca="1">IFERROR(__xludf.DUMMYFUNCTION("""COMPUTED_VALUE"""),14800000)</f>
        <v>14800000</v>
      </c>
      <c r="G118" s="10" t="str">
        <f ca="1">IFERROR(__xludf.DUMMYFUNCTION("""COMPUTED_VALUE"""),"Resolución")</f>
        <v>Resolución</v>
      </c>
      <c r="H118" s="10" t="str">
        <f ca="1">IFERROR(__xludf.DUMMYFUNCTION("""COMPUTED_VALUE"""),"Plan Esterilización Responsabilidad Compartida")</f>
        <v>Plan Esterilización Responsabilidad Compartida</v>
      </c>
      <c r="I118" s="10" t="str">
        <f ca="1">IFERROR(__xludf.DUMMYFUNCTION("""COMPUTED_VALUE"""),"Cumplir con normativa y reglamentos internos del programa en base a los objetivos.")</f>
        <v>Cumplir con normativa y reglamentos internos del programa en base a los objetivos.</v>
      </c>
      <c r="J118" s="11">
        <f ca="1">IFERROR(__xludf.DUMMYFUNCTION("""COMPUTED_VALUE"""),14800000)</f>
        <v>14800000</v>
      </c>
      <c r="K118" s="27">
        <f ca="1">IFERROR(__xludf.DUMMYFUNCTION("""COMPUTED_VALUE"""),1)</f>
        <v>1</v>
      </c>
      <c r="L118" s="28" t="str">
        <f ca="1">IFERROR(__xludf.DUMMYFUNCTION("""COMPUTED_VALUE"""),"12361/2024")</f>
        <v>12361/2024</v>
      </c>
      <c r="M118" s="10" t="str">
        <f ca="1">IFERROR(__xludf.DUMMYFUNCTION("""COMPUTED_VALUE"""),"PTRAC")</f>
        <v>PTRAC</v>
      </c>
      <c r="N118" s="1"/>
      <c r="O118" s="1"/>
      <c r="P118" s="1"/>
      <c r="Q118" s="1"/>
      <c r="R118" s="1"/>
      <c r="S118" s="1"/>
      <c r="T118" s="1"/>
      <c r="U118" s="1"/>
      <c r="V118" s="1"/>
      <c r="W118" s="1"/>
      <c r="X118" s="1"/>
      <c r="Y118" s="1"/>
      <c r="Z118" s="1"/>
    </row>
    <row r="119" spans="1:26" ht="12.75" customHeight="1">
      <c r="A119" s="1"/>
      <c r="B119" s="10" t="str">
        <f ca="1">IFERROR(__xludf.DUMMYFUNCTION("""COMPUTED_VALUE"""),"PLAN NACIONAL DE ESTERILIZACIONES RESPONSABILIDAD COMPARTIDA 2023 COMUNA DE VALPARAÍSO")</f>
        <v>PLAN NACIONAL DE ESTERILIZACIONES RESPONSABILIDAD COMPARTIDA 2023 COMUNA DE VALPARAÍSO</v>
      </c>
      <c r="C119" s="26" t="str">
        <f t="shared" ca="1" si="0"/>
        <v xml:space="preserve"> VALPARAÍSO</v>
      </c>
      <c r="D119" s="10" t="str">
        <f ca="1">IFERROR(__xludf.DUMMYFUNCTION("""COMPUTED_VALUE"""),"Resolución de Transferencia")</f>
        <v>Resolución de Transferencia</v>
      </c>
      <c r="E119" s="26" t="str">
        <f ca="1">IFERROR(__xludf.DUMMYFUNCTION("""COMPUTED_VALUE"""),"MUNICIPALIDAD DE VALPARAÍSO")</f>
        <v>MUNICIPALIDAD DE VALPARAÍSO</v>
      </c>
      <c r="F119" s="11">
        <f ca="1">IFERROR(__xludf.DUMMYFUNCTION("""COMPUTED_VALUE"""),93000000)</f>
        <v>93000000</v>
      </c>
      <c r="G119" s="10" t="str">
        <f ca="1">IFERROR(__xludf.DUMMYFUNCTION("""COMPUTED_VALUE"""),"Resolución")</f>
        <v>Resolución</v>
      </c>
      <c r="H119" s="10" t="str">
        <f ca="1">IFERROR(__xludf.DUMMYFUNCTION("""COMPUTED_VALUE"""),"Plan Esterilización Responsabilidad Compartida")</f>
        <v>Plan Esterilización Responsabilidad Compartida</v>
      </c>
      <c r="I119" s="10" t="str">
        <f ca="1">IFERROR(__xludf.DUMMYFUNCTION("""COMPUTED_VALUE"""),"Cumplir con normativa y reglamentos internos del programa en base a los objetivos.")</f>
        <v>Cumplir con normativa y reglamentos internos del programa en base a los objetivos.</v>
      </c>
      <c r="J119" s="11">
        <f ca="1">IFERROR(__xludf.DUMMYFUNCTION("""COMPUTED_VALUE"""),93000000)</f>
        <v>93000000</v>
      </c>
      <c r="K119" s="27">
        <f ca="1">IFERROR(__xludf.DUMMYFUNCTION("""COMPUTED_VALUE"""),1)</f>
        <v>1</v>
      </c>
      <c r="L119" s="28" t="str">
        <f ca="1">IFERROR(__xludf.DUMMYFUNCTION("""COMPUTED_VALUE"""),"12359/2024")</f>
        <v>12359/2024</v>
      </c>
      <c r="M119" s="10" t="str">
        <f ca="1">IFERROR(__xludf.DUMMYFUNCTION("""COMPUTED_VALUE"""),"PTRAC")</f>
        <v>PTRAC</v>
      </c>
      <c r="N119" s="1"/>
      <c r="O119" s="1"/>
      <c r="P119" s="1"/>
      <c r="Q119" s="1"/>
      <c r="R119" s="1"/>
      <c r="S119" s="1"/>
      <c r="T119" s="1"/>
      <c r="U119" s="1"/>
      <c r="V119" s="1"/>
      <c r="W119" s="1"/>
      <c r="X119" s="1"/>
      <c r="Y119" s="1"/>
      <c r="Z119" s="1"/>
    </row>
    <row r="120" spans="1:26" ht="12.75" customHeight="1">
      <c r="A120" s="1"/>
      <c r="B120" s="10" t="str">
        <f ca="1">IFERROR(__xludf.DUMMYFUNCTION("""COMPUTED_VALUE"""),"PLAN NACIONAL DE ESTERILIZACIONES RESPONSABILIDAD COMPARTIDA 2023 COMUNA DE LIMACHE")</f>
        <v>PLAN NACIONAL DE ESTERILIZACIONES RESPONSABILIDAD COMPARTIDA 2023 COMUNA DE LIMACHE</v>
      </c>
      <c r="C120" s="26" t="str">
        <f t="shared" ca="1" si="0"/>
        <v xml:space="preserve"> LIMACHE</v>
      </c>
      <c r="D120" s="10" t="str">
        <f ca="1">IFERROR(__xludf.DUMMYFUNCTION("""COMPUTED_VALUE"""),"Resolución de Transferencia")</f>
        <v>Resolución de Transferencia</v>
      </c>
      <c r="E120" s="26" t="str">
        <f ca="1">IFERROR(__xludf.DUMMYFUNCTION("""COMPUTED_VALUE"""),"MUNICIPALIDAD DE LIMACHE")</f>
        <v>MUNICIPALIDAD DE LIMACHE</v>
      </c>
      <c r="F120" s="11">
        <f ca="1">IFERROR(__xludf.DUMMYFUNCTION("""COMPUTED_VALUE"""),28000000)</f>
        <v>28000000</v>
      </c>
      <c r="G120" s="10" t="str">
        <f ca="1">IFERROR(__xludf.DUMMYFUNCTION("""COMPUTED_VALUE"""),"Resolución")</f>
        <v>Resolución</v>
      </c>
      <c r="H120" s="10" t="str">
        <f ca="1">IFERROR(__xludf.DUMMYFUNCTION("""COMPUTED_VALUE"""),"Plan Esterilización Responsabilidad Compartida")</f>
        <v>Plan Esterilización Responsabilidad Compartida</v>
      </c>
      <c r="I120" s="10" t="str">
        <f ca="1">IFERROR(__xludf.DUMMYFUNCTION("""COMPUTED_VALUE"""),"Cumplir con normativa y reglamentos internos del programa en base a los objetivos.")</f>
        <v>Cumplir con normativa y reglamentos internos del programa en base a los objetivos.</v>
      </c>
      <c r="J120" s="11">
        <f ca="1">IFERROR(__xludf.DUMMYFUNCTION("""COMPUTED_VALUE"""),28000000)</f>
        <v>28000000</v>
      </c>
      <c r="K120" s="27">
        <f ca="1">IFERROR(__xludf.DUMMYFUNCTION("""COMPUTED_VALUE"""),1)</f>
        <v>1</v>
      </c>
      <c r="L120" s="28" t="str">
        <f ca="1">IFERROR(__xludf.DUMMYFUNCTION("""COMPUTED_VALUE"""),"12302/2024")</f>
        <v>12302/2024</v>
      </c>
      <c r="M120" s="10" t="str">
        <f ca="1">IFERROR(__xludf.DUMMYFUNCTION("""COMPUTED_VALUE"""),"PTRAC")</f>
        <v>PTRAC</v>
      </c>
      <c r="N120" s="1"/>
      <c r="O120" s="1"/>
      <c r="P120" s="1"/>
      <c r="Q120" s="1"/>
      <c r="R120" s="1"/>
      <c r="S120" s="1"/>
      <c r="T120" s="1"/>
      <c r="U120" s="1"/>
      <c r="V120" s="1"/>
      <c r="W120" s="1"/>
      <c r="X120" s="1"/>
      <c r="Y120" s="1"/>
      <c r="Z120" s="1"/>
    </row>
    <row r="121" spans="1:26" ht="12.75" customHeight="1">
      <c r="A121" s="1"/>
      <c r="B121" s="10" t="str">
        <f ca="1">IFERROR(__xludf.DUMMYFUNCTION("""COMPUTED_VALUE"""),"PLAN NACIONAL DE ESTERILIZACIONES RESPONSABILIDAD COMPARTIDA 2023 COMUNA DE LA CISTERNA")</f>
        <v>PLAN NACIONAL DE ESTERILIZACIONES RESPONSABILIDAD COMPARTIDA 2023 COMUNA DE LA CISTERNA</v>
      </c>
      <c r="C121" s="26" t="str">
        <f t="shared" ca="1" si="0"/>
        <v xml:space="preserve"> LA CISTERNA</v>
      </c>
      <c r="D121" s="10" t="str">
        <f ca="1">IFERROR(__xludf.DUMMYFUNCTION("""COMPUTED_VALUE"""),"Resolución de Transferencia")</f>
        <v>Resolución de Transferencia</v>
      </c>
      <c r="E121" s="26" t="str">
        <f ca="1">IFERROR(__xludf.DUMMYFUNCTION("""COMPUTED_VALUE"""),"MUNICIPALIDAD DE LA CISTERNA")</f>
        <v>MUNICIPALIDAD DE LA CISTERNA</v>
      </c>
      <c r="F121" s="11">
        <f ca="1">IFERROR(__xludf.DUMMYFUNCTION("""COMPUTED_VALUE"""),39600000)</f>
        <v>39600000</v>
      </c>
      <c r="G121" s="10" t="str">
        <f ca="1">IFERROR(__xludf.DUMMYFUNCTION("""COMPUTED_VALUE"""),"Resolución")</f>
        <v>Resolución</v>
      </c>
      <c r="H121" s="10" t="str">
        <f ca="1">IFERROR(__xludf.DUMMYFUNCTION("""COMPUTED_VALUE"""),"Plan Esterilización Responsabilidad Compartida")</f>
        <v>Plan Esterilización Responsabilidad Compartida</v>
      </c>
      <c r="I121" s="10" t="str">
        <f ca="1">IFERROR(__xludf.DUMMYFUNCTION("""COMPUTED_VALUE"""),"Cumplir con normativa y reglamentos internos del programa en base a los objetivos.")</f>
        <v>Cumplir con normativa y reglamentos internos del programa en base a los objetivos.</v>
      </c>
      <c r="J121" s="11">
        <f ca="1">IFERROR(__xludf.DUMMYFUNCTION("""COMPUTED_VALUE"""),39600000)</f>
        <v>39600000</v>
      </c>
      <c r="K121" s="27">
        <f ca="1">IFERROR(__xludf.DUMMYFUNCTION("""COMPUTED_VALUE"""),1)</f>
        <v>1</v>
      </c>
      <c r="L121" s="28" t="str">
        <f ca="1">IFERROR(__xludf.DUMMYFUNCTION("""COMPUTED_VALUE"""),"12452/2024")</f>
        <v>12452/2024</v>
      </c>
      <c r="M121" s="10" t="str">
        <f ca="1">IFERROR(__xludf.DUMMYFUNCTION("""COMPUTED_VALUE"""),"PTRAC")</f>
        <v>PTRAC</v>
      </c>
      <c r="N121" s="1"/>
      <c r="O121" s="1"/>
      <c r="P121" s="1"/>
      <c r="Q121" s="1"/>
      <c r="R121" s="1"/>
      <c r="S121" s="1"/>
      <c r="T121" s="1"/>
      <c r="U121" s="1"/>
      <c r="V121" s="1"/>
      <c r="W121" s="1"/>
      <c r="X121" s="1"/>
      <c r="Y121" s="1"/>
      <c r="Z121" s="1"/>
    </row>
    <row r="122" spans="1:26" ht="12.75" customHeight="1">
      <c r="A122" s="1"/>
      <c r="B122" s="10" t="str">
        <f ca="1">IFERROR(__xludf.DUMMYFUNCTION("""COMPUTED_VALUE"""),"PLAN NACIONAL DE ESTERILIZACIONES RESPONSABILIDAD COMPARTIDA AÑO 2023 COMUNA DE PUENTE ALTO")</f>
        <v>PLAN NACIONAL DE ESTERILIZACIONES RESPONSABILIDAD COMPARTIDA AÑO 2023 COMUNA DE PUENTE ALTO</v>
      </c>
      <c r="C122" s="26" t="str">
        <f t="shared" ca="1" si="0"/>
        <v xml:space="preserve"> PUENTE ALTO</v>
      </c>
      <c r="D122" s="10" t="str">
        <f ca="1">IFERROR(__xludf.DUMMYFUNCTION("""COMPUTED_VALUE"""),"Resolución de Transferencia")</f>
        <v>Resolución de Transferencia</v>
      </c>
      <c r="E122" s="26" t="str">
        <f ca="1">IFERROR(__xludf.DUMMYFUNCTION("""COMPUTED_VALUE"""),"MUNICIPALIDAD DE PUENTE ALTO")</f>
        <v>MUNICIPALIDAD DE PUENTE ALTO</v>
      </c>
      <c r="F122" s="11">
        <f ca="1">IFERROR(__xludf.DUMMYFUNCTION("""COMPUTED_VALUE"""),56000000)</f>
        <v>56000000</v>
      </c>
      <c r="G122" s="10" t="str">
        <f ca="1">IFERROR(__xludf.DUMMYFUNCTION("""COMPUTED_VALUE"""),"Resolución")</f>
        <v>Resolución</v>
      </c>
      <c r="H122" s="10" t="str">
        <f ca="1">IFERROR(__xludf.DUMMYFUNCTION("""COMPUTED_VALUE"""),"Plan Esterilización Responsabilidad Compartida")</f>
        <v>Plan Esterilización Responsabilidad Compartida</v>
      </c>
      <c r="I122" s="10" t="str">
        <f ca="1">IFERROR(__xludf.DUMMYFUNCTION("""COMPUTED_VALUE"""),"Cumplir con normativa y reglamentos internos del programa en base a los objetivos.")</f>
        <v>Cumplir con normativa y reglamentos internos del programa en base a los objetivos.</v>
      </c>
      <c r="J122" s="11">
        <f ca="1">IFERROR(__xludf.DUMMYFUNCTION("""COMPUTED_VALUE"""),56000000)</f>
        <v>56000000</v>
      </c>
      <c r="K122" s="27">
        <f ca="1">IFERROR(__xludf.DUMMYFUNCTION("""COMPUTED_VALUE"""),1)</f>
        <v>1</v>
      </c>
      <c r="L122" s="28" t="str">
        <f ca="1">IFERROR(__xludf.DUMMYFUNCTION("""COMPUTED_VALUE"""),"12468/2024")</f>
        <v>12468/2024</v>
      </c>
      <c r="M122" s="10" t="str">
        <f ca="1">IFERROR(__xludf.DUMMYFUNCTION("""COMPUTED_VALUE"""),"PTRAC")</f>
        <v>PTRAC</v>
      </c>
      <c r="N122" s="1"/>
      <c r="O122" s="1"/>
      <c r="P122" s="1"/>
      <c r="Q122" s="1"/>
      <c r="R122" s="1"/>
      <c r="S122" s="1"/>
      <c r="T122" s="1"/>
      <c r="U122" s="1"/>
      <c r="V122" s="1"/>
      <c r="W122" s="1"/>
      <c r="X122" s="1"/>
      <c r="Y122" s="1"/>
      <c r="Z122" s="1"/>
    </row>
    <row r="123" spans="1:26" ht="12.75" customHeight="1">
      <c r="A123" s="1"/>
      <c r="B123" s="10" t="str">
        <f ca="1">IFERROR(__xludf.DUMMYFUNCTION("""COMPUTED_VALUE"""),"PLAN NACIONAL DE ESTERILIZACIONES RESPONSABILIAD COMPARTIDA AÑO 2024, COMUNA DE MAFIL")</f>
        <v>PLAN NACIONAL DE ESTERILIZACIONES RESPONSABILIAD COMPARTIDA AÑO 2024, COMUNA DE MAFIL</v>
      </c>
      <c r="C123" s="26" t="str">
        <f t="shared" ca="1" si="0"/>
        <v xml:space="preserve"> MÁFIL</v>
      </c>
      <c r="D123" s="10" t="str">
        <f ca="1">IFERROR(__xludf.DUMMYFUNCTION("""COMPUTED_VALUE"""),"Resolución de Transferencia")</f>
        <v>Resolución de Transferencia</v>
      </c>
      <c r="E123" s="26" t="str">
        <f ca="1">IFERROR(__xludf.DUMMYFUNCTION("""COMPUTED_VALUE"""),"MUNICIPALIDAD DE MÁFIL")</f>
        <v>MUNICIPALIDAD DE MÁFIL</v>
      </c>
      <c r="F123" s="11">
        <f ca="1">IFERROR(__xludf.DUMMYFUNCTION("""COMPUTED_VALUE"""),14300000)</f>
        <v>14300000</v>
      </c>
      <c r="G123" s="10" t="str">
        <f ca="1">IFERROR(__xludf.DUMMYFUNCTION("""COMPUTED_VALUE"""),"Resolución")</f>
        <v>Resolución</v>
      </c>
      <c r="H123" s="10" t="str">
        <f ca="1">IFERROR(__xludf.DUMMYFUNCTION("""COMPUTED_VALUE"""),"Plan Esterilización Responsabilidad Compartida")</f>
        <v>Plan Esterilización Responsabilidad Compartida</v>
      </c>
      <c r="I123" s="10" t="str">
        <f ca="1">IFERROR(__xludf.DUMMYFUNCTION("""COMPUTED_VALUE"""),"Cumplir con normativa y reglamentos internos del programa en base a los objetivos.")</f>
        <v>Cumplir con normativa y reglamentos internos del programa en base a los objetivos.</v>
      </c>
      <c r="J123" s="11">
        <f ca="1">IFERROR(__xludf.DUMMYFUNCTION("""COMPUTED_VALUE"""),14300000)</f>
        <v>14300000</v>
      </c>
      <c r="K123" s="27">
        <f ca="1">IFERROR(__xludf.DUMMYFUNCTION("""COMPUTED_VALUE"""),1)</f>
        <v>1</v>
      </c>
      <c r="L123" s="28" t="str">
        <f ca="1">IFERROR(__xludf.DUMMYFUNCTION("""COMPUTED_VALUE"""),"12454/2024")</f>
        <v>12454/2024</v>
      </c>
      <c r="M123" s="10" t="str">
        <f ca="1">IFERROR(__xludf.DUMMYFUNCTION("""COMPUTED_VALUE"""),"PTRAC")</f>
        <v>PTRAC</v>
      </c>
      <c r="N123" s="1"/>
      <c r="O123" s="1"/>
      <c r="P123" s="1"/>
      <c r="Q123" s="1"/>
      <c r="R123" s="1"/>
      <c r="S123" s="1"/>
      <c r="T123" s="1"/>
      <c r="U123" s="1"/>
      <c r="V123" s="1"/>
      <c r="W123" s="1"/>
      <c r="X123" s="1"/>
      <c r="Y123" s="1"/>
      <c r="Z123" s="1"/>
    </row>
    <row r="124" spans="1:26" ht="12.75" customHeight="1">
      <c r="A124" s="1"/>
      <c r="B124" s="10" t="str">
        <f ca="1">IFERROR(__xludf.DUMMYFUNCTION("""COMPUTED_VALUE"""),"PLAN NACIONAL DE ESTERILIZACIONES RESPONSABILIDAD COMPARTIDA 2023 COMUNA DE REQUÍNOA")</f>
        <v>PLAN NACIONAL DE ESTERILIZACIONES RESPONSABILIDAD COMPARTIDA 2023 COMUNA DE REQUÍNOA</v>
      </c>
      <c r="C124" s="26" t="str">
        <f t="shared" ca="1" si="0"/>
        <v xml:space="preserve"> REQUÍNOA</v>
      </c>
      <c r="D124" s="10" t="str">
        <f ca="1">IFERROR(__xludf.DUMMYFUNCTION("""COMPUTED_VALUE"""),"Resolución de Transferencia")</f>
        <v>Resolución de Transferencia</v>
      </c>
      <c r="E124" s="26" t="str">
        <f ca="1">IFERROR(__xludf.DUMMYFUNCTION("""COMPUTED_VALUE"""),"MUNICIPALIDAD DE REQUÍNOA")</f>
        <v>MUNICIPALIDAD DE REQUÍNOA</v>
      </c>
      <c r="F124" s="11">
        <f ca="1">IFERROR(__xludf.DUMMYFUNCTION("""COMPUTED_VALUE"""),29500000)</f>
        <v>29500000</v>
      </c>
      <c r="G124" s="10" t="str">
        <f ca="1">IFERROR(__xludf.DUMMYFUNCTION("""COMPUTED_VALUE"""),"Resolución")</f>
        <v>Resolución</v>
      </c>
      <c r="H124" s="10" t="str">
        <f ca="1">IFERROR(__xludf.DUMMYFUNCTION("""COMPUTED_VALUE"""),"Plan Esterilización Responsabilidad Compartida")</f>
        <v>Plan Esterilización Responsabilidad Compartida</v>
      </c>
      <c r="I124" s="10" t="str">
        <f ca="1">IFERROR(__xludf.DUMMYFUNCTION("""COMPUTED_VALUE"""),"Cumplir con normativa y reglamentos internos del programa en base a los objetivos.")</f>
        <v>Cumplir con normativa y reglamentos internos del programa en base a los objetivos.</v>
      </c>
      <c r="J124" s="11">
        <f ca="1">IFERROR(__xludf.DUMMYFUNCTION("""COMPUTED_VALUE"""),29500000)</f>
        <v>29500000</v>
      </c>
      <c r="K124" s="27">
        <f ca="1">IFERROR(__xludf.DUMMYFUNCTION("""COMPUTED_VALUE"""),1)</f>
        <v>1</v>
      </c>
      <c r="L124" s="28" t="str">
        <f ca="1">IFERROR(__xludf.DUMMYFUNCTION("""COMPUTED_VALUE"""),"12358/2024")</f>
        <v>12358/2024</v>
      </c>
      <c r="M124" s="10" t="str">
        <f ca="1">IFERROR(__xludf.DUMMYFUNCTION("""COMPUTED_VALUE"""),"PTRAC")</f>
        <v>PTRAC</v>
      </c>
      <c r="N124" s="1"/>
      <c r="O124" s="1"/>
      <c r="P124" s="1"/>
      <c r="Q124" s="1"/>
      <c r="R124" s="1"/>
      <c r="S124" s="1"/>
      <c r="T124" s="1"/>
      <c r="U124" s="1"/>
      <c r="V124" s="1"/>
      <c r="W124" s="1"/>
      <c r="X124" s="1"/>
      <c r="Y124" s="1"/>
      <c r="Z124" s="1"/>
    </row>
    <row r="125" spans="1:26" ht="12.75" customHeight="1">
      <c r="A125" s="1"/>
      <c r="B125" s="10" t="str">
        <f ca="1">IFERROR(__xludf.DUMMYFUNCTION("""COMPUTED_VALUE"""),"PLAN NACIONAL DE ESTERILIZACIONES RESPONSABILIDAD COMPARTIDA AÑO 2024 COMUNA DE OLIVAR")</f>
        <v>PLAN NACIONAL DE ESTERILIZACIONES RESPONSABILIDAD COMPARTIDA AÑO 2024 COMUNA DE OLIVAR</v>
      </c>
      <c r="C125" s="26" t="str">
        <f t="shared" ca="1" si="0"/>
        <v xml:space="preserve"> OLIVAR</v>
      </c>
      <c r="D125" s="10" t="str">
        <f ca="1">IFERROR(__xludf.DUMMYFUNCTION("""COMPUTED_VALUE"""),"Resolución de Transferencia")</f>
        <v>Resolución de Transferencia</v>
      </c>
      <c r="E125" s="26" t="str">
        <f ca="1">IFERROR(__xludf.DUMMYFUNCTION("""COMPUTED_VALUE"""),"MUNICIPALIDAD DE OLIVAR")</f>
        <v>MUNICIPALIDAD DE OLIVAR</v>
      </c>
      <c r="F125" s="11">
        <f ca="1">IFERROR(__xludf.DUMMYFUNCTION("""COMPUTED_VALUE"""),28600000)</f>
        <v>28600000</v>
      </c>
      <c r="G125" s="10" t="str">
        <f ca="1">IFERROR(__xludf.DUMMYFUNCTION("""COMPUTED_VALUE"""),"Resolución")</f>
        <v>Resolución</v>
      </c>
      <c r="H125" s="10" t="str">
        <f ca="1">IFERROR(__xludf.DUMMYFUNCTION("""COMPUTED_VALUE"""),"Plan Esterilización Responsabilidad Compartida")</f>
        <v>Plan Esterilización Responsabilidad Compartida</v>
      </c>
      <c r="I125" s="10" t="str">
        <f ca="1">IFERROR(__xludf.DUMMYFUNCTION("""COMPUTED_VALUE"""),"Cumplir con normativa y reglamentos internos del programa en base a los objetivos.")</f>
        <v>Cumplir con normativa y reglamentos internos del programa en base a los objetivos.</v>
      </c>
      <c r="J125" s="11">
        <f ca="1">IFERROR(__xludf.DUMMYFUNCTION("""COMPUTED_VALUE"""),28600000)</f>
        <v>28600000</v>
      </c>
      <c r="K125" s="27">
        <f ca="1">IFERROR(__xludf.DUMMYFUNCTION("""COMPUTED_VALUE"""),1)</f>
        <v>1</v>
      </c>
      <c r="L125" s="28" t="str">
        <f ca="1">IFERROR(__xludf.DUMMYFUNCTION("""COMPUTED_VALUE"""),"12372/2024")</f>
        <v>12372/2024</v>
      </c>
      <c r="M125" s="10" t="str">
        <f ca="1">IFERROR(__xludf.DUMMYFUNCTION("""COMPUTED_VALUE"""),"PTRAC")</f>
        <v>PTRAC</v>
      </c>
      <c r="N125" s="1"/>
      <c r="O125" s="1"/>
      <c r="P125" s="1"/>
      <c r="Q125" s="1"/>
      <c r="R125" s="1"/>
      <c r="S125" s="1"/>
      <c r="T125" s="1"/>
      <c r="U125" s="1"/>
      <c r="V125" s="1"/>
      <c r="W125" s="1"/>
      <c r="X125" s="1"/>
      <c r="Y125" s="1"/>
      <c r="Z125" s="1"/>
    </row>
    <row r="126" spans="1:26" ht="12.75" customHeight="1">
      <c r="A126" s="1"/>
      <c r="B126" s="10" t="str">
        <f ca="1">IFERROR(__xludf.DUMMYFUNCTION("""COMPUTED_VALUE"""),"PLAN NACIONAL DE ESTERILIZACIONES RESPONSABILIDAD COMPARTIDA 2023 COMUNA DE PUMANQUE")</f>
        <v>PLAN NACIONAL DE ESTERILIZACIONES RESPONSABILIDAD COMPARTIDA 2023 COMUNA DE PUMANQUE</v>
      </c>
      <c r="C126" s="26" t="str">
        <f t="shared" ca="1" si="0"/>
        <v xml:space="preserve"> PUMANQUE</v>
      </c>
      <c r="D126" s="10" t="str">
        <f ca="1">IFERROR(__xludf.DUMMYFUNCTION("""COMPUTED_VALUE"""),"Resolución de Transferencia")</f>
        <v>Resolución de Transferencia</v>
      </c>
      <c r="E126" s="26" t="str">
        <f ca="1">IFERROR(__xludf.DUMMYFUNCTION("""COMPUTED_VALUE"""),"MUNICIPALIDAD DE PUMANQUE")</f>
        <v>MUNICIPALIDAD DE PUMANQUE</v>
      </c>
      <c r="F126" s="11">
        <f ca="1">IFERROR(__xludf.DUMMYFUNCTION("""COMPUTED_VALUE"""),14600000)</f>
        <v>14600000</v>
      </c>
      <c r="G126" s="10" t="str">
        <f ca="1">IFERROR(__xludf.DUMMYFUNCTION("""COMPUTED_VALUE"""),"Resolución")</f>
        <v>Resolución</v>
      </c>
      <c r="H126" s="10" t="str">
        <f ca="1">IFERROR(__xludf.DUMMYFUNCTION("""COMPUTED_VALUE"""),"Plan Esterilización Responsabilidad Compartida")</f>
        <v>Plan Esterilización Responsabilidad Compartida</v>
      </c>
      <c r="I126" s="10" t="str">
        <f ca="1">IFERROR(__xludf.DUMMYFUNCTION("""COMPUTED_VALUE"""),"Cumplir con normativa y reglamentos internos del programa en base a los objetivos.")</f>
        <v>Cumplir con normativa y reglamentos internos del programa en base a los objetivos.</v>
      </c>
      <c r="J126" s="11">
        <f ca="1">IFERROR(__xludf.DUMMYFUNCTION("""COMPUTED_VALUE"""),14600000)</f>
        <v>14600000</v>
      </c>
      <c r="K126" s="27">
        <f ca="1">IFERROR(__xludf.DUMMYFUNCTION("""COMPUTED_VALUE"""),1)</f>
        <v>1</v>
      </c>
      <c r="L126" s="28" t="str">
        <f ca="1">IFERROR(__xludf.DUMMYFUNCTION("""COMPUTED_VALUE"""),"12346/2024")</f>
        <v>12346/2024</v>
      </c>
      <c r="M126" s="10" t="str">
        <f ca="1">IFERROR(__xludf.DUMMYFUNCTION("""COMPUTED_VALUE"""),"PTRAC")</f>
        <v>PTRAC</v>
      </c>
      <c r="N126" s="1"/>
      <c r="O126" s="1"/>
      <c r="P126" s="1"/>
      <c r="Q126" s="1"/>
      <c r="R126" s="1"/>
      <c r="S126" s="1"/>
      <c r="T126" s="1"/>
      <c r="U126" s="1"/>
      <c r="V126" s="1"/>
      <c r="W126" s="1"/>
      <c r="X126" s="1"/>
      <c r="Y126" s="1"/>
      <c r="Z126" s="1"/>
    </row>
    <row r="127" spans="1:26" ht="12.75" customHeight="1">
      <c r="A127" s="1"/>
      <c r="B127" s="10" t="str">
        <f ca="1">IFERROR(__xludf.DUMMYFUNCTION("""COMPUTED_VALUE"""),"PLAN NACIONAL DE ESTERILIZACIONES RESPONSABILIDAD COMPARTIDA 2023 COMUNA DE CHILLAN")</f>
        <v>PLAN NACIONAL DE ESTERILIZACIONES RESPONSABILIDAD COMPARTIDA 2023 COMUNA DE CHILLAN</v>
      </c>
      <c r="C127" s="26" t="str">
        <f t="shared" ca="1" si="0"/>
        <v xml:space="preserve"> CHILLÁN</v>
      </c>
      <c r="D127" s="10" t="str">
        <f ca="1">IFERROR(__xludf.DUMMYFUNCTION("""COMPUTED_VALUE"""),"Resolución de Transferencia")</f>
        <v>Resolución de Transferencia</v>
      </c>
      <c r="E127" s="26" t="str">
        <f ca="1">IFERROR(__xludf.DUMMYFUNCTION("""COMPUTED_VALUE"""),"MUNICIPALIDAD DE CHILLÁN")</f>
        <v>MUNICIPALIDAD DE CHILLÁN</v>
      </c>
      <c r="F127" s="11">
        <f ca="1">IFERROR(__xludf.DUMMYFUNCTION("""COMPUTED_VALUE"""),59000000)</f>
        <v>59000000</v>
      </c>
      <c r="G127" s="10" t="str">
        <f ca="1">IFERROR(__xludf.DUMMYFUNCTION("""COMPUTED_VALUE"""),"Resolución")</f>
        <v>Resolución</v>
      </c>
      <c r="H127" s="10" t="str">
        <f ca="1">IFERROR(__xludf.DUMMYFUNCTION("""COMPUTED_VALUE"""),"Plan Esterilización Responsabilidad Compartida")</f>
        <v>Plan Esterilización Responsabilidad Compartida</v>
      </c>
      <c r="I127" s="10" t="str">
        <f ca="1">IFERROR(__xludf.DUMMYFUNCTION("""COMPUTED_VALUE"""),"Cumplir con normativa y reglamentos internos del programa en base a los objetivos.")</f>
        <v>Cumplir con normativa y reglamentos internos del programa en base a los objetivos.</v>
      </c>
      <c r="J127" s="11">
        <f ca="1">IFERROR(__xludf.DUMMYFUNCTION("""COMPUTED_VALUE"""),59000000)</f>
        <v>59000000</v>
      </c>
      <c r="K127" s="27">
        <f ca="1">IFERROR(__xludf.DUMMYFUNCTION("""COMPUTED_VALUE"""),1)</f>
        <v>1</v>
      </c>
      <c r="L127" s="28" t="str">
        <f ca="1">IFERROR(__xludf.DUMMYFUNCTION("""COMPUTED_VALUE"""),"12362/2024")</f>
        <v>12362/2024</v>
      </c>
      <c r="M127" s="10" t="str">
        <f ca="1">IFERROR(__xludf.DUMMYFUNCTION("""COMPUTED_VALUE"""),"PTRAC")</f>
        <v>PTRAC</v>
      </c>
      <c r="N127" s="1"/>
      <c r="O127" s="1"/>
      <c r="P127" s="1"/>
      <c r="Q127" s="1"/>
      <c r="R127" s="1"/>
      <c r="S127" s="1"/>
      <c r="T127" s="1"/>
      <c r="U127" s="1"/>
      <c r="V127" s="1"/>
      <c r="W127" s="1"/>
      <c r="X127" s="1"/>
      <c r="Y127" s="1"/>
      <c r="Z127" s="1"/>
    </row>
    <row r="128" spans="1:26" ht="12.75" customHeight="1">
      <c r="A128" s="1"/>
      <c r="B128" s="10" t="str">
        <f ca="1">IFERROR(__xludf.DUMMYFUNCTION("""COMPUTED_VALUE"""),"PLAN NACIONAL DE ESTERILIZACIONES RESPOSABILIDAD COMPARTIDA AÑO 2023, COMUNA DE CONTULMO.")</f>
        <v>PLAN NACIONAL DE ESTERILIZACIONES RESPOSABILIDAD COMPARTIDA AÑO 2023, COMUNA DE CONTULMO.</v>
      </c>
      <c r="C128" s="26" t="str">
        <f t="shared" ca="1" si="0"/>
        <v xml:space="preserve"> CONTULMO</v>
      </c>
      <c r="D128" s="10" t="str">
        <f ca="1">IFERROR(__xludf.DUMMYFUNCTION("""COMPUTED_VALUE"""),"Resolución de Transferencia")</f>
        <v>Resolución de Transferencia</v>
      </c>
      <c r="E128" s="26" t="str">
        <f ca="1">IFERROR(__xludf.DUMMYFUNCTION("""COMPUTED_VALUE"""),"MUNICIPALIDAD DE CONTULMO")</f>
        <v>MUNICIPALIDAD DE CONTULMO</v>
      </c>
      <c r="F128" s="11">
        <f ca="1">IFERROR(__xludf.DUMMYFUNCTION("""COMPUTED_VALUE"""),11500000)</f>
        <v>11500000</v>
      </c>
      <c r="G128" s="10" t="str">
        <f ca="1">IFERROR(__xludf.DUMMYFUNCTION("""COMPUTED_VALUE"""),"Resolución")</f>
        <v>Resolución</v>
      </c>
      <c r="H128" s="10" t="str">
        <f ca="1">IFERROR(__xludf.DUMMYFUNCTION("""COMPUTED_VALUE"""),"Plan Esterilización Responsabilidad Compartida")</f>
        <v>Plan Esterilización Responsabilidad Compartida</v>
      </c>
      <c r="I128" s="10" t="str">
        <f ca="1">IFERROR(__xludf.DUMMYFUNCTION("""COMPUTED_VALUE"""),"Cumplir con normativa y reglamentos internos del programa en base a los objetivos.")</f>
        <v>Cumplir con normativa y reglamentos internos del programa en base a los objetivos.</v>
      </c>
      <c r="J128" s="11">
        <f ca="1">IFERROR(__xludf.DUMMYFUNCTION("""COMPUTED_VALUE"""),11500000)</f>
        <v>11500000</v>
      </c>
      <c r="K128" s="27">
        <f ca="1">IFERROR(__xludf.DUMMYFUNCTION("""COMPUTED_VALUE"""),1)</f>
        <v>1</v>
      </c>
      <c r="L128" s="28" t="str">
        <f ca="1">IFERROR(__xludf.DUMMYFUNCTION("""COMPUTED_VALUE"""),"12349/2024")</f>
        <v>12349/2024</v>
      </c>
      <c r="M128" s="10" t="str">
        <f ca="1">IFERROR(__xludf.DUMMYFUNCTION("""COMPUTED_VALUE"""),"PTRAC")</f>
        <v>PTRAC</v>
      </c>
      <c r="N128" s="1"/>
      <c r="O128" s="1"/>
      <c r="P128" s="1"/>
      <c r="Q128" s="1"/>
      <c r="R128" s="1"/>
      <c r="S128" s="1"/>
      <c r="T128" s="1"/>
      <c r="U128" s="1"/>
      <c r="V128" s="1"/>
      <c r="W128" s="1"/>
      <c r="X128" s="1"/>
      <c r="Y128" s="1"/>
      <c r="Z128" s="1"/>
    </row>
    <row r="129" spans="1:26" ht="12.75" customHeight="1">
      <c r="A129" s="1"/>
      <c r="B129" s="10" t="str">
        <f ca="1">IFERROR(__xludf.DUMMYFUNCTION("""COMPUTED_VALUE"""),"PLAN NACIONAL DE ESTERILIZACIONES RESPONSABILIDAD COMPARTIDA 2024 COMUNA DE PERQUENCO")</f>
        <v>PLAN NACIONAL DE ESTERILIZACIONES RESPONSABILIDAD COMPARTIDA 2024 COMUNA DE PERQUENCO</v>
      </c>
      <c r="C129" s="26" t="str">
        <f t="shared" ca="1" si="0"/>
        <v xml:space="preserve"> PERQUENCO</v>
      </c>
      <c r="D129" s="10" t="str">
        <f ca="1">IFERROR(__xludf.DUMMYFUNCTION("""COMPUTED_VALUE"""),"Resolución de Transferencia")</f>
        <v>Resolución de Transferencia</v>
      </c>
      <c r="E129" s="26" t="str">
        <f ca="1">IFERROR(__xludf.DUMMYFUNCTION("""COMPUTED_VALUE"""),"MUNICIPALIDAD DE PERQUENCO")</f>
        <v>MUNICIPALIDAD DE PERQUENCO</v>
      </c>
      <c r="F129" s="11">
        <f ca="1">IFERROR(__xludf.DUMMYFUNCTION("""COMPUTED_VALUE"""),28600000)</f>
        <v>28600000</v>
      </c>
      <c r="G129" s="10" t="str">
        <f ca="1">IFERROR(__xludf.DUMMYFUNCTION("""COMPUTED_VALUE"""),"Resolución")</f>
        <v>Resolución</v>
      </c>
      <c r="H129" s="10" t="str">
        <f ca="1">IFERROR(__xludf.DUMMYFUNCTION("""COMPUTED_VALUE"""),"Plan Esterilización Responsabilidad Compartida")</f>
        <v>Plan Esterilización Responsabilidad Compartida</v>
      </c>
      <c r="I129" s="10" t="str">
        <f ca="1">IFERROR(__xludf.DUMMYFUNCTION("""COMPUTED_VALUE"""),"Cumplir con normativa y reglamentos internos del programa en base a los objetivos.")</f>
        <v>Cumplir con normativa y reglamentos internos del programa en base a los objetivos.</v>
      </c>
      <c r="J129" s="11">
        <f ca="1">IFERROR(__xludf.DUMMYFUNCTION("""COMPUTED_VALUE"""),28600000)</f>
        <v>28600000</v>
      </c>
      <c r="K129" s="27">
        <f ca="1">IFERROR(__xludf.DUMMYFUNCTION("""COMPUTED_VALUE"""),1)</f>
        <v>1</v>
      </c>
      <c r="L129" s="28" t="str">
        <f ca="1">IFERROR(__xludf.DUMMYFUNCTION("""COMPUTED_VALUE"""),"12348/2024")</f>
        <v>12348/2024</v>
      </c>
      <c r="M129" s="10" t="str">
        <f ca="1">IFERROR(__xludf.DUMMYFUNCTION("""COMPUTED_VALUE"""),"PTRAC")</f>
        <v>PTRAC</v>
      </c>
      <c r="N129" s="1"/>
      <c r="O129" s="1"/>
      <c r="P129" s="1"/>
      <c r="Q129" s="1"/>
      <c r="R129" s="1"/>
      <c r="S129" s="1"/>
      <c r="T129" s="1"/>
      <c r="U129" s="1"/>
      <c r="V129" s="1"/>
      <c r="W129" s="1"/>
      <c r="X129" s="1"/>
      <c r="Y129" s="1"/>
      <c r="Z129" s="1"/>
    </row>
    <row r="130" spans="1:26" ht="12.75" customHeight="1">
      <c r="A130" s="1"/>
      <c r="B130" s="10" t="str">
        <f ca="1">IFERROR(__xludf.DUMMYFUNCTION("""COMPUTED_VALUE"""),"PLAN NACIONAL DE ESTERILIZACIONES RESPONSABILIDAD COMPARTIDA AÑO 2023 COMUNA DE ÑIQUEN")</f>
        <v>PLAN NACIONAL DE ESTERILIZACIONES RESPONSABILIDAD COMPARTIDA AÑO 2023 COMUNA DE ÑIQUEN</v>
      </c>
      <c r="C130" s="26" t="str">
        <f t="shared" ca="1" si="0"/>
        <v xml:space="preserve"> ÑIQUÉN</v>
      </c>
      <c r="D130" s="10" t="str">
        <f ca="1">IFERROR(__xludf.DUMMYFUNCTION("""COMPUTED_VALUE"""),"Resolución de Transferencia")</f>
        <v>Resolución de Transferencia</v>
      </c>
      <c r="E130" s="26" t="str">
        <f ca="1">IFERROR(__xludf.DUMMYFUNCTION("""COMPUTED_VALUE"""),"MUNICIPALIDAD DE ÑIQUÉN")</f>
        <v>MUNICIPALIDAD DE ÑIQUÉN</v>
      </c>
      <c r="F130" s="11">
        <f ca="1">IFERROR(__xludf.DUMMYFUNCTION("""COMPUTED_VALUE"""),11500000)</f>
        <v>11500000</v>
      </c>
      <c r="G130" s="10" t="str">
        <f ca="1">IFERROR(__xludf.DUMMYFUNCTION("""COMPUTED_VALUE"""),"Resolución")</f>
        <v>Resolución</v>
      </c>
      <c r="H130" s="10" t="str">
        <f ca="1">IFERROR(__xludf.DUMMYFUNCTION("""COMPUTED_VALUE"""),"Plan Esterilización Responsabilidad Compartida")</f>
        <v>Plan Esterilización Responsabilidad Compartida</v>
      </c>
      <c r="I130" s="10" t="str">
        <f ca="1">IFERROR(__xludf.DUMMYFUNCTION("""COMPUTED_VALUE"""),"Cumplir con normativa y reglamentos internos del programa en base a los objetivos.")</f>
        <v>Cumplir con normativa y reglamentos internos del programa en base a los objetivos.</v>
      </c>
      <c r="J130" s="11">
        <f ca="1">IFERROR(__xludf.DUMMYFUNCTION("""COMPUTED_VALUE"""),11500000)</f>
        <v>11500000</v>
      </c>
      <c r="K130" s="27">
        <f ca="1">IFERROR(__xludf.DUMMYFUNCTION("""COMPUTED_VALUE"""),1)</f>
        <v>1</v>
      </c>
      <c r="L130" s="28" t="str">
        <f ca="1">IFERROR(__xludf.DUMMYFUNCTION("""COMPUTED_VALUE"""),"12471/2024")</f>
        <v>12471/2024</v>
      </c>
      <c r="M130" s="10" t="str">
        <f ca="1">IFERROR(__xludf.DUMMYFUNCTION("""COMPUTED_VALUE"""),"PTRAC")</f>
        <v>PTRAC</v>
      </c>
      <c r="N130" s="1"/>
      <c r="O130" s="1"/>
      <c r="P130" s="1"/>
      <c r="Q130" s="1"/>
      <c r="R130" s="1"/>
      <c r="S130" s="1"/>
      <c r="T130" s="1"/>
      <c r="U130" s="1"/>
      <c r="V130" s="1"/>
      <c r="W130" s="1"/>
      <c r="X130" s="1"/>
      <c r="Y130" s="1"/>
      <c r="Z130" s="1"/>
    </row>
    <row r="131" spans="1:26" ht="12.75" customHeight="1">
      <c r="A131" s="1"/>
      <c r="B131" s="10" t="str">
        <f ca="1">IFERROR(__xludf.DUMMYFUNCTION("""COMPUTED_VALUE"""),"Castrar salva vidas, Castra Hoy E25223/2024")</f>
        <v>Castrar salva vidas, Castra Hoy E25223/2024</v>
      </c>
      <c r="C131" s="26" t="s">
        <v>49</v>
      </c>
      <c r="D131" s="10" t="str">
        <f ca="1">IFERROR(__xludf.DUMMYFUNCTION("""COMPUTED_VALUE"""),"Resolución de Transferencia")</f>
        <v>Resolución de Transferencia</v>
      </c>
      <c r="E131" s="26" t="str">
        <f ca="1">IFERROR(__xludf.DUMMYFUNCTION("""COMPUTED_VALUE"""),"FUNDACION QUILTRO")</f>
        <v>FUNDACION QUILTRO</v>
      </c>
      <c r="F131" s="11">
        <f ca="1">IFERROR(__xludf.DUMMYFUNCTION("""COMPUTED_VALUE"""),12000000)</f>
        <v>12000000</v>
      </c>
      <c r="G131" s="10" t="str">
        <f ca="1">IFERROR(__xludf.DUMMYFUNCTION("""COMPUTED_VALUE"""),"Resolución")</f>
        <v>Resolución</v>
      </c>
      <c r="H131" s="10" t="str">
        <f ca="1">IFERROR(__xludf.DUMMYFUNCTION("""COMPUTED_VALUE"""),"PTRAC Fondos Concursables ONGs")</f>
        <v>PTRAC Fondos Concursables ONGs</v>
      </c>
      <c r="I131" s="10" t="str">
        <f ca="1">IFERROR(__xludf.DUMMYFUNCTION("""COMPUTED_VALUE"""),"Cumplir con normativa y reglamentos internos del programa en base a los objetivos.")</f>
        <v>Cumplir con normativa y reglamentos internos del programa en base a los objetivos.</v>
      </c>
      <c r="J131" s="11">
        <f ca="1">IFERROR(__xludf.DUMMYFUNCTION("""COMPUTED_VALUE"""),12000000)</f>
        <v>12000000</v>
      </c>
      <c r="K131" s="27">
        <f ca="1">IFERROR(__xludf.DUMMYFUNCTION("""COMPUTED_VALUE"""),1)</f>
        <v>1</v>
      </c>
      <c r="L131" s="28" t="str">
        <f ca="1">IFERROR(__xludf.DUMMYFUNCTION("""COMPUTED_VALUE"""),"12473/2024")</f>
        <v>12473/2024</v>
      </c>
      <c r="M131" s="10" t="str">
        <f ca="1">IFERROR(__xludf.DUMMYFUNCTION("""COMPUTED_VALUE"""),"PTRAC")</f>
        <v>PTRAC</v>
      </c>
      <c r="N131" s="1"/>
      <c r="O131" s="1"/>
      <c r="P131" s="1"/>
      <c r="Q131" s="1"/>
      <c r="R131" s="1"/>
      <c r="S131" s="1"/>
      <c r="T131" s="1"/>
      <c r="U131" s="1"/>
      <c r="V131" s="1"/>
      <c r="W131" s="1"/>
      <c r="X131" s="1"/>
      <c r="Y131" s="1"/>
      <c r="Z131" s="1"/>
    </row>
    <row r="132" spans="1:26" ht="12.75" customHeight="1">
      <c r="A132" s="1"/>
      <c r="B132" s="10" t="str">
        <f ca="1">IFERROR(__xludf.DUMMYFUNCTION("""COMPUTED_VALUE"""),"Creemos conciencia, esterilizando E25225/2024")</f>
        <v>Creemos conciencia, esterilizando E25225/2024</v>
      </c>
      <c r="C132" s="26" t="s">
        <v>50</v>
      </c>
      <c r="D132" s="10" t="str">
        <f ca="1">IFERROR(__xludf.DUMMYFUNCTION("""COMPUTED_VALUE"""),"Resolución de Transferencia")</f>
        <v>Resolución de Transferencia</v>
      </c>
      <c r="E132" s="26" t="str">
        <f ca="1">IFERROR(__xludf.DUMMYFUNCTION("""COMPUTED_VALUE"""),"FUNDACION AMOR DE CUATRO PATAS")</f>
        <v>FUNDACION AMOR DE CUATRO PATAS</v>
      </c>
      <c r="F132" s="11">
        <f ca="1">IFERROR(__xludf.DUMMYFUNCTION("""COMPUTED_VALUE"""),11903000)</f>
        <v>11903000</v>
      </c>
      <c r="G132" s="10" t="str">
        <f ca="1">IFERROR(__xludf.DUMMYFUNCTION("""COMPUTED_VALUE"""),"Resolución")</f>
        <v>Resolución</v>
      </c>
      <c r="H132" s="10" t="str">
        <f ca="1">IFERROR(__xludf.DUMMYFUNCTION("""COMPUTED_VALUE"""),"PTRAC Fondos Concursables ONGs")</f>
        <v>PTRAC Fondos Concursables ONGs</v>
      </c>
      <c r="I132" s="10" t="str">
        <f ca="1">IFERROR(__xludf.DUMMYFUNCTION("""COMPUTED_VALUE"""),"Cumplir con normativa y reglamentos internos del programa en base a los objetivos.")</f>
        <v>Cumplir con normativa y reglamentos internos del programa en base a los objetivos.</v>
      </c>
      <c r="J132" s="11">
        <f ca="1">IFERROR(__xludf.DUMMYFUNCTION("""COMPUTED_VALUE"""),11903000)</f>
        <v>11903000</v>
      </c>
      <c r="K132" s="27">
        <f ca="1">IFERROR(__xludf.DUMMYFUNCTION("""COMPUTED_VALUE"""),1)</f>
        <v>1</v>
      </c>
      <c r="L132" s="28" t="str">
        <f ca="1">IFERROR(__xludf.DUMMYFUNCTION("""COMPUTED_VALUE"""),"12486/2024")</f>
        <v>12486/2024</v>
      </c>
      <c r="M132" s="10" t="str">
        <f ca="1">IFERROR(__xludf.DUMMYFUNCTION("""COMPUTED_VALUE"""),"PTRAC")</f>
        <v>PTRAC</v>
      </c>
      <c r="N132" s="1"/>
      <c r="O132" s="1"/>
      <c r="P132" s="1"/>
      <c r="Q132" s="1"/>
      <c r="R132" s="1"/>
      <c r="S132" s="1"/>
      <c r="T132" s="1"/>
      <c r="U132" s="1"/>
      <c r="V132" s="1"/>
      <c r="W132" s="1"/>
      <c r="X132" s="1"/>
      <c r="Y132" s="1"/>
      <c r="Z132" s="1"/>
    </row>
    <row r="133" spans="1:26" ht="12.75" customHeight="1">
      <c r="A133" s="1"/>
      <c r="B133" s="10" t="str">
        <f ca="1">IFERROR(__xludf.DUMMYFUNCTION("""COMPUTED_VALUE"""),"Salud para los Patitas y Compañía E25226/2024")</f>
        <v>Salud para los Patitas y Compañía E25226/2024</v>
      </c>
      <c r="C133" s="26" t="s">
        <v>51</v>
      </c>
      <c r="D133" s="10" t="str">
        <f ca="1">IFERROR(__xludf.DUMMYFUNCTION("""COMPUTED_VALUE"""),"Resolución de Transferencia")</f>
        <v>Resolución de Transferencia</v>
      </c>
      <c r="E133" s="26" t="str">
        <f ca="1">IFERROR(__xludf.DUMMYFUNCTION("""COMPUTED_VALUE"""),"AGRUPACION PRO ANIMAL PATITAS DEL DESIERTO ANTOFAGASTA")</f>
        <v>AGRUPACION PRO ANIMAL PATITAS DEL DESIERTO ANTOFAGASTA</v>
      </c>
      <c r="F133" s="11">
        <f ca="1">IFERROR(__xludf.DUMMYFUNCTION("""COMPUTED_VALUE"""),7064853)</f>
        <v>7064853</v>
      </c>
      <c r="G133" s="10" t="str">
        <f ca="1">IFERROR(__xludf.DUMMYFUNCTION("""COMPUTED_VALUE"""),"Resolución")</f>
        <v>Resolución</v>
      </c>
      <c r="H133" s="10" t="str">
        <f ca="1">IFERROR(__xludf.DUMMYFUNCTION("""COMPUTED_VALUE"""),"PTRAC Fondos Concursables ONGs")</f>
        <v>PTRAC Fondos Concursables ONGs</v>
      </c>
      <c r="I133" s="10" t="str">
        <f ca="1">IFERROR(__xludf.DUMMYFUNCTION("""COMPUTED_VALUE"""),"Cumplir con normativa y reglamentos internos del programa en base a los objetivos.")</f>
        <v>Cumplir con normativa y reglamentos internos del programa en base a los objetivos.</v>
      </c>
      <c r="J133" s="11">
        <f ca="1">IFERROR(__xludf.DUMMYFUNCTION("""COMPUTED_VALUE"""),7064853)</f>
        <v>7064853</v>
      </c>
      <c r="K133" s="27">
        <f ca="1">IFERROR(__xludf.DUMMYFUNCTION("""COMPUTED_VALUE"""),1)</f>
        <v>1</v>
      </c>
      <c r="L133" s="28" t="str">
        <f ca="1">IFERROR(__xludf.DUMMYFUNCTION("""COMPUTED_VALUE"""),"12368/2024")</f>
        <v>12368/2024</v>
      </c>
      <c r="M133" s="10" t="str">
        <f ca="1">IFERROR(__xludf.DUMMYFUNCTION("""COMPUTED_VALUE"""),"PTRAC")</f>
        <v>PTRAC</v>
      </c>
      <c r="N133" s="1"/>
      <c r="O133" s="1"/>
      <c r="P133" s="1"/>
      <c r="Q133" s="1"/>
      <c r="R133" s="1"/>
      <c r="S133" s="1"/>
      <c r="T133" s="1"/>
      <c r="U133" s="1"/>
      <c r="V133" s="1"/>
      <c r="W133" s="1"/>
      <c r="X133" s="1"/>
      <c r="Y133" s="1"/>
      <c r="Z133" s="1"/>
    </row>
    <row r="134" spans="1:26" ht="12.75" customHeight="1">
      <c r="A134" s="1"/>
      <c r="B134" s="10" t="str">
        <f ca="1">IFERROR(__xludf.DUMMYFUNCTION("""COMPUTED_VALUE"""),"Esteriliza a tu mascota, es tu responsabilidad E25227/2024")</f>
        <v>Esteriliza a tu mascota, es tu responsabilidad E25227/2024</v>
      </c>
      <c r="C134" s="26" t="s">
        <v>52</v>
      </c>
      <c r="D134" s="10" t="str">
        <f ca="1">IFERROR(__xludf.DUMMYFUNCTION("""COMPUTED_VALUE"""),"Resolución de Transferencia")</f>
        <v>Resolución de Transferencia</v>
      </c>
      <c r="E134" s="26" t="str">
        <f ca="1">IFERROR(__xludf.DUMMYFUNCTION("""COMPUTED_VALUE"""),"AGRUPACIÓN PATITAS SUAVES DE OSORNO")</f>
        <v>AGRUPACIÓN PATITAS SUAVES DE OSORNO</v>
      </c>
      <c r="F134" s="11">
        <f ca="1">IFERROR(__xludf.DUMMYFUNCTION("""COMPUTED_VALUE"""),12000000)</f>
        <v>12000000</v>
      </c>
      <c r="G134" s="10" t="str">
        <f ca="1">IFERROR(__xludf.DUMMYFUNCTION("""COMPUTED_VALUE"""),"Resolución")</f>
        <v>Resolución</v>
      </c>
      <c r="H134" s="10" t="str">
        <f ca="1">IFERROR(__xludf.DUMMYFUNCTION("""COMPUTED_VALUE"""),"PTRAC Fondos Concursables ONGs")</f>
        <v>PTRAC Fondos Concursables ONGs</v>
      </c>
      <c r="I134" s="10" t="str">
        <f ca="1">IFERROR(__xludf.DUMMYFUNCTION("""COMPUTED_VALUE"""),"Cumplir con normativa y reglamentos internos del programa en base a los objetivos.")</f>
        <v>Cumplir con normativa y reglamentos internos del programa en base a los objetivos.</v>
      </c>
      <c r="J134" s="11">
        <f ca="1">IFERROR(__xludf.DUMMYFUNCTION("""COMPUTED_VALUE"""),12000000)</f>
        <v>12000000</v>
      </c>
      <c r="K134" s="27">
        <f ca="1">IFERROR(__xludf.DUMMYFUNCTION("""COMPUTED_VALUE"""),1)</f>
        <v>1</v>
      </c>
      <c r="L134" s="28" t="str">
        <f ca="1">IFERROR(__xludf.DUMMYFUNCTION("""COMPUTED_VALUE"""),"12583/2024")</f>
        <v>12583/2024</v>
      </c>
      <c r="M134" s="10" t="str">
        <f ca="1">IFERROR(__xludf.DUMMYFUNCTION("""COMPUTED_VALUE"""),"PTRAC")</f>
        <v>PTRAC</v>
      </c>
      <c r="N134" s="1"/>
      <c r="O134" s="1"/>
      <c r="P134" s="1"/>
      <c r="Q134" s="1"/>
      <c r="R134" s="1"/>
      <c r="S134" s="1"/>
      <c r="T134" s="1"/>
      <c r="U134" s="1"/>
      <c r="V134" s="1"/>
      <c r="W134" s="1"/>
      <c r="X134" s="1"/>
      <c r="Y134" s="1"/>
      <c r="Z134" s="1"/>
    </row>
    <row r="135" spans="1:26" ht="12.75" customHeight="1">
      <c r="A135" s="1"/>
      <c r="B135" s="10" t="str">
        <f ca="1">IFERROR(__xludf.DUMMYFUNCTION("""COMPUTED_VALUE"""),"S.O.S Esterilización, Mascotas en Vulneración E25228/2024")</f>
        <v>S.O.S Esterilización, Mascotas en Vulneración E25228/2024</v>
      </c>
      <c r="C135" s="26" t="s">
        <v>53</v>
      </c>
      <c r="D135" s="10" t="str">
        <f ca="1">IFERROR(__xludf.DUMMYFUNCTION("""COMPUTED_VALUE"""),"Resolución de Transferencia")</f>
        <v>Resolución de Transferencia</v>
      </c>
      <c r="E135" s="26" t="str">
        <f ca="1">IFERROR(__xludf.DUMMYFUNCTION("""COMPUTED_VALUE"""),"CENTRO DE ACCION SOCIAL Y SOLIDARIO ""REFUGIO ESPERANZA""")</f>
        <v>CENTRO DE ACCION SOCIAL Y SOLIDARIO "REFUGIO ESPERANZA"</v>
      </c>
      <c r="F135" s="11">
        <f ca="1">IFERROR(__xludf.DUMMYFUNCTION("""COMPUTED_VALUE"""),10583000)</f>
        <v>10583000</v>
      </c>
      <c r="G135" s="10" t="str">
        <f ca="1">IFERROR(__xludf.DUMMYFUNCTION("""COMPUTED_VALUE"""),"Resolución")</f>
        <v>Resolución</v>
      </c>
      <c r="H135" s="10" t="str">
        <f ca="1">IFERROR(__xludf.DUMMYFUNCTION("""COMPUTED_VALUE"""),"PTRAC Fondos Concursables ONGs")</f>
        <v>PTRAC Fondos Concursables ONGs</v>
      </c>
      <c r="I135" s="10" t="str">
        <f ca="1">IFERROR(__xludf.DUMMYFUNCTION("""COMPUTED_VALUE"""),"Cumplir con normativa y reglamentos internos del programa en base a los objetivos.")</f>
        <v>Cumplir con normativa y reglamentos internos del programa en base a los objetivos.</v>
      </c>
      <c r="J135" s="11">
        <f ca="1">IFERROR(__xludf.DUMMYFUNCTION("""COMPUTED_VALUE"""),10583000)</f>
        <v>10583000</v>
      </c>
      <c r="K135" s="27">
        <f ca="1">IFERROR(__xludf.DUMMYFUNCTION("""COMPUTED_VALUE"""),1)</f>
        <v>1</v>
      </c>
      <c r="L135" s="28" t="str">
        <f ca="1">IFERROR(__xludf.DUMMYFUNCTION("""COMPUTED_VALUE"""),"12490/2024")</f>
        <v>12490/2024</v>
      </c>
      <c r="M135" s="10" t="str">
        <f ca="1">IFERROR(__xludf.DUMMYFUNCTION("""COMPUTED_VALUE"""),"PTRAC")</f>
        <v>PTRAC</v>
      </c>
      <c r="N135" s="1"/>
      <c r="O135" s="1"/>
      <c r="P135" s="1"/>
      <c r="Q135" s="1"/>
      <c r="R135" s="1"/>
      <c r="S135" s="1"/>
      <c r="T135" s="1"/>
      <c r="U135" s="1"/>
      <c r="V135" s="1"/>
      <c r="W135" s="1"/>
      <c r="X135" s="1"/>
      <c r="Y135" s="1"/>
      <c r="Z135" s="1"/>
    </row>
    <row r="136" spans="1:26" ht="12.75" customHeight="1">
      <c r="A136" s="1"/>
      <c r="B136" s="10" t="str">
        <f ca="1">IFERROR(__xludf.DUMMYFUNCTION("""COMPUTED_VALUE"""),"Esterilizar es amor por un futuro mejor E25230/2024")</f>
        <v>Esterilizar es amor por un futuro mejor E25230/2024</v>
      </c>
      <c r="C136" s="26" t="s">
        <v>54</v>
      </c>
      <c r="D136" s="10" t="str">
        <f ca="1">IFERROR(__xludf.DUMMYFUNCTION("""COMPUTED_VALUE"""),"Resolución de Transferencia")</f>
        <v>Resolución de Transferencia</v>
      </c>
      <c r="E136" s="26" t="str">
        <f ca="1">IFERROR(__xludf.DUMMYFUNCTION("""COMPUTED_VALUE"""),"AGRUPACION ANIMALISTA AL RESCATE VALLE DEL ACONCAGUA")</f>
        <v>AGRUPACION ANIMALISTA AL RESCATE VALLE DEL ACONCAGUA</v>
      </c>
      <c r="F136" s="11">
        <f ca="1">IFERROR(__xludf.DUMMYFUNCTION("""COMPUTED_VALUE"""),11998031)</f>
        <v>11998031</v>
      </c>
      <c r="G136" s="10" t="str">
        <f ca="1">IFERROR(__xludf.DUMMYFUNCTION("""COMPUTED_VALUE"""),"Resolución")</f>
        <v>Resolución</v>
      </c>
      <c r="H136" s="10" t="str">
        <f ca="1">IFERROR(__xludf.DUMMYFUNCTION("""COMPUTED_VALUE"""),"PTRAC Fondos Concursables ONGs")</f>
        <v>PTRAC Fondos Concursables ONGs</v>
      </c>
      <c r="I136" s="10" t="str">
        <f ca="1">IFERROR(__xludf.DUMMYFUNCTION("""COMPUTED_VALUE"""),"Cumplir con normativa y reglamentos internos del programa en base a los objetivos.")</f>
        <v>Cumplir con normativa y reglamentos internos del programa en base a los objetivos.</v>
      </c>
      <c r="J136" s="11">
        <f ca="1">IFERROR(__xludf.DUMMYFUNCTION("""COMPUTED_VALUE"""),11998031)</f>
        <v>11998031</v>
      </c>
      <c r="K136" s="27">
        <f ca="1">IFERROR(__xludf.DUMMYFUNCTION("""COMPUTED_VALUE"""),1)</f>
        <v>1</v>
      </c>
      <c r="L136" s="28" t="str">
        <f ca="1">IFERROR(__xludf.DUMMYFUNCTION("""COMPUTED_VALUE"""),"12453/2024")</f>
        <v>12453/2024</v>
      </c>
      <c r="M136" s="10" t="str">
        <f ca="1">IFERROR(__xludf.DUMMYFUNCTION("""COMPUTED_VALUE"""),"PTRAC")</f>
        <v>PTRAC</v>
      </c>
      <c r="N136" s="1"/>
      <c r="O136" s="1"/>
      <c r="P136" s="1"/>
      <c r="Q136" s="1"/>
      <c r="R136" s="1"/>
      <c r="S136" s="1"/>
      <c r="T136" s="1"/>
      <c r="U136" s="1"/>
      <c r="V136" s="1"/>
      <c r="W136" s="1"/>
      <c r="X136" s="1"/>
      <c r="Y136" s="1"/>
      <c r="Z136" s="1"/>
    </row>
    <row r="137" spans="1:26" ht="12.75" customHeight="1">
      <c r="A137" s="1"/>
      <c r="B137" s="10" t="str">
        <f ca="1">IFERROR(__xludf.DUMMYFUNCTION("""COMPUTED_VALUE"""),"Plan de esterilización de caninos y felinos de sectores urbanos y rurales de la comuna de Rancagua E25231/2024")</f>
        <v>Plan de esterilización de caninos y felinos de sectores urbanos y rurales de la comuna de Rancagua E25231/2024</v>
      </c>
      <c r="C137" s="26" t="s">
        <v>55</v>
      </c>
      <c r="D137" s="10" t="str">
        <f ca="1">IFERROR(__xludf.DUMMYFUNCTION("""COMPUTED_VALUE"""),"Resolución de Transferencia")</f>
        <v>Resolución de Transferencia</v>
      </c>
      <c r="E137" s="26" t="str">
        <f ca="1">IFERROR(__xludf.DUMMYFUNCTION("""COMPUTED_VALUE"""),"AGRUPACION SOCIAL, CULTURAL Y EDUCATIVA ALMA ANIMAL")</f>
        <v>AGRUPACION SOCIAL, CULTURAL Y EDUCATIVA ALMA ANIMAL</v>
      </c>
      <c r="F137" s="11">
        <f ca="1">IFERROR(__xludf.DUMMYFUNCTION("""COMPUTED_VALUE"""),12000000)</f>
        <v>12000000</v>
      </c>
      <c r="G137" s="10" t="str">
        <f ca="1">IFERROR(__xludf.DUMMYFUNCTION("""COMPUTED_VALUE"""),"Resolución")</f>
        <v>Resolución</v>
      </c>
      <c r="H137" s="10" t="str">
        <f ca="1">IFERROR(__xludf.DUMMYFUNCTION("""COMPUTED_VALUE"""),"PTRAC Fondos Concursables ONGs")</f>
        <v>PTRAC Fondos Concursables ONGs</v>
      </c>
      <c r="I137" s="10" t="str">
        <f ca="1">IFERROR(__xludf.DUMMYFUNCTION("""COMPUTED_VALUE"""),"Cumplir con normativa y reglamentos internos del programa en base a los objetivos.")</f>
        <v>Cumplir con normativa y reglamentos internos del programa en base a los objetivos.</v>
      </c>
      <c r="J137" s="11">
        <f ca="1">IFERROR(__xludf.DUMMYFUNCTION("""COMPUTED_VALUE"""),12000000)</f>
        <v>12000000</v>
      </c>
      <c r="K137" s="27">
        <f ca="1">IFERROR(__xludf.DUMMYFUNCTION("""COMPUTED_VALUE"""),1)</f>
        <v>1</v>
      </c>
      <c r="L137" s="28" t="str">
        <f ca="1">IFERROR(__xludf.DUMMYFUNCTION("""COMPUTED_VALUE"""),"12582/2024")</f>
        <v>12582/2024</v>
      </c>
      <c r="M137" s="10" t="str">
        <f ca="1">IFERROR(__xludf.DUMMYFUNCTION("""COMPUTED_VALUE"""),"PTRAC")</f>
        <v>PTRAC</v>
      </c>
      <c r="N137" s="1"/>
      <c r="O137" s="1"/>
      <c r="P137" s="1"/>
      <c r="Q137" s="1"/>
      <c r="R137" s="1"/>
      <c r="S137" s="1"/>
      <c r="T137" s="1"/>
      <c r="U137" s="1"/>
      <c r="V137" s="1"/>
      <c r="W137" s="1"/>
      <c r="X137" s="1"/>
      <c r="Y137" s="1"/>
      <c r="Z137" s="1"/>
    </row>
    <row r="138" spans="1:26" ht="12.75" customHeight="1">
      <c r="A138" s="1"/>
      <c r="B138" s="10" t="str">
        <f ca="1">IFERROR(__xludf.DUMMYFUNCTION("""COMPUTED_VALUE"""),"Protección de Biodiversidad de Humedales de Chiloé a través de la Tenencia Responsable de Mascotas E25232/2024")</f>
        <v>Protección de Biodiversidad de Humedales de Chiloé a través de la Tenencia Responsable de Mascotas E25232/2024</v>
      </c>
      <c r="C138" s="26" t="s">
        <v>56</v>
      </c>
      <c r="D138" s="10" t="str">
        <f ca="1">IFERROR(__xludf.DUMMYFUNCTION("""COMPUTED_VALUE"""),"Resolución de Transferencia")</f>
        <v>Resolución de Transferencia</v>
      </c>
      <c r="E138" s="26" t="str">
        <f ca="1">IFERROR(__xludf.DUMMYFUNCTION("""COMPUTED_VALUE"""),"FUNDACIÓN ASILVESTRADOS")</f>
        <v>FUNDACIÓN ASILVESTRADOS</v>
      </c>
      <c r="F138" s="11">
        <f ca="1">IFERROR(__xludf.DUMMYFUNCTION("""COMPUTED_VALUE"""),11999730)</f>
        <v>11999730</v>
      </c>
      <c r="G138" s="10" t="str">
        <f ca="1">IFERROR(__xludf.DUMMYFUNCTION("""COMPUTED_VALUE"""),"Resolución")</f>
        <v>Resolución</v>
      </c>
      <c r="H138" s="10" t="str">
        <f ca="1">IFERROR(__xludf.DUMMYFUNCTION("""COMPUTED_VALUE"""),"PTRAC Fondos Concursables ONGs")</f>
        <v>PTRAC Fondos Concursables ONGs</v>
      </c>
      <c r="I138" s="10" t="str">
        <f ca="1">IFERROR(__xludf.DUMMYFUNCTION("""COMPUTED_VALUE"""),"Cumplir con normativa y reglamentos internos del programa en base a los objetivos.")</f>
        <v>Cumplir con normativa y reglamentos internos del programa en base a los objetivos.</v>
      </c>
      <c r="J138" s="11">
        <f ca="1">IFERROR(__xludf.DUMMYFUNCTION("""COMPUTED_VALUE"""),11999730)</f>
        <v>11999730</v>
      </c>
      <c r="K138" s="27">
        <f ca="1">IFERROR(__xludf.DUMMYFUNCTION("""COMPUTED_VALUE"""),1)</f>
        <v>1</v>
      </c>
      <c r="L138" s="28" t="str">
        <f ca="1">IFERROR(__xludf.DUMMYFUNCTION("""COMPUTED_VALUE"""),"12450/2024")</f>
        <v>12450/2024</v>
      </c>
      <c r="M138" s="10" t="str">
        <f ca="1">IFERROR(__xludf.DUMMYFUNCTION("""COMPUTED_VALUE"""),"PTRAC")</f>
        <v>PTRAC</v>
      </c>
      <c r="N138" s="1"/>
      <c r="O138" s="1"/>
      <c r="P138" s="1"/>
      <c r="Q138" s="1"/>
      <c r="R138" s="1"/>
      <c r="S138" s="1"/>
      <c r="T138" s="1"/>
      <c r="U138" s="1"/>
      <c r="V138" s="1"/>
      <c r="W138" s="1"/>
      <c r="X138" s="1"/>
      <c r="Y138" s="1"/>
      <c r="Z138" s="1"/>
    </row>
    <row r="139" spans="1:26" ht="12.75" customHeight="1">
      <c r="A139" s="1"/>
      <c r="B139" s="10" t="str">
        <f ca="1">IFERROR(__xludf.DUMMYFUNCTION("""COMPUTED_VALUE"""),"Esterilizar es dar calidad de vida E25233/2024")</f>
        <v>Esterilizar es dar calidad de vida E25233/2024</v>
      </c>
      <c r="C139" s="26" t="s">
        <v>57</v>
      </c>
      <c r="D139" s="10" t="str">
        <f ca="1">IFERROR(__xludf.DUMMYFUNCTION("""COMPUTED_VALUE"""),"Resolución de Transferencia")</f>
        <v>Resolución de Transferencia</v>
      </c>
      <c r="E139" s="26" t="str">
        <f ca="1">IFERROR(__xludf.DUMMYFUNCTION("""COMPUTED_VALUE"""),"AGRUPACION ADOPTA UN AMIGO OSORNO")</f>
        <v>AGRUPACION ADOPTA UN AMIGO OSORNO</v>
      </c>
      <c r="F139" s="11">
        <f ca="1">IFERROR(__xludf.DUMMYFUNCTION("""COMPUTED_VALUE"""),12000000)</f>
        <v>12000000</v>
      </c>
      <c r="G139" s="10" t="str">
        <f ca="1">IFERROR(__xludf.DUMMYFUNCTION("""COMPUTED_VALUE"""),"Resolución")</f>
        <v>Resolución</v>
      </c>
      <c r="H139" s="10" t="str">
        <f ca="1">IFERROR(__xludf.DUMMYFUNCTION("""COMPUTED_VALUE"""),"PTRAC Fondos Concursables ONGs")</f>
        <v>PTRAC Fondos Concursables ONGs</v>
      </c>
      <c r="I139" s="10" t="str">
        <f ca="1">IFERROR(__xludf.DUMMYFUNCTION("""COMPUTED_VALUE"""),"Cumplir con normativa y reglamentos internos del programa en base a los objetivos.")</f>
        <v>Cumplir con normativa y reglamentos internos del programa en base a los objetivos.</v>
      </c>
      <c r="J139" s="11">
        <f ca="1">IFERROR(__xludf.DUMMYFUNCTION("""COMPUTED_VALUE"""),12000000)</f>
        <v>12000000</v>
      </c>
      <c r="K139" s="27">
        <f ca="1">IFERROR(__xludf.DUMMYFUNCTION("""COMPUTED_VALUE"""),1)</f>
        <v>1</v>
      </c>
      <c r="L139" s="28" t="str">
        <f ca="1">IFERROR(__xludf.DUMMYFUNCTION("""COMPUTED_VALUE"""),"12551/2024")</f>
        <v>12551/2024</v>
      </c>
      <c r="M139" s="10" t="str">
        <f ca="1">IFERROR(__xludf.DUMMYFUNCTION("""COMPUTED_VALUE"""),"PTRAC")</f>
        <v>PTRAC</v>
      </c>
      <c r="N139" s="1"/>
      <c r="O139" s="1"/>
      <c r="P139" s="1"/>
      <c r="Q139" s="1"/>
      <c r="R139" s="1"/>
      <c r="S139" s="1"/>
      <c r="T139" s="1"/>
      <c r="U139" s="1"/>
      <c r="V139" s="1"/>
      <c r="W139" s="1"/>
      <c r="X139" s="1"/>
      <c r="Y139" s="1"/>
      <c r="Z139" s="1"/>
    </row>
    <row r="140" spans="1:26" ht="12.75" customHeight="1">
      <c r="A140" s="1"/>
      <c r="B140" s="10" t="str">
        <f ca="1">IFERROR(__xludf.DUMMYFUNCTION("""COMPUTED_VALUE"""),"Para algunos una problemática, para nosotros una responsabilidad social en la comuna de Coquimbo E25238/2024")</f>
        <v>Para algunos una problemática, para nosotros una responsabilidad social en la comuna de Coquimbo E25238/2024</v>
      </c>
      <c r="C140" s="26" t="s">
        <v>58</v>
      </c>
      <c r="D140" s="10" t="str">
        <f ca="1">IFERROR(__xludf.DUMMYFUNCTION("""COMPUTED_VALUE"""),"Resolución de Transferencia")</f>
        <v>Resolución de Transferencia</v>
      </c>
      <c r="E140" s="26" t="str">
        <f ca="1">IFERROR(__xludf.DUMMYFUNCTION("""COMPUTED_VALUE"""),"FUNDACION AMA REGION DE COQUIMBO")</f>
        <v>FUNDACION AMA REGION DE COQUIMBO</v>
      </c>
      <c r="F140" s="11">
        <f ca="1">IFERROR(__xludf.DUMMYFUNCTION("""COMPUTED_VALUE"""),12000000)</f>
        <v>12000000</v>
      </c>
      <c r="G140" s="10" t="str">
        <f ca="1">IFERROR(__xludf.DUMMYFUNCTION("""COMPUTED_VALUE"""),"Resolución")</f>
        <v>Resolución</v>
      </c>
      <c r="H140" s="10" t="str">
        <f ca="1">IFERROR(__xludf.DUMMYFUNCTION("""COMPUTED_VALUE"""),"PTRAC Fondos Concursables ONGs")</f>
        <v>PTRAC Fondos Concursables ONGs</v>
      </c>
      <c r="I140" s="10" t="str">
        <f ca="1">IFERROR(__xludf.DUMMYFUNCTION("""COMPUTED_VALUE"""),"Cumplir con normativa y reglamentos internos del programa en base a los objetivos.")</f>
        <v>Cumplir con normativa y reglamentos internos del programa en base a los objetivos.</v>
      </c>
      <c r="J140" s="11">
        <f ca="1">IFERROR(__xludf.DUMMYFUNCTION("""COMPUTED_VALUE"""),12000000)</f>
        <v>12000000</v>
      </c>
      <c r="K140" s="27">
        <f ca="1">IFERROR(__xludf.DUMMYFUNCTION("""COMPUTED_VALUE"""),1)</f>
        <v>1</v>
      </c>
      <c r="L140" s="28" t="str">
        <f ca="1">IFERROR(__xludf.DUMMYFUNCTION("""COMPUTED_VALUE"""),"12488/2024")</f>
        <v>12488/2024</v>
      </c>
      <c r="M140" s="10" t="str">
        <f ca="1">IFERROR(__xludf.DUMMYFUNCTION("""COMPUTED_VALUE"""),"PTRAC")</f>
        <v>PTRAC</v>
      </c>
      <c r="N140" s="1"/>
      <c r="O140" s="1"/>
      <c r="P140" s="1"/>
      <c r="Q140" s="1"/>
      <c r="R140" s="1"/>
      <c r="S140" s="1"/>
      <c r="T140" s="1"/>
      <c r="U140" s="1"/>
      <c r="V140" s="1"/>
      <c r="W140" s="1"/>
      <c r="X140" s="1"/>
      <c r="Y140" s="1"/>
      <c r="Z140" s="1"/>
    </row>
    <row r="141" spans="1:26" ht="12.75" customHeight="1">
      <c r="A141" s="1"/>
      <c r="B141" s="10" t="str">
        <f ca="1">IFERROR(__xludf.DUMMYFUNCTION("""COMPUTED_VALUE"""),"Esterilizar es un acto de amor, comuna San Juan de la Costa E25239/2024")</f>
        <v>Esterilizar es un acto de amor, comuna San Juan de la Costa E25239/2024</v>
      </c>
      <c r="C141" s="26" t="s">
        <v>59</v>
      </c>
      <c r="D141" s="10" t="str">
        <f ca="1">IFERROR(__xludf.DUMMYFUNCTION("""COMPUTED_VALUE"""),"Resolución de Transferencia")</f>
        <v>Resolución de Transferencia</v>
      </c>
      <c r="E141" s="26" t="str">
        <f ca="1">IFERROR(__xludf.DUMMYFUNCTION("""COMPUTED_VALUE"""),"AGRUPACION DE VOLUNTARIADO PURO CORAZON")</f>
        <v>AGRUPACION DE VOLUNTARIADO PURO CORAZON</v>
      </c>
      <c r="F141" s="11">
        <f ca="1">IFERROR(__xludf.DUMMYFUNCTION("""COMPUTED_VALUE"""),12000000)</f>
        <v>12000000</v>
      </c>
      <c r="G141" s="10" t="str">
        <f ca="1">IFERROR(__xludf.DUMMYFUNCTION("""COMPUTED_VALUE"""),"Resolución")</f>
        <v>Resolución</v>
      </c>
      <c r="H141" s="10" t="str">
        <f ca="1">IFERROR(__xludf.DUMMYFUNCTION("""COMPUTED_VALUE"""),"PTRAC Fondos Concursables ONGs")</f>
        <v>PTRAC Fondos Concursables ONGs</v>
      </c>
      <c r="I141" s="10" t="str">
        <f ca="1">IFERROR(__xludf.DUMMYFUNCTION("""COMPUTED_VALUE"""),"Cumplir con normativa y reglamentos internos del programa en base a los objetivos.")</f>
        <v>Cumplir con normativa y reglamentos internos del programa en base a los objetivos.</v>
      </c>
      <c r="J141" s="11">
        <f ca="1">IFERROR(__xludf.DUMMYFUNCTION("""COMPUTED_VALUE"""),12000000)</f>
        <v>12000000</v>
      </c>
      <c r="K141" s="27">
        <f ca="1">IFERROR(__xludf.DUMMYFUNCTION("""COMPUTED_VALUE"""),1)</f>
        <v>1</v>
      </c>
      <c r="L141" s="28" t="str">
        <f ca="1">IFERROR(__xludf.DUMMYFUNCTION("""COMPUTED_VALUE"""),"12589/2024")</f>
        <v>12589/2024</v>
      </c>
      <c r="M141" s="10" t="str">
        <f ca="1">IFERROR(__xludf.DUMMYFUNCTION("""COMPUTED_VALUE"""),"PTRAC")</f>
        <v>PTRAC</v>
      </c>
      <c r="N141" s="1"/>
      <c r="O141" s="1"/>
      <c r="P141" s="1"/>
      <c r="Q141" s="1"/>
      <c r="R141" s="1"/>
      <c r="S141" s="1"/>
      <c r="T141" s="1"/>
      <c r="U141" s="1"/>
      <c r="V141" s="1"/>
      <c r="W141" s="1"/>
      <c r="X141" s="1"/>
      <c r="Y141" s="1"/>
      <c r="Z141" s="1"/>
    </row>
    <row r="142" spans="1:26" ht="12.75" customHeight="1">
      <c r="A142" s="1"/>
      <c r="B142" s="10" t="str">
        <f ca="1">IFERROR(__xludf.DUMMYFUNCTION("""COMPUTED_VALUE"""),"Te cuido: Sala de recuperación en Refugio Huellitas de Boco E25240/2024")</f>
        <v>Te cuido: Sala de recuperación en Refugio Huellitas de Boco E25240/2024</v>
      </c>
      <c r="C142" s="26" t="s">
        <v>60</v>
      </c>
      <c r="D142" s="10" t="str">
        <f ca="1">IFERROR(__xludf.DUMMYFUNCTION("""COMPUTED_VALUE"""),"Resolución de Transferencia")</f>
        <v>Resolución de Transferencia</v>
      </c>
      <c r="E142" s="26" t="str">
        <f ca="1">IFERROR(__xludf.DUMMYFUNCTION("""COMPUTED_VALUE"""),"ORGANIZACION NO GUBERNAMENTAL DE DESARROLLO HUELLITAS DE BOCO")</f>
        <v>ORGANIZACION NO GUBERNAMENTAL DE DESARROLLO HUELLITAS DE BOCO</v>
      </c>
      <c r="F142" s="11">
        <f ca="1">IFERROR(__xludf.DUMMYFUNCTION("""COMPUTED_VALUE"""),5000000)</f>
        <v>5000000</v>
      </c>
      <c r="G142" s="10" t="str">
        <f ca="1">IFERROR(__xludf.DUMMYFUNCTION("""COMPUTED_VALUE"""),"Resolución")</f>
        <v>Resolución</v>
      </c>
      <c r="H142" s="10" t="str">
        <f ca="1">IFERROR(__xludf.DUMMYFUNCTION("""COMPUTED_VALUE"""),"PTRAC Fondos Concursables ONGs")</f>
        <v>PTRAC Fondos Concursables ONGs</v>
      </c>
      <c r="I142" s="10" t="str">
        <f ca="1">IFERROR(__xludf.DUMMYFUNCTION("""COMPUTED_VALUE"""),"Cumplir con normativa y reglamentos internos del programa en base a los objetivos.")</f>
        <v>Cumplir con normativa y reglamentos internos del programa en base a los objetivos.</v>
      </c>
      <c r="J142" s="11">
        <f ca="1">IFERROR(__xludf.DUMMYFUNCTION("""COMPUTED_VALUE"""),5000000)</f>
        <v>5000000</v>
      </c>
      <c r="K142" s="27">
        <f ca="1">IFERROR(__xludf.DUMMYFUNCTION("""COMPUTED_VALUE"""),1)</f>
        <v>1</v>
      </c>
      <c r="L142" s="28" t="str">
        <f ca="1">IFERROR(__xludf.DUMMYFUNCTION("""COMPUTED_VALUE"""),"12579/2024")</f>
        <v>12579/2024</v>
      </c>
      <c r="M142" s="10" t="str">
        <f ca="1">IFERROR(__xludf.DUMMYFUNCTION("""COMPUTED_VALUE"""),"PTRAC")</f>
        <v>PTRAC</v>
      </c>
      <c r="N142" s="1"/>
      <c r="O142" s="1"/>
      <c r="P142" s="1"/>
      <c r="Q142" s="1"/>
      <c r="R142" s="1"/>
      <c r="S142" s="1"/>
      <c r="T142" s="1"/>
      <c r="U142" s="1"/>
      <c r="V142" s="1"/>
      <c r="W142" s="1"/>
      <c r="X142" s="1"/>
      <c r="Y142" s="1"/>
      <c r="Z142" s="1"/>
    </row>
    <row r="143" spans="1:26" ht="12.75" customHeight="1">
      <c r="A143" s="1"/>
      <c r="B143" s="10" t="str">
        <f ca="1">IFERROR(__xludf.DUMMYFUNCTION("""COMPUTED_VALUE"""),"Más esterilizaciones menos abandono E25241/2024")</f>
        <v>Más esterilizaciones menos abandono E25241/2024</v>
      </c>
      <c r="C143" s="26" t="s">
        <v>61</v>
      </c>
      <c r="D143" s="10" t="str">
        <f ca="1">IFERROR(__xludf.DUMMYFUNCTION("""COMPUTED_VALUE"""),"Resolución de Transferencia")</f>
        <v>Resolución de Transferencia</v>
      </c>
      <c r="E143" s="26" t="str">
        <f ca="1">IFERROR(__xludf.DUMMYFUNCTION("""COMPUTED_VALUE"""),"AGRUPACION RESCATE ANIMAL CALDERA")</f>
        <v>AGRUPACION RESCATE ANIMAL CALDERA</v>
      </c>
      <c r="F143" s="11">
        <f ca="1">IFERROR(__xludf.DUMMYFUNCTION("""COMPUTED_VALUE"""),12000000)</f>
        <v>12000000</v>
      </c>
      <c r="G143" s="10" t="str">
        <f ca="1">IFERROR(__xludf.DUMMYFUNCTION("""COMPUTED_VALUE"""),"Resolución")</f>
        <v>Resolución</v>
      </c>
      <c r="H143" s="10" t="str">
        <f ca="1">IFERROR(__xludf.DUMMYFUNCTION("""COMPUTED_VALUE"""),"PTRAC Fondos Concursables ONGs")</f>
        <v>PTRAC Fondos Concursables ONGs</v>
      </c>
      <c r="I143" s="10" t="str">
        <f ca="1">IFERROR(__xludf.DUMMYFUNCTION("""COMPUTED_VALUE"""),"Cumplir con normativa y reglamentos internos del programa en base a los objetivos.")</f>
        <v>Cumplir con normativa y reglamentos internos del programa en base a los objetivos.</v>
      </c>
      <c r="J143" s="11">
        <f ca="1">IFERROR(__xludf.DUMMYFUNCTION("""COMPUTED_VALUE"""),12000000)</f>
        <v>12000000</v>
      </c>
      <c r="K143" s="27">
        <f ca="1">IFERROR(__xludf.DUMMYFUNCTION("""COMPUTED_VALUE"""),1)</f>
        <v>1</v>
      </c>
      <c r="L143" s="28" t="str">
        <f ca="1">IFERROR(__xludf.DUMMYFUNCTION("""COMPUTED_VALUE"""),"12476/2024")</f>
        <v>12476/2024</v>
      </c>
      <c r="M143" s="10" t="str">
        <f ca="1">IFERROR(__xludf.DUMMYFUNCTION("""COMPUTED_VALUE"""),"PTRAC")</f>
        <v>PTRAC</v>
      </c>
      <c r="N143" s="1"/>
      <c r="O143" s="1"/>
      <c r="P143" s="1"/>
      <c r="Q143" s="1"/>
      <c r="R143" s="1"/>
      <c r="S143" s="1"/>
      <c r="T143" s="1"/>
      <c r="U143" s="1"/>
      <c r="V143" s="1"/>
      <c r="W143" s="1"/>
      <c r="X143" s="1"/>
      <c r="Y143" s="1"/>
      <c r="Z143" s="1"/>
    </row>
    <row r="144" spans="1:26" ht="12.75" customHeight="1">
      <c r="A144" s="1"/>
      <c r="B144" s="10" t="str">
        <f ca="1">IFERROR(__xludf.DUMMYFUNCTION("""COMPUTED_VALUE"""),"Esterilizaciones Masivas y TNR en Zonas Rurales 3.0 E25242/2024")</f>
        <v>Esterilizaciones Masivas y TNR en Zonas Rurales 3.0 E25242/2024</v>
      </c>
      <c r="C144" s="26" t="s">
        <v>62</v>
      </c>
      <c r="D144" s="10" t="str">
        <f ca="1">IFERROR(__xludf.DUMMYFUNCTION("""COMPUTED_VALUE"""),"Resolución de Transferencia")</f>
        <v>Resolución de Transferencia</v>
      </c>
      <c r="E144" s="26" t="str">
        <f ca="1">IFERROR(__xludf.DUMMYFUNCTION("""COMPUTED_VALUE"""),"FUNDACION EFECTO QUILTRO")</f>
        <v>FUNDACION EFECTO QUILTRO</v>
      </c>
      <c r="F144" s="11">
        <f ca="1">IFERROR(__xludf.DUMMYFUNCTION("""COMPUTED_VALUE"""),12000000)</f>
        <v>12000000</v>
      </c>
      <c r="G144" s="10" t="str">
        <f ca="1">IFERROR(__xludf.DUMMYFUNCTION("""COMPUTED_VALUE"""),"Resolución")</f>
        <v>Resolución</v>
      </c>
      <c r="H144" s="10" t="str">
        <f ca="1">IFERROR(__xludf.DUMMYFUNCTION("""COMPUTED_VALUE"""),"PTRAC Fondos Concursables ONGs")</f>
        <v>PTRAC Fondos Concursables ONGs</v>
      </c>
      <c r="I144" s="10" t="str">
        <f ca="1">IFERROR(__xludf.DUMMYFUNCTION("""COMPUTED_VALUE"""),"Cumplir con normativa y reglamentos internos del programa en base a los objetivos.")</f>
        <v>Cumplir con normativa y reglamentos internos del programa en base a los objetivos.</v>
      </c>
      <c r="J144" s="11">
        <f ca="1">IFERROR(__xludf.DUMMYFUNCTION("""COMPUTED_VALUE"""),12000000)</f>
        <v>12000000</v>
      </c>
      <c r="K144" s="27">
        <f ca="1">IFERROR(__xludf.DUMMYFUNCTION("""COMPUTED_VALUE"""),1)</f>
        <v>1</v>
      </c>
      <c r="L144" s="28" t="str">
        <f ca="1">IFERROR(__xludf.DUMMYFUNCTION("""COMPUTED_VALUE"""),"12638/2024")</f>
        <v>12638/2024</v>
      </c>
      <c r="M144" s="10" t="str">
        <f ca="1">IFERROR(__xludf.DUMMYFUNCTION("""COMPUTED_VALUE"""),"PTRAC")</f>
        <v>PTRAC</v>
      </c>
      <c r="N144" s="1"/>
      <c r="O144" s="1"/>
      <c r="P144" s="1"/>
      <c r="Q144" s="1"/>
      <c r="R144" s="1"/>
      <c r="S144" s="1"/>
      <c r="T144" s="1"/>
      <c r="U144" s="1"/>
      <c r="V144" s="1"/>
      <c r="W144" s="1"/>
      <c r="X144" s="1"/>
      <c r="Y144" s="1"/>
      <c r="Z144" s="1"/>
    </row>
    <row r="145" spans="1:26" ht="12.75" customHeight="1">
      <c r="A145" s="1"/>
      <c r="B145" s="10" t="str">
        <f ca="1">IFERROR(__xludf.DUMMYFUNCTION("""COMPUTED_VALUE"""),"Rescatando Paticortos 4.0 E25243/2024")</f>
        <v>Rescatando Paticortos 4.0 E25243/2024</v>
      </c>
      <c r="C145" s="26" t="s">
        <v>63</v>
      </c>
      <c r="D145" s="10" t="str">
        <f ca="1">IFERROR(__xludf.DUMMYFUNCTION("""COMPUTED_VALUE"""),"Resolución de Transferencia")</f>
        <v>Resolución de Transferencia</v>
      </c>
      <c r="E145" s="26" t="str">
        <f ca="1">IFERROR(__xludf.DUMMYFUNCTION("""COMPUTED_VALUE"""),"FUNDACION PROTECCION ANIMAL PATICORTOS")</f>
        <v>FUNDACION PROTECCION ANIMAL PATICORTOS</v>
      </c>
      <c r="F145" s="11">
        <f ca="1">IFERROR(__xludf.DUMMYFUNCTION("""COMPUTED_VALUE"""),6000000)</f>
        <v>6000000</v>
      </c>
      <c r="G145" s="10" t="str">
        <f ca="1">IFERROR(__xludf.DUMMYFUNCTION("""COMPUTED_VALUE"""),"Resolución")</f>
        <v>Resolución</v>
      </c>
      <c r="H145" s="10" t="str">
        <f ca="1">IFERROR(__xludf.DUMMYFUNCTION("""COMPUTED_VALUE"""),"PTRAC Fondos Concursables ONGs")</f>
        <v>PTRAC Fondos Concursables ONGs</v>
      </c>
      <c r="I145" s="10" t="str">
        <f ca="1">IFERROR(__xludf.DUMMYFUNCTION("""COMPUTED_VALUE"""),"Cumplir con normativa y reglamentos internos del programa en base a los objetivos.")</f>
        <v>Cumplir con normativa y reglamentos internos del programa en base a los objetivos.</v>
      </c>
      <c r="J145" s="11">
        <f ca="1">IFERROR(__xludf.DUMMYFUNCTION("""COMPUTED_VALUE"""),6000000)</f>
        <v>6000000</v>
      </c>
      <c r="K145" s="27">
        <f ca="1">IFERROR(__xludf.DUMMYFUNCTION("""COMPUTED_VALUE"""),1)</f>
        <v>1</v>
      </c>
      <c r="L145" s="28" t="str">
        <f ca="1">IFERROR(__xludf.DUMMYFUNCTION("""COMPUTED_VALUE"""),"12366/2024")</f>
        <v>12366/2024</v>
      </c>
      <c r="M145" s="10" t="str">
        <f ca="1">IFERROR(__xludf.DUMMYFUNCTION("""COMPUTED_VALUE"""),"PTRAC")</f>
        <v>PTRAC</v>
      </c>
      <c r="N145" s="1"/>
      <c r="O145" s="1"/>
      <c r="P145" s="1"/>
      <c r="Q145" s="1"/>
      <c r="R145" s="1"/>
      <c r="S145" s="1"/>
      <c r="T145" s="1"/>
      <c r="U145" s="1"/>
      <c r="V145" s="1"/>
      <c r="W145" s="1"/>
      <c r="X145" s="1"/>
      <c r="Y145" s="1"/>
      <c r="Z145" s="1"/>
    </row>
    <row r="146" spans="1:26" ht="12.75" customHeight="1">
      <c r="A146" s="1"/>
      <c r="B146" s="10" t="str">
        <f ca="1">IFERROR(__xludf.DUMMYFUNCTION("""COMPUTED_VALUE"""),"Esterilizaciones de mascotas en sectores vulnerables de la comuna de Osorno E25244/2024")</f>
        <v>Esterilizaciones de mascotas en sectores vulnerables de la comuna de Osorno E25244/2024</v>
      </c>
      <c r="C146" s="26" t="s">
        <v>64</v>
      </c>
      <c r="D146" s="10" t="str">
        <f ca="1">IFERROR(__xludf.DUMMYFUNCTION("""COMPUTED_VALUE"""),"Resolución de Transferencia")</f>
        <v>Resolución de Transferencia</v>
      </c>
      <c r="E146" s="26" t="str">
        <f ca="1">IFERROR(__xludf.DUMMYFUNCTION("""COMPUTED_VALUE"""),"SOC PROTECTORA DE ANIMALES OSORNO")</f>
        <v>SOC PROTECTORA DE ANIMALES OSORNO</v>
      </c>
      <c r="F146" s="11">
        <f ca="1">IFERROR(__xludf.DUMMYFUNCTION("""COMPUTED_VALUE"""),12000000)</f>
        <v>12000000</v>
      </c>
      <c r="G146" s="10" t="str">
        <f ca="1">IFERROR(__xludf.DUMMYFUNCTION("""COMPUTED_VALUE"""),"Resolución")</f>
        <v>Resolución</v>
      </c>
      <c r="H146" s="10" t="str">
        <f ca="1">IFERROR(__xludf.DUMMYFUNCTION("""COMPUTED_VALUE"""),"PTRAC Fondos Concursables ONGs")</f>
        <v>PTRAC Fondos Concursables ONGs</v>
      </c>
      <c r="I146" s="10" t="str">
        <f ca="1">IFERROR(__xludf.DUMMYFUNCTION("""COMPUTED_VALUE"""),"Cumplir con normativa y reglamentos internos del programa en base a los objetivos.")</f>
        <v>Cumplir con normativa y reglamentos internos del programa en base a los objetivos.</v>
      </c>
      <c r="J146" s="11">
        <f ca="1">IFERROR(__xludf.DUMMYFUNCTION("""COMPUTED_VALUE"""),12000000)</f>
        <v>12000000</v>
      </c>
      <c r="K146" s="27">
        <f ca="1">IFERROR(__xludf.DUMMYFUNCTION("""COMPUTED_VALUE"""),1)</f>
        <v>1</v>
      </c>
      <c r="L146" s="28" t="str">
        <f ca="1">IFERROR(__xludf.DUMMYFUNCTION("""COMPUTED_VALUE"""),"12520/2024")</f>
        <v>12520/2024</v>
      </c>
      <c r="M146" s="10" t="str">
        <f ca="1">IFERROR(__xludf.DUMMYFUNCTION("""COMPUTED_VALUE"""),"PTRAC")</f>
        <v>PTRAC</v>
      </c>
      <c r="N146" s="1"/>
      <c r="O146" s="1"/>
      <c r="P146" s="1"/>
      <c r="Q146" s="1"/>
      <c r="R146" s="1"/>
      <c r="S146" s="1"/>
      <c r="T146" s="1"/>
      <c r="U146" s="1"/>
      <c r="V146" s="1"/>
      <c r="W146" s="1"/>
      <c r="X146" s="1"/>
      <c r="Y146" s="1"/>
      <c r="Z146" s="1"/>
    </row>
    <row r="147" spans="1:26" ht="12.75" customHeight="1">
      <c r="A147" s="1"/>
      <c r="B147" s="10" t="str">
        <f ca="1">IFERROR(__xludf.DUMMYFUNCTION("""COMPUTED_VALUE"""),"La Colonia Esteriliza 2024 E25245/2024")</f>
        <v>La Colonia Esteriliza 2024 E25245/2024</v>
      </c>
      <c r="C147" s="26" t="s">
        <v>65</v>
      </c>
      <c r="D147" s="10" t="str">
        <f ca="1">IFERROR(__xludf.DUMMYFUNCTION("""COMPUTED_VALUE"""),"Resolución de Transferencia")</f>
        <v>Resolución de Transferencia</v>
      </c>
      <c r="E147" s="26" t="str">
        <f ca="1">IFERROR(__xludf.DUMMYFUNCTION("""COMPUTED_VALUE"""),"ASOCIACION LA ESPERANZA DE LAS NARICITAS HUMEDAS")</f>
        <v>ASOCIACION LA ESPERANZA DE LAS NARICITAS HUMEDAS</v>
      </c>
      <c r="F147" s="11">
        <f ca="1">IFERROR(__xludf.DUMMYFUNCTION("""COMPUTED_VALUE"""),12000000)</f>
        <v>12000000</v>
      </c>
      <c r="G147" s="10" t="str">
        <f ca="1">IFERROR(__xludf.DUMMYFUNCTION("""COMPUTED_VALUE"""),"Resolución")</f>
        <v>Resolución</v>
      </c>
      <c r="H147" s="10" t="str">
        <f ca="1">IFERROR(__xludf.DUMMYFUNCTION("""COMPUTED_VALUE"""),"PTRAC Fondos Concursables ONGs")</f>
        <v>PTRAC Fondos Concursables ONGs</v>
      </c>
      <c r="I147" s="10" t="str">
        <f ca="1">IFERROR(__xludf.DUMMYFUNCTION("""COMPUTED_VALUE"""),"Cumplir con normativa y reglamentos internos del programa en base a los objetivos.")</f>
        <v>Cumplir con normativa y reglamentos internos del programa en base a los objetivos.</v>
      </c>
      <c r="J147" s="11">
        <f ca="1">IFERROR(__xludf.DUMMYFUNCTION("""COMPUTED_VALUE"""),12000000)</f>
        <v>12000000</v>
      </c>
      <c r="K147" s="27">
        <f ca="1">IFERROR(__xludf.DUMMYFUNCTION("""COMPUTED_VALUE"""),1)</f>
        <v>1</v>
      </c>
      <c r="L147" s="28" t="str">
        <f ca="1">IFERROR(__xludf.DUMMYFUNCTION("""COMPUTED_VALUE"""),"12591/2024")</f>
        <v>12591/2024</v>
      </c>
      <c r="M147" s="10" t="str">
        <f ca="1">IFERROR(__xludf.DUMMYFUNCTION("""COMPUTED_VALUE"""),"PTRAC")</f>
        <v>PTRAC</v>
      </c>
      <c r="N147" s="1"/>
      <c r="O147" s="1"/>
      <c r="P147" s="1"/>
      <c r="Q147" s="1"/>
      <c r="R147" s="1"/>
      <c r="S147" s="1"/>
      <c r="T147" s="1"/>
      <c r="U147" s="1"/>
      <c r="V147" s="1"/>
      <c r="W147" s="1"/>
      <c r="X147" s="1"/>
      <c r="Y147" s="1"/>
      <c r="Z147" s="1"/>
    </row>
    <row r="148" spans="1:26" ht="12.75" customHeight="1">
      <c r="A148" s="1"/>
      <c r="B148" s="10" t="str">
        <f ca="1">IFERROR(__xludf.DUMMYFUNCTION("""COMPUTED_VALUE"""),"Nutrición natural para perros adultos E25246/2024")</f>
        <v>Nutrición natural para perros adultos E25246/2024</v>
      </c>
      <c r="C148" s="26" t="s">
        <v>66</v>
      </c>
      <c r="D148" s="10" t="str">
        <f ca="1">IFERROR(__xludf.DUMMYFUNCTION("""COMPUTED_VALUE"""),"Resolución de Transferencia")</f>
        <v>Resolución de Transferencia</v>
      </c>
      <c r="E148" s="26" t="str">
        <f ca="1">IFERROR(__xludf.DUMMYFUNCTION("""COMPUTED_VALUE"""),"FUNDACION ANIMAL CHILE")</f>
        <v>FUNDACION ANIMAL CHILE</v>
      </c>
      <c r="F148" s="11">
        <f ca="1">IFERROR(__xludf.DUMMYFUNCTION("""COMPUTED_VALUE"""),4996620)</f>
        <v>4996620</v>
      </c>
      <c r="G148" s="10" t="str">
        <f ca="1">IFERROR(__xludf.DUMMYFUNCTION("""COMPUTED_VALUE"""),"Resolución")</f>
        <v>Resolución</v>
      </c>
      <c r="H148" s="10" t="str">
        <f ca="1">IFERROR(__xludf.DUMMYFUNCTION("""COMPUTED_VALUE"""),"PTRAC Fondos Concursables ONGs")</f>
        <v>PTRAC Fondos Concursables ONGs</v>
      </c>
      <c r="I148" s="10" t="str">
        <f ca="1">IFERROR(__xludf.DUMMYFUNCTION("""COMPUTED_VALUE"""),"Cumplir con normativa y reglamentos internos del programa en base a los objetivos.")</f>
        <v>Cumplir con normativa y reglamentos internos del programa en base a los objetivos.</v>
      </c>
      <c r="J148" s="11">
        <f ca="1">IFERROR(__xludf.DUMMYFUNCTION("""COMPUTED_VALUE"""),4996620)</f>
        <v>4996620</v>
      </c>
      <c r="K148" s="27">
        <f ca="1">IFERROR(__xludf.DUMMYFUNCTION("""COMPUTED_VALUE"""),1)</f>
        <v>1</v>
      </c>
      <c r="L148" s="28" t="str">
        <f ca="1">IFERROR(__xludf.DUMMYFUNCTION("""COMPUTED_VALUE"""),"12580/2024")</f>
        <v>12580/2024</v>
      </c>
      <c r="M148" s="10" t="str">
        <f ca="1">IFERROR(__xludf.DUMMYFUNCTION("""COMPUTED_VALUE"""),"PTRAC")</f>
        <v>PTRAC</v>
      </c>
      <c r="N148" s="1"/>
      <c r="O148" s="1"/>
      <c r="P148" s="1"/>
      <c r="Q148" s="1"/>
      <c r="R148" s="1"/>
      <c r="S148" s="1"/>
      <c r="T148" s="1"/>
      <c r="U148" s="1"/>
      <c r="V148" s="1"/>
      <c r="W148" s="1"/>
      <c r="X148" s="1"/>
      <c r="Y148" s="1"/>
      <c r="Z148" s="1"/>
    </row>
    <row r="149" spans="1:26" ht="12.75" customHeight="1">
      <c r="A149" s="1"/>
      <c r="B149" s="10" t="str">
        <f ca="1">IFERROR(__xludf.DUMMYFUNCTION("""COMPUTED_VALUE"""),"Esterilizaciones Caninas y Felinas Ciudad de La Unión 2024 E25247/2024")</f>
        <v>Esterilizaciones Caninas y Felinas Ciudad de La Unión 2024 E25247/2024</v>
      </c>
      <c r="C149" s="26" t="s">
        <v>67</v>
      </c>
      <c r="D149" s="10" t="str">
        <f ca="1">IFERROR(__xludf.DUMMYFUNCTION("""COMPUTED_VALUE"""),"Resolución de Transferencia")</f>
        <v>Resolución de Transferencia</v>
      </c>
      <c r="E149" s="26" t="str">
        <f ca="1">IFERROR(__xludf.DUMMYFUNCTION("""COMPUTED_VALUE"""),"AGRUPACION KILTRO'S")</f>
        <v>AGRUPACION KILTRO'S</v>
      </c>
      <c r="F149" s="11">
        <f ca="1">IFERROR(__xludf.DUMMYFUNCTION("""COMPUTED_VALUE"""),11978890)</f>
        <v>11978890</v>
      </c>
      <c r="G149" s="10" t="str">
        <f ca="1">IFERROR(__xludf.DUMMYFUNCTION("""COMPUTED_VALUE"""),"Resolución")</f>
        <v>Resolución</v>
      </c>
      <c r="H149" s="10" t="str">
        <f ca="1">IFERROR(__xludf.DUMMYFUNCTION("""COMPUTED_VALUE"""),"PTRAC Fondos Concursables ONGs")</f>
        <v>PTRAC Fondos Concursables ONGs</v>
      </c>
      <c r="I149" s="10" t="str">
        <f ca="1">IFERROR(__xludf.DUMMYFUNCTION("""COMPUTED_VALUE"""),"Cumplir con normativa y reglamentos internos del programa en base a los objetivos.")</f>
        <v>Cumplir con normativa y reglamentos internos del programa en base a los objetivos.</v>
      </c>
      <c r="J149" s="11">
        <f ca="1">IFERROR(__xludf.DUMMYFUNCTION("""COMPUTED_VALUE"""),11978890)</f>
        <v>11978890</v>
      </c>
      <c r="K149" s="27">
        <f ca="1">IFERROR(__xludf.DUMMYFUNCTION("""COMPUTED_VALUE"""),1)</f>
        <v>1</v>
      </c>
      <c r="L149" s="28" t="str">
        <f ca="1">IFERROR(__xludf.DUMMYFUNCTION("""COMPUTED_VALUE"""),"12459/2024")</f>
        <v>12459/2024</v>
      </c>
      <c r="M149" s="10" t="str">
        <f ca="1">IFERROR(__xludf.DUMMYFUNCTION("""COMPUTED_VALUE"""),"PTRAC")</f>
        <v>PTRAC</v>
      </c>
      <c r="N149" s="1"/>
      <c r="O149" s="1"/>
      <c r="P149" s="1"/>
      <c r="Q149" s="1"/>
      <c r="R149" s="1"/>
      <c r="S149" s="1"/>
      <c r="T149" s="1"/>
      <c r="U149" s="1"/>
      <c r="V149" s="1"/>
      <c r="W149" s="1"/>
      <c r="X149" s="1"/>
      <c r="Y149" s="1"/>
      <c r="Z149" s="1"/>
    </row>
    <row r="150" spans="1:26" ht="12.75" customHeight="1">
      <c r="A150" s="1"/>
      <c r="B150" s="10" t="str">
        <f ca="1">IFERROR(__xludf.DUMMYFUNCTION("""COMPUTED_VALUE"""),"Esterilizar, Un acto de amor E25248/2024")</f>
        <v>Esterilizar, Un acto de amor E25248/2024</v>
      </c>
      <c r="C150" s="26" t="s">
        <v>68</v>
      </c>
      <c r="D150" s="10" t="str">
        <f ca="1">IFERROR(__xludf.DUMMYFUNCTION("""COMPUTED_VALUE"""),"Resolución de Transferencia")</f>
        <v>Resolución de Transferencia</v>
      </c>
      <c r="E150" s="26" t="str">
        <f ca="1">IFERROR(__xludf.DUMMYFUNCTION("""COMPUTED_VALUE"""),"FUNDACION AMA VIVIR")</f>
        <v>FUNDACION AMA VIVIR</v>
      </c>
      <c r="F150" s="11">
        <f ca="1">IFERROR(__xludf.DUMMYFUNCTION("""COMPUTED_VALUE"""),12000000)</f>
        <v>12000000</v>
      </c>
      <c r="G150" s="10" t="str">
        <f ca="1">IFERROR(__xludf.DUMMYFUNCTION("""COMPUTED_VALUE"""),"Resolución")</f>
        <v>Resolución</v>
      </c>
      <c r="H150" s="10" t="str">
        <f ca="1">IFERROR(__xludf.DUMMYFUNCTION("""COMPUTED_VALUE"""),"PTRAC Fondos Concursables ONGs")</f>
        <v>PTRAC Fondos Concursables ONGs</v>
      </c>
      <c r="I150" s="10" t="str">
        <f ca="1">IFERROR(__xludf.DUMMYFUNCTION("""COMPUTED_VALUE"""),"Cumplir con normativa y reglamentos internos del programa en base a los objetivos.")</f>
        <v>Cumplir con normativa y reglamentos internos del programa en base a los objetivos.</v>
      </c>
      <c r="J150" s="11">
        <f ca="1">IFERROR(__xludf.DUMMYFUNCTION("""COMPUTED_VALUE"""),12000000)</f>
        <v>12000000</v>
      </c>
      <c r="K150" s="27">
        <f ca="1">IFERROR(__xludf.DUMMYFUNCTION("""COMPUTED_VALUE"""),1)</f>
        <v>1</v>
      </c>
      <c r="L150" s="28" t="str">
        <f ca="1">IFERROR(__xludf.DUMMYFUNCTION("""COMPUTED_VALUE"""),"12585/2024")</f>
        <v>12585/2024</v>
      </c>
      <c r="M150" s="10" t="str">
        <f ca="1">IFERROR(__xludf.DUMMYFUNCTION("""COMPUTED_VALUE"""),"PTRAC")</f>
        <v>PTRAC</v>
      </c>
      <c r="N150" s="1"/>
      <c r="O150" s="1"/>
      <c r="P150" s="1"/>
      <c r="Q150" s="1"/>
      <c r="R150" s="1"/>
      <c r="S150" s="1"/>
      <c r="T150" s="1"/>
      <c r="U150" s="1"/>
      <c r="V150" s="1"/>
      <c r="W150" s="1"/>
      <c r="X150" s="1"/>
      <c r="Y150" s="1"/>
      <c r="Z150" s="1"/>
    </row>
    <row r="151" spans="1:26" ht="12.75" customHeight="1">
      <c r="A151" s="1"/>
      <c r="B151" s="10" t="str">
        <f ca="1">IFERROR(__xludf.DUMMYFUNCTION("""COMPUTED_VALUE"""),"Patiperreando E25249/2024")</f>
        <v>Patiperreando E25249/2024</v>
      </c>
      <c r="C151" s="26" t="s">
        <v>69</v>
      </c>
      <c r="D151" s="10" t="str">
        <f ca="1">IFERROR(__xludf.DUMMYFUNCTION("""COMPUTED_VALUE"""),"Resolución de Transferencia")</f>
        <v>Resolución de Transferencia</v>
      </c>
      <c r="E151" s="26" t="str">
        <f ca="1">IFERROR(__xludf.DUMMYFUNCTION("""COMPUTED_VALUE"""),"ONG HUELLAS VILLARRICA")</f>
        <v>ONG HUELLAS VILLARRICA</v>
      </c>
      <c r="F151" s="11">
        <f ca="1">IFERROR(__xludf.DUMMYFUNCTION("""COMPUTED_VALUE"""),11999802)</f>
        <v>11999802</v>
      </c>
      <c r="G151" s="10" t="str">
        <f ca="1">IFERROR(__xludf.DUMMYFUNCTION("""COMPUTED_VALUE"""),"Resolución")</f>
        <v>Resolución</v>
      </c>
      <c r="H151" s="10" t="str">
        <f ca="1">IFERROR(__xludf.DUMMYFUNCTION("""COMPUTED_VALUE"""),"PTRAC Fondos Concursables ONGs")</f>
        <v>PTRAC Fondos Concursables ONGs</v>
      </c>
      <c r="I151" s="10" t="str">
        <f ca="1">IFERROR(__xludf.DUMMYFUNCTION("""COMPUTED_VALUE"""),"Cumplir con normativa y reglamentos internos del programa en base a los objetivos.")</f>
        <v>Cumplir con normativa y reglamentos internos del programa en base a los objetivos.</v>
      </c>
      <c r="J151" s="11">
        <f ca="1">IFERROR(__xludf.DUMMYFUNCTION("""COMPUTED_VALUE"""),11999802)</f>
        <v>11999802</v>
      </c>
      <c r="K151" s="27">
        <f ca="1">IFERROR(__xludf.DUMMYFUNCTION("""COMPUTED_VALUE"""),1)</f>
        <v>1</v>
      </c>
      <c r="L151" s="28" t="str">
        <f ca="1">IFERROR(__xludf.DUMMYFUNCTION("""COMPUTED_VALUE"""),"12590/2024")</f>
        <v>12590/2024</v>
      </c>
      <c r="M151" s="10" t="str">
        <f ca="1">IFERROR(__xludf.DUMMYFUNCTION("""COMPUTED_VALUE"""),"PTRAC")</f>
        <v>PTRAC</v>
      </c>
      <c r="N151" s="1"/>
      <c r="O151" s="1"/>
      <c r="P151" s="1"/>
      <c r="Q151" s="1"/>
      <c r="R151" s="1"/>
      <c r="S151" s="1"/>
      <c r="T151" s="1"/>
      <c r="U151" s="1"/>
      <c r="V151" s="1"/>
      <c r="W151" s="1"/>
      <c r="X151" s="1"/>
      <c r="Y151" s="1"/>
      <c r="Z151" s="1"/>
    </row>
    <row r="152" spans="1:26" ht="12.75" customHeight="1">
      <c r="A152" s="1"/>
      <c r="B152" s="10" t="str">
        <f ca="1">IFERROR(__xludf.DUMMYFUNCTION("""COMPUTED_VALUE"""),"Santuario Emilia, catio para parapléjicos E25250/2024")</f>
        <v>Santuario Emilia, catio para parapléjicos E25250/2024</v>
      </c>
      <c r="C152" s="26" t="s">
        <v>70</v>
      </c>
      <c r="D152" s="10" t="str">
        <f ca="1">IFERROR(__xludf.DUMMYFUNCTION("""COMPUTED_VALUE"""),"Resolución de Transferencia")</f>
        <v>Resolución de Transferencia</v>
      </c>
      <c r="E152" s="26" t="str">
        <f ca="1">IFERROR(__xludf.DUMMYFUNCTION("""COMPUTED_VALUE"""),"FUNDACION ADOPTA")</f>
        <v>FUNDACION ADOPTA</v>
      </c>
      <c r="F152" s="11">
        <f ca="1">IFERROR(__xludf.DUMMYFUNCTION("""COMPUTED_VALUE"""),4999252)</f>
        <v>4999252</v>
      </c>
      <c r="G152" s="10" t="str">
        <f ca="1">IFERROR(__xludf.DUMMYFUNCTION("""COMPUTED_VALUE"""),"Resolución")</f>
        <v>Resolución</v>
      </c>
      <c r="H152" s="10" t="str">
        <f ca="1">IFERROR(__xludf.DUMMYFUNCTION("""COMPUTED_VALUE"""),"PTRAC Fondos Concursables ONGs")</f>
        <v>PTRAC Fondos Concursables ONGs</v>
      </c>
      <c r="I152" s="10" t="str">
        <f ca="1">IFERROR(__xludf.DUMMYFUNCTION("""COMPUTED_VALUE"""),"Cumplir con normativa y reglamentos internos del programa en base a los objetivos.")</f>
        <v>Cumplir con normativa y reglamentos internos del programa en base a los objetivos.</v>
      </c>
      <c r="J152" s="11">
        <f ca="1">IFERROR(__xludf.DUMMYFUNCTION("""COMPUTED_VALUE"""),4999252)</f>
        <v>4999252</v>
      </c>
      <c r="K152" s="27">
        <f ca="1">IFERROR(__xludf.DUMMYFUNCTION("""COMPUTED_VALUE"""),1)</f>
        <v>1</v>
      </c>
      <c r="L152" s="28" t="str">
        <f ca="1">IFERROR(__xludf.DUMMYFUNCTION("""COMPUTED_VALUE"""),"12578/2024")</f>
        <v>12578/2024</v>
      </c>
      <c r="M152" s="10" t="str">
        <f ca="1">IFERROR(__xludf.DUMMYFUNCTION("""COMPUTED_VALUE"""),"PTRAC")</f>
        <v>PTRAC</v>
      </c>
      <c r="N152" s="1"/>
      <c r="O152" s="1"/>
      <c r="P152" s="1"/>
      <c r="Q152" s="1"/>
      <c r="R152" s="1"/>
      <c r="S152" s="1"/>
      <c r="T152" s="1"/>
      <c r="U152" s="1"/>
      <c r="V152" s="1"/>
      <c r="W152" s="1"/>
      <c r="X152" s="1"/>
      <c r="Y152" s="1"/>
      <c r="Z152" s="1"/>
    </row>
    <row r="153" spans="1:26" ht="12.75" customHeight="1">
      <c r="A153" s="1"/>
      <c r="B153" s="10" t="str">
        <f ca="1">IFERROR(__xludf.DUMMYFUNCTION("""COMPUTED_VALUE"""),"Teku-Ñaña: Cuidando y Protegiendo a Nuestras Mascotas E25251/2024")</f>
        <v>Teku-Ñaña: Cuidando y Protegiendo a Nuestras Mascotas E25251/2024</v>
      </c>
      <c r="C153" s="26" t="s">
        <v>71</v>
      </c>
      <c r="D153" s="10" t="str">
        <f ca="1">IFERROR(__xludf.DUMMYFUNCTION("""COMPUTED_VALUE"""),"Resolución de Transferencia")</f>
        <v>Resolución de Transferencia</v>
      </c>
      <c r="E153" s="26" t="str">
        <f ca="1">IFERROR(__xludf.DUMMYFUNCTION("""COMPUTED_VALUE"""),"SOC PROTECCION A LOS ANIMALES Y AL MEDIO AMBIENTE TRAWA KALEN")</f>
        <v>SOC PROTECCION A LOS ANIMALES Y AL MEDIO AMBIENTE TRAWA KALEN</v>
      </c>
      <c r="F153" s="11">
        <f ca="1">IFERROR(__xludf.DUMMYFUNCTION("""COMPUTED_VALUE"""),12000000)</f>
        <v>12000000</v>
      </c>
      <c r="G153" s="10" t="str">
        <f ca="1">IFERROR(__xludf.DUMMYFUNCTION("""COMPUTED_VALUE"""),"Resolución")</f>
        <v>Resolución</v>
      </c>
      <c r="H153" s="10" t="str">
        <f ca="1">IFERROR(__xludf.DUMMYFUNCTION("""COMPUTED_VALUE"""),"PTRAC Fondos Concursables ONGs")</f>
        <v>PTRAC Fondos Concursables ONGs</v>
      </c>
      <c r="I153" s="10" t="str">
        <f ca="1">IFERROR(__xludf.DUMMYFUNCTION("""COMPUTED_VALUE"""),"Cumplir con normativa y reglamentos internos del programa en base a los objetivos.")</f>
        <v>Cumplir con normativa y reglamentos internos del programa en base a los objetivos.</v>
      </c>
      <c r="J153" s="11">
        <f ca="1">IFERROR(__xludf.DUMMYFUNCTION("""COMPUTED_VALUE"""),12000000)</f>
        <v>12000000</v>
      </c>
      <c r="K153" s="27">
        <f ca="1">IFERROR(__xludf.DUMMYFUNCTION("""COMPUTED_VALUE"""),1)</f>
        <v>1</v>
      </c>
      <c r="L153" s="28" t="str">
        <f ca="1">IFERROR(__xludf.DUMMYFUNCTION("""COMPUTED_VALUE"""),"12364/2024")</f>
        <v>12364/2024</v>
      </c>
      <c r="M153" s="10" t="str">
        <f ca="1">IFERROR(__xludf.DUMMYFUNCTION("""COMPUTED_VALUE"""),"PTRAC")</f>
        <v>PTRAC</v>
      </c>
      <c r="N153" s="1"/>
      <c r="O153" s="1"/>
      <c r="P153" s="1"/>
      <c r="Q153" s="1"/>
      <c r="R153" s="1"/>
      <c r="S153" s="1"/>
      <c r="T153" s="1"/>
      <c r="U153" s="1"/>
      <c r="V153" s="1"/>
      <c r="W153" s="1"/>
      <c r="X153" s="1"/>
      <c r="Y153" s="1"/>
      <c r="Z153" s="1"/>
    </row>
    <row r="154" spans="1:26" ht="12.75" customHeight="1">
      <c r="A154" s="1"/>
      <c r="B154" s="10" t="str">
        <f ca="1">IFERROR(__xludf.DUMMYFUNCTION("""COMPUTED_VALUE"""),"Esterilizaciones zonas vulnerables comuna Río Negro E25252/2024")</f>
        <v>Esterilizaciones zonas vulnerables comuna Río Negro E25252/2024</v>
      </c>
      <c r="C154" s="26" t="s">
        <v>72</v>
      </c>
      <c r="D154" s="10" t="str">
        <f ca="1">IFERROR(__xludf.DUMMYFUNCTION("""COMPUTED_VALUE"""),"Resolución de Transferencia")</f>
        <v>Resolución de Transferencia</v>
      </c>
      <c r="E154" s="26" t="str">
        <f ca="1">IFERROR(__xludf.DUMMYFUNCTION("""COMPUTED_VALUE"""),"AGRUPACION AMIGOS CUATRO PATAS")</f>
        <v>AGRUPACION AMIGOS CUATRO PATAS</v>
      </c>
      <c r="F154" s="11">
        <f ca="1">IFERROR(__xludf.DUMMYFUNCTION("""COMPUTED_VALUE"""),12000000)</f>
        <v>12000000</v>
      </c>
      <c r="G154" s="10" t="str">
        <f ca="1">IFERROR(__xludf.DUMMYFUNCTION("""COMPUTED_VALUE"""),"Resolución")</f>
        <v>Resolución</v>
      </c>
      <c r="H154" s="10" t="str">
        <f ca="1">IFERROR(__xludf.DUMMYFUNCTION("""COMPUTED_VALUE"""),"PTRAC Fondos Concursables ONGs")</f>
        <v>PTRAC Fondos Concursables ONGs</v>
      </c>
      <c r="I154" s="10" t="str">
        <f ca="1">IFERROR(__xludf.DUMMYFUNCTION("""COMPUTED_VALUE"""),"Cumplir con normativa y reglamentos internos del programa en base a los objetivos.")</f>
        <v>Cumplir con normativa y reglamentos internos del programa en base a los objetivos.</v>
      </c>
      <c r="J154" s="11">
        <f ca="1">IFERROR(__xludf.DUMMYFUNCTION("""COMPUTED_VALUE"""),12000000)</f>
        <v>12000000</v>
      </c>
      <c r="K154" s="27">
        <f ca="1">IFERROR(__xludf.DUMMYFUNCTION("""COMPUTED_VALUE"""),1)</f>
        <v>1</v>
      </c>
      <c r="L154" s="28" t="str">
        <f ca="1">IFERROR(__xludf.DUMMYFUNCTION("""COMPUTED_VALUE"""),"12365/2024")</f>
        <v>12365/2024</v>
      </c>
      <c r="M154" s="10" t="str">
        <f ca="1">IFERROR(__xludf.DUMMYFUNCTION("""COMPUTED_VALUE"""),"PTRAC")</f>
        <v>PTRAC</v>
      </c>
      <c r="N154" s="1"/>
      <c r="O154" s="1"/>
      <c r="P154" s="1"/>
      <c r="Q154" s="1"/>
      <c r="R154" s="1"/>
      <c r="S154" s="1"/>
      <c r="T154" s="1"/>
      <c r="U154" s="1"/>
      <c r="V154" s="1"/>
      <c r="W154" s="1"/>
      <c r="X154" s="1"/>
      <c r="Y154" s="1"/>
      <c r="Z154" s="1"/>
    </row>
    <row r="155" spans="1:26" ht="12.75" customHeight="1">
      <c r="A155" s="1"/>
      <c r="B155" s="10" t="str">
        <f ca="1">IFERROR(__xludf.DUMMYFUNCTION("""COMPUTED_VALUE"""),"Creando conciencia animal E26327/2024")</f>
        <v>Creando conciencia animal E26327/2024</v>
      </c>
      <c r="C155" s="26" t="s">
        <v>73</v>
      </c>
      <c r="D155" s="10" t="str">
        <f ca="1">IFERROR(__xludf.DUMMYFUNCTION("""COMPUTED_VALUE"""),"Resolución de Transferencia")</f>
        <v>Resolución de Transferencia</v>
      </c>
      <c r="E155" s="26" t="str">
        <f ca="1">IFERROR(__xludf.DUMMYFUNCTION("""COMPUTED_VALUE"""),"FUNDACION MAITENCILLO ADOPTA")</f>
        <v>FUNDACION MAITENCILLO ADOPTA</v>
      </c>
      <c r="F155" s="11">
        <f ca="1">IFERROR(__xludf.DUMMYFUNCTION("""COMPUTED_VALUE"""),11988900)</f>
        <v>11988900</v>
      </c>
      <c r="G155" s="10" t="str">
        <f ca="1">IFERROR(__xludf.DUMMYFUNCTION("""COMPUTED_VALUE"""),"Resolución")</f>
        <v>Resolución</v>
      </c>
      <c r="H155" s="10" t="str">
        <f ca="1">IFERROR(__xludf.DUMMYFUNCTION("""COMPUTED_VALUE"""),"PTRAC Fondos Concursables ONGs")</f>
        <v>PTRAC Fondos Concursables ONGs</v>
      </c>
      <c r="I155" s="10" t="str">
        <f ca="1">IFERROR(__xludf.DUMMYFUNCTION("""COMPUTED_VALUE"""),"Cumplir con normativa y reglamentos internos del programa en base a los objetivos.")</f>
        <v>Cumplir con normativa y reglamentos internos del programa en base a los objetivos.</v>
      </c>
      <c r="J155" s="11">
        <f ca="1">IFERROR(__xludf.DUMMYFUNCTION("""COMPUTED_VALUE"""),11988900)</f>
        <v>11988900</v>
      </c>
      <c r="K155" s="27">
        <f ca="1">IFERROR(__xludf.DUMMYFUNCTION("""COMPUTED_VALUE"""),1)</f>
        <v>1</v>
      </c>
      <c r="L155" s="28" t="str">
        <f ca="1">IFERROR(__xludf.DUMMYFUNCTION("""COMPUTED_VALUE"""),"12717/2024")</f>
        <v>12717/2024</v>
      </c>
      <c r="M155" s="10" t="str">
        <f ca="1">IFERROR(__xludf.DUMMYFUNCTION("""COMPUTED_VALUE"""),"PTRAC")</f>
        <v>PTRAC</v>
      </c>
      <c r="N155" s="1"/>
      <c r="O155" s="1"/>
      <c r="P155" s="1"/>
      <c r="Q155" s="1"/>
      <c r="R155" s="1"/>
      <c r="S155" s="1"/>
      <c r="T155" s="1"/>
      <c r="U155" s="1"/>
      <c r="V155" s="1"/>
      <c r="W155" s="1"/>
      <c r="X155" s="1"/>
      <c r="Y155" s="1"/>
      <c r="Z155" s="1"/>
    </row>
    <row r="156" spans="1:26" ht="12.75" customHeight="1">
      <c r="A156" s="1"/>
      <c r="B156" s="10" t="str">
        <f ca="1">IFERROR(__xludf.DUMMYFUNCTION("""COMPUTED_VALUE"""),"Amigos Fieles: programa de vacunación y desparasitación para caninos y felinos en Puerto Natales, Región de Magallanes E25253/2024")</f>
        <v>Amigos Fieles: programa de vacunación y desparasitación para caninos y felinos en Puerto Natales, Región de Magallanes E25253/2024</v>
      </c>
      <c r="C156" s="26" t="s">
        <v>74</v>
      </c>
      <c r="D156" s="10" t="str">
        <f ca="1">IFERROR(__xludf.DUMMYFUNCTION("""COMPUTED_VALUE"""),"Resolución de Transferencia")</f>
        <v>Resolución de Transferencia</v>
      </c>
      <c r="E156" s="26" t="str">
        <f ca="1">IFERROR(__xludf.DUMMYFUNCTION("""COMPUTED_VALUE"""),"SOCIEDAD PROTECTORA DE ANIMALES AMIGOS FIELES DE PUERTO NATALES")</f>
        <v>SOCIEDAD PROTECTORA DE ANIMALES AMIGOS FIELES DE PUERTO NATALES</v>
      </c>
      <c r="F156" s="11">
        <f ca="1">IFERROR(__xludf.DUMMYFUNCTION("""COMPUTED_VALUE"""),12000000)</f>
        <v>12000000</v>
      </c>
      <c r="G156" s="10" t="str">
        <f ca="1">IFERROR(__xludf.DUMMYFUNCTION("""COMPUTED_VALUE"""),"Resolución")</f>
        <v>Resolución</v>
      </c>
      <c r="H156" s="10" t="str">
        <f ca="1">IFERROR(__xludf.DUMMYFUNCTION("""COMPUTED_VALUE"""),"PTRAC Fondos Concursables ONGs")</f>
        <v>PTRAC Fondos Concursables ONGs</v>
      </c>
      <c r="I156" s="10" t="str">
        <f ca="1">IFERROR(__xludf.DUMMYFUNCTION("""COMPUTED_VALUE"""),"Cumplir con normativa y reglamentos internos del programa en base a los objetivos.")</f>
        <v>Cumplir con normativa y reglamentos internos del programa en base a los objetivos.</v>
      </c>
      <c r="J156" s="11">
        <f ca="1">IFERROR(__xludf.DUMMYFUNCTION("""COMPUTED_VALUE"""),12000000)</f>
        <v>12000000</v>
      </c>
      <c r="K156" s="27">
        <f ca="1">IFERROR(__xludf.DUMMYFUNCTION("""COMPUTED_VALUE"""),1)</f>
        <v>1</v>
      </c>
      <c r="L156" s="28" t="str">
        <f ca="1">IFERROR(__xludf.DUMMYFUNCTION("""COMPUTED_VALUE"""),"12461/2024")</f>
        <v>12461/2024</v>
      </c>
      <c r="M156" s="10" t="str">
        <f ca="1">IFERROR(__xludf.DUMMYFUNCTION("""COMPUTED_VALUE"""),"PTRAC")</f>
        <v>PTRAC</v>
      </c>
      <c r="N156" s="1"/>
      <c r="O156" s="1"/>
      <c r="P156" s="1"/>
      <c r="Q156" s="1"/>
      <c r="R156" s="1"/>
      <c r="S156" s="1"/>
      <c r="T156" s="1"/>
      <c r="U156" s="1"/>
      <c r="V156" s="1"/>
      <c r="W156" s="1"/>
      <c r="X156" s="1"/>
      <c r="Y156" s="1"/>
      <c r="Z156" s="1"/>
    </row>
    <row r="157" spans="1:26" ht="12.75" customHeight="1">
      <c r="A157" s="1"/>
      <c r="B157" s="10" t="str">
        <f ca="1">IFERROR(__xludf.DUMMYFUNCTION("""COMPUTED_VALUE"""),"Purranque Esteriliza 2024 E25254/2024")</f>
        <v>Purranque Esteriliza 2024 E25254/2024</v>
      </c>
      <c r="C157" s="26" t="s">
        <v>75</v>
      </c>
      <c r="D157" s="10" t="str">
        <f ca="1">IFERROR(__xludf.DUMMYFUNCTION("""COMPUTED_VALUE"""),"Resolución de Transferencia")</f>
        <v>Resolución de Transferencia</v>
      </c>
      <c r="E157" s="26" t="str">
        <f ca="1">IFERROR(__xludf.DUMMYFUNCTION("""COMPUTED_VALUE"""),"AGRUPACION ANIMALISTA POR PURRANQUE, DE PURRANQUE")</f>
        <v>AGRUPACION ANIMALISTA POR PURRANQUE, DE PURRANQUE</v>
      </c>
      <c r="F157" s="11">
        <f ca="1">IFERROR(__xludf.DUMMYFUNCTION("""COMPUTED_VALUE"""),12000000)</f>
        <v>12000000</v>
      </c>
      <c r="G157" s="10" t="str">
        <f ca="1">IFERROR(__xludf.DUMMYFUNCTION("""COMPUTED_VALUE"""),"Resolución")</f>
        <v>Resolución</v>
      </c>
      <c r="H157" s="10" t="str">
        <f ca="1">IFERROR(__xludf.DUMMYFUNCTION("""COMPUTED_VALUE"""),"PTRAC Fondos Concursables ONGs")</f>
        <v>PTRAC Fondos Concursables ONGs</v>
      </c>
      <c r="I157" s="10" t="str">
        <f ca="1">IFERROR(__xludf.DUMMYFUNCTION("""COMPUTED_VALUE"""),"Cumplir con normativa y reglamentos internos del programa en base a los objetivos.")</f>
        <v>Cumplir con normativa y reglamentos internos del programa en base a los objetivos.</v>
      </c>
      <c r="J157" s="11">
        <f ca="1">IFERROR(__xludf.DUMMYFUNCTION("""COMPUTED_VALUE"""),12000000)</f>
        <v>12000000</v>
      </c>
      <c r="K157" s="27">
        <f ca="1">IFERROR(__xludf.DUMMYFUNCTION("""COMPUTED_VALUE"""),1)</f>
        <v>1</v>
      </c>
      <c r="L157" s="28" t="str">
        <f ca="1">IFERROR(__xludf.DUMMYFUNCTION("""COMPUTED_VALUE"""),"12474/2024")</f>
        <v>12474/2024</v>
      </c>
      <c r="M157" s="10" t="str">
        <f ca="1">IFERROR(__xludf.DUMMYFUNCTION("""COMPUTED_VALUE"""),"PTRAC")</f>
        <v>PTRAC</v>
      </c>
      <c r="N157" s="1"/>
      <c r="O157" s="1"/>
      <c r="P157" s="1"/>
      <c r="Q157" s="1"/>
      <c r="R157" s="1"/>
      <c r="S157" s="1"/>
      <c r="T157" s="1"/>
      <c r="U157" s="1"/>
      <c r="V157" s="1"/>
      <c r="W157" s="1"/>
      <c r="X157" s="1"/>
      <c r="Y157" s="1"/>
      <c r="Z157" s="1"/>
    </row>
    <row r="158" spans="1:26" ht="12.75" customHeight="1">
      <c r="A158" s="1"/>
      <c r="B158" s="10" t="str">
        <f ca="1">IFERROR(__xludf.DUMMYFUNCTION("""COMPUTED_VALUE"""),"Nuestro compromiso está con la fauna nativa E25255/2024")</f>
        <v>Nuestro compromiso está con la fauna nativa E25255/2024</v>
      </c>
      <c r="C158" s="26" t="s">
        <v>76</v>
      </c>
      <c r="D158" s="10" t="str">
        <f ca="1">IFERROR(__xludf.DUMMYFUNCTION("""COMPUTED_VALUE"""),"Resolución de Transferencia")</f>
        <v>Resolución de Transferencia</v>
      </c>
      <c r="E158" s="26" t="str">
        <f ca="1">IFERROR(__xludf.DUMMYFUNCTION("""COMPUTED_VALUE"""),"AGRUPACION SOCIAL CULTURAL Y MEDIO AMBIENTAL DEFENSA ANIMAL PUYEHUE")</f>
        <v>AGRUPACION SOCIAL CULTURAL Y MEDIO AMBIENTAL DEFENSA ANIMAL PUYEHUE</v>
      </c>
      <c r="F158" s="11">
        <f ca="1">IFERROR(__xludf.DUMMYFUNCTION("""COMPUTED_VALUE"""),12000000)</f>
        <v>12000000</v>
      </c>
      <c r="G158" s="10" t="str">
        <f ca="1">IFERROR(__xludf.DUMMYFUNCTION("""COMPUTED_VALUE"""),"Resolución")</f>
        <v>Resolución</v>
      </c>
      <c r="H158" s="10" t="str">
        <f ca="1">IFERROR(__xludf.DUMMYFUNCTION("""COMPUTED_VALUE"""),"PTRAC Fondos Concursables ONGs")</f>
        <v>PTRAC Fondos Concursables ONGs</v>
      </c>
      <c r="I158" s="10" t="str">
        <f ca="1">IFERROR(__xludf.DUMMYFUNCTION("""COMPUTED_VALUE"""),"Cumplir con normativa y reglamentos internos del programa en base a los objetivos.")</f>
        <v>Cumplir con normativa y reglamentos internos del programa en base a los objetivos.</v>
      </c>
      <c r="J158" s="11">
        <f ca="1">IFERROR(__xludf.DUMMYFUNCTION("""COMPUTED_VALUE"""),12000000)</f>
        <v>12000000</v>
      </c>
      <c r="K158" s="27">
        <f ca="1">IFERROR(__xludf.DUMMYFUNCTION("""COMPUTED_VALUE"""),1)</f>
        <v>1</v>
      </c>
      <c r="L158" s="28" t="str">
        <f ca="1">IFERROR(__xludf.DUMMYFUNCTION("""COMPUTED_VALUE"""),"12487/2024")</f>
        <v>12487/2024</v>
      </c>
      <c r="M158" s="10" t="str">
        <f ca="1">IFERROR(__xludf.DUMMYFUNCTION("""COMPUTED_VALUE"""),"PTRAC")</f>
        <v>PTRAC</v>
      </c>
      <c r="N158" s="1"/>
      <c r="O158" s="1"/>
      <c r="P158" s="1"/>
      <c r="Q158" s="1"/>
      <c r="R158" s="1"/>
      <c r="S158" s="1"/>
      <c r="T158" s="1"/>
      <c r="U158" s="1"/>
      <c r="V158" s="1"/>
      <c r="W158" s="1"/>
      <c r="X158" s="1"/>
      <c r="Y158" s="1"/>
      <c r="Z158" s="1"/>
    </row>
    <row r="159" spans="1:26" ht="12.75" customHeight="1">
      <c r="A159" s="1"/>
      <c r="B159" s="10" t="str">
        <f ca="1">IFERROR(__xludf.DUMMYFUNCTION("""COMPUTED_VALUE"""),"Esterilizaciones Caninas y Felinas APAS Salamanca 2024 E25257/2024")</f>
        <v>Esterilizaciones Caninas y Felinas APAS Salamanca 2024 E25257/2024</v>
      </c>
      <c r="C159" s="26" t="s">
        <v>77</v>
      </c>
      <c r="D159" s="10" t="str">
        <f ca="1">IFERROR(__xludf.DUMMYFUNCTION("""COMPUTED_VALUE"""),"Resolución de Transferencia")</f>
        <v>Resolución de Transferencia</v>
      </c>
      <c r="E159" s="26" t="str">
        <f ca="1">IFERROR(__xludf.DUMMYFUNCTION("""COMPUTED_VALUE"""),"AGRUPACION PRO-AYUDA ANIMAL SALAMANCA - APAS")</f>
        <v>AGRUPACION PRO-AYUDA ANIMAL SALAMANCA - APAS</v>
      </c>
      <c r="F159" s="11">
        <f ca="1">IFERROR(__xludf.DUMMYFUNCTION("""COMPUTED_VALUE"""),12000000)</f>
        <v>12000000</v>
      </c>
      <c r="G159" s="10" t="str">
        <f ca="1">IFERROR(__xludf.DUMMYFUNCTION("""COMPUTED_VALUE"""),"Resolución")</f>
        <v>Resolución</v>
      </c>
      <c r="H159" s="10" t="str">
        <f ca="1">IFERROR(__xludf.DUMMYFUNCTION("""COMPUTED_VALUE"""),"PTRAC Fondos Concursables ONGs")</f>
        <v>PTRAC Fondos Concursables ONGs</v>
      </c>
      <c r="I159" s="10" t="str">
        <f ca="1">IFERROR(__xludf.DUMMYFUNCTION("""COMPUTED_VALUE"""),"Cumplir con normativa y reglamentos internos del programa en base a los objetivos.")</f>
        <v>Cumplir con normativa y reglamentos internos del programa en base a los objetivos.</v>
      </c>
      <c r="J159" s="11">
        <f ca="1">IFERROR(__xludf.DUMMYFUNCTION("""COMPUTED_VALUE"""),12000000)</f>
        <v>12000000</v>
      </c>
      <c r="K159" s="27">
        <f ca="1">IFERROR(__xludf.DUMMYFUNCTION("""COMPUTED_VALUE"""),1)</f>
        <v>1</v>
      </c>
      <c r="L159" s="28" t="str">
        <f ca="1">IFERROR(__xludf.DUMMYFUNCTION("""COMPUTED_VALUE"""),"12588/2024")</f>
        <v>12588/2024</v>
      </c>
      <c r="M159" s="10" t="str">
        <f ca="1">IFERROR(__xludf.DUMMYFUNCTION("""COMPUTED_VALUE"""),"PTRAC")</f>
        <v>PTRAC</v>
      </c>
      <c r="N159" s="1"/>
      <c r="O159" s="1"/>
      <c r="P159" s="1"/>
      <c r="Q159" s="1"/>
      <c r="R159" s="1"/>
      <c r="S159" s="1"/>
      <c r="T159" s="1"/>
      <c r="U159" s="1"/>
      <c r="V159" s="1"/>
      <c r="W159" s="1"/>
      <c r="X159" s="1"/>
      <c r="Y159" s="1"/>
      <c r="Z159" s="1"/>
    </row>
    <row r="160" spans="1:26" ht="12.75" customHeight="1">
      <c r="A160" s="1"/>
      <c r="B160" s="10" t="str">
        <f ca="1">IFERROR(__xludf.DUMMYFUNCTION("""COMPUTED_VALUE"""),"TNR en mi barrio: Control ético de nicho a colonias de gatos en comunas de Renca y Quinta Normal E25258/2024")</f>
        <v>TNR en mi barrio: Control ético de nicho a colonias de gatos en comunas de Renca y Quinta Normal E25258/2024</v>
      </c>
      <c r="C160" s="26" t="s">
        <v>78</v>
      </c>
      <c r="D160" s="10" t="str">
        <f ca="1">IFERROR(__xludf.DUMMYFUNCTION("""COMPUTED_VALUE"""),"Resolución de Transferencia")</f>
        <v>Resolución de Transferencia</v>
      </c>
      <c r="E160" s="26" t="str">
        <f ca="1">IFERROR(__xludf.DUMMYFUNCTION("""COMPUTED_VALUE"""),"FUNDACION CORAZONDEGATO")</f>
        <v>FUNDACION CORAZONDEGATO</v>
      </c>
      <c r="F160" s="11">
        <f ca="1">IFERROR(__xludf.DUMMYFUNCTION("""COMPUTED_VALUE"""),11863691)</f>
        <v>11863691</v>
      </c>
      <c r="G160" s="10" t="str">
        <f ca="1">IFERROR(__xludf.DUMMYFUNCTION("""COMPUTED_VALUE"""),"Resolución")</f>
        <v>Resolución</v>
      </c>
      <c r="H160" s="10" t="str">
        <f ca="1">IFERROR(__xludf.DUMMYFUNCTION("""COMPUTED_VALUE"""),"PTRAC Fondos Concursables ONGs")</f>
        <v>PTRAC Fondos Concursables ONGs</v>
      </c>
      <c r="I160" s="10" t="str">
        <f ca="1">IFERROR(__xludf.DUMMYFUNCTION("""COMPUTED_VALUE"""),"Cumplir con normativa y reglamentos internos del programa en base a los objetivos.")</f>
        <v>Cumplir con normativa y reglamentos internos del programa en base a los objetivos.</v>
      </c>
      <c r="J160" s="11">
        <f ca="1">IFERROR(__xludf.DUMMYFUNCTION("""COMPUTED_VALUE"""),11863691)</f>
        <v>11863691</v>
      </c>
      <c r="K160" s="27">
        <f ca="1">IFERROR(__xludf.DUMMYFUNCTION("""COMPUTED_VALUE"""),1)</f>
        <v>1</v>
      </c>
      <c r="L160" s="28" t="str">
        <f ca="1">IFERROR(__xludf.DUMMYFUNCTION("""COMPUTED_VALUE"""),"12587/2024")</f>
        <v>12587/2024</v>
      </c>
      <c r="M160" s="10" t="str">
        <f ca="1">IFERROR(__xludf.DUMMYFUNCTION("""COMPUTED_VALUE"""),"PTRAC")</f>
        <v>PTRAC</v>
      </c>
      <c r="N160" s="1"/>
      <c r="O160" s="1"/>
      <c r="P160" s="1"/>
      <c r="Q160" s="1"/>
      <c r="R160" s="1"/>
      <c r="S160" s="1"/>
      <c r="T160" s="1"/>
      <c r="U160" s="1"/>
      <c r="V160" s="1"/>
      <c r="W160" s="1"/>
      <c r="X160" s="1"/>
      <c r="Y160" s="1"/>
      <c r="Z160" s="1"/>
    </row>
    <row r="161" spans="1:26" ht="12.75" customHeight="1">
      <c r="A161" s="1"/>
      <c r="B161" s="10" t="str">
        <f ca="1">IFERROR(__xludf.DUMMYFUNCTION("""COMPUTED_VALUE"""),"Esterilizaciones de perros y gatos en la Provincia de Osorno E25259/2024")</f>
        <v>Esterilizaciones de perros y gatos en la Provincia de Osorno E25259/2024</v>
      </c>
      <c r="C161" s="26" t="s">
        <v>79</v>
      </c>
      <c r="D161" s="10" t="str">
        <f ca="1">IFERROR(__xludf.DUMMYFUNCTION("""COMPUTED_VALUE"""),"Resolución de Transferencia")</f>
        <v>Resolución de Transferencia</v>
      </c>
      <c r="E161" s="26" t="str">
        <f ca="1">IFERROR(__xludf.DUMMYFUNCTION("""COMPUTED_VALUE"""),"AGRUPACIÓN COLITAS FELICES OSORNO")</f>
        <v>AGRUPACIÓN COLITAS FELICES OSORNO</v>
      </c>
      <c r="F161" s="11">
        <f ca="1">IFERROR(__xludf.DUMMYFUNCTION("""COMPUTED_VALUE"""),12000000)</f>
        <v>12000000</v>
      </c>
      <c r="G161" s="10" t="str">
        <f ca="1">IFERROR(__xludf.DUMMYFUNCTION("""COMPUTED_VALUE"""),"Resolución")</f>
        <v>Resolución</v>
      </c>
      <c r="H161" s="10" t="str">
        <f ca="1">IFERROR(__xludf.DUMMYFUNCTION("""COMPUTED_VALUE"""),"PTRAC Fondos Concursables ONGs")</f>
        <v>PTRAC Fondos Concursables ONGs</v>
      </c>
      <c r="I161" s="10" t="str">
        <f ca="1">IFERROR(__xludf.DUMMYFUNCTION("""COMPUTED_VALUE"""),"Cumplir con normativa y reglamentos internos del programa en base a los objetivos.")</f>
        <v>Cumplir con normativa y reglamentos internos del programa en base a los objetivos.</v>
      </c>
      <c r="J161" s="11">
        <f ca="1">IFERROR(__xludf.DUMMYFUNCTION("""COMPUTED_VALUE"""),12000000)</f>
        <v>12000000</v>
      </c>
      <c r="K161" s="27">
        <f ca="1">IFERROR(__xludf.DUMMYFUNCTION("""COMPUTED_VALUE"""),1)</f>
        <v>1</v>
      </c>
      <c r="L161" s="28" t="str">
        <f ca="1">IFERROR(__xludf.DUMMYFUNCTION("""COMPUTED_VALUE"""),"12639/2024")</f>
        <v>12639/2024</v>
      </c>
      <c r="M161" s="10" t="str">
        <f ca="1">IFERROR(__xludf.DUMMYFUNCTION("""COMPUTED_VALUE"""),"PTRAC")</f>
        <v>PTRAC</v>
      </c>
      <c r="N161" s="1"/>
      <c r="O161" s="1"/>
      <c r="P161" s="1"/>
      <c r="Q161" s="1"/>
      <c r="R161" s="1"/>
      <c r="S161" s="1"/>
      <c r="T161" s="1"/>
      <c r="U161" s="1"/>
      <c r="V161" s="1"/>
      <c r="W161" s="1"/>
      <c r="X161" s="1"/>
      <c r="Y161" s="1"/>
      <c r="Z161" s="1"/>
    </row>
    <row r="162" spans="1:26" ht="12.75" customHeight="1">
      <c r="A162" s="1"/>
      <c r="B162" s="10" t="str">
        <f ca="1">IFERROR(__xludf.DUMMYFUNCTION("""COMPUTED_VALUE"""),"Esterilizar para Conservar: Comunidades Costeras más saludables y en Equilibrio E25260/2024")</f>
        <v>Esterilizar para Conservar: Comunidades Costeras más saludables y en Equilibrio E25260/2024</v>
      </c>
      <c r="C162" s="26" t="s">
        <v>80</v>
      </c>
      <c r="D162" s="10" t="str">
        <f ca="1">IFERROR(__xludf.DUMMYFUNCTION("""COMPUTED_VALUE"""),"Resolución de Transferencia")</f>
        <v>Resolución de Transferencia</v>
      </c>
      <c r="E162" s="26" t="str">
        <f ca="1">IFERROR(__xludf.DUMMYFUNCTION("""COMPUTED_VALUE"""),"FUNDACION UPLANI")</f>
        <v>FUNDACION UPLANI</v>
      </c>
      <c r="F162" s="11">
        <f ca="1">IFERROR(__xludf.DUMMYFUNCTION("""COMPUTED_VALUE"""),12000000)</f>
        <v>12000000</v>
      </c>
      <c r="G162" s="10" t="str">
        <f ca="1">IFERROR(__xludf.DUMMYFUNCTION("""COMPUTED_VALUE"""),"Resolución")</f>
        <v>Resolución</v>
      </c>
      <c r="H162" s="10" t="str">
        <f ca="1">IFERROR(__xludf.DUMMYFUNCTION("""COMPUTED_VALUE"""),"PTRAC Fondos Concursables ONGs")</f>
        <v>PTRAC Fondos Concursables ONGs</v>
      </c>
      <c r="I162" s="10" t="str">
        <f ca="1">IFERROR(__xludf.DUMMYFUNCTION("""COMPUTED_VALUE"""),"Cumplir con normativa y reglamentos internos del programa en base a los objetivos.")</f>
        <v>Cumplir con normativa y reglamentos internos del programa en base a los objetivos.</v>
      </c>
      <c r="J162" s="11">
        <f ca="1">IFERROR(__xludf.DUMMYFUNCTION("""COMPUTED_VALUE"""),12000000)</f>
        <v>12000000</v>
      </c>
      <c r="K162" s="27">
        <f ca="1">IFERROR(__xludf.DUMMYFUNCTION("""COMPUTED_VALUE"""),1)</f>
        <v>1</v>
      </c>
      <c r="L162" s="28" t="str">
        <f ca="1">IFERROR(__xludf.DUMMYFUNCTION("""COMPUTED_VALUE"""),"12489/2024")</f>
        <v>12489/2024</v>
      </c>
      <c r="M162" s="10" t="str">
        <f ca="1">IFERROR(__xludf.DUMMYFUNCTION("""COMPUTED_VALUE"""),"PTRAC")</f>
        <v>PTRAC</v>
      </c>
      <c r="N162" s="1"/>
      <c r="O162" s="1"/>
      <c r="P162" s="1"/>
      <c r="Q162" s="1"/>
      <c r="R162" s="1"/>
      <c r="S162" s="1"/>
      <c r="T162" s="1"/>
      <c r="U162" s="1"/>
      <c r="V162" s="1"/>
      <c r="W162" s="1"/>
      <c r="X162" s="1"/>
      <c r="Y162" s="1"/>
      <c r="Z162" s="1"/>
    </row>
    <row r="163" spans="1:26" ht="12.75" customHeight="1">
      <c r="A163" s="1"/>
      <c r="B163" s="10" t="str">
        <f ca="1">IFERROR(__xludf.DUMMYFUNCTION("""COMPUTED_VALUE"""),"Educación preescolar en Tenencia Responsable de Mascotas: Un rincón para jugar, explorar y conectar con el bienestar animal E25263/2024")</f>
        <v>Educación preescolar en Tenencia Responsable de Mascotas: Un rincón para jugar, explorar y conectar con el bienestar animal E25263/2024</v>
      </c>
      <c r="C163" s="26" t="s">
        <v>81</v>
      </c>
      <c r="D163" s="10" t="str">
        <f ca="1">IFERROR(__xludf.DUMMYFUNCTION("""COMPUTED_VALUE"""),"Resolución de Transferencia")</f>
        <v>Resolución de Transferencia</v>
      </c>
      <c r="E163" s="26" t="str">
        <f ca="1">IFERROR(__xludf.DUMMYFUNCTION("""COMPUTED_VALUE"""),"CORPORACION ALIANZA GLOBAL PARA ANIMALES Y PERSONAS")</f>
        <v>CORPORACION ALIANZA GLOBAL PARA ANIMALES Y PERSONAS</v>
      </c>
      <c r="F163" s="11">
        <f ca="1">IFERROR(__xludf.DUMMYFUNCTION("""COMPUTED_VALUE"""),5000000)</f>
        <v>5000000</v>
      </c>
      <c r="G163" s="10" t="str">
        <f ca="1">IFERROR(__xludf.DUMMYFUNCTION("""COMPUTED_VALUE"""),"Resolución")</f>
        <v>Resolución</v>
      </c>
      <c r="H163" s="10" t="str">
        <f ca="1">IFERROR(__xludf.DUMMYFUNCTION("""COMPUTED_VALUE"""),"PTRAC Fondos Concursables ONGs")</f>
        <v>PTRAC Fondos Concursables ONGs</v>
      </c>
      <c r="I163" s="10" t="str">
        <f ca="1">IFERROR(__xludf.DUMMYFUNCTION("""COMPUTED_VALUE"""),"Cumplir con normativa y reglamentos internos del programa en base a los objetivos.")</f>
        <v>Cumplir con normativa y reglamentos internos del programa en base a los objetivos.</v>
      </c>
      <c r="J163" s="11">
        <f ca="1">IFERROR(__xludf.DUMMYFUNCTION("""COMPUTED_VALUE"""),5000000)</f>
        <v>5000000</v>
      </c>
      <c r="K163" s="27">
        <f ca="1">IFERROR(__xludf.DUMMYFUNCTION("""COMPUTED_VALUE"""),1)</f>
        <v>1</v>
      </c>
      <c r="L163" s="28" t="str">
        <f ca="1">IFERROR(__xludf.DUMMYFUNCTION("""COMPUTED_VALUE"""),"12455/2024")</f>
        <v>12455/2024</v>
      </c>
      <c r="M163" s="10" t="str">
        <f ca="1">IFERROR(__xludf.DUMMYFUNCTION("""COMPUTED_VALUE"""),"PTRAC")</f>
        <v>PTRAC</v>
      </c>
      <c r="N163" s="1"/>
      <c r="O163" s="1"/>
      <c r="P163" s="1"/>
      <c r="Q163" s="1"/>
      <c r="R163" s="1"/>
      <c r="S163" s="1"/>
      <c r="T163" s="1"/>
      <c r="U163" s="1"/>
      <c r="V163" s="1"/>
      <c r="W163" s="1"/>
      <c r="X163" s="1"/>
      <c r="Y163" s="1"/>
      <c r="Z163" s="1"/>
    </row>
    <row r="164" spans="1:26" ht="12.75" customHeight="1">
      <c r="A164" s="1"/>
      <c r="B164" s="10" t="str">
        <f ca="1">IFERROR(__xludf.DUMMYFUNCTION("""COMPUTED_VALUE"""),"Happy Pits E25266/2024")</f>
        <v>Happy Pits E25266/2024</v>
      </c>
      <c r="C164" s="26" t="s">
        <v>82</v>
      </c>
      <c r="D164" s="10" t="str">
        <f ca="1">IFERROR(__xludf.DUMMYFUNCTION("""COMPUTED_VALUE"""),"Resolución de Transferencia")</f>
        <v>Resolución de Transferencia</v>
      </c>
      <c r="E164" s="26" t="str">
        <f ca="1">IFERROR(__xludf.DUMMYFUNCTION("""COMPUTED_VALUE"""),"FUNDACION FIGHT4PITS DEFENSA Y JUSTICIA ANIMAL")</f>
        <v>FUNDACION FIGHT4PITS DEFENSA Y JUSTICIA ANIMAL</v>
      </c>
      <c r="F164" s="11">
        <f ca="1">IFERROR(__xludf.DUMMYFUNCTION("""COMPUTED_VALUE"""),4999018)</f>
        <v>4999018</v>
      </c>
      <c r="G164" s="10" t="str">
        <f ca="1">IFERROR(__xludf.DUMMYFUNCTION("""COMPUTED_VALUE"""),"Resolución")</f>
        <v>Resolución</v>
      </c>
      <c r="H164" s="10" t="str">
        <f ca="1">IFERROR(__xludf.DUMMYFUNCTION("""COMPUTED_VALUE"""),"PTRAC Fondos Concursables ONGs")</f>
        <v>PTRAC Fondos Concursables ONGs</v>
      </c>
      <c r="I164" s="10" t="str">
        <f ca="1">IFERROR(__xludf.DUMMYFUNCTION("""COMPUTED_VALUE"""),"Cumplir con normativa y reglamentos internos del programa en base a los objetivos.")</f>
        <v>Cumplir con normativa y reglamentos internos del programa en base a los objetivos.</v>
      </c>
      <c r="J164" s="11">
        <f ca="1">IFERROR(__xludf.DUMMYFUNCTION("""COMPUTED_VALUE"""),4999018)</f>
        <v>4999018</v>
      </c>
      <c r="K164" s="27">
        <f ca="1">IFERROR(__xludf.DUMMYFUNCTION("""COMPUTED_VALUE"""),1)</f>
        <v>1</v>
      </c>
      <c r="L164" s="28" t="str">
        <f ca="1">IFERROR(__xludf.DUMMYFUNCTION("""COMPUTED_VALUE"""),"12550/2024")</f>
        <v>12550/2024</v>
      </c>
      <c r="M164" s="10" t="str">
        <f ca="1">IFERROR(__xludf.DUMMYFUNCTION("""COMPUTED_VALUE"""),"PTRAC")</f>
        <v>PTRAC</v>
      </c>
      <c r="N164" s="1"/>
      <c r="O164" s="1"/>
      <c r="P164" s="1"/>
      <c r="Q164" s="1"/>
      <c r="R164" s="1"/>
      <c r="S164" s="1"/>
      <c r="T164" s="1"/>
      <c r="U164" s="1"/>
      <c r="V164" s="1"/>
      <c r="W164" s="1"/>
      <c r="X164" s="1"/>
      <c r="Y164" s="1"/>
      <c r="Z164" s="1"/>
    </row>
    <row r="165" spans="1:26" ht="12.75" customHeight="1">
      <c r="A165" s="1"/>
      <c r="B165" s="10" t="str">
        <f ca="1">IFERROR(__xludf.DUMMYFUNCTION("""COMPUTED_VALUE"""),"Mejoramiento de infraestructura en Santuario Clafira E25269/2024")</f>
        <v>Mejoramiento de infraestructura en Santuario Clafira E25269/2024</v>
      </c>
      <c r="C165" s="26" t="s">
        <v>83</v>
      </c>
      <c r="D165" s="10" t="str">
        <f ca="1">IFERROR(__xludf.DUMMYFUNCTION("""COMPUTED_VALUE"""),"Resolución de Transferencia")</f>
        <v>Resolución de Transferencia</v>
      </c>
      <c r="E165" s="26" t="str">
        <f ca="1">IFERROR(__xludf.DUMMYFUNCTION("""COMPUTED_VALUE"""),"FUNDACION SANTUARIO CLAFIRA")</f>
        <v>FUNDACION SANTUARIO CLAFIRA</v>
      </c>
      <c r="F165" s="11">
        <f ca="1">IFERROR(__xludf.DUMMYFUNCTION("""COMPUTED_VALUE"""),4997442)</f>
        <v>4997442</v>
      </c>
      <c r="G165" s="10" t="str">
        <f ca="1">IFERROR(__xludf.DUMMYFUNCTION("""COMPUTED_VALUE"""),"Resolución")</f>
        <v>Resolución</v>
      </c>
      <c r="H165" s="10" t="str">
        <f ca="1">IFERROR(__xludf.DUMMYFUNCTION("""COMPUTED_VALUE"""),"PTRAC Fondos Concursables ONGs")</f>
        <v>PTRAC Fondos Concursables ONGs</v>
      </c>
      <c r="I165" s="10" t="str">
        <f ca="1">IFERROR(__xludf.DUMMYFUNCTION("""COMPUTED_VALUE"""),"Cumplir con normativa y reglamentos internos del programa en base a los objetivos.")</f>
        <v>Cumplir con normativa y reglamentos internos del programa en base a los objetivos.</v>
      </c>
      <c r="J165" s="11">
        <f ca="1">IFERROR(__xludf.DUMMYFUNCTION("""COMPUTED_VALUE"""),4997442)</f>
        <v>4997442</v>
      </c>
      <c r="K165" s="27">
        <f ca="1">IFERROR(__xludf.DUMMYFUNCTION("""COMPUTED_VALUE"""),1)</f>
        <v>1</v>
      </c>
      <c r="L165" s="28" t="str">
        <f ca="1">IFERROR(__xludf.DUMMYFUNCTION("""COMPUTED_VALUE"""),"12522/2024")</f>
        <v>12522/2024</v>
      </c>
      <c r="M165" s="10" t="str">
        <f ca="1">IFERROR(__xludf.DUMMYFUNCTION("""COMPUTED_VALUE"""),"PTRAC")</f>
        <v>PTRAC</v>
      </c>
      <c r="N165" s="1"/>
      <c r="O165" s="1"/>
      <c r="P165" s="1"/>
      <c r="Q165" s="1"/>
      <c r="R165" s="1"/>
      <c r="S165" s="1"/>
      <c r="T165" s="1"/>
      <c r="U165" s="1"/>
      <c r="V165" s="1"/>
      <c r="W165" s="1"/>
      <c r="X165" s="1"/>
      <c r="Y165" s="1"/>
      <c r="Z165" s="1"/>
    </row>
    <row r="166" spans="1:26" ht="12.75" customHeight="1">
      <c r="A166" s="1"/>
      <c r="B166" s="10" t="str">
        <f ca="1">IFERROR(__xludf.DUMMYFUNCTION("""COMPUTED_VALUE"""),"Sé parte de la solución, Esteriliza hoy y evita el abandono mañana E25271/2024")</f>
        <v>Sé parte de la solución, Esteriliza hoy y evita el abandono mañana E25271/2024</v>
      </c>
      <c r="C166" s="26" t="s">
        <v>84</v>
      </c>
      <c r="D166" s="10" t="str">
        <f ca="1">IFERROR(__xludf.DUMMYFUNCTION("""COMPUTED_VALUE"""),"Resolución de Transferencia")</f>
        <v>Resolución de Transferencia</v>
      </c>
      <c r="E166" s="26" t="str">
        <f ca="1">IFERROR(__xludf.DUMMYFUNCTION("""COMPUTED_VALUE"""),"ORGANIZACION KUROCHAN PRO ANIMAL TIERRA AMARILLA")</f>
        <v>ORGANIZACION KUROCHAN PRO ANIMAL TIERRA AMARILLA</v>
      </c>
      <c r="F166" s="11">
        <f ca="1">IFERROR(__xludf.DUMMYFUNCTION("""COMPUTED_VALUE"""),11994795)</f>
        <v>11994795</v>
      </c>
      <c r="G166" s="10" t="str">
        <f ca="1">IFERROR(__xludf.DUMMYFUNCTION("""COMPUTED_VALUE"""),"Resolución")</f>
        <v>Resolución</v>
      </c>
      <c r="H166" s="10" t="str">
        <f ca="1">IFERROR(__xludf.DUMMYFUNCTION("""COMPUTED_VALUE"""),"PTRAC Fondos Concursables ONGs")</f>
        <v>PTRAC Fondos Concursables ONGs</v>
      </c>
      <c r="I166" s="10" t="str">
        <f ca="1">IFERROR(__xludf.DUMMYFUNCTION("""COMPUTED_VALUE"""),"Cumplir con normativa y reglamentos internos del programa en base a los objetivos.")</f>
        <v>Cumplir con normativa y reglamentos internos del programa en base a los objetivos.</v>
      </c>
      <c r="J166" s="11">
        <f ca="1">IFERROR(__xludf.DUMMYFUNCTION("""COMPUTED_VALUE"""),11994795)</f>
        <v>11994795</v>
      </c>
      <c r="K166" s="27">
        <f ca="1">IFERROR(__xludf.DUMMYFUNCTION("""COMPUTED_VALUE"""),1)</f>
        <v>1</v>
      </c>
      <c r="L166" s="28" t="str">
        <f ca="1">IFERROR(__xludf.DUMMYFUNCTION("""COMPUTED_VALUE"""),"12543/2024")</f>
        <v>12543/2024</v>
      </c>
      <c r="M166" s="10" t="str">
        <f ca="1">IFERROR(__xludf.DUMMYFUNCTION("""COMPUTED_VALUE"""),"PTRAC")</f>
        <v>PTRAC</v>
      </c>
      <c r="N166" s="1"/>
      <c r="O166" s="1"/>
      <c r="P166" s="1"/>
      <c r="Q166" s="1"/>
      <c r="R166" s="1"/>
      <c r="S166" s="1"/>
      <c r="T166" s="1"/>
      <c r="U166" s="1"/>
      <c r="V166" s="1"/>
      <c r="W166" s="1"/>
      <c r="X166" s="1"/>
      <c r="Y166" s="1"/>
      <c r="Z166" s="1"/>
    </row>
    <row r="167" spans="1:26" ht="12.75" customHeight="1">
      <c r="A167" s="1"/>
      <c r="B167" s="10" t="str">
        <f ca="1">IFERROR(__xludf.DUMMYFUNCTION("""COMPUTED_VALUE"""),"Operativos Esterilización, Asentamientos Vulnerables y Zonas Extremas, 6 Parte E25272/2024")</f>
        <v>Operativos Esterilización, Asentamientos Vulnerables y Zonas Extremas, 6 Parte E25272/2024</v>
      </c>
      <c r="C167" s="26" t="s">
        <v>85</v>
      </c>
      <c r="D167" s="10" t="str">
        <f ca="1">IFERROR(__xludf.DUMMYFUNCTION("""COMPUTED_VALUE"""),"Resolución de Transferencia")</f>
        <v>Resolución de Transferencia</v>
      </c>
      <c r="E167" s="26" t="str">
        <f ca="1">IFERROR(__xludf.DUMMYFUNCTION("""COMPUTED_VALUE"""),"AGRUPACION PROTECTORA DE ANIMALES ANGELES SIN VOZ")</f>
        <v>AGRUPACION PROTECTORA DE ANIMALES ANGELES SIN VOZ</v>
      </c>
      <c r="F167" s="11">
        <f ca="1">IFERROR(__xludf.DUMMYFUNCTION("""COMPUTED_VALUE"""),12000000)</f>
        <v>12000000</v>
      </c>
      <c r="G167" s="10" t="str">
        <f ca="1">IFERROR(__xludf.DUMMYFUNCTION("""COMPUTED_VALUE"""),"Resolución")</f>
        <v>Resolución</v>
      </c>
      <c r="H167" s="10" t="str">
        <f ca="1">IFERROR(__xludf.DUMMYFUNCTION("""COMPUTED_VALUE"""),"PTRAC Fondos Concursables ONGs")</f>
        <v>PTRAC Fondos Concursables ONGs</v>
      </c>
      <c r="I167" s="10" t="str">
        <f ca="1">IFERROR(__xludf.DUMMYFUNCTION("""COMPUTED_VALUE"""),"Cumplir con normativa y reglamentos internos del programa en base a los objetivos.")</f>
        <v>Cumplir con normativa y reglamentos internos del programa en base a los objetivos.</v>
      </c>
      <c r="J167" s="11">
        <f ca="1">IFERROR(__xludf.DUMMYFUNCTION("""COMPUTED_VALUE"""),12000000)</f>
        <v>12000000</v>
      </c>
      <c r="K167" s="27">
        <f ca="1">IFERROR(__xludf.DUMMYFUNCTION("""COMPUTED_VALUE"""),1)</f>
        <v>1</v>
      </c>
      <c r="L167" s="28" t="str">
        <f ca="1">IFERROR(__xludf.DUMMYFUNCTION("""COMPUTED_VALUE"""),"12367/2024")</f>
        <v>12367/2024</v>
      </c>
      <c r="M167" s="10" t="str">
        <f ca="1">IFERROR(__xludf.DUMMYFUNCTION("""COMPUTED_VALUE"""),"PTRAC")</f>
        <v>PTRAC</v>
      </c>
      <c r="N167" s="1"/>
      <c r="O167" s="1"/>
      <c r="P167" s="1"/>
      <c r="Q167" s="1"/>
      <c r="R167" s="1"/>
      <c r="S167" s="1"/>
      <c r="T167" s="1"/>
      <c r="U167" s="1"/>
      <c r="V167" s="1"/>
      <c r="W167" s="1"/>
      <c r="X167" s="1"/>
      <c r="Y167" s="1"/>
      <c r="Z167" s="1"/>
    </row>
    <row r="168" spans="1:26" ht="12.75" customHeight="1">
      <c r="A168" s="1"/>
      <c r="B168" s="10" t="str">
        <f ca="1">IFERROR(__xludf.DUMMYFUNCTION("""COMPUTED_VALUE"""),"Esterilicemos: No más abandono E25273/2024")</f>
        <v>Esterilicemos: No más abandono E25273/2024</v>
      </c>
      <c r="C168" s="26" t="s">
        <v>86</v>
      </c>
      <c r="D168" s="10" t="str">
        <f ca="1">IFERROR(__xludf.DUMMYFUNCTION("""COMPUTED_VALUE"""),"Resolución de Transferencia")</f>
        <v>Resolución de Transferencia</v>
      </c>
      <c r="E168" s="26" t="str">
        <f ca="1">IFERROR(__xludf.DUMMYFUNCTION("""COMPUTED_VALUE"""),"AGRUP. AMIGOS ANIMALISTAS DE RINCONADA")</f>
        <v>AGRUP. AMIGOS ANIMALISTAS DE RINCONADA</v>
      </c>
      <c r="F168" s="11">
        <f ca="1">IFERROR(__xludf.DUMMYFUNCTION("""COMPUTED_VALUE"""),11997450)</f>
        <v>11997450</v>
      </c>
      <c r="G168" s="10" t="str">
        <f ca="1">IFERROR(__xludf.DUMMYFUNCTION("""COMPUTED_VALUE"""),"Resolución")</f>
        <v>Resolución</v>
      </c>
      <c r="H168" s="10" t="str">
        <f ca="1">IFERROR(__xludf.DUMMYFUNCTION("""COMPUTED_VALUE"""),"PTRAC Fondos Concursables ONGs")</f>
        <v>PTRAC Fondos Concursables ONGs</v>
      </c>
      <c r="I168" s="10" t="str">
        <f ca="1">IFERROR(__xludf.DUMMYFUNCTION("""COMPUTED_VALUE"""),"Cumplir con normativa y reglamentos internos del programa en base a los objetivos.")</f>
        <v>Cumplir con normativa y reglamentos internos del programa en base a los objetivos.</v>
      </c>
      <c r="J168" s="11">
        <f ca="1">IFERROR(__xludf.DUMMYFUNCTION("""COMPUTED_VALUE"""),11997450)</f>
        <v>11997450</v>
      </c>
      <c r="K168" s="27">
        <f ca="1">IFERROR(__xludf.DUMMYFUNCTION("""COMPUTED_VALUE"""),1)</f>
        <v>1</v>
      </c>
      <c r="L168" s="28" t="str">
        <f ca="1">IFERROR(__xludf.DUMMYFUNCTION("""COMPUTED_VALUE"""),"12552/2024")</f>
        <v>12552/2024</v>
      </c>
      <c r="M168" s="10" t="str">
        <f ca="1">IFERROR(__xludf.DUMMYFUNCTION("""COMPUTED_VALUE"""),"PTRAC")</f>
        <v>PTRAC</v>
      </c>
      <c r="N168" s="1"/>
      <c r="O168" s="1"/>
      <c r="P168" s="1"/>
      <c r="Q168" s="1"/>
      <c r="R168" s="1"/>
      <c r="S168" s="1"/>
      <c r="T168" s="1"/>
      <c r="U168" s="1"/>
      <c r="V168" s="1"/>
      <c r="W168" s="1"/>
      <c r="X168" s="1"/>
      <c r="Y168" s="1"/>
      <c r="Z168" s="1"/>
    </row>
    <row r="169" spans="1:26" ht="12.75" customHeight="1">
      <c r="A169" s="1"/>
      <c r="B169" s="10" t="str">
        <f ca="1">IFERROR(__xludf.DUMMYFUNCTION("""COMPUTED_VALUE"""),"Protección fauna silvestre de humedales en Dalcahue E25274/2024")</f>
        <v>Protección fauna silvestre de humedales en Dalcahue E25274/2024</v>
      </c>
      <c r="C169" s="26" t="s">
        <v>87</v>
      </c>
      <c r="D169" s="10" t="str">
        <f ca="1">IFERROR(__xludf.DUMMYFUNCTION("""COMPUTED_VALUE"""),"Resolución de Transferencia")</f>
        <v>Resolución de Transferencia</v>
      </c>
      <c r="E169" s="26" t="str">
        <f ca="1">IFERROR(__xludf.DUMMYFUNCTION("""COMPUTED_VALUE"""),"ASOCIACION DE PROTECCION ANIMAL DARWIN")</f>
        <v>ASOCIACION DE PROTECCION ANIMAL DARWIN</v>
      </c>
      <c r="F169" s="11">
        <f ca="1">IFERROR(__xludf.DUMMYFUNCTION("""COMPUTED_VALUE"""),11999990)</f>
        <v>11999990</v>
      </c>
      <c r="G169" s="10" t="str">
        <f ca="1">IFERROR(__xludf.DUMMYFUNCTION("""COMPUTED_VALUE"""),"Resolución")</f>
        <v>Resolución</v>
      </c>
      <c r="H169" s="10" t="str">
        <f ca="1">IFERROR(__xludf.DUMMYFUNCTION("""COMPUTED_VALUE"""),"PTRAC Fondos Concursables ONGs")</f>
        <v>PTRAC Fondos Concursables ONGs</v>
      </c>
      <c r="I169" s="10" t="str">
        <f ca="1">IFERROR(__xludf.DUMMYFUNCTION("""COMPUTED_VALUE"""),"Cumplir con normativa y reglamentos internos del programa en base a los objetivos.")</f>
        <v>Cumplir con normativa y reglamentos internos del programa en base a los objetivos.</v>
      </c>
      <c r="J169" s="11">
        <f ca="1">IFERROR(__xludf.DUMMYFUNCTION("""COMPUTED_VALUE"""),11999990)</f>
        <v>11999990</v>
      </c>
      <c r="K169" s="27">
        <f ca="1">IFERROR(__xludf.DUMMYFUNCTION("""COMPUTED_VALUE"""),1)</f>
        <v>1</v>
      </c>
      <c r="L169" s="28" t="str">
        <f ca="1">IFERROR(__xludf.DUMMYFUNCTION("""COMPUTED_VALUE"""),"12624/2024")</f>
        <v>12624/2024</v>
      </c>
      <c r="M169" s="10" t="str">
        <f ca="1">IFERROR(__xludf.DUMMYFUNCTION("""COMPUTED_VALUE"""),"PTRAC")</f>
        <v>PTRAC</v>
      </c>
      <c r="N169" s="1"/>
      <c r="O169" s="1"/>
      <c r="P169" s="1"/>
      <c r="Q169" s="1"/>
      <c r="R169" s="1"/>
      <c r="S169" s="1"/>
      <c r="T169" s="1"/>
      <c r="U169" s="1"/>
      <c r="V169" s="1"/>
      <c r="W169" s="1"/>
      <c r="X169" s="1"/>
      <c r="Y169" s="1"/>
      <c r="Z169" s="1"/>
    </row>
    <row r="170" spans="1:26" ht="12.75" customHeight="1">
      <c r="A170" s="1"/>
      <c r="B170" s="10" t="str">
        <f ca="1">IFERROR(__xludf.DUMMYFUNCTION("""COMPUTED_VALUE"""),"Salud Mental y Emocional Perruna E25275/2024")</f>
        <v>Salud Mental y Emocional Perruna E25275/2024</v>
      </c>
      <c r="C170" s="26" t="s">
        <v>88</v>
      </c>
      <c r="D170" s="10" t="str">
        <f ca="1">IFERROR(__xludf.DUMMYFUNCTION("""COMPUTED_VALUE"""),"Resolución de Transferencia")</f>
        <v>Resolución de Transferencia</v>
      </c>
      <c r="E170" s="26" t="str">
        <f ca="1">IFERROR(__xludf.DUMMYFUNCTION("""COMPUTED_VALUE"""),"FUNDACION COLECTIVO EMPATIA ANIMAL")</f>
        <v>FUNDACION COLECTIVO EMPATIA ANIMAL</v>
      </c>
      <c r="F170" s="11">
        <f ca="1">IFERROR(__xludf.DUMMYFUNCTION("""COMPUTED_VALUE"""),4986205)</f>
        <v>4986205</v>
      </c>
      <c r="G170" s="10" t="str">
        <f ca="1">IFERROR(__xludf.DUMMYFUNCTION("""COMPUTED_VALUE"""),"Resolución")</f>
        <v>Resolución</v>
      </c>
      <c r="H170" s="10" t="str">
        <f ca="1">IFERROR(__xludf.DUMMYFUNCTION("""COMPUTED_VALUE"""),"PTRAC Fondos Concursables ONGs")</f>
        <v>PTRAC Fondos Concursables ONGs</v>
      </c>
      <c r="I170" s="10" t="str">
        <f ca="1">IFERROR(__xludf.DUMMYFUNCTION("""COMPUTED_VALUE"""),"Cumplir con normativa y reglamentos internos del programa en base a los objetivos.")</f>
        <v>Cumplir con normativa y reglamentos internos del programa en base a los objetivos.</v>
      </c>
      <c r="J170" s="11">
        <f ca="1">IFERROR(__xludf.DUMMYFUNCTION("""COMPUTED_VALUE"""),4986205)</f>
        <v>4986205</v>
      </c>
      <c r="K170" s="27">
        <f ca="1">IFERROR(__xludf.DUMMYFUNCTION("""COMPUTED_VALUE"""),1)</f>
        <v>1</v>
      </c>
      <c r="L170" s="28" t="str">
        <f ca="1">IFERROR(__xludf.DUMMYFUNCTION("""COMPUTED_VALUE"""),"12625/2024")</f>
        <v>12625/2024</v>
      </c>
      <c r="M170" s="10" t="str">
        <f ca="1">IFERROR(__xludf.DUMMYFUNCTION("""COMPUTED_VALUE"""),"PTRAC")</f>
        <v>PTRAC</v>
      </c>
      <c r="N170" s="1"/>
      <c r="O170" s="1"/>
      <c r="P170" s="1"/>
      <c r="Q170" s="1"/>
      <c r="R170" s="1"/>
      <c r="S170" s="1"/>
      <c r="T170" s="1"/>
      <c r="U170" s="1"/>
      <c r="V170" s="1"/>
      <c r="W170" s="1"/>
      <c r="X170" s="1"/>
      <c r="Y170" s="1"/>
      <c r="Z170" s="1"/>
    </row>
    <row r="171" spans="1:26" ht="12.75" customHeight="1">
      <c r="A171" s="1"/>
      <c r="B171" s="10" t="str">
        <f ca="1">IFERROR(__xludf.DUMMYFUNCTION("""COMPUTED_VALUE"""),"Hogar seguro E25276/2024")</f>
        <v>Hogar seguro E25276/2024</v>
      </c>
      <c r="C171" s="26" t="s">
        <v>89</v>
      </c>
      <c r="D171" s="10" t="str">
        <f ca="1">IFERROR(__xludf.DUMMYFUNCTION("""COMPUTED_VALUE"""),"Resolución de Transferencia")</f>
        <v>Resolución de Transferencia</v>
      </c>
      <c r="E171" s="26" t="str">
        <f ca="1">IFERROR(__xludf.DUMMYFUNCTION("""COMPUTED_VALUE"""),"CORPORACION DE AYUDA A LOS ANIMALES Y AL MEDIO AMBIENTE")</f>
        <v>CORPORACION DE AYUDA A LOS ANIMALES Y AL MEDIO AMBIENTE</v>
      </c>
      <c r="F171" s="11">
        <f ca="1">IFERROR(__xludf.DUMMYFUNCTION("""COMPUTED_VALUE"""),4868795)</f>
        <v>4868795</v>
      </c>
      <c r="G171" s="10" t="str">
        <f ca="1">IFERROR(__xludf.DUMMYFUNCTION("""COMPUTED_VALUE"""),"Resolución")</f>
        <v>Resolución</v>
      </c>
      <c r="H171" s="10" t="str">
        <f ca="1">IFERROR(__xludf.DUMMYFUNCTION("""COMPUTED_VALUE"""),"PTRAC Fondos Concursables ONGs")</f>
        <v>PTRAC Fondos Concursables ONGs</v>
      </c>
      <c r="I171" s="10" t="str">
        <f ca="1">IFERROR(__xludf.DUMMYFUNCTION("""COMPUTED_VALUE"""),"Cumplir con normativa y reglamentos internos del programa en base a los objetivos.")</f>
        <v>Cumplir con normativa y reglamentos internos del programa en base a los objetivos.</v>
      </c>
      <c r="J171" s="11">
        <f ca="1">IFERROR(__xludf.DUMMYFUNCTION("""COMPUTED_VALUE"""),4868795)</f>
        <v>4868795</v>
      </c>
      <c r="K171" s="27">
        <f ca="1">IFERROR(__xludf.DUMMYFUNCTION("""COMPUTED_VALUE"""),1)</f>
        <v>1</v>
      </c>
      <c r="L171" s="28" t="str">
        <f ca="1">IFERROR(__xludf.DUMMYFUNCTION("""COMPUTED_VALUE"""),"12584/2024")</f>
        <v>12584/2024</v>
      </c>
      <c r="M171" s="10" t="str">
        <f ca="1">IFERROR(__xludf.DUMMYFUNCTION("""COMPUTED_VALUE"""),"PTRAC")</f>
        <v>PTRAC</v>
      </c>
      <c r="N171" s="1"/>
      <c r="O171" s="1"/>
      <c r="P171" s="1"/>
      <c r="Q171" s="1"/>
      <c r="R171" s="1"/>
      <c r="S171" s="1"/>
      <c r="T171" s="1"/>
      <c r="U171" s="1"/>
      <c r="V171" s="1"/>
      <c r="W171" s="1"/>
      <c r="X171" s="1"/>
      <c r="Y171" s="1"/>
      <c r="Z171" s="1"/>
    </row>
    <row r="172" spans="1:26" ht="12.75" customHeight="1">
      <c r="A172" s="1"/>
      <c r="B172" s="10" t="str">
        <f ca="1">IFERROR(__xludf.DUMMYFUNCTION("""COMPUTED_VALUE"""),"Proyecto de control reproductivo para el pueblo del Romero y sus alrededores E25277/2024")</f>
        <v>Proyecto de control reproductivo para el pueblo del Romero y sus alrededores E25277/2024</v>
      </c>
      <c r="C172" s="26" t="s">
        <v>90</v>
      </c>
      <c r="D172" s="10" t="str">
        <f ca="1">IFERROR(__xludf.DUMMYFUNCTION("""COMPUTED_VALUE"""),"Resolución de Transferencia")</f>
        <v>Resolución de Transferencia</v>
      </c>
      <c r="E172" s="26" t="str">
        <f ca="1">IFERROR(__xludf.DUMMYFUNCTION("""COMPUTED_VALUE"""),"CORPORACION DE AYUDA AL ANIMAL ABANDONADO ANIMALISTA COQUIMBO-LA SEREN")</f>
        <v>CORPORACION DE AYUDA AL ANIMAL ABANDONADO ANIMALISTA COQUIMBO-LA SEREN</v>
      </c>
      <c r="F172" s="11">
        <f ca="1">IFERROR(__xludf.DUMMYFUNCTION("""COMPUTED_VALUE"""),10703750)</f>
        <v>10703750</v>
      </c>
      <c r="G172" s="10" t="str">
        <f ca="1">IFERROR(__xludf.DUMMYFUNCTION("""COMPUTED_VALUE"""),"Resolución")</f>
        <v>Resolución</v>
      </c>
      <c r="H172" s="10" t="str">
        <f ca="1">IFERROR(__xludf.DUMMYFUNCTION("""COMPUTED_VALUE"""),"PTRAC Fondos Concursables ONGs")</f>
        <v>PTRAC Fondos Concursables ONGs</v>
      </c>
      <c r="I172" s="10" t="str">
        <f ca="1">IFERROR(__xludf.DUMMYFUNCTION("""COMPUTED_VALUE"""),"Cumplir con normativa y reglamentos internos del programa en base a los objetivos.")</f>
        <v>Cumplir con normativa y reglamentos internos del programa en base a los objetivos.</v>
      </c>
      <c r="J172" s="11">
        <f ca="1">IFERROR(__xludf.DUMMYFUNCTION("""COMPUTED_VALUE"""),10703750)</f>
        <v>10703750</v>
      </c>
      <c r="K172" s="27">
        <f ca="1">IFERROR(__xludf.DUMMYFUNCTION("""COMPUTED_VALUE"""),1)</f>
        <v>1</v>
      </c>
      <c r="L172" s="28" t="str">
        <f ca="1">IFERROR(__xludf.DUMMYFUNCTION("""COMPUTED_VALUE"""),"12632/2024")</f>
        <v>12632/2024</v>
      </c>
      <c r="M172" s="10" t="str">
        <f ca="1">IFERROR(__xludf.DUMMYFUNCTION("""COMPUTED_VALUE"""),"PTRAC")</f>
        <v>PTRAC</v>
      </c>
      <c r="N172" s="1"/>
      <c r="O172" s="1"/>
      <c r="P172" s="1"/>
      <c r="Q172" s="1"/>
      <c r="R172" s="1"/>
      <c r="S172" s="1"/>
      <c r="T172" s="1"/>
      <c r="U172" s="1"/>
      <c r="V172" s="1"/>
      <c r="W172" s="1"/>
      <c r="X172" s="1"/>
      <c r="Y172" s="1"/>
      <c r="Z172" s="1"/>
    </row>
    <row r="173" spans="1:26" ht="12.75" customHeight="1">
      <c r="A173" s="1"/>
      <c r="B173" s="10" t="str">
        <f ca="1">IFERROR(__xludf.DUMMYFUNCTION("""COMPUTED_VALUE"""),"Atención veterinaria Chaitén, Palena, Futaleufú, Hornopirén, Contao, Piedra Azul, Región de Los Lagos E25278/2024")</f>
        <v>Atención veterinaria Chaitén, Palena, Futaleufú, Hornopirén, Contao, Piedra Azul, Región de Los Lagos E25278/2024</v>
      </c>
      <c r="C173" s="26" t="s">
        <v>91</v>
      </c>
      <c r="D173" s="10" t="str">
        <f ca="1">IFERROR(__xludf.DUMMYFUNCTION("""COMPUTED_VALUE"""),"Resolución de Transferencia")</f>
        <v>Resolución de Transferencia</v>
      </c>
      <c r="E173" s="26" t="str">
        <f ca="1">IFERROR(__xludf.DUMMYFUNCTION("""COMPUTED_VALUE"""),"AGRUPACION PARA LA DEFENSA DE LOS ANIMALES DE CHAITEN")</f>
        <v>AGRUPACION PARA LA DEFENSA DE LOS ANIMALES DE CHAITEN</v>
      </c>
      <c r="F173" s="11">
        <f ca="1">IFERROR(__xludf.DUMMYFUNCTION("""COMPUTED_VALUE"""),12000000)</f>
        <v>12000000</v>
      </c>
      <c r="G173" s="10" t="str">
        <f ca="1">IFERROR(__xludf.DUMMYFUNCTION("""COMPUTED_VALUE"""),"Resolución")</f>
        <v>Resolución</v>
      </c>
      <c r="H173" s="10" t="str">
        <f ca="1">IFERROR(__xludf.DUMMYFUNCTION("""COMPUTED_VALUE"""),"PTRAC Fondos Concursables ONGs")</f>
        <v>PTRAC Fondos Concursables ONGs</v>
      </c>
      <c r="I173" s="10" t="str">
        <f ca="1">IFERROR(__xludf.DUMMYFUNCTION("""COMPUTED_VALUE"""),"Cumplir con normativa y reglamentos internos del programa en base a los objetivos.")</f>
        <v>Cumplir con normativa y reglamentos internos del programa en base a los objetivos.</v>
      </c>
      <c r="J173" s="11">
        <f ca="1">IFERROR(__xludf.DUMMYFUNCTION("""COMPUTED_VALUE"""),12000000)</f>
        <v>12000000</v>
      </c>
      <c r="K173" s="27">
        <f ca="1">IFERROR(__xludf.DUMMYFUNCTION("""COMPUTED_VALUE"""),1)</f>
        <v>1</v>
      </c>
      <c r="L173" s="28" t="str">
        <f ca="1">IFERROR(__xludf.DUMMYFUNCTION("""COMPUTED_VALUE"""),"12369/2024")</f>
        <v>12369/2024</v>
      </c>
      <c r="M173" s="10" t="str">
        <f ca="1">IFERROR(__xludf.DUMMYFUNCTION("""COMPUTED_VALUE"""),"PTRAC")</f>
        <v>PTRAC</v>
      </c>
      <c r="N173" s="1"/>
      <c r="O173" s="1"/>
      <c r="P173" s="1"/>
      <c r="Q173" s="1"/>
      <c r="R173" s="1"/>
      <c r="S173" s="1"/>
      <c r="T173" s="1"/>
      <c r="U173" s="1"/>
      <c r="V173" s="1"/>
      <c r="W173" s="1"/>
      <c r="X173" s="1"/>
      <c r="Y173" s="1"/>
      <c r="Z173" s="1"/>
    </row>
    <row r="174" spans="1:26" ht="12.75" customHeight="1">
      <c r="A174" s="1"/>
      <c r="B174" s="10" t="str">
        <f ca="1">IFERROR(__xludf.DUMMYFUNCTION("""COMPUTED_VALUE"""),"Desafiando la sobrepoblación con esterilización E25279/2024")</f>
        <v>Desafiando la sobrepoblación con esterilización E25279/2024</v>
      </c>
      <c r="C174" s="26" t="s">
        <v>92</v>
      </c>
      <c r="D174" s="10" t="str">
        <f ca="1">IFERROR(__xludf.DUMMYFUNCTION("""COMPUTED_VALUE"""),"Resolución de Transferencia")</f>
        <v>Resolución de Transferencia</v>
      </c>
      <c r="E174" s="26" t="str">
        <f ca="1">IFERROR(__xludf.DUMMYFUNCTION("""COMPUTED_VALUE"""),"FUNDACIOM ESPERANZA ANIMAL")</f>
        <v>FUNDACIOM ESPERANZA ANIMAL</v>
      </c>
      <c r="F174" s="11">
        <f ca="1">IFERROR(__xludf.DUMMYFUNCTION("""COMPUTED_VALUE"""),11998134)</f>
        <v>11998134</v>
      </c>
      <c r="G174" s="10" t="str">
        <f ca="1">IFERROR(__xludf.DUMMYFUNCTION("""COMPUTED_VALUE"""),"Resolución")</f>
        <v>Resolución</v>
      </c>
      <c r="H174" s="10" t="str">
        <f ca="1">IFERROR(__xludf.DUMMYFUNCTION("""COMPUTED_VALUE"""),"PTRAC Fondos Concursables ONGs")</f>
        <v>PTRAC Fondos Concursables ONGs</v>
      </c>
      <c r="I174" s="10" t="str">
        <f ca="1">IFERROR(__xludf.DUMMYFUNCTION("""COMPUTED_VALUE"""),"Cumplir con normativa y reglamentos internos del programa en base a los objetivos.")</f>
        <v>Cumplir con normativa y reglamentos internos del programa en base a los objetivos.</v>
      </c>
      <c r="J174" s="11">
        <f ca="1">IFERROR(__xludf.DUMMYFUNCTION("""COMPUTED_VALUE"""),11998134)</f>
        <v>11998134</v>
      </c>
      <c r="K174" s="27">
        <f ca="1">IFERROR(__xludf.DUMMYFUNCTION("""COMPUTED_VALUE"""),1)</f>
        <v>1</v>
      </c>
      <c r="L174" s="28" t="str">
        <f ca="1">IFERROR(__xludf.DUMMYFUNCTION("""COMPUTED_VALUE"""),"12581/2024")</f>
        <v>12581/2024</v>
      </c>
      <c r="M174" s="10" t="str">
        <f ca="1">IFERROR(__xludf.DUMMYFUNCTION("""COMPUTED_VALUE"""),"PTRAC")</f>
        <v>PTRAC</v>
      </c>
      <c r="N174" s="1"/>
      <c r="O174" s="1"/>
      <c r="P174" s="1"/>
      <c r="Q174" s="1"/>
      <c r="R174" s="1"/>
      <c r="S174" s="1"/>
      <c r="T174" s="1"/>
      <c r="U174" s="1"/>
      <c r="V174" s="1"/>
      <c r="W174" s="1"/>
      <c r="X174" s="1"/>
      <c r="Y174" s="1"/>
      <c r="Z174" s="1"/>
    </row>
    <row r="175" spans="1:26" ht="12.75" customHeight="1">
      <c r="A175" s="1"/>
      <c r="B175" s="10" t="str">
        <f ca="1">IFERROR(__xludf.DUMMYFUNCTION("""COMPUTED_VALUE"""),"Jornadas de vacunación, desparasitación e identificación en la comuna de Lonquimay E25280/2024")</f>
        <v>Jornadas de vacunación, desparasitación e identificación en la comuna de Lonquimay E25280/2024</v>
      </c>
      <c r="C175" s="26" t="s">
        <v>93</v>
      </c>
      <c r="D175" s="10" t="str">
        <f ca="1">IFERROR(__xludf.DUMMYFUNCTION("""COMPUTED_VALUE"""),"Resolución de Transferencia")</f>
        <v>Resolución de Transferencia</v>
      </c>
      <c r="E175" s="26" t="str">
        <f ca="1">IFERROR(__xludf.DUMMYFUNCTION("""COMPUTED_VALUE"""),"LUCHA POR LOS SIN VOZ")</f>
        <v>LUCHA POR LOS SIN VOZ</v>
      </c>
      <c r="F175" s="11">
        <f ca="1">IFERROR(__xludf.DUMMYFUNCTION("""COMPUTED_VALUE"""),10277091)</f>
        <v>10277091</v>
      </c>
      <c r="G175" s="10" t="str">
        <f ca="1">IFERROR(__xludf.DUMMYFUNCTION("""COMPUTED_VALUE"""),"Resolución")</f>
        <v>Resolución</v>
      </c>
      <c r="H175" s="10" t="str">
        <f ca="1">IFERROR(__xludf.DUMMYFUNCTION("""COMPUTED_VALUE"""),"PTRAC Fondos Concursables ONGs")</f>
        <v>PTRAC Fondos Concursables ONGs</v>
      </c>
      <c r="I175" s="10" t="str">
        <f ca="1">IFERROR(__xludf.DUMMYFUNCTION("""COMPUTED_VALUE"""),"Cumplir con normativa y reglamentos internos del programa en base a los objetivos.")</f>
        <v>Cumplir con normativa y reglamentos internos del programa en base a los objetivos.</v>
      </c>
      <c r="J175" s="11">
        <f ca="1">IFERROR(__xludf.DUMMYFUNCTION("""COMPUTED_VALUE"""),10277091)</f>
        <v>10277091</v>
      </c>
      <c r="K175" s="27">
        <f ca="1">IFERROR(__xludf.DUMMYFUNCTION("""COMPUTED_VALUE"""),1)</f>
        <v>1</v>
      </c>
      <c r="L175" s="28" t="str">
        <f ca="1">IFERROR(__xludf.DUMMYFUNCTION("""COMPUTED_VALUE"""),"12563/2024")</f>
        <v>12563/2024</v>
      </c>
      <c r="M175" s="10" t="str">
        <f ca="1">IFERROR(__xludf.DUMMYFUNCTION("""COMPUTED_VALUE"""),"PTRAC")</f>
        <v>PTRAC</v>
      </c>
      <c r="N175" s="1"/>
      <c r="O175" s="1"/>
      <c r="P175" s="1"/>
      <c r="Q175" s="1"/>
      <c r="R175" s="1"/>
      <c r="S175" s="1"/>
      <c r="T175" s="1"/>
      <c r="U175" s="1"/>
      <c r="V175" s="1"/>
      <c r="W175" s="1"/>
      <c r="X175" s="1"/>
      <c r="Y175" s="1"/>
      <c r="Z175" s="1"/>
    </row>
    <row r="176" spans="1:26" ht="12.75" customHeight="1">
      <c r="A176" s="1"/>
      <c r="B176" s="10" t="str">
        <f ca="1">IFERROR(__xludf.DUMMYFUNCTION("""COMPUTED_VALUE"""),"De Cuidador a Compañero: Seminario de Bienestar Animal E25281/2024")</f>
        <v>De Cuidador a Compañero: Seminario de Bienestar Animal E25281/2024</v>
      </c>
      <c r="C176" s="26" t="s">
        <v>94</v>
      </c>
      <c r="D176" s="10" t="str">
        <f ca="1">IFERROR(__xludf.DUMMYFUNCTION("""COMPUTED_VALUE"""),"Resolución de Transferencia")</f>
        <v>Resolución de Transferencia</v>
      </c>
      <c r="E176" s="26" t="str">
        <f ca="1">IFERROR(__xludf.DUMMYFUNCTION("""COMPUTED_VALUE"""),"FUNDACION HUELLA ANIMAL")</f>
        <v>FUNDACION HUELLA ANIMAL</v>
      </c>
      <c r="F176" s="11">
        <f ca="1">IFERROR(__xludf.DUMMYFUNCTION("""COMPUTED_VALUE"""),4890559)</f>
        <v>4890559</v>
      </c>
      <c r="G176" s="10" t="str">
        <f ca="1">IFERROR(__xludf.DUMMYFUNCTION("""COMPUTED_VALUE"""),"Resolución")</f>
        <v>Resolución</v>
      </c>
      <c r="H176" s="10" t="str">
        <f ca="1">IFERROR(__xludf.DUMMYFUNCTION("""COMPUTED_VALUE"""),"PTRAC Fondos Concursables ONGs")</f>
        <v>PTRAC Fondos Concursables ONGs</v>
      </c>
      <c r="I176" s="10" t="str">
        <f ca="1">IFERROR(__xludf.DUMMYFUNCTION("""COMPUTED_VALUE"""),"Cumplir con normativa y reglamentos internos del programa en base a los objetivos.")</f>
        <v>Cumplir con normativa y reglamentos internos del programa en base a los objetivos.</v>
      </c>
      <c r="J176" s="11">
        <f ca="1">IFERROR(__xludf.DUMMYFUNCTION("""COMPUTED_VALUE"""),4890559)</f>
        <v>4890559</v>
      </c>
      <c r="K176" s="27">
        <f ca="1">IFERROR(__xludf.DUMMYFUNCTION("""COMPUTED_VALUE"""),1)</f>
        <v>1</v>
      </c>
      <c r="L176" s="28" t="str">
        <f ca="1">IFERROR(__xludf.DUMMYFUNCTION("""COMPUTED_VALUE"""),"12475/2024")</f>
        <v>12475/2024</v>
      </c>
      <c r="M176" s="10" t="str">
        <f ca="1">IFERROR(__xludf.DUMMYFUNCTION("""COMPUTED_VALUE"""),"PTRAC")</f>
        <v>PTRAC</v>
      </c>
      <c r="N176" s="1"/>
      <c r="O176" s="1"/>
      <c r="P176" s="1"/>
      <c r="Q176" s="1"/>
      <c r="R176" s="1"/>
      <c r="S176" s="1"/>
      <c r="T176" s="1"/>
      <c r="U176" s="1"/>
      <c r="V176" s="1"/>
      <c r="W176" s="1"/>
      <c r="X176" s="1"/>
      <c r="Y176" s="1"/>
      <c r="Z176" s="1"/>
    </row>
    <row r="177" spans="1:26" ht="12.75" customHeight="1">
      <c r="A177" s="1"/>
      <c r="B177" s="10" t="str">
        <f ca="1">IFERROR(__xludf.DUMMYFUNCTION("""COMPUTED_VALUE"""),"Mejorando la Condición Sanitaria de Los Andes Mediante la Tenencia Responsable de Mascotas E25282/2024")</f>
        <v>Mejorando la Condición Sanitaria de Los Andes Mediante la Tenencia Responsable de Mascotas E25282/2024</v>
      </c>
      <c r="C177" s="26" t="s">
        <v>95</v>
      </c>
      <c r="D177" s="10" t="str">
        <f ca="1">IFERROR(__xludf.DUMMYFUNCTION("""COMPUTED_VALUE"""),"Resolución de Transferencia")</f>
        <v>Resolución de Transferencia</v>
      </c>
      <c r="E177" s="26" t="str">
        <f ca="1">IFERROR(__xludf.DUMMYFUNCTION("""COMPUTED_VALUE"""),"AGRUPACION PATITAS DE AMOR")</f>
        <v>AGRUPACION PATITAS DE AMOR</v>
      </c>
      <c r="F177" s="11">
        <f ca="1">IFERROR(__xludf.DUMMYFUNCTION("""COMPUTED_VALUE"""),11989190)</f>
        <v>11989190</v>
      </c>
      <c r="G177" s="10" t="str">
        <f ca="1">IFERROR(__xludf.DUMMYFUNCTION("""COMPUTED_VALUE"""),"Resolución")</f>
        <v>Resolución</v>
      </c>
      <c r="H177" s="10" t="str">
        <f ca="1">IFERROR(__xludf.DUMMYFUNCTION("""COMPUTED_VALUE"""),"PTRAC Fondos Concursables ONGs")</f>
        <v>PTRAC Fondos Concursables ONGs</v>
      </c>
      <c r="I177" s="10" t="str">
        <f ca="1">IFERROR(__xludf.DUMMYFUNCTION("""COMPUTED_VALUE"""),"Cumplir con normativa y reglamentos internos del programa en base a los objetivos.")</f>
        <v>Cumplir con normativa y reglamentos internos del programa en base a los objetivos.</v>
      </c>
      <c r="J177" s="11">
        <f ca="1">IFERROR(__xludf.DUMMYFUNCTION("""COMPUTED_VALUE"""),11989190)</f>
        <v>11989190</v>
      </c>
      <c r="K177" s="27">
        <f ca="1">IFERROR(__xludf.DUMMYFUNCTION("""COMPUTED_VALUE"""),1)</f>
        <v>1</v>
      </c>
      <c r="L177" s="28" t="str">
        <f ca="1">IFERROR(__xludf.DUMMYFUNCTION("""COMPUTED_VALUE"""),"12479/2024")</f>
        <v>12479/2024</v>
      </c>
      <c r="M177" s="10" t="str">
        <f ca="1">IFERROR(__xludf.DUMMYFUNCTION("""COMPUTED_VALUE"""),"PTRAC")</f>
        <v>PTRAC</v>
      </c>
      <c r="N177" s="1"/>
      <c r="O177" s="1"/>
      <c r="P177" s="1"/>
      <c r="Q177" s="1"/>
      <c r="R177" s="1"/>
      <c r="S177" s="1"/>
      <c r="T177" s="1"/>
      <c r="U177" s="1"/>
      <c r="V177" s="1"/>
      <c r="W177" s="1"/>
      <c r="X177" s="1"/>
      <c r="Y177" s="1"/>
      <c r="Z177" s="1"/>
    </row>
    <row r="178" spans="1:26" ht="12.75" customHeight="1">
      <c r="A178" s="1"/>
      <c r="B178" s="10" t="str">
        <f ca="1">IFERROR(__xludf.DUMMYFUNCTION("""COMPUTED_VALUE"""),"Campaña de Atención Veterinaria para Caninos y Felinos en condición de abandono en la comuna de Punta Arenas E25283/2024")</f>
        <v>Campaña de Atención Veterinaria para Caninos y Felinos en condición de abandono en la comuna de Punta Arenas E25283/2024</v>
      </c>
      <c r="C178" s="26" t="s">
        <v>96</v>
      </c>
      <c r="D178" s="10" t="str">
        <f ca="1">IFERROR(__xludf.DUMMYFUNCTION("""COMPUTED_VALUE"""),"Resolución de Transferencia")</f>
        <v>Resolución de Transferencia</v>
      </c>
      <c r="E178" s="26" t="str">
        <f ca="1">IFERROR(__xludf.DUMMYFUNCTION("""COMPUTED_VALUE"""),"FUNDACION DE AYUDA SASHA")</f>
        <v>FUNDACION DE AYUDA SASHA</v>
      </c>
      <c r="F178" s="11">
        <f ca="1">IFERROR(__xludf.DUMMYFUNCTION("""COMPUTED_VALUE"""),5965200)</f>
        <v>5965200</v>
      </c>
      <c r="G178" s="10" t="str">
        <f ca="1">IFERROR(__xludf.DUMMYFUNCTION("""COMPUTED_VALUE"""),"Resolución")</f>
        <v>Resolución</v>
      </c>
      <c r="H178" s="10" t="str">
        <f ca="1">IFERROR(__xludf.DUMMYFUNCTION("""COMPUTED_VALUE"""),"PTRAC Fondos Concursables ONGs")</f>
        <v>PTRAC Fondos Concursables ONGs</v>
      </c>
      <c r="I178" s="10" t="str">
        <f ca="1">IFERROR(__xludf.DUMMYFUNCTION("""COMPUTED_VALUE"""),"Cumplir con normativa y reglamentos internos del programa en base a los objetivos.")</f>
        <v>Cumplir con normativa y reglamentos internos del programa en base a los objetivos.</v>
      </c>
      <c r="J178" s="11">
        <f ca="1">IFERROR(__xludf.DUMMYFUNCTION("""COMPUTED_VALUE"""),5965200)</f>
        <v>5965200</v>
      </c>
      <c r="K178" s="27">
        <f ca="1">IFERROR(__xludf.DUMMYFUNCTION("""COMPUTED_VALUE"""),1)</f>
        <v>1</v>
      </c>
      <c r="L178" s="28" t="str">
        <f ca="1">IFERROR(__xludf.DUMMYFUNCTION("""COMPUTED_VALUE"""),"12523/2024")</f>
        <v>12523/2024</v>
      </c>
      <c r="M178" s="10" t="str">
        <f ca="1">IFERROR(__xludf.DUMMYFUNCTION("""COMPUTED_VALUE"""),"PTRAC")</f>
        <v>PTRAC</v>
      </c>
      <c r="N178" s="1"/>
      <c r="O178" s="1"/>
      <c r="P178" s="1"/>
      <c r="Q178" s="1"/>
      <c r="R178" s="1"/>
      <c r="S178" s="1"/>
      <c r="T178" s="1"/>
      <c r="U178" s="1"/>
      <c r="V178" s="1"/>
      <c r="W178" s="1"/>
      <c r="X178" s="1"/>
      <c r="Y178" s="1"/>
      <c r="Z178" s="1"/>
    </row>
    <row r="179" spans="1:26" ht="12.75" customHeight="1">
      <c r="A179" s="1"/>
      <c r="B179" s="10" t="str">
        <f ca="1">IFERROR(__xludf.DUMMYFUNCTION("""COMPUTED_VALUE"""),"Esterilizaciones Gratuitas para Mascotas de Mejillones E25284/2024")</f>
        <v>Esterilizaciones Gratuitas para Mascotas de Mejillones E25284/2024</v>
      </c>
      <c r="C179" s="26" t="s">
        <v>97</v>
      </c>
      <c r="D179" s="10" t="str">
        <f ca="1">IFERROR(__xludf.DUMMYFUNCTION("""COMPUTED_VALUE"""),"Resolución de Transferencia")</f>
        <v>Resolución de Transferencia</v>
      </c>
      <c r="E179" s="26" t="str">
        <f ca="1">IFERROR(__xludf.DUMMYFUNCTION("""COMPUTED_VALUE"""),"AMIGOS DE LOS PERROS CALLEJEROS DE MEJILLONES")</f>
        <v>AMIGOS DE LOS PERROS CALLEJEROS DE MEJILLONES</v>
      </c>
      <c r="F179" s="11">
        <f ca="1">IFERROR(__xludf.DUMMYFUNCTION("""COMPUTED_VALUE"""),11953090)</f>
        <v>11953090</v>
      </c>
      <c r="G179" s="10" t="str">
        <f ca="1">IFERROR(__xludf.DUMMYFUNCTION("""COMPUTED_VALUE"""),"Resolución")</f>
        <v>Resolución</v>
      </c>
      <c r="H179" s="10" t="str">
        <f ca="1">IFERROR(__xludf.DUMMYFUNCTION("""COMPUTED_VALUE"""),"PTRAC Fondos Concursables ONGs")</f>
        <v>PTRAC Fondos Concursables ONGs</v>
      </c>
      <c r="I179" s="10" t="str">
        <f ca="1">IFERROR(__xludf.DUMMYFUNCTION("""COMPUTED_VALUE"""),"Cumplir con normativa y reglamentos internos del programa en base a los objetivos.")</f>
        <v>Cumplir con normativa y reglamentos internos del programa en base a los objetivos.</v>
      </c>
      <c r="J179" s="11">
        <f ca="1">IFERROR(__xludf.DUMMYFUNCTION("""COMPUTED_VALUE"""),11953090)</f>
        <v>11953090</v>
      </c>
      <c r="K179" s="27">
        <f ca="1">IFERROR(__xludf.DUMMYFUNCTION("""COMPUTED_VALUE"""),1)</f>
        <v>1</v>
      </c>
      <c r="L179" s="28" t="str">
        <f ca="1">IFERROR(__xludf.DUMMYFUNCTION("""COMPUTED_VALUE"""),"12544/2024")</f>
        <v>12544/2024</v>
      </c>
      <c r="M179" s="10" t="str">
        <f ca="1">IFERROR(__xludf.DUMMYFUNCTION("""COMPUTED_VALUE"""),"PTRAC")</f>
        <v>PTRAC</v>
      </c>
      <c r="N179" s="1"/>
      <c r="O179" s="1"/>
      <c r="P179" s="1"/>
      <c r="Q179" s="1"/>
      <c r="R179" s="1"/>
      <c r="S179" s="1"/>
      <c r="T179" s="1"/>
      <c r="U179" s="1"/>
      <c r="V179" s="1"/>
      <c r="W179" s="1"/>
      <c r="X179" s="1"/>
      <c r="Y179" s="1"/>
      <c r="Z179" s="1"/>
    </row>
    <row r="180" spans="1:26" ht="12.75" customHeight="1">
      <c r="A180" s="1"/>
      <c r="B180" s="10" t="str">
        <f ca="1">IFERROR(__xludf.DUMMYFUNCTION("""COMPUTED_VALUE"""),"Un futuro para huellas E25285/2024")</f>
        <v>Un futuro para huellas E25285/2024</v>
      </c>
      <c r="C180" s="26" t="s">
        <v>98</v>
      </c>
      <c r="D180" s="10" t="str">
        <f ca="1">IFERROR(__xludf.DUMMYFUNCTION("""COMPUTED_VALUE"""),"Resolución de Transferencia")</f>
        <v>Resolución de Transferencia</v>
      </c>
      <c r="E180" s="26" t="str">
        <f ca="1">IFERROR(__xludf.DUMMYFUNCTION("""COMPUTED_VALUE"""),"ORGANISMO PRO ANIMAL HUELLAS")</f>
        <v>ORGANISMO PRO ANIMAL HUELLAS</v>
      </c>
      <c r="F180" s="11">
        <f ca="1">IFERROR(__xludf.DUMMYFUNCTION("""COMPUTED_VALUE"""),4999721)</f>
        <v>4999721</v>
      </c>
      <c r="G180" s="10" t="str">
        <f ca="1">IFERROR(__xludf.DUMMYFUNCTION("""COMPUTED_VALUE"""),"Resolución")</f>
        <v>Resolución</v>
      </c>
      <c r="H180" s="10" t="str">
        <f ca="1">IFERROR(__xludf.DUMMYFUNCTION("""COMPUTED_VALUE"""),"PTRAC Fondos Concursables ONGs")</f>
        <v>PTRAC Fondos Concursables ONGs</v>
      </c>
      <c r="I180" s="10" t="str">
        <f ca="1">IFERROR(__xludf.DUMMYFUNCTION("""COMPUTED_VALUE"""),"Cumplir con normativa y reglamentos internos del programa en base a los objetivos.")</f>
        <v>Cumplir con normativa y reglamentos internos del programa en base a los objetivos.</v>
      </c>
      <c r="J180" s="11">
        <f ca="1">IFERROR(__xludf.DUMMYFUNCTION("""COMPUTED_VALUE"""),4999721)</f>
        <v>4999721</v>
      </c>
      <c r="K180" s="27">
        <f ca="1">IFERROR(__xludf.DUMMYFUNCTION("""COMPUTED_VALUE"""),1)</f>
        <v>1</v>
      </c>
      <c r="L180" s="28" t="str">
        <f ca="1">IFERROR(__xludf.DUMMYFUNCTION("""COMPUTED_VALUE"""),"12586/2024")</f>
        <v>12586/2024</v>
      </c>
      <c r="M180" s="10" t="str">
        <f ca="1">IFERROR(__xludf.DUMMYFUNCTION("""COMPUTED_VALUE"""),"PTRAC")</f>
        <v>PTRAC</v>
      </c>
      <c r="N180" s="1"/>
      <c r="O180" s="1"/>
      <c r="P180" s="1"/>
      <c r="Q180" s="1"/>
      <c r="R180" s="1"/>
      <c r="S180" s="1"/>
      <c r="T180" s="1"/>
      <c r="U180" s="1"/>
      <c r="V180" s="1"/>
      <c r="W180" s="1"/>
      <c r="X180" s="1"/>
      <c r="Y180" s="1"/>
      <c r="Z180" s="1"/>
    </row>
    <row r="181" spans="1:26" ht="12.75" customHeight="1">
      <c r="A181" s="1"/>
      <c r="B181" s="10" t="str">
        <f ca="1">IFERROR(__xludf.DUMMYFUNCTION("""COMPUTED_VALUE"""),"Construyendo agentes de cambio: ¿cómo denunciar los casos de maltrato animal y tenencia no responsable? E25286/2024")</f>
        <v>Construyendo agentes de cambio: ¿cómo denunciar los casos de maltrato animal y tenencia no responsable? E25286/2024</v>
      </c>
      <c r="C181" s="26" t="s">
        <v>99</v>
      </c>
      <c r="D181" s="10" t="str">
        <f ca="1">IFERROR(__xludf.DUMMYFUNCTION("""COMPUTED_VALUE"""),"Resolución de Transferencia")</f>
        <v>Resolución de Transferencia</v>
      </c>
      <c r="E181" s="26" t="str">
        <f ca="1">IFERROR(__xludf.DUMMYFUNCTION("""COMPUTED_VALUE"""),"FUNDACION CALLEJERITOS DE LA VEGA")</f>
        <v>FUNDACION CALLEJERITOS DE LA VEGA</v>
      </c>
      <c r="F181" s="11">
        <f ca="1">IFERROR(__xludf.DUMMYFUNCTION("""COMPUTED_VALUE"""),4148961)</f>
        <v>4148961</v>
      </c>
      <c r="G181" s="10" t="str">
        <f ca="1">IFERROR(__xludf.DUMMYFUNCTION("""COMPUTED_VALUE"""),"Resolución")</f>
        <v>Resolución</v>
      </c>
      <c r="H181" s="10" t="str">
        <f ca="1">IFERROR(__xludf.DUMMYFUNCTION("""COMPUTED_VALUE"""),"PTRAC Fondos Concursables ONGs")</f>
        <v>PTRAC Fondos Concursables ONGs</v>
      </c>
      <c r="I181" s="10" t="str">
        <f ca="1">IFERROR(__xludf.DUMMYFUNCTION("""COMPUTED_VALUE"""),"Cumplir con normativa y reglamentos internos del programa en base a los objetivos.")</f>
        <v>Cumplir con normativa y reglamentos internos del programa en base a los objetivos.</v>
      </c>
      <c r="J181" s="11">
        <f ca="1">IFERROR(__xludf.DUMMYFUNCTION("""COMPUTED_VALUE"""),4148961)</f>
        <v>4148961</v>
      </c>
      <c r="K181" s="27">
        <f ca="1">IFERROR(__xludf.DUMMYFUNCTION("""COMPUTED_VALUE"""),1)</f>
        <v>1</v>
      </c>
      <c r="L181" s="28" t="str">
        <f ca="1">IFERROR(__xludf.DUMMYFUNCTION("""COMPUTED_VALUE"""),"12634/2024")</f>
        <v>12634/2024</v>
      </c>
      <c r="M181" s="10" t="str">
        <f ca="1">IFERROR(__xludf.DUMMYFUNCTION("""COMPUTED_VALUE"""),"PTRAC")</f>
        <v>PTRAC</v>
      </c>
      <c r="N181" s="1"/>
      <c r="O181" s="1"/>
      <c r="P181" s="1"/>
      <c r="Q181" s="1"/>
      <c r="R181" s="1"/>
      <c r="S181" s="1"/>
      <c r="T181" s="1"/>
      <c r="U181" s="1"/>
      <c r="V181" s="1"/>
      <c r="W181" s="1"/>
      <c r="X181" s="1"/>
      <c r="Y181" s="1"/>
      <c r="Z181" s="1"/>
    </row>
    <row r="182" spans="1:26" ht="12.75" customHeight="1">
      <c r="A182" s="1"/>
      <c r="B182" s="10" t="str">
        <f ca="1">IFERROR(__xludf.DUMMYFUNCTION("""COMPUTED_VALUE"""),"Esterilizaciones caninas y felinas para Copiapó, ¡Yo esterilizo, es mi responsabilidad! E25289/2024")</f>
        <v>Esterilizaciones caninas y felinas para Copiapó, ¡Yo esterilizo, es mi responsabilidad! E25289/2024</v>
      </c>
      <c r="C182" s="26" t="s">
        <v>100</v>
      </c>
      <c r="D182" s="10" t="str">
        <f ca="1">IFERROR(__xludf.DUMMYFUNCTION("""COMPUTED_VALUE"""),"Resolución de Transferencia")</f>
        <v>Resolución de Transferencia</v>
      </c>
      <c r="E182" s="26" t="str">
        <f ca="1">IFERROR(__xludf.DUMMYFUNCTION("""COMPUTED_VALUE"""),"FUNDACION UNIDOS POR LA PROTECCION ANIMAL")</f>
        <v>FUNDACION UNIDOS POR LA PROTECCION ANIMAL</v>
      </c>
      <c r="F182" s="11">
        <f ca="1">IFERROR(__xludf.DUMMYFUNCTION("""COMPUTED_VALUE"""),12000000)</f>
        <v>12000000</v>
      </c>
      <c r="G182" s="10" t="str">
        <f ca="1">IFERROR(__xludf.DUMMYFUNCTION("""COMPUTED_VALUE"""),"Resolución")</f>
        <v>Resolución</v>
      </c>
      <c r="H182" s="10" t="str">
        <f ca="1">IFERROR(__xludf.DUMMYFUNCTION("""COMPUTED_VALUE"""),"PTRAC Fondos Concursables ONGs")</f>
        <v>PTRAC Fondos Concursables ONGs</v>
      </c>
      <c r="I182" s="10" t="str">
        <f ca="1">IFERROR(__xludf.DUMMYFUNCTION("""COMPUTED_VALUE"""),"Cumplir con normativa y reglamentos internos del programa en base a los objetivos.")</f>
        <v>Cumplir con normativa y reglamentos internos del programa en base a los objetivos.</v>
      </c>
      <c r="J182" s="11">
        <f ca="1">IFERROR(__xludf.DUMMYFUNCTION("""COMPUTED_VALUE"""),12000000)</f>
        <v>12000000</v>
      </c>
      <c r="K182" s="27">
        <f ca="1">IFERROR(__xludf.DUMMYFUNCTION("""COMPUTED_VALUE"""),1)</f>
        <v>1</v>
      </c>
      <c r="L182" s="28" t="str">
        <f ca="1">IFERROR(__xludf.DUMMYFUNCTION("""COMPUTED_VALUE"""),"12478/2024")</f>
        <v>12478/2024</v>
      </c>
      <c r="M182" s="10" t="str">
        <f ca="1">IFERROR(__xludf.DUMMYFUNCTION("""COMPUTED_VALUE"""),"PTRAC")</f>
        <v>PTRAC</v>
      </c>
      <c r="N182" s="1"/>
      <c r="O182" s="1"/>
      <c r="P182" s="1"/>
      <c r="Q182" s="1"/>
      <c r="R182" s="1"/>
      <c r="S182" s="1"/>
      <c r="T182" s="1"/>
      <c r="U182" s="1"/>
      <c r="V182" s="1"/>
      <c r="W182" s="1"/>
      <c r="X182" s="1"/>
      <c r="Y182" s="1"/>
      <c r="Z182" s="1"/>
    </row>
    <row r="183" spans="1:26" ht="12.75" customHeight="1">
      <c r="A183" s="1"/>
      <c r="B183" s="10" t="str">
        <f ca="1">IFERROR(__xludf.DUMMYFUNCTION("""COMPUTED_VALUE"""),"Saska No Para de Esterilizar 2024 E25290/2024")</f>
        <v>Saska No Para de Esterilizar 2024 E25290/2024</v>
      </c>
      <c r="C183" s="26" t="s">
        <v>101</v>
      </c>
      <c r="D183" s="10" t="str">
        <f ca="1">IFERROR(__xludf.DUMMYFUNCTION("""COMPUTED_VALUE"""),"Resolución de Transferencia")</f>
        <v>Resolución de Transferencia</v>
      </c>
      <c r="E183" s="26" t="str">
        <f ca="1">IFERROR(__xludf.DUMMYFUNCTION("""COMPUTED_VALUE"""),"FUNDACION SASKA")</f>
        <v>FUNDACION SASKA</v>
      </c>
      <c r="F183" s="11">
        <f ca="1">IFERROR(__xludf.DUMMYFUNCTION("""COMPUTED_VALUE"""),12000000)</f>
        <v>12000000</v>
      </c>
      <c r="G183" s="10" t="str">
        <f ca="1">IFERROR(__xludf.DUMMYFUNCTION("""COMPUTED_VALUE"""),"Resolución")</f>
        <v>Resolución</v>
      </c>
      <c r="H183" s="10" t="str">
        <f ca="1">IFERROR(__xludf.DUMMYFUNCTION("""COMPUTED_VALUE"""),"PTRAC Fondos Concursables ONGs")</f>
        <v>PTRAC Fondos Concursables ONGs</v>
      </c>
      <c r="I183" s="10" t="str">
        <f ca="1">IFERROR(__xludf.DUMMYFUNCTION("""COMPUTED_VALUE"""),"Cumplir con normativa y reglamentos internos del programa en base a los objetivos.")</f>
        <v>Cumplir con normativa y reglamentos internos del programa en base a los objetivos.</v>
      </c>
      <c r="J183" s="11">
        <f ca="1">IFERROR(__xludf.DUMMYFUNCTION("""COMPUTED_VALUE"""),12000000)</f>
        <v>12000000</v>
      </c>
      <c r="K183" s="27">
        <f ca="1">IFERROR(__xludf.DUMMYFUNCTION("""COMPUTED_VALUE"""),1)</f>
        <v>1</v>
      </c>
      <c r="L183" s="28" t="str">
        <f ca="1">IFERROR(__xludf.DUMMYFUNCTION("""COMPUTED_VALUE"""),"12477/2024")</f>
        <v>12477/2024</v>
      </c>
      <c r="M183" s="10" t="str">
        <f ca="1">IFERROR(__xludf.DUMMYFUNCTION("""COMPUTED_VALUE"""),"PTRAC")</f>
        <v>PTRAC</v>
      </c>
      <c r="N183" s="1"/>
      <c r="O183" s="1"/>
      <c r="P183" s="1"/>
      <c r="Q183" s="1"/>
      <c r="R183" s="1"/>
      <c r="S183" s="1"/>
      <c r="T183" s="1"/>
      <c r="U183" s="1"/>
      <c r="V183" s="1"/>
      <c r="W183" s="1"/>
      <c r="X183" s="1"/>
      <c r="Y183" s="1"/>
      <c r="Z183" s="1"/>
    </row>
    <row r="184" spans="1:26" ht="12.75" customHeight="1">
      <c r="A184" s="1"/>
      <c r="B184" s="10" t="str">
        <f ca="1">IFERROR(__xludf.DUMMYFUNCTION("""COMPUTED_VALUE"""),"Bunny 911")</f>
        <v>Bunny 911</v>
      </c>
      <c r="C184" s="26" t="s">
        <v>102</v>
      </c>
      <c r="D184" s="10" t="str">
        <f ca="1">IFERROR(__xludf.DUMMYFUNCTION("""COMPUTED_VALUE"""),"Resolución de Transferencia")</f>
        <v>Resolución de Transferencia</v>
      </c>
      <c r="E184" s="26" t="str">
        <f ca="1">IFERROR(__xludf.DUMMYFUNCTION("""COMPUTED_VALUE"""),"Fundación para la Protección de los Animales Exóticos o Bunny Lovers Chile")</f>
        <v>Fundación para la Protección de los Animales Exóticos o Bunny Lovers Chile</v>
      </c>
      <c r="F184" s="11">
        <f ca="1">IFERROR(__xludf.DUMMYFUNCTION("""COMPUTED_VALUE"""),4000000)</f>
        <v>4000000</v>
      </c>
      <c r="G184" s="10" t="str">
        <f ca="1">IFERROR(__xludf.DUMMYFUNCTION("""COMPUTED_VALUE"""),"Resolución")</f>
        <v>Resolución</v>
      </c>
      <c r="H184" s="10" t="str">
        <f ca="1">IFERROR(__xludf.DUMMYFUNCTION("""COMPUTED_VALUE"""),"PTRAC Fondos Concursables ONGs")</f>
        <v>PTRAC Fondos Concursables ONGs</v>
      </c>
      <c r="I184" s="10" t="str">
        <f ca="1">IFERROR(__xludf.DUMMYFUNCTION("""COMPUTED_VALUE"""),"Cumplir con normativa y reglamentos internos del programa en base a los objetivos.")</f>
        <v>Cumplir con normativa y reglamentos internos del programa en base a los objetivos.</v>
      </c>
      <c r="J184" s="11">
        <f ca="1">IFERROR(__xludf.DUMMYFUNCTION("""COMPUTED_VALUE"""),4000000)</f>
        <v>4000000</v>
      </c>
      <c r="K184" s="27">
        <f ca="1">IFERROR(__xludf.DUMMYFUNCTION("""COMPUTED_VALUE"""),1)</f>
        <v>1</v>
      </c>
      <c r="L184" s="28" t="str">
        <f ca="1">IFERROR(__xludf.DUMMYFUNCTION("""COMPUTED_VALUE"""),"628/2024")</f>
        <v>628/2024</v>
      </c>
      <c r="M184" s="10" t="str">
        <f ca="1">IFERROR(__xludf.DUMMYFUNCTION("""COMPUTED_VALUE"""),"PTRAC")</f>
        <v>PTRAC</v>
      </c>
      <c r="N184" s="1"/>
      <c r="O184" s="1"/>
      <c r="P184" s="1"/>
      <c r="Q184" s="1"/>
      <c r="R184" s="1"/>
      <c r="S184" s="1"/>
      <c r="T184" s="1"/>
      <c r="U184" s="1"/>
      <c r="V184" s="1"/>
      <c r="W184" s="1"/>
      <c r="X184" s="1"/>
      <c r="Y184" s="1"/>
      <c r="Z184" s="1"/>
    </row>
    <row r="185" spans="1:26" ht="12.75" customHeight="1">
      <c r="A185" s="1"/>
      <c r="B185" s="10" t="str">
        <f ca="1">IFERROR(__xludf.DUMMYFUNCTION("""COMPUTED_VALUE"""),"Cuidar y esterilizar a nuestras mascotas, un compromiso con la biodiversidad de los territorios")</f>
        <v>Cuidar y esterilizar a nuestras mascotas, un compromiso con la biodiversidad de los territorios</v>
      </c>
      <c r="C185" s="26" t="s">
        <v>103</v>
      </c>
      <c r="D185" s="10" t="str">
        <f ca="1">IFERROR(__xludf.DUMMYFUNCTION("""COMPUTED_VALUE"""),"Resolución de Transferencia")</f>
        <v>Resolución de Transferencia</v>
      </c>
      <c r="E185" s="26" t="str">
        <f ca="1">IFERROR(__xludf.DUMMYFUNCTION("""COMPUTED_VALUE"""),"Fundación UPLANI")</f>
        <v>Fundación UPLANI</v>
      </c>
      <c r="F185" s="11">
        <f ca="1">IFERROR(__xludf.DUMMYFUNCTION("""COMPUTED_VALUE"""),8000000)</f>
        <v>8000000</v>
      </c>
      <c r="G185" s="10" t="str">
        <f ca="1">IFERROR(__xludf.DUMMYFUNCTION("""COMPUTED_VALUE"""),"Resolución")</f>
        <v>Resolución</v>
      </c>
      <c r="H185" s="10" t="str">
        <f ca="1">IFERROR(__xludf.DUMMYFUNCTION("""COMPUTED_VALUE"""),"PTRAC Fondos Concursables ONGs")</f>
        <v>PTRAC Fondos Concursables ONGs</v>
      </c>
      <c r="I185" s="10" t="str">
        <f ca="1">IFERROR(__xludf.DUMMYFUNCTION("""COMPUTED_VALUE"""),"Cumplir con normativa y reglamentos internos del programa en base a los objetivos.")</f>
        <v>Cumplir con normativa y reglamentos internos del programa en base a los objetivos.</v>
      </c>
      <c r="J185" s="11">
        <f ca="1">IFERROR(__xludf.DUMMYFUNCTION("""COMPUTED_VALUE"""),8000000)</f>
        <v>8000000</v>
      </c>
      <c r="K185" s="27">
        <f ca="1">IFERROR(__xludf.DUMMYFUNCTION("""COMPUTED_VALUE"""),1)</f>
        <v>1</v>
      </c>
      <c r="L185" s="28" t="str">
        <f ca="1">IFERROR(__xludf.DUMMYFUNCTION("""COMPUTED_VALUE"""),"634/2024")</f>
        <v>634/2024</v>
      </c>
      <c r="M185" s="10" t="str">
        <f ca="1">IFERROR(__xludf.DUMMYFUNCTION("""COMPUTED_VALUE"""),"PTRAC")</f>
        <v>PTRAC</v>
      </c>
      <c r="N185" s="1"/>
      <c r="O185" s="1"/>
      <c r="P185" s="1"/>
      <c r="Q185" s="1"/>
      <c r="R185" s="1"/>
      <c r="S185" s="1"/>
      <c r="T185" s="1"/>
      <c r="U185" s="1"/>
      <c r="V185" s="1"/>
      <c r="W185" s="1"/>
      <c r="X185" s="1"/>
      <c r="Y185" s="1"/>
      <c r="Z185" s="1"/>
    </row>
    <row r="186" spans="1:26" ht="12.75" customHeight="1">
      <c r="A186" s="1"/>
      <c r="B186" s="10" t="str">
        <f ca="1">IFERROR(__xludf.DUMMYFUNCTION("""COMPUTED_VALUE"""),"Cuido a mi perro y a mi entorno (desembocadura del Maipo)")</f>
        <v>Cuido a mi perro y a mi entorno (desembocadura del Maipo)</v>
      </c>
      <c r="C186" s="26" t="s">
        <v>104</v>
      </c>
      <c r="D186" s="10" t="str">
        <f ca="1">IFERROR(__xludf.DUMMYFUNCTION("""COMPUTED_VALUE"""),"Resolución de Transferencia")</f>
        <v>Resolución de Transferencia</v>
      </c>
      <c r="E186" s="26" t="str">
        <f ca="1">IFERROR(__xludf.DUMMYFUNCTION("""COMPUTED_VALUE"""),"Fundación La Ruta Animal")</f>
        <v>Fundación La Ruta Animal</v>
      </c>
      <c r="F186" s="11">
        <f ca="1">IFERROR(__xludf.DUMMYFUNCTION("""COMPUTED_VALUE"""),3678250)</f>
        <v>3678250</v>
      </c>
      <c r="G186" s="10" t="str">
        <f ca="1">IFERROR(__xludf.DUMMYFUNCTION("""COMPUTED_VALUE"""),"Resolución")</f>
        <v>Resolución</v>
      </c>
      <c r="H186" s="10" t="str">
        <f ca="1">IFERROR(__xludf.DUMMYFUNCTION("""COMPUTED_VALUE"""),"PTRAC Fondos Concursables ONGs")</f>
        <v>PTRAC Fondos Concursables ONGs</v>
      </c>
      <c r="I186" s="10" t="str">
        <f ca="1">IFERROR(__xludf.DUMMYFUNCTION("""COMPUTED_VALUE"""),"Cumplir con normativa y reglamentos internos del programa en base a los objetivos.")</f>
        <v>Cumplir con normativa y reglamentos internos del programa en base a los objetivos.</v>
      </c>
      <c r="J186" s="11">
        <f ca="1">IFERROR(__xludf.DUMMYFUNCTION("""COMPUTED_VALUE"""),3678250)</f>
        <v>3678250</v>
      </c>
      <c r="K186" s="27">
        <f ca="1">IFERROR(__xludf.DUMMYFUNCTION("""COMPUTED_VALUE"""),1)</f>
        <v>1</v>
      </c>
      <c r="L186" s="28" t="str">
        <f ca="1">IFERROR(__xludf.DUMMYFUNCTION("""COMPUTED_VALUE"""),"1008/2024")</f>
        <v>1008/2024</v>
      </c>
      <c r="M186" s="10" t="str">
        <f ca="1">IFERROR(__xludf.DUMMYFUNCTION("""COMPUTED_VALUE"""),"PTRAC")</f>
        <v>PTRAC</v>
      </c>
      <c r="N186" s="1"/>
      <c r="O186" s="1"/>
      <c r="P186" s="1"/>
      <c r="Q186" s="1"/>
      <c r="R186" s="1"/>
      <c r="S186" s="1"/>
      <c r="T186" s="1"/>
      <c r="U186" s="1"/>
      <c r="V186" s="1"/>
      <c r="W186" s="1"/>
      <c r="X186" s="1"/>
      <c r="Y186" s="1"/>
      <c r="Z186" s="1"/>
    </row>
    <row r="187" spans="1:26" ht="12.75" customHeight="1">
      <c r="A187" s="1"/>
      <c r="B187" s="10" t="str">
        <f ca="1">IFERROR(__xludf.DUMMYFUNCTION("""COMPUTED_VALUE"""),"Código pit 3")</f>
        <v>Código pit 3</v>
      </c>
      <c r="C187" s="26" t="s">
        <v>105</v>
      </c>
      <c r="D187" s="10" t="str">
        <f ca="1">IFERROR(__xludf.DUMMYFUNCTION("""COMPUTED_VALUE"""),"Resolución de Transferencia")</f>
        <v>Resolución de Transferencia</v>
      </c>
      <c r="E187" s="26" t="str">
        <f ca="1">IFERROR(__xludf.DUMMYFUNCTION("""COMPUTED_VALUE"""),"Fundación Fight 4 Pits Defensa y Justicia Animal")</f>
        <v>Fundación Fight 4 Pits Defensa y Justicia Animal</v>
      </c>
      <c r="F187" s="11">
        <f ca="1">IFERROR(__xludf.DUMMYFUNCTION("""COMPUTED_VALUE"""),3999841)</f>
        <v>3999841</v>
      </c>
      <c r="G187" s="10" t="str">
        <f ca="1">IFERROR(__xludf.DUMMYFUNCTION("""COMPUTED_VALUE"""),"Resolución")</f>
        <v>Resolución</v>
      </c>
      <c r="H187" s="10" t="str">
        <f ca="1">IFERROR(__xludf.DUMMYFUNCTION("""COMPUTED_VALUE"""),"PTRAC Fondos Concursables ONGs")</f>
        <v>PTRAC Fondos Concursables ONGs</v>
      </c>
      <c r="I187" s="10" t="str">
        <f ca="1">IFERROR(__xludf.DUMMYFUNCTION("""COMPUTED_VALUE"""),"Cumplir con normativa y reglamentos internos del programa en base a los objetivos.")</f>
        <v>Cumplir con normativa y reglamentos internos del programa en base a los objetivos.</v>
      </c>
      <c r="J187" s="11">
        <f ca="1">IFERROR(__xludf.DUMMYFUNCTION("""COMPUTED_VALUE"""),3999841)</f>
        <v>3999841</v>
      </c>
      <c r="K187" s="27">
        <f ca="1">IFERROR(__xludf.DUMMYFUNCTION("""COMPUTED_VALUE"""),1)</f>
        <v>1</v>
      </c>
      <c r="L187" s="28" t="str">
        <f ca="1">IFERROR(__xludf.DUMMYFUNCTION("""COMPUTED_VALUE"""),"635/2024")</f>
        <v>635/2024</v>
      </c>
      <c r="M187" s="10" t="str">
        <f ca="1">IFERROR(__xludf.DUMMYFUNCTION("""COMPUTED_VALUE"""),"PTRAC")</f>
        <v>PTRAC</v>
      </c>
      <c r="N187" s="1"/>
      <c r="O187" s="1"/>
      <c r="P187" s="1"/>
      <c r="Q187" s="1"/>
      <c r="R187" s="1"/>
      <c r="S187" s="1"/>
      <c r="T187" s="1"/>
      <c r="U187" s="1"/>
      <c r="V187" s="1"/>
      <c r="W187" s="1"/>
      <c r="X187" s="1"/>
      <c r="Y187" s="1"/>
      <c r="Z187" s="1"/>
    </row>
    <row r="188" spans="1:26" ht="12.75" customHeight="1">
      <c r="A188" s="1"/>
      <c r="B188" s="10" t="str">
        <f ca="1">IFERROR(__xludf.DUMMYFUNCTION("""COMPUTED_VALUE"""),"Creando conciencia animal")</f>
        <v>Creando conciencia animal</v>
      </c>
      <c r="C188" s="26" t="s">
        <v>106</v>
      </c>
      <c r="D188" s="10" t="str">
        <f ca="1">IFERROR(__xludf.DUMMYFUNCTION("""COMPUTED_VALUE"""),"Resolución de Transferencia")</f>
        <v>Resolución de Transferencia</v>
      </c>
      <c r="E188" s="26" t="str">
        <f ca="1">IFERROR(__xludf.DUMMYFUNCTION("""COMPUTED_VALUE"""),"Fundación Maitencillo Adopta")</f>
        <v>Fundación Maitencillo Adopta</v>
      </c>
      <c r="F188" s="11">
        <f ca="1">IFERROR(__xludf.DUMMYFUNCTION("""COMPUTED_VALUE"""),7994960)</f>
        <v>7994960</v>
      </c>
      <c r="G188" s="10" t="str">
        <f ca="1">IFERROR(__xludf.DUMMYFUNCTION("""COMPUTED_VALUE"""),"Resolución")</f>
        <v>Resolución</v>
      </c>
      <c r="H188" s="10" t="str">
        <f ca="1">IFERROR(__xludf.DUMMYFUNCTION("""COMPUTED_VALUE"""),"PTRAC Fondos Concursables ONGs")</f>
        <v>PTRAC Fondos Concursables ONGs</v>
      </c>
      <c r="I188" s="10" t="str">
        <f ca="1">IFERROR(__xludf.DUMMYFUNCTION("""COMPUTED_VALUE"""),"Cumplir con normativa y reglamentos internos del programa en base a los objetivos.")</f>
        <v>Cumplir con normativa y reglamentos internos del programa en base a los objetivos.</v>
      </c>
      <c r="J188" s="11">
        <f ca="1">IFERROR(__xludf.DUMMYFUNCTION("""COMPUTED_VALUE"""),7994960)</f>
        <v>7994960</v>
      </c>
      <c r="K188" s="27">
        <f ca="1">IFERROR(__xludf.DUMMYFUNCTION("""COMPUTED_VALUE"""),1)</f>
        <v>1</v>
      </c>
      <c r="L188" s="28" t="str">
        <f ca="1">IFERROR(__xludf.DUMMYFUNCTION("""COMPUTED_VALUE"""),"633/2024")</f>
        <v>633/2024</v>
      </c>
      <c r="M188" s="10" t="str">
        <f ca="1">IFERROR(__xludf.DUMMYFUNCTION("""COMPUTED_VALUE"""),"PTRAC")</f>
        <v>PTRAC</v>
      </c>
      <c r="N188" s="1"/>
      <c r="O188" s="1"/>
      <c r="P188" s="1"/>
      <c r="Q188" s="1"/>
      <c r="R188" s="1"/>
      <c r="S188" s="1"/>
      <c r="T188" s="1"/>
      <c r="U188" s="1"/>
      <c r="V188" s="1"/>
      <c r="W188" s="1"/>
      <c r="X188" s="1"/>
      <c r="Y188" s="1"/>
      <c r="Z188" s="1"/>
    </row>
    <row r="189" spans="1:26" ht="12.75" customHeight="1">
      <c r="A189" s="1"/>
      <c r="B189" s="10" t="str">
        <f ca="1">IFERROR(__xludf.DUMMYFUNCTION("""COMPUTED_VALUE"""),"Capacitación organizacional a Fundación Adopta Tu Mascota Rapa Nui")</f>
        <v>Capacitación organizacional a Fundación Adopta Tu Mascota Rapa Nui</v>
      </c>
      <c r="C189" s="26" t="s">
        <v>107</v>
      </c>
      <c r="D189" s="10" t="str">
        <f ca="1">IFERROR(__xludf.DUMMYFUNCTION("""COMPUTED_VALUE"""),"Resolución de Transferencia")</f>
        <v>Resolución de Transferencia</v>
      </c>
      <c r="E189" s="26" t="str">
        <f ca="1">IFERROR(__xludf.DUMMYFUNCTION("""COMPUTED_VALUE"""),"Fundación Adopta Tu Mascota Rapa Nui")</f>
        <v>Fundación Adopta Tu Mascota Rapa Nui</v>
      </c>
      <c r="F189" s="11">
        <f ca="1">IFERROR(__xludf.DUMMYFUNCTION("""COMPUTED_VALUE"""),2375476)</f>
        <v>2375476</v>
      </c>
      <c r="G189" s="10" t="str">
        <f ca="1">IFERROR(__xludf.DUMMYFUNCTION("""COMPUTED_VALUE"""),"Resolución")</f>
        <v>Resolución</v>
      </c>
      <c r="H189" s="10" t="str">
        <f ca="1">IFERROR(__xludf.DUMMYFUNCTION("""COMPUTED_VALUE"""),"PTRAC Fondos Concursables ONGs")</f>
        <v>PTRAC Fondos Concursables ONGs</v>
      </c>
      <c r="I189" s="10" t="str">
        <f ca="1">IFERROR(__xludf.DUMMYFUNCTION("""COMPUTED_VALUE"""),"Cumplir con normativa y reglamentos internos del programa en base a los objetivos.")</f>
        <v>Cumplir con normativa y reglamentos internos del programa en base a los objetivos.</v>
      </c>
      <c r="J189" s="11">
        <f ca="1">IFERROR(__xludf.DUMMYFUNCTION("""COMPUTED_VALUE"""),2375476)</f>
        <v>2375476</v>
      </c>
      <c r="K189" s="27">
        <f ca="1">IFERROR(__xludf.DUMMYFUNCTION("""COMPUTED_VALUE"""),1)</f>
        <v>1</v>
      </c>
      <c r="L189" s="28" t="str">
        <f ca="1">IFERROR(__xludf.DUMMYFUNCTION("""COMPUTED_VALUE"""),"632/2024")</f>
        <v>632/2024</v>
      </c>
      <c r="M189" s="10" t="str">
        <f ca="1">IFERROR(__xludf.DUMMYFUNCTION("""COMPUTED_VALUE"""),"PTRAC")</f>
        <v>PTRAC</v>
      </c>
      <c r="N189" s="1"/>
      <c r="O189" s="1"/>
      <c r="P189" s="1"/>
      <c r="Q189" s="1"/>
      <c r="R189" s="1"/>
      <c r="S189" s="1"/>
      <c r="T189" s="1"/>
      <c r="U189" s="1"/>
      <c r="V189" s="1"/>
      <c r="W189" s="1"/>
      <c r="X189" s="1"/>
      <c r="Y189" s="1"/>
      <c r="Z189" s="1"/>
    </row>
    <row r="190" spans="1:26" ht="12.75" customHeight="1">
      <c r="A190" s="1"/>
      <c r="B190" s="10" t="str">
        <f ca="1">IFERROR(__xludf.DUMMYFUNCTION("""COMPUTED_VALUE"""),"Cuidando a quienes cuidan: Guía de salud mental para cuidadores y rescatistas de animales")</f>
        <v>Cuidando a quienes cuidan: Guía de salud mental para cuidadores y rescatistas de animales</v>
      </c>
      <c r="C190" s="26" t="s">
        <v>108</v>
      </c>
      <c r="D190" s="10" t="str">
        <f ca="1">IFERROR(__xludf.DUMMYFUNCTION("""COMPUTED_VALUE"""),"Resolución de Transferencia")</f>
        <v>Resolución de Transferencia</v>
      </c>
      <c r="E190" s="26" t="str">
        <f ca="1">IFERROR(__xludf.DUMMYFUNCTION("""COMPUTED_VALUE"""),"Corporación Adfinitas")</f>
        <v>Corporación Adfinitas</v>
      </c>
      <c r="F190" s="11">
        <f ca="1">IFERROR(__xludf.DUMMYFUNCTION("""COMPUTED_VALUE"""),2997086)</f>
        <v>2997086</v>
      </c>
      <c r="G190" s="10" t="str">
        <f ca="1">IFERROR(__xludf.DUMMYFUNCTION("""COMPUTED_VALUE"""),"Resolución")</f>
        <v>Resolución</v>
      </c>
      <c r="H190" s="10" t="str">
        <f ca="1">IFERROR(__xludf.DUMMYFUNCTION("""COMPUTED_VALUE"""),"PTRAC Fondos Concursables ONGs")</f>
        <v>PTRAC Fondos Concursables ONGs</v>
      </c>
      <c r="I190" s="10" t="str">
        <f ca="1">IFERROR(__xludf.DUMMYFUNCTION("""COMPUTED_VALUE"""),"Cumplir con normativa y reglamentos internos del programa en base a los objetivos.")</f>
        <v>Cumplir con normativa y reglamentos internos del programa en base a los objetivos.</v>
      </c>
      <c r="J190" s="11">
        <f ca="1">IFERROR(__xludf.DUMMYFUNCTION("""COMPUTED_VALUE"""),2997086)</f>
        <v>2997086</v>
      </c>
      <c r="K190" s="27">
        <f ca="1">IFERROR(__xludf.DUMMYFUNCTION("""COMPUTED_VALUE"""),1)</f>
        <v>1</v>
      </c>
      <c r="L190" s="28" t="str">
        <f ca="1">IFERROR(__xludf.DUMMYFUNCTION("""COMPUTED_VALUE"""),"629/2024")</f>
        <v>629/2024</v>
      </c>
      <c r="M190" s="10" t="str">
        <f ca="1">IFERROR(__xludf.DUMMYFUNCTION("""COMPUTED_VALUE"""),"PTRAC")</f>
        <v>PTRAC</v>
      </c>
      <c r="N190" s="1"/>
      <c r="O190" s="1"/>
      <c r="P190" s="1"/>
      <c r="Q190" s="1"/>
      <c r="R190" s="1"/>
      <c r="S190" s="1"/>
      <c r="T190" s="1"/>
      <c r="U190" s="1"/>
      <c r="V190" s="1"/>
      <c r="W190" s="1"/>
      <c r="X190" s="1"/>
      <c r="Y190" s="1"/>
      <c r="Z190" s="1"/>
    </row>
    <row r="191" spans="1:26" ht="12.75" customHeight="1">
      <c r="A191" s="1"/>
      <c r="B191" s="10" t="str">
        <f ca="1">IFERROR(__xludf.DUMMYFUNCTION("""COMPUTED_VALUE"""),"Esterilización como método prioritario de control de población canina y felina en la comuna de San Vicente Tagua Tagua")</f>
        <v>Esterilización como método prioritario de control de población canina y felina en la comuna de San Vicente Tagua Tagua</v>
      </c>
      <c r="C191" s="26" t="s">
        <v>109</v>
      </c>
      <c r="D191" s="10" t="str">
        <f ca="1">IFERROR(__xludf.DUMMYFUNCTION("""COMPUTED_VALUE"""),"Resolución de Transferencia")</f>
        <v>Resolución de Transferencia</v>
      </c>
      <c r="E191" s="26" t="str">
        <f ca="1">IFERROR(__xludf.DUMMYFUNCTION("""COMPUTED_VALUE"""),"Fundación Univerzoo Animal")</f>
        <v>Fundación Univerzoo Animal</v>
      </c>
      <c r="F191" s="11">
        <f ca="1">IFERROR(__xludf.DUMMYFUNCTION("""COMPUTED_VALUE"""),8000000)</f>
        <v>8000000</v>
      </c>
      <c r="G191" s="10" t="str">
        <f ca="1">IFERROR(__xludf.DUMMYFUNCTION("""COMPUTED_VALUE"""),"Resolución")</f>
        <v>Resolución</v>
      </c>
      <c r="H191" s="10" t="str">
        <f ca="1">IFERROR(__xludf.DUMMYFUNCTION("""COMPUTED_VALUE"""),"PTRAC Fondos Concursables ONGs")</f>
        <v>PTRAC Fondos Concursables ONGs</v>
      </c>
      <c r="I191" s="10" t="str">
        <f ca="1">IFERROR(__xludf.DUMMYFUNCTION("""COMPUTED_VALUE"""),"Cumplir con normativa y reglamentos internos del programa en base a los objetivos.")</f>
        <v>Cumplir con normativa y reglamentos internos del programa en base a los objetivos.</v>
      </c>
      <c r="J191" s="11">
        <f ca="1">IFERROR(__xludf.DUMMYFUNCTION("""COMPUTED_VALUE"""),8000000)</f>
        <v>8000000</v>
      </c>
      <c r="K191" s="27">
        <f ca="1">IFERROR(__xludf.DUMMYFUNCTION("""COMPUTED_VALUE"""),1)</f>
        <v>1</v>
      </c>
      <c r="L191" s="28" t="str">
        <f ca="1">IFERROR(__xludf.DUMMYFUNCTION("""COMPUTED_VALUE"""),"631/2024")</f>
        <v>631/2024</v>
      </c>
      <c r="M191" s="10" t="str">
        <f ca="1">IFERROR(__xludf.DUMMYFUNCTION("""COMPUTED_VALUE"""),"PTRAC")</f>
        <v>PTRAC</v>
      </c>
      <c r="N191" s="1"/>
      <c r="O191" s="1"/>
      <c r="P191" s="1"/>
      <c r="Q191" s="1"/>
      <c r="R191" s="1"/>
      <c r="S191" s="1"/>
      <c r="T191" s="1"/>
      <c r="U191" s="1"/>
      <c r="V191" s="1"/>
      <c r="W191" s="1"/>
      <c r="X191" s="1"/>
      <c r="Y191" s="1"/>
      <c r="Z191" s="1"/>
    </row>
    <row r="192" spans="1:26" ht="12.75" customHeight="1">
      <c r="A192" s="1"/>
      <c r="B192" s="10" t="str">
        <f ca="1">IFERROR(__xludf.DUMMYFUNCTION("""COMPUTED_VALUE"""),"Esterilización gatos ferales y comunitarios")</f>
        <v>Esterilización gatos ferales y comunitarios</v>
      </c>
      <c r="C192" s="26" t="s">
        <v>110</v>
      </c>
      <c r="D192" s="10" t="str">
        <f ca="1">IFERROR(__xludf.DUMMYFUNCTION("""COMPUTED_VALUE"""),"Resolución de Transferencia")</f>
        <v>Resolución de Transferencia</v>
      </c>
      <c r="E192" s="26" t="str">
        <f ca="1">IFERROR(__xludf.DUMMYFUNCTION("""COMPUTED_VALUE"""),"Fundación Ser Feral")</f>
        <v>Fundación Ser Feral</v>
      </c>
      <c r="F192" s="11">
        <f ca="1">IFERROR(__xludf.DUMMYFUNCTION("""COMPUTED_VALUE"""),7981816)</f>
        <v>7981816</v>
      </c>
      <c r="G192" s="10" t="str">
        <f ca="1">IFERROR(__xludf.DUMMYFUNCTION("""COMPUTED_VALUE"""),"Resolución")</f>
        <v>Resolución</v>
      </c>
      <c r="H192" s="10" t="str">
        <f ca="1">IFERROR(__xludf.DUMMYFUNCTION("""COMPUTED_VALUE"""),"PTRAC Fondos Concursables ONGs")</f>
        <v>PTRAC Fondos Concursables ONGs</v>
      </c>
      <c r="I192" s="10" t="str">
        <f ca="1">IFERROR(__xludf.DUMMYFUNCTION("""COMPUTED_VALUE"""),"Cumplir con normativa y reglamentos internos del programa en base a los objetivos.")</f>
        <v>Cumplir con normativa y reglamentos internos del programa en base a los objetivos.</v>
      </c>
      <c r="J192" s="11">
        <f ca="1">IFERROR(__xludf.DUMMYFUNCTION("""COMPUTED_VALUE"""),7981816)</f>
        <v>7981816</v>
      </c>
      <c r="K192" s="27">
        <f ca="1">IFERROR(__xludf.DUMMYFUNCTION("""COMPUTED_VALUE"""),1)</f>
        <v>1</v>
      </c>
      <c r="L192" s="28" t="str">
        <f ca="1">IFERROR(__xludf.DUMMYFUNCTION("""COMPUTED_VALUE"""),"630/2024")</f>
        <v>630/2024</v>
      </c>
      <c r="M192" s="10" t="str">
        <f ca="1">IFERROR(__xludf.DUMMYFUNCTION("""COMPUTED_VALUE"""),"PTRAC")</f>
        <v>PTRAC</v>
      </c>
      <c r="N192" s="1"/>
      <c r="O192" s="1"/>
      <c r="P192" s="1"/>
      <c r="Q192" s="1"/>
      <c r="R192" s="1"/>
      <c r="S192" s="1"/>
      <c r="T192" s="1"/>
      <c r="U192" s="1"/>
      <c r="V192" s="1"/>
      <c r="W192" s="1"/>
      <c r="X192" s="1"/>
      <c r="Y192" s="1"/>
      <c r="Z192" s="1"/>
    </row>
    <row r="193" spans="1:26" ht="12.75" customHeight="1">
      <c r="A193" s="1"/>
      <c r="B193" s="10"/>
      <c r="C193" s="26"/>
      <c r="D193" s="10"/>
      <c r="E193" s="26"/>
      <c r="F193" s="11"/>
      <c r="G193" s="10"/>
      <c r="H193" s="10"/>
      <c r="I193" s="10"/>
      <c r="J193" s="11"/>
      <c r="K193" s="27"/>
      <c r="L193" s="28"/>
      <c r="M193" s="10"/>
      <c r="N193" s="1"/>
      <c r="O193" s="1"/>
      <c r="P193" s="1"/>
      <c r="Q193" s="1"/>
      <c r="R193" s="1"/>
      <c r="S193" s="1"/>
      <c r="T193" s="1"/>
      <c r="U193" s="1"/>
      <c r="V193" s="1"/>
      <c r="W193" s="1"/>
      <c r="X193" s="1"/>
      <c r="Y193" s="1"/>
      <c r="Z193" s="1"/>
    </row>
    <row r="194" spans="1:26" ht="12.75" customHeight="1">
      <c r="A194" s="1"/>
      <c r="B194" s="10"/>
      <c r="C194" s="26"/>
      <c r="D194" s="10"/>
      <c r="E194" s="26"/>
      <c r="F194" s="11"/>
      <c r="G194" s="10"/>
      <c r="H194" s="10"/>
      <c r="I194" s="10"/>
      <c r="J194" s="11"/>
      <c r="K194" s="27"/>
      <c r="L194" s="28"/>
      <c r="M194" s="10"/>
      <c r="N194" s="1"/>
      <c r="O194" s="1"/>
      <c r="P194" s="1"/>
      <c r="Q194" s="1"/>
      <c r="R194" s="1"/>
      <c r="S194" s="1"/>
      <c r="T194" s="1"/>
      <c r="U194" s="1"/>
      <c r="V194" s="1"/>
      <c r="W194" s="1"/>
      <c r="X194" s="1"/>
      <c r="Y194" s="1"/>
      <c r="Z194" s="1"/>
    </row>
    <row r="195" spans="1:26" ht="12.75" hidden="1" customHeight="1">
      <c r="A195" s="1"/>
      <c r="B195" s="10"/>
      <c r="C195" s="26"/>
      <c r="D195" s="10"/>
      <c r="E195" s="26"/>
      <c r="F195" s="11"/>
      <c r="G195" s="10"/>
      <c r="H195" s="10"/>
      <c r="I195" s="10"/>
      <c r="J195" s="11"/>
      <c r="K195" s="27"/>
      <c r="L195" s="28"/>
      <c r="M195" s="10"/>
      <c r="N195" s="1"/>
      <c r="O195" s="1"/>
      <c r="P195" s="1"/>
      <c r="Q195" s="1"/>
      <c r="R195" s="1"/>
      <c r="S195" s="1"/>
      <c r="T195" s="1"/>
      <c r="U195" s="1"/>
      <c r="V195" s="1"/>
      <c r="W195" s="1"/>
      <c r="X195" s="1"/>
      <c r="Y195" s="1"/>
      <c r="Z195" s="1"/>
    </row>
    <row r="196" spans="1:26" ht="12.75" hidden="1" customHeight="1">
      <c r="A196" s="1"/>
      <c r="B196" s="10"/>
      <c r="C196" s="26"/>
      <c r="D196" s="10"/>
      <c r="E196" s="26"/>
      <c r="F196" s="11"/>
      <c r="G196" s="10"/>
      <c r="H196" s="10"/>
      <c r="I196" s="10"/>
      <c r="J196" s="11"/>
      <c r="K196" s="27"/>
      <c r="L196" s="28"/>
      <c r="M196" s="10"/>
      <c r="N196" s="1"/>
      <c r="O196" s="1"/>
      <c r="P196" s="1"/>
      <c r="Q196" s="1"/>
      <c r="R196" s="1"/>
      <c r="S196" s="1"/>
      <c r="T196" s="1"/>
      <c r="U196" s="1"/>
      <c r="V196" s="1"/>
      <c r="W196" s="1"/>
      <c r="X196" s="1"/>
      <c r="Y196" s="1"/>
      <c r="Z196" s="1"/>
    </row>
    <row r="197" spans="1:26" ht="12.75" hidden="1" customHeight="1">
      <c r="A197" s="1"/>
      <c r="B197" s="10"/>
      <c r="C197" s="26"/>
      <c r="D197" s="10"/>
      <c r="E197" s="26"/>
      <c r="F197" s="11"/>
      <c r="G197" s="10"/>
      <c r="H197" s="10"/>
      <c r="I197" s="10"/>
      <c r="J197" s="11"/>
      <c r="K197" s="27"/>
      <c r="L197" s="28"/>
      <c r="M197" s="10"/>
      <c r="N197" s="1"/>
      <c r="O197" s="1"/>
      <c r="P197" s="1"/>
      <c r="Q197" s="1"/>
      <c r="R197" s="1"/>
      <c r="S197" s="1"/>
      <c r="T197" s="1"/>
      <c r="U197" s="1"/>
      <c r="V197" s="1"/>
      <c r="W197" s="1"/>
      <c r="X197" s="1"/>
      <c r="Y197" s="1"/>
      <c r="Z197" s="1"/>
    </row>
    <row r="198" spans="1:26" ht="12.75" hidden="1" customHeight="1">
      <c r="A198" s="1"/>
      <c r="B198" s="10"/>
      <c r="C198" s="26"/>
      <c r="D198" s="10"/>
      <c r="E198" s="26"/>
      <c r="F198" s="11"/>
      <c r="G198" s="10"/>
      <c r="H198" s="10"/>
      <c r="I198" s="10"/>
      <c r="J198" s="11"/>
      <c r="K198" s="27"/>
      <c r="L198" s="28"/>
      <c r="M198" s="10"/>
      <c r="N198" s="1"/>
      <c r="O198" s="1"/>
      <c r="P198" s="1"/>
      <c r="Q198" s="1"/>
      <c r="R198" s="1"/>
      <c r="S198" s="1"/>
      <c r="T198" s="1"/>
      <c r="U198" s="1"/>
      <c r="V198" s="1"/>
      <c r="W198" s="1"/>
      <c r="X198" s="1"/>
      <c r="Y198" s="1"/>
      <c r="Z198" s="1"/>
    </row>
    <row r="199" spans="1:26" ht="12.75" hidden="1" customHeight="1">
      <c r="A199" s="1"/>
      <c r="B199" s="10"/>
      <c r="C199" s="26"/>
      <c r="D199" s="10"/>
      <c r="E199" s="26"/>
      <c r="F199" s="11"/>
      <c r="G199" s="10"/>
      <c r="H199" s="10"/>
      <c r="I199" s="10"/>
      <c r="J199" s="11"/>
      <c r="K199" s="27"/>
      <c r="L199" s="28"/>
      <c r="M199" s="10"/>
      <c r="N199" s="1"/>
      <c r="O199" s="1"/>
      <c r="P199" s="1"/>
      <c r="Q199" s="1"/>
      <c r="R199" s="1"/>
      <c r="S199" s="1"/>
      <c r="T199" s="1"/>
      <c r="U199" s="1"/>
      <c r="V199" s="1"/>
      <c r="W199" s="1"/>
      <c r="X199" s="1"/>
      <c r="Y199" s="1"/>
      <c r="Z199" s="1"/>
    </row>
    <row r="200" spans="1:26" ht="12.75" hidden="1" customHeight="1">
      <c r="A200" s="1"/>
      <c r="B200" s="10"/>
      <c r="C200" s="26"/>
      <c r="D200" s="10"/>
      <c r="E200" s="26"/>
      <c r="F200" s="11"/>
      <c r="G200" s="10"/>
      <c r="H200" s="10"/>
      <c r="I200" s="10"/>
      <c r="J200" s="11"/>
      <c r="K200" s="27"/>
      <c r="L200" s="28"/>
      <c r="M200" s="10"/>
      <c r="N200" s="1"/>
      <c r="O200" s="1"/>
      <c r="P200" s="1"/>
      <c r="Q200" s="1"/>
      <c r="R200" s="1"/>
      <c r="S200" s="1"/>
      <c r="T200" s="1"/>
      <c r="U200" s="1"/>
      <c r="V200" s="1"/>
      <c r="W200" s="1"/>
      <c r="X200" s="1"/>
      <c r="Y200" s="1"/>
      <c r="Z200" s="1"/>
    </row>
    <row r="201" spans="1:26" ht="12.75" hidden="1" customHeight="1">
      <c r="A201" s="1"/>
      <c r="B201" s="10"/>
      <c r="C201" s="26"/>
      <c r="D201" s="10"/>
      <c r="E201" s="26"/>
      <c r="F201" s="11"/>
      <c r="G201" s="10"/>
      <c r="H201" s="10"/>
      <c r="I201" s="10"/>
      <c r="J201" s="11"/>
      <c r="K201" s="27"/>
      <c r="L201" s="28"/>
      <c r="M201" s="10"/>
      <c r="N201" s="1"/>
      <c r="O201" s="1"/>
      <c r="P201" s="1"/>
      <c r="Q201" s="1"/>
      <c r="R201" s="1"/>
      <c r="S201" s="1"/>
      <c r="T201" s="1"/>
      <c r="U201" s="1"/>
      <c r="V201" s="1"/>
      <c r="W201" s="1"/>
      <c r="X201" s="1"/>
      <c r="Y201" s="1"/>
      <c r="Z201" s="1"/>
    </row>
    <row r="202" spans="1:26" ht="12.75" hidden="1" customHeight="1">
      <c r="A202" s="1"/>
      <c r="B202" s="10"/>
      <c r="C202" s="26"/>
      <c r="D202" s="10"/>
      <c r="E202" s="26"/>
      <c r="F202" s="11"/>
      <c r="G202" s="10"/>
      <c r="H202" s="10"/>
      <c r="I202" s="10"/>
      <c r="J202" s="11"/>
      <c r="K202" s="27"/>
      <c r="L202" s="28"/>
      <c r="M202" s="10"/>
      <c r="N202" s="1"/>
      <c r="O202" s="1"/>
      <c r="P202" s="1"/>
      <c r="Q202" s="1"/>
      <c r="R202" s="1"/>
      <c r="S202" s="1"/>
      <c r="T202" s="1"/>
      <c r="U202" s="1"/>
      <c r="V202" s="1"/>
      <c r="W202" s="1"/>
      <c r="X202" s="1"/>
      <c r="Y202" s="1"/>
      <c r="Z202" s="1"/>
    </row>
    <row r="203" spans="1:26" ht="12.75" hidden="1" customHeight="1">
      <c r="A203" s="1"/>
      <c r="B203" s="10"/>
      <c r="C203" s="26"/>
      <c r="D203" s="10"/>
      <c r="E203" s="26"/>
      <c r="F203" s="11"/>
      <c r="G203" s="10"/>
      <c r="H203" s="10"/>
      <c r="I203" s="10"/>
      <c r="J203" s="11"/>
      <c r="K203" s="27"/>
      <c r="L203" s="28"/>
      <c r="M203" s="10"/>
      <c r="N203" s="1"/>
      <c r="O203" s="1"/>
      <c r="P203" s="1"/>
      <c r="Q203" s="1"/>
      <c r="R203" s="1"/>
      <c r="S203" s="1"/>
      <c r="T203" s="1"/>
      <c r="U203" s="1"/>
      <c r="V203" s="1"/>
      <c r="W203" s="1"/>
      <c r="X203" s="1"/>
      <c r="Y203" s="1"/>
      <c r="Z203" s="1"/>
    </row>
    <row r="204" spans="1:26" ht="12.75" hidden="1" customHeight="1">
      <c r="A204" s="1"/>
      <c r="B204" s="10"/>
      <c r="C204" s="26"/>
      <c r="D204" s="10"/>
      <c r="E204" s="26"/>
      <c r="F204" s="11"/>
      <c r="G204" s="10"/>
      <c r="H204" s="10"/>
      <c r="I204" s="10"/>
      <c r="J204" s="11"/>
      <c r="K204" s="27"/>
      <c r="L204" s="28"/>
      <c r="M204" s="10"/>
      <c r="N204" s="1"/>
      <c r="O204" s="1"/>
      <c r="P204" s="1"/>
      <c r="Q204" s="1"/>
      <c r="R204" s="1"/>
      <c r="S204" s="1"/>
      <c r="T204" s="1"/>
      <c r="U204" s="1"/>
      <c r="V204" s="1"/>
      <c r="W204" s="1"/>
      <c r="X204" s="1"/>
      <c r="Y204" s="1"/>
      <c r="Z204" s="1"/>
    </row>
    <row r="205" spans="1:26" ht="12.75" hidden="1" customHeight="1">
      <c r="A205" s="1"/>
      <c r="B205" s="10"/>
      <c r="C205" s="26"/>
      <c r="D205" s="10"/>
      <c r="E205" s="26"/>
      <c r="F205" s="11"/>
      <c r="G205" s="10"/>
      <c r="H205" s="10"/>
      <c r="I205" s="10"/>
      <c r="J205" s="11"/>
      <c r="K205" s="27"/>
      <c r="L205" s="28"/>
      <c r="M205" s="10"/>
      <c r="N205" s="1"/>
      <c r="O205" s="1"/>
      <c r="P205" s="1"/>
      <c r="Q205" s="1"/>
      <c r="R205" s="1"/>
      <c r="S205" s="1"/>
      <c r="T205" s="1"/>
      <c r="U205" s="1"/>
      <c r="V205" s="1"/>
      <c r="W205" s="1"/>
      <c r="X205" s="1"/>
      <c r="Y205" s="1"/>
      <c r="Z205" s="1"/>
    </row>
    <row r="206" spans="1:26" ht="12.75" hidden="1" customHeight="1">
      <c r="A206" s="1"/>
      <c r="B206" s="10"/>
      <c r="C206" s="26"/>
      <c r="D206" s="10"/>
      <c r="E206" s="26"/>
      <c r="F206" s="11"/>
      <c r="G206" s="10"/>
      <c r="H206" s="10"/>
      <c r="I206" s="10"/>
      <c r="J206" s="11"/>
      <c r="K206" s="27"/>
      <c r="L206" s="28"/>
      <c r="M206" s="10"/>
      <c r="N206" s="1"/>
      <c r="O206" s="1"/>
      <c r="P206" s="1"/>
      <c r="Q206" s="1"/>
      <c r="R206" s="1"/>
      <c r="S206" s="1"/>
      <c r="T206" s="1"/>
      <c r="U206" s="1"/>
      <c r="V206" s="1"/>
      <c r="W206" s="1"/>
      <c r="X206" s="1"/>
      <c r="Y206" s="1"/>
      <c r="Z206" s="1"/>
    </row>
    <row r="207" spans="1:26" ht="12.75" hidden="1" customHeight="1">
      <c r="A207" s="1"/>
      <c r="B207" s="10"/>
      <c r="C207" s="26"/>
      <c r="D207" s="10"/>
      <c r="E207" s="26"/>
      <c r="F207" s="11"/>
      <c r="G207" s="10"/>
      <c r="H207" s="10"/>
      <c r="I207" s="10"/>
      <c r="J207" s="11"/>
      <c r="K207" s="27"/>
      <c r="L207" s="28"/>
      <c r="M207" s="10"/>
      <c r="N207" s="1"/>
      <c r="O207" s="1"/>
      <c r="P207" s="1"/>
      <c r="Q207" s="1"/>
      <c r="R207" s="1"/>
      <c r="S207" s="1"/>
      <c r="T207" s="1"/>
      <c r="U207" s="1"/>
      <c r="V207" s="1"/>
      <c r="W207" s="1"/>
      <c r="X207" s="1"/>
      <c r="Y207" s="1"/>
      <c r="Z207" s="1"/>
    </row>
    <row r="208" spans="1:26" ht="12.75" hidden="1" customHeight="1">
      <c r="A208" s="1"/>
      <c r="B208" s="10"/>
      <c r="C208" s="26"/>
      <c r="D208" s="10"/>
      <c r="E208" s="26"/>
      <c r="F208" s="11"/>
      <c r="G208" s="10"/>
      <c r="H208" s="10"/>
      <c r="I208" s="10"/>
      <c r="J208" s="11"/>
      <c r="K208" s="27"/>
      <c r="L208" s="28"/>
      <c r="M208" s="10"/>
      <c r="N208" s="1"/>
      <c r="O208" s="1"/>
      <c r="P208" s="1"/>
      <c r="Q208" s="1"/>
      <c r="R208" s="1"/>
      <c r="S208" s="1"/>
      <c r="T208" s="1"/>
      <c r="U208" s="1"/>
      <c r="V208" s="1"/>
      <c r="W208" s="1"/>
      <c r="X208" s="1"/>
      <c r="Y208" s="1"/>
      <c r="Z208" s="1"/>
    </row>
    <row r="209" spans="1:26" ht="12.75" hidden="1" customHeight="1">
      <c r="A209" s="1"/>
      <c r="B209" s="10"/>
      <c r="C209" s="26"/>
      <c r="D209" s="10"/>
      <c r="E209" s="26"/>
      <c r="F209" s="11"/>
      <c r="G209" s="10"/>
      <c r="H209" s="10"/>
      <c r="I209" s="10"/>
      <c r="J209" s="11"/>
      <c r="K209" s="27"/>
      <c r="L209" s="28"/>
      <c r="M209" s="10"/>
      <c r="N209" s="1"/>
      <c r="O209" s="1"/>
      <c r="P209" s="1"/>
      <c r="Q209" s="1"/>
      <c r="R209" s="1"/>
      <c r="S209" s="1"/>
      <c r="T209" s="1"/>
      <c r="U209" s="1"/>
      <c r="V209" s="1"/>
      <c r="W209" s="1"/>
      <c r="X209" s="1"/>
      <c r="Y209" s="1"/>
      <c r="Z209" s="1"/>
    </row>
    <row r="210" spans="1:26" ht="12.75" hidden="1" customHeight="1">
      <c r="A210" s="1"/>
      <c r="B210" s="10"/>
      <c r="C210" s="26"/>
      <c r="D210" s="10"/>
      <c r="E210" s="26"/>
      <c r="F210" s="11"/>
      <c r="G210" s="10"/>
      <c r="H210" s="10"/>
      <c r="I210" s="10"/>
      <c r="J210" s="11"/>
      <c r="K210" s="27"/>
      <c r="L210" s="28"/>
      <c r="M210" s="10"/>
      <c r="N210" s="1"/>
      <c r="O210" s="1"/>
      <c r="P210" s="1"/>
      <c r="Q210" s="1"/>
      <c r="R210" s="1"/>
      <c r="S210" s="1"/>
      <c r="T210" s="1"/>
      <c r="U210" s="1"/>
      <c r="V210" s="1"/>
      <c r="W210" s="1"/>
      <c r="X210" s="1"/>
      <c r="Y210" s="1"/>
      <c r="Z210" s="1"/>
    </row>
    <row r="211" spans="1:26" ht="12.75" hidden="1" customHeight="1">
      <c r="A211" s="1"/>
      <c r="B211" s="10"/>
      <c r="C211" s="26"/>
      <c r="D211" s="10"/>
      <c r="E211" s="26"/>
      <c r="F211" s="11"/>
      <c r="G211" s="10"/>
      <c r="H211" s="10"/>
      <c r="I211" s="10"/>
      <c r="J211" s="11"/>
      <c r="K211" s="27"/>
      <c r="L211" s="28"/>
      <c r="M211" s="10"/>
      <c r="N211" s="1"/>
      <c r="O211" s="1"/>
      <c r="P211" s="1"/>
      <c r="Q211" s="1"/>
      <c r="R211" s="1"/>
      <c r="S211" s="1"/>
      <c r="T211" s="1"/>
      <c r="U211" s="1"/>
      <c r="V211" s="1"/>
      <c r="W211" s="1"/>
      <c r="X211" s="1"/>
      <c r="Y211" s="1"/>
      <c r="Z211" s="1"/>
    </row>
    <row r="212" spans="1:26" ht="12.75" hidden="1" customHeight="1">
      <c r="A212" s="1"/>
      <c r="B212" s="10"/>
      <c r="C212" s="26"/>
      <c r="D212" s="10"/>
      <c r="E212" s="26"/>
      <c r="F212" s="11"/>
      <c r="G212" s="10"/>
      <c r="H212" s="10"/>
      <c r="I212" s="10"/>
      <c r="J212" s="11"/>
      <c r="K212" s="27"/>
      <c r="L212" s="28"/>
      <c r="M212" s="10"/>
      <c r="N212" s="1"/>
      <c r="O212" s="1"/>
      <c r="P212" s="1"/>
      <c r="Q212" s="1"/>
      <c r="R212" s="1"/>
      <c r="S212" s="1"/>
      <c r="T212" s="1"/>
      <c r="U212" s="1"/>
      <c r="V212" s="1"/>
      <c r="W212" s="1"/>
      <c r="X212" s="1"/>
      <c r="Y212" s="1"/>
      <c r="Z212" s="1"/>
    </row>
    <row r="213" spans="1:26" ht="12.75" hidden="1" customHeight="1">
      <c r="A213" s="1"/>
      <c r="B213" s="10"/>
      <c r="C213" s="26"/>
      <c r="D213" s="10"/>
      <c r="E213" s="26"/>
      <c r="F213" s="11"/>
      <c r="G213" s="10"/>
      <c r="H213" s="10"/>
      <c r="I213" s="10"/>
      <c r="J213" s="11"/>
      <c r="K213" s="27"/>
      <c r="L213" s="28"/>
      <c r="M213" s="10"/>
      <c r="N213" s="1"/>
      <c r="O213" s="1"/>
      <c r="P213" s="1"/>
      <c r="Q213" s="1"/>
      <c r="R213" s="1"/>
      <c r="S213" s="1"/>
      <c r="T213" s="1"/>
      <c r="U213" s="1"/>
      <c r="V213" s="1"/>
      <c r="W213" s="1"/>
      <c r="X213" s="1"/>
      <c r="Y213" s="1"/>
      <c r="Z213" s="1"/>
    </row>
    <row r="214" spans="1:26" ht="12.75" hidden="1" customHeight="1">
      <c r="A214" s="1"/>
      <c r="B214" s="10"/>
      <c r="C214" s="26"/>
      <c r="D214" s="10"/>
      <c r="E214" s="26"/>
      <c r="F214" s="11"/>
      <c r="G214" s="10"/>
      <c r="H214" s="10"/>
      <c r="I214" s="10"/>
      <c r="J214" s="11"/>
      <c r="K214" s="27"/>
      <c r="L214" s="28"/>
      <c r="M214" s="10"/>
      <c r="N214" s="1"/>
      <c r="O214" s="1"/>
      <c r="P214" s="1"/>
      <c r="Q214" s="1"/>
      <c r="R214" s="1"/>
      <c r="S214" s="1"/>
      <c r="T214" s="1"/>
      <c r="U214" s="1"/>
      <c r="V214" s="1"/>
      <c r="W214" s="1"/>
      <c r="X214" s="1"/>
      <c r="Y214" s="1"/>
      <c r="Z214" s="1"/>
    </row>
    <row r="215" spans="1:26" ht="12.75" hidden="1" customHeight="1">
      <c r="A215" s="1"/>
      <c r="B215" s="10"/>
      <c r="C215" s="26"/>
      <c r="D215" s="10"/>
      <c r="E215" s="26"/>
      <c r="F215" s="11"/>
      <c r="G215" s="10"/>
      <c r="H215" s="10"/>
      <c r="I215" s="10"/>
      <c r="J215" s="11"/>
      <c r="K215" s="27"/>
      <c r="L215" s="28"/>
      <c r="M215" s="10"/>
      <c r="N215" s="1"/>
      <c r="O215" s="1"/>
      <c r="P215" s="1"/>
      <c r="Q215" s="1"/>
      <c r="R215" s="1"/>
      <c r="S215" s="1"/>
      <c r="T215" s="1"/>
      <c r="U215" s="1"/>
      <c r="V215" s="1"/>
      <c r="W215" s="1"/>
      <c r="X215" s="1"/>
      <c r="Y215" s="1"/>
      <c r="Z215" s="1"/>
    </row>
    <row r="216" spans="1:26" ht="12.75" hidden="1" customHeight="1">
      <c r="A216" s="1"/>
      <c r="B216" s="10"/>
      <c r="C216" s="26" t="str">
        <f t="shared" ref="C216:C226" si="1">MID(E216,17,30)</f>
        <v/>
      </c>
      <c r="D216" s="10"/>
      <c r="E216" s="26"/>
      <c r="F216" s="11"/>
      <c r="G216" s="10"/>
      <c r="H216" s="10"/>
      <c r="I216" s="10"/>
      <c r="J216" s="11"/>
      <c r="K216" s="27"/>
      <c r="L216" s="28"/>
      <c r="M216" s="10"/>
      <c r="N216" s="1"/>
      <c r="O216" s="1"/>
      <c r="P216" s="1"/>
      <c r="Q216" s="1"/>
      <c r="R216" s="1"/>
      <c r="S216" s="1"/>
      <c r="T216" s="1"/>
      <c r="U216" s="1"/>
      <c r="V216" s="1"/>
      <c r="W216" s="1"/>
      <c r="X216" s="1"/>
      <c r="Y216" s="1"/>
      <c r="Z216" s="1"/>
    </row>
    <row r="217" spans="1:26" ht="12.75" hidden="1" customHeight="1">
      <c r="A217" s="1"/>
      <c r="B217" s="10"/>
      <c r="C217" s="26" t="str">
        <f t="shared" si="1"/>
        <v/>
      </c>
      <c r="D217" s="10"/>
      <c r="E217" s="26"/>
      <c r="F217" s="11"/>
      <c r="G217" s="10"/>
      <c r="H217" s="10"/>
      <c r="I217" s="10"/>
      <c r="J217" s="11"/>
      <c r="K217" s="27"/>
      <c r="L217" s="28"/>
      <c r="M217" s="10"/>
      <c r="N217" s="1"/>
      <c r="O217" s="1"/>
      <c r="P217" s="1"/>
      <c r="Q217" s="1"/>
      <c r="R217" s="1"/>
      <c r="S217" s="1"/>
      <c r="T217" s="1"/>
      <c r="U217" s="1"/>
      <c r="V217" s="1"/>
      <c r="W217" s="1"/>
      <c r="X217" s="1"/>
      <c r="Y217" s="1"/>
      <c r="Z217" s="1"/>
    </row>
    <row r="218" spans="1:26" ht="12.75" hidden="1" customHeight="1">
      <c r="A218" s="1"/>
      <c r="B218" s="10"/>
      <c r="C218" s="26" t="str">
        <f t="shared" si="1"/>
        <v/>
      </c>
      <c r="D218" s="10"/>
      <c r="E218" s="26"/>
      <c r="F218" s="11"/>
      <c r="G218" s="10"/>
      <c r="H218" s="10"/>
      <c r="I218" s="10"/>
      <c r="J218" s="11"/>
      <c r="K218" s="27"/>
      <c r="L218" s="28"/>
      <c r="M218" s="10"/>
      <c r="N218" s="1"/>
      <c r="O218" s="1"/>
      <c r="P218" s="1"/>
      <c r="Q218" s="1"/>
      <c r="R218" s="1"/>
      <c r="S218" s="1"/>
      <c r="T218" s="1"/>
      <c r="U218" s="1"/>
      <c r="V218" s="1"/>
      <c r="W218" s="1"/>
      <c r="X218" s="1"/>
      <c r="Y218" s="1"/>
      <c r="Z218" s="1"/>
    </row>
    <row r="219" spans="1:26" ht="12.75" hidden="1" customHeight="1">
      <c r="A219" s="1"/>
      <c r="B219" s="10"/>
      <c r="C219" s="26" t="str">
        <f t="shared" si="1"/>
        <v/>
      </c>
      <c r="D219" s="10"/>
      <c r="E219" s="26"/>
      <c r="F219" s="11"/>
      <c r="G219" s="10"/>
      <c r="H219" s="10"/>
      <c r="I219" s="10"/>
      <c r="J219" s="11"/>
      <c r="K219" s="27"/>
      <c r="L219" s="28"/>
      <c r="M219" s="10"/>
      <c r="N219" s="1"/>
      <c r="O219" s="1"/>
      <c r="P219" s="1"/>
      <c r="Q219" s="1"/>
      <c r="R219" s="1"/>
      <c r="S219" s="1"/>
      <c r="T219" s="1"/>
      <c r="U219" s="1"/>
      <c r="V219" s="1"/>
      <c r="W219" s="1"/>
      <c r="X219" s="1"/>
      <c r="Y219" s="1"/>
      <c r="Z219" s="1"/>
    </row>
    <row r="220" spans="1:26" ht="12.75" hidden="1" customHeight="1">
      <c r="A220" s="1"/>
      <c r="B220" s="10"/>
      <c r="C220" s="26" t="str">
        <f t="shared" si="1"/>
        <v/>
      </c>
      <c r="D220" s="10"/>
      <c r="E220" s="26"/>
      <c r="F220" s="11"/>
      <c r="G220" s="10"/>
      <c r="H220" s="10"/>
      <c r="I220" s="10"/>
      <c r="J220" s="11"/>
      <c r="K220" s="27"/>
      <c r="L220" s="28"/>
      <c r="M220" s="10"/>
      <c r="N220" s="1"/>
      <c r="O220" s="1"/>
      <c r="P220" s="1"/>
      <c r="Q220" s="1"/>
      <c r="R220" s="1"/>
      <c r="S220" s="1"/>
      <c r="T220" s="1"/>
      <c r="U220" s="1"/>
      <c r="V220" s="1"/>
      <c r="W220" s="1"/>
      <c r="X220" s="1"/>
      <c r="Y220" s="1"/>
      <c r="Z220" s="1"/>
    </row>
    <row r="221" spans="1:26" ht="12.75" hidden="1" customHeight="1">
      <c r="A221" s="1"/>
      <c r="B221" s="10"/>
      <c r="C221" s="26" t="str">
        <f t="shared" si="1"/>
        <v/>
      </c>
      <c r="D221" s="10"/>
      <c r="E221" s="26"/>
      <c r="F221" s="11"/>
      <c r="G221" s="10"/>
      <c r="H221" s="10"/>
      <c r="I221" s="10"/>
      <c r="J221" s="11"/>
      <c r="K221" s="27"/>
      <c r="L221" s="28"/>
      <c r="M221" s="10"/>
      <c r="N221" s="1"/>
      <c r="O221" s="1"/>
      <c r="P221" s="1"/>
      <c r="Q221" s="1"/>
      <c r="R221" s="1"/>
      <c r="S221" s="1"/>
      <c r="T221" s="1"/>
      <c r="U221" s="1"/>
      <c r="V221" s="1"/>
      <c r="W221" s="1"/>
      <c r="X221" s="1"/>
      <c r="Y221" s="1"/>
      <c r="Z221" s="1"/>
    </row>
    <row r="222" spans="1:26" ht="12.75" hidden="1" customHeight="1">
      <c r="A222" s="1"/>
      <c r="B222" s="10"/>
      <c r="C222" s="26" t="str">
        <f t="shared" si="1"/>
        <v/>
      </c>
      <c r="D222" s="10"/>
      <c r="E222" s="26"/>
      <c r="F222" s="11"/>
      <c r="G222" s="10"/>
      <c r="H222" s="10"/>
      <c r="I222" s="10"/>
      <c r="J222" s="11"/>
      <c r="K222" s="27"/>
      <c r="L222" s="28"/>
      <c r="M222" s="10"/>
      <c r="N222" s="1"/>
      <c r="O222" s="1"/>
      <c r="P222" s="1"/>
      <c r="Q222" s="1"/>
      <c r="R222" s="1"/>
      <c r="S222" s="1"/>
      <c r="T222" s="1"/>
      <c r="U222" s="1"/>
      <c r="V222" s="1"/>
      <c r="W222" s="1"/>
      <c r="X222" s="1"/>
      <c r="Y222" s="1"/>
      <c r="Z222" s="1"/>
    </row>
    <row r="223" spans="1:26" ht="12.75" hidden="1" customHeight="1">
      <c r="A223" s="1"/>
      <c r="B223" s="10"/>
      <c r="C223" s="26" t="str">
        <f t="shared" si="1"/>
        <v/>
      </c>
      <c r="D223" s="10"/>
      <c r="E223" s="26"/>
      <c r="F223" s="11"/>
      <c r="G223" s="10"/>
      <c r="H223" s="10"/>
      <c r="I223" s="10"/>
      <c r="J223" s="11"/>
      <c r="K223" s="27"/>
      <c r="L223" s="28"/>
      <c r="M223" s="10"/>
      <c r="N223" s="1"/>
      <c r="O223" s="1"/>
      <c r="P223" s="1"/>
      <c r="Q223" s="1"/>
      <c r="R223" s="1"/>
      <c r="S223" s="1"/>
      <c r="T223" s="1"/>
      <c r="U223" s="1"/>
      <c r="V223" s="1"/>
      <c r="W223" s="1"/>
      <c r="X223" s="1"/>
      <c r="Y223" s="1"/>
      <c r="Z223" s="1"/>
    </row>
    <row r="224" spans="1:26" ht="12.75" hidden="1" customHeight="1">
      <c r="A224" s="1"/>
      <c r="B224" s="10"/>
      <c r="C224" s="26" t="str">
        <f t="shared" si="1"/>
        <v/>
      </c>
      <c r="D224" s="10"/>
      <c r="E224" s="26"/>
      <c r="F224" s="11"/>
      <c r="G224" s="10"/>
      <c r="H224" s="10"/>
      <c r="I224" s="10"/>
      <c r="J224" s="11"/>
      <c r="K224" s="27"/>
      <c r="L224" s="28"/>
      <c r="M224" s="10"/>
      <c r="N224" s="1"/>
      <c r="O224" s="1"/>
      <c r="P224" s="1"/>
      <c r="Q224" s="1"/>
      <c r="R224" s="1"/>
      <c r="S224" s="1"/>
      <c r="T224" s="1"/>
      <c r="U224" s="1"/>
      <c r="V224" s="1"/>
      <c r="W224" s="1"/>
      <c r="X224" s="1"/>
      <c r="Y224" s="1"/>
      <c r="Z224" s="1"/>
    </row>
    <row r="225" spans="1:26" ht="12.75" customHeight="1">
      <c r="A225" s="59"/>
      <c r="B225" s="59"/>
      <c r="C225" s="59" t="str">
        <f t="shared" si="1"/>
        <v/>
      </c>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75" customHeight="1">
      <c r="A226" s="59"/>
      <c r="B226" s="59"/>
      <c r="C226" s="59" t="str">
        <f t="shared" si="1"/>
        <v/>
      </c>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9.5" customHeight="1">
      <c r="A227" s="60"/>
      <c r="B227" s="61" t="s">
        <v>40</v>
      </c>
      <c r="C227" s="62"/>
      <c r="D227" s="62"/>
      <c r="E227" s="62"/>
      <c r="F227" s="63">
        <f ca="1">SUBTOTAL(9,F22:F224)</f>
        <v>3616306834</v>
      </c>
      <c r="G227" s="62"/>
      <c r="H227" s="62"/>
      <c r="I227" s="62"/>
      <c r="J227" s="63">
        <f ca="1">SUBTOTAL(9,J22:J224)</f>
        <v>3616306834</v>
      </c>
      <c r="K227" s="62"/>
      <c r="L227" s="62"/>
      <c r="M227" s="62"/>
      <c r="N227" s="60"/>
      <c r="O227" s="60"/>
      <c r="P227" s="60"/>
      <c r="Q227" s="60"/>
      <c r="R227" s="60"/>
      <c r="S227" s="60"/>
      <c r="T227" s="60"/>
      <c r="U227" s="60"/>
      <c r="V227" s="60"/>
      <c r="W227" s="60"/>
      <c r="X227" s="60"/>
      <c r="Y227" s="60"/>
      <c r="Z227" s="60"/>
    </row>
    <row r="228" spans="1:26" ht="12.75" customHeight="1">
      <c r="A228" s="59"/>
      <c r="B228" s="59"/>
      <c r="C228" s="59" t="str">
        <f t="shared" ref="C228:C229" si="2">MID(E228,17,30)</f>
        <v/>
      </c>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75" customHeight="1">
      <c r="A229" s="59"/>
      <c r="B229" s="59"/>
      <c r="C229" s="59" t="str">
        <f t="shared" si="2"/>
        <v/>
      </c>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75" customHeight="1">
      <c r="A230" s="59"/>
      <c r="B230" s="59"/>
      <c r="C230" s="64"/>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75" customHeight="1">
      <c r="A231" s="59"/>
      <c r="B231" s="65" t="s">
        <v>41</v>
      </c>
      <c r="C231" s="15" t="s">
        <v>111</v>
      </c>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75" customHeight="1">
      <c r="A232" s="59"/>
      <c r="B232" s="59"/>
      <c r="C232" s="59" t="str">
        <f t="shared" ref="C232:C522" si="3">MID(E232,17,30)</f>
        <v/>
      </c>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75" customHeight="1">
      <c r="A233" s="59"/>
      <c r="B233" s="59"/>
      <c r="C233" s="59" t="str">
        <f t="shared" si="3"/>
        <v/>
      </c>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75" customHeight="1">
      <c r="A234" s="59"/>
      <c r="B234" s="59"/>
      <c r="C234" s="59" t="str">
        <f t="shared" si="3"/>
        <v/>
      </c>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75" customHeight="1">
      <c r="A235" s="59"/>
      <c r="B235" s="59"/>
      <c r="C235" s="59" t="str">
        <f t="shared" si="3"/>
        <v/>
      </c>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75" customHeight="1">
      <c r="A236" s="59"/>
      <c r="B236" s="59"/>
      <c r="C236" s="59" t="str">
        <f t="shared" si="3"/>
        <v/>
      </c>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75" customHeight="1">
      <c r="A237" s="59"/>
      <c r="B237" s="59"/>
      <c r="C237" s="59" t="str">
        <f t="shared" si="3"/>
        <v/>
      </c>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75" customHeight="1">
      <c r="A238" s="59"/>
      <c r="B238" s="59"/>
      <c r="C238" s="59" t="str">
        <f t="shared" si="3"/>
        <v/>
      </c>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75" customHeight="1">
      <c r="A239" s="59"/>
      <c r="B239" s="59"/>
      <c r="C239" s="59" t="str">
        <f t="shared" si="3"/>
        <v/>
      </c>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75" customHeight="1">
      <c r="A240" s="59"/>
      <c r="B240" s="59"/>
      <c r="C240" s="59" t="str">
        <f t="shared" si="3"/>
        <v/>
      </c>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75" customHeight="1">
      <c r="A241" s="59"/>
      <c r="B241" s="59"/>
      <c r="C241" s="59" t="str">
        <f t="shared" si="3"/>
        <v/>
      </c>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75" customHeight="1">
      <c r="A242" s="59"/>
      <c r="B242" s="59"/>
      <c r="C242" s="59" t="str">
        <f t="shared" si="3"/>
        <v/>
      </c>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75" customHeight="1">
      <c r="A243" s="59"/>
      <c r="B243" s="59"/>
      <c r="C243" s="59" t="str">
        <f t="shared" si="3"/>
        <v/>
      </c>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75" customHeight="1">
      <c r="A244" s="59"/>
      <c r="B244" s="59"/>
      <c r="C244" s="59" t="str">
        <f t="shared" si="3"/>
        <v/>
      </c>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75" customHeight="1">
      <c r="A245" s="59"/>
      <c r="B245" s="59"/>
      <c r="C245" s="59" t="str">
        <f t="shared" si="3"/>
        <v/>
      </c>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75" customHeight="1">
      <c r="A246" s="59"/>
      <c r="B246" s="59"/>
      <c r="C246" s="59" t="str">
        <f t="shared" si="3"/>
        <v/>
      </c>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75" customHeight="1">
      <c r="A247" s="59"/>
      <c r="B247" s="59"/>
      <c r="C247" s="59" t="str">
        <f t="shared" si="3"/>
        <v/>
      </c>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75" customHeight="1">
      <c r="A248" s="59"/>
      <c r="B248" s="59"/>
      <c r="C248" s="59" t="str">
        <f t="shared" si="3"/>
        <v/>
      </c>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75" customHeight="1">
      <c r="A249" s="59"/>
      <c r="B249" s="59"/>
      <c r="C249" s="59" t="str">
        <f t="shared" si="3"/>
        <v/>
      </c>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75" customHeight="1">
      <c r="A250" s="59"/>
      <c r="B250" s="59"/>
      <c r="C250" s="59" t="str">
        <f t="shared" si="3"/>
        <v/>
      </c>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75" customHeight="1">
      <c r="A251" s="59"/>
      <c r="B251" s="59"/>
      <c r="C251" s="59" t="str">
        <f t="shared" si="3"/>
        <v/>
      </c>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75" customHeight="1">
      <c r="A252" s="59"/>
      <c r="B252" s="59"/>
      <c r="C252" s="59" t="str">
        <f t="shared" si="3"/>
        <v/>
      </c>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75" customHeight="1">
      <c r="A253" s="59"/>
      <c r="B253" s="59"/>
      <c r="C253" s="59" t="str">
        <f t="shared" si="3"/>
        <v/>
      </c>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75" customHeight="1">
      <c r="A254" s="59"/>
      <c r="B254" s="59"/>
      <c r="C254" s="59" t="str">
        <f t="shared" si="3"/>
        <v/>
      </c>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75" customHeight="1">
      <c r="A255" s="59"/>
      <c r="B255" s="59"/>
      <c r="C255" s="59" t="str">
        <f t="shared" si="3"/>
        <v/>
      </c>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75" customHeight="1">
      <c r="A256" s="59"/>
      <c r="B256" s="59"/>
      <c r="C256" s="59" t="str">
        <f t="shared" si="3"/>
        <v/>
      </c>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75" customHeight="1">
      <c r="A257" s="59"/>
      <c r="B257" s="59"/>
      <c r="C257" s="59" t="str">
        <f t="shared" si="3"/>
        <v/>
      </c>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75" customHeight="1">
      <c r="A258" s="59"/>
      <c r="B258" s="59"/>
      <c r="C258" s="59" t="str">
        <f t="shared" si="3"/>
        <v/>
      </c>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75" customHeight="1">
      <c r="A259" s="59"/>
      <c r="B259" s="59"/>
      <c r="C259" s="59" t="str">
        <f t="shared" si="3"/>
        <v/>
      </c>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75" customHeight="1">
      <c r="A260" s="59"/>
      <c r="B260" s="59"/>
      <c r="C260" s="59" t="str">
        <f t="shared" si="3"/>
        <v/>
      </c>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75" customHeight="1">
      <c r="A261" s="59"/>
      <c r="B261" s="59"/>
      <c r="C261" s="59" t="str">
        <f t="shared" si="3"/>
        <v/>
      </c>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75" customHeight="1">
      <c r="A262" s="59"/>
      <c r="B262" s="59"/>
      <c r="C262" s="59" t="str">
        <f t="shared" si="3"/>
        <v/>
      </c>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75" customHeight="1">
      <c r="A263" s="59"/>
      <c r="B263" s="59"/>
      <c r="C263" s="59" t="str">
        <f t="shared" si="3"/>
        <v/>
      </c>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75" customHeight="1">
      <c r="A264" s="59"/>
      <c r="B264" s="59"/>
      <c r="C264" s="59" t="str">
        <f t="shared" si="3"/>
        <v/>
      </c>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75" customHeight="1">
      <c r="A265" s="59"/>
      <c r="B265" s="59"/>
      <c r="C265" s="59" t="str">
        <f t="shared" si="3"/>
        <v/>
      </c>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75" customHeight="1">
      <c r="A266" s="59"/>
      <c r="B266" s="59"/>
      <c r="C266" s="59" t="str">
        <f t="shared" si="3"/>
        <v/>
      </c>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75" customHeight="1">
      <c r="A267" s="59"/>
      <c r="B267" s="59"/>
      <c r="C267" s="59" t="str">
        <f t="shared" si="3"/>
        <v/>
      </c>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75" customHeight="1">
      <c r="A268" s="59"/>
      <c r="B268" s="59"/>
      <c r="C268" s="59" t="str">
        <f t="shared" si="3"/>
        <v/>
      </c>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75" customHeight="1">
      <c r="A269" s="59"/>
      <c r="B269" s="59"/>
      <c r="C269" s="59" t="str">
        <f t="shared" si="3"/>
        <v/>
      </c>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75" customHeight="1">
      <c r="A270" s="59"/>
      <c r="B270" s="59"/>
      <c r="C270" s="59" t="str">
        <f t="shared" si="3"/>
        <v/>
      </c>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75" customHeight="1">
      <c r="A271" s="59"/>
      <c r="B271" s="59"/>
      <c r="C271" s="59" t="str">
        <f t="shared" si="3"/>
        <v/>
      </c>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75" customHeight="1">
      <c r="A272" s="59"/>
      <c r="B272" s="59"/>
      <c r="C272" s="59" t="str">
        <f t="shared" si="3"/>
        <v/>
      </c>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75" customHeight="1">
      <c r="A273" s="59"/>
      <c r="B273" s="59"/>
      <c r="C273" s="59" t="str">
        <f t="shared" si="3"/>
        <v/>
      </c>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75" customHeight="1">
      <c r="A274" s="59"/>
      <c r="B274" s="59"/>
      <c r="C274" s="59" t="str">
        <f t="shared" si="3"/>
        <v/>
      </c>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75" customHeight="1">
      <c r="A275" s="59"/>
      <c r="B275" s="59"/>
      <c r="C275" s="59" t="str">
        <f t="shared" si="3"/>
        <v/>
      </c>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75" customHeight="1">
      <c r="A276" s="59"/>
      <c r="B276" s="59"/>
      <c r="C276" s="59" t="str">
        <f t="shared" si="3"/>
        <v/>
      </c>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75" customHeight="1">
      <c r="A277" s="59"/>
      <c r="B277" s="59"/>
      <c r="C277" s="59" t="str">
        <f t="shared" si="3"/>
        <v/>
      </c>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75" customHeight="1">
      <c r="A278" s="59"/>
      <c r="B278" s="59"/>
      <c r="C278" s="59" t="str">
        <f t="shared" si="3"/>
        <v/>
      </c>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75" customHeight="1">
      <c r="A279" s="59"/>
      <c r="B279" s="59"/>
      <c r="C279" s="59" t="str">
        <f t="shared" si="3"/>
        <v/>
      </c>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75" customHeight="1">
      <c r="A280" s="59"/>
      <c r="B280" s="59"/>
      <c r="C280" s="59" t="str">
        <f t="shared" si="3"/>
        <v/>
      </c>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75" customHeight="1">
      <c r="A281" s="59"/>
      <c r="B281" s="59"/>
      <c r="C281" s="59" t="str">
        <f t="shared" si="3"/>
        <v/>
      </c>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75" customHeight="1">
      <c r="A282" s="59"/>
      <c r="B282" s="59"/>
      <c r="C282" s="59" t="str">
        <f t="shared" si="3"/>
        <v/>
      </c>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75" customHeight="1">
      <c r="A283" s="59"/>
      <c r="B283" s="59"/>
      <c r="C283" s="59" t="str">
        <f t="shared" si="3"/>
        <v/>
      </c>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75" customHeight="1">
      <c r="A284" s="59"/>
      <c r="B284" s="59"/>
      <c r="C284" s="59" t="str">
        <f t="shared" si="3"/>
        <v/>
      </c>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75" customHeight="1">
      <c r="A285" s="59"/>
      <c r="B285" s="59"/>
      <c r="C285" s="59" t="str">
        <f t="shared" si="3"/>
        <v/>
      </c>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75" customHeight="1">
      <c r="A286" s="59"/>
      <c r="B286" s="59"/>
      <c r="C286" s="59" t="str">
        <f t="shared" si="3"/>
        <v/>
      </c>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75" customHeight="1">
      <c r="A287" s="59"/>
      <c r="B287" s="59"/>
      <c r="C287" s="59" t="str">
        <f t="shared" si="3"/>
        <v/>
      </c>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75" customHeight="1">
      <c r="A288" s="59"/>
      <c r="B288" s="59"/>
      <c r="C288" s="59" t="str">
        <f t="shared" si="3"/>
        <v/>
      </c>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75" customHeight="1">
      <c r="A289" s="59"/>
      <c r="B289" s="59"/>
      <c r="C289" s="59" t="str">
        <f t="shared" si="3"/>
        <v/>
      </c>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75" customHeight="1">
      <c r="A290" s="59"/>
      <c r="B290" s="59"/>
      <c r="C290" s="59" t="str">
        <f t="shared" si="3"/>
        <v/>
      </c>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75" customHeight="1">
      <c r="A291" s="59"/>
      <c r="B291" s="59"/>
      <c r="C291" s="59" t="str">
        <f t="shared" si="3"/>
        <v/>
      </c>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75" customHeight="1">
      <c r="A292" s="59"/>
      <c r="B292" s="59"/>
      <c r="C292" s="59" t="str">
        <f t="shared" si="3"/>
        <v/>
      </c>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75" customHeight="1">
      <c r="A293" s="59"/>
      <c r="B293" s="59"/>
      <c r="C293" s="59" t="str">
        <f t="shared" si="3"/>
        <v/>
      </c>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75" customHeight="1">
      <c r="A294" s="59"/>
      <c r="B294" s="59"/>
      <c r="C294" s="59" t="str">
        <f t="shared" si="3"/>
        <v/>
      </c>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75" customHeight="1">
      <c r="A295" s="59"/>
      <c r="B295" s="59"/>
      <c r="C295" s="59" t="str">
        <f t="shared" si="3"/>
        <v/>
      </c>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75" customHeight="1">
      <c r="A296" s="59"/>
      <c r="B296" s="59"/>
      <c r="C296" s="59" t="str">
        <f t="shared" si="3"/>
        <v/>
      </c>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75" customHeight="1">
      <c r="A297" s="59"/>
      <c r="B297" s="59"/>
      <c r="C297" s="59" t="str">
        <f t="shared" si="3"/>
        <v/>
      </c>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75" customHeight="1">
      <c r="A298" s="59"/>
      <c r="B298" s="59"/>
      <c r="C298" s="59" t="str">
        <f t="shared" si="3"/>
        <v/>
      </c>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75" customHeight="1">
      <c r="A299" s="59"/>
      <c r="B299" s="59"/>
      <c r="C299" s="59" t="str">
        <f t="shared" si="3"/>
        <v/>
      </c>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75" customHeight="1">
      <c r="A300" s="59"/>
      <c r="B300" s="59"/>
      <c r="C300" s="59" t="str">
        <f t="shared" si="3"/>
        <v/>
      </c>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75" customHeight="1">
      <c r="A301" s="59"/>
      <c r="B301" s="59"/>
      <c r="C301" s="59" t="str">
        <f t="shared" si="3"/>
        <v/>
      </c>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75" customHeight="1">
      <c r="A302" s="59"/>
      <c r="B302" s="59"/>
      <c r="C302" s="59" t="str">
        <f t="shared" si="3"/>
        <v/>
      </c>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75" customHeight="1">
      <c r="A303" s="59"/>
      <c r="B303" s="59"/>
      <c r="C303" s="59" t="str">
        <f t="shared" si="3"/>
        <v/>
      </c>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75" customHeight="1">
      <c r="A304" s="59"/>
      <c r="B304" s="59"/>
      <c r="C304" s="59" t="str">
        <f t="shared" si="3"/>
        <v/>
      </c>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75" customHeight="1">
      <c r="A305" s="59"/>
      <c r="B305" s="59"/>
      <c r="C305" s="59" t="str">
        <f t="shared" si="3"/>
        <v/>
      </c>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75" customHeight="1">
      <c r="A306" s="59"/>
      <c r="B306" s="59"/>
      <c r="C306" s="59" t="str">
        <f t="shared" si="3"/>
        <v/>
      </c>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75" customHeight="1">
      <c r="A307" s="59"/>
      <c r="B307" s="59"/>
      <c r="C307" s="59" t="str">
        <f t="shared" si="3"/>
        <v/>
      </c>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75" customHeight="1">
      <c r="A308" s="59"/>
      <c r="B308" s="59"/>
      <c r="C308" s="59" t="str">
        <f t="shared" si="3"/>
        <v/>
      </c>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75" customHeight="1">
      <c r="A309" s="59"/>
      <c r="B309" s="59"/>
      <c r="C309" s="59" t="str">
        <f t="shared" si="3"/>
        <v/>
      </c>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75" customHeight="1">
      <c r="A310" s="59"/>
      <c r="B310" s="59"/>
      <c r="C310" s="59" t="str">
        <f t="shared" si="3"/>
        <v/>
      </c>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75" customHeight="1">
      <c r="A311" s="59"/>
      <c r="B311" s="59"/>
      <c r="C311" s="59" t="str">
        <f t="shared" si="3"/>
        <v/>
      </c>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75" customHeight="1">
      <c r="A312" s="59"/>
      <c r="B312" s="59"/>
      <c r="C312" s="59" t="str">
        <f t="shared" si="3"/>
        <v/>
      </c>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75" customHeight="1">
      <c r="A313" s="59"/>
      <c r="B313" s="59"/>
      <c r="C313" s="59" t="str">
        <f t="shared" si="3"/>
        <v/>
      </c>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75" customHeight="1">
      <c r="A314" s="59"/>
      <c r="B314" s="59"/>
      <c r="C314" s="59" t="str">
        <f t="shared" si="3"/>
        <v/>
      </c>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75" customHeight="1">
      <c r="A315" s="59"/>
      <c r="B315" s="59"/>
      <c r="C315" s="59" t="str">
        <f t="shared" si="3"/>
        <v/>
      </c>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75" customHeight="1">
      <c r="A316" s="59"/>
      <c r="B316" s="59"/>
      <c r="C316" s="59" t="str">
        <f t="shared" si="3"/>
        <v/>
      </c>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75" customHeight="1">
      <c r="A317" s="59"/>
      <c r="B317" s="59"/>
      <c r="C317" s="59" t="str">
        <f t="shared" si="3"/>
        <v/>
      </c>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75" customHeight="1">
      <c r="A318" s="59"/>
      <c r="B318" s="59"/>
      <c r="C318" s="59" t="str">
        <f t="shared" si="3"/>
        <v/>
      </c>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75" customHeight="1">
      <c r="A319" s="59"/>
      <c r="B319" s="59"/>
      <c r="C319" s="59" t="str">
        <f t="shared" si="3"/>
        <v/>
      </c>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75" customHeight="1">
      <c r="A320" s="59"/>
      <c r="B320" s="59"/>
      <c r="C320" s="59" t="str">
        <f t="shared" si="3"/>
        <v/>
      </c>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75" customHeight="1">
      <c r="A321" s="59"/>
      <c r="B321" s="59"/>
      <c r="C321" s="59" t="str">
        <f t="shared" si="3"/>
        <v/>
      </c>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75" customHeight="1">
      <c r="A322" s="59"/>
      <c r="B322" s="59"/>
      <c r="C322" s="59" t="str">
        <f t="shared" si="3"/>
        <v/>
      </c>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75" customHeight="1">
      <c r="A323" s="59"/>
      <c r="B323" s="59"/>
      <c r="C323" s="59" t="str">
        <f t="shared" si="3"/>
        <v/>
      </c>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c r="C324" s="59" t="str">
        <f t="shared" si="3"/>
        <v/>
      </c>
    </row>
    <row r="325" spans="1:26" ht="15.75" customHeight="1">
      <c r="C325" s="59" t="str">
        <f t="shared" si="3"/>
        <v/>
      </c>
    </row>
    <row r="326" spans="1:26" ht="15.75" customHeight="1">
      <c r="C326" s="59" t="str">
        <f t="shared" si="3"/>
        <v/>
      </c>
    </row>
    <row r="327" spans="1:26" ht="15.75" customHeight="1">
      <c r="C327" s="59" t="str">
        <f t="shared" si="3"/>
        <v/>
      </c>
    </row>
    <row r="328" spans="1:26" ht="15.75" customHeight="1">
      <c r="C328" s="59" t="str">
        <f t="shared" si="3"/>
        <v/>
      </c>
    </row>
    <row r="329" spans="1:26" ht="15.75" customHeight="1">
      <c r="C329" s="59" t="str">
        <f t="shared" si="3"/>
        <v/>
      </c>
    </row>
    <row r="330" spans="1:26" ht="15.75" customHeight="1">
      <c r="C330" s="59" t="str">
        <f t="shared" si="3"/>
        <v/>
      </c>
    </row>
    <row r="331" spans="1:26" ht="15.75" customHeight="1">
      <c r="C331" s="59" t="str">
        <f t="shared" si="3"/>
        <v/>
      </c>
    </row>
    <row r="332" spans="1:26" ht="15.75" customHeight="1">
      <c r="C332" s="59" t="str">
        <f t="shared" si="3"/>
        <v/>
      </c>
    </row>
    <row r="333" spans="1:26" ht="15.75" customHeight="1">
      <c r="C333" s="59" t="str">
        <f t="shared" si="3"/>
        <v/>
      </c>
    </row>
    <row r="334" spans="1:26" ht="15.75" customHeight="1">
      <c r="C334" s="59" t="str">
        <f t="shared" si="3"/>
        <v/>
      </c>
    </row>
    <row r="335" spans="1:26" ht="15.75" customHeight="1">
      <c r="C335" s="59" t="str">
        <f t="shared" si="3"/>
        <v/>
      </c>
    </row>
    <row r="336" spans="1:26" ht="15.75" customHeight="1">
      <c r="C336" s="59" t="str">
        <f t="shared" si="3"/>
        <v/>
      </c>
    </row>
    <row r="337" spans="3:3" ht="15.75" customHeight="1">
      <c r="C337" s="59" t="str">
        <f t="shared" si="3"/>
        <v/>
      </c>
    </row>
    <row r="338" spans="3:3" ht="15.75" customHeight="1">
      <c r="C338" s="59" t="str">
        <f t="shared" si="3"/>
        <v/>
      </c>
    </row>
    <row r="339" spans="3:3" ht="15.75" customHeight="1">
      <c r="C339" s="59" t="str">
        <f t="shared" si="3"/>
        <v/>
      </c>
    </row>
    <row r="340" spans="3:3" ht="15.75" customHeight="1">
      <c r="C340" s="59" t="str">
        <f t="shared" si="3"/>
        <v/>
      </c>
    </row>
    <row r="341" spans="3:3" ht="15.75" customHeight="1">
      <c r="C341" s="59" t="str">
        <f t="shared" si="3"/>
        <v/>
      </c>
    </row>
    <row r="342" spans="3:3" ht="15.75" customHeight="1">
      <c r="C342" s="59" t="str">
        <f t="shared" si="3"/>
        <v/>
      </c>
    </row>
    <row r="343" spans="3:3" ht="15.75" customHeight="1">
      <c r="C343" s="59" t="str">
        <f t="shared" si="3"/>
        <v/>
      </c>
    </row>
    <row r="344" spans="3:3" ht="15.75" customHeight="1">
      <c r="C344" s="59" t="str">
        <f t="shared" si="3"/>
        <v/>
      </c>
    </row>
    <row r="345" spans="3:3" ht="15.75" customHeight="1">
      <c r="C345" s="59" t="str">
        <f t="shared" si="3"/>
        <v/>
      </c>
    </row>
    <row r="346" spans="3:3" ht="15.75" customHeight="1">
      <c r="C346" s="59" t="str">
        <f t="shared" si="3"/>
        <v/>
      </c>
    </row>
    <row r="347" spans="3:3" ht="15.75" customHeight="1">
      <c r="C347" s="59" t="str">
        <f t="shared" si="3"/>
        <v/>
      </c>
    </row>
    <row r="348" spans="3:3" ht="15.75" customHeight="1">
      <c r="C348" s="59" t="str">
        <f t="shared" si="3"/>
        <v/>
      </c>
    </row>
    <row r="349" spans="3:3" ht="15.75" customHeight="1">
      <c r="C349" s="59" t="str">
        <f t="shared" si="3"/>
        <v/>
      </c>
    </row>
    <row r="350" spans="3:3" ht="15.75" customHeight="1">
      <c r="C350" s="59" t="str">
        <f t="shared" si="3"/>
        <v/>
      </c>
    </row>
    <row r="351" spans="3:3" ht="15.75" customHeight="1">
      <c r="C351" s="59" t="str">
        <f t="shared" si="3"/>
        <v/>
      </c>
    </row>
    <row r="352" spans="3:3" ht="15.75" customHeight="1">
      <c r="C352" s="59" t="str">
        <f t="shared" si="3"/>
        <v/>
      </c>
    </row>
    <row r="353" spans="3:3" ht="15.75" customHeight="1">
      <c r="C353" s="59" t="str">
        <f t="shared" si="3"/>
        <v/>
      </c>
    </row>
    <row r="354" spans="3:3" ht="15.75" customHeight="1">
      <c r="C354" s="59" t="str">
        <f t="shared" si="3"/>
        <v/>
      </c>
    </row>
    <row r="355" spans="3:3" ht="15.75" customHeight="1">
      <c r="C355" s="59" t="str">
        <f t="shared" si="3"/>
        <v/>
      </c>
    </row>
    <row r="356" spans="3:3" ht="15.75" customHeight="1">
      <c r="C356" s="59" t="str">
        <f t="shared" si="3"/>
        <v/>
      </c>
    </row>
    <row r="357" spans="3:3" ht="15.75" customHeight="1">
      <c r="C357" s="59" t="str">
        <f t="shared" si="3"/>
        <v/>
      </c>
    </row>
    <row r="358" spans="3:3" ht="15.75" customHeight="1">
      <c r="C358" s="59" t="str">
        <f t="shared" si="3"/>
        <v/>
      </c>
    </row>
    <row r="359" spans="3:3" ht="15.75" customHeight="1">
      <c r="C359" s="59" t="str">
        <f t="shared" si="3"/>
        <v/>
      </c>
    </row>
    <row r="360" spans="3:3" ht="15.75" customHeight="1">
      <c r="C360" s="59" t="str">
        <f t="shared" si="3"/>
        <v/>
      </c>
    </row>
    <row r="361" spans="3:3" ht="15.75" customHeight="1">
      <c r="C361" s="59" t="str">
        <f t="shared" si="3"/>
        <v/>
      </c>
    </row>
    <row r="362" spans="3:3" ht="15.75" customHeight="1">
      <c r="C362" s="59" t="str">
        <f t="shared" si="3"/>
        <v/>
      </c>
    </row>
    <row r="363" spans="3:3" ht="15.75" customHeight="1">
      <c r="C363" s="59" t="str">
        <f t="shared" si="3"/>
        <v/>
      </c>
    </row>
    <row r="364" spans="3:3" ht="15.75" customHeight="1">
      <c r="C364" s="59" t="str">
        <f t="shared" si="3"/>
        <v/>
      </c>
    </row>
    <row r="365" spans="3:3" ht="15.75" customHeight="1">
      <c r="C365" s="59" t="str">
        <f t="shared" si="3"/>
        <v/>
      </c>
    </row>
    <row r="366" spans="3:3" ht="15.75" customHeight="1">
      <c r="C366" s="59" t="str">
        <f t="shared" si="3"/>
        <v/>
      </c>
    </row>
    <row r="367" spans="3:3" ht="15.75" customHeight="1">
      <c r="C367" s="59" t="str">
        <f t="shared" si="3"/>
        <v/>
      </c>
    </row>
    <row r="368" spans="3:3" ht="15.75" customHeight="1">
      <c r="C368" s="59" t="str">
        <f t="shared" si="3"/>
        <v/>
      </c>
    </row>
    <row r="369" spans="3:3" ht="15.75" customHeight="1">
      <c r="C369" s="59" t="str">
        <f t="shared" si="3"/>
        <v/>
      </c>
    </row>
    <row r="370" spans="3:3" ht="15.75" customHeight="1">
      <c r="C370" s="59" t="str">
        <f t="shared" si="3"/>
        <v/>
      </c>
    </row>
    <row r="371" spans="3:3" ht="15.75" customHeight="1">
      <c r="C371" s="59" t="str">
        <f t="shared" si="3"/>
        <v/>
      </c>
    </row>
    <row r="372" spans="3:3" ht="15.75" customHeight="1">
      <c r="C372" s="59" t="str">
        <f t="shared" si="3"/>
        <v/>
      </c>
    </row>
    <row r="373" spans="3:3" ht="15.75" customHeight="1">
      <c r="C373" s="59" t="str">
        <f t="shared" si="3"/>
        <v/>
      </c>
    </row>
    <row r="374" spans="3:3" ht="15.75" customHeight="1">
      <c r="C374" s="59" t="str">
        <f t="shared" si="3"/>
        <v/>
      </c>
    </row>
    <row r="375" spans="3:3" ht="15.75" customHeight="1">
      <c r="C375" s="59" t="str">
        <f t="shared" si="3"/>
        <v/>
      </c>
    </row>
    <row r="376" spans="3:3" ht="15.75" customHeight="1">
      <c r="C376" s="59" t="str">
        <f t="shared" si="3"/>
        <v/>
      </c>
    </row>
    <row r="377" spans="3:3" ht="15.75" customHeight="1">
      <c r="C377" s="59" t="str">
        <f t="shared" si="3"/>
        <v/>
      </c>
    </row>
    <row r="378" spans="3:3" ht="15.75" customHeight="1">
      <c r="C378" s="59" t="str">
        <f t="shared" si="3"/>
        <v/>
      </c>
    </row>
    <row r="379" spans="3:3" ht="15.75" customHeight="1">
      <c r="C379" s="59" t="str">
        <f t="shared" si="3"/>
        <v/>
      </c>
    </row>
    <row r="380" spans="3:3" ht="15.75" customHeight="1">
      <c r="C380" s="59" t="str">
        <f t="shared" si="3"/>
        <v/>
      </c>
    </row>
    <row r="381" spans="3:3" ht="15.75" customHeight="1">
      <c r="C381" s="59" t="str">
        <f t="shared" si="3"/>
        <v/>
      </c>
    </row>
    <row r="382" spans="3:3" ht="15.75" customHeight="1">
      <c r="C382" s="59" t="str">
        <f t="shared" si="3"/>
        <v/>
      </c>
    </row>
    <row r="383" spans="3:3" ht="15.75" customHeight="1">
      <c r="C383" s="59" t="str">
        <f t="shared" si="3"/>
        <v/>
      </c>
    </row>
    <row r="384" spans="3:3" ht="15.75" customHeight="1">
      <c r="C384" s="59" t="str">
        <f t="shared" si="3"/>
        <v/>
      </c>
    </row>
    <row r="385" spans="3:3" ht="15.75" customHeight="1">
      <c r="C385" s="59" t="str">
        <f t="shared" si="3"/>
        <v/>
      </c>
    </row>
    <row r="386" spans="3:3" ht="15.75" customHeight="1">
      <c r="C386" s="59" t="str">
        <f t="shared" si="3"/>
        <v/>
      </c>
    </row>
    <row r="387" spans="3:3" ht="15.75" customHeight="1">
      <c r="C387" s="59" t="str">
        <f t="shared" si="3"/>
        <v/>
      </c>
    </row>
    <row r="388" spans="3:3" ht="15.75" customHeight="1">
      <c r="C388" s="59" t="str">
        <f t="shared" si="3"/>
        <v/>
      </c>
    </row>
    <row r="389" spans="3:3" ht="15.75" customHeight="1">
      <c r="C389" s="59" t="str">
        <f t="shared" si="3"/>
        <v/>
      </c>
    </row>
    <row r="390" spans="3:3" ht="15.75" customHeight="1">
      <c r="C390" s="59" t="str">
        <f t="shared" si="3"/>
        <v/>
      </c>
    </row>
    <row r="391" spans="3:3" ht="15.75" customHeight="1">
      <c r="C391" s="59" t="str">
        <f t="shared" si="3"/>
        <v/>
      </c>
    </row>
    <row r="392" spans="3:3" ht="15.75" customHeight="1">
      <c r="C392" s="59" t="str">
        <f t="shared" si="3"/>
        <v/>
      </c>
    </row>
    <row r="393" spans="3:3" ht="15.75" customHeight="1">
      <c r="C393" s="59" t="str">
        <f t="shared" si="3"/>
        <v/>
      </c>
    </row>
    <row r="394" spans="3:3" ht="15.75" customHeight="1">
      <c r="C394" s="59" t="str">
        <f t="shared" si="3"/>
        <v/>
      </c>
    </row>
    <row r="395" spans="3:3" ht="15.75" customHeight="1">
      <c r="C395" s="59" t="str">
        <f t="shared" si="3"/>
        <v/>
      </c>
    </row>
    <row r="396" spans="3:3" ht="15.75" customHeight="1">
      <c r="C396" s="59" t="str">
        <f t="shared" si="3"/>
        <v/>
      </c>
    </row>
    <row r="397" spans="3:3" ht="15.75" customHeight="1">
      <c r="C397" s="59" t="str">
        <f t="shared" si="3"/>
        <v/>
      </c>
    </row>
    <row r="398" spans="3:3" ht="15.75" customHeight="1">
      <c r="C398" s="59" t="str">
        <f t="shared" si="3"/>
        <v/>
      </c>
    </row>
    <row r="399" spans="3:3" ht="15.75" customHeight="1">
      <c r="C399" s="59" t="str">
        <f t="shared" si="3"/>
        <v/>
      </c>
    </row>
    <row r="400" spans="3:3" ht="15.75" customHeight="1">
      <c r="C400" s="59" t="str">
        <f t="shared" si="3"/>
        <v/>
      </c>
    </row>
    <row r="401" spans="3:3" ht="15.75" customHeight="1">
      <c r="C401" s="59" t="str">
        <f t="shared" si="3"/>
        <v/>
      </c>
    </row>
    <row r="402" spans="3:3" ht="15.75" customHeight="1">
      <c r="C402" s="59" t="str">
        <f t="shared" si="3"/>
        <v/>
      </c>
    </row>
    <row r="403" spans="3:3" ht="15.75" customHeight="1">
      <c r="C403" s="59" t="str">
        <f t="shared" si="3"/>
        <v/>
      </c>
    </row>
    <row r="404" spans="3:3" ht="15.75" customHeight="1">
      <c r="C404" s="59" t="str">
        <f t="shared" si="3"/>
        <v/>
      </c>
    </row>
    <row r="405" spans="3:3" ht="15.75" customHeight="1">
      <c r="C405" s="59" t="str">
        <f t="shared" si="3"/>
        <v/>
      </c>
    </row>
    <row r="406" spans="3:3" ht="15.75" customHeight="1">
      <c r="C406" s="59" t="str">
        <f t="shared" si="3"/>
        <v/>
      </c>
    </row>
    <row r="407" spans="3:3" ht="15.75" customHeight="1">
      <c r="C407" s="59" t="str">
        <f t="shared" si="3"/>
        <v/>
      </c>
    </row>
    <row r="408" spans="3:3" ht="15.75" customHeight="1">
      <c r="C408" s="59" t="str">
        <f t="shared" si="3"/>
        <v/>
      </c>
    </row>
    <row r="409" spans="3:3" ht="15.75" customHeight="1">
      <c r="C409" s="59" t="str">
        <f t="shared" si="3"/>
        <v/>
      </c>
    </row>
    <row r="410" spans="3:3" ht="15.75" customHeight="1">
      <c r="C410" s="59" t="str">
        <f t="shared" si="3"/>
        <v/>
      </c>
    </row>
    <row r="411" spans="3:3" ht="15.75" customHeight="1">
      <c r="C411" s="59" t="str">
        <f t="shared" si="3"/>
        <v/>
      </c>
    </row>
    <row r="412" spans="3:3" ht="15.75" customHeight="1">
      <c r="C412" s="59" t="str">
        <f t="shared" si="3"/>
        <v/>
      </c>
    </row>
    <row r="413" spans="3:3" ht="15.75" customHeight="1">
      <c r="C413" s="59" t="str">
        <f t="shared" si="3"/>
        <v/>
      </c>
    </row>
    <row r="414" spans="3:3" ht="15.75" customHeight="1">
      <c r="C414" s="59" t="str">
        <f t="shared" si="3"/>
        <v/>
      </c>
    </row>
    <row r="415" spans="3:3" ht="15.75" customHeight="1">
      <c r="C415" s="59" t="str">
        <f t="shared" si="3"/>
        <v/>
      </c>
    </row>
    <row r="416" spans="3:3" ht="15.75" customHeight="1">
      <c r="C416" s="59" t="str">
        <f t="shared" si="3"/>
        <v/>
      </c>
    </row>
    <row r="417" spans="3:3" ht="15.75" customHeight="1">
      <c r="C417" s="59" t="str">
        <f t="shared" si="3"/>
        <v/>
      </c>
    </row>
    <row r="418" spans="3:3" ht="15.75" customHeight="1">
      <c r="C418" s="59" t="str">
        <f t="shared" si="3"/>
        <v/>
      </c>
    </row>
    <row r="419" spans="3:3" ht="15.75" customHeight="1">
      <c r="C419" s="59" t="str">
        <f t="shared" si="3"/>
        <v/>
      </c>
    </row>
    <row r="420" spans="3:3" ht="15.75" customHeight="1">
      <c r="C420" s="59" t="str">
        <f t="shared" si="3"/>
        <v/>
      </c>
    </row>
    <row r="421" spans="3:3" ht="15.75" customHeight="1">
      <c r="C421" s="59" t="str">
        <f t="shared" si="3"/>
        <v/>
      </c>
    </row>
    <row r="422" spans="3:3" ht="15.75" customHeight="1">
      <c r="C422" s="59" t="str">
        <f t="shared" si="3"/>
        <v/>
      </c>
    </row>
    <row r="423" spans="3:3" ht="15.75" customHeight="1">
      <c r="C423" s="59" t="str">
        <f t="shared" si="3"/>
        <v/>
      </c>
    </row>
    <row r="424" spans="3:3" ht="15.75" customHeight="1">
      <c r="C424" s="59" t="str">
        <f t="shared" si="3"/>
        <v/>
      </c>
    </row>
    <row r="425" spans="3:3" ht="15.75" customHeight="1">
      <c r="C425" s="59" t="str">
        <f t="shared" si="3"/>
        <v/>
      </c>
    </row>
    <row r="426" spans="3:3" ht="15.75" customHeight="1">
      <c r="C426" s="59" t="str">
        <f t="shared" si="3"/>
        <v/>
      </c>
    </row>
    <row r="427" spans="3:3" ht="15.75" customHeight="1">
      <c r="C427" s="59" t="str">
        <f t="shared" si="3"/>
        <v/>
      </c>
    </row>
    <row r="428" spans="3:3" ht="15.75" customHeight="1">
      <c r="C428" s="59" t="str">
        <f t="shared" si="3"/>
        <v/>
      </c>
    </row>
    <row r="429" spans="3:3" ht="15.75" customHeight="1">
      <c r="C429" s="59" t="str">
        <f t="shared" si="3"/>
        <v/>
      </c>
    </row>
    <row r="430" spans="3:3" ht="15.75" customHeight="1">
      <c r="C430" s="59" t="str">
        <f t="shared" si="3"/>
        <v/>
      </c>
    </row>
    <row r="431" spans="3:3" ht="15.75" customHeight="1">
      <c r="C431" s="59" t="str">
        <f t="shared" si="3"/>
        <v/>
      </c>
    </row>
    <row r="432" spans="3:3" ht="15.75" customHeight="1">
      <c r="C432" s="59" t="str">
        <f t="shared" si="3"/>
        <v/>
      </c>
    </row>
    <row r="433" spans="3:3" ht="15.75" customHeight="1">
      <c r="C433" s="59" t="str">
        <f t="shared" si="3"/>
        <v/>
      </c>
    </row>
    <row r="434" spans="3:3" ht="15.75" customHeight="1">
      <c r="C434" s="59" t="str">
        <f t="shared" si="3"/>
        <v/>
      </c>
    </row>
    <row r="435" spans="3:3" ht="15.75" customHeight="1">
      <c r="C435" s="59" t="str">
        <f t="shared" si="3"/>
        <v/>
      </c>
    </row>
    <row r="436" spans="3:3" ht="15.75" customHeight="1">
      <c r="C436" s="59" t="str">
        <f t="shared" si="3"/>
        <v/>
      </c>
    </row>
    <row r="437" spans="3:3" ht="15.75" customHeight="1">
      <c r="C437" s="59" t="str">
        <f t="shared" si="3"/>
        <v/>
      </c>
    </row>
    <row r="438" spans="3:3" ht="15.75" customHeight="1">
      <c r="C438" s="59" t="str">
        <f t="shared" si="3"/>
        <v/>
      </c>
    </row>
    <row r="439" spans="3:3" ht="15.75" customHeight="1">
      <c r="C439" s="59" t="str">
        <f t="shared" si="3"/>
        <v/>
      </c>
    </row>
    <row r="440" spans="3:3" ht="15.75" customHeight="1">
      <c r="C440" s="59" t="str">
        <f t="shared" si="3"/>
        <v/>
      </c>
    </row>
    <row r="441" spans="3:3" ht="15.75" customHeight="1">
      <c r="C441" s="59" t="str">
        <f t="shared" si="3"/>
        <v/>
      </c>
    </row>
    <row r="442" spans="3:3" ht="15.75" customHeight="1">
      <c r="C442" s="59" t="str">
        <f t="shared" si="3"/>
        <v/>
      </c>
    </row>
    <row r="443" spans="3:3" ht="15.75" customHeight="1">
      <c r="C443" s="59" t="str">
        <f t="shared" si="3"/>
        <v/>
      </c>
    </row>
    <row r="444" spans="3:3" ht="15.75" customHeight="1">
      <c r="C444" s="59" t="str">
        <f t="shared" si="3"/>
        <v/>
      </c>
    </row>
    <row r="445" spans="3:3" ht="15.75" customHeight="1">
      <c r="C445" s="59" t="str">
        <f t="shared" si="3"/>
        <v/>
      </c>
    </row>
    <row r="446" spans="3:3" ht="15.75" customHeight="1">
      <c r="C446" s="59" t="str">
        <f t="shared" si="3"/>
        <v/>
      </c>
    </row>
    <row r="447" spans="3:3" ht="15.75" customHeight="1">
      <c r="C447" s="59" t="str">
        <f t="shared" si="3"/>
        <v/>
      </c>
    </row>
    <row r="448" spans="3:3" ht="15.75" customHeight="1">
      <c r="C448" s="59" t="str">
        <f t="shared" si="3"/>
        <v/>
      </c>
    </row>
    <row r="449" spans="3:3" ht="15.75" customHeight="1">
      <c r="C449" s="59" t="str">
        <f t="shared" si="3"/>
        <v/>
      </c>
    </row>
    <row r="450" spans="3:3" ht="15.75" customHeight="1">
      <c r="C450" s="59" t="str">
        <f t="shared" si="3"/>
        <v/>
      </c>
    </row>
    <row r="451" spans="3:3" ht="15.75" customHeight="1">
      <c r="C451" s="59" t="str">
        <f t="shared" si="3"/>
        <v/>
      </c>
    </row>
    <row r="452" spans="3:3" ht="15.75" customHeight="1">
      <c r="C452" s="59" t="str">
        <f t="shared" si="3"/>
        <v/>
      </c>
    </row>
    <row r="453" spans="3:3" ht="15.75" customHeight="1">
      <c r="C453" s="59" t="str">
        <f t="shared" si="3"/>
        <v/>
      </c>
    </row>
    <row r="454" spans="3:3" ht="15.75" customHeight="1">
      <c r="C454" s="59" t="str">
        <f t="shared" si="3"/>
        <v/>
      </c>
    </row>
    <row r="455" spans="3:3" ht="15.75" customHeight="1">
      <c r="C455" s="59" t="str">
        <f t="shared" si="3"/>
        <v/>
      </c>
    </row>
    <row r="456" spans="3:3" ht="15.75" customHeight="1">
      <c r="C456" s="59" t="str">
        <f t="shared" si="3"/>
        <v/>
      </c>
    </row>
    <row r="457" spans="3:3" ht="15.75" customHeight="1">
      <c r="C457" s="59" t="str">
        <f t="shared" si="3"/>
        <v/>
      </c>
    </row>
    <row r="458" spans="3:3" ht="15.75" customHeight="1">
      <c r="C458" s="59" t="str">
        <f t="shared" si="3"/>
        <v/>
      </c>
    </row>
    <row r="459" spans="3:3" ht="15.75" customHeight="1">
      <c r="C459" s="59" t="str">
        <f t="shared" si="3"/>
        <v/>
      </c>
    </row>
    <row r="460" spans="3:3" ht="15.75" customHeight="1">
      <c r="C460" s="59" t="str">
        <f t="shared" si="3"/>
        <v/>
      </c>
    </row>
    <row r="461" spans="3:3" ht="15.75" customHeight="1">
      <c r="C461" s="59" t="str">
        <f t="shared" si="3"/>
        <v/>
      </c>
    </row>
    <row r="462" spans="3:3" ht="15.75" customHeight="1">
      <c r="C462" s="59" t="str">
        <f t="shared" si="3"/>
        <v/>
      </c>
    </row>
    <row r="463" spans="3:3" ht="15.75" customHeight="1">
      <c r="C463" s="59" t="str">
        <f t="shared" si="3"/>
        <v/>
      </c>
    </row>
    <row r="464" spans="3:3" ht="15.75" customHeight="1">
      <c r="C464" s="59" t="str">
        <f t="shared" si="3"/>
        <v/>
      </c>
    </row>
    <row r="465" spans="3:3" ht="15.75" customHeight="1">
      <c r="C465" s="59" t="str">
        <f t="shared" si="3"/>
        <v/>
      </c>
    </row>
    <row r="466" spans="3:3" ht="15.75" customHeight="1">
      <c r="C466" s="59" t="str">
        <f t="shared" si="3"/>
        <v/>
      </c>
    </row>
    <row r="467" spans="3:3" ht="15.75" customHeight="1">
      <c r="C467" s="59" t="str">
        <f t="shared" si="3"/>
        <v/>
      </c>
    </row>
    <row r="468" spans="3:3" ht="15.75" customHeight="1">
      <c r="C468" s="59" t="str">
        <f t="shared" si="3"/>
        <v/>
      </c>
    </row>
    <row r="469" spans="3:3" ht="15.75" customHeight="1">
      <c r="C469" s="59" t="str">
        <f t="shared" si="3"/>
        <v/>
      </c>
    </row>
    <row r="470" spans="3:3" ht="15.75" customHeight="1">
      <c r="C470" s="59" t="str">
        <f t="shared" si="3"/>
        <v/>
      </c>
    </row>
    <row r="471" spans="3:3" ht="15.75" customHeight="1">
      <c r="C471" s="59" t="str">
        <f t="shared" si="3"/>
        <v/>
      </c>
    </row>
    <row r="472" spans="3:3" ht="15.75" customHeight="1">
      <c r="C472" s="59" t="str">
        <f t="shared" si="3"/>
        <v/>
      </c>
    </row>
    <row r="473" spans="3:3" ht="15.75" customHeight="1">
      <c r="C473" s="59" t="str">
        <f t="shared" si="3"/>
        <v/>
      </c>
    </row>
    <row r="474" spans="3:3" ht="15.75" customHeight="1">
      <c r="C474" s="59" t="str">
        <f t="shared" si="3"/>
        <v/>
      </c>
    </row>
    <row r="475" spans="3:3" ht="15.75" customHeight="1">
      <c r="C475" s="59" t="str">
        <f t="shared" si="3"/>
        <v/>
      </c>
    </row>
    <row r="476" spans="3:3" ht="15.75" customHeight="1">
      <c r="C476" s="59" t="str">
        <f t="shared" si="3"/>
        <v/>
      </c>
    </row>
    <row r="477" spans="3:3" ht="15.75" customHeight="1">
      <c r="C477" s="59" t="str">
        <f t="shared" si="3"/>
        <v/>
      </c>
    </row>
    <row r="478" spans="3:3" ht="15.75" customHeight="1">
      <c r="C478" s="59" t="str">
        <f t="shared" si="3"/>
        <v/>
      </c>
    </row>
    <row r="479" spans="3:3" ht="15.75" customHeight="1">
      <c r="C479" s="59" t="str">
        <f t="shared" si="3"/>
        <v/>
      </c>
    </row>
    <row r="480" spans="3:3" ht="15.75" customHeight="1">
      <c r="C480" s="59" t="str">
        <f t="shared" si="3"/>
        <v/>
      </c>
    </row>
    <row r="481" spans="3:3" ht="15.75" customHeight="1">
      <c r="C481" s="59" t="str">
        <f t="shared" si="3"/>
        <v/>
      </c>
    </row>
    <row r="482" spans="3:3" ht="15.75" customHeight="1">
      <c r="C482" s="59" t="str">
        <f t="shared" si="3"/>
        <v/>
      </c>
    </row>
    <row r="483" spans="3:3" ht="15.75" customHeight="1">
      <c r="C483" s="59" t="str">
        <f t="shared" si="3"/>
        <v/>
      </c>
    </row>
    <row r="484" spans="3:3" ht="15.75" customHeight="1">
      <c r="C484" s="59" t="str">
        <f t="shared" si="3"/>
        <v/>
      </c>
    </row>
    <row r="485" spans="3:3" ht="15.75" customHeight="1">
      <c r="C485" s="59" t="str">
        <f t="shared" si="3"/>
        <v/>
      </c>
    </row>
    <row r="486" spans="3:3" ht="15.75" customHeight="1">
      <c r="C486" s="59" t="str">
        <f t="shared" si="3"/>
        <v/>
      </c>
    </row>
    <row r="487" spans="3:3" ht="15.75" customHeight="1">
      <c r="C487" s="59" t="str">
        <f t="shared" si="3"/>
        <v/>
      </c>
    </row>
    <row r="488" spans="3:3" ht="15.75" customHeight="1">
      <c r="C488" s="59" t="str">
        <f t="shared" si="3"/>
        <v/>
      </c>
    </row>
    <row r="489" spans="3:3" ht="15.75" customHeight="1">
      <c r="C489" s="59" t="str">
        <f t="shared" si="3"/>
        <v/>
      </c>
    </row>
    <row r="490" spans="3:3" ht="15.75" customHeight="1">
      <c r="C490" s="59" t="str">
        <f t="shared" si="3"/>
        <v/>
      </c>
    </row>
    <row r="491" spans="3:3" ht="15.75" customHeight="1">
      <c r="C491" s="59" t="str">
        <f t="shared" si="3"/>
        <v/>
      </c>
    </row>
    <row r="492" spans="3:3" ht="15.75" customHeight="1">
      <c r="C492" s="59" t="str">
        <f t="shared" si="3"/>
        <v/>
      </c>
    </row>
    <row r="493" spans="3:3" ht="15.75" customHeight="1">
      <c r="C493" s="59" t="str">
        <f t="shared" si="3"/>
        <v/>
      </c>
    </row>
    <row r="494" spans="3:3" ht="15.75" customHeight="1">
      <c r="C494" s="59" t="str">
        <f t="shared" si="3"/>
        <v/>
      </c>
    </row>
    <row r="495" spans="3:3" ht="15.75" customHeight="1">
      <c r="C495" s="59" t="str">
        <f t="shared" si="3"/>
        <v/>
      </c>
    </row>
    <row r="496" spans="3:3" ht="15.75" customHeight="1">
      <c r="C496" s="59" t="str">
        <f t="shared" si="3"/>
        <v/>
      </c>
    </row>
    <row r="497" spans="3:3" ht="15.75" customHeight="1">
      <c r="C497" s="59" t="str">
        <f t="shared" si="3"/>
        <v/>
      </c>
    </row>
    <row r="498" spans="3:3" ht="15.75" customHeight="1">
      <c r="C498" s="59" t="str">
        <f t="shared" si="3"/>
        <v/>
      </c>
    </row>
    <row r="499" spans="3:3" ht="15.75" customHeight="1">
      <c r="C499" s="59" t="str">
        <f t="shared" si="3"/>
        <v/>
      </c>
    </row>
    <row r="500" spans="3:3" ht="15.75" customHeight="1">
      <c r="C500" s="59" t="str">
        <f t="shared" si="3"/>
        <v/>
      </c>
    </row>
    <row r="501" spans="3:3" ht="15.75" customHeight="1">
      <c r="C501" s="59" t="str">
        <f t="shared" si="3"/>
        <v/>
      </c>
    </row>
    <row r="502" spans="3:3" ht="15.75" customHeight="1">
      <c r="C502" s="59" t="str">
        <f t="shared" si="3"/>
        <v/>
      </c>
    </row>
    <row r="503" spans="3:3" ht="15.75" customHeight="1">
      <c r="C503" s="59" t="str">
        <f t="shared" si="3"/>
        <v/>
      </c>
    </row>
    <row r="504" spans="3:3" ht="15.75" customHeight="1">
      <c r="C504" s="59" t="str">
        <f t="shared" si="3"/>
        <v/>
      </c>
    </row>
    <row r="505" spans="3:3" ht="15.75" customHeight="1">
      <c r="C505" s="59" t="str">
        <f t="shared" si="3"/>
        <v/>
      </c>
    </row>
    <row r="506" spans="3:3" ht="15.75" customHeight="1">
      <c r="C506" s="59" t="str">
        <f t="shared" si="3"/>
        <v/>
      </c>
    </row>
    <row r="507" spans="3:3" ht="15.75" customHeight="1">
      <c r="C507" s="59" t="str">
        <f t="shared" si="3"/>
        <v/>
      </c>
    </row>
    <row r="508" spans="3:3" ht="15.75" customHeight="1">
      <c r="C508" s="59" t="str">
        <f t="shared" si="3"/>
        <v/>
      </c>
    </row>
    <row r="509" spans="3:3" ht="15.75" customHeight="1">
      <c r="C509" s="59" t="str">
        <f t="shared" si="3"/>
        <v/>
      </c>
    </row>
    <row r="510" spans="3:3" ht="15.75" customHeight="1">
      <c r="C510" s="59" t="str">
        <f t="shared" si="3"/>
        <v/>
      </c>
    </row>
    <row r="511" spans="3:3" ht="15.75" customHeight="1">
      <c r="C511" s="59" t="str">
        <f t="shared" si="3"/>
        <v/>
      </c>
    </row>
    <row r="512" spans="3:3" ht="15.75" customHeight="1">
      <c r="C512" s="59" t="str">
        <f t="shared" si="3"/>
        <v/>
      </c>
    </row>
    <row r="513" spans="3:3" ht="15.75" customHeight="1">
      <c r="C513" s="59" t="str">
        <f t="shared" si="3"/>
        <v/>
      </c>
    </row>
    <row r="514" spans="3:3" ht="15.75" customHeight="1">
      <c r="C514" s="59" t="str">
        <f t="shared" si="3"/>
        <v/>
      </c>
    </row>
    <row r="515" spans="3:3" ht="15.75" customHeight="1">
      <c r="C515" s="59" t="str">
        <f t="shared" si="3"/>
        <v/>
      </c>
    </row>
    <row r="516" spans="3:3" ht="15.75" customHeight="1">
      <c r="C516" s="59" t="str">
        <f t="shared" si="3"/>
        <v/>
      </c>
    </row>
    <row r="517" spans="3:3" ht="15.75" customHeight="1">
      <c r="C517" s="59" t="str">
        <f t="shared" si="3"/>
        <v/>
      </c>
    </row>
    <row r="518" spans="3:3" ht="15.75" customHeight="1">
      <c r="C518" s="59" t="str">
        <f t="shared" si="3"/>
        <v/>
      </c>
    </row>
    <row r="519" spans="3:3" ht="15.75" customHeight="1">
      <c r="C519" s="59" t="str">
        <f t="shared" si="3"/>
        <v/>
      </c>
    </row>
    <row r="520" spans="3:3" ht="15.75" customHeight="1">
      <c r="C520" s="59" t="str">
        <f t="shared" si="3"/>
        <v/>
      </c>
    </row>
    <row r="521" spans="3:3" ht="15.75" customHeight="1">
      <c r="C521" s="59" t="str">
        <f t="shared" si="3"/>
        <v/>
      </c>
    </row>
    <row r="522" spans="3:3" ht="15.75" customHeight="1">
      <c r="C522" s="59" t="str">
        <f t="shared" si="3"/>
        <v/>
      </c>
    </row>
    <row r="523" spans="3:3" ht="15.75" customHeight="1"/>
    <row r="524" spans="3:3" ht="15.75" customHeight="1"/>
    <row r="525" spans="3:3" ht="15.75" customHeight="1"/>
    <row r="526" spans="3:3" ht="15.75" customHeight="1"/>
    <row r="527" spans="3:3" ht="15.75" customHeight="1"/>
    <row r="528" spans="3:3"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sheetData>
  <mergeCells count="6">
    <mergeCell ref="C17:G17"/>
    <mergeCell ref="B9:C9"/>
    <mergeCell ref="B10:C10"/>
    <mergeCell ref="B11:C11"/>
    <mergeCell ref="B12:C12"/>
    <mergeCell ref="C14:G14"/>
  </mergeCells>
  <pageMargins left="0.25" right="0.25" top="0.75" bottom="0.75" header="0.3" footer="0.3"/>
  <pageSetup paperSize="5" scale="46"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O29" sqref="A1:O29"/>
    </sheetView>
  </sheetViews>
  <sheetFormatPr baseColWidth="10" defaultColWidth="12.5703125" defaultRowHeight="15" customHeight="1"/>
  <cols>
    <col min="1" max="1" width="2.140625" customWidth="1"/>
    <col min="2" max="2" width="37.85546875" customWidth="1"/>
    <col min="3" max="3" width="18" customWidth="1"/>
    <col min="4" max="4" width="18.7109375" customWidth="1"/>
    <col min="5" max="5" width="19.42578125" customWidth="1"/>
    <col min="6" max="6" width="27" customWidth="1"/>
    <col min="7" max="7" width="17.85546875" customWidth="1"/>
    <col min="8" max="8" width="18.28515625" customWidth="1"/>
    <col min="9" max="9" width="16" customWidth="1"/>
    <col min="10" max="10" width="12.140625" customWidth="1"/>
    <col min="11" max="11" width="17.5703125" customWidth="1"/>
    <col min="12" max="12" width="17.140625" customWidth="1"/>
    <col min="13" max="13" width="15.5703125" customWidth="1"/>
    <col min="14" max="14" width="19.7109375" customWidth="1"/>
    <col min="15" max="26" width="18" customWidth="1"/>
  </cols>
  <sheetData>
    <row r="1" spans="1:26" ht="12.75" customHeight="1">
      <c r="A1" s="1"/>
      <c r="B1" s="1"/>
      <c r="C1" s="1"/>
      <c r="D1" s="1"/>
      <c r="E1" s="1"/>
      <c r="F1" s="1"/>
      <c r="G1" s="66"/>
      <c r="H1" s="1"/>
      <c r="I1" s="1"/>
      <c r="J1" s="66"/>
      <c r="K1" s="1"/>
      <c r="L1" s="1"/>
      <c r="M1" s="1"/>
      <c r="N1" s="1"/>
      <c r="O1" s="1"/>
      <c r="P1" s="1"/>
      <c r="Q1" s="1"/>
      <c r="R1" s="1"/>
      <c r="S1" s="1"/>
      <c r="T1" s="1"/>
      <c r="U1" s="1"/>
      <c r="V1" s="1"/>
      <c r="W1" s="1"/>
      <c r="X1" s="1"/>
      <c r="Y1" s="1"/>
      <c r="Z1" s="1"/>
    </row>
    <row r="2" spans="1:26" ht="12.75" customHeight="1">
      <c r="A2" s="1"/>
      <c r="B2" s="1"/>
      <c r="C2" s="1"/>
      <c r="D2" s="1"/>
      <c r="E2" s="1"/>
      <c r="F2" s="1"/>
      <c r="G2" s="66"/>
      <c r="H2" s="1"/>
      <c r="I2" s="1"/>
      <c r="J2" s="66"/>
      <c r="K2" s="1"/>
      <c r="L2" s="1"/>
      <c r="M2" s="1"/>
      <c r="N2" s="1"/>
      <c r="O2" s="1"/>
      <c r="P2" s="1"/>
      <c r="Q2" s="1"/>
      <c r="R2" s="1"/>
      <c r="S2" s="1"/>
      <c r="T2" s="1"/>
      <c r="U2" s="1"/>
      <c r="V2" s="1"/>
      <c r="W2" s="1"/>
      <c r="X2" s="1"/>
      <c r="Y2" s="1"/>
      <c r="Z2" s="1"/>
    </row>
    <row r="3" spans="1:26" ht="12.75" customHeight="1">
      <c r="A3" s="1"/>
      <c r="B3" s="1"/>
      <c r="C3" s="1"/>
      <c r="D3" s="1"/>
      <c r="E3" s="1"/>
      <c r="F3" s="1"/>
      <c r="G3" s="66"/>
      <c r="H3" s="1"/>
      <c r="I3" s="1"/>
      <c r="J3" s="66"/>
      <c r="K3" s="1"/>
      <c r="L3" s="1"/>
      <c r="M3" s="1"/>
      <c r="N3" s="1"/>
      <c r="O3" s="1"/>
      <c r="P3" s="1"/>
      <c r="Q3" s="1"/>
      <c r="R3" s="1"/>
      <c r="S3" s="1"/>
      <c r="T3" s="1"/>
      <c r="U3" s="1"/>
      <c r="V3" s="1"/>
      <c r="W3" s="1"/>
      <c r="X3" s="1"/>
      <c r="Y3" s="1"/>
      <c r="Z3" s="1"/>
    </row>
    <row r="4" spans="1:26" ht="12.75" customHeight="1">
      <c r="A4" s="1"/>
      <c r="B4" s="1"/>
      <c r="C4" s="1"/>
      <c r="D4" s="1"/>
      <c r="E4" s="1"/>
      <c r="F4" s="1"/>
      <c r="G4" s="66"/>
      <c r="H4" s="1"/>
      <c r="I4" s="1"/>
      <c r="J4" s="66"/>
      <c r="K4" s="1"/>
      <c r="L4" s="1"/>
      <c r="M4" s="1"/>
      <c r="N4" s="1"/>
      <c r="O4" s="1"/>
      <c r="P4" s="1"/>
      <c r="Q4" s="1"/>
      <c r="R4" s="1"/>
      <c r="S4" s="1"/>
      <c r="T4" s="1"/>
      <c r="U4" s="1"/>
      <c r="V4" s="1"/>
      <c r="W4" s="1"/>
      <c r="X4" s="1"/>
      <c r="Y4" s="1"/>
      <c r="Z4" s="1"/>
    </row>
    <row r="5" spans="1:26" ht="12.75" customHeight="1">
      <c r="A5" s="1"/>
      <c r="B5" s="1"/>
      <c r="C5" s="1"/>
      <c r="D5" s="1"/>
      <c r="E5" s="1"/>
      <c r="F5" s="1"/>
      <c r="G5" s="66"/>
      <c r="H5" s="1"/>
      <c r="I5" s="1"/>
      <c r="J5" s="66"/>
      <c r="K5" s="1"/>
      <c r="L5" s="1"/>
      <c r="M5" s="1"/>
      <c r="N5" s="1"/>
      <c r="O5" s="1"/>
      <c r="P5" s="1"/>
      <c r="Q5" s="1"/>
      <c r="R5" s="1"/>
      <c r="S5" s="1"/>
      <c r="T5" s="1"/>
      <c r="U5" s="1"/>
      <c r="V5" s="1"/>
      <c r="W5" s="1"/>
      <c r="X5" s="1"/>
      <c r="Y5" s="1"/>
      <c r="Z5" s="1"/>
    </row>
    <row r="6" spans="1:26" ht="12.75" customHeight="1">
      <c r="A6" s="1"/>
      <c r="B6" s="1"/>
      <c r="C6" s="1"/>
      <c r="D6" s="1"/>
      <c r="E6" s="1"/>
      <c r="F6" s="1"/>
      <c r="G6" s="66"/>
      <c r="H6" s="1"/>
      <c r="I6" s="1"/>
      <c r="J6" s="66"/>
      <c r="K6" s="1"/>
      <c r="L6" s="1"/>
      <c r="M6" s="1"/>
      <c r="N6" s="1"/>
      <c r="O6" s="1"/>
      <c r="P6" s="1"/>
      <c r="Q6" s="1"/>
      <c r="R6" s="1"/>
      <c r="S6" s="1"/>
      <c r="T6" s="1"/>
      <c r="U6" s="1"/>
      <c r="V6" s="1"/>
      <c r="W6" s="1"/>
      <c r="X6" s="1"/>
      <c r="Y6" s="1"/>
      <c r="Z6" s="1"/>
    </row>
    <row r="7" spans="1:26" ht="12.75" customHeight="1">
      <c r="A7" s="1"/>
      <c r="B7" s="1"/>
      <c r="C7" s="1"/>
      <c r="D7" s="1"/>
      <c r="E7" s="1"/>
      <c r="F7" s="1"/>
      <c r="G7" s="66"/>
      <c r="H7" s="1"/>
      <c r="I7" s="1"/>
      <c r="J7" s="66"/>
      <c r="K7" s="1"/>
      <c r="L7" s="1"/>
      <c r="M7" s="1"/>
      <c r="N7" s="1"/>
      <c r="O7" s="1"/>
      <c r="P7" s="1"/>
      <c r="Q7" s="1"/>
      <c r="R7" s="1"/>
      <c r="S7" s="1"/>
      <c r="T7" s="1"/>
      <c r="U7" s="1"/>
      <c r="V7" s="1"/>
      <c r="W7" s="1"/>
      <c r="X7" s="1"/>
      <c r="Y7" s="1"/>
      <c r="Z7" s="1"/>
    </row>
    <row r="8" spans="1:26" ht="12.75" customHeight="1">
      <c r="A8" s="1"/>
      <c r="B8" s="2" t="str">
        <f>'24.03.034'!B8</f>
        <v>4° Trimestre</v>
      </c>
      <c r="C8" s="3"/>
      <c r="D8" s="3"/>
      <c r="E8" s="1"/>
      <c r="F8" s="1"/>
      <c r="G8" s="66"/>
      <c r="H8" s="1"/>
      <c r="I8" s="1"/>
      <c r="J8" s="66"/>
      <c r="K8" s="1"/>
      <c r="L8" s="1"/>
      <c r="M8" s="1"/>
      <c r="N8" s="1"/>
      <c r="O8" s="1"/>
      <c r="P8" s="1"/>
      <c r="Q8" s="1"/>
      <c r="R8" s="1"/>
      <c r="S8" s="1"/>
      <c r="T8" s="1"/>
      <c r="U8" s="1"/>
      <c r="V8" s="1"/>
      <c r="W8" s="1"/>
      <c r="X8" s="1"/>
      <c r="Y8" s="1"/>
      <c r="Z8" s="1"/>
    </row>
    <row r="9" spans="1:26" ht="12.75" customHeight="1">
      <c r="A9" s="1"/>
      <c r="B9" s="110" t="s">
        <v>1</v>
      </c>
      <c r="C9" s="111"/>
      <c r="D9" s="3"/>
      <c r="E9" s="1"/>
      <c r="F9" s="1"/>
      <c r="G9" s="66"/>
      <c r="H9" s="1"/>
      <c r="I9" s="1"/>
      <c r="J9" s="66"/>
      <c r="K9" s="1"/>
      <c r="L9" s="1"/>
      <c r="M9" s="1"/>
      <c r="N9" s="1"/>
      <c r="O9" s="1"/>
      <c r="P9" s="1"/>
      <c r="Q9" s="1"/>
      <c r="R9" s="1"/>
      <c r="S9" s="1"/>
      <c r="T9" s="1"/>
      <c r="U9" s="1"/>
      <c r="V9" s="1"/>
      <c r="W9" s="1"/>
      <c r="X9" s="1"/>
      <c r="Y9" s="1"/>
      <c r="Z9" s="1"/>
    </row>
    <row r="10" spans="1:26" ht="12.75" customHeight="1">
      <c r="A10" s="1"/>
      <c r="B10" s="110" t="s">
        <v>2</v>
      </c>
      <c r="C10" s="111"/>
      <c r="D10" s="3"/>
      <c r="E10" s="1"/>
      <c r="F10" s="1"/>
      <c r="G10" s="66"/>
      <c r="H10" s="1"/>
      <c r="I10" s="1"/>
      <c r="J10" s="66"/>
      <c r="K10" s="1"/>
      <c r="L10" s="1"/>
      <c r="M10" s="1"/>
      <c r="N10" s="1"/>
      <c r="O10" s="1"/>
      <c r="P10" s="1"/>
      <c r="Q10" s="1"/>
      <c r="R10" s="1"/>
      <c r="S10" s="1"/>
      <c r="T10" s="1"/>
      <c r="U10" s="1"/>
      <c r="V10" s="1"/>
      <c r="W10" s="1"/>
      <c r="X10" s="1"/>
      <c r="Y10" s="1"/>
      <c r="Z10" s="1"/>
    </row>
    <row r="11" spans="1:26" ht="12.75" customHeight="1">
      <c r="A11" s="1"/>
      <c r="B11" s="110" t="s">
        <v>112</v>
      </c>
      <c r="C11" s="111"/>
      <c r="D11" s="111"/>
      <c r="E11" s="1"/>
      <c r="F11" s="1"/>
      <c r="G11" s="66"/>
      <c r="H11" s="1"/>
      <c r="I11" s="1"/>
      <c r="J11" s="66"/>
      <c r="K11" s="1"/>
      <c r="L11" s="1"/>
      <c r="M11" s="1"/>
      <c r="N11" s="1"/>
      <c r="O11" s="1"/>
      <c r="P11" s="1"/>
      <c r="Q11" s="1"/>
      <c r="R11" s="1"/>
      <c r="S11" s="1"/>
      <c r="T11" s="1"/>
      <c r="U11" s="1"/>
      <c r="V11" s="1"/>
      <c r="W11" s="1"/>
      <c r="X11" s="1"/>
      <c r="Y11" s="1"/>
      <c r="Z11" s="1"/>
    </row>
    <row r="12" spans="1:26" ht="12.75" customHeight="1">
      <c r="A12" s="1"/>
      <c r="B12" s="117" t="s">
        <v>113</v>
      </c>
      <c r="C12" s="111"/>
      <c r="D12" s="111"/>
      <c r="E12" s="111"/>
      <c r="F12" s="111"/>
      <c r="G12" s="66"/>
      <c r="H12" s="1"/>
      <c r="I12" s="1"/>
      <c r="J12" s="66"/>
      <c r="K12" s="1"/>
      <c r="L12" s="1"/>
      <c r="M12" s="1"/>
      <c r="N12" s="1"/>
      <c r="O12" s="1"/>
      <c r="P12" s="1"/>
      <c r="Q12" s="1"/>
      <c r="R12" s="1"/>
      <c r="S12" s="1"/>
      <c r="T12" s="1"/>
      <c r="U12" s="1"/>
      <c r="V12" s="1"/>
      <c r="W12" s="1"/>
      <c r="X12" s="1"/>
      <c r="Y12" s="1"/>
      <c r="Z12" s="1"/>
    </row>
    <row r="13" spans="1:26" ht="12.75" customHeight="1">
      <c r="A13" s="1"/>
      <c r="B13" s="5"/>
      <c r="C13" s="5"/>
      <c r="D13" s="5"/>
      <c r="E13" s="1"/>
      <c r="F13" s="1"/>
      <c r="G13" s="66"/>
      <c r="H13" s="1"/>
      <c r="I13" s="1"/>
      <c r="J13" s="66"/>
      <c r="K13" s="1"/>
      <c r="L13" s="1"/>
      <c r="M13" s="1"/>
      <c r="N13" s="1"/>
      <c r="O13" s="1"/>
      <c r="P13" s="1"/>
      <c r="Q13" s="1"/>
      <c r="R13" s="1"/>
      <c r="S13" s="1"/>
      <c r="T13" s="1"/>
      <c r="U13" s="1"/>
      <c r="V13" s="1"/>
      <c r="W13" s="1"/>
      <c r="X13" s="1"/>
      <c r="Y13" s="1"/>
      <c r="Z13" s="1"/>
    </row>
    <row r="14" spans="1:26" ht="132" customHeight="1">
      <c r="A14" s="1"/>
      <c r="B14" s="4" t="s">
        <v>5</v>
      </c>
      <c r="C14" s="114" t="s">
        <v>6</v>
      </c>
      <c r="D14" s="115"/>
      <c r="E14" s="115"/>
      <c r="F14" s="115"/>
      <c r="G14" s="116"/>
      <c r="H14" s="1"/>
      <c r="I14" s="1"/>
      <c r="J14" s="66"/>
      <c r="K14" s="1"/>
      <c r="L14" s="1"/>
      <c r="M14" s="1"/>
      <c r="N14" s="1"/>
      <c r="O14" s="1"/>
      <c r="P14" s="1"/>
      <c r="Q14" s="1"/>
      <c r="R14" s="1"/>
      <c r="S14" s="1"/>
      <c r="T14" s="1"/>
      <c r="U14" s="1"/>
      <c r="V14" s="1"/>
      <c r="W14" s="1"/>
      <c r="X14" s="1"/>
      <c r="Y14" s="1"/>
      <c r="Z14" s="1"/>
    </row>
    <row r="15" spans="1:26" ht="12.75" customHeight="1">
      <c r="A15" s="1"/>
      <c r="B15" s="5"/>
      <c r="C15" s="1"/>
      <c r="D15" s="5"/>
      <c r="E15" s="1"/>
      <c r="F15" s="1"/>
      <c r="G15" s="66"/>
      <c r="H15" s="1"/>
      <c r="I15" s="1"/>
      <c r="J15" s="66"/>
      <c r="K15" s="1"/>
      <c r="L15" s="1"/>
      <c r="M15" s="1"/>
      <c r="N15" s="1"/>
      <c r="O15" s="1"/>
      <c r="P15" s="1"/>
      <c r="Q15" s="1"/>
      <c r="R15" s="1"/>
      <c r="S15" s="1"/>
      <c r="T15" s="1"/>
      <c r="U15" s="1"/>
      <c r="V15" s="1"/>
      <c r="W15" s="1"/>
      <c r="X15" s="1"/>
      <c r="Y15" s="1"/>
      <c r="Z15" s="1"/>
    </row>
    <row r="16" spans="1:26" ht="12.75" customHeight="1">
      <c r="A16" s="1"/>
      <c r="B16" s="5"/>
      <c r="C16" s="1"/>
      <c r="D16" s="5"/>
      <c r="E16" s="1"/>
      <c r="F16" s="1"/>
      <c r="G16" s="66"/>
      <c r="H16" s="1"/>
      <c r="I16" s="1"/>
      <c r="J16" s="66"/>
      <c r="K16" s="1"/>
      <c r="L16" s="1"/>
      <c r="M16" s="1"/>
      <c r="N16" s="1"/>
      <c r="O16" s="1"/>
      <c r="P16" s="1"/>
      <c r="Q16" s="1"/>
      <c r="R16" s="1"/>
      <c r="S16" s="1"/>
      <c r="T16" s="1"/>
      <c r="U16" s="1"/>
      <c r="V16" s="1"/>
      <c r="W16" s="1"/>
      <c r="X16" s="1"/>
      <c r="Y16" s="1"/>
      <c r="Z16" s="1"/>
    </row>
    <row r="17" spans="1:26" ht="29.25" customHeight="1">
      <c r="A17" s="1"/>
      <c r="B17" s="4" t="s">
        <v>7</v>
      </c>
      <c r="C17" s="114" t="s">
        <v>8</v>
      </c>
      <c r="D17" s="115"/>
      <c r="E17" s="115"/>
      <c r="F17" s="115"/>
      <c r="G17" s="116"/>
      <c r="H17" s="1"/>
      <c r="I17" s="1"/>
      <c r="J17" s="66"/>
      <c r="K17" s="1"/>
      <c r="L17" s="1"/>
      <c r="M17" s="1"/>
      <c r="N17" s="1"/>
      <c r="O17" s="1"/>
      <c r="P17" s="1"/>
      <c r="Q17" s="1"/>
      <c r="R17" s="1"/>
      <c r="S17" s="1"/>
      <c r="T17" s="1"/>
      <c r="U17" s="1"/>
      <c r="V17" s="1"/>
      <c r="W17" s="1"/>
      <c r="X17" s="1"/>
      <c r="Y17" s="1"/>
      <c r="Z17" s="1"/>
    </row>
    <row r="18" spans="1:26" ht="12.75" customHeight="1">
      <c r="A18" s="1"/>
      <c r="B18" s="6"/>
      <c r="C18" s="6"/>
      <c r="D18" s="6"/>
      <c r="E18" s="1"/>
      <c r="F18" s="1"/>
      <c r="G18" s="66"/>
      <c r="H18" s="1"/>
      <c r="I18" s="1"/>
      <c r="J18" s="66"/>
      <c r="K18" s="1"/>
      <c r="L18" s="1"/>
      <c r="M18" s="1"/>
      <c r="N18" s="1"/>
      <c r="O18" s="1"/>
      <c r="P18" s="1"/>
      <c r="Q18" s="1"/>
      <c r="R18" s="1"/>
      <c r="S18" s="1"/>
      <c r="T18" s="1"/>
      <c r="U18" s="1"/>
      <c r="V18" s="1"/>
      <c r="W18" s="1"/>
      <c r="X18" s="1"/>
      <c r="Y18" s="1"/>
      <c r="Z18" s="1"/>
    </row>
    <row r="19" spans="1:26" ht="12.75" customHeight="1">
      <c r="A19" s="1"/>
      <c r="B19" s="1"/>
      <c r="C19" s="1"/>
      <c r="D19" s="1"/>
      <c r="E19" s="1"/>
      <c r="F19" s="1"/>
      <c r="G19" s="66"/>
      <c r="H19" s="1"/>
      <c r="I19" s="1"/>
      <c r="J19" s="66"/>
      <c r="K19" s="1"/>
      <c r="L19" s="1"/>
      <c r="M19" s="1"/>
      <c r="N19" s="1"/>
      <c r="O19" s="1"/>
      <c r="P19" s="1"/>
      <c r="Q19" s="1"/>
      <c r="R19" s="1"/>
      <c r="S19" s="1"/>
      <c r="T19" s="1"/>
      <c r="U19" s="1"/>
      <c r="V19" s="1"/>
      <c r="W19" s="1"/>
      <c r="X19" s="1"/>
      <c r="Y19" s="1"/>
      <c r="Z19" s="1"/>
    </row>
    <row r="20" spans="1:26" ht="45" customHeight="1">
      <c r="A20" s="1"/>
      <c r="B20" s="7" t="s">
        <v>10</v>
      </c>
      <c r="C20" s="8" t="s">
        <v>114</v>
      </c>
      <c r="D20" s="7" t="s">
        <v>9</v>
      </c>
      <c r="E20" s="7" t="s">
        <v>11</v>
      </c>
      <c r="F20" s="7" t="s">
        <v>12</v>
      </c>
      <c r="G20" s="67" t="s">
        <v>13</v>
      </c>
      <c r="H20" s="7" t="s">
        <v>14</v>
      </c>
      <c r="I20" s="7" t="s">
        <v>15</v>
      </c>
      <c r="J20" s="8" t="s">
        <v>16</v>
      </c>
      <c r="K20" s="7" t="s">
        <v>17</v>
      </c>
      <c r="L20" s="7" t="s">
        <v>18</v>
      </c>
      <c r="M20" s="7" t="s">
        <v>19</v>
      </c>
      <c r="N20" s="7" t="s">
        <v>20</v>
      </c>
      <c r="O20" s="1"/>
      <c r="P20" s="1"/>
      <c r="Q20" s="1"/>
      <c r="R20" s="1"/>
      <c r="S20" s="1"/>
      <c r="T20" s="1"/>
      <c r="U20" s="1"/>
      <c r="V20" s="1"/>
      <c r="W20" s="1"/>
      <c r="X20" s="1"/>
      <c r="Y20" s="1"/>
      <c r="Z20" s="1"/>
    </row>
    <row r="21" spans="1:26" ht="12.75" customHeight="1">
      <c r="A21" s="1"/>
      <c r="B21" s="9"/>
      <c r="C21" s="9"/>
      <c r="D21" s="9"/>
      <c r="E21" s="9"/>
      <c r="F21" s="9"/>
      <c r="G21" s="68"/>
      <c r="H21" s="9"/>
      <c r="I21" s="10"/>
      <c r="J21" s="10"/>
      <c r="K21" s="11"/>
      <c r="L21" s="11"/>
      <c r="M21" s="12"/>
      <c r="N21" s="10"/>
      <c r="O21" s="1"/>
      <c r="P21" s="1"/>
      <c r="Q21" s="1"/>
      <c r="R21" s="1"/>
      <c r="S21" s="1"/>
      <c r="T21" s="1"/>
      <c r="U21" s="1"/>
      <c r="V21" s="1"/>
      <c r="W21" s="1"/>
      <c r="X21" s="1"/>
      <c r="Y21" s="1"/>
      <c r="Z21" s="1"/>
    </row>
    <row r="22" spans="1:26" ht="12.75" customHeight="1">
      <c r="A22" s="1"/>
      <c r="B22" s="9"/>
      <c r="C22" s="9"/>
      <c r="D22" s="9"/>
      <c r="E22" s="9"/>
      <c r="F22" s="9"/>
      <c r="G22" s="68"/>
      <c r="H22" s="9"/>
      <c r="I22" s="69"/>
      <c r="J22" s="70"/>
      <c r="K22" s="69"/>
      <c r="L22" s="9"/>
      <c r="M22" s="9"/>
      <c r="N22" s="9"/>
      <c r="O22" s="1"/>
      <c r="P22" s="1"/>
      <c r="Q22" s="1"/>
      <c r="R22" s="1"/>
      <c r="S22" s="1"/>
      <c r="T22" s="1"/>
      <c r="U22" s="1"/>
      <c r="V22" s="1"/>
      <c r="W22" s="1"/>
      <c r="X22" s="1"/>
      <c r="Y22" s="1"/>
      <c r="Z22" s="1"/>
    </row>
    <row r="23" spans="1:26" ht="12.75" customHeight="1">
      <c r="A23" s="1"/>
      <c r="B23" s="1"/>
      <c r="C23" s="1"/>
      <c r="D23" s="1"/>
      <c r="E23" s="1"/>
      <c r="F23" s="1"/>
      <c r="G23" s="66"/>
      <c r="H23" s="1"/>
      <c r="I23" s="1"/>
      <c r="J23" s="66"/>
      <c r="K23" s="1"/>
      <c r="L23" s="1"/>
      <c r="M23" s="1"/>
      <c r="N23" s="1"/>
      <c r="O23" s="1"/>
      <c r="P23" s="1"/>
      <c r="Q23" s="1"/>
      <c r="R23" s="1"/>
      <c r="S23" s="1"/>
      <c r="T23" s="1"/>
      <c r="U23" s="1"/>
      <c r="V23" s="1"/>
      <c r="W23" s="1"/>
      <c r="X23" s="1"/>
      <c r="Y23" s="1"/>
      <c r="Z23" s="1"/>
    </row>
    <row r="24" spans="1:26" ht="12.75" customHeight="1">
      <c r="A24" s="1"/>
      <c r="B24" s="1"/>
      <c r="C24" s="1"/>
      <c r="D24" s="1"/>
      <c r="E24" s="1"/>
      <c r="F24" s="1"/>
      <c r="G24" s="66"/>
      <c r="H24" s="1"/>
      <c r="I24" s="1"/>
      <c r="J24" s="66"/>
      <c r="K24" s="1"/>
      <c r="L24" s="1"/>
      <c r="M24" s="1"/>
      <c r="N24" s="1"/>
      <c r="O24" s="1"/>
      <c r="P24" s="1"/>
      <c r="Q24" s="1"/>
      <c r="R24" s="1"/>
      <c r="S24" s="1"/>
      <c r="T24" s="1"/>
      <c r="U24" s="1"/>
      <c r="V24" s="1"/>
      <c r="W24" s="1"/>
      <c r="X24" s="1"/>
      <c r="Y24" s="1"/>
      <c r="Z24" s="1"/>
    </row>
    <row r="25" spans="1:26" ht="12.75" customHeight="1">
      <c r="A25" s="1"/>
      <c r="B25" s="1"/>
      <c r="C25" s="1"/>
      <c r="D25" s="1"/>
      <c r="E25" s="1"/>
      <c r="F25" s="1"/>
      <c r="G25" s="66"/>
      <c r="H25" s="1"/>
      <c r="I25" s="1"/>
      <c r="J25" s="66"/>
      <c r="K25" s="1"/>
      <c r="L25" s="1"/>
      <c r="M25" s="1"/>
      <c r="N25" s="1"/>
      <c r="O25" s="1"/>
      <c r="P25" s="1"/>
      <c r="Q25" s="1"/>
      <c r="R25" s="1"/>
      <c r="S25" s="1"/>
      <c r="T25" s="1"/>
      <c r="U25" s="1"/>
      <c r="V25" s="1"/>
      <c r="W25" s="1"/>
      <c r="X25" s="1"/>
      <c r="Y25" s="1"/>
      <c r="Z25" s="1"/>
    </row>
    <row r="26" spans="1:26" ht="12.75" customHeight="1">
      <c r="A26" s="1"/>
      <c r="B26" s="14" t="s">
        <v>21</v>
      </c>
      <c r="C26" s="1"/>
      <c r="D26" s="1"/>
      <c r="E26" s="1"/>
      <c r="F26" s="1"/>
      <c r="G26" s="66"/>
      <c r="H26" s="1"/>
      <c r="I26" s="1"/>
      <c r="J26" s="66"/>
      <c r="K26" s="1"/>
      <c r="L26" s="1"/>
      <c r="M26" s="1"/>
      <c r="N26" s="1"/>
      <c r="O26" s="1"/>
      <c r="P26" s="1"/>
      <c r="Q26" s="1"/>
      <c r="R26" s="1"/>
      <c r="S26" s="1"/>
      <c r="T26" s="1"/>
      <c r="U26" s="1"/>
      <c r="V26" s="1"/>
      <c r="W26" s="1"/>
      <c r="X26" s="1"/>
      <c r="Y26" s="1"/>
      <c r="Z26" s="1"/>
    </row>
    <row r="27" spans="1:26" ht="12.75" customHeight="1">
      <c r="A27" s="1"/>
      <c r="B27" s="1"/>
      <c r="C27" s="1"/>
      <c r="D27" s="1"/>
      <c r="E27" s="1"/>
      <c r="F27" s="1"/>
      <c r="G27" s="66"/>
      <c r="H27" s="1"/>
      <c r="I27" s="1"/>
      <c r="J27" s="66"/>
      <c r="K27" s="1"/>
      <c r="L27" s="1"/>
      <c r="M27" s="1"/>
      <c r="N27" s="1"/>
      <c r="O27" s="1"/>
      <c r="P27" s="1"/>
      <c r="Q27" s="1"/>
      <c r="R27" s="1"/>
      <c r="S27" s="1"/>
      <c r="T27" s="1"/>
      <c r="U27" s="1"/>
      <c r="V27" s="1"/>
      <c r="W27" s="1"/>
      <c r="X27" s="1"/>
      <c r="Y27" s="1"/>
      <c r="Z27" s="1"/>
    </row>
    <row r="28" spans="1:26" ht="12.75" customHeight="1">
      <c r="A28" s="1"/>
      <c r="B28" s="1"/>
      <c r="C28" s="1"/>
      <c r="D28" s="1"/>
      <c r="E28" s="1"/>
      <c r="F28" s="1"/>
      <c r="G28" s="66"/>
      <c r="H28" s="1"/>
      <c r="I28" s="1"/>
      <c r="J28" s="66"/>
      <c r="K28" s="1"/>
      <c r="L28" s="1"/>
      <c r="M28" s="1"/>
      <c r="N28" s="1"/>
      <c r="O28" s="1"/>
      <c r="P28" s="1"/>
      <c r="Q28" s="1"/>
      <c r="R28" s="1"/>
      <c r="S28" s="1"/>
      <c r="T28" s="1"/>
      <c r="U28" s="1"/>
      <c r="V28" s="1"/>
      <c r="W28" s="1"/>
      <c r="X28" s="1"/>
      <c r="Y28" s="1"/>
      <c r="Z28" s="1"/>
    </row>
    <row r="29" spans="1:26" ht="12.75" customHeight="1">
      <c r="A29" s="1"/>
      <c r="B29" s="1"/>
      <c r="C29" s="1"/>
      <c r="D29" s="1"/>
      <c r="E29" s="1"/>
      <c r="F29" s="1"/>
      <c r="G29" s="66"/>
      <c r="H29" s="1"/>
      <c r="I29" s="1"/>
      <c r="J29" s="66"/>
      <c r="K29" s="1"/>
      <c r="L29" s="1"/>
      <c r="M29" s="1"/>
      <c r="N29" s="1"/>
      <c r="O29" s="1"/>
      <c r="P29" s="1"/>
      <c r="Q29" s="1"/>
      <c r="R29" s="1"/>
      <c r="S29" s="1"/>
      <c r="T29" s="1"/>
      <c r="U29" s="1"/>
      <c r="V29" s="1"/>
      <c r="W29" s="1"/>
      <c r="X29" s="1"/>
      <c r="Y29" s="1"/>
      <c r="Z29" s="1"/>
    </row>
    <row r="30" spans="1:26" ht="12.75" customHeight="1">
      <c r="A30" s="1"/>
      <c r="B30" s="1"/>
      <c r="C30" s="1"/>
      <c r="D30" s="1"/>
      <c r="E30" s="1"/>
      <c r="F30" s="1"/>
      <c r="G30" s="66"/>
      <c r="H30" s="1"/>
      <c r="I30" s="1"/>
      <c r="J30" s="66"/>
      <c r="K30" s="1"/>
      <c r="L30" s="1"/>
      <c r="M30" s="1"/>
      <c r="N30" s="1"/>
      <c r="O30" s="1"/>
      <c r="P30" s="1"/>
      <c r="Q30" s="1"/>
      <c r="R30" s="1"/>
      <c r="S30" s="1"/>
      <c r="T30" s="1"/>
      <c r="U30" s="1"/>
      <c r="V30" s="1"/>
      <c r="W30" s="1"/>
      <c r="X30" s="1"/>
      <c r="Y30" s="1"/>
      <c r="Z30" s="1"/>
    </row>
    <row r="31" spans="1:26" ht="12.75" customHeight="1">
      <c r="A31" s="1"/>
      <c r="B31" s="1"/>
      <c r="C31" s="1"/>
      <c r="D31" s="1"/>
      <c r="E31" s="1"/>
      <c r="F31" s="1"/>
      <c r="G31" s="66"/>
      <c r="H31" s="1"/>
      <c r="I31" s="1"/>
      <c r="J31" s="66"/>
      <c r="K31" s="1"/>
      <c r="L31" s="1"/>
      <c r="M31" s="1"/>
      <c r="N31" s="1"/>
      <c r="O31" s="1"/>
      <c r="P31" s="1"/>
      <c r="Q31" s="1"/>
      <c r="R31" s="1"/>
      <c r="S31" s="1"/>
      <c r="T31" s="1"/>
      <c r="U31" s="1"/>
      <c r="V31" s="1"/>
      <c r="W31" s="1"/>
      <c r="X31" s="1"/>
      <c r="Y31" s="1"/>
      <c r="Z31" s="1"/>
    </row>
    <row r="32" spans="1:26" ht="12.75" customHeight="1">
      <c r="A32" s="1"/>
      <c r="B32" s="1"/>
      <c r="C32" s="1"/>
      <c r="D32" s="1"/>
      <c r="E32" s="1"/>
      <c r="F32" s="1"/>
      <c r="G32" s="66"/>
      <c r="H32" s="1"/>
      <c r="I32" s="1"/>
      <c r="J32" s="66"/>
      <c r="K32" s="1"/>
      <c r="L32" s="1"/>
      <c r="M32" s="1"/>
      <c r="N32" s="1"/>
      <c r="O32" s="1"/>
      <c r="P32" s="1"/>
      <c r="Q32" s="1"/>
      <c r="R32" s="1"/>
      <c r="S32" s="1"/>
      <c r="T32" s="1"/>
      <c r="U32" s="1"/>
      <c r="V32" s="1"/>
      <c r="W32" s="1"/>
      <c r="X32" s="1"/>
      <c r="Y32" s="1"/>
      <c r="Z32" s="1"/>
    </row>
    <row r="33" spans="1:26" ht="12.75" customHeight="1">
      <c r="A33" s="1"/>
      <c r="B33" s="1"/>
      <c r="C33" s="1"/>
      <c r="D33" s="1"/>
      <c r="E33" s="1"/>
      <c r="F33" s="1"/>
      <c r="G33" s="66"/>
      <c r="H33" s="1"/>
      <c r="I33" s="1"/>
      <c r="J33" s="66"/>
      <c r="K33" s="1"/>
      <c r="L33" s="1"/>
      <c r="M33" s="1"/>
      <c r="N33" s="1"/>
      <c r="O33" s="1"/>
      <c r="P33" s="1"/>
      <c r="Q33" s="1"/>
      <c r="R33" s="1"/>
      <c r="S33" s="1"/>
      <c r="T33" s="1"/>
      <c r="U33" s="1"/>
      <c r="V33" s="1"/>
      <c r="W33" s="1"/>
      <c r="X33" s="1"/>
      <c r="Y33" s="1"/>
      <c r="Z33" s="1"/>
    </row>
    <row r="34" spans="1:26" ht="12.75" customHeight="1">
      <c r="A34" s="1"/>
      <c r="B34" s="1"/>
      <c r="C34" s="1"/>
      <c r="D34" s="1"/>
      <c r="E34" s="1"/>
      <c r="F34" s="1"/>
      <c r="G34" s="66"/>
      <c r="H34" s="1"/>
      <c r="I34" s="1"/>
      <c r="J34" s="66"/>
      <c r="K34" s="1"/>
      <c r="L34" s="1"/>
      <c r="M34" s="1"/>
      <c r="N34" s="1"/>
      <c r="O34" s="1"/>
      <c r="P34" s="1"/>
      <c r="Q34" s="1"/>
      <c r="R34" s="1"/>
      <c r="S34" s="1"/>
      <c r="T34" s="1"/>
      <c r="U34" s="1"/>
      <c r="V34" s="1"/>
      <c r="W34" s="1"/>
      <c r="X34" s="1"/>
      <c r="Y34" s="1"/>
      <c r="Z34" s="1"/>
    </row>
    <row r="35" spans="1:26" ht="12.75" customHeight="1">
      <c r="A35" s="1"/>
      <c r="B35" s="1"/>
      <c r="C35" s="1"/>
      <c r="D35" s="1"/>
      <c r="E35" s="1"/>
      <c r="F35" s="1"/>
      <c r="G35" s="66"/>
      <c r="H35" s="1"/>
      <c r="I35" s="1"/>
      <c r="J35" s="66"/>
      <c r="K35" s="1"/>
      <c r="L35" s="1"/>
      <c r="M35" s="1"/>
      <c r="N35" s="1"/>
      <c r="O35" s="1"/>
      <c r="P35" s="1"/>
      <c r="Q35" s="1"/>
      <c r="R35" s="1"/>
      <c r="S35" s="1"/>
      <c r="T35" s="1"/>
      <c r="U35" s="1"/>
      <c r="V35" s="1"/>
      <c r="W35" s="1"/>
      <c r="X35" s="1"/>
      <c r="Y35" s="1"/>
      <c r="Z35" s="1"/>
    </row>
    <row r="36" spans="1:26" ht="12.75" customHeight="1">
      <c r="A36" s="1"/>
      <c r="B36" s="1"/>
      <c r="C36" s="1"/>
      <c r="D36" s="1"/>
      <c r="E36" s="1"/>
      <c r="F36" s="1"/>
      <c r="G36" s="66"/>
      <c r="H36" s="1"/>
      <c r="I36" s="1"/>
      <c r="J36" s="66"/>
      <c r="K36" s="1"/>
      <c r="L36" s="1"/>
      <c r="M36" s="1"/>
      <c r="N36" s="1"/>
      <c r="O36" s="1"/>
      <c r="P36" s="1"/>
      <c r="Q36" s="1"/>
      <c r="R36" s="1"/>
      <c r="S36" s="1"/>
      <c r="T36" s="1"/>
      <c r="U36" s="1"/>
      <c r="V36" s="1"/>
      <c r="W36" s="1"/>
      <c r="X36" s="1"/>
      <c r="Y36" s="1"/>
      <c r="Z36" s="1"/>
    </row>
    <row r="37" spans="1:26" ht="12.75" customHeight="1">
      <c r="A37" s="1"/>
      <c r="B37" s="1"/>
      <c r="C37" s="1"/>
      <c r="D37" s="1"/>
      <c r="E37" s="1"/>
      <c r="F37" s="1"/>
      <c r="G37" s="66"/>
      <c r="H37" s="1"/>
      <c r="I37" s="1"/>
      <c r="J37" s="66"/>
      <c r="K37" s="1"/>
      <c r="L37" s="1"/>
      <c r="M37" s="1"/>
      <c r="N37" s="1"/>
      <c r="O37" s="1"/>
      <c r="P37" s="1"/>
      <c r="Q37" s="1"/>
      <c r="R37" s="1"/>
      <c r="S37" s="1"/>
      <c r="T37" s="1"/>
      <c r="U37" s="1"/>
      <c r="V37" s="1"/>
      <c r="W37" s="1"/>
      <c r="X37" s="1"/>
      <c r="Y37" s="1"/>
      <c r="Z37" s="1"/>
    </row>
    <row r="38" spans="1:26" ht="12.75" customHeight="1">
      <c r="A38" s="1"/>
      <c r="B38" s="1"/>
      <c r="C38" s="1"/>
      <c r="D38" s="1"/>
      <c r="E38" s="1"/>
      <c r="F38" s="1"/>
      <c r="G38" s="66"/>
      <c r="H38" s="1"/>
      <c r="I38" s="1"/>
      <c r="J38" s="66"/>
      <c r="K38" s="1"/>
      <c r="L38" s="1"/>
      <c r="M38" s="1"/>
      <c r="N38" s="1"/>
      <c r="O38" s="1"/>
      <c r="P38" s="1"/>
      <c r="Q38" s="1"/>
      <c r="R38" s="1"/>
      <c r="S38" s="1"/>
      <c r="T38" s="1"/>
      <c r="U38" s="1"/>
      <c r="V38" s="1"/>
      <c r="W38" s="1"/>
      <c r="X38" s="1"/>
      <c r="Y38" s="1"/>
      <c r="Z38" s="1"/>
    </row>
    <row r="39" spans="1:26" ht="12.75" customHeight="1">
      <c r="A39" s="1"/>
      <c r="B39" s="1"/>
      <c r="C39" s="1"/>
      <c r="D39" s="1"/>
      <c r="E39" s="1"/>
      <c r="F39" s="1"/>
      <c r="G39" s="66"/>
      <c r="H39" s="1"/>
      <c r="I39" s="1"/>
      <c r="J39" s="66"/>
      <c r="K39" s="1"/>
      <c r="L39" s="1"/>
      <c r="M39" s="1"/>
      <c r="N39" s="1"/>
      <c r="O39" s="1"/>
      <c r="P39" s="1"/>
      <c r="Q39" s="1"/>
      <c r="R39" s="1"/>
      <c r="S39" s="1"/>
      <c r="T39" s="1"/>
      <c r="U39" s="1"/>
      <c r="V39" s="1"/>
      <c r="W39" s="1"/>
      <c r="X39" s="1"/>
      <c r="Y39" s="1"/>
      <c r="Z39" s="1"/>
    </row>
    <row r="40" spans="1:26" ht="12.75" customHeight="1">
      <c r="A40" s="1"/>
      <c r="B40" s="1"/>
      <c r="C40" s="1"/>
      <c r="D40" s="1"/>
      <c r="E40" s="1"/>
      <c r="F40" s="1"/>
      <c r="G40" s="66"/>
      <c r="H40" s="1"/>
      <c r="I40" s="1"/>
      <c r="J40" s="66"/>
      <c r="K40" s="1"/>
      <c r="L40" s="1"/>
      <c r="M40" s="1"/>
      <c r="N40" s="1"/>
      <c r="O40" s="1"/>
      <c r="P40" s="1"/>
      <c r="Q40" s="1"/>
      <c r="R40" s="1"/>
      <c r="S40" s="1"/>
      <c r="T40" s="1"/>
      <c r="U40" s="1"/>
      <c r="V40" s="1"/>
      <c r="W40" s="1"/>
      <c r="X40" s="1"/>
      <c r="Y40" s="1"/>
      <c r="Z40" s="1"/>
    </row>
    <row r="41" spans="1:26" ht="12.75" customHeight="1">
      <c r="A41" s="1"/>
      <c r="B41" s="1"/>
      <c r="C41" s="1"/>
      <c r="D41" s="1"/>
      <c r="E41" s="1"/>
      <c r="F41" s="1"/>
      <c r="G41" s="66"/>
      <c r="H41" s="1"/>
      <c r="I41" s="1"/>
      <c r="J41" s="66"/>
      <c r="K41" s="1"/>
      <c r="L41" s="1"/>
      <c r="M41" s="1"/>
      <c r="N41" s="1"/>
      <c r="O41" s="1"/>
      <c r="P41" s="1"/>
      <c r="Q41" s="1"/>
      <c r="R41" s="1"/>
      <c r="S41" s="1"/>
      <c r="T41" s="1"/>
      <c r="U41" s="1"/>
      <c r="V41" s="1"/>
      <c r="W41" s="1"/>
      <c r="X41" s="1"/>
      <c r="Y41" s="1"/>
      <c r="Z41" s="1"/>
    </row>
    <row r="42" spans="1:26" ht="12.75" customHeight="1">
      <c r="A42" s="1"/>
      <c r="B42" s="1"/>
      <c r="C42" s="1"/>
      <c r="D42" s="1"/>
      <c r="E42" s="1"/>
      <c r="F42" s="1"/>
      <c r="G42" s="66"/>
      <c r="H42" s="1"/>
      <c r="I42" s="1"/>
      <c r="J42" s="66"/>
      <c r="K42" s="1"/>
      <c r="L42" s="1"/>
      <c r="M42" s="1"/>
      <c r="N42" s="1"/>
      <c r="O42" s="1"/>
      <c r="P42" s="1"/>
      <c r="Q42" s="1"/>
      <c r="R42" s="1"/>
      <c r="S42" s="1"/>
      <c r="T42" s="1"/>
      <c r="U42" s="1"/>
      <c r="V42" s="1"/>
      <c r="W42" s="1"/>
      <c r="X42" s="1"/>
      <c r="Y42" s="1"/>
      <c r="Z42" s="1"/>
    </row>
    <row r="43" spans="1:26" ht="12.75" customHeight="1">
      <c r="A43" s="1"/>
      <c r="B43" s="1"/>
      <c r="C43" s="1"/>
      <c r="D43" s="1"/>
      <c r="E43" s="1"/>
      <c r="F43" s="1"/>
      <c r="G43" s="66"/>
      <c r="H43" s="1"/>
      <c r="I43" s="1"/>
      <c r="J43" s="66"/>
      <c r="K43" s="1"/>
      <c r="L43" s="1"/>
      <c r="M43" s="1"/>
      <c r="N43" s="1"/>
      <c r="O43" s="1"/>
      <c r="P43" s="1"/>
      <c r="Q43" s="1"/>
      <c r="R43" s="1"/>
      <c r="S43" s="1"/>
      <c r="T43" s="1"/>
      <c r="U43" s="1"/>
      <c r="V43" s="1"/>
      <c r="W43" s="1"/>
      <c r="X43" s="1"/>
      <c r="Y43" s="1"/>
      <c r="Z43" s="1"/>
    </row>
    <row r="44" spans="1:26" ht="12.75" customHeight="1">
      <c r="A44" s="1"/>
      <c r="B44" s="1"/>
      <c r="C44" s="1"/>
      <c r="D44" s="1"/>
      <c r="E44" s="1"/>
      <c r="F44" s="1"/>
      <c r="G44" s="66"/>
      <c r="H44" s="1"/>
      <c r="I44" s="1"/>
      <c r="J44" s="66"/>
      <c r="K44" s="1"/>
      <c r="L44" s="1"/>
      <c r="M44" s="1"/>
      <c r="N44" s="1"/>
      <c r="O44" s="1"/>
      <c r="P44" s="1"/>
      <c r="Q44" s="1"/>
      <c r="R44" s="1"/>
      <c r="S44" s="1"/>
      <c r="T44" s="1"/>
      <c r="U44" s="1"/>
      <c r="V44" s="1"/>
      <c r="W44" s="1"/>
      <c r="X44" s="1"/>
      <c r="Y44" s="1"/>
      <c r="Z44" s="1"/>
    </row>
    <row r="45" spans="1:26" ht="12.75" customHeight="1">
      <c r="A45" s="1"/>
      <c r="B45" s="1"/>
      <c r="C45" s="1"/>
      <c r="D45" s="1"/>
      <c r="E45" s="1"/>
      <c r="F45" s="1"/>
      <c r="G45" s="66"/>
      <c r="H45" s="1"/>
      <c r="I45" s="1"/>
      <c r="J45" s="66"/>
      <c r="K45" s="1"/>
      <c r="L45" s="1"/>
      <c r="M45" s="1"/>
      <c r="N45" s="1"/>
      <c r="O45" s="1"/>
      <c r="P45" s="1"/>
      <c r="Q45" s="1"/>
      <c r="R45" s="1"/>
      <c r="S45" s="1"/>
      <c r="T45" s="1"/>
      <c r="U45" s="1"/>
      <c r="V45" s="1"/>
      <c r="W45" s="1"/>
      <c r="X45" s="1"/>
      <c r="Y45" s="1"/>
      <c r="Z45" s="1"/>
    </row>
    <row r="46" spans="1:26" ht="12.75" customHeight="1">
      <c r="A46" s="1"/>
      <c r="B46" s="1"/>
      <c r="C46" s="1"/>
      <c r="D46" s="1"/>
      <c r="E46" s="1"/>
      <c r="F46" s="1"/>
      <c r="G46" s="66"/>
      <c r="H46" s="1"/>
      <c r="I46" s="1"/>
      <c r="J46" s="66"/>
      <c r="K46" s="1"/>
      <c r="L46" s="1"/>
      <c r="M46" s="1"/>
      <c r="N46" s="1"/>
      <c r="O46" s="1"/>
      <c r="P46" s="1"/>
      <c r="Q46" s="1"/>
      <c r="R46" s="1"/>
      <c r="S46" s="1"/>
      <c r="T46" s="1"/>
      <c r="U46" s="1"/>
      <c r="V46" s="1"/>
      <c r="W46" s="1"/>
      <c r="X46" s="1"/>
      <c r="Y46" s="1"/>
      <c r="Z46" s="1"/>
    </row>
    <row r="47" spans="1:26" ht="12.75" customHeight="1">
      <c r="A47" s="1"/>
      <c r="B47" s="1"/>
      <c r="C47" s="1"/>
      <c r="D47" s="1"/>
      <c r="E47" s="1"/>
      <c r="F47" s="1"/>
      <c r="G47" s="66"/>
      <c r="H47" s="1"/>
      <c r="I47" s="1"/>
      <c r="J47" s="66"/>
      <c r="K47" s="1"/>
      <c r="L47" s="1"/>
      <c r="M47" s="1"/>
      <c r="N47" s="1"/>
      <c r="O47" s="1"/>
      <c r="P47" s="1"/>
      <c r="Q47" s="1"/>
      <c r="R47" s="1"/>
      <c r="S47" s="1"/>
      <c r="T47" s="1"/>
      <c r="U47" s="1"/>
      <c r="V47" s="1"/>
      <c r="W47" s="1"/>
      <c r="X47" s="1"/>
      <c r="Y47" s="1"/>
      <c r="Z47" s="1"/>
    </row>
    <row r="48" spans="1:26" ht="12.75" customHeight="1">
      <c r="A48" s="1"/>
      <c r="B48" s="1"/>
      <c r="C48" s="1"/>
      <c r="D48" s="1"/>
      <c r="E48" s="1"/>
      <c r="F48" s="1"/>
      <c r="G48" s="66"/>
      <c r="H48" s="1"/>
      <c r="I48" s="1"/>
      <c r="J48" s="66"/>
      <c r="K48" s="1"/>
      <c r="L48" s="1"/>
      <c r="M48" s="1"/>
      <c r="N48" s="1"/>
      <c r="O48" s="1"/>
      <c r="P48" s="1"/>
      <c r="Q48" s="1"/>
      <c r="R48" s="1"/>
      <c r="S48" s="1"/>
      <c r="T48" s="1"/>
      <c r="U48" s="1"/>
      <c r="V48" s="1"/>
      <c r="W48" s="1"/>
      <c r="X48" s="1"/>
      <c r="Y48" s="1"/>
      <c r="Z48" s="1"/>
    </row>
    <row r="49" spans="1:26" ht="12.75" customHeight="1">
      <c r="A49" s="1"/>
      <c r="B49" s="1"/>
      <c r="C49" s="1"/>
      <c r="D49" s="1"/>
      <c r="E49" s="1"/>
      <c r="F49" s="1"/>
      <c r="G49" s="66"/>
      <c r="H49" s="1"/>
      <c r="I49" s="1"/>
      <c r="J49" s="66"/>
      <c r="K49" s="1"/>
      <c r="L49" s="1"/>
      <c r="M49" s="1"/>
      <c r="N49" s="1"/>
      <c r="O49" s="1"/>
      <c r="P49" s="1"/>
      <c r="Q49" s="1"/>
      <c r="R49" s="1"/>
      <c r="S49" s="1"/>
      <c r="T49" s="1"/>
      <c r="U49" s="1"/>
      <c r="V49" s="1"/>
      <c r="W49" s="1"/>
      <c r="X49" s="1"/>
      <c r="Y49" s="1"/>
      <c r="Z49" s="1"/>
    </row>
    <row r="50" spans="1:26" ht="12.75" customHeight="1">
      <c r="A50" s="1"/>
      <c r="B50" s="1"/>
      <c r="C50" s="1"/>
      <c r="D50" s="1"/>
      <c r="E50" s="1"/>
      <c r="F50" s="1"/>
      <c r="G50" s="66"/>
      <c r="H50" s="1"/>
      <c r="I50" s="1"/>
      <c r="J50" s="66"/>
      <c r="K50" s="1"/>
      <c r="L50" s="1"/>
      <c r="M50" s="1"/>
      <c r="N50" s="1"/>
      <c r="O50" s="1"/>
      <c r="P50" s="1"/>
      <c r="Q50" s="1"/>
      <c r="R50" s="1"/>
      <c r="S50" s="1"/>
      <c r="T50" s="1"/>
      <c r="U50" s="1"/>
      <c r="V50" s="1"/>
      <c r="W50" s="1"/>
      <c r="X50" s="1"/>
      <c r="Y50" s="1"/>
      <c r="Z50" s="1"/>
    </row>
    <row r="51" spans="1:26" ht="12.75" customHeight="1">
      <c r="A51" s="1"/>
      <c r="B51" s="1"/>
      <c r="C51" s="1"/>
      <c r="D51" s="1"/>
      <c r="E51" s="1"/>
      <c r="F51" s="1"/>
      <c r="G51" s="66"/>
      <c r="H51" s="1"/>
      <c r="I51" s="1"/>
      <c r="J51" s="66"/>
      <c r="K51" s="1"/>
      <c r="L51" s="1"/>
      <c r="M51" s="1"/>
      <c r="N51" s="1"/>
      <c r="O51" s="1"/>
      <c r="P51" s="1"/>
      <c r="Q51" s="1"/>
      <c r="R51" s="1"/>
      <c r="S51" s="1"/>
      <c r="T51" s="1"/>
      <c r="U51" s="1"/>
      <c r="V51" s="1"/>
      <c r="W51" s="1"/>
      <c r="X51" s="1"/>
      <c r="Y51" s="1"/>
      <c r="Z51" s="1"/>
    </row>
    <row r="52" spans="1:26" ht="12.75" customHeight="1">
      <c r="A52" s="1"/>
      <c r="B52" s="1"/>
      <c r="C52" s="1"/>
      <c r="D52" s="1"/>
      <c r="E52" s="1"/>
      <c r="F52" s="1"/>
      <c r="G52" s="66"/>
      <c r="H52" s="1"/>
      <c r="I52" s="1"/>
      <c r="J52" s="66"/>
      <c r="K52" s="1"/>
      <c r="L52" s="1"/>
      <c r="M52" s="1"/>
      <c r="N52" s="1"/>
      <c r="O52" s="1"/>
      <c r="P52" s="1"/>
      <c r="Q52" s="1"/>
      <c r="R52" s="1"/>
      <c r="S52" s="1"/>
      <c r="T52" s="1"/>
      <c r="U52" s="1"/>
      <c r="V52" s="1"/>
      <c r="W52" s="1"/>
      <c r="X52" s="1"/>
      <c r="Y52" s="1"/>
      <c r="Z52" s="1"/>
    </row>
    <row r="53" spans="1:26" ht="12.75" customHeight="1">
      <c r="A53" s="1"/>
      <c r="B53" s="1"/>
      <c r="C53" s="1"/>
      <c r="D53" s="1"/>
      <c r="E53" s="1"/>
      <c r="F53" s="1"/>
      <c r="G53" s="66"/>
      <c r="H53" s="1"/>
      <c r="I53" s="1"/>
      <c r="J53" s="66"/>
      <c r="K53" s="1"/>
      <c r="L53" s="1"/>
      <c r="M53" s="1"/>
      <c r="N53" s="1"/>
      <c r="O53" s="1"/>
      <c r="P53" s="1"/>
      <c r="Q53" s="1"/>
      <c r="R53" s="1"/>
      <c r="S53" s="1"/>
      <c r="T53" s="1"/>
      <c r="U53" s="1"/>
      <c r="V53" s="1"/>
      <c r="W53" s="1"/>
      <c r="X53" s="1"/>
      <c r="Y53" s="1"/>
      <c r="Z53" s="1"/>
    </row>
    <row r="54" spans="1:26" ht="12.75" customHeight="1">
      <c r="A54" s="1"/>
      <c r="B54" s="1"/>
      <c r="C54" s="1"/>
      <c r="D54" s="1"/>
      <c r="E54" s="1"/>
      <c r="F54" s="1"/>
      <c r="G54" s="66"/>
      <c r="H54" s="1"/>
      <c r="I54" s="1"/>
      <c r="J54" s="66"/>
      <c r="K54" s="1"/>
      <c r="L54" s="1"/>
      <c r="M54" s="1"/>
      <c r="N54" s="1"/>
      <c r="O54" s="1"/>
      <c r="P54" s="1"/>
      <c r="Q54" s="1"/>
      <c r="R54" s="1"/>
      <c r="S54" s="1"/>
      <c r="T54" s="1"/>
      <c r="U54" s="1"/>
      <c r="V54" s="1"/>
      <c r="W54" s="1"/>
      <c r="X54" s="1"/>
      <c r="Y54" s="1"/>
      <c r="Z54" s="1"/>
    </row>
    <row r="55" spans="1:26" ht="12.75" customHeight="1">
      <c r="A55" s="1"/>
      <c r="B55" s="1"/>
      <c r="C55" s="1"/>
      <c r="D55" s="1"/>
      <c r="E55" s="1"/>
      <c r="F55" s="1"/>
      <c r="G55" s="66"/>
      <c r="H55" s="1"/>
      <c r="I55" s="1"/>
      <c r="J55" s="66"/>
      <c r="K55" s="1"/>
      <c r="L55" s="1"/>
      <c r="M55" s="1"/>
      <c r="N55" s="1"/>
      <c r="O55" s="1"/>
      <c r="P55" s="1"/>
      <c r="Q55" s="1"/>
      <c r="R55" s="1"/>
      <c r="S55" s="1"/>
      <c r="T55" s="1"/>
      <c r="U55" s="1"/>
      <c r="V55" s="1"/>
      <c r="W55" s="1"/>
      <c r="X55" s="1"/>
      <c r="Y55" s="1"/>
      <c r="Z55" s="1"/>
    </row>
    <row r="56" spans="1:26" ht="12.75" customHeight="1">
      <c r="A56" s="1"/>
      <c r="B56" s="1"/>
      <c r="C56" s="1"/>
      <c r="D56" s="1"/>
      <c r="E56" s="1"/>
      <c r="F56" s="1"/>
      <c r="G56" s="66"/>
      <c r="H56" s="1"/>
      <c r="I56" s="1"/>
      <c r="J56" s="66"/>
      <c r="K56" s="1"/>
      <c r="L56" s="1"/>
      <c r="M56" s="1"/>
      <c r="N56" s="1"/>
      <c r="O56" s="1"/>
      <c r="P56" s="1"/>
      <c r="Q56" s="1"/>
      <c r="R56" s="1"/>
      <c r="S56" s="1"/>
      <c r="T56" s="1"/>
      <c r="U56" s="1"/>
      <c r="V56" s="1"/>
      <c r="W56" s="1"/>
      <c r="X56" s="1"/>
      <c r="Y56" s="1"/>
      <c r="Z56" s="1"/>
    </row>
    <row r="57" spans="1:26" ht="12.75" customHeight="1">
      <c r="A57" s="1"/>
      <c r="B57" s="1"/>
      <c r="C57" s="1"/>
      <c r="D57" s="1"/>
      <c r="E57" s="1"/>
      <c r="F57" s="1"/>
      <c r="G57" s="66"/>
      <c r="H57" s="1"/>
      <c r="I57" s="1"/>
      <c r="J57" s="66"/>
      <c r="K57" s="1"/>
      <c r="L57" s="1"/>
      <c r="M57" s="1"/>
      <c r="N57" s="1"/>
      <c r="O57" s="1"/>
      <c r="P57" s="1"/>
      <c r="Q57" s="1"/>
      <c r="R57" s="1"/>
      <c r="S57" s="1"/>
      <c r="T57" s="1"/>
      <c r="U57" s="1"/>
      <c r="V57" s="1"/>
      <c r="W57" s="1"/>
      <c r="X57" s="1"/>
      <c r="Y57" s="1"/>
      <c r="Z57" s="1"/>
    </row>
    <row r="58" spans="1:26" ht="12.75" customHeight="1">
      <c r="A58" s="1"/>
      <c r="B58" s="1"/>
      <c r="C58" s="1"/>
      <c r="D58" s="1"/>
      <c r="E58" s="1"/>
      <c r="F58" s="1"/>
      <c r="G58" s="66"/>
      <c r="H58" s="1"/>
      <c r="I58" s="1"/>
      <c r="J58" s="66"/>
      <c r="K58" s="1"/>
      <c r="L58" s="1"/>
      <c r="M58" s="1"/>
      <c r="N58" s="1"/>
      <c r="O58" s="1"/>
      <c r="P58" s="1"/>
      <c r="Q58" s="1"/>
      <c r="R58" s="1"/>
      <c r="S58" s="1"/>
      <c r="T58" s="1"/>
      <c r="U58" s="1"/>
      <c r="V58" s="1"/>
      <c r="W58" s="1"/>
      <c r="X58" s="1"/>
      <c r="Y58" s="1"/>
      <c r="Z58" s="1"/>
    </row>
    <row r="59" spans="1:26" ht="12.75" customHeight="1">
      <c r="A59" s="1"/>
      <c r="B59" s="1"/>
      <c r="C59" s="1"/>
      <c r="D59" s="1"/>
      <c r="E59" s="1"/>
      <c r="F59" s="1"/>
      <c r="G59" s="66"/>
      <c r="H59" s="1"/>
      <c r="I59" s="1"/>
      <c r="J59" s="66"/>
      <c r="K59" s="1"/>
      <c r="L59" s="1"/>
      <c r="M59" s="1"/>
      <c r="N59" s="1"/>
      <c r="O59" s="1"/>
      <c r="P59" s="1"/>
      <c r="Q59" s="1"/>
      <c r="R59" s="1"/>
      <c r="S59" s="1"/>
      <c r="T59" s="1"/>
      <c r="U59" s="1"/>
      <c r="V59" s="1"/>
      <c r="W59" s="1"/>
      <c r="X59" s="1"/>
      <c r="Y59" s="1"/>
      <c r="Z59" s="1"/>
    </row>
    <row r="60" spans="1:26" ht="12.75" customHeight="1">
      <c r="A60" s="1"/>
      <c r="B60" s="1"/>
      <c r="C60" s="1"/>
      <c r="D60" s="1"/>
      <c r="E60" s="1"/>
      <c r="F60" s="1"/>
      <c r="G60" s="66"/>
      <c r="H60" s="1"/>
      <c r="I60" s="1"/>
      <c r="J60" s="66"/>
      <c r="K60" s="1"/>
      <c r="L60" s="1"/>
      <c r="M60" s="1"/>
      <c r="N60" s="1"/>
      <c r="O60" s="1"/>
      <c r="P60" s="1"/>
      <c r="Q60" s="1"/>
      <c r="R60" s="1"/>
      <c r="S60" s="1"/>
      <c r="T60" s="1"/>
      <c r="U60" s="1"/>
      <c r="V60" s="1"/>
      <c r="W60" s="1"/>
      <c r="X60" s="1"/>
      <c r="Y60" s="1"/>
      <c r="Z60" s="1"/>
    </row>
    <row r="61" spans="1:26" ht="12.75" customHeight="1">
      <c r="A61" s="1"/>
      <c r="B61" s="1"/>
      <c r="C61" s="1"/>
      <c r="D61" s="1"/>
      <c r="E61" s="1"/>
      <c r="F61" s="1"/>
      <c r="G61" s="66"/>
      <c r="H61" s="1"/>
      <c r="I61" s="1"/>
      <c r="J61" s="66"/>
      <c r="K61" s="1"/>
      <c r="L61" s="1"/>
      <c r="M61" s="1"/>
      <c r="N61" s="1"/>
      <c r="O61" s="1"/>
      <c r="P61" s="1"/>
      <c r="Q61" s="1"/>
      <c r="R61" s="1"/>
      <c r="S61" s="1"/>
      <c r="T61" s="1"/>
      <c r="U61" s="1"/>
      <c r="V61" s="1"/>
      <c r="W61" s="1"/>
      <c r="X61" s="1"/>
      <c r="Y61" s="1"/>
      <c r="Z61" s="1"/>
    </row>
    <row r="62" spans="1:26" ht="12.75" customHeight="1">
      <c r="A62" s="1"/>
      <c r="B62" s="1"/>
      <c r="C62" s="1"/>
      <c r="D62" s="1"/>
      <c r="E62" s="1"/>
      <c r="F62" s="1"/>
      <c r="G62" s="66"/>
      <c r="H62" s="1"/>
      <c r="I62" s="1"/>
      <c r="J62" s="66"/>
      <c r="K62" s="1"/>
      <c r="L62" s="1"/>
      <c r="M62" s="1"/>
      <c r="N62" s="1"/>
      <c r="O62" s="1"/>
      <c r="P62" s="1"/>
      <c r="Q62" s="1"/>
      <c r="R62" s="1"/>
      <c r="S62" s="1"/>
      <c r="T62" s="1"/>
      <c r="U62" s="1"/>
      <c r="V62" s="1"/>
      <c r="W62" s="1"/>
      <c r="X62" s="1"/>
      <c r="Y62" s="1"/>
      <c r="Z62" s="1"/>
    </row>
    <row r="63" spans="1:26" ht="12.75" customHeight="1">
      <c r="A63" s="1"/>
      <c r="B63" s="1"/>
      <c r="C63" s="1"/>
      <c r="D63" s="1"/>
      <c r="E63" s="1"/>
      <c r="F63" s="1"/>
      <c r="G63" s="66"/>
      <c r="H63" s="1"/>
      <c r="I63" s="1"/>
      <c r="J63" s="66"/>
      <c r="K63" s="1"/>
      <c r="L63" s="1"/>
      <c r="M63" s="1"/>
      <c r="N63" s="1"/>
      <c r="O63" s="1"/>
      <c r="P63" s="1"/>
      <c r="Q63" s="1"/>
      <c r="R63" s="1"/>
      <c r="S63" s="1"/>
      <c r="T63" s="1"/>
      <c r="U63" s="1"/>
      <c r="V63" s="1"/>
      <c r="W63" s="1"/>
      <c r="X63" s="1"/>
      <c r="Y63" s="1"/>
      <c r="Z63" s="1"/>
    </row>
    <row r="64" spans="1:26" ht="12.75" customHeight="1">
      <c r="A64" s="1"/>
      <c r="B64" s="1"/>
      <c r="C64" s="1"/>
      <c r="D64" s="1"/>
      <c r="E64" s="1"/>
      <c r="F64" s="1"/>
      <c r="G64" s="66"/>
      <c r="H64" s="1"/>
      <c r="I64" s="1"/>
      <c r="J64" s="66"/>
      <c r="K64" s="1"/>
      <c r="L64" s="1"/>
      <c r="M64" s="1"/>
      <c r="N64" s="1"/>
      <c r="O64" s="1"/>
      <c r="P64" s="1"/>
      <c r="Q64" s="1"/>
      <c r="R64" s="1"/>
      <c r="S64" s="1"/>
      <c r="T64" s="1"/>
      <c r="U64" s="1"/>
      <c r="V64" s="1"/>
      <c r="W64" s="1"/>
      <c r="X64" s="1"/>
      <c r="Y64" s="1"/>
      <c r="Z64" s="1"/>
    </row>
    <row r="65" spans="1:26" ht="12.75" customHeight="1">
      <c r="A65" s="1"/>
      <c r="B65" s="1"/>
      <c r="C65" s="1"/>
      <c r="D65" s="1"/>
      <c r="E65" s="1"/>
      <c r="F65" s="1"/>
      <c r="G65" s="66"/>
      <c r="H65" s="1"/>
      <c r="I65" s="1"/>
      <c r="J65" s="66"/>
      <c r="K65" s="1"/>
      <c r="L65" s="1"/>
      <c r="M65" s="1"/>
      <c r="N65" s="1"/>
      <c r="O65" s="1"/>
      <c r="P65" s="1"/>
      <c r="Q65" s="1"/>
      <c r="R65" s="1"/>
      <c r="S65" s="1"/>
      <c r="T65" s="1"/>
      <c r="U65" s="1"/>
      <c r="V65" s="1"/>
      <c r="W65" s="1"/>
      <c r="X65" s="1"/>
      <c r="Y65" s="1"/>
      <c r="Z65" s="1"/>
    </row>
    <row r="66" spans="1:26" ht="12.75" customHeight="1">
      <c r="A66" s="1"/>
      <c r="B66" s="1"/>
      <c r="C66" s="1"/>
      <c r="D66" s="1"/>
      <c r="E66" s="1"/>
      <c r="F66" s="1"/>
      <c r="G66" s="66"/>
      <c r="H66" s="1"/>
      <c r="I66" s="1"/>
      <c r="J66" s="66"/>
      <c r="K66" s="1"/>
      <c r="L66" s="1"/>
      <c r="M66" s="1"/>
      <c r="N66" s="1"/>
      <c r="O66" s="1"/>
      <c r="P66" s="1"/>
      <c r="Q66" s="1"/>
      <c r="R66" s="1"/>
      <c r="S66" s="1"/>
      <c r="T66" s="1"/>
      <c r="U66" s="1"/>
      <c r="V66" s="1"/>
      <c r="W66" s="1"/>
      <c r="X66" s="1"/>
      <c r="Y66" s="1"/>
      <c r="Z66" s="1"/>
    </row>
    <row r="67" spans="1:26" ht="12.75" customHeight="1">
      <c r="A67" s="1"/>
      <c r="B67" s="1"/>
      <c r="C67" s="1"/>
      <c r="D67" s="1"/>
      <c r="E67" s="1"/>
      <c r="F67" s="1"/>
      <c r="G67" s="66"/>
      <c r="H67" s="1"/>
      <c r="I67" s="1"/>
      <c r="J67" s="66"/>
      <c r="K67" s="1"/>
      <c r="L67" s="1"/>
      <c r="M67" s="1"/>
      <c r="N67" s="1"/>
      <c r="O67" s="1"/>
      <c r="P67" s="1"/>
      <c r="Q67" s="1"/>
      <c r="R67" s="1"/>
      <c r="S67" s="1"/>
      <c r="T67" s="1"/>
      <c r="U67" s="1"/>
      <c r="V67" s="1"/>
      <c r="W67" s="1"/>
      <c r="X67" s="1"/>
      <c r="Y67" s="1"/>
      <c r="Z67" s="1"/>
    </row>
    <row r="68" spans="1:26" ht="12.75" customHeight="1">
      <c r="A68" s="1"/>
      <c r="B68" s="1"/>
      <c r="C68" s="1"/>
      <c r="D68" s="1"/>
      <c r="E68" s="1"/>
      <c r="F68" s="1"/>
      <c r="G68" s="66"/>
      <c r="H68" s="1"/>
      <c r="I68" s="1"/>
      <c r="J68" s="66"/>
      <c r="K68" s="1"/>
      <c r="L68" s="1"/>
      <c r="M68" s="1"/>
      <c r="N68" s="1"/>
      <c r="O68" s="1"/>
      <c r="P68" s="1"/>
      <c r="Q68" s="1"/>
      <c r="R68" s="1"/>
      <c r="S68" s="1"/>
      <c r="T68" s="1"/>
      <c r="U68" s="1"/>
      <c r="V68" s="1"/>
      <c r="W68" s="1"/>
      <c r="X68" s="1"/>
      <c r="Y68" s="1"/>
      <c r="Z68" s="1"/>
    </row>
    <row r="69" spans="1:26" ht="12.75" customHeight="1">
      <c r="A69" s="1"/>
      <c r="B69" s="1"/>
      <c r="C69" s="1"/>
      <c r="D69" s="1"/>
      <c r="E69" s="1"/>
      <c r="F69" s="1"/>
      <c r="G69" s="66"/>
      <c r="H69" s="1"/>
      <c r="I69" s="1"/>
      <c r="J69" s="66"/>
      <c r="K69" s="1"/>
      <c r="L69" s="1"/>
      <c r="M69" s="1"/>
      <c r="N69" s="1"/>
      <c r="O69" s="1"/>
      <c r="P69" s="1"/>
      <c r="Q69" s="1"/>
      <c r="R69" s="1"/>
      <c r="S69" s="1"/>
      <c r="T69" s="1"/>
      <c r="U69" s="1"/>
      <c r="V69" s="1"/>
      <c r="W69" s="1"/>
      <c r="X69" s="1"/>
      <c r="Y69" s="1"/>
      <c r="Z69" s="1"/>
    </row>
    <row r="70" spans="1:26" ht="12.75" customHeight="1">
      <c r="A70" s="1"/>
      <c r="B70" s="1"/>
      <c r="C70" s="1"/>
      <c r="D70" s="1"/>
      <c r="E70" s="1"/>
      <c r="F70" s="1"/>
      <c r="G70" s="66"/>
      <c r="H70" s="1"/>
      <c r="I70" s="1"/>
      <c r="J70" s="66"/>
      <c r="K70" s="1"/>
      <c r="L70" s="1"/>
      <c r="M70" s="1"/>
      <c r="N70" s="1"/>
      <c r="O70" s="1"/>
      <c r="P70" s="1"/>
      <c r="Q70" s="1"/>
      <c r="R70" s="1"/>
      <c r="S70" s="1"/>
      <c r="T70" s="1"/>
      <c r="U70" s="1"/>
      <c r="V70" s="1"/>
      <c r="W70" s="1"/>
      <c r="X70" s="1"/>
      <c r="Y70" s="1"/>
      <c r="Z70" s="1"/>
    </row>
    <row r="71" spans="1:26" ht="12.75" customHeight="1">
      <c r="A71" s="1"/>
      <c r="B71" s="1"/>
      <c r="C71" s="1"/>
      <c r="D71" s="1"/>
      <c r="E71" s="1"/>
      <c r="F71" s="1"/>
      <c r="G71" s="66"/>
      <c r="H71" s="1"/>
      <c r="I71" s="1"/>
      <c r="J71" s="66"/>
      <c r="K71" s="1"/>
      <c r="L71" s="1"/>
      <c r="M71" s="1"/>
      <c r="N71" s="1"/>
      <c r="O71" s="1"/>
      <c r="P71" s="1"/>
      <c r="Q71" s="1"/>
      <c r="R71" s="1"/>
      <c r="S71" s="1"/>
      <c r="T71" s="1"/>
      <c r="U71" s="1"/>
      <c r="V71" s="1"/>
      <c r="W71" s="1"/>
      <c r="X71" s="1"/>
      <c r="Y71" s="1"/>
      <c r="Z71" s="1"/>
    </row>
    <row r="72" spans="1:26" ht="12.75" customHeight="1">
      <c r="A72" s="1"/>
      <c r="B72" s="1"/>
      <c r="C72" s="1"/>
      <c r="D72" s="1"/>
      <c r="E72" s="1"/>
      <c r="F72" s="1"/>
      <c r="G72" s="66"/>
      <c r="H72" s="1"/>
      <c r="I72" s="1"/>
      <c r="J72" s="66"/>
      <c r="K72" s="1"/>
      <c r="L72" s="1"/>
      <c r="M72" s="1"/>
      <c r="N72" s="1"/>
      <c r="O72" s="1"/>
      <c r="P72" s="1"/>
      <c r="Q72" s="1"/>
      <c r="R72" s="1"/>
      <c r="S72" s="1"/>
      <c r="T72" s="1"/>
      <c r="U72" s="1"/>
      <c r="V72" s="1"/>
      <c r="W72" s="1"/>
      <c r="X72" s="1"/>
      <c r="Y72" s="1"/>
      <c r="Z72" s="1"/>
    </row>
    <row r="73" spans="1:26" ht="12.75" customHeight="1">
      <c r="A73" s="1"/>
      <c r="B73" s="1"/>
      <c r="C73" s="1"/>
      <c r="D73" s="1"/>
      <c r="E73" s="1"/>
      <c r="F73" s="1"/>
      <c r="G73" s="66"/>
      <c r="H73" s="1"/>
      <c r="I73" s="1"/>
      <c r="J73" s="66"/>
      <c r="K73" s="1"/>
      <c r="L73" s="1"/>
      <c r="M73" s="1"/>
      <c r="N73" s="1"/>
      <c r="O73" s="1"/>
      <c r="P73" s="1"/>
      <c r="Q73" s="1"/>
      <c r="R73" s="1"/>
      <c r="S73" s="1"/>
      <c r="T73" s="1"/>
      <c r="U73" s="1"/>
      <c r="V73" s="1"/>
      <c r="W73" s="1"/>
      <c r="X73" s="1"/>
      <c r="Y73" s="1"/>
      <c r="Z73" s="1"/>
    </row>
    <row r="74" spans="1:26" ht="12.75" customHeight="1">
      <c r="A74" s="1"/>
      <c r="B74" s="1"/>
      <c r="C74" s="1"/>
      <c r="D74" s="1"/>
      <c r="E74" s="1"/>
      <c r="F74" s="1"/>
      <c r="G74" s="66"/>
      <c r="H74" s="1"/>
      <c r="I74" s="1"/>
      <c r="J74" s="66"/>
      <c r="K74" s="1"/>
      <c r="L74" s="1"/>
      <c r="M74" s="1"/>
      <c r="N74" s="1"/>
      <c r="O74" s="1"/>
      <c r="P74" s="1"/>
      <c r="Q74" s="1"/>
      <c r="R74" s="1"/>
      <c r="S74" s="1"/>
      <c r="T74" s="1"/>
      <c r="U74" s="1"/>
      <c r="V74" s="1"/>
      <c r="W74" s="1"/>
      <c r="X74" s="1"/>
      <c r="Y74" s="1"/>
      <c r="Z74" s="1"/>
    </row>
    <row r="75" spans="1:26" ht="12.75" customHeight="1">
      <c r="A75" s="1"/>
      <c r="B75" s="1"/>
      <c r="C75" s="1"/>
      <c r="D75" s="1"/>
      <c r="E75" s="1"/>
      <c r="F75" s="1"/>
      <c r="G75" s="66"/>
      <c r="H75" s="1"/>
      <c r="I75" s="1"/>
      <c r="J75" s="66"/>
      <c r="K75" s="1"/>
      <c r="L75" s="1"/>
      <c r="M75" s="1"/>
      <c r="N75" s="1"/>
      <c r="O75" s="1"/>
      <c r="P75" s="1"/>
      <c r="Q75" s="1"/>
      <c r="R75" s="1"/>
      <c r="S75" s="1"/>
      <c r="T75" s="1"/>
      <c r="U75" s="1"/>
      <c r="V75" s="1"/>
      <c r="W75" s="1"/>
      <c r="X75" s="1"/>
      <c r="Y75" s="1"/>
      <c r="Z75" s="1"/>
    </row>
    <row r="76" spans="1:26" ht="12.75" customHeight="1">
      <c r="A76" s="1"/>
      <c r="B76" s="1"/>
      <c r="C76" s="1"/>
      <c r="D76" s="1"/>
      <c r="E76" s="1"/>
      <c r="F76" s="1"/>
      <c r="G76" s="66"/>
      <c r="H76" s="1"/>
      <c r="I76" s="1"/>
      <c r="J76" s="66"/>
      <c r="K76" s="1"/>
      <c r="L76" s="1"/>
      <c r="M76" s="1"/>
      <c r="N76" s="1"/>
      <c r="O76" s="1"/>
      <c r="P76" s="1"/>
      <c r="Q76" s="1"/>
      <c r="R76" s="1"/>
      <c r="S76" s="1"/>
      <c r="T76" s="1"/>
      <c r="U76" s="1"/>
      <c r="V76" s="1"/>
      <c r="W76" s="1"/>
      <c r="X76" s="1"/>
      <c r="Y76" s="1"/>
      <c r="Z76" s="1"/>
    </row>
    <row r="77" spans="1:26" ht="12.75" customHeight="1">
      <c r="A77" s="1"/>
      <c r="B77" s="1"/>
      <c r="C77" s="1"/>
      <c r="D77" s="1"/>
      <c r="E77" s="1"/>
      <c r="F77" s="1"/>
      <c r="G77" s="66"/>
      <c r="H77" s="1"/>
      <c r="I77" s="1"/>
      <c r="J77" s="66"/>
      <c r="K77" s="1"/>
      <c r="L77" s="1"/>
      <c r="M77" s="1"/>
      <c r="N77" s="1"/>
      <c r="O77" s="1"/>
      <c r="P77" s="1"/>
      <c r="Q77" s="1"/>
      <c r="R77" s="1"/>
      <c r="S77" s="1"/>
      <c r="T77" s="1"/>
      <c r="U77" s="1"/>
      <c r="V77" s="1"/>
      <c r="W77" s="1"/>
      <c r="X77" s="1"/>
      <c r="Y77" s="1"/>
      <c r="Z77" s="1"/>
    </row>
    <row r="78" spans="1:26" ht="12.75" customHeight="1">
      <c r="A78" s="1"/>
      <c r="B78" s="1"/>
      <c r="C78" s="1"/>
      <c r="D78" s="1"/>
      <c r="E78" s="1"/>
      <c r="F78" s="1"/>
      <c r="G78" s="66"/>
      <c r="H78" s="1"/>
      <c r="I78" s="1"/>
      <c r="J78" s="66"/>
      <c r="K78" s="1"/>
      <c r="L78" s="1"/>
      <c r="M78" s="1"/>
      <c r="N78" s="1"/>
      <c r="O78" s="1"/>
      <c r="P78" s="1"/>
      <c r="Q78" s="1"/>
      <c r="R78" s="1"/>
      <c r="S78" s="1"/>
      <c r="T78" s="1"/>
      <c r="U78" s="1"/>
      <c r="V78" s="1"/>
      <c r="W78" s="1"/>
      <c r="X78" s="1"/>
      <c r="Y78" s="1"/>
      <c r="Z78" s="1"/>
    </row>
    <row r="79" spans="1:26" ht="12.75" customHeight="1">
      <c r="A79" s="1"/>
      <c r="B79" s="1"/>
      <c r="C79" s="1"/>
      <c r="D79" s="1"/>
      <c r="E79" s="1"/>
      <c r="F79" s="1"/>
      <c r="G79" s="66"/>
      <c r="H79" s="1"/>
      <c r="I79" s="1"/>
      <c r="J79" s="66"/>
      <c r="K79" s="1"/>
      <c r="L79" s="1"/>
      <c r="M79" s="1"/>
      <c r="N79" s="1"/>
      <c r="O79" s="1"/>
      <c r="P79" s="1"/>
      <c r="Q79" s="1"/>
      <c r="R79" s="1"/>
      <c r="S79" s="1"/>
      <c r="T79" s="1"/>
      <c r="U79" s="1"/>
      <c r="V79" s="1"/>
      <c r="W79" s="1"/>
      <c r="X79" s="1"/>
      <c r="Y79" s="1"/>
      <c r="Z79" s="1"/>
    </row>
    <row r="80" spans="1:26" ht="12.75" customHeight="1">
      <c r="A80" s="1"/>
      <c r="B80" s="1"/>
      <c r="C80" s="1"/>
      <c r="D80" s="1"/>
      <c r="E80" s="1"/>
      <c r="F80" s="1"/>
      <c r="G80" s="66"/>
      <c r="H80" s="1"/>
      <c r="I80" s="1"/>
      <c r="J80" s="66"/>
      <c r="K80" s="1"/>
      <c r="L80" s="1"/>
      <c r="M80" s="1"/>
      <c r="N80" s="1"/>
      <c r="O80" s="1"/>
      <c r="P80" s="1"/>
      <c r="Q80" s="1"/>
      <c r="R80" s="1"/>
      <c r="S80" s="1"/>
      <c r="T80" s="1"/>
      <c r="U80" s="1"/>
      <c r="V80" s="1"/>
      <c r="W80" s="1"/>
      <c r="X80" s="1"/>
      <c r="Y80" s="1"/>
      <c r="Z80" s="1"/>
    </row>
    <row r="81" spans="1:26" ht="12.75" customHeight="1">
      <c r="A81" s="1"/>
      <c r="B81" s="1"/>
      <c r="C81" s="1"/>
      <c r="D81" s="1"/>
      <c r="E81" s="1"/>
      <c r="F81" s="1"/>
      <c r="G81" s="66"/>
      <c r="H81" s="1"/>
      <c r="I81" s="1"/>
      <c r="J81" s="66"/>
      <c r="K81" s="1"/>
      <c r="L81" s="1"/>
      <c r="M81" s="1"/>
      <c r="N81" s="1"/>
      <c r="O81" s="1"/>
      <c r="P81" s="1"/>
      <c r="Q81" s="1"/>
      <c r="R81" s="1"/>
      <c r="S81" s="1"/>
      <c r="T81" s="1"/>
      <c r="U81" s="1"/>
      <c r="V81" s="1"/>
      <c r="W81" s="1"/>
      <c r="X81" s="1"/>
      <c r="Y81" s="1"/>
      <c r="Z81" s="1"/>
    </row>
    <row r="82" spans="1:26" ht="12.75" customHeight="1">
      <c r="A82" s="1"/>
      <c r="B82" s="1"/>
      <c r="C82" s="1"/>
      <c r="D82" s="1"/>
      <c r="E82" s="1"/>
      <c r="F82" s="1"/>
      <c r="G82" s="66"/>
      <c r="H82" s="1"/>
      <c r="I82" s="1"/>
      <c r="J82" s="66"/>
      <c r="K82" s="1"/>
      <c r="L82" s="1"/>
      <c r="M82" s="1"/>
      <c r="N82" s="1"/>
      <c r="O82" s="1"/>
      <c r="P82" s="1"/>
      <c r="Q82" s="1"/>
      <c r="R82" s="1"/>
      <c r="S82" s="1"/>
      <c r="T82" s="1"/>
      <c r="U82" s="1"/>
      <c r="V82" s="1"/>
      <c r="W82" s="1"/>
      <c r="X82" s="1"/>
      <c r="Y82" s="1"/>
      <c r="Z82" s="1"/>
    </row>
    <row r="83" spans="1:26" ht="12.75" customHeight="1">
      <c r="A83" s="1"/>
      <c r="B83" s="1"/>
      <c r="C83" s="1"/>
      <c r="D83" s="1"/>
      <c r="E83" s="1"/>
      <c r="F83" s="1"/>
      <c r="G83" s="66"/>
      <c r="H83" s="1"/>
      <c r="I83" s="1"/>
      <c r="J83" s="66"/>
      <c r="K83" s="1"/>
      <c r="L83" s="1"/>
      <c r="M83" s="1"/>
      <c r="N83" s="1"/>
      <c r="O83" s="1"/>
      <c r="P83" s="1"/>
      <c r="Q83" s="1"/>
      <c r="R83" s="1"/>
      <c r="S83" s="1"/>
      <c r="T83" s="1"/>
      <c r="U83" s="1"/>
      <c r="V83" s="1"/>
      <c r="W83" s="1"/>
      <c r="X83" s="1"/>
      <c r="Y83" s="1"/>
      <c r="Z83" s="1"/>
    </row>
    <row r="84" spans="1:26" ht="12.75" customHeight="1">
      <c r="A84" s="1"/>
      <c r="B84" s="1"/>
      <c r="C84" s="1"/>
      <c r="D84" s="1"/>
      <c r="E84" s="1"/>
      <c r="F84" s="1"/>
      <c r="G84" s="66"/>
      <c r="H84" s="1"/>
      <c r="I84" s="1"/>
      <c r="J84" s="66"/>
      <c r="K84" s="1"/>
      <c r="L84" s="1"/>
      <c r="M84" s="1"/>
      <c r="N84" s="1"/>
      <c r="O84" s="1"/>
      <c r="P84" s="1"/>
      <c r="Q84" s="1"/>
      <c r="R84" s="1"/>
      <c r="S84" s="1"/>
      <c r="T84" s="1"/>
      <c r="U84" s="1"/>
      <c r="V84" s="1"/>
      <c r="W84" s="1"/>
      <c r="X84" s="1"/>
      <c r="Y84" s="1"/>
      <c r="Z84" s="1"/>
    </row>
    <row r="85" spans="1:26" ht="12.75" customHeight="1">
      <c r="A85" s="1"/>
      <c r="B85" s="1"/>
      <c r="C85" s="1"/>
      <c r="D85" s="1"/>
      <c r="E85" s="1"/>
      <c r="F85" s="1"/>
      <c r="G85" s="66"/>
      <c r="H85" s="1"/>
      <c r="I85" s="1"/>
      <c r="J85" s="66"/>
      <c r="K85" s="1"/>
      <c r="L85" s="1"/>
      <c r="M85" s="1"/>
      <c r="N85" s="1"/>
      <c r="O85" s="1"/>
      <c r="P85" s="1"/>
      <c r="Q85" s="1"/>
      <c r="R85" s="1"/>
      <c r="S85" s="1"/>
      <c r="T85" s="1"/>
      <c r="U85" s="1"/>
      <c r="V85" s="1"/>
      <c r="W85" s="1"/>
      <c r="X85" s="1"/>
      <c r="Y85" s="1"/>
      <c r="Z85" s="1"/>
    </row>
    <row r="86" spans="1:26" ht="12.75" customHeight="1">
      <c r="A86" s="1"/>
      <c r="B86" s="1"/>
      <c r="C86" s="1"/>
      <c r="D86" s="1"/>
      <c r="E86" s="1"/>
      <c r="F86" s="1"/>
      <c r="G86" s="66"/>
      <c r="H86" s="1"/>
      <c r="I86" s="1"/>
      <c r="J86" s="66"/>
      <c r="K86" s="1"/>
      <c r="L86" s="1"/>
      <c r="M86" s="1"/>
      <c r="N86" s="1"/>
      <c r="O86" s="1"/>
      <c r="P86" s="1"/>
      <c r="Q86" s="1"/>
      <c r="R86" s="1"/>
      <c r="S86" s="1"/>
      <c r="T86" s="1"/>
      <c r="U86" s="1"/>
      <c r="V86" s="1"/>
      <c r="W86" s="1"/>
      <c r="X86" s="1"/>
      <c r="Y86" s="1"/>
      <c r="Z86" s="1"/>
    </row>
    <row r="87" spans="1:26" ht="12.75" customHeight="1">
      <c r="A87" s="1"/>
      <c r="B87" s="1"/>
      <c r="C87" s="1"/>
      <c r="D87" s="1"/>
      <c r="E87" s="1"/>
      <c r="F87" s="1"/>
      <c r="G87" s="66"/>
      <c r="H87" s="1"/>
      <c r="I87" s="1"/>
      <c r="J87" s="66"/>
      <c r="K87" s="1"/>
      <c r="L87" s="1"/>
      <c r="M87" s="1"/>
      <c r="N87" s="1"/>
      <c r="O87" s="1"/>
      <c r="P87" s="1"/>
      <c r="Q87" s="1"/>
      <c r="R87" s="1"/>
      <c r="S87" s="1"/>
      <c r="T87" s="1"/>
      <c r="U87" s="1"/>
      <c r="V87" s="1"/>
      <c r="W87" s="1"/>
      <c r="X87" s="1"/>
      <c r="Y87" s="1"/>
      <c r="Z87" s="1"/>
    </row>
    <row r="88" spans="1:26" ht="12.75" customHeight="1">
      <c r="A88" s="1"/>
      <c r="B88" s="1"/>
      <c r="C88" s="1"/>
      <c r="D88" s="1"/>
      <c r="E88" s="1"/>
      <c r="F88" s="1"/>
      <c r="G88" s="66"/>
      <c r="H88" s="1"/>
      <c r="I88" s="1"/>
      <c r="J88" s="66"/>
      <c r="K88" s="1"/>
      <c r="L88" s="1"/>
      <c r="M88" s="1"/>
      <c r="N88" s="1"/>
      <c r="O88" s="1"/>
      <c r="P88" s="1"/>
      <c r="Q88" s="1"/>
      <c r="R88" s="1"/>
      <c r="S88" s="1"/>
      <c r="T88" s="1"/>
      <c r="U88" s="1"/>
      <c r="V88" s="1"/>
      <c r="W88" s="1"/>
      <c r="X88" s="1"/>
      <c r="Y88" s="1"/>
      <c r="Z88" s="1"/>
    </row>
    <row r="89" spans="1:26" ht="12.75" customHeight="1">
      <c r="A89" s="1"/>
      <c r="B89" s="1"/>
      <c r="C89" s="1"/>
      <c r="D89" s="1"/>
      <c r="E89" s="1"/>
      <c r="F89" s="1"/>
      <c r="G89" s="66"/>
      <c r="H89" s="1"/>
      <c r="I89" s="1"/>
      <c r="J89" s="66"/>
      <c r="K89" s="1"/>
      <c r="L89" s="1"/>
      <c r="M89" s="1"/>
      <c r="N89" s="1"/>
      <c r="O89" s="1"/>
      <c r="P89" s="1"/>
      <c r="Q89" s="1"/>
      <c r="R89" s="1"/>
      <c r="S89" s="1"/>
      <c r="T89" s="1"/>
      <c r="U89" s="1"/>
      <c r="V89" s="1"/>
      <c r="W89" s="1"/>
      <c r="X89" s="1"/>
      <c r="Y89" s="1"/>
      <c r="Z89" s="1"/>
    </row>
    <row r="90" spans="1:26" ht="12.75" customHeight="1">
      <c r="A90" s="1"/>
      <c r="B90" s="1"/>
      <c r="C90" s="1"/>
      <c r="D90" s="1"/>
      <c r="E90" s="1"/>
      <c r="F90" s="1"/>
      <c r="G90" s="66"/>
      <c r="H90" s="1"/>
      <c r="I90" s="1"/>
      <c r="J90" s="66"/>
      <c r="K90" s="1"/>
      <c r="L90" s="1"/>
      <c r="M90" s="1"/>
      <c r="N90" s="1"/>
      <c r="O90" s="1"/>
      <c r="P90" s="1"/>
      <c r="Q90" s="1"/>
      <c r="R90" s="1"/>
      <c r="S90" s="1"/>
      <c r="T90" s="1"/>
      <c r="U90" s="1"/>
      <c r="V90" s="1"/>
      <c r="W90" s="1"/>
      <c r="X90" s="1"/>
      <c r="Y90" s="1"/>
      <c r="Z90" s="1"/>
    </row>
    <row r="91" spans="1:26" ht="12.75" customHeight="1">
      <c r="A91" s="1"/>
      <c r="B91" s="1"/>
      <c r="C91" s="1"/>
      <c r="D91" s="1"/>
      <c r="E91" s="1"/>
      <c r="F91" s="1"/>
      <c r="G91" s="66"/>
      <c r="H91" s="1"/>
      <c r="I91" s="1"/>
      <c r="J91" s="66"/>
      <c r="K91" s="1"/>
      <c r="L91" s="1"/>
      <c r="M91" s="1"/>
      <c r="N91" s="1"/>
      <c r="O91" s="1"/>
      <c r="P91" s="1"/>
      <c r="Q91" s="1"/>
      <c r="R91" s="1"/>
      <c r="S91" s="1"/>
      <c r="T91" s="1"/>
      <c r="U91" s="1"/>
      <c r="V91" s="1"/>
      <c r="W91" s="1"/>
      <c r="X91" s="1"/>
      <c r="Y91" s="1"/>
      <c r="Z91" s="1"/>
    </row>
    <row r="92" spans="1:26" ht="12.75" customHeight="1">
      <c r="A92" s="1"/>
      <c r="B92" s="1"/>
      <c r="C92" s="1"/>
      <c r="D92" s="1"/>
      <c r="E92" s="1"/>
      <c r="F92" s="1"/>
      <c r="G92" s="66"/>
      <c r="H92" s="1"/>
      <c r="I92" s="1"/>
      <c r="J92" s="66"/>
      <c r="K92" s="1"/>
      <c r="L92" s="1"/>
      <c r="M92" s="1"/>
      <c r="N92" s="1"/>
      <c r="O92" s="1"/>
      <c r="P92" s="1"/>
      <c r="Q92" s="1"/>
      <c r="R92" s="1"/>
      <c r="S92" s="1"/>
      <c r="T92" s="1"/>
      <c r="U92" s="1"/>
      <c r="V92" s="1"/>
      <c r="W92" s="1"/>
      <c r="X92" s="1"/>
      <c r="Y92" s="1"/>
      <c r="Z92" s="1"/>
    </row>
    <row r="93" spans="1:26" ht="12.75" customHeight="1">
      <c r="A93" s="1"/>
      <c r="B93" s="1"/>
      <c r="C93" s="1"/>
      <c r="D93" s="1"/>
      <c r="E93" s="1"/>
      <c r="F93" s="1"/>
      <c r="G93" s="66"/>
      <c r="H93" s="1"/>
      <c r="I93" s="1"/>
      <c r="J93" s="66"/>
      <c r="K93" s="1"/>
      <c r="L93" s="1"/>
      <c r="M93" s="1"/>
      <c r="N93" s="1"/>
      <c r="O93" s="1"/>
      <c r="P93" s="1"/>
      <c r="Q93" s="1"/>
      <c r="R93" s="1"/>
      <c r="S93" s="1"/>
      <c r="T93" s="1"/>
      <c r="U93" s="1"/>
      <c r="V93" s="1"/>
      <c r="W93" s="1"/>
      <c r="X93" s="1"/>
      <c r="Y93" s="1"/>
      <c r="Z93" s="1"/>
    </row>
    <row r="94" spans="1:26" ht="12.75" customHeight="1">
      <c r="A94" s="1"/>
      <c r="B94" s="1"/>
      <c r="C94" s="1"/>
      <c r="D94" s="1"/>
      <c r="E94" s="1"/>
      <c r="F94" s="1"/>
      <c r="G94" s="66"/>
      <c r="H94" s="1"/>
      <c r="I94" s="1"/>
      <c r="J94" s="66"/>
      <c r="K94" s="1"/>
      <c r="L94" s="1"/>
      <c r="M94" s="1"/>
      <c r="N94" s="1"/>
      <c r="O94" s="1"/>
      <c r="P94" s="1"/>
      <c r="Q94" s="1"/>
      <c r="R94" s="1"/>
      <c r="S94" s="1"/>
      <c r="T94" s="1"/>
      <c r="U94" s="1"/>
      <c r="V94" s="1"/>
      <c r="W94" s="1"/>
      <c r="X94" s="1"/>
      <c r="Y94" s="1"/>
      <c r="Z94" s="1"/>
    </row>
    <row r="95" spans="1:26" ht="12.75" customHeight="1">
      <c r="A95" s="1"/>
      <c r="B95" s="1"/>
      <c r="C95" s="1"/>
      <c r="D95" s="1"/>
      <c r="E95" s="1"/>
      <c r="F95" s="1"/>
      <c r="G95" s="66"/>
      <c r="H95" s="1"/>
      <c r="I95" s="1"/>
      <c r="J95" s="66"/>
      <c r="K95" s="1"/>
      <c r="L95" s="1"/>
      <c r="M95" s="1"/>
      <c r="N95" s="1"/>
      <c r="O95" s="1"/>
      <c r="P95" s="1"/>
      <c r="Q95" s="1"/>
      <c r="R95" s="1"/>
      <c r="S95" s="1"/>
      <c r="T95" s="1"/>
      <c r="U95" s="1"/>
      <c r="V95" s="1"/>
      <c r="W95" s="1"/>
      <c r="X95" s="1"/>
      <c r="Y95" s="1"/>
      <c r="Z95" s="1"/>
    </row>
    <row r="96" spans="1:26" ht="12.75" customHeight="1">
      <c r="A96" s="1"/>
      <c r="B96" s="1"/>
      <c r="C96" s="1"/>
      <c r="D96" s="1"/>
      <c r="E96" s="1"/>
      <c r="F96" s="1"/>
      <c r="G96" s="66"/>
      <c r="H96" s="1"/>
      <c r="I96" s="1"/>
      <c r="J96" s="66"/>
      <c r="K96" s="1"/>
      <c r="L96" s="1"/>
      <c r="M96" s="1"/>
      <c r="N96" s="1"/>
      <c r="O96" s="1"/>
      <c r="P96" s="1"/>
      <c r="Q96" s="1"/>
      <c r="R96" s="1"/>
      <c r="S96" s="1"/>
      <c r="T96" s="1"/>
      <c r="U96" s="1"/>
      <c r="V96" s="1"/>
      <c r="W96" s="1"/>
      <c r="X96" s="1"/>
      <c r="Y96" s="1"/>
      <c r="Z96" s="1"/>
    </row>
    <row r="97" spans="1:26" ht="12.75" customHeight="1">
      <c r="A97" s="1"/>
      <c r="B97" s="1"/>
      <c r="C97" s="1"/>
      <c r="D97" s="1"/>
      <c r="E97" s="1"/>
      <c r="F97" s="1"/>
      <c r="G97" s="66"/>
      <c r="H97" s="1"/>
      <c r="I97" s="1"/>
      <c r="J97" s="66"/>
      <c r="K97" s="1"/>
      <c r="L97" s="1"/>
      <c r="M97" s="1"/>
      <c r="N97" s="1"/>
      <c r="O97" s="1"/>
      <c r="P97" s="1"/>
      <c r="Q97" s="1"/>
      <c r="R97" s="1"/>
      <c r="S97" s="1"/>
      <c r="T97" s="1"/>
      <c r="U97" s="1"/>
      <c r="V97" s="1"/>
      <c r="W97" s="1"/>
      <c r="X97" s="1"/>
      <c r="Y97" s="1"/>
      <c r="Z97" s="1"/>
    </row>
    <row r="98" spans="1:26" ht="12.75" customHeight="1">
      <c r="A98" s="1"/>
      <c r="B98" s="1"/>
      <c r="C98" s="1"/>
      <c r="D98" s="1"/>
      <c r="E98" s="1"/>
      <c r="F98" s="1"/>
      <c r="G98" s="66"/>
      <c r="H98" s="1"/>
      <c r="I98" s="1"/>
      <c r="J98" s="66"/>
      <c r="K98" s="1"/>
      <c r="L98" s="1"/>
      <c r="M98" s="1"/>
      <c r="N98" s="1"/>
      <c r="O98" s="1"/>
      <c r="P98" s="1"/>
      <c r="Q98" s="1"/>
      <c r="R98" s="1"/>
      <c r="S98" s="1"/>
      <c r="T98" s="1"/>
      <c r="U98" s="1"/>
      <c r="V98" s="1"/>
      <c r="W98" s="1"/>
      <c r="X98" s="1"/>
      <c r="Y98" s="1"/>
      <c r="Z98" s="1"/>
    </row>
    <row r="99" spans="1:26" ht="12.75" customHeight="1">
      <c r="A99" s="1"/>
      <c r="B99" s="1"/>
      <c r="C99" s="1"/>
      <c r="D99" s="1"/>
      <c r="E99" s="1"/>
      <c r="F99" s="1"/>
      <c r="G99" s="66"/>
      <c r="H99" s="1"/>
      <c r="I99" s="1"/>
      <c r="J99" s="66"/>
      <c r="K99" s="1"/>
      <c r="L99" s="1"/>
      <c r="M99" s="1"/>
      <c r="N99" s="1"/>
      <c r="O99" s="1"/>
      <c r="P99" s="1"/>
      <c r="Q99" s="1"/>
      <c r="R99" s="1"/>
      <c r="S99" s="1"/>
      <c r="T99" s="1"/>
      <c r="U99" s="1"/>
      <c r="V99" s="1"/>
      <c r="W99" s="1"/>
      <c r="X99" s="1"/>
      <c r="Y99" s="1"/>
      <c r="Z99" s="1"/>
    </row>
    <row r="100" spans="1:26" ht="12.75" customHeight="1">
      <c r="A100" s="1"/>
      <c r="B100" s="1"/>
      <c r="C100" s="1"/>
      <c r="D100" s="1"/>
      <c r="E100" s="1"/>
      <c r="F100" s="1"/>
      <c r="G100" s="66"/>
      <c r="H100" s="1"/>
      <c r="I100" s="1"/>
      <c r="J100" s="66"/>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66"/>
      <c r="H101" s="1"/>
      <c r="I101" s="1"/>
      <c r="J101" s="66"/>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66"/>
      <c r="H102" s="1"/>
      <c r="I102" s="1"/>
      <c r="J102" s="66"/>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66"/>
      <c r="H103" s="1"/>
      <c r="I103" s="1"/>
      <c r="J103" s="66"/>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66"/>
      <c r="H104" s="1"/>
      <c r="I104" s="1"/>
      <c r="J104" s="66"/>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66"/>
      <c r="H105" s="1"/>
      <c r="I105" s="1"/>
      <c r="J105" s="66"/>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66"/>
      <c r="H106" s="1"/>
      <c r="I106" s="1"/>
      <c r="J106" s="66"/>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66"/>
      <c r="H107" s="1"/>
      <c r="I107" s="1"/>
      <c r="J107" s="66"/>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66"/>
      <c r="H108" s="1"/>
      <c r="I108" s="1"/>
      <c r="J108" s="66"/>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66"/>
      <c r="H109" s="1"/>
      <c r="I109" s="1"/>
      <c r="J109" s="66"/>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66"/>
      <c r="H110" s="1"/>
      <c r="I110" s="1"/>
      <c r="J110" s="66"/>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66"/>
      <c r="H111" s="1"/>
      <c r="I111" s="1"/>
      <c r="J111" s="66"/>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66"/>
      <c r="H112" s="1"/>
      <c r="I112" s="1"/>
      <c r="J112" s="66"/>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66"/>
      <c r="H113" s="1"/>
      <c r="I113" s="1"/>
      <c r="J113" s="66"/>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66"/>
      <c r="H114" s="1"/>
      <c r="I114" s="1"/>
      <c r="J114" s="66"/>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66"/>
      <c r="H115" s="1"/>
      <c r="I115" s="1"/>
      <c r="J115" s="66"/>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66"/>
      <c r="H116" s="1"/>
      <c r="I116" s="1"/>
      <c r="J116" s="66"/>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66"/>
      <c r="H117" s="1"/>
      <c r="I117" s="1"/>
      <c r="J117" s="66"/>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66"/>
      <c r="H118" s="1"/>
      <c r="I118" s="1"/>
      <c r="J118" s="66"/>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66"/>
      <c r="H119" s="1"/>
      <c r="I119" s="1"/>
      <c r="J119" s="66"/>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66"/>
      <c r="H120" s="1"/>
      <c r="I120" s="1"/>
      <c r="J120" s="66"/>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66"/>
      <c r="H121" s="1"/>
      <c r="I121" s="1"/>
      <c r="J121" s="66"/>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66"/>
      <c r="H122" s="1"/>
      <c r="I122" s="1"/>
      <c r="J122" s="66"/>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66"/>
      <c r="H123" s="1"/>
      <c r="I123" s="1"/>
      <c r="J123" s="66"/>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66"/>
      <c r="H124" s="1"/>
      <c r="I124" s="1"/>
      <c r="J124" s="66"/>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66"/>
      <c r="H125" s="1"/>
      <c r="I125" s="1"/>
      <c r="J125" s="66"/>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66"/>
      <c r="H126" s="1"/>
      <c r="I126" s="1"/>
      <c r="J126" s="66"/>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66"/>
      <c r="H127" s="1"/>
      <c r="I127" s="1"/>
      <c r="J127" s="66"/>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66"/>
      <c r="H128" s="1"/>
      <c r="I128" s="1"/>
      <c r="J128" s="66"/>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66"/>
      <c r="H129" s="1"/>
      <c r="I129" s="1"/>
      <c r="J129" s="66"/>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66"/>
      <c r="H130" s="1"/>
      <c r="I130" s="1"/>
      <c r="J130" s="66"/>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66"/>
      <c r="H131" s="1"/>
      <c r="I131" s="1"/>
      <c r="J131" s="66"/>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66"/>
      <c r="H132" s="1"/>
      <c r="I132" s="1"/>
      <c r="J132" s="66"/>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66"/>
      <c r="H133" s="1"/>
      <c r="I133" s="1"/>
      <c r="J133" s="66"/>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66"/>
      <c r="H134" s="1"/>
      <c r="I134" s="1"/>
      <c r="J134" s="66"/>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66"/>
      <c r="H135" s="1"/>
      <c r="I135" s="1"/>
      <c r="J135" s="66"/>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66"/>
      <c r="H136" s="1"/>
      <c r="I136" s="1"/>
      <c r="J136" s="66"/>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66"/>
      <c r="H137" s="1"/>
      <c r="I137" s="1"/>
      <c r="J137" s="66"/>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66"/>
      <c r="H138" s="1"/>
      <c r="I138" s="1"/>
      <c r="J138" s="66"/>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66"/>
      <c r="H139" s="1"/>
      <c r="I139" s="1"/>
      <c r="J139" s="66"/>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66"/>
      <c r="H140" s="1"/>
      <c r="I140" s="1"/>
      <c r="J140" s="66"/>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66"/>
      <c r="H141" s="1"/>
      <c r="I141" s="1"/>
      <c r="J141" s="66"/>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66"/>
      <c r="H142" s="1"/>
      <c r="I142" s="1"/>
      <c r="J142" s="66"/>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66"/>
      <c r="H143" s="1"/>
      <c r="I143" s="1"/>
      <c r="J143" s="66"/>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66"/>
      <c r="H144" s="1"/>
      <c r="I144" s="1"/>
      <c r="J144" s="66"/>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66"/>
      <c r="H145" s="1"/>
      <c r="I145" s="1"/>
      <c r="J145" s="66"/>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66"/>
      <c r="H146" s="1"/>
      <c r="I146" s="1"/>
      <c r="J146" s="66"/>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66"/>
      <c r="H147" s="1"/>
      <c r="I147" s="1"/>
      <c r="J147" s="66"/>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66"/>
      <c r="H148" s="1"/>
      <c r="I148" s="1"/>
      <c r="J148" s="66"/>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66"/>
      <c r="H149" s="1"/>
      <c r="I149" s="1"/>
      <c r="J149" s="66"/>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66"/>
      <c r="H150" s="1"/>
      <c r="I150" s="1"/>
      <c r="J150" s="66"/>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66"/>
      <c r="H151" s="1"/>
      <c r="I151" s="1"/>
      <c r="J151" s="66"/>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66"/>
      <c r="H152" s="1"/>
      <c r="I152" s="1"/>
      <c r="J152" s="66"/>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66"/>
      <c r="H153" s="1"/>
      <c r="I153" s="1"/>
      <c r="J153" s="66"/>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66"/>
      <c r="H154" s="1"/>
      <c r="I154" s="1"/>
      <c r="J154" s="66"/>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66"/>
      <c r="H155" s="1"/>
      <c r="I155" s="1"/>
      <c r="J155" s="66"/>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66"/>
      <c r="H156" s="1"/>
      <c r="I156" s="1"/>
      <c r="J156" s="66"/>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66"/>
      <c r="H157" s="1"/>
      <c r="I157" s="1"/>
      <c r="J157" s="66"/>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66"/>
      <c r="H158" s="1"/>
      <c r="I158" s="1"/>
      <c r="J158" s="66"/>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66"/>
      <c r="H159" s="1"/>
      <c r="I159" s="1"/>
      <c r="J159" s="66"/>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66"/>
      <c r="H160" s="1"/>
      <c r="I160" s="1"/>
      <c r="J160" s="66"/>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66"/>
      <c r="H161" s="1"/>
      <c r="I161" s="1"/>
      <c r="J161" s="66"/>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66"/>
      <c r="H162" s="1"/>
      <c r="I162" s="1"/>
      <c r="J162" s="66"/>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66"/>
      <c r="H163" s="1"/>
      <c r="I163" s="1"/>
      <c r="J163" s="66"/>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66"/>
      <c r="H164" s="1"/>
      <c r="I164" s="1"/>
      <c r="J164" s="66"/>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66"/>
      <c r="H165" s="1"/>
      <c r="I165" s="1"/>
      <c r="J165" s="66"/>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66"/>
      <c r="H166" s="1"/>
      <c r="I166" s="1"/>
      <c r="J166" s="66"/>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66"/>
      <c r="H167" s="1"/>
      <c r="I167" s="1"/>
      <c r="J167" s="66"/>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66"/>
      <c r="H168" s="1"/>
      <c r="I168" s="1"/>
      <c r="J168" s="66"/>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66"/>
      <c r="H169" s="1"/>
      <c r="I169" s="1"/>
      <c r="J169" s="66"/>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66"/>
      <c r="H170" s="1"/>
      <c r="I170" s="1"/>
      <c r="J170" s="66"/>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66"/>
      <c r="H171" s="1"/>
      <c r="I171" s="1"/>
      <c r="J171" s="66"/>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66"/>
      <c r="H172" s="1"/>
      <c r="I172" s="1"/>
      <c r="J172" s="66"/>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66"/>
      <c r="H173" s="1"/>
      <c r="I173" s="1"/>
      <c r="J173" s="66"/>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66"/>
      <c r="H174" s="1"/>
      <c r="I174" s="1"/>
      <c r="J174" s="66"/>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66"/>
      <c r="H175" s="1"/>
      <c r="I175" s="1"/>
      <c r="J175" s="66"/>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66"/>
      <c r="H176" s="1"/>
      <c r="I176" s="1"/>
      <c r="J176" s="66"/>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66"/>
      <c r="H177" s="1"/>
      <c r="I177" s="1"/>
      <c r="J177" s="66"/>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66"/>
      <c r="H178" s="1"/>
      <c r="I178" s="1"/>
      <c r="J178" s="66"/>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66"/>
      <c r="H179" s="1"/>
      <c r="I179" s="1"/>
      <c r="J179" s="66"/>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66"/>
      <c r="H180" s="1"/>
      <c r="I180" s="1"/>
      <c r="J180" s="66"/>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66"/>
      <c r="H181" s="1"/>
      <c r="I181" s="1"/>
      <c r="J181" s="66"/>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66"/>
      <c r="H182" s="1"/>
      <c r="I182" s="1"/>
      <c r="J182" s="66"/>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66"/>
      <c r="H183" s="1"/>
      <c r="I183" s="1"/>
      <c r="J183" s="66"/>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66"/>
      <c r="H184" s="1"/>
      <c r="I184" s="1"/>
      <c r="J184" s="66"/>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66"/>
      <c r="H185" s="1"/>
      <c r="I185" s="1"/>
      <c r="J185" s="66"/>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66"/>
      <c r="H186" s="1"/>
      <c r="I186" s="1"/>
      <c r="J186" s="66"/>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66"/>
      <c r="H187" s="1"/>
      <c r="I187" s="1"/>
      <c r="J187" s="66"/>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66"/>
      <c r="H188" s="1"/>
      <c r="I188" s="1"/>
      <c r="J188" s="66"/>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66"/>
      <c r="H189" s="1"/>
      <c r="I189" s="1"/>
      <c r="J189" s="66"/>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66"/>
      <c r="H190" s="1"/>
      <c r="I190" s="1"/>
      <c r="J190" s="66"/>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66"/>
      <c r="H191" s="1"/>
      <c r="I191" s="1"/>
      <c r="J191" s="66"/>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66"/>
      <c r="H192" s="1"/>
      <c r="I192" s="1"/>
      <c r="J192" s="66"/>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66"/>
      <c r="H193" s="1"/>
      <c r="I193" s="1"/>
      <c r="J193" s="66"/>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66"/>
      <c r="H194" s="1"/>
      <c r="I194" s="1"/>
      <c r="J194" s="66"/>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66"/>
      <c r="H195" s="1"/>
      <c r="I195" s="1"/>
      <c r="J195" s="66"/>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66"/>
      <c r="H196" s="1"/>
      <c r="I196" s="1"/>
      <c r="J196" s="66"/>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66"/>
      <c r="H197" s="1"/>
      <c r="I197" s="1"/>
      <c r="J197" s="66"/>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66"/>
      <c r="H198" s="1"/>
      <c r="I198" s="1"/>
      <c r="J198" s="66"/>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66"/>
      <c r="H199" s="1"/>
      <c r="I199" s="1"/>
      <c r="J199" s="66"/>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66"/>
      <c r="H200" s="1"/>
      <c r="I200" s="1"/>
      <c r="J200" s="66"/>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66"/>
      <c r="H201" s="1"/>
      <c r="I201" s="1"/>
      <c r="J201" s="66"/>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66"/>
      <c r="H202" s="1"/>
      <c r="I202" s="1"/>
      <c r="J202" s="66"/>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66"/>
      <c r="H203" s="1"/>
      <c r="I203" s="1"/>
      <c r="J203" s="66"/>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66"/>
      <c r="H204" s="1"/>
      <c r="I204" s="1"/>
      <c r="J204" s="66"/>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66"/>
      <c r="H205" s="1"/>
      <c r="I205" s="1"/>
      <c r="J205" s="66"/>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66"/>
      <c r="H206" s="1"/>
      <c r="I206" s="1"/>
      <c r="J206" s="66"/>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66"/>
      <c r="H207" s="1"/>
      <c r="I207" s="1"/>
      <c r="J207" s="66"/>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66"/>
      <c r="H208" s="1"/>
      <c r="I208" s="1"/>
      <c r="J208" s="66"/>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66"/>
      <c r="H209" s="1"/>
      <c r="I209" s="1"/>
      <c r="J209" s="66"/>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66"/>
      <c r="H210" s="1"/>
      <c r="I210" s="1"/>
      <c r="J210" s="66"/>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66"/>
      <c r="H211" s="1"/>
      <c r="I211" s="1"/>
      <c r="J211" s="66"/>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66"/>
      <c r="H212" s="1"/>
      <c r="I212" s="1"/>
      <c r="J212" s="66"/>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66"/>
      <c r="H213" s="1"/>
      <c r="I213" s="1"/>
      <c r="J213" s="66"/>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66"/>
      <c r="H214" s="1"/>
      <c r="I214" s="1"/>
      <c r="J214" s="66"/>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66"/>
      <c r="H215" s="1"/>
      <c r="I215" s="1"/>
      <c r="J215" s="66"/>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66"/>
      <c r="H216" s="1"/>
      <c r="I216" s="1"/>
      <c r="J216" s="66"/>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66"/>
      <c r="H217" s="1"/>
      <c r="I217" s="1"/>
      <c r="J217" s="66"/>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66"/>
      <c r="H218" s="1"/>
      <c r="I218" s="1"/>
      <c r="J218" s="66"/>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66"/>
      <c r="H219" s="1"/>
      <c r="I219" s="1"/>
      <c r="J219" s="66"/>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66"/>
      <c r="H220" s="1"/>
      <c r="I220" s="1"/>
      <c r="J220" s="66"/>
      <c r="K220" s="1"/>
      <c r="L220" s="1"/>
      <c r="M220" s="1"/>
      <c r="N220" s="1"/>
      <c r="O220" s="1"/>
      <c r="P220" s="1"/>
      <c r="Q220" s="1"/>
      <c r="R220" s="1"/>
      <c r="S220" s="1"/>
      <c r="T220" s="1"/>
      <c r="U220" s="1"/>
      <c r="V220" s="1"/>
      <c r="W220" s="1"/>
      <c r="X220" s="1"/>
      <c r="Y220" s="1"/>
      <c r="Z220" s="1"/>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17:G17"/>
    <mergeCell ref="B9:C9"/>
    <mergeCell ref="B10:C10"/>
    <mergeCell ref="B11:D11"/>
    <mergeCell ref="B12:F12"/>
    <mergeCell ref="C14:G14"/>
  </mergeCells>
  <pageMargins left="0.25" right="0.25" top="0.75" bottom="0.75" header="0.3" footer="0.3"/>
  <pageSetup paperSize="5" scale="6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2254"/>
  <sheetViews>
    <sheetView topLeftCell="J13" workbookViewId="0">
      <selection activeCell="R1288" sqref="A1:R1288"/>
    </sheetView>
  </sheetViews>
  <sheetFormatPr baseColWidth="10" defaultColWidth="12.5703125" defaultRowHeight="15" customHeight="1"/>
  <cols>
    <col min="1" max="1" width="2.140625" customWidth="1"/>
    <col min="2" max="2" width="37.85546875" customWidth="1"/>
    <col min="3" max="3" width="18" customWidth="1"/>
    <col min="4" max="4" width="23.42578125" customWidth="1"/>
    <col min="5" max="5" width="27.28515625" customWidth="1"/>
    <col min="6" max="6" width="33.5703125" customWidth="1"/>
    <col min="7" max="7" width="19" bestFit="1" customWidth="1"/>
    <col min="8" max="8" width="27.140625" customWidth="1"/>
    <col min="9" max="9" width="26.140625" customWidth="1"/>
    <col min="10" max="10" width="22.85546875" customWidth="1"/>
    <col min="11" max="11" width="53.140625" customWidth="1"/>
    <col min="12" max="12" width="16.7109375" customWidth="1"/>
    <col min="13" max="13" width="23.5703125" customWidth="1"/>
    <col min="14" max="14" width="19.7109375" customWidth="1"/>
    <col min="15" max="26" width="18" customWidth="1"/>
  </cols>
  <sheetData>
    <row r="1" spans="1:26" ht="12.75" customHeight="1">
      <c r="A1" s="1"/>
      <c r="B1" s="1"/>
      <c r="C1" s="1"/>
      <c r="D1" s="1"/>
      <c r="E1" s="1"/>
      <c r="F1" s="1"/>
      <c r="G1" s="66"/>
      <c r="H1" s="1"/>
      <c r="I1" s="1"/>
      <c r="J1" s="66"/>
      <c r="K1" s="1"/>
      <c r="L1" s="1"/>
      <c r="M1" s="1"/>
      <c r="N1" s="1"/>
      <c r="O1" s="1"/>
      <c r="P1" s="1"/>
      <c r="Q1" s="1"/>
      <c r="R1" s="1"/>
      <c r="S1" s="1"/>
      <c r="T1" s="1"/>
      <c r="U1" s="1"/>
      <c r="V1" s="1"/>
      <c r="W1" s="1"/>
      <c r="X1" s="1"/>
      <c r="Y1" s="1"/>
      <c r="Z1" s="1"/>
    </row>
    <row r="2" spans="1:26" ht="12.75" customHeight="1">
      <c r="A2" s="1"/>
      <c r="B2" s="1"/>
      <c r="C2" s="1"/>
      <c r="D2" s="1"/>
      <c r="E2" s="1"/>
      <c r="F2" s="1"/>
      <c r="G2" s="66"/>
      <c r="H2" s="1"/>
      <c r="I2" s="1"/>
      <c r="J2" s="66"/>
      <c r="K2" s="1"/>
      <c r="L2" s="1"/>
      <c r="M2" s="1"/>
      <c r="N2" s="1"/>
      <c r="O2" s="1"/>
      <c r="P2" s="1"/>
      <c r="Q2" s="1"/>
      <c r="R2" s="1"/>
      <c r="S2" s="1"/>
      <c r="T2" s="1"/>
      <c r="U2" s="1"/>
      <c r="V2" s="1"/>
      <c r="W2" s="1"/>
      <c r="X2" s="1"/>
      <c r="Y2" s="1"/>
      <c r="Z2" s="1"/>
    </row>
    <row r="3" spans="1:26" ht="12.75" customHeight="1">
      <c r="A3" s="1"/>
      <c r="B3" s="1"/>
      <c r="C3" s="1"/>
      <c r="D3" s="1"/>
      <c r="E3" s="1"/>
      <c r="F3" s="1"/>
      <c r="G3" s="66"/>
      <c r="H3" s="1"/>
      <c r="I3" s="1"/>
      <c r="J3" s="66"/>
      <c r="K3" s="1"/>
      <c r="L3" s="1"/>
      <c r="M3" s="1"/>
      <c r="N3" s="1"/>
      <c r="O3" s="1"/>
      <c r="P3" s="1"/>
      <c r="Q3" s="1"/>
      <c r="R3" s="1"/>
      <c r="S3" s="1"/>
      <c r="T3" s="1"/>
      <c r="U3" s="1"/>
      <c r="V3" s="1"/>
      <c r="W3" s="1"/>
      <c r="X3" s="1"/>
      <c r="Y3" s="1"/>
      <c r="Z3" s="1"/>
    </row>
    <row r="4" spans="1:26" ht="12.75" customHeight="1">
      <c r="A4" s="1"/>
      <c r="B4" s="1"/>
      <c r="C4" s="1"/>
      <c r="D4" s="1"/>
      <c r="E4" s="1"/>
      <c r="F4" s="1"/>
      <c r="G4" s="66"/>
      <c r="H4" s="1"/>
      <c r="I4" s="1"/>
      <c r="J4" s="66"/>
      <c r="K4" s="1"/>
      <c r="L4" s="1"/>
      <c r="M4" s="1"/>
      <c r="N4" s="1"/>
      <c r="O4" s="1"/>
      <c r="P4" s="1"/>
      <c r="Q4" s="1"/>
      <c r="R4" s="1"/>
      <c r="S4" s="1"/>
      <c r="T4" s="1"/>
      <c r="U4" s="1"/>
      <c r="V4" s="1"/>
      <c r="W4" s="1"/>
      <c r="X4" s="1"/>
      <c r="Y4" s="1"/>
      <c r="Z4" s="1"/>
    </row>
    <row r="5" spans="1:26" ht="12.75" customHeight="1">
      <c r="A5" s="1"/>
      <c r="B5" s="1"/>
      <c r="C5" s="1"/>
      <c r="D5" s="1"/>
      <c r="E5" s="1"/>
      <c r="F5" s="1"/>
      <c r="G5" s="66"/>
      <c r="H5" s="1"/>
      <c r="I5" s="1"/>
      <c r="J5" s="66"/>
      <c r="K5" s="1"/>
      <c r="L5" s="1"/>
      <c r="M5" s="1"/>
      <c r="N5" s="1"/>
      <c r="O5" s="1"/>
      <c r="P5" s="1"/>
      <c r="Q5" s="1"/>
      <c r="R5" s="1"/>
      <c r="S5" s="1"/>
      <c r="T5" s="1"/>
      <c r="U5" s="1"/>
      <c r="V5" s="1"/>
      <c r="W5" s="1"/>
      <c r="X5" s="1"/>
      <c r="Y5" s="1"/>
      <c r="Z5" s="1"/>
    </row>
    <row r="6" spans="1:26" ht="12.75" customHeight="1">
      <c r="A6" s="1"/>
      <c r="B6" s="1"/>
      <c r="C6" s="1"/>
      <c r="D6" s="1"/>
      <c r="E6" s="1"/>
      <c r="F6" s="1"/>
      <c r="G6" s="66"/>
      <c r="H6" s="1"/>
      <c r="I6" s="1"/>
      <c r="J6" s="66"/>
      <c r="K6" s="1"/>
      <c r="L6" s="1"/>
      <c r="M6" s="1"/>
      <c r="N6" s="1"/>
      <c r="O6" s="1"/>
      <c r="P6" s="1"/>
      <c r="Q6" s="1"/>
      <c r="R6" s="1"/>
      <c r="S6" s="1"/>
      <c r="T6" s="1"/>
      <c r="U6" s="1"/>
      <c r="V6" s="1"/>
      <c r="W6" s="1"/>
      <c r="X6" s="1"/>
      <c r="Y6" s="1"/>
      <c r="Z6" s="1"/>
    </row>
    <row r="7" spans="1:26" ht="12.75" customHeight="1">
      <c r="A7" s="1"/>
      <c r="B7" s="1"/>
      <c r="C7" s="1"/>
      <c r="D7" s="1"/>
      <c r="E7" s="1"/>
      <c r="F7" s="1"/>
      <c r="G7" s="66"/>
      <c r="H7" s="1"/>
      <c r="I7" s="1"/>
      <c r="J7" s="66"/>
      <c r="K7" s="1"/>
      <c r="L7" s="1"/>
      <c r="M7" s="1"/>
      <c r="N7" s="1"/>
      <c r="O7" s="1"/>
      <c r="P7" s="1"/>
      <c r="Q7" s="1"/>
      <c r="R7" s="1"/>
      <c r="S7" s="1"/>
      <c r="T7" s="1"/>
      <c r="U7" s="1"/>
      <c r="V7" s="1"/>
      <c r="W7" s="1"/>
      <c r="X7" s="1"/>
      <c r="Y7" s="1"/>
      <c r="Z7" s="1"/>
    </row>
    <row r="8" spans="1:26" ht="12.75" customHeight="1">
      <c r="A8" s="1"/>
      <c r="B8" s="2" t="str">
        <f>'24.03.034'!B8</f>
        <v>4° Trimestre</v>
      </c>
      <c r="C8" s="3"/>
      <c r="D8" s="3"/>
      <c r="E8" s="1"/>
      <c r="F8" s="1"/>
      <c r="G8" s="66"/>
      <c r="H8" s="1"/>
      <c r="I8" s="1"/>
      <c r="J8" s="66"/>
      <c r="K8" s="1"/>
      <c r="L8" s="1"/>
      <c r="M8" s="1"/>
      <c r="N8" s="1"/>
      <c r="O8" s="1"/>
      <c r="P8" s="1"/>
      <c r="Q8" s="1"/>
      <c r="R8" s="1"/>
      <c r="S8" s="1"/>
      <c r="T8" s="1"/>
      <c r="U8" s="1"/>
      <c r="V8" s="1"/>
      <c r="W8" s="1"/>
      <c r="X8" s="1"/>
      <c r="Y8" s="1"/>
      <c r="Z8" s="1"/>
    </row>
    <row r="9" spans="1:26" ht="12.75" customHeight="1">
      <c r="A9" s="1"/>
      <c r="B9" s="110" t="s">
        <v>1</v>
      </c>
      <c r="C9" s="111"/>
      <c r="D9" s="3"/>
      <c r="E9" s="1"/>
      <c r="F9" s="1"/>
      <c r="G9" s="66"/>
      <c r="H9" s="1"/>
      <c r="I9" s="1"/>
      <c r="J9" s="66"/>
      <c r="K9" s="1"/>
      <c r="L9" s="1"/>
      <c r="M9" s="1"/>
      <c r="N9" s="1"/>
      <c r="O9" s="1"/>
      <c r="P9" s="1"/>
      <c r="Q9" s="1"/>
      <c r="R9" s="1"/>
      <c r="S9" s="1"/>
      <c r="T9" s="1"/>
      <c r="U9" s="1"/>
      <c r="V9" s="1"/>
      <c r="W9" s="1"/>
      <c r="X9" s="1"/>
      <c r="Y9" s="1"/>
      <c r="Z9" s="1"/>
    </row>
    <row r="10" spans="1:26" ht="12.75" customHeight="1">
      <c r="A10" s="1"/>
      <c r="B10" s="110" t="s">
        <v>2</v>
      </c>
      <c r="C10" s="111"/>
      <c r="D10" s="3"/>
      <c r="E10" s="1"/>
      <c r="F10" s="1"/>
      <c r="G10" s="66"/>
      <c r="H10" s="1"/>
      <c r="I10" s="1"/>
      <c r="J10" s="66"/>
      <c r="K10" s="1"/>
      <c r="L10" s="1"/>
      <c r="M10" s="1"/>
      <c r="N10" s="1"/>
      <c r="O10" s="1"/>
      <c r="P10" s="1"/>
      <c r="Q10" s="1"/>
      <c r="R10" s="1"/>
      <c r="S10" s="1"/>
      <c r="T10" s="1"/>
      <c r="U10" s="1"/>
      <c r="V10" s="1"/>
      <c r="W10" s="1"/>
      <c r="X10" s="1"/>
      <c r="Y10" s="1"/>
      <c r="Z10" s="1"/>
    </row>
    <row r="11" spans="1:26" ht="12.75" customHeight="1">
      <c r="A11" s="1"/>
      <c r="B11" s="110" t="s">
        <v>115</v>
      </c>
      <c r="C11" s="111"/>
      <c r="D11" s="111"/>
      <c r="E11" s="1"/>
      <c r="F11" s="1"/>
      <c r="G11" s="66"/>
      <c r="H11" s="1"/>
      <c r="I11" s="1"/>
      <c r="J11" s="66"/>
      <c r="K11" s="1"/>
      <c r="L11" s="1"/>
      <c r="M11" s="1"/>
      <c r="N11" s="1"/>
      <c r="O11" s="1"/>
      <c r="P11" s="1"/>
      <c r="Q11" s="1"/>
      <c r="R11" s="1"/>
      <c r="S11" s="1"/>
      <c r="T11" s="1"/>
      <c r="U11" s="1"/>
      <c r="V11" s="1"/>
      <c r="W11" s="1"/>
      <c r="X11" s="1"/>
      <c r="Y11" s="1"/>
      <c r="Z11" s="1"/>
    </row>
    <row r="12" spans="1:26" ht="12.75" customHeight="1">
      <c r="A12" s="1"/>
      <c r="B12" s="117" t="s">
        <v>116</v>
      </c>
      <c r="C12" s="111"/>
      <c r="D12" s="111"/>
      <c r="E12" s="111"/>
      <c r="F12" s="111"/>
      <c r="G12" s="66"/>
      <c r="H12" s="1"/>
      <c r="I12" s="1"/>
      <c r="J12" s="66"/>
      <c r="K12" s="1"/>
      <c r="L12" s="1"/>
      <c r="M12" s="1"/>
      <c r="N12" s="1"/>
      <c r="O12" s="1"/>
      <c r="P12" s="1"/>
      <c r="Q12" s="1"/>
      <c r="R12" s="1"/>
      <c r="S12" s="1"/>
      <c r="T12" s="1"/>
      <c r="U12" s="1"/>
      <c r="V12" s="1"/>
      <c r="W12" s="1"/>
      <c r="X12" s="1"/>
      <c r="Y12" s="1"/>
      <c r="Z12" s="1"/>
    </row>
    <row r="13" spans="1:26" ht="12.75" customHeight="1">
      <c r="A13" s="1"/>
      <c r="B13" s="5"/>
      <c r="C13" s="5"/>
      <c r="D13" s="5"/>
      <c r="E13" s="1"/>
      <c r="F13" s="1"/>
      <c r="G13" s="66"/>
      <c r="H13" s="1"/>
      <c r="I13" s="1"/>
      <c r="J13" s="66"/>
      <c r="K13" s="1"/>
      <c r="L13" s="1"/>
      <c r="M13" s="1"/>
      <c r="N13" s="1"/>
      <c r="O13" s="1"/>
      <c r="P13" s="1"/>
      <c r="Q13" s="1"/>
      <c r="R13" s="1"/>
      <c r="S13" s="1"/>
      <c r="T13" s="1"/>
      <c r="U13" s="1"/>
      <c r="V13" s="1"/>
      <c r="W13" s="1"/>
      <c r="X13" s="1"/>
      <c r="Y13" s="1"/>
      <c r="Z13" s="1"/>
    </row>
    <row r="14" spans="1:26" ht="132" customHeight="1">
      <c r="A14" s="1"/>
      <c r="B14" s="4" t="s">
        <v>5</v>
      </c>
      <c r="C14" s="114" t="s">
        <v>6</v>
      </c>
      <c r="D14" s="115"/>
      <c r="E14" s="115"/>
      <c r="F14" s="115"/>
      <c r="G14" s="116"/>
      <c r="H14" s="1"/>
      <c r="I14" s="1"/>
      <c r="J14" s="66"/>
      <c r="K14" s="1"/>
      <c r="L14" s="1"/>
      <c r="M14" s="1"/>
      <c r="N14" s="1"/>
      <c r="O14" s="1"/>
      <c r="P14" s="1"/>
      <c r="Q14" s="1"/>
      <c r="R14" s="1"/>
      <c r="S14" s="1"/>
      <c r="T14" s="1"/>
      <c r="U14" s="1"/>
      <c r="V14" s="1"/>
      <c r="W14" s="1"/>
      <c r="X14" s="1"/>
      <c r="Y14" s="1"/>
      <c r="Z14" s="1"/>
    </row>
    <row r="15" spans="1:26" ht="12.75" customHeight="1">
      <c r="A15" s="1"/>
      <c r="B15" s="5"/>
      <c r="C15" s="1"/>
      <c r="D15" s="5"/>
      <c r="E15" s="1"/>
      <c r="F15" s="1"/>
      <c r="G15" s="66"/>
      <c r="H15" s="1"/>
      <c r="I15" s="1"/>
      <c r="J15" s="66"/>
      <c r="K15" s="1"/>
      <c r="L15" s="1"/>
      <c r="M15" s="1"/>
      <c r="N15" s="1"/>
      <c r="O15" s="1"/>
      <c r="P15" s="1"/>
      <c r="Q15" s="1"/>
      <c r="R15" s="1"/>
      <c r="S15" s="1"/>
      <c r="T15" s="1"/>
      <c r="U15" s="1"/>
      <c r="V15" s="1"/>
      <c r="W15" s="1"/>
      <c r="X15" s="1"/>
      <c r="Y15" s="1"/>
      <c r="Z15" s="1"/>
    </row>
    <row r="16" spans="1:26" ht="12.75" customHeight="1">
      <c r="A16" s="1"/>
      <c r="B16" s="5"/>
      <c r="C16" s="1"/>
      <c r="D16" s="5"/>
      <c r="E16" s="1"/>
      <c r="F16" s="1"/>
      <c r="G16" s="66"/>
      <c r="H16" s="1"/>
      <c r="I16" s="1"/>
      <c r="J16" s="66"/>
      <c r="K16" s="1"/>
      <c r="L16" s="1"/>
      <c r="M16" s="1"/>
      <c r="N16" s="1"/>
      <c r="O16" s="1"/>
      <c r="P16" s="1"/>
      <c r="Q16" s="1"/>
      <c r="R16" s="1"/>
      <c r="S16" s="1"/>
      <c r="T16" s="1"/>
      <c r="U16" s="1"/>
      <c r="V16" s="1"/>
      <c r="W16" s="1"/>
      <c r="X16" s="1"/>
      <c r="Y16" s="1"/>
      <c r="Z16" s="1"/>
    </row>
    <row r="17" spans="1:26" ht="29.25" customHeight="1">
      <c r="A17" s="1"/>
      <c r="B17" s="4" t="s">
        <v>7</v>
      </c>
      <c r="C17" s="114" t="s">
        <v>8</v>
      </c>
      <c r="D17" s="115"/>
      <c r="E17" s="115"/>
      <c r="F17" s="115"/>
      <c r="G17" s="116"/>
      <c r="H17" s="1"/>
      <c r="I17" s="1"/>
      <c r="J17" s="66"/>
      <c r="K17" s="1"/>
      <c r="L17" s="1"/>
      <c r="M17" s="1"/>
      <c r="N17" s="1"/>
      <c r="O17" s="1"/>
      <c r="P17" s="1"/>
      <c r="Q17" s="1"/>
      <c r="R17" s="1"/>
      <c r="S17" s="1"/>
      <c r="T17" s="1"/>
      <c r="U17" s="1"/>
      <c r="V17" s="1"/>
      <c r="W17" s="1"/>
      <c r="X17" s="1"/>
      <c r="Y17" s="1"/>
      <c r="Z17" s="1"/>
    </row>
    <row r="18" spans="1:26" ht="12.75" customHeight="1">
      <c r="A18" s="1"/>
      <c r="B18" s="6"/>
      <c r="C18" s="6"/>
      <c r="D18" s="6"/>
      <c r="E18" s="1"/>
      <c r="F18" s="1"/>
      <c r="G18" s="66"/>
      <c r="H18" s="1"/>
      <c r="I18" s="1"/>
      <c r="J18" s="66"/>
      <c r="K18" s="1"/>
      <c r="L18" s="1"/>
      <c r="M18" s="1"/>
      <c r="N18" s="1"/>
      <c r="O18" s="1"/>
      <c r="P18" s="1"/>
      <c r="Q18" s="1"/>
      <c r="R18" s="1"/>
      <c r="S18" s="1"/>
      <c r="T18" s="1"/>
      <c r="U18" s="1"/>
      <c r="V18" s="1"/>
      <c r="W18" s="1"/>
      <c r="X18" s="1"/>
      <c r="Y18" s="1"/>
      <c r="Z18" s="1"/>
    </row>
    <row r="19" spans="1:26" ht="12.75" customHeight="1">
      <c r="A19" s="1"/>
      <c r="B19" s="1"/>
      <c r="C19" s="1"/>
      <c r="D19" s="1"/>
      <c r="E19" s="1"/>
      <c r="F19" s="1"/>
      <c r="G19" s="66"/>
      <c r="H19" s="1"/>
      <c r="I19" s="1"/>
      <c r="J19" s="66"/>
      <c r="K19" s="1"/>
      <c r="L19" s="1"/>
      <c r="M19" s="1"/>
      <c r="N19" s="1"/>
      <c r="O19" s="1"/>
      <c r="P19" s="1"/>
      <c r="Q19" s="1"/>
      <c r="R19" s="1"/>
      <c r="S19" s="1"/>
      <c r="T19" s="1"/>
      <c r="U19" s="1"/>
      <c r="V19" s="1"/>
      <c r="W19" s="1"/>
      <c r="X19" s="1"/>
      <c r="Y19" s="1"/>
      <c r="Z19" s="1"/>
    </row>
    <row r="20" spans="1:26" ht="45" customHeight="1">
      <c r="A20" s="1"/>
      <c r="B20" s="7" t="s">
        <v>10</v>
      </c>
      <c r="C20" s="7" t="s">
        <v>117</v>
      </c>
      <c r="D20" s="7" t="s">
        <v>9</v>
      </c>
      <c r="E20" s="7" t="s">
        <v>11</v>
      </c>
      <c r="F20" s="7" t="s">
        <v>12</v>
      </c>
      <c r="G20" s="67" t="s">
        <v>13</v>
      </c>
      <c r="H20" s="7" t="s">
        <v>14</v>
      </c>
      <c r="I20" s="7" t="s">
        <v>15</v>
      </c>
      <c r="J20" s="8" t="s">
        <v>16</v>
      </c>
      <c r="K20" s="7" t="s">
        <v>17</v>
      </c>
      <c r="L20" s="7" t="s">
        <v>18</v>
      </c>
      <c r="M20" s="7" t="s">
        <v>19</v>
      </c>
      <c r="N20" s="7" t="s">
        <v>20</v>
      </c>
      <c r="O20" s="1"/>
      <c r="P20" s="1"/>
      <c r="Q20" s="1"/>
      <c r="R20" s="1"/>
      <c r="S20" s="1"/>
      <c r="T20" s="1"/>
      <c r="U20" s="1"/>
      <c r="V20" s="1"/>
      <c r="W20" s="1"/>
      <c r="X20" s="1"/>
      <c r="Y20" s="1"/>
      <c r="Z20" s="1"/>
    </row>
    <row r="21" spans="1:26" ht="12.75" customHeight="1">
      <c r="A21" s="1"/>
      <c r="B21" s="10" t="str">
        <f ca="1">IFERROR(__xludf.DUMMYFUNCTION("IMPORTRANGE(""https://docs.google.com/spreadsheets/d/1326rdUM6oOTA_5T6U_eA-Yqy4OMk6d_RGd_Z1bKVaC8/edit#gid=1459860096"",""'33.03.005 PMU'!i10:i1240"")"),"MEJORAMIENTO DE SOMBREADEROS EN PATIO MUNICIPAL, POZO ALMONTE")</f>
        <v>MEJORAMIENTO DE SOMBREADEROS EN PATIO MUNICIPAL, POZO ALMONTE</v>
      </c>
      <c r="C21" s="10" t="str">
        <f ca="1">IFERROR(__xludf.DUMMYFUNCTION("IMPORTRANGE(""https://docs.google.com/spreadsheets/d/1326rdUM6oOTA_5T6U_eA-Yqy4OMk6d_RGd_Z1bKVaC8/edit#gid=1459860096"",""'33.03.005 PMU'!h10:h1240"")"),"1-C-2021-324")</f>
        <v>1-C-2021-324</v>
      </c>
      <c r="D21" s="26" t="str">
        <f t="shared" ref="D21:D773" ca="1" si="0">MID(F21,17,30)</f>
        <v xml:space="preserve"> POZO ALMONTE</v>
      </c>
      <c r="E21" s="10" t="str">
        <f ca="1">IFERROR(__xludf.DUMMYFUNCTION("IMPORTRANGE(""https://docs.google.com/spreadsheets/d/1326rdUM6oOTA_5T6U_eA-Yqy4OMk6d_RGd_Z1bKVaC8/edit#gid=1459860096"",""'33.03.005 PMU'!k10:k1240"")"),"Guía Operativa")</f>
        <v>Guía Operativa</v>
      </c>
      <c r="F21" s="10" t="str">
        <f ca="1">IFERROR(__xludf.DUMMYFUNCTION("IMPORTRANGE(""https://docs.google.com/spreadsheets/d/1326rdUM6oOTA_5T6U_eA-Yqy4OMk6d_RGd_Z1bKVaC8/edit#gid=1459860096"",""'33.03.005 PMU'!f10:f1240"")"),"MUNICIPALIDAD DE POZO ALMONTE")</f>
        <v>MUNICIPALIDAD DE POZO ALMONTE</v>
      </c>
      <c r="G21" s="71">
        <f ca="1">IFERROR(__xludf.DUMMYFUNCTION("IMPORTRANGE(""https://docs.google.com/spreadsheets/d/1326rdUM6oOTA_5T6U_eA-Yqy4OMk6d_RGd_Z1bKVaC8/edit#gid=1459860096"",""'33.03.005 PMU'!q10:q1240"")"),74818706)</f>
        <v>74818706</v>
      </c>
      <c r="H21" s="10" t="str">
        <f ca="1">IFERROR(__xludf.DUMMYFUNCTION("IMPORTRANGE(""https://docs.google.com/spreadsheets/d/1326rdUM6oOTA_5T6U_eA-Yqy4OMk6d_RGd_Z1bKVaC8/edit#gid=1459860096"",""'33.03.005 PMU'!j10:j1240"")"),"Resolución")</f>
        <v>Resolución</v>
      </c>
      <c r="I21" s="10" t="str">
        <f ca="1">IFERROR(__xludf.DUMMYFUNCTION("IMPORTRANGE(""https://docs.google.com/spreadsheets/d/1326rdUM6oOTA_5T6U_eA-Yqy4OMk6d_RGd_Z1bKVaC8/edit#gid=1459860096"",""'33.03.005 PMU'!d10:d1240"")"),"OBRA")</f>
        <v>OBRA</v>
      </c>
      <c r="J21" s="10" t="str">
        <f ca="1">IFERROR(__xludf.DUMMYFUNCTION("IMPORTRANGE(""https://docs.google.com/spreadsheets/d/1326rdUM6oOTA_5T6U_eA-Yqy4OMk6d_RGd_Z1bKVaC8/edit#gid=1459860096"",""'33.03.005 PMU'!p10:p1240"")"),"Cumplir con normativa y reglamentos internos del programa en base a los objetivos.")</f>
        <v>Cumplir con normativa y reglamentos internos del programa en base a los objetivos.</v>
      </c>
      <c r="K21" s="71">
        <f ca="1">IFERROR(__xludf.DUMMYFUNCTION("IMPORTRANGE(""https://docs.google.com/spreadsheets/d/1326rdUM6oOTA_5T6U_eA-Yqy4OMk6d_RGd_Z1bKVaC8/edit#gid=1459860096"",""'33.03.005 PMU'!ae10:ae1240"")"),13429573)</f>
        <v>13429573</v>
      </c>
      <c r="L21" s="72">
        <f ca="1">IFERROR(__xludf.DUMMYFUNCTION("IMPORTRANGE(""https://docs.google.com/spreadsheets/d/1326rdUM6oOTA_5T6U_eA-Yqy4OMk6d_RGd_Z1bKVaC8/edit#gid=1459860096"",""'33.03.005 PMU'!af10:af1240"")"),0.981061661237498)</f>
        <v>0.98106166123749805</v>
      </c>
      <c r="M21" s="10">
        <f ca="1">IFERROR(__xludf.DUMMYFUNCTION("IMPORTRANGE(""https://docs.google.com/spreadsheets/d/1326rdUM6oOTA_5T6U_eA-Yqy4OMk6d_RGd_Z1bKVaC8/edit#gid=1459860096"",""'33.03.005 PMU'!l10:l1240"")"),12133)</f>
        <v>12133</v>
      </c>
      <c r="N21" s="10" t="str">
        <f ca="1">IFERROR(__xludf.DUMMYFUNCTION("IMPORTRANGE(""https://docs.google.com/spreadsheets/d/1326rdUM6oOTA_5T6U_eA-Yqy4OMk6d_RGd_Z1bKVaC8/edit#gid=1459860096"",""'33.03.005 PMU'!b10:b1240"")"),"PMU")</f>
        <v>PMU</v>
      </c>
      <c r="O21" s="1"/>
      <c r="P21" s="1"/>
      <c r="Q21" s="1"/>
      <c r="R21" s="1"/>
      <c r="S21" s="1"/>
      <c r="T21" s="1"/>
      <c r="U21" s="1"/>
      <c r="V21" s="1"/>
      <c r="W21" s="1"/>
      <c r="X21" s="1"/>
      <c r="Y21" s="1"/>
      <c r="Z21" s="1"/>
    </row>
    <row r="22" spans="1:26" ht="12.75" customHeight="1">
      <c r="A22" s="1"/>
      <c r="B22" s="10" t="str">
        <f ca="1">IFERROR(__xludf.DUMMYFUNCTION("""COMPUTED_VALUE"""),"CONSTRUCCIÓN DE SOMBREADERO BANDEJÓN ANDALICÁN")</f>
        <v>CONSTRUCCIÓN DE SOMBREADERO BANDEJÓN ANDALICÁN</v>
      </c>
      <c r="C22" s="10" t="str">
        <f ca="1">IFERROR(__xludf.DUMMYFUNCTION("""COMPUTED_VALUE"""),"1-C-2021-1538 [FET]")</f>
        <v>1-C-2021-1538 [FET]</v>
      </c>
      <c r="D22" s="26" t="str">
        <f t="shared" ca="1" si="0"/>
        <v xml:space="preserve"> MEJILLONES</v>
      </c>
      <c r="E22" s="10" t="str">
        <f ca="1">IFERROR(__xludf.DUMMYFUNCTION("""COMPUTED_VALUE"""),"Guía Operativa")</f>
        <v>Guía Operativa</v>
      </c>
      <c r="F22" s="10" t="str">
        <f ca="1">IFERROR(__xludf.DUMMYFUNCTION("""COMPUTED_VALUE"""),"MUNICIPALIDAD DE MEJILLONES")</f>
        <v>MUNICIPALIDAD DE MEJILLONES</v>
      </c>
      <c r="G22" s="71">
        <f ca="1">IFERROR(__xludf.DUMMYFUNCTION("""COMPUTED_VALUE"""),82104755)</f>
        <v>82104755</v>
      </c>
      <c r="H22" s="10" t="str">
        <f ca="1">IFERROR(__xludf.DUMMYFUNCTION("""COMPUTED_VALUE"""),"Resolución")</f>
        <v>Resolución</v>
      </c>
      <c r="I22" s="10" t="str">
        <f ca="1">IFERROR(__xludf.DUMMYFUNCTION("""COMPUTED_VALUE"""),"OBRA")</f>
        <v>OBRA</v>
      </c>
      <c r="J22" s="10" t="str">
        <f ca="1">IFERROR(__xludf.DUMMYFUNCTION("""COMPUTED_VALUE"""),"Cumplir con normativa y reglamentos internos del programa en base a los objetivos.")</f>
        <v>Cumplir con normativa y reglamentos internos del programa en base a los objetivos.</v>
      </c>
      <c r="K22" s="71">
        <f ca="1">IFERROR(__xludf.DUMMYFUNCTION("""COMPUTED_VALUE"""),8530586)</f>
        <v>8530586</v>
      </c>
      <c r="L22" s="72">
        <f ca="1">IFERROR(__xludf.DUMMYFUNCTION("""COMPUTED_VALUE"""),0.99996303502763)</f>
        <v>0.99996303502762995</v>
      </c>
      <c r="M22" s="10">
        <f ca="1">IFERROR(__xludf.DUMMYFUNCTION("""COMPUTED_VALUE"""),8465)</f>
        <v>8465</v>
      </c>
      <c r="N22" s="10" t="str">
        <f ca="1">IFERROR(__xludf.DUMMYFUNCTION("""COMPUTED_VALUE"""),"PMU")</f>
        <v>PMU</v>
      </c>
      <c r="O22" s="1"/>
      <c r="P22" s="1"/>
      <c r="Q22" s="1"/>
      <c r="R22" s="1"/>
      <c r="S22" s="1"/>
      <c r="T22" s="1"/>
      <c r="U22" s="1"/>
      <c r="V22" s="1"/>
      <c r="W22" s="1"/>
      <c r="X22" s="1"/>
      <c r="Y22" s="1"/>
      <c r="Z22" s="1"/>
    </row>
    <row r="23" spans="1:26" ht="12.75" customHeight="1">
      <c r="A23" s="1"/>
      <c r="B23" s="10" t="str">
        <f ca="1">IFERROR(__xludf.DUMMYFUNCTION("""COMPUTED_VALUE"""),"CSV MEJORAMIENTO PLAZA JOSE URIBE, BELLOTO NORTE. QUILPUÉ")</f>
        <v>CSV MEJORAMIENTO PLAZA JOSE URIBE, BELLOTO NORTE. QUILPUÉ</v>
      </c>
      <c r="C23" s="10" t="str">
        <f ca="1">IFERROR(__xludf.DUMMYFUNCTION("""COMPUTED_VALUE"""),"1-C-2023-2461")</f>
        <v>1-C-2023-2461</v>
      </c>
      <c r="D23" s="26" t="str">
        <f t="shared" ca="1" si="0"/>
        <v xml:space="preserve"> QUILPUÉ</v>
      </c>
      <c r="E23" s="10" t="str">
        <f ca="1">IFERROR(__xludf.DUMMYFUNCTION("""COMPUTED_VALUE"""),"Guía Operativa")</f>
        <v>Guía Operativa</v>
      </c>
      <c r="F23" s="10" t="str">
        <f ca="1">IFERROR(__xludf.DUMMYFUNCTION("""COMPUTED_VALUE"""),"MUNICIPALIDAD DE QUILPUÉ")</f>
        <v>MUNICIPALIDAD DE QUILPUÉ</v>
      </c>
      <c r="G23" s="71">
        <f ca="1">IFERROR(__xludf.DUMMYFUNCTION("""COMPUTED_VALUE"""),30436210)</f>
        <v>30436210</v>
      </c>
      <c r="H23" s="10" t="str">
        <f ca="1">IFERROR(__xludf.DUMMYFUNCTION("""COMPUTED_VALUE"""),"Resolución")</f>
        <v>Resolución</v>
      </c>
      <c r="I23" s="10" t="str">
        <f ca="1">IFERROR(__xludf.DUMMYFUNCTION("""COMPUTED_VALUE"""),"OBRA")</f>
        <v>OBRA</v>
      </c>
      <c r="J23" s="10" t="str">
        <f ca="1">IFERROR(__xludf.DUMMYFUNCTION("""COMPUTED_VALUE"""),"Cumplir con normativa y reglamentos internos del programa en base a los objetivos.")</f>
        <v>Cumplir con normativa y reglamentos internos del programa en base a los objetivos.</v>
      </c>
      <c r="K23" s="71">
        <f ca="1">IFERROR(__xludf.DUMMYFUNCTION("""COMPUTED_VALUE"""),30436210)</f>
        <v>30436210</v>
      </c>
      <c r="L23" s="72">
        <f ca="1">IFERROR(__xludf.DUMMYFUNCTION("""COMPUTED_VALUE"""),1)</f>
        <v>1</v>
      </c>
      <c r="M23" s="10">
        <f ca="1">IFERROR(__xludf.DUMMYFUNCTION("""COMPUTED_VALUE"""),639)</f>
        <v>639</v>
      </c>
      <c r="N23" s="10" t="str">
        <f ca="1">IFERROR(__xludf.DUMMYFUNCTION("""COMPUTED_VALUE"""),"PMU")</f>
        <v>PMU</v>
      </c>
      <c r="O23" s="1"/>
      <c r="P23" s="1"/>
      <c r="Q23" s="1"/>
      <c r="R23" s="1"/>
      <c r="S23" s="1"/>
      <c r="T23" s="1"/>
      <c r="U23" s="1"/>
      <c r="V23" s="1"/>
      <c r="W23" s="1"/>
      <c r="X23" s="1"/>
      <c r="Y23" s="1"/>
      <c r="Z23" s="1"/>
    </row>
    <row r="24" spans="1:26" ht="12.75" customHeight="1">
      <c r="A24" s="1"/>
      <c r="B24" s="10" t="str">
        <f ca="1">IFERROR(__xludf.DUMMYFUNCTION("""COMPUTED_VALUE"""),"CSV CONSTRUCCIÓN PLATABANDA SOL DE MANQUEHUE, CALLE SAN ENRIQUE. EL SOL")</f>
        <v>CSV CONSTRUCCIÓN PLATABANDA SOL DE MANQUEHUE, CALLE SAN ENRIQUE. EL SOL</v>
      </c>
      <c r="C24" s="10" t="str">
        <f ca="1">IFERROR(__xludf.DUMMYFUNCTION("""COMPUTED_VALUE"""),"1-C-2023-2497")</f>
        <v>1-C-2023-2497</v>
      </c>
      <c r="D24" s="26" t="str">
        <f t="shared" ca="1" si="0"/>
        <v xml:space="preserve"> QUILPUÉ</v>
      </c>
      <c r="E24" s="10" t="str">
        <f ca="1">IFERROR(__xludf.DUMMYFUNCTION("""COMPUTED_VALUE"""),"Guía Operativa")</f>
        <v>Guía Operativa</v>
      </c>
      <c r="F24" s="10" t="str">
        <f ca="1">IFERROR(__xludf.DUMMYFUNCTION("""COMPUTED_VALUE"""),"MUNICIPALIDAD DE QUILPUÉ")</f>
        <v>MUNICIPALIDAD DE QUILPUÉ</v>
      </c>
      <c r="G24" s="71">
        <f ca="1">IFERROR(__xludf.DUMMYFUNCTION("""COMPUTED_VALUE"""),154000000)</f>
        <v>154000000</v>
      </c>
      <c r="H24" s="10" t="str">
        <f ca="1">IFERROR(__xludf.DUMMYFUNCTION("""COMPUTED_VALUE"""),"Resolución")</f>
        <v>Resolución</v>
      </c>
      <c r="I24" s="10" t="str">
        <f ca="1">IFERROR(__xludf.DUMMYFUNCTION("""COMPUTED_VALUE"""),"OBRA")</f>
        <v>OBRA</v>
      </c>
      <c r="J24" s="10" t="str">
        <f ca="1">IFERROR(__xludf.DUMMYFUNCTION("""COMPUTED_VALUE"""),"Cumplir con normativa y reglamentos internos del programa en base a los objetivos.")</f>
        <v>Cumplir con normativa y reglamentos internos del programa en base a los objetivos.</v>
      </c>
      <c r="K24" s="71">
        <f ca="1">IFERROR(__xludf.DUMMYFUNCTION("""COMPUTED_VALUE"""),154421144)</f>
        <v>154421144</v>
      </c>
      <c r="L24" s="72">
        <f ca="1">IFERROR(__xludf.DUMMYFUNCTION("""COMPUTED_VALUE"""),1.0027347012987)</f>
        <v>1.0027347012987</v>
      </c>
      <c r="M24" s="10">
        <f ca="1">IFERROR(__xludf.DUMMYFUNCTION("""COMPUTED_VALUE"""),639)</f>
        <v>639</v>
      </c>
      <c r="N24" s="10" t="str">
        <f ca="1">IFERROR(__xludf.DUMMYFUNCTION("""COMPUTED_VALUE"""),"PMU")</f>
        <v>PMU</v>
      </c>
      <c r="O24" s="1"/>
      <c r="P24" s="1"/>
      <c r="Q24" s="1"/>
      <c r="R24" s="1"/>
      <c r="S24" s="1"/>
      <c r="T24" s="1"/>
      <c r="U24" s="1"/>
      <c r="V24" s="1"/>
      <c r="W24" s="1"/>
      <c r="X24" s="1"/>
      <c r="Y24" s="1"/>
      <c r="Z24" s="1"/>
    </row>
    <row r="25" spans="1:26" ht="12.75" customHeight="1">
      <c r="A25" s="1"/>
      <c r="B25" s="10" t="str">
        <f ca="1">IFERROR(__xludf.DUMMYFUNCTION("""COMPUTED_VALUE"""),"CSV MEJORAMIENTO SENDA PEATONAL CALLE ENRIQUE SORO, ENTRE LINCOYÁN Y OSMÁN PÉREZ FREIRE. BELLOTO NORTE")</f>
        <v>CSV MEJORAMIENTO SENDA PEATONAL CALLE ENRIQUE SORO, ENTRE LINCOYÁN Y OSMÁN PÉREZ FREIRE. BELLOTO NORTE</v>
      </c>
      <c r="C25" s="10" t="str">
        <f ca="1">IFERROR(__xludf.DUMMYFUNCTION("""COMPUTED_VALUE"""),"1-C-2023-2498")</f>
        <v>1-C-2023-2498</v>
      </c>
      <c r="D25" s="26" t="str">
        <f t="shared" ca="1" si="0"/>
        <v xml:space="preserve"> QUILPUÉ</v>
      </c>
      <c r="E25" s="10" t="str">
        <f ca="1">IFERROR(__xludf.DUMMYFUNCTION("""COMPUTED_VALUE"""),"Guía Operativa")</f>
        <v>Guía Operativa</v>
      </c>
      <c r="F25" s="10" t="str">
        <f ca="1">IFERROR(__xludf.DUMMYFUNCTION("""COMPUTED_VALUE"""),"MUNICIPALIDAD DE QUILPUÉ")</f>
        <v>MUNICIPALIDAD DE QUILPUÉ</v>
      </c>
      <c r="G25" s="71">
        <f ca="1">IFERROR(__xludf.DUMMYFUNCTION("""COMPUTED_VALUE"""),142000000)</f>
        <v>142000000</v>
      </c>
      <c r="H25" s="10" t="str">
        <f ca="1">IFERROR(__xludf.DUMMYFUNCTION("""COMPUTED_VALUE"""),"Resolución")</f>
        <v>Resolución</v>
      </c>
      <c r="I25" s="10" t="str">
        <f ca="1">IFERROR(__xludf.DUMMYFUNCTION("""COMPUTED_VALUE"""),"OBRA")</f>
        <v>OBRA</v>
      </c>
      <c r="J25" s="10" t="str">
        <f ca="1">IFERROR(__xludf.DUMMYFUNCTION("""COMPUTED_VALUE"""),"Cumplir con normativa y reglamentos internos del programa en base a los objetivos.")</f>
        <v>Cumplir con normativa y reglamentos internos del programa en base a los objetivos.</v>
      </c>
      <c r="K25" s="71">
        <f ca="1">IFERROR(__xludf.DUMMYFUNCTION("""COMPUTED_VALUE"""),141991204)</f>
        <v>141991204</v>
      </c>
      <c r="L25" s="72">
        <f ca="1">IFERROR(__xludf.DUMMYFUNCTION("""COMPUTED_VALUE"""),0.999938056338028)</f>
        <v>0.99993805633802801</v>
      </c>
      <c r="M25" s="10">
        <f ca="1">IFERROR(__xludf.DUMMYFUNCTION("""COMPUTED_VALUE"""),639)</f>
        <v>639</v>
      </c>
      <c r="N25" s="10" t="str">
        <f ca="1">IFERROR(__xludf.DUMMYFUNCTION("""COMPUTED_VALUE"""),"PMU")</f>
        <v>PMU</v>
      </c>
      <c r="O25" s="1"/>
      <c r="P25" s="1"/>
      <c r="Q25" s="1"/>
      <c r="R25" s="1"/>
      <c r="S25" s="1"/>
      <c r="T25" s="1"/>
      <c r="U25" s="1"/>
      <c r="V25" s="1"/>
      <c r="W25" s="1"/>
      <c r="X25" s="1"/>
      <c r="Y25" s="1"/>
      <c r="Z25" s="1"/>
    </row>
    <row r="26" spans="1:26" ht="12.75" customHeight="1">
      <c r="A26" s="1"/>
      <c r="B26" s="10" t="str">
        <f ca="1">IFERROR(__xludf.DUMMYFUNCTION("""COMPUTED_VALUE"""),"CSV MEJORAMIENTO LUMINICO Y SENDA PEATONAL FERIA EL BELLOTO. BELLOTO 2000")</f>
        <v>CSV MEJORAMIENTO LUMINICO Y SENDA PEATONAL FERIA EL BELLOTO. BELLOTO 2000</v>
      </c>
      <c r="C26" s="10" t="str">
        <f ca="1">IFERROR(__xludf.DUMMYFUNCTION("""COMPUTED_VALUE"""),"1-C-2023-2510")</f>
        <v>1-C-2023-2510</v>
      </c>
      <c r="D26" s="26" t="str">
        <f t="shared" ca="1" si="0"/>
        <v xml:space="preserve"> QUILPUÉ</v>
      </c>
      <c r="E26" s="10" t="str">
        <f ca="1">IFERROR(__xludf.DUMMYFUNCTION("""COMPUTED_VALUE"""),"Guía Operativa")</f>
        <v>Guía Operativa</v>
      </c>
      <c r="F26" s="10" t="str">
        <f ca="1">IFERROR(__xludf.DUMMYFUNCTION("""COMPUTED_VALUE"""),"MUNICIPALIDAD DE QUILPUÉ")</f>
        <v>MUNICIPALIDAD DE QUILPUÉ</v>
      </c>
      <c r="G26" s="71">
        <f ca="1">IFERROR(__xludf.DUMMYFUNCTION("""COMPUTED_VALUE"""),144000000)</f>
        <v>144000000</v>
      </c>
      <c r="H26" s="10" t="str">
        <f ca="1">IFERROR(__xludf.DUMMYFUNCTION("""COMPUTED_VALUE"""),"Resolución")</f>
        <v>Resolución</v>
      </c>
      <c r="I26" s="10" t="str">
        <f ca="1">IFERROR(__xludf.DUMMYFUNCTION("""COMPUTED_VALUE"""),"OBRA")</f>
        <v>OBRA</v>
      </c>
      <c r="J26" s="10" t="str">
        <f ca="1">IFERROR(__xludf.DUMMYFUNCTION("""COMPUTED_VALUE"""),"Cumplir con normativa y reglamentos internos del programa en base a los objetivos.")</f>
        <v>Cumplir con normativa y reglamentos internos del programa en base a los objetivos.</v>
      </c>
      <c r="K26" s="71">
        <f ca="1">IFERROR(__xludf.DUMMYFUNCTION("""COMPUTED_VALUE"""),144464899)</f>
        <v>144464899</v>
      </c>
      <c r="L26" s="72">
        <f ca="1">IFERROR(__xludf.DUMMYFUNCTION("""COMPUTED_VALUE"""),1.00322846527777)</f>
        <v>1.0032284652777701</v>
      </c>
      <c r="M26" s="10">
        <f ca="1">IFERROR(__xludf.DUMMYFUNCTION("""COMPUTED_VALUE"""),639)</f>
        <v>639</v>
      </c>
      <c r="N26" s="10" t="str">
        <f ca="1">IFERROR(__xludf.DUMMYFUNCTION("""COMPUTED_VALUE"""),"PMU")</f>
        <v>PMU</v>
      </c>
      <c r="O26" s="1"/>
      <c r="P26" s="1"/>
      <c r="Q26" s="1"/>
      <c r="R26" s="1"/>
      <c r="S26" s="1"/>
      <c r="T26" s="1"/>
      <c r="U26" s="1"/>
      <c r="V26" s="1"/>
      <c r="W26" s="1"/>
      <c r="X26" s="1"/>
      <c r="Y26" s="1"/>
      <c r="Z26" s="1"/>
    </row>
    <row r="27" spans="1:26" ht="12.75" customHeight="1">
      <c r="A27" s="1"/>
      <c r="B27" s="10" t="str">
        <f ca="1">IFERROR(__xludf.DUMMYFUNCTION("""COMPUTED_VALUE"""),"CSV MEJORAMIENTO INTEGRAL PLAZA MICHELLE BACHELET, RODELILLO VALPARAISO")</f>
        <v>CSV MEJORAMIENTO INTEGRAL PLAZA MICHELLE BACHELET, RODELILLO VALPARAISO</v>
      </c>
      <c r="C27" s="10" t="str">
        <f ca="1">IFERROR(__xludf.DUMMYFUNCTION("""COMPUTED_VALUE"""),"1-C-2023-2607")</f>
        <v>1-C-2023-2607</v>
      </c>
      <c r="D27" s="26" t="str">
        <f t="shared" ca="1" si="0"/>
        <v xml:space="preserve"> VALPARAÍSO</v>
      </c>
      <c r="E27" s="10" t="str">
        <f ca="1">IFERROR(__xludf.DUMMYFUNCTION("""COMPUTED_VALUE"""),"Guía Operativa")</f>
        <v>Guía Operativa</v>
      </c>
      <c r="F27" s="10" t="str">
        <f ca="1">IFERROR(__xludf.DUMMYFUNCTION("""COMPUTED_VALUE"""),"MUNICIPALIDAD DE VALPARAÍSO")</f>
        <v>MUNICIPALIDAD DE VALPARAÍSO</v>
      </c>
      <c r="G27" s="71">
        <f ca="1">IFERROR(__xludf.DUMMYFUNCTION("""COMPUTED_VALUE"""),141000000)</f>
        <v>141000000</v>
      </c>
      <c r="H27" s="10" t="str">
        <f ca="1">IFERROR(__xludf.DUMMYFUNCTION("""COMPUTED_VALUE"""),"Resolución")</f>
        <v>Resolución</v>
      </c>
      <c r="I27" s="10" t="str">
        <f ca="1">IFERROR(__xludf.DUMMYFUNCTION("""COMPUTED_VALUE"""),"OBRA")</f>
        <v>OBRA</v>
      </c>
      <c r="J27" s="10" t="str">
        <f ca="1">IFERROR(__xludf.DUMMYFUNCTION("""COMPUTED_VALUE"""),"Cumplir con normativa y reglamentos internos del programa en base a los objetivos.")</f>
        <v>Cumplir con normativa y reglamentos internos del programa en base a los objetivos.</v>
      </c>
      <c r="K27" s="71">
        <f ca="1">IFERROR(__xludf.DUMMYFUNCTION("""COMPUTED_VALUE"""),141056499)</f>
        <v>141056499</v>
      </c>
      <c r="L27" s="72">
        <f ca="1">IFERROR(__xludf.DUMMYFUNCTION("""COMPUTED_VALUE"""),1.00040070212765)</f>
        <v>1.00040070212765</v>
      </c>
      <c r="M27" s="10">
        <f ca="1">IFERROR(__xludf.DUMMYFUNCTION("""COMPUTED_VALUE"""),642)</f>
        <v>642</v>
      </c>
      <c r="N27" s="10" t="str">
        <f ca="1">IFERROR(__xludf.DUMMYFUNCTION("""COMPUTED_VALUE"""),"PMU")</f>
        <v>PMU</v>
      </c>
      <c r="O27" s="1"/>
      <c r="P27" s="1"/>
      <c r="Q27" s="1"/>
      <c r="R27" s="1"/>
      <c r="S27" s="1"/>
      <c r="T27" s="1"/>
      <c r="U27" s="1"/>
      <c r="V27" s="1"/>
      <c r="W27" s="1"/>
      <c r="X27" s="1"/>
      <c r="Y27" s="1"/>
      <c r="Z27" s="1"/>
    </row>
    <row r="28" spans="1:26" ht="12.75" customHeight="1">
      <c r="A28" s="1"/>
      <c r="B28" s="10" t="str">
        <f ca="1">IFERROR(__xludf.DUMMYFUNCTION("""COMPUTED_VALUE"""),"CSV INSTALACION Y REPOSICION DE SISTEMAS DE ALUMBRADO PUBLICO EN DIVERSOS SECTORES DE LA COMUNA DE CARTAGENA")</f>
        <v>CSV INSTALACION Y REPOSICION DE SISTEMAS DE ALUMBRADO PUBLICO EN DIVERSOS SECTORES DE LA COMUNA DE CARTAGENA</v>
      </c>
      <c r="C28" s="10" t="str">
        <f ca="1">IFERROR(__xludf.DUMMYFUNCTION("""COMPUTED_VALUE"""),"1-C-2023-2618")</f>
        <v>1-C-2023-2618</v>
      </c>
      <c r="D28" s="26" t="str">
        <f t="shared" ca="1" si="0"/>
        <v xml:space="preserve"> CARTAGENA</v>
      </c>
      <c r="E28" s="10" t="str">
        <f ca="1">IFERROR(__xludf.DUMMYFUNCTION("""COMPUTED_VALUE"""),"Guía Operativa")</f>
        <v>Guía Operativa</v>
      </c>
      <c r="F28" s="10" t="str">
        <f ca="1">IFERROR(__xludf.DUMMYFUNCTION("""COMPUTED_VALUE"""),"MUNICIPALIDAD DE CARTAGENA")</f>
        <v>MUNICIPALIDAD DE CARTAGENA</v>
      </c>
      <c r="G28" s="71">
        <f ca="1">IFERROR(__xludf.DUMMYFUNCTION("""COMPUTED_VALUE"""),154000000)</f>
        <v>154000000</v>
      </c>
      <c r="H28" s="10" t="str">
        <f ca="1">IFERROR(__xludf.DUMMYFUNCTION("""COMPUTED_VALUE"""),"Resolución")</f>
        <v>Resolución</v>
      </c>
      <c r="I28" s="10" t="str">
        <f ca="1">IFERROR(__xludf.DUMMYFUNCTION("""COMPUTED_VALUE"""),"OBRA")</f>
        <v>OBRA</v>
      </c>
      <c r="J28" s="10" t="str">
        <f ca="1">IFERROR(__xludf.DUMMYFUNCTION("""COMPUTED_VALUE"""),"Cumplir con normativa y reglamentos internos del programa en base a los objetivos.")</f>
        <v>Cumplir con normativa y reglamentos internos del programa en base a los objetivos.</v>
      </c>
      <c r="K28" s="71">
        <f ca="1">IFERROR(__xludf.DUMMYFUNCTION("""COMPUTED_VALUE"""),154000000)</f>
        <v>154000000</v>
      </c>
      <c r="L28" s="72">
        <f ca="1">IFERROR(__xludf.DUMMYFUNCTION("""COMPUTED_VALUE"""),1)</f>
        <v>1</v>
      </c>
      <c r="M28" s="10">
        <f ca="1">IFERROR(__xludf.DUMMYFUNCTION("""COMPUTED_VALUE"""),846)</f>
        <v>846</v>
      </c>
      <c r="N28" s="10" t="str">
        <f ca="1">IFERROR(__xludf.DUMMYFUNCTION("""COMPUTED_VALUE"""),"PMU")</f>
        <v>PMU</v>
      </c>
      <c r="O28" s="1"/>
      <c r="P28" s="1"/>
      <c r="Q28" s="1"/>
      <c r="R28" s="1"/>
      <c r="S28" s="1"/>
      <c r="T28" s="1"/>
      <c r="U28" s="1"/>
      <c r="V28" s="1"/>
      <c r="W28" s="1"/>
      <c r="X28" s="1"/>
      <c r="Y28" s="1"/>
      <c r="Z28" s="1"/>
    </row>
    <row r="29" spans="1:26" ht="12.75" customHeight="1">
      <c r="A29" s="1"/>
      <c r="B29" s="10" t="str">
        <f ca="1">IFERROR(__xludf.DUMMYFUNCTION("""COMPUTED_VALUE"""),"CONSTRUCCIÓN TORRES DE ILUMINACIÓN ESTADIO AQUELARRE")</f>
        <v>CONSTRUCCIÓN TORRES DE ILUMINACIÓN ESTADIO AQUELARRE</v>
      </c>
      <c r="C29" s="10" t="str">
        <f ca="1">IFERROR(__xludf.DUMMYFUNCTION("""COMPUTED_VALUE"""),"1-C-2020-1351 [FET]")</f>
        <v>1-C-2020-1351 [FET]</v>
      </c>
      <c r="D29" s="26" t="str">
        <f t="shared" ca="1" si="0"/>
        <v xml:space="preserve"> VICHUQUÉN</v>
      </c>
      <c r="E29" s="10" t="str">
        <f ca="1">IFERROR(__xludf.DUMMYFUNCTION("""COMPUTED_VALUE"""),"Guía Operativa")</f>
        <v>Guía Operativa</v>
      </c>
      <c r="F29" s="10" t="str">
        <f ca="1">IFERROR(__xludf.DUMMYFUNCTION("""COMPUTED_VALUE"""),"MUNICIPALIDAD DE VICHUQUÉN")</f>
        <v>MUNICIPALIDAD DE VICHUQUÉN</v>
      </c>
      <c r="G29" s="71">
        <f ca="1">IFERROR(__xludf.DUMMYFUNCTION("""COMPUTED_VALUE"""),74859954)</f>
        <v>74859954</v>
      </c>
      <c r="H29" s="10" t="str">
        <f ca="1">IFERROR(__xludf.DUMMYFUNCTION("""COMPUTED_VALUE"""),"Resolución")</f>
        <v>Resolución</v>
      </c>
      <c r="I29" s="10" t="str">
        <f ca="1">IFERROR(__xludf.DUMMYFUNCTION("""COMPUTED_VALUE"""),"OBRA")</f>
        <v>OBRA</v>
      </c>
      <c r="J29" s="10" t="str">
        <f ca="1">IFERROR(__xludf.DUMMYFUNCTION("""COMPUTED_VALUE"""),"Cumplir con normativa y reglamentos internos del programa en base a los objetivos.")</f>
        <v>Cumplir con normativa y reglamentos internos del programa en base a los objetivos.</v>
      </c>
      <c r="K29" s="71">
        <f ca="1">IFERROR(__xludf.DUMMYFUNCTION("""COMPUTED_VALUE"""),17273479)</f>
        <v>17273479</v>
      </c>
      <c r="L29" s="72">
        <f ca="1">IFERROR(__xludf.DUMMYFUNCTION("""COMPUTED_VALUE"""),0.999999412235813)</f>
        <v>0.99999941223581301</v>
      </c>
      <c r="M29" s="10">
        <f ca="1">IFERROR(__xludf.DUMMYFUNCTION("""COMPUTED_VALUE"""),1663)</f>
        <v>1663</v>
      </c>
      <c r="N29" s="10" t="str">
        <f ca="1">IFERROR(__xludf.DUMMYFUNCTION("""COMPUTED_VALUE"""),"PMU")</f>
        <v>PMU</v>
      </c>
      <c r="O29" s="1"/>
      <c r="P29" s="1"/>
      <c r="Q29" s="1"/>
      <c r="R29" s="1"/>
      <c r="S29" s="1"/>
      <c r="T29" s="1"/>
      <c r="U29" s="1"/>
      <c r="V29" s="1"/>
      <c r="W29" s="1"/>
      <c r="X29" s="1"/>
      <c r="Y29" s="1"/>
      <c r="Z29" s="1"/>
    </row>
    <row r="30" spans="1:26" ht="12.75" customHeight="1">
      <c r="A30" s="1"/>
      <c r="B30" s="10" t="str">
        <f ca="1">IFERROR(__xludf.DUMMYFUNCTION("""COMPUTED_VALUE"""),"CONSTRUCCIÓN INFRAESTRUCTURA SOCIAL MULTIPROPÓSITO VILLA LAS DELICIAS CAUQUENES")</f>
        <v>CONSTRUCCIÓN INFRAESTRUCTURA SOCIAL MULTIPROPÓSITO VILLA LAS DELICIAS CAUQUENES</v>
      </c>
      <c r="C30" s="10" t="str">
        <f ca="1">IFERROR(__xludf.DUMMYFUNCTION("""COMPUTED_VALUE"""),"1-C-2021-98")</f>
        <v>1-C-2021-98</v>
      </c>
      <c r="D30" s="26" t="str">
        <f t="shared" ca="1" si="0"/>
        <v xml:space="preserve"> CAUQUENES</v>
      </c>
      <c r="E30" s="10" t="str">
        <f ca="1">IFERROR(__xludf.DUMMYFUNCTION("""COMPUTED_VALUE"""),"Guía Operativa")</f>
        <v>Guía Operativa</v>
      </c>
      <c r="F30" s="10" t="str">
        <f ca="1">IFERROR(__xludf.DUMMYFUNCTION("""COMPUTED_VALUE"""),"MUNICIPALIDAD DE CAUQUENES")</f>
        <v>MUNICIPALIDAD DE CAUQUENES</v>
      </c>
      <c r="G30" s="71">
        <f ca="1">IFERROR(__xludf.DUMMYFUNCTION("""COMPUTED_VALUE"""),74948097)</f>
        <v>74948097</v>
      </c>
      <c r="H30" s="10" t="str">
        <f ca="1">IFERROR(__xludf.DUMMYFUNCTION("""COMPUTED_VALUE"""),"Resolución")</f>
        <v>Resolución</v>
      </c>
      <c r="I30" s="10" t="str">
        <f ca="1">IFERROR(__xludf.DUMMYFUNCTION("""COMPUTED_VALUE"""),"OBRA")</f>
        <v>OBRA</v>
      </c>
      <c r="J30" s="10" t="str">
        <f ca="1">IFERROR(__xludf.DUMMYFUNCTION("""COMPUTED_VALUE"""),"Cumplir con normativa y reglamentos internos del programa en base a los objetivos.")</f>
        <v>Cumplir con normativa y reglamentos internos del programa en base a los objetivos.</v>
      </c>
      <c r="K30" s="71">
        <f ca="1">IFERROR(__xludf.DUMMYFUNCTION("""COMPUTED_VALUE"""),13041079)</f>
        <v>13041079</v>
      </c>
      <c r="L30" s="72">
        <f ca="1">IFERROR(__xludf.DUMMYFUNCTION("""COMPUTED_VALUE"""),0.974007412089462)</f>
        <v>0.97400741208946195</v>
      </c>
      <c r="M30" s="10">
        <f ca="1">IFERROR(__xludf.DUMMYFUNCTION("""COMPUTED_VALUE"""),11882)</f>
        <v>11882</v>
      </c>
      <c r="N30" s="10" t="str">
        <f ca="1">IFERROR(__xludf.DUMMYFUNCTION("""COMPUTED_VALUE"""),"PMU")</f>
        <v>PMU</v>
      </c>
      <c r="O30" s="1"/>
      <c r="P30" s="1"/>
      <c r="Q30" s="1"/>
      <c r="R30" s="1"/>
      <c r="S30" s="1"/>
      <c r="T30" s="1"/>
      <c r="U30" s="1"/>
      <c r="V30" s="1"/>
      <c r="W30" s="1"/>
      <c r="X30" s="1"/>
      <c r="Y30" s="1"/>
      <c r="Z30" s="1"/>
    </row>
    <row r="31" spans="1:26" ht="12.75" customHeight="1">
      <c r="A31" s="1"/>
      <c r="B31" s="10" t="str">
        <f ca="1">IFERROR(__xludf.DUMMYFUNCTION("""COMPUTED_VALUE"""),"REPOSICIÓN VEREDAS Y MEJORAMIENTO ÁREA VERDE CALLE CAMPILLO, MULCHEN")</f>
        <v>REPOSICIÓN VEREDAS Y MEJORAMIENTO ÁREA VERDE CALLE CAMPILLO, MULCHEN</v>
      </c>
      <c r="C31" s="10" t="str">
        <f ca="1">IFERROR(__xludf.DUMMYFUNCTION("""COMPUTED_VALUE"""),"1-C-2021-115 [FET]")</f>
        <v>1-C-2021-115 [FET]</v>
      </c>
      <c r="D31" s="26" t="str">
        <f t="shared" ca="1" si="0"/>
        <v xml:space="preserve"> MULCHÉN</v>
      </c>
      <c r="E31" s="10" t="str">
        <f ca="1">IFERROR(__xludf.DUMMYFUNCTION("""COMPUTED_VALUE"""),"Guía Operativa")</f>
        <v>Guía Operativa</v>
      </c>
      <c r="F31" s="10" t="str">
        <f ca="1">IFERROR(__xludf.DUMMYFUNCTION("""COMPUTED_VALUE"""),"MUNICIPALIDAD DE MULCHÉN")</f>
        <v>MUNICIPALIDAD DE MULCHÉN</v>
      </c>
      <c r="G31" s="71">
        <f ca="1">IFERROR(__xludf.DUMMYFUNCTION("""COMPUTED_VALUE"""),74999999)</f>
        <v>74999999</v>
      </c>
      <c r="H31" s="10" t="str">
        <f ca="1">IFERROR(__xludf.DUMMYFUNCTION("""COMPUTED_VALUE"""),"Resolución")</f>
        <v>Resolución</v>
      </c>
      <c r="I31" s="10" t="str">
        <f ca="1">IFERROR(__xludf.DUMMYFUNCTION("""COMPUTED_VALUE"""),"OBRA")</f>
        <v>OBRA</v>
      </c>
      <c r="J31" s="10" t="str">
        <f ca="1">IFERROR(__xludf.DUMMYFUNCTION("""COMPUTED_VALUE"""),"Cumplir con normativa y reglamentos internos del programa en base a los objetivos.")</f>
        <v>Cumplir con normativa y reglamentos internos del programa en base a los objetivos.</v>
      </c>
      <c r="K31" s="71">
        <f ca="1">IFERROR(__xludf.DUMMYFUNCTION("""COMPUTED_VALUE"""),14859825)</f>
        <v>14859825</v>
      </c>
      <c r="L31" s="72">
        <f ca="1">IFERROR(__xludf.DUMMYFUNCTION("""COMPUTED_VALUE"""),0.998116226641549)</f>
        <v>0.99811622664154898</v>
      </c>
      <c r="M31" s="10">
        <f ca="1">IFERROR(__xludf.DUMMYFUNCTION("""COMPUTED_VALUE"""),11532)</f>
        <v>11532</v>
      </c>
      <c r="N31" s="10" t="str">
        <f ca="1">IFERROR(__xludf.DUMMYFUNCTION("""COMPUTED_VALUE"""),"PMU")</f>
        <v>PMU</v>
      </c>
      <c r="O31" s="1"/>
      <c r="P31" s="1"/>
      <c r="Q31" s="1"/>
      <c r="R31" s="1"/>
      <c r="S31" s="1"/>
      <c r="T31" s="1"/>
      <c r="U31" s="1"/>
      <c r="V31" s="1"/>
      <c r="W31" s="1"/>
      <c r="X31" s="1"/>
      <c r="Y31" s="1"/>
      <c r="Z31" s="1"/>
    </row>
    <row r="32" spans="1:26" ht="12.75" customHeight="1">
      <c r="A32" s="1"/>
      <c r="B32" s="10" t="str">
        <f ca="1">IFERROR(__xludf.DUMMYFUNCTION("""COMPUTED_VALUE"""),"CONSTRUCCION CIERRE PERIMETRAL TERRENO MUNICIPAL EX ESCUELA VILLA ALEGRE")</f>
        <v>CONSTRUCCION CIERRE PERIMETRAL TERRENO MUNICIPAL EX ESCUELA VILLA ALEGRE</v>
      </c>
      <c r="C32" s="10" t="str">
        <f ca="1">IFERROR(__xludf.DUMMYFUNCTION("""COMPUTED_VALUE"""),"1-K-2023-129")</f>
        <v>1-K-2023-129</v>
      </c>
      <c r="D32" s="26" t="str">
        <f t="shared" ca="1" si="0"/>
        <v xml:space="preserve"> CURANILAHUE</v>
      </c>
      <c r="E32" s="10" t="str">
        <f ca="1">IFERROR(__xludf.DUMMYFUNCTION("""COMPUTED_VALUE"""),"Guía Operativa")</f>
        <v>Guía Operativa</v>
      </c>
      <c r="F32" s="10" t="str">
        <f ca="1">IFERROR(__xludf.DUMMYFUNCTION("""COMPUTED_VALUE"""),"MUNICIPALIDAD DE CURANILAHUE")</f>
        <v>MUNICIPALIDAD DE CURANILAHUE</v>
      </c>
      <c r="G32" s="71">
        <f ca="1">IFERROR(__xludf.DUMMYFUNCTION("""COMPUTED_VALUE"""),146000000)</f>
        <v>146000000</v>
      </c>
      <c r="H32" s="10" t="str">
        <f ca="1">IFERROR(__xludf.DUMMYFUNCTION("""COMPUTED_VALUE"""),"Resolución")</f>
        <v>Resolución</v>
      </c>
      <c r="I32" s="10" t="str">
        <f ca="1">IFERROR(__xludf.DUMMYFUNCTION("""COMPUTED_VALUE"""),"OBRA")</f>
        <v>OBRA</v>
      </c>
      <c r="J32" s="10" t="str">
        <f ca="1">IFERROR(__xludf.DUMMYFUNCTION("""COMPUTED_VALUE"""),"Cumplir con normativa y reglamentos internos del programa en base a los objetivos.")</f>
        <v>Cumplir con normativa y reglamentos internos del programa en base a los objetivos.</v>
      </c>
      <c r="K32" s="71">
        <f ca="1">IFERROR(__xludf.DUMMYFUNCTION("""COMPUTED_VALUE"""),143240221)</f>
        <v>143240221</v>
      </c>
      <c r="L32" s="72">
        <f ca="1">IFERROR(__xludf.DUMMYFUNCTION("""COMPUTED_VALUE"""),0.981097404109589)</f>
        <v>0.98109740410958901</v>
      </c>
      <c r="M32" s="10">
        <f ca="1">IFERROR(__xludf.DUMMYFUNCTION("""COMPUTED_VALUE"""),1009)</f>
        <v>1009</v>
      </c>
      <c r="N32" s="10" t="str">
        <f ca="1">IFERROR(__xludf.DUMMYFUNCTION("""COMPUTED_VALUE"""),"PMU")</f>
        <v>PMU</v>
      </c>
      <c r="O32" s="1"/>
      <c r="P32" s="1"/>
      <c r="Q32" s="1"/>
      <c r="R32" s="1"/>
      <c r="S32" s="1"/>
      <c r="T32" s="1"/>
      <c r="U32" s="1"/>
      <c r="V32" s="1"/>
      <c r="W32" s="1"/>
      <c r="X32" s="1"/>
      <c r="Y32" s="1"/>
      <c r="Z32" s="1"/>
    </row>
    <row r="33" spans="1:26" ht="12.75" customHeight="1">
      <c r="A33" s="1"/>
      <c r="B33" s="10" t="str">
        <f ca="1">IFERROR(__xludf.DUMMYFUNCTION("""COMPUTED_VALUE"""),"REPOSICION E INSTALACIÓN SEÑALETICAS SECTOR AV. LIBERTAD Y RAMÓN RABAL")</f>
        <v>REPOSICION E INSTALACIÓN SEÑALETICAS SECTOR AV. LIBERTAD Y RAMÓN RABAL</v>
      </c>
      <c r="C33" s="10" t="str">
        <f ca="1">IFERROR(__xludf.DUMMYFUNCTION("""COMPUTED_VALUE"""),"1-K-2023-130")</f>
        <v>1-K-2023-130</v>
      </c>
      <c r="D33" s="26" t="str">
        <f t="shared" ca="1" si="0"/>
        <v xml:space="preserve"> CURANILAHUE</v>
      </c>
      <c r="E33" s="10" t="str">
        <f ca="1">IFERROR(__xludf.DUMMYFUNCTION("""COMPUTED_VALUE"""),"Guía Operativa")</f>
        <v>Guía Operativa</v>
      </c>
      <c r="F33" s="10" t="str">
        <f ca="1">IFERROR(__xludf.DUMMYFUNCTION("""COMPUTED_VALUE"""),"MUNICIPALIDAD DE CURANILAHUE")</f>
        <v>MUNICIPALIDAD DE CURANILAHUE</v>
      </c>
      <c r="G33" s="71">
        <f ca="1">IFERROR(__xludf.DUMMYFUNCTION("""COMPUTED_VALUE"""),151000000)</f>
        <v>151000000</v>
      </c>
      <c r="H33" s="10" t="str">
        <f ca="1">IFERROR(__xludf.DUMMYFUNCTION("""COMPUTED_VALUE"""),"Resolución")</f>
        <v>Resolución</v>
      </c>
      <c r="I33" s="10" t="str">
        <f ca="1">IFERROR(__xludf.DUMMYFUNCTION("""COMPUTED_VALUE"""),"OBRA")</f>
        <v>OBRA</v>
      </c>
      <c r="J33" s="10" t="str">
        <f ca="1">IFERROR(__xludf.DUMMYFUNCTION("""COMPUTED_VALUE"""),"Cumplir con normativa y reglamentos internos del programa en base a los objetivos.")</f>
        <v>Cumplir con normativa y reglamentos internos del programa en base a los objetivos.</v>
      </c>
      <c r="K33" s="71">
        <f ca="1">IFERROR(__xludf.DUMMYFUNCTION("""COMPUTED_VALUE"""),147546221)</f>
        <v>147546221</v>
      </c>
      <c r="L33" s="72">
        <f ca="1">IFERROR(__xludf.DUMMYFUNCTION("""COMPUTED_VALUE"""),0.977127291390728)</f>
        <v>0.97712729139072796</v>
      </c>
      <c r="M33" s="10">
        <f ca="1">IFERROR(__xludf.DUMMYFUNCTION("""COMPUTED_VALUE"""),1024)</f>
        <v>1024</v>
      </c>
      <c r="N33" s="10" t="str">
        <f ca="1">IFERROR(__xludf.DUMMYFUNCTION("""COMPUTED_VALUE"""),"PMU")</f>
        <v>PMU</v>
      </c>
      <c r="O33" s="1"/>
      <c r="P33" s="1"/>
      <c r="Q33" s="1"/>
      <c r="R33" s="1"/>
      <c r="S33" s="1"/>
      <c r="T33" s="1"/>
      <c r="U33" s="1"/>
      <c r="V33" s="1"/>
      <c r="W33" s="1"/>
      <c r="X33" s="1"/>
      <c r="Y33" s="1"/>
      <c r="Z33" s="1"/>
    </row>
    <row r="34" spans="1:26" ht="12.75" customHeight="1">
      <c r="A34" s="1"/>
      <c r="B34" s="10" t="str">
        <f ca="1">IFERROR(__xludf.DUMMYFUNCTION("""COMPUTED_VALUE"""),"MEJORAMIENTO AREA VERDE POBL. MIRAFLORES II")</f>
        <v>MEJORAMIENTO AREA VERDE POBL. MIRAFLORES II</v>
      </c>
      <c r="C34" s="10" t="str">
        <f ca="1">IFERROR(__xludf.DUMMYFUNCTION("""COMPUTED_VALUE"""),"1-K-2023-131")</f>
        <v>1-K-2023-131</v>
      </c>
      <c r="D34" s="26" t="str">
        <f t="shared" ca="1" si="0"/>
        <v xml:space="preserve"> CURANILAHUE</v>
      </c>
      <c r="E34" s="10" t="str">
        <f ca="1">IFERROR(__xludf.DUMMYFUNCTION("""COMPUTED_VALUE"""),"Guía Operativa")</f>
        <v>Guía Operativa</v>
      </c>
      <c r="F34" s="10" t="str">
        <f ca="1">IFERROR(__xludf.DUMMYFUNCTION("""COMPUTED_VALUE"""),"MUNICIPALIDAD DE CURANILAHUE")</f>
        <v>MUNICIPALIDAD DE CURANILAHUE</v>
      </c>
      <c r="G34" s="71">
        <f ca="1">IFERROR(__xludf.DUMMYFUNCTION("""COMPUTED_VALUE"""),151000000)</f>
        <v>151000000</v>
      </c>
      <c r="H34" s="10" t="str">
        <f ca="1">IFERROR(__xludf.DUMMYFUNCTION("""COMPUTED_VALUE"""),"Resolución")</f>
        <v>Resolución</v>
      </c>
      <c r="I34" s="10" t="str">
        <f ca="1">IFERROR(__xludf.DUMMYFUNCTION("""COMPUTED_VALUE"""),"OBRA")</f>
        <v>OBRA</v>
      </c>
      <c r="J34" s="10" t="str">
        <f ca="1">IFERROR(__xludf.DUMMYFUNCTION("""COMPUTED_VALUE"""),"Cumplir con normativa y reglamentos internos del programa en base a los objetivos.")</f>
        <v>Cumplir con normativa y reglamentos internos del programa en base a los objetivos.</v>
      </c>
      <c r="K34" s="71">
        <f ca="1">IFERROR(__xludf.DUMMYFUNCTION("""COMPUTED_VALUE"""),147451021)</f>
        <v>147451021</v>
      </c>
      <c r="L34" s="72">
        <f ca="1">IFERROR(__xludf.DUMMYFUNCTION("""COMPUTED_VALUE"""),0.976496827814569)</f>
        <v>0.97649682781456904</v>
      </c>
      <c r="M34" s="10">
        <f ca="1">IFERROR(__xludf.DUMMYFUNCTION("""COMPUTED_VALUE"""),1055)</f>
        <v>1055</v>
      </c>
      <c r="N34" s="10" t="str">
        <f ca="1">IFERROR(__xludf.DUMMYFUNCTION("""COMPUTED_VALUE"""),"PMU")</f>
        <v>PMU</v>
      </c>
      <c r="O34" s="1"/>
      <c r="P34" s="1"/>
      <c r="Q34" s="1"/>
      <c r="R34" s="1"/>
      <c r="S34" s="1"/>
      <c r="T34" s="1"/>
      <c r="U34" s="1"/>
      <c r="V34" s="1"/>
      <c r="W34" s="1"/>
      <c r="X34" s="1"/>
      <c r="Y34" s="1"/>
      <c r="Z34" s="1"/>
    </row>
    <row r="35" spans="1:26" ht="12.75" customHeight="1">
      <c r="A35" s="1"/>
      <c r="B35" s="10" t="str">
        <f ca="1">IFERROR(__xludf.DUMMYFUNCTION("""COMPUTED_VALUE"""),"MEJORAMIENTO AREAS VERDES POBL. MIRAFLORES V Y MIRAFLORES VI")</f>
        <v>MEJORAMIENTO AREAS VERDES POBL. MIRAFLORES V Y MIRAFLORES VI</v>
      </c>
      <c r="C35" s="10" t="str">
        <f ca="1">IFERROR(__xludf.DUMMYFUNCTION("""COMPUTED_VALUE"""),"1-K-2023-132")</f>
        <v>1-K-2023-132</v>
      </c>
      <c r="D35" s="26" t="str">
        <f t="shared" ca="1" si="0"/>
        <v xml:space="preserve"> CURANILAHUE</v>
      </c>
      <c r="E35" s="10" t="str">
        <f ca="1">IFERROR(__xludf.DUMMYFUNCTION("""COMPUTED_VALUE"""),"Guía Operativa")</f>
        <v>Guía Operativa</v>
      </c>
      <c r="F35" s="10" t="str">
        <f ca="1">IFERROR(__xludf.DUMMYFUNCTION("""COMPUTED_VALUE"""),"MUNICIPALIDAD DE CURANILAHUE")</f>
        <v>MUNICIPALIDAD DE CURANILAHUE</v>
      </c>
      <c r="G35" s="71">
        <f ca="1">IFERROR(__xludf.DUMMYFUNCTION("""COMPUTED_VALUE"""),151000000)</f>
        <v>151000000</v>
      </c>
      <c r="H35" s="10" t="str">
        <f ca="1">IFERROR(__xludf.DUMMYFUNCTION("""COMPUTED_VALUE"""),"Resolución")</f>
        <v>Resolución</v>
      </c>
      <c r="I35" s="10" t="str">
        <f ca="1">IFERROR(__xludf.DUMMYFUNCTION("""COMPUTED_VALUE"""),"OBRA")</f>
        <v>OBRA</v>
      </c>
      <c r="J35" s="10" t="str">
        <f ca="1">IFERROR(__xludf.DUMMYFUNCTION("""COMPUTED_VALUE"""),"Cumplir con normativa y reglamentos internos del programa en base a los objetivos.")</f>
        <v>Cumplir con normativa y reglamentos internos del programa en base a los objetivos.</v>
      </c>
      <c r="K35" s="71">
        <f ca="1">IFERROR(__xludf.DUMMYFUNCTION("""COMPUTED_VALUE"""),147447221)</f>
        <v>147447221</v>
      </c>
      <c r="L35" s="72">
        <f ca="1">IFERROR(__xludf.DUMMYFUNCTION("""COMPUTED_VALUE"""),0.976471662251655)</f>
        <v>0.97647166225165505</v>
      </c>
      <c r="M35" s="10">
        <f ca="1">IFERROR(__xludf.DUMMYFUNCTION("""COMPUTED_VALUE"""),1055)</f>
        <v>1055</v>
      </c>
      <c r="N35" s="10" t="str">
        <f ca="1">IFERROR(__xludf.DUMMYFUNCTION("""COMPUTED_VALUE"""),"PMU")</f>
        <v>PMU</v>
      </c>
      <c r="O35" s="1"/>
      <c r="P35" s="1"/>
      <c r="Q35" s="1"/>
      <c r="R35" s="1"/>
      <c r="S35" s="1"/>
      <c r="T35" s="1"/>
      <c r="U35" s="1"/>
      <c r="V35" s="1"/>
      <c r="W35" s="1"/>
      <c r="X35" s="1"/>
      <c r="Y35" s="1"/>
      <c r="Z35" s="1"/>
    </row>
    <row r="36" spans="1:26" ht="12.75" customHeight="1">
      <c r="A36" s="1"/>
      <c r="B36" s="10" t="str">
        <f ca="1">IFERROR(__xludf.DUMMYFUNCTION("""COMPUTED_VALUE"""),"MEJORAMIENTO PLAZOLETA SAN JOSE DE COLICO")</f>
        <v>MEJORAMIENTO PLAZOLETA SAN JOSE DE COLICO</v>
      </c>
      <c r="C36" s="10" t="str">
        <f ca="1">IFERROR(__xludf.DUMMYFUNCTION("""COMPUTED_VALUE"""),"1-K-2023-133")</f>
        <v>1-K-2023-133</v>
      </c>
      <c r="D36" s="26" t="str">
        <f t="shared" ca="1" si="0"/>
        <v xml:space="preserve"> CURANILAHUE</v>
      </c>
      <c r="E36" s="10" t="str">
        <f ca="1">IFERROR(__xludf.DUMMYFUNCTION("""COMPUTED_VALUE"""),"Guía Operativa")</f>
        <v>Guía Operativa</v>
      </c>
      <c r="F36" s="10" t="str">
        <f ca="1">IFERROR(__xludf.DUMMYFUNCTION("""COMPUTED_VALUE"""),"MUNICIPALIDAD DE CURANILAHUE")</f>
        <v>MUNICIPALIDAD DE CURANILAHUE</v>
      </c>
      <c r="G36" s="71">
        <f ca="1">IFERROR(__xludf.DUMMYFUNCTION("""COMPUTED_VALUE"""),150000000)</f>
        <v>150000000</v>
      </c>
      <c r="H36" s="10" t="str">
        <f ca="1">IFERROR(__xludf.DUMMYFUNCTION("""COMPUTED_VALUE"""),"Resolución")</f>
        <v>Resolución</v>
      </c>
      <c r="I36" s="10" t="str">
        <f ca="1">IFERROR(__xludf.DUMMYFUNCTION("""COMPUTED_VALUE"""),"OBRA")</f>
        <v>OBRA</v>
      </c>
      <c r="J36" s="10" t="str">
        <f ca="1">IFERROR(__xludf.DUMMYFUNCTION("""COMPUTED_VALUE"""),"Cumplir con normativa y reglamentos internos del programa en base a los objetivos.")</f>
        <v>Cumplir con normativa y reglamentos internos del programa en base a los objetivos.</v>
      </c>
      <c r="K36" s="71">
        <f ca="1">IFERROR(__xludf.DUMMYFUNCTION("""COMPUTED_VALUE"""),147227421)</f>
        <v>147227421</v>
      </c>
      <c r="L36" s="72">
        <f ca="1">IFERROR(__xludf.DUMMYFUNCTION("""COMPUTED_VALUE"""),0.98151614)</f>
        <v>0.98151613999999998</v>
      </c>
      <c r="M36" s="10">
        <f ca="1">IFERROR(__xludf.DUMMYFUNCTION("""COMPUTED_VALUE"""),1020)</f>
        <v>1020</v>
      </c>
      <c r="N36" s="10" t="str">
        <f ca="1">IFERROR(__xludf.DUMMYFUNCTION("""COMPUTED_VALUE"""),"PMU")</f>
        <v>PMU</v>
      </c>
      <c r="O36" s="1"/>
      <c r="P36" s="1"/>
      <c r="Q36" s="1"/>
      <c r="R36" s="1"/>
      <c r="S36" s="1"/>
      <c r="T36" s="1"/>
      <c r="U36" s="1"/>
      <c r="V36" s="1"/>
      <c r="W36" s="1"/>
      <c r="X36" s="1"/>
      <c r="Y36" s="1"/>
      <c r="Z36" s="1"/>
    </row>
    <row r="37" spans="1:26" ht="12.75" customHeight="1">
      <c r="A37" s="1"/>
      <c r="B37" s="10" t="str">
        <f ca="1">IFERROR(__xludf.DUMMYFUNCTION("""COMPUTED_VALUE"""),"MEJORAMIENTO AREA DE JUEGOS INFANTILES PORTALES ALTO ESQUINA FEDERICO SALGADO")</f>
        <v>MEJORAMIENTO AREA DE JUEGOS INFANTILES PORTALES ALTO ESQUINA FEDERICO SALGADO</v>
      </c>
      <c r="C37" s="10" t="str">
        <f ca="1">IFERROR(__xludf.DUMMYFUNCTION("""COMPUTED_VALUE"""),"1-K-2023-134")</f>
        <v>1-K-2023-134</v>
      </c>
      <c r="D37" s="26" t="str">
        <f t="shared" ca="1" si="0"/>
        <v xml:space="preserve"> CURANILAHUE</v>
      </c>
      <c r="E37" s="10" t="str">
        <f ca="1">IFERROR(__xludf.DUMMYFUNCTION("""COMPUTED_VALUE"""),"Guía Operativa")</f>
        <v>Guía Operativa</v>
      </c>
      <c r="F37" s="10" t="str">
        <f ca="1">IFERROR(__xludf.DUMMYFUNCTION("""COMPUTED_VALUE"""),"MUNICIPALIDAD DE CURANILAHUE")</f>
        <v>MUNICIPALIDAD DE CURANILAHUE</v>
      </c>
      <c r="G37" s="71">
        <f ca="1">IFERROR(__xludf.DUMMYFUNCTION("""COMPUTED_VALUE"""),152000000)</f>
        <v>152000000</v>
      </c>
      <c r="H37" s="10" t="str">
        <f ca="1">IFERROR(__xludf.DUMMYFUNCTION("""COMPUTED_VALUE"""),"Resolución")</f>
        <v>Resolución</v>
      </c>
      <c r="I37" s="10" t="str">
        <f ca="1">IFERROR(__xludf.DUMMYFUNCTION("""COMPUTED_VALUE"""),"OBRA")</f>
        <v>OBRA</v>
      </c>
      <c r="J37" s="10" t="str">
        <f ca="1">IFERROR(__xludf.DUMMYFUNCTION("""COMPUTED_VALUE"""),"Cumplir con normativa y reglamentos internos del programa en base a los objetivos.")</f>
        <v>Cumplir con normativa y reglamentos internos del programa en base a los objetivos.</v>
      </c>
      <c r="K37" s="71">
        <f ca="1">IFERROR(__xludf.DUMMYFUNCTION("""COMPUTED_VALUE"""),148438821)</f>
        <v>148438821</v>
      </c>
      <c r="L37" s="72">
        <f ca="1">IFERROR(__xludf.DUMMYFUNCTION("""COMPUTED_VALUE"""),0.976571190789473)</f>
        <v>0.97657119078947296</v>
      </c>
      <c r="M37" s="10">
        <f ca="1">IFERROR(__xludf.DUMMYFUNCTION("""COMPUTED_VALUE"""),1009)</f>
        <v>1009</v>
      </c>
      <c r="N37" s="10" t="str">
        <f ca="1">IFERROR(__xludf.DUMMYFUNCTION("""COMPUTED_VALUE"""),"PMU")</f>
        <v>PMU</v>
      </c>
      <c r="O37" s="1"/>
      <c r="P37" s="1"/>
      <c r="Q37" s="1"/>
      <c r="R37" s="1"/>
      <c r="S37" s="1"/>
      <c r="T37" s="1"/>
      <c r="U37" s="1"/>
      <c r="V37" s="1"/>
      <c r="W37" s="1"/>
      <c r="X37" s="1"/>
      <c r="Y37" s="1"/>
      <c r="Z37" s="1"/>
    </row>
    <row r="38" spans="1:26" ht="12.75" customHeight="1">
      <c r="A38" s="1"/>
      <c r="B38" s="10" t="str">
        <f ca="1">IFERROR(__xludf.DUMMYFUNCTION("""COMPUTED_VALUE"""),"MEJORAMIENTO VEREDAS COSTADO NORTE CALLE RAMÓN ZAMORA")</f>
        <v>MEJORAMIENTO VEREDAS COSTADO NORTE CALLE RAMÓN ZAMORA</v>
      </c>
      <c r="C38" s="10" t="str">
        <f ca="1">IFERROR(__xludf.DUMMYFUNCTION("""COMPUTED_VALUE"""),"1-K-2023-135")</f>
        <v>1-K-2023-135</v>
      </c>
      <c r="D38" s="26" t="str">
        <f t="shared" ca="1" si="0"/>
        <v xml:space="preserve"> CURANILAHUE</v>
      </c>
      <c r="E38" s="10" t="str">
        <f ca="1">IFERROR(__xludf.DUMMYFUNCTION("""COMPUTED_VALUE"""),"Guía Operativa")</f>
        <v>Guía Operativa</v>
      </c>
      <c r="F38" s="10" t="str">
        <f ca="1">IFERROR(__xludf.DUMMYFUNCTION("""COMPUTED_VALUE"""),"MUNICIPALIDAD DE CURANILAHUE")</f>
        <v>MUNICIPALIDAD DE CURANILAHUE</v>
      </c>
      <c r="G38" s="71">
        <f ca="1">IFERROR(__xludf.DUMMYFUNCTION("""COMPUTED_VALUE"""),152000000)</f>
        <v>152000000</v>
      </c>
      <c r="H38" s="10" t="str">
        <f ca="1">IFERROR(__xludf.DUMMYFUNCTION("""COMPUTED_VALUE"""),"Resolución")</f>
        <v>Resolución</v>
      </c>
      <c r="I38" s="10" t="str">
        <f ca="1">IFERROR(__xludf.DUMMYFUNCTION("""COMPUTED_VALUE"""),"OBRA")</f>
        <v>OBRA</v>
      </c>
      <c r="J38" s="10" t="str">
        <f ca="1">IFERROR(__xludf.DUMMYFUNCTION("""COMPUTED_VALUE"""),"Cumplir con normativa y reglamentos internos del programa en base a los objetivos.")</f>
        <v>Cumplir con normativa y reglamentos internos del programa en base a los objetivos.</v>
      </c>
      <c r="K38" s="71">
        <f ca="1">IFERROR(__xludf.DUMMYFUNCTION("""COMPUTED_VALUE"""),151955752)</f>
        <v>151955752</v>
      </c>
      <c r="L38" s="72">
        <f ca="1">IFERROR(__xludf.DUMMYFUNCTION("""COMPUTED_VALUE"""),0.999708894736842)</f>
        <v>0.99970889473684199</v>
      </c>
      <c r="M38" s="10">
        <f ca="1">IFERROR(__xludf.DUMMYFUNCTION("""COMPUTED_VALUE"""),1009)</f>
        <v>1009</v>
      </c>
      <c r="N38" s="10" t="str">
        <f ca="1">IFERROR(__xludf.DUMMYFUNCTION("""COMPUTED_VALUE"""),"PMU")</f>
        <v>PMU</v>
      </c>
      <c r="O38" s="1"/>
      <c r="P38" s="1"/>
      <c r="Q38" s="1"/>
      <c r="R38" s="1"/>
      <c r="S38" s="1"/>
      <c r="T38" s="1"/>
      <c r="U38" s="1"/>
      <c r="V38" s="1"/>
      <c r="W38" s="1"/>
      <c r="X38" s="1"/>
      <c r="Y38" s="1"/>
      <c r="Z38" s="1"/>
    </row>
    <row r="39" spans="1:26" ht="12.75" customHeight="1">
      <c r="A39" s="1"/>
      <c r="B39" s="10" t="str">
        <f ca="1">IFERROR(__xludf.DUMMYFUNCTION("""COMPUTED_VALUE"""),"INSTALACIÓN SEÑALETICAS CALLES Y PASAJES POBLACIONES FORESTAL Y MIRAFLORES")</f>
        <v>INSTALACIÓN SEÑALETICAS CALLES Y PASAJES POBLACIONES FORESTAL Y MIRAFLORES</v>
      </c>
      <c r="C39" s="10" t="str">
        <f ca="1">IFERROR(__xludf.DUMMYFUNCTION("""COMPUTED_VALUE"""),"1-K-2023-136")</f>
        <v>1-K-2023-136</v>
      </c>
      <c r="D39" s="26" t="str">
        <f t="shared" ca="1" si="0"/>
        <v xml:space="preserve"> CURANILAHUE</v>
      </c>
      <c r="E39" s="10" t="str">
        <f ca="1">IFERROR(__xludf.DUMMYFUNCTION("""COMPUTED_VALUE"""),"Guía Operativa")</f>
        <v>Guía Operativa</v>
      </c>
      <c r="F39" s="10" t="str">
        <f ca="1">IFERROR(__xludf.DUMMYFUNCTION("""COMPUTED_VALUE"""),"MUNICIPALIDAD DE CURANILAHUE")</f>
        <v>MUNICIPALIDAD DE CURANILAHUE</v>
      </c>
      <c r="G39" s="71">
        <f ca="1">IFERROR(__xludf.DUMMYFUNCTION("""COMPUTED_VALUE"""),151000000)</f>
        <v>151000000</v>
      </c>
      <c r="H39" s="10" t="str">
        <f ca="1">IFERROR(__xludf.DUMMYFUNCTION("""COMPUTED_VALUE"""),"Resolución")</f>
        <v>Resolución</v>
      </c>
      <c r="I39" s="10" t="str">
        <f ca="1">IFERROR(__xludf.DUMMYFUNCTION("""COMPUTED_VALUE"""),"OBRA")</f>
        <v>OBRA</v>
      </c>
      <c r="J39" s="10" t="str">
        <f ca="1">IFERROR(__xludf.DUMMYFUNCTION("""COMPUTED_VALUE"""),"Cumplir con normativa y reglamentos internos del programa en base a los objetivos.")</f>
        <v>Cumplir con normativa y reglamentos internos del programa en base a los objetivos.</v>
      </c>
      <c r="K39" s="71">
        <f ca="1">IFERROR(__xludf.DUMMYFUNCTION("""COMPUTED_VALUE"""),147546221)</f>
        <v>147546221</v>
      </c>
      <c r="L39" s="72">
        <f ca="1">IFERROR(__xludf.DUMMYFUNCTION("""COMPUTED_VALUE"""),0.977127291390728)</f>
        <v>0.97712729139072796</v>
      </c>
      <c r="M39" s="10">
        <f ca="1">IFERROR(__xludf.DUMMYFUNCTION("""COMPUTED_VALUE"""),1013)</f>
        <v>1013</v>
      </c>
      <c r="N39" s="10" t="str">
        <f ca="1">IFERROR(__xludf.DUMMYFUNCTION("""COMPUTED_VALUE"""),"PMU")</f>
        <v>PMU</v>
      </c>
      <c r="O39" s="1"/>
      <c r="P39" s="1"/>
      <c r="Q39" s="1"/>
      <c r="R39" s="1"/>
      <c r="S39" s="1"/>
      <c r="T39" s="1"/>
      <c r="U39" s="1"/>
      <c r="V39" s="1"/>
      <c r="W39" s="1"/>
      <c r="X39" s="1"/>
      <c r="Y39" s="1"/>
      <c r="Z39" s="1"/>
    </row>
    <row r="40" spans="1:26" ht="12.75" customHeight="1">
      <c r="A40" s="1"/>
      <c r="B40" s="10" t="str">
        <f ca="1">IFERROR(__xludf.DUMMYFUNCTION("""COMPUTED_VALUE"""),"MEJORAMIENTO ÁREAS VERDES ENTORNO CALLE 1, POBLACIÓN CURAMALAL")</f>
        <v>MEJORAMIENTO ÁREAS VERDES ENTORNO CALLE 1, POBLACIÓN CURAMALAL</v>
      </c>
      <c r="C40" s="10" t="str">
        <f ca="1">IFERROR(__xludf.DUMMYFUNCTION("""COMPUTED_VALUE"""),"1-K-2023-137")</f>
        <v>1-K-2023-137</v>
      </c>
      <c r="D40" s="26" t="str">
        <f t="shared" ca="1" si="0"/>
        <v xml:space="preserve"> CURANILAHUE</v>
      </c>
      <c r="E40" s="10" t="str">
        <f ca="1">IFERROR(__xludf.DUMMYFUNCTION("""COMPUTED_VALUE"""),"Guía Operativa")</f>
        <v>Guía Operativa</v>
      </c>
      <c r="F40" s="10" t="str">
        <f ca="1">IFERROR(__xludf.DUMMYFUNCTION("""COMPUTED_VALUE"""),"MUNICIPALIDAD DE CURANILAHUE")</f>
        <v>MUNICIPALIDAD DE CURANILAHUE</v>
      </c>
      <c r="G40" s="71">
        <f ca="1">IFERROR(__xludf.DUMMYFUNCTION("""COMPUTED_VALUE"""),151000000)</f>
        <v>151000000</v>
      </c>
      <c r="H40" s="10" t="str">
        <f ca="1">IFERROR(__xludf.DUMMYFUNCTION("""COMPUTED_VALUE"""),"Resolución")</f>
        <v>Resolución</v>
      </c>
      <c r="I40" s="10" t="str">
        <f ca="1">IFERROR(__xludf.DUMMYFUNCTION("""COMPUTED_VALUE"""),"OBRA")</f>
        <v>OBRA</v>
      </c>
      <c r="J40" s="10" t="str">
        <f ca="1">IFERROR(__xludf.DUMMYFUNCTION("""COMPUTED_VALUE"""),"Cumplir con normativa y reglamentos internos del programa en base a los objetivos.")</f>
        <v>Cumplir con normativa y reglamentos internos del programa en base a los objetivos.</v>
      </c>
      <c r="K40" s="71">
        <f ca="1">IFERROR(__xludf.DUMMYFUNCTION("""COMPUTED_VALUE"""),148438821)</f>
        <v>148438821</v>
      </c>
      <c r="L40" s="72">
        <f ca="1">IFERROR(__xludf.DUMMYFUNCTION("""COMPUTED_VALUE"""),0.983038549668874)</f>
        <v>0.98303854966887405</v>
      </c>
      <c r="M40" s="10">
        <f ca="1">IFERROR(__xludf.DUMMYFUNCTION("""COMPUTED_VALUE"""),1013)</f>
        <v>1013</v>
      </c>
      <c r="N40" s="10" t="str">
        <f ca="1">IFERROR(__xludf.DUMMYFUNCTION("""COMPUTED_VALUE"""),"PMU")</f>
        <v>PMU</v>
      </c>
      <c r="O40" s="1"/>
      <c r="P40" s="1"/>
      <c r="Q40" s="1"/>
      <c r="R40" s="1"/>
      <c r="S40" s="1"/>
      <c r="T40" s="1"/>
      <c r="U40" s="1"/>
      <c r="V40" s="1"/>
      <c r="W40" s="1"/>
      <c r="X40" s="1"/>
      <c r="Y40" s="1"/>
      <c r="Z40" s="1"/>
    </row>
    <row r="41" spans="1:26" ht="12.75" customHeight="1">
      <c r="A41" s="1"/>
      <c r="B41" s="10" t="str">
        <f ca="1">IFERROR(__xludf.DUMMYFUNCTION("""COMPUTED_VALUE"""),"MEJORAMIENTO VEREDAS Y CANAL AGUAS LLUVIAS LADO SUR AV. EDUARDO FREI, DESDE LOS CASTAÑOS HASTA N°1677")</f>
        <v>MEJORAMIENTO VEREDAS Y CANAL AGUAS LLUVIAS LADO SUR AV. EDUARDO FREI, DESDE LOS CASTAÑOS HASTA N°1677</v>
      </c>
      <c r="C41" s="10" t="str">
        <f ca="1">IFERROR(__xludf.DUMMYFUNCTION("""COMPUTED_VALUE"""),"1-K-2023-138")</f>
        <v>1-K-2023-138</v>
      </c>
      <c r="D41" s="26" t="str">
        <f t="shared" ca="1" si="0"/>
        <v xml:space="preserve"> CURANILAHUE</v>
      </c>
      <c r="E41" s="10" t="str">
        <f ca="1">IFERROR(__xludf.DUMMYFUNCTION("""COMPUTED_VALUE"""),"Guía Operativa")</f>
        <v>Guía Operativa</v>
      </c>
      <c r="F41" s="10" t="str">
        <f ca="1">IFERROR(__xludf.DUMMYFUNCTION("""COMPUTED_VALUE"""),"MUNICIPALIDAD DE CURANILAHUE")</f>
        <v>MUNICIPALIDAD DE CURANILAHUE</v>
      </c>
      <c r="G41" s="71">
        <f ca="1">IFERROR(__xludf.DUMMYFUNCTION("""COMPUTED_VALUE"""),148000000)</f>
        <v>148000000</v>
      </c>
      <c r="H41" s="10" t="str">
        <f ca="1">IFERROR(__xludf.DUMMYFUNCTION("""COMPUTED_VALUE"""),"Resolución")</f>
        <v>Resolución</v>
      </c>
      <c r="I41" s="10" t="str">
        <f ca="1">IFERROR(__xludf.DUMMYFUNCTION("""COMPUTED_VALUE"""),"OBRA")</f>
        <v>OBRA</v>
      </c>
      <c r="J41" s="10" t="str">
        <f ca="1">IFERROR(__xludf.DUMMYFUNCTION("""COMPUTED_VALUE"""),"Cumplir con normativa y reglamentos internos del programa en base a los objetivos.")</f>
        <v>Cumplir con normativa y reglamentos internos del programa en base a los objetivos.</v>
      </c>
      <c r="K41" s="71">
        <f ca="1">IFERROR(__xludf.DUMMYFUNCTION("""COMPUTED_VALUE"""),148131958)</f>
        <v>148131958</v>
      </c>
      <c r="L41" s="72">
        <f ca="1">IFERROR(__xludf.DUMMYFUNCTION("""COMPUTED_VALUE"""),1.0008916081081)</f>
        <v>1.0008916081081001</v>
      </c>
      <c r="M41" s="10">
        <f ca="1">IFERROR(__xludf.DUMMYFUNCTION("""COMPUTED_VALUE"""),1055)</f>
        <v>1055</v>
      </c>
      <c r="N41" s="10" t="str">
        <f ca="1">IFERROR(__xludf.DUMMYFUNCTION("""COMPUTED_VALUE"""),"PMU")</f>
        <v>PMU</v>
      </c>
      <c r="O41" s="1"/>
      <c r="P41" s="1"/>
      <c r="Q41" s="1"/>
      <c r="R41" s="1"/>
      <c r="S41" s="1"/>
      <c r="T41" s="1"/>
      <c r="U41" s="1"/>
      <c r="V41" s="1"/>
      <c r="W41" s="1"/>
      <c r="X41" s="1"/>
      <c r="Y41" s="1"/>
      <c r="Z41" s="1"/>
    </row>
    <row r="42" spans="1:26" ht="12.75" customHeight="1">
      <c r="A42" s="1"/>
      <c r="B42" s="10" t="str">
        <f ca="1">IFERROR(__xludf.DUMMYFUNCTION("""COMPUTED_VALUE"""),"CONSTRUCCIÓN E INSTALACIÓN REFUGIO PEATONAL E INSTALACIÓN DE TÓTEM TURISTICOS EN DIVERSOS SECTORES")</f>
        <v>CONSTRUCCIÓN E INSTALACIÓN REFUGIO PEATONAL E INSTALACIÓN DE TÓTEM TURISTICOS EN DIVERSOS SECTORES</v>
      </c>
      <c r="C42" s="10" t="str">
        <f ca="1">IFERROR(__xludf.DUMMYFUNCTION("""COMPUTED_VALUE"""),"1-K-2023-139")</f>
        <v>1-K-2023-139</v>
      </c>
      <c r="D42" s="26" t="str">
        <f t="shared" ca="1" si="0"/>
        <v xml:space="preserve"> CURANILAHUE</v>
      </c>
      <c r="E42" s="10" t="str">
        <f ca="1">IFERROR(__xludf.DUMMYFUNCTION("""COMPUTED_VALUE"""),"Guía Operativa")</f>
        <v>Guía Operativa</v>
      </c>
      <c r="F42" s="10" t="str">
        <f ca="1">IFERROR(__xludf.DUMMYFUNCTION("""COMPUTED_VALUE"""),"MUNICIPALIDAD DE CURANILAHUE")</f>
        <v>MUNICIPALIDAD DE CURANILAHUE</v>
      </c>
      <c r="G42" s="71">
        <f ca="1">IFERROR(__xludf.DUMMYFUNCTION("""COMPUTED_VALUE"""),145000000)</f>
        <v>145000000</v>
      </c>
      <c r="H42" s="10" t="str">
        <f ca="1">IFERROR(__xludf.DUMMYFUNCTION("""COMPUTED_VALUE"""),"Resolución")</f>
        <v>Resolución</v>
      </c>
      <c r="I42" s="10" t="str">
        <f ca="1">IFERROR(__xludf.DUMMYFUNCTION("""COMPUTED_VALUE"""),"OBRA")</f>
        <v>OBRA</v>
      </c>
      <c r="J42" s="10" t="str">
        <f ca="1">IFERROR(__xludf.DUMMYFUNCTION("""COMPUTED_VALUE"""),"Cumplir con normativa y reglamentos internos del programa en base a los objetivos.")</f>
        <v>Cumplir con normativa y reglamentos internos del programa en base a los objetivos.</v>
      </c>
      <c r="K42" s="71">
        <f ca="1">IFERROR(__xludf.DUMMYFUNCTION("""COMPUTED_VALUE"""),141490221)</f>
        <v>141490221</v>
      </c>
      <c r="L42" s="72">
        <f ca="1">IFERROR(__xludf.DUMMYFUNCTION("""COMPUTED_VALUE"""),0.975794627586206)</f>
        <v>0.97579462758620605</v>
      </c>
      <c r="M42" s="10">
        <f ca="1">IFERROR(__xludf.DUMMYFUNCTION("""COMPUTED_VALUE"""),1030)</f>
        <v>1030</v>
      </c>
      <c r="N42" s="10" t="str">
        <f ca="1">IFERROR(__xludf.DUMMYFUNCTION("""COMPUTED_VALUE"""),"PMU")</f>
        <v>PMU</v>
      </c>
      <c r="O42" s="1"/>
      <c r="P42" s="1"/>
      <c r="Q42" s="1"/>
      <c r="R42" s="1"/>
      <c r="S42" s="1"/>
      <c r="T42" s="1"/>
      <c r="U42" s="1"/>
      <c r="V42" s="1"/>
      <c r="W42" s="1"/>
      <c r="X42" s="1"/>
      <c r="Y42" s="1"/>
      <c r="Z42" s="1"/>
    </row>
    <row r="43" spans="1:26" ht="12.75" customHeight="1">
      <c r="A43" s="1"/>
      <c r="B43" s="10" t="str">
        <f ca="1">IFERROR(__xludf.DUMMYFUNCTION("""COMPUTED_VALUE"""),"DEMARCACIÓN Y MEJORAMIENTO VIAL SECTOR ESCUELA 4 DE OCTUBRE Y OTROS")</f>
        <v>DEMARCACIÓN Y MEJORAMIENTO VIAL SECTOR ESCUELA 4 DE OCTUBRE Y OTROS</v>
      </c>
      <c r="C43" s="10" t="str">
        <f ca="1">IFERROR(__xludf.DUMMYFUNCTION("""COMPUTED_VALUE"""),"1-K-2023-140")</f>
        <v>1-K-2023-140</v>
      </c>
      <c r="D43" s="26" t="str">
        <f t="shared" ca="1" si="0"/>
        <v xml:space="preserve"> CURANILAHUE</v>
      </c>
      <c r="E43" s="10" t="str">
        <f ca="1">IFERROR(__xludf.DUMMYFUNCTION("""COMPUTED_VALUE"""),"Guía Operativa")</f>
        <v>Guía Operativa</v>
      </c>
      <c r="F43" s="10" t="str">
        <f ca="1">IFERROR(__xludf.DUMMYFUNCTION("""COMPUTED_VALUE"""),"MUNICIPALIDAD DE CURANILAHUE")</f>
        <v>MUNICIPALIDAD DE CURANILAHUE</v>
      </c>
      <c r="G43" s="71">
        <f ca="1">IFERROR(__xludf.DUMMYFUNCTION("""COMPUTED_VALUE"""),146000000)</f>
        <v>146000000</v>
      </c>
      <c r="H43" s="10" t="str">
        <f ca="1">IFERROR(__xludf.DUMMYFUNCTION("""COMPUTED_VALUE"""),"Resolución")</f>
        <v>Resolución</v>
      </c>
      <c r="I43" s="10" t="str">
        <f ca="1">IFERROR(__xludf.DUMMYFUNCTION("""COMPUTED_VALUE"""),"OBRA")</f>
        <v>OBRA</v>
      </c>
      <c r="J43" s="10" t="str">
        <f ca="1">IFERROR(__xludf.DUMMYFUNCTION("""COMPUTED_VALUE"""),"Cumplir con normativa y reglamentos internos del programa en base a los objetivos.")</f>
        <v>Cumplir con normativa y reglamentos internos del programa en base a los objetivos.</v>
      </c>
      <c r="K43" s="71">
        <f ca="1">IFERROR(__xludf.DUMMYFUNCTION("""COMPUTED_VALUE"""),146102652)</f>
        <v>146102652</v>
      </c>
      <c r="L43" s="72">
        <f ca="1">IFERROR(__xludf.DUMMYFUNCTION("""COMPUTED_VALUE"""),1.00070309589041)</f>
        <v>1.00070309589041</v>
      </c>
      <c r="M43" s="10">
        <f ca="1">IFERROR(__xludf.DUMMYFUNCTION("""COMPUTED_VALUE"""),1009)</f>
        <v>1009</v>
      </c>
      <c r="N43" s="10" t="str">
        <f ca="1">IFERROR(__xludf.DUMMYFUNCTION("""COMPUTED_VALUE"""),"PMU")</f>
        <v>PMU</v>
      </c>
      <c r="O43" s="1"/>
      <c r="P43" s="1"/>
      <c r="Q43" s="1"/>
      <c r="R43" s="1"/>
      <c r="S43" s="1"/>
      <c r="T43" s="1"/>
      <c r="U43" s="1"/>
      <c r="V43" s="1"/>
      <c r="W43" s="1"/>
      <c r="X43" s="1"/>
      <c r="Y43" s="1"/>
      <c r="Z43" s="1"/>
    </row>
    <row r="44" spans="1:26" ht="12.75" customHeight="1">
      <c r="A44" s="1"/>
      <c r="B44" s="10" t="str">
        <f ca="1">IFERROR(__xludf.DUMMYFUNCTION("""COMPUTED_VALUE"""),"MEJORAMIENTO, CONSTRUCCIÓN E INSTALACIÓN DE REFUGIOS PEATONALES EN DISTINTOS SECTORES DE LA COMUNA")</f>
        <v>MEJORAMIENTO, CONSTRUCCIÓN E INSTALACIÓN DE REFUGIOS PEATONALES EN DISTINTOS SECTORES DE LA COMUNA</v>
      </c>
      <c r="C44" s="10" t="str">
        <f ca="1">IFERROR(__xludf.DUMMYFUNCTION("""COMPUTED_VALUE"""),"1-K-2023-141")</f>
        <v>1-K-2023-141</v>
      </c>
      <c r="D44" s="26" t="str">
        <f t="shared" ca="1" si="0"/>
        <v xml:space="preserve"> CURANILAHUE</v>
      </c>
      <c r="E44" s="10" t="str">
        <f ca="1">IFERROR(__xludf.DUMMYFUNCTION("""COMPUTED_VALUE"""),"Guía Operativa")</f>
        <v>Guía Operativa</v>
      </c>
      <c r="F44" s="10" t="str">
        <f ca="1">IFERROR(__xludf.DUMMYFUNCTION("""COMPUTED_VALUE"""),"MUNICIPALIDAD DE CURANILAHUE")</f>
        <v>MUNICIPALIDAD DE CURANILAHUE</v>
      </c>
      <c r="G44" s="71">
        <f ca="1">IFERROR(__xludf.DUMMYFUNCTION("""COMPUTED_VALUE"""),146000000)</f>
        <v>146000000</v>
      </c>
      <c r="H44" s="10" t="str">
        <f ca="1">IFERROR(__xludf.DUMMYFUNCTION("""COMPUTED_VALUE"""),"Resolución")</f>
        <v>Resolución</v>
      </c>
      <c r="I44" s="10" t="str">
        <f ca="1">IFERROR(__xludf.DUMMYFUNCTION("""COMPUTED_VALUE"""),"OBRA")</f>
        <v>OBRA</v>
      </c>
      <c r="J44" s="10" t="str">
        <f ca="1">IFERROR(__xludf.DUMMYFUNCTION("""COMPUTED_VALUE"""),"Cumplir con normativa y reglamentos internos del programa en base a los objetivos.")</f>
        <v>Cumplir con normativa y reglamentos internos del programa en base a los objetivos.</v>
      </c>
      <c r="K44" s="71">
        <f ca="1">IFERROR(__xludf.DUMMYFUNCTION("""COMPUTED_VALUE"""),146105552)</f>
        <v>146105552</v>
      </c>
      <c r="L44" s="72">
        <f ca="1">IFERROR(__xludf.DUMMYFUNCTION("""COMPUTED_VALUE"""),1.0007229589041)</f>
        <v>1.0007229589041</v>
      </c>
      <c r="M44" s="10">
        <f ca="1">IFERROR(__xludf.DUMMYFUNCTION("""COMPUTED_VALUE"""),1020)</f>
        <v>1020</v>
      </c>
      <c r="N44" s="10" t="str">
        <f ca="1">IFERROR(__xludf.DUMMYFUNCTION("""COMPUTED_VALUE"""),"PMU")</f>
        <v>PMU</v>
      </c>
      <c r="O44" s="1"/>
      <c r="P44" s="1"/>
      <c r="Q44" s="1"/>
      <c r="R44" s="1"/>
      <c r="S44" s="1"/>
      <c r="T44" s="1"/>
      <c r="U44" s="1"/>
      <c r="V44" s="1"/>
      <c r="W44" s="1"/>
      <c r="X44" s="1"/>
      <c r="Y44" s="1"/>
      <c r="Z44" s="1"/>
    </row>
    <row r="45" spans="1:26" ht="12.75" customHeight="1">
      <c r="A45" s="1"/>
      <c r="B45" s="10" t="str">
        <f ca="1">IFERROR(__xludf.DUMMYFUNCTION("""COMPUTED_VALUE"""),"REPOSICIÓN VEREDAS AV. EDUARDO FREI LADO SUR, DESDE HORTALIZAS HASTA N° 752")</f>
        <v>REPOSICIÓN VEREDAS AV. EDUARDO FREI LADO SUR, DESDE HORTALIZAS HASTA N° 752</v>
      </c>
      <c r="C45" s="10" t="str">
        <f ca="1">IFERROR(__xludf.DUMMYFUNCTION("""COMPUTED_VALUE"""),"1-K-2023-142")</f>
        <v>1-K-2023-142</v>
      </c>
      <c r="D45" s="26" t="str">
        <f t="shared" ca="1" si="0"/>
        <v xml:space="preserve"> CURANILAHUE</v>
      </c>
      <c r="E45" s="10" t="str">
        <f ca="1">IFERROR(__xludf.DUMMYFUNCTION("""COMPUTED_VALUE"""),"Guía Operativa")</f>
        <v>Guía Operativa</v>
      </c>
      <c r="F45" s="10" t="str">
        <f ca="1">IFERROR(__xludf.DUMMYFUNCTION("""COMPUTED_VALUE"""),"MUNICIPALIDAD DE CURANILAHUE")</f>
        <v>MUNICIPALIDAD DE CURANILAHUE</v>
      </c>
      <c r="G45" s="71">
        <f ca="1">IFERROR(__xludf.DUMMYFUNCTION("""COMPUTED_VALUE"""),146000000)</f>
        <v>146000000</v>
      </c>
      <c r="H45" s="10" t="str">
        <f ca="1">IFERROR(__xludf.DUMMYFUNCTION("""COMPUTED_VALUE"""),"Resolución")</f>
        <v>Resolución</v>
      </c>
      <c r="I45" s="10" t="str">
        <f ca="1">IFERROR(__xludf.DUMMYFUNCTION("""COMPUTED_VALUE"""),"OBRA")</f>
        <v>OBRA</v>
      </c>
      <c r="J45" s="10" t="str">
        <f ca="1">IFERROR(__xludf.DUMMYFUNCTION("""COMPUTED_VALUE"""),"Cumplir con normativa y reglamentos internos del programa en base a los objetivos.")</f>
        <v>Cumplir con normativa y reglamentos internos del programa en base a los objetivos.</v>
      </c>
      <c r="K45" s="71">
        <f ca="1">IFERROR(__xludf.DUMMYFUNCTION("""COMPUTED_VALUE"""),146108652)</f>
        <v>146108652</v>
      </c>
      <c r="L45" s="72">
        <f ca="1">IFERROR(__xludf.DUMMYFUNCTION("""COMPUTED_VALUE"""),1.00074419178082)</f>
        <v>1.00074419178082</v>
      </c>
      <c r="M45" s="10">
        <f ca="1">IFERROR(__xludf.DUMMYFUNCTION("""COMPUTED_VALUE"""),1013)</f>
        <v>1013</v>
      </c>
      <c r="N45" s="10" t="str">
        <f ca="1">IFERROR(__xludf.DUMMYFUNCTION("""COMPUTED_VALUE"""),"PMU")</f>
        <v>PMU</v>
      </c>
      <c r="O45" s="1"/>
      <c r="P45" s="1"/>
      <c r="Q45" s="1"/>
      <c r="R45" s="1"/>
      <c r="S45" s="1"/>
      <c r="T45" s="1"/>
      <c r="U45" s="1"/>
      <c r="V45" s="1"/>
      <c r="W45" s="1"/>
      <c r="X45" s="1"/>
      <c r="Y45" s="1"/>
      <c r="Z45" s="1"/>
    </row>
    <row r="46" spans="1:26" ht="12.75" customHeight="1">
      <c r="A46" s="1"/>
      <c r="B46" s="10" t="str">
        <f ca="1">IFERROR(__xludf.DUMMYFUNCTION("""COMPUTED_VALUE"""),"REPOSICIÓN VEREDAS CALLE CHACABUCO LADO NORESTE, DESDE. C. HENRIQUEZ HASTA EL N°104, CERRO VERDE")</f>
        <v>REPOSICIÓN VEREDAS CALLE CHACABUCO LADO NORESTE, DESDE. C. HENRIQUEZ HASTA EL N°104, CERRO VERDE</v>
      </c>
      <c r="C46" s="10" t="str">
        <f ca="1">IFERROR(__xludf.DUMMYFUNCTION("""COMPUTED_VALUE"""),"1-K-2023-143")</f>
        <v>1-K-2023-143</v>
      </c>
      <c r="D46" s="26" t="str">
        <f t="shared" ca="1" si="0"/>
        <v xml:space="preserve"> CURANILAHUE</v>
      </c>
      <c r="E46" s="10" t="str">
        <f ca="1">IFERROR(__xludf.DUMMYFUNCTION("""COMPUTED_VALUE"""),"Guía Operativa")</f>
        <v>Guía Operativa</v>
      </c>
      <c r="F46" s="10" t="str">
        <f ca="1">IFERROR(__xludf.DUMMYFUNCTION("""COMPUTED_VALUE"""),"MUNICIPALIDAD DE CURANILAHUE")</f>
        <v>MUNICIPALIDAD DE CURANILAHUE</v>
      </c>
      <c r="G46" s="71">
        <f ca="1">IFERROR(__xludf.DUMMYFUNCTION("""COMPUTED_VALUE"""),146000000)</f>
        <v>146000000</v>
      </c>
      <c r="H46" s="10" t="str">
        <f ca="1">IFERROR(__xludf.DUMMYFUNCTION("""COMPUTED_VALUE"""),"Resolución")</f>
        <v>Resolución</v>
      </c>
      <c r="I46" s="10" t="str">
        <f ca="1">IFERROR(__xludf.DUMMYFUNCTION("""COMPUTED_VALUE"""),"OBRA")</f>
        <v>OBRA</v>
      </c>
      <c r="J46" s="10" t="str">
        <f ca="1">IFERROR(__xludf.DUMMYFUNCTION("""COMPUTED_VALUE"""),"Cumplir con normativa y reglamentos internos del programa en base a los objetivos.")</f>
        <v>Cumplir con normativa y reglamentos internos del programa en base a los objetivos.</v>
      </c>
      <c r="K46" s="71">
        <f ca="1">IFERROR(__xludf.DUMMYFUNCTION("""COMPUTED_VALUE"""),146107652)</f>
        <v>146107652</v>
      </c>
      <c r="L46" s="72">
        <f ca="1">IFERROR(__xludf.DUMMYFUNCTION("""COMPUTED_VALUE"""),1.00073734246575)</f>
        <v>1.00073734246575</v>
      </c>
      <c r="M46" s="10">
        <f ca="1">IFERROR(__xludf.DUMMYFUNCTION("""COMPUTED_VALUE"""),1013)</f>
        <v>1013</v>
      </c>
      <c r="N46" s="10" t="str">
        <f ca="1">IFERROR(__xludf.DUMMYFUNCTION("""COMPUTED_VALUE"""),"PMU")</f>
        <v>PMU</v>
      </c>
      <c r="O46" s="1"/>
      <c r="P46" s="1"/>
      <c r="Q46" s="1"/>
      <c r="R46" s="1"/>
      <c r="S46" s="1"/>
      <c r="T46" s="1"/>
      <c r="U46" s="1"/>
      <c r="V46" s="1"/>
      <c r="W46" s="1"/>
      <c r="X46" s="1"/>
      <c r="Y46" s="1"/>
      <c r="Z46" s="1"/>
    </row>
    <row r="47" spans="1:26" ht="12.75" customHeight="1">
      <c r="A47" s="1"/>
      <c r="B47" s="10" t="str">
        <f ca="1">IFERROR(__xludf.DUMMYFUNCTION("""COMPUTED_VALUE"""),"REPOSICIÓN VEREDAS CALLE CARLOS CONDELL")</f>
        <v>REPOSICIÓN VEREDAS CALLE CARLOS CONDELL</v>
      </c>
      <c r="C47" s="10" t="str">
        <f ca="1">IFERROR(__xludf.DUMMYFUNCTION("""COMPUTED_VALUE"""),"1-K-2023-145")</f>
        <v>1-K-2023-145</v>
      </c>
      <c r="D47" s="26" t="str">
        <f t="shared" ca="1" si="0"/>
        <v xml:space="preserve"> CURANILAHUE</v>
      </c>
      <c r="E47" s="10" t="str">
        <f ca="1">IFERROR(__xludf.DUMMYFUNCTION("""COMPUTED_VALUE"""),"Guía Operativa")</f>
        <v>Guía Operativa</v>
      </c>
      <c r="F47" s="10" t="str">
        <f ca="1">IFERROR(__xludf.DUMMYFUNCTION("""COMPUTED_VALUE"""),"MUNICIPALIDAD DE CURANILAHUE")</f>
        <v>MUNICIPALIDAD DE CURANILAHUE</v>
      </c>
      <c r="G47" s="71">
        <f ca="1">IFERROR(__xludf.DUMMYFUNCTION("""COMPUTED_VALUE"""),150000000)</f>
        <v>150000000</v>
      </c>
      <c r="H47" s="10" t="str">
        <f ca="1">IFERROR(__xludf.DUMMYFUNCTION("""COMPUTED_VALUE"""),"Resolución")</f>
        <v>Resolución</v>
      </c>
      <c r="I47" s="10" t="str">
        <f ca="1">IFERROR(__xludf.DUMMYFUNCTION("""COMPUTED_VALUE"""),"OBRA")</f>
        <v>OBRA</v>
      </c>
      <c r="J47" s="10" t="str">
        <f ca="1">IFERROR(__xludf.DUMMYFUNCTION("""COMPUTED_VALUE"""),"Cumplir con normativa y reglamentos internos del programa en base a los objetivos.")</f>
        <v>Cumplir con normativa y reglamentos internos del programa en base a los objetivos.</v>
      </c>
      <c r="K47" s="71">
        <f ca="1">IFERROR(__xludf.DUMMYFUNCTION("""COMPUTED_VALUE"""),150011338)</f>
        <v>150011338</v>
      </c>
      <c r="L47" s="72">
        <f ca="1">IFERROR(__xludf.DUMMYFUNCTION("""COMPUTED_VALUE"""),1.00007558666666)</f>
        <v>1.00007558666666</v>
      </c>
      <c r="M47" s="10">
        <f ca="1">IFERROR(__xludf.DUMMYFUNCTION("""COMPUTED_VALUE"""),1013)</f>
        <v>1013</v>
      </c>
      <c r="N47" s="10" t="str">
        <f ca="1">IFERROR(__xludf.DUMMYFUNCTION("""COMPUTED_VALUE"""),"PMU")</f>
        <v>PMU</v>
      </c>
      <c r="O47" s="1"/>
      <c r="P47" s="1"/>
      <c r="Q47" s="1"/>
      <c r="R47" s="1"/>
      <c r="S47" s="1"/>
      <c r="T47" s="1"/>
      <c r="U47" s="1"/>
      <c r="V47" s="1"/>
      <c r="W47" s="1"/>
      <c r="X47" s="1"/>
      <c r="Y47" s="1"/>
      <c r="Z47" s="1"/>
    </row>
    <row r="48" spans="1:26" ht="12.75" customHeight="1">
      <c r="A48" s="1"/>
      <c r="B48" s="10" t="str">
        <f ca="1">IFERROR(__xludf.DUMMYFUNCTION("""COMPUTED_VALUE"""),"REPOSICIÓN VEREDAS CALLES PEDRO V. OPORTUS, SANTA HELENA, GASPAR INOSTROZA")</f>
        <v>REPOSICIÓN VEREDAS CALLES PEDRO V. OPORTUS, SANTA HELENA, GASPAR INOSTROZA</v>
      </c>
      <c r="C48" s="10" t="str">
        <f ca="1">IFERROR(__xludf.DUMMYFUNCTION("""COMPUTED_VALUE"""),"1-K-2023-146")</f>
        <v>1-K-2023-146</v>
      </c>
      <c r="D48" s="26" t="str">
        <f t="shared" ca="1" si="0"/>
        <v xml:space="preserve"> CURANILAHUE</v>
      </c>
      <c r="E48" s="10" t="str">
        <f ca="1">IFERROR(__xludf.DUMMYFUNCTION("""COMPUTED_VALUE"""),"Guía Operativa")</f>
        <v>Guía Operativa</v>
      </c>
      <c r="F48" s="10" t="str">
        <f ca="1">IFERROR(__xludf.DUMMYFUNCTION("""COMPUTED_VALUE"""),"MUNICIPALIDAD DE CURANILAHUE")</f>
        <v>MUNICIPALIDAD DE CURANILAHUE</v>
      </c>
      <c r="G48" s="71">
        <f ca="1">IFERROR(__xludf.DUMMYFUNCTION("""COMPUTED_VALUE"""),146000000)</f>
        <v>146000000</v>
      </c>
      <c r="H48" s="10" t="str">
        <f ca="1">IFERROR(__xludf.DUMMYFUNCTION("""COMPUTED_VALUE"""),"Resolución")</f>
        <v>Resolución</v>
      </c>
      <c r="I48" s="10" t="str">
        <f ca="1">IFERROR(__xludf.DUMMYFUNCTION("""COMPUTED_VALUE"""),"OBRA")</f>
        <v>OBRA</v>
      </c>
      <c r="J48" s="10" t="str">
        <f ca="1">IFERROR(__xludf.DUMMYFUNCTION("""COMPUTED_VALUE"""),"Cumplir con normativa y reglamentos internos del programa en base a los objetivos.")</f>
        <v>Cumplir con normativa y reglamentos internos del programa en base a los objetivos.</v>
      </c>
      <c r="K48" s="71">
        <f ca="1">IFERROR(__xludf.DUMMYFUNCTION("""COMPUTED_VALUE"""),146107652)</f>
        <v>146107652</v>
      </c>
      <c r="L48" s="72">
        <f ca="1">IFERROR(__xludf.DUMMYFUNCTION("""COMPUTED_VALUE"""),1.00073734246575)</f>
        <v>1.00073734246575</v>
      </c>
      <c r="M48" s="10">
        <f ca="1">IFERROR(__xludf.DUMMYFUNCTION("""COMPUTED_VALUE"""),1011)</f>
        <v>1011</v>
      </c>
      <c r="N48" s="10" t="str">
        <f ca="1">IFERROR(__xludf.DUMMYFUNCTION("""COMPUTED_VALUE"""),"PMU")</f>
        <v>PMU</v>
      </c>
      <c r="O48" s="1"/>
      <c r="P48" s="1"/>
      <c r="Q48" s="1"/>
      <c r="R48" s="1"/>
      <c r="S48" s="1"/>
      <c r="T48" s="1"/>
      <c r="U48" s="1"/>
      <c r="V48" s="1"/>
      <c r="W48" s="1"/>
      <c r="X48" s="1"/>
      <c r="Y48" s="1"/>
      <c r="Z48" s="1"/>
    </row>
    <row r="49" spans="1:26" ht="12.75" customHeight="1">
      <c r="A49" s="1"/>
      <c r="B49" s="10" t="str">
        <f ca="1">IFERROR(__xludf.DUMMYFUNCTION("""COMPUTED_VALUE"""),"REPOSICIÓN VEREDAS CALLES CORNELIA OLIVARES, PAULA J. QUEMADA, BARROS ARANA, JOAQUIN PRIETO")</f>
        <v>REPOSICIÓN VEREDAS CALLES CORNELIA OLIVARES, PAULA J. QUEMADA, BARROS ARANA, JOAQUIN PRIETO</v>
      </c>
      <c r="C49" s="10" t="str">
        <f ca="1">IFERROR(__xludf.DUMMYFUNCTION("""COMPUTED_VALUE"""),"1-K-2023-147")</f>
        <v>1-K-2023-147</v>
      </c>
      <c r="D49" s="26" t="str">
        <f t="shared" ca="1" si="0"/>
        <v xml:space="preserve"> CURANILAHUE</v>
      </c>
      <c r="E49" s="10" t="str">
        <f ca="1">IFERROR(__xludf.DUMMYFUNCTION("""COMPUTED_VALUE"""),"Guía Operativa")</f>
        <v>Guía Operativa</v>
      </c>
      <c r="F49" s="10" t="str">
        <f ca="1">IFERROR(__xludf.DUMMYFUNCTION("""COMPUTED_VALUE"""),"MUNICIPALIDAD DE CURANILAHUE")</f>
        <v>MUNICIPALIDAD DE CURANILAHUE</v>
      </c>
      <c r="G49" s="71">
        <f ca="1">IFERROR(__xludf.DUMMYFUNCTION("""COMPUTED_VALUE"""),151000000)</f>
        <v>151000000</v>
      </c>
      <c r="H49" s="10" t="str">
        <f ca="1">IFERROR(__xludf.DUMMYFUNCTION("""COMPUTED_VALUE"""),"Resolución")</f>
        <v>Resolución</v>
      </c>
      <c r="I49" s="10" t="str">
        <f ca="1">IFERROR(__xludf.DUMMYFUNCTION("""COMPUTED_VALUE"""),"OBRA")</f>
        <v>OBRA</v>
      </c>
      <c r="J49" s="10" t="str">
        <f ca="1">IFERROR(__xludf.DUMMYFUNCTION("""COMPUTED_VALUE"""),"Cumplir con normativa y reglamentos internos del programa en base a los objetivos.")</f>
        <v>Cumplir con normativa y reglamentos internos del programa en base a los objetivos.</v>
      </c>
      <c r="K49" s="71">
        <f ca="1">IFERROR(__xludf.DUMMYFUNCTION("""COMPUTED_VALUE"""),147441721)</f>
        <v>147441721</v>
      </c>
      <c r="L49" s="72">
        <f ca="1">IFERROR(__xludf.DUMMYFUNCTION("""COMPUTED_VALUE"""),0.976435238410596)</f>
        <v>0.97643523841059598</v>
      </c>
      <c r="M49" s="10">
        <f ca="1">IFERROR(__xludf.DUMMYFUNCTION("""COMPUTED_VALUE"""),1009)</f>
        <v>1009</v>
      </c>
      <c r="N49" s="10" t="str">
        <f ca="1">IFERROR(__xludf.DUMMYFUNCTION("""COMPUTED_VALUE"""),"PMU")</f>
        <v>PMU</v>
      </c>
      <c r="O49" s="1"/>
      <c r="P49" s="1"/>
      <c r="Q49" s="1"/>
      <c r="R49" s="1"/>
      <c r="S49" s="1"/>
      <c r="T49" s="1"/>
      <c r="U49" s="1"/>
      <c r="V49" s="1"/>
      <c r="W49" s="1"/>
      <c r="X49" s="1"/>
      <c r="Y49" s="1"/>
      <c r="Z49" s="1"/>
    </row>
    <row r="50" spans="1:26" ht="12.75" customHeight="1">
      <c r="A50" s="1"/>
      <c r="B50" s="10" t="str">
        <f ca="1">IFERROR(__xludf.DUMMYFUNCTION("""COMPUTED_VALUE"""),"MEJORAMIENTO MULTICANCHA COLICO NORTE")</f>
        <v>MEJORAMIENTO MULTICANCHA COLICO NORTE</v>
      </c>
      <c r="C50" s="10" t="str">
        <f ca="1">IFERROR(__xludf.DUMMYFUNCTION("""COMPUTED_VALUE"""),"1-K-2023-148")</f>
        <v>1-K-2023-148</v>
      </c>
      <c r="D50" s="26" t="str">
        <f t="shared" ca="1" si="0"/>
        <v xml:space="preserve"> CURANILAHUE</v>
      </c>
      <c r="E50" s="10" t="str">
        <f ca="1">IFERROR(__xludf.DUMMYFUNCTION("""COMPUTED_VALUE"""),"Guía Operativa")</f>
        <v>Guía Operativa</v>
      </c>
      <c r="F50" s="10" t="str">
        <f ca="1">IFERROR(__xludf.DUMMYFUNCTION("""COMPUTED_VALUE"""),"MUNICIPALIDAD DE CURANILAHUE")</f>
        <v>MUNICIPALIDAD DE CURANILAHUE</v>
      </c>
      <c r="G50" s="71">
        <f ca="1">IFERROR(__xludf.DUMMYFUNCTION("""COMPUTED_VALUE"""),152000000)</f>
        <v>152000000</v>
      </c>
      <c r="H50" s="10" t="str">
        <f ca="1">IFERROR(__xludf.DUMMYFUNCTION("""COMPUTED_VALUE"""),"Resolución")</f>
        <v>Resolución</v>
      </c>
      <c r="I50" s="10" t="str">
        <f ca="1">IFERROR(__xludf.DUMMYFUNCTION("""COMPUTED_VALUE"""),"OBRA")</f>
        <v>OBRA</v>
      </c>
      <c r="J50" s="10" t="str">
        <f ca="1">IFERROR(__xludf.DUMMYFUNCTION("""COMPUTED_VALUE"""),"Cumplir con normativa y reglamentos internos del programa en base a los objetivos.")</f>
        <v>Cumplir con normativa y reglamentos internos del programa en base a los objetivos.</v>
      </c>
      <c r="K50" s="71">
        <f ca="1">IFERROR(__xludf.DUMMYFUNCTION("""COMPUTED_VALUE"""),148806021)</f>
        <v>148806021</v>
      </c>
      <c r="L50" s="72">
        <f ca="1">IFERROR(__xludf.DUMMYFUNCTION("""COMPUTED_VALUE"""),0.978986980263157)</f>
        <v>0.978986980263157</v>
      </c>
      <c r="M50" s="10">
        <f ca="1">IFERROR(__xludf.DUMMYFUNCTION("""COMPUTED_VALUE"""),1009)</f>
        <v>1009</v>
      </c>
      <c r="N50" s="10" t="str">
        <f ca="1">IFERROR(__xludf.DUMMYFUNCTION("""COMPUTED_VALUE"""),"PMU")</f>
        <v>PMU</v>
      </c>
      <c r="O50" s="1"/>
      <c r="P50" s="1"/>
      <c r="Q50" s="1"/>
      <c r="R50" s="1"/>
      <c r="S50" s="1"/>
      <c r="T50" s="1"/>
      <c r="U50" s="1"/>
      <c r="V50" s="1"/>
      <c r="W50" s="1"/>
      <c r="X50" s="1"/>
      <c r="Y50" s="1"/>
      <c r="Z50" s="1"/>
    </row>
    <row r="51" spans="1:26" ht="12.75" customHeight="1">
      <c r="A51" s="1"/>
      <c r="B51" s="10" t="str">
        <f ca="1">IFERROR(__xludf.DUMMYFUNCTION("""COMPUTED_VALUE"""),"1. REPOSICIÓN ACERAS EN CALLE VOLCÁN OSORNO ENTRE CALLES CERRO ALTO NEVADO Y CERRO EL PLOMO, POB. JORGE ALESSANDRI")</f>
        <v>1. REPOSICIÓN ACERAS EN CALLE VOLCÁN OSORNO ENTRE CALLES CERRO ALTO NEVADO Y CERRO EL PLOMO, POB. JORGE ALESSANDRI</v>
      </c>
      <c r="C51" s="10" t="str">
        <f ca="1">IFERROR(__xludf.DUMMYFUNCTION("""COMPUTED_VALUE"""),"1-K-2023-149")</f>
        <v>1-K-2023-149</v>
      </c>
      <c r="D51" s="26" t="str">
        <f t="shared" ca="1" si="0"/>
        <v xml:space="preserve"> CORONEL</v>
      </c>
      <c r="E51" s="10" t="str">
        <f ca="1">IFERROR(__xludf.DUMMYFUNCTION("""COMPUTED_VALUE"""),"Guía Operativa")</f>
        <v>Guía Operativa</v>
      </c>
      <c r="F51" s="10" t="str">
        <f ca="1">IFERROR(__xludf.DUMMYFUNCTION("""COMPUTED_VALUE"""),"MUNICIPALIDAD DE CORONEL")</f>
        <v>MUNICIPALIDAD DE CORONEL</v>
      </c>
      <c r="G51" s="71">
        <f ca="1">IFERROR(__xludf.DUMMYFUNCTION("""COMPUTED_VALUE"""),49652269)</f>
        <v>49652269</v>
      </c>
      <c r="H51" s="10" t="str">
        <f ca="1">IFERROR(__xludf.DUMMYFUNCTION("""COMPUTED_VALUE"""),"Resolución")</f>
        <v>Resolución</v>
      </c>
      <c r="I51" s="10" t="str">
        <f ca="1">IFERROR(__xludf.DUMMYFUNCTION("""COMPUTED_VALUE"""),"OBRA")</f>
        <v>OBRA</v>
      </c>
      <c r="J51" s="10" t="str">
        <f ca="1">IFERROR(__xludf.DUMMYFUNCTION("""COMPUTED_VALUE"""),"Cumplir con normativa y reglamentos internos del programa en base a los objetivos.")</f>
        <v>Cumplir con normativa y reglamentos internos del programa en base a los objetivos.</v>
      </c>
      <c r="K51" s="71">
        <f ca="1">IFERROR(__xludf.DUMMYFUNCTION("""COMPUTED_VALUE"""),49652269)</f>
        <v>49652269</v>
      </c>
      <c r="L51" s="72">
        <f ca="1">IFERROR(__xludf.DUMMYFUNCTION("""COMPUTED_VALUE"""),1)</f>
        <v>1</v>
      </c>
      <c r="M51" s="10">
        <f ca="1">IFERROR(__xludf.DUMMYFUNCTION("""COMPUTED_VALUE"""),1057)</f>
        <v>1057</v>
      </c>
      <c r="N51" s="10" t="str">
        <f ca="1">IFERROR(__xludf.DUMMYFUNCTION("""COMPUTED_VALUE"""),"PMU")</f>
        <v>PMU</v>
      </c>
      <c r="O51" s="1"/>
      <c r="P51" s="1"/>
      <c r="Q51" s="1"/>
      <c r="R51" s="1"/>
      <c r="S51" s="1"/>
      <c r="T51" s="1"/>
      <c r="U51" s="1"/>
      <c r="V51" s="1"/>
      <c r="W51" s="1"/>
      <c r="X51" s="1"/>
      <c r="Y51" s="1"/>
      <c r="Z51" s="1"/>
    </row>
    <row r="52" spans="1:26" ht="12.75" customHeight="1">
      <c r="A52" s="1"/>
      <c r="B52" s="10" t="str">
        <f ca="1">IFERROR(__xludf.DUMMYFUNCTION("""COMPUTED_VALUE"""),"2. REPOSICIÓN ACERAS EN CALLE VOLCÁN LONQUIMAY ENTRE CALLES CERRO EL PLOMO Y CERRO ALTO NEVADO, POB. JORGE ALESSANDRI.")</f>
        <v>2. REPOSICIÓN ACERAS EN CALLE VOLCÁN LONQUIMAY ENTRE CALLES CERRO EL PLOMO Y CERRO ALTO NEVADO, POB. JORGE ALESSANDRI.</v>
      </c>
      <c r="C52" s="10" t="str">
        <f ca="1">IFERROR(__xludf.DUMMYFUNCTION("""COMPUTED_VALUE"""),"1-K-2023-150")</f>
        <v>1-K-2023-150</v>
      </c>
      <c r="D52" s="26" t="str">
        <f t="shared" ca="1" si="0"/>
        <v xml:space="preserve"> CORONEL</v>
      </c>
      <c r="E52" s="10" t="str">
        <f ca="1">IFERROR(__xludf.DUMMYFUNCTION("""COMPUTED_VALUE"""),"Guía Operativa")</f>
        <v>Guía Operativa</v>
      </c>
      <c r="F52" s="10" t="str">
        <f ca="1">IFERROR(__xludf.DUMMYFUNCTION("""COMPUTED_VALUE"""),"MUNICIPALIDAD DE CORONEL")</f>
        <v>MUNICIPALIDAD DE CORONEL</v>
      </c>
      <c r="G52" s="71">
        <f ca="1">IFERROR(__xludf.DUMMYFUNCTION("""COMPUTED_VALUE"""),85839611)</f>
        <v>85839611</v>
      </c>
      <c r="H52" s="10" t="str">
        <f ca="1">IFERROR(__xludf.DUMMYFUNCTION("""COMPUTED_VALUE"""),"Resolución")</f>
        <v>Resolución</v>
      </c>
      <c r="I52" s="10" t="str">
        <f ca="1">IFERROR(__xludf.DUMMYFUNCTION("""COMPUTED_VALUE"""),"OBRA")</f>
        <v>OBRA</v>
      </c>
      <c r="J52" s="10" t="str">
        <f ca="1">IFERROR(__xludf.DUMMYFUNCTION("""COMPUTED_VALUE"""),"Cumplir con normativa y reglamentos internos del programa en base a los objetivos.")</f>
        <v>Cumplir con normativa y reglamentos internos del programa en base a los objetivos.</v>
      </c>
      <c r="K52" s="71">
        <f ca="1">IFERROR(__xludf.DUMMYFUNCTION("""COMPUTED_VALUE"""),82710520)</f>
        <v>82710520</v>
      </c>
      <c r="L52" s="72">
        <f ca="1">IFERROR(__xludf.DUMMYFUNCTION("""COMPUTED_VALUE"""),0.963547236951015)</f>
        <v>0.96354723695101496</v>
      </c>
      <c r="M52" s="10">
        <f ca="1">IFERROR(__xludf.DUMMYFUNCTION("""COMPUTED_VALUE"""),1057)</f>
        <v>1057</v>
      </c>
      <c r="N52" s="10" t="str">
        <f ca="1">IFERROR(__xludf.DUMMYFUNCTION("""COMPUTED_VALUE"""),"PMU")</f>
        <v>PMU</v>
      </c>
      <c r="O52" s="1"/>
      <c r="P52" s="1"/>
      <c r="Q52" s="1"/>
      <c r="R52" s="1"/>
      <c r="S52" s="1"/>
      <c r="T52" s="1"/>
      <c r="U52" s="1"/>
      <c r="V52" s="1"/>
      <c r="W52" s="1"/>
      <c r="X52" s="1"/>
      <c r="Y52" s="1"/>
      <c r="Z52" s="1"/>
    </row>
    <row r="53" spans="1:26" ht="12.75" customHeight="1">
      <c r="A53" s="1"/>
      <c r="B53" s="10" t="str">
        <f ca="1">IFERROR(__xludf.DUMMYFUNCTION("""COMPUTED_VALUE"""),"3. REPOSICIÓN ACERAS EN CALLE LOS NOGALES ENTRE CALLES LAS ENCINAS Y LOS ALERCES, POB. LAGUNILLAS.")</f>
        <v>3. REPOSICIÓN ACERAS EN CALLE LOS NOGALES ENTRE CALLES LAS ENCINAS Y LOS ALERCES, POB. LAGUNILLAS.</v>
      </c>
      <c r="C53" s="10" t="str">
        <f ca="1">IFERROR(__xludf.DUMMYFUNCTION("""COMPUTED_VALUE"""),"1-K-2023-151")</f>
        <v>1-K-2023-151</v>
      </c>
      <c r="D53" s="26" t="str">
        <f t="shared" ca="1" si="0"/>
        <v xml:space="preserve"> CORONEL</v>
      </c>
      <c r="E53" s="10" t="str">
        <f ca="1">IFERROR(__xludf.DUMMYFUNCTION("""COMPUTED_VALUE"""),"Guía Operativa")</f>
        <v>Guía Operativa</v>
      </c>
      <c r="F53" s="10" t="str">
        <f ca="1">IFERROR(__xludf.DUMMYFUNCTION("""COMPUTED_VALUE"""),"MUNICIPALIDAD DE CORONEL")</f>
        <v>MUNICIPALIDAD DE CORONEL</v>
      </c>
      <c r="G53" s="71">
        <f ca="1">IFERROR(__xludf.DUMMYFUNCTION("""COMPUTED_VALUE"""),149000000)</f>
        <v>149000000</v>
      </c>
      <c r="H53" s="10" t="str">
        <f ca="1">IFERROR(__xludf.DUMMYFUNCTION("""COMPUTED_VALUE"""),"Resolución")</f>
        <v>Resolución</v>
      </c>
      <c r="I53" s="10" t="str">
        <f ca="1">IFERROR(__xludf.DUMMYFUNCTION("""COMPUTED_VALUE"""),"OBRA")</f>
        <v>OBRA</v>
      </c>
      <c r="J53" s="10" t="str">
        <f ca="1">IFERROR(__xludf.DUMMYFUNCTION("""COMPUTED_VALUE"""),"Cumplir con normativa y reglamentos internos del programa en base a los objetivos.")</f>
        <v>Cumplir con normativa y reglamentos internos del programa en base a los objetivos.</v>
      </c>
      <c r="K53" s="71">
        <f ca="1">IFERROR(__xludf.DUMMYFUNCTION("""COMPUTED_VALUE"""),146364630)</f>
        <v>146364630</v>
      </c>
      <c r="L53" s="72">
        <f ca="1">IFERROR(__xludf.DUMMYFUNCTION("""COMPUTED_VALUE"""),0.982312953020134)</f>
        <v>0.98231295302013399</v>
      </c>
      <c r="M53" s="10">
        <f ca="1">IFERROR(__xludf.DUMMYFUNCTION("""COMPUTED_VALUE"""),1059)</f>
        <v>1059</v>
      </c>
      <c r="N53" s="10" t="str">
        <f ca="1">IFERROR(__xludf.DUMMYFUNCTION("""COMPUTED_VALUE"""),"PMU")</f>
        <v>PMU</v>
      </c>
      <c r="O53" s="1"/>
      <c r="P53" s="1"/>
      <c r="Q53" s="1"/>
      <c r="R53" s="1"/>
      <c r="S53" s="1"/>
      <c r="T53" s="1"/>
      <c r="U53" s="1"/>
      <c r="V53" s="1"/>
      <c r="W53" s="1"/>
      <c r="X53" s="1"/>
      <c r="Y53" s="1"/>
      <c r="Z53" s="1"/>
    </row>
    <row r="54" spans="1:26" ht="12.75" customHeight="1">
      <c r="A54" s="1"/>
      <c r="B54" s="10" t="str">
        <f ca="1">IFERROR(__xludf.DUMMYFUNCTION("""COMPUTED_VALUE"""),"4. REPOSICIÓN ACERAS EN CALLE CERRO EL PLOMO ENTRE CALLES VOLCÁN OSORNO Y VOLCÁN LONQUIMAY, POB. JORGE ALESSANDRI.")</f>
        <v>4. REPOSICIÓN ACERAS EN CALLE CERRO EL PLOMO ENTRE CALLES VOLCÁN OSORNO Y VOLCÁN LONQUIMAY, POB. JORGE ALESSANDRI.</v>
      </c>
      <c r="C54" s="10" t="str">
        <f ca="1">IFERROR(__xludf.DUMMYFUNCTION("""COMPUTED_VALUE"""),"1-K-2023-152")</f>
        <v>1-K-2023-152</v>
      </c>
      <c r="D54" s="26" t="str">
        <f t="shared" ca="1" si="0"/>
        <v xml:space="preserve"> CORONEL</v>
      </c>
      <c r="E54" s="10" t="str">
        <f ca="1">IFERROR(__xludf.DUMMYFUNCTION("""COMPUTED_VALUE"""),"Guía Operativa")</f>
        <v>Guía Operativa</v>
      </c>
      <c r="F54" s="10" t="str">
        <f ca="1">IFERROR(__xludf.DUMMYFUNCTION("""COMPUTED_VALUE"""),"MUNICIPALIDAD DE CORONEL")</f>
        <v>MUNICIPALIDAD DE CORONEL</v>
      </c>
      <c r="G54" s="71">
        <f ca="1">IFERROR(__xludf.DUMMYFUNCTION("""COMPUTED_VALUE"""),153000000)</f>
        <v>153000000</v>
      </c>
      <c r="H54" s="10" t="str">
        <f ca="1">IFERROR(__xludf.DUMMYFUNCTION("""COMPUTED_VALUE"""),"Resolución")</f>
        <v>Resolución</v>
      </c>
      <c r="I54" s="10" t="str">
        <f ca="1">IFERROR(__xludf.DUMMYFUNCTION("""COMPUTED_VALUE"""),"OBRA")</f>
        <v>OBRA</v>
      </c>
      <c r="J54" s="10" t="str">
        <f ca="1">IFERROR(__xludf.DUMMYFUNCTION("""COMPUTED_VALUE"""),"Cumplir con normativa y reglamentos internos del programa en base a los objetivos.")</f>
        <v>Cumplir con normativa y reglamentos internos del programa en base a los objetivos.</v>
      </c>
      <c r="K54" s="71">
        <f ca="1">IFERROR(__xludf.DUMMYFUNCTION("""COMPUTED_VALUE"""),149639136)</f>
        <v>149639136</v>
      </c>
      <c r="L54" s="72">
        <f ca="1">IFERROR(__xludf.DUMMYFUNCTION("""COMPUTED_VALUE"""),0.97803356862745)</f>
        <v>0.97803356862744995</v>
      </c>
      <c r="M54" s="10">
        <f ca="1">IFERROR(__xludf.DUMMYFUNCTION("""COMPUTED_VALUE"""),1057)</f>
        <v>1057</v>
      </c>
      <c r="N54" s="10" t="str">
        <f ca="1">IFERROR(__xludf.DUMMYFUNCTION("""COMPUTED_VALUE"""),"PMU")</f>
        <v>PMU</v>
      </c>
      <c r="O54" s="1"/>
      <c r="P54" s="1"/>
      <c r="Q54" s="1"/>
      <c r="R54" s="1"/>
      <c r="S54" s="1"/>
      <c r="T54" s="1"/>
      <c r="U54" s="1"/>
      <c r="V54" s="1"/>
      <c r="W54" s="1"/>
      <c r="X54" s="1"/>
      <c r="Y54" s="1"/>
      <c r="Z54" s="1"/>
    </row>
    <row r="55" spans="1:26" ht="12.75" customHeight="1">
      <c r="A55" s="1"/>
      <c r="B55" s="10" t="str">
        <f ca="1">IFERROR(__xludf.DUMMYFUNCTION("""COMPUTED_VALUE"""),"5. REPOSICIÓN ACERAS EN CALLE VOLCÁN PUYEHUE ENTRE CALLES VOLCÁN OSORNO Y VOLCÁN YATES, POB. JORGE ALESSANDRI.")</f>
        <v>5. REPOSICIÓN ACERAS EN CALLE VOLCÁN PUYEHUE ENTRE CALLES VOLCÁN OSORNO Y VOLCÁN YATES, POB. JORGE ALESSANDRI.</v>
      </c>
      <c r="C55" s="10" t="str">
        <f ca="1">IFERROR(__xludf.DUMMYFUNCTION("""COMPUTED_VALUE"""),"1-K-2023-153")</f>
        <v>1-K-2023-153</v>
      </c>
      <c r="D55" s="26" t="str">
        <f t="shared" ca="1" si="0"/>
        <v xml:space="preserve"> CORONEL</v>
      </c>
      <c r="E55" s="10" t="str">
        <f ca="1">IFERROR(__xludf.DUMMYFUNCTION("""COMPUTED_VALUE"""),"Guía Operativa")</f>
        <v>Guía Operativa</v>
      </c>
      <c r="F55" s="10" t="str">
        <f ca="1">IFERROR(__xludf.DUMMYFUNCTION("""COMPUTED_VALUE"""),"MUNICIPALIDAD DE CORONEL")</f>
        <v>MUNICIPALIDAD DE CORONEL</v>
      </c>
      <c r="G55" s="71">
        <f ca="1">IFERROR(__xludf.DUMMYFUNCTION("""COMPUTED_VALUE"""),85786907)</f>
        <v>85786907</v>
      </c>
      <c r="H55" s="10" t="str">
        <f ca="1">IFERROR(__xludf.DUMMYFUNCTION("""COMPUTED_VALUE"""),"Resolución")</f>
        <v>Resolución</v>
      </c>
      <c r="I55" s="10" t="str">
        <f ca="1">IFERROR(__xludf.DUMMYFUNCTION("""COMPUTED_VALUE"""),"OBRA")</f>
        <v>OBRA</v>
      </c>
      <c r="J55" s="10" t="str">
        <f ca="1">IFERROR(__xludf.DUMMYFUNCTION("""COMPUTED_VALUE"""),"Cumplir con normativa y reglamentos internos del programa en base a los objetivos.")</f>
        <v>Cumplir con normativa y reglamentos internos del programa en base a los objetivos.</v>
      </c>
      <c r="K55" s="71">
        <f ca="1">IFERROR(__xludf.DUMMYFUNCTION("""COMPUTED_VALUE"""),85786907)</f>
        <v>85786907</v>
      </c>
      <c r="L55" s="72">
        <f ca="1">IFERROR(__xludf.DUMMYFUNCTION("""COMPUTED_VALUE"""),1)</f>
        <v>1</v>
      </c>
      <c r="M55" s="10">
        <f ca="1">IFERROR(__xludf.DUMMYFUNCTION("""COMPUTED_VALUE"""),1057)</f>
        <v>1057</v>
      </c>
      <c r="N55" s="10" t="str">
        <f ca="1">IFERROR(__xludf.DUMMYFUNCTION("""COMPUTED_VALUE"""),"PMU")</f>
        <v>PMU</v>
      </c>
      <c r="O55" s="1"/>
      <c r="P55" s="1"/>
      <c r="Q55" s="1"/>
      <c r="R55" s="1"/>
      <c r="S55" s="1"/>
      <c r="T55" s="1"/>
      <c r="U55" s="1"/>
      <c r="V55" s="1"/>
      <c r="W55" s="1"/>
      <c r="X55" s="1"/>
      <c r="Y55" s="1"/>
      <c r="Z55" s="1"/>
    </row>
    <row r="56" spans="1:26" ht="12.75" customHeight="1">
      <c r="A56" s="1"/>
      <c r="B56" s="10" t="str">
        <f ca="1">IFERROR(__xludf.DUMMYFUNCTION("""COMPUTED_VALUE"""),"6. REPOSICIÓN ACERAS EN CALLE CERRO ALTO NEVADO ENTRE CALLES VOLCÁN LONQUIMAY Y VOLCÁN OSORNO, POB. JORGE ALESSANDRI.")</f>
        <v>6. REPOSICIÓN ACERAS EN CALLE CERRO ALTO NEVADO ENTRE CALLES VOLCÁN LONQUIMAY Y VOLCÁN OSORNO, POB. JORGE ALESSANDRI.</v>
      </c>
      <c r="C56" s="10" t="str">
        <f ca="1">IFERROR(__xludf.DUMMYFUNCTION("""COMPUTED_VALUE"""),"1-K-2023-154")</f>
        <v>1-K-2023-154</v>
      </c>
      <c r="D56" s="26" t="str">
        <f t="shared" ca="1" si="0"/>
        <v xml:space="preserve"> CORONEL</v>
      </c>
      <c r="E56" s="10" t="str">
        <f ca="1">IFERROR(__xludf.DUMMYFUNCTION("""COMPUTED_VALUE"""),"Guía Operativa")</f>
        <v>Guía Operativa</v>
      </c>
      <c r="F56" s="10" t="str">
        <f ca="1">IFERROR(__xludf.DUMMYFUNCTION("""COMPUTED_VALUE"""),"MUNICIPALIDAD DE CORONEL")</f>
        <v>MUNICIPALIDAD DE CORONEL</v>
      </c>
      <c r="G56" s="71">
        <f ca="1">IFERROR(__xludf.DUMMYFUNCTION("""COMPUTED_VALUE"""),153000000)</f>
        <v>153000000</v>
      </c>
      <c r="H56" s="10" t="str">
        <f ca="1">IFERROR(__xludf.DUMMYFUNCTION("""COMPUTED_VALUE"""),"Resolución")</f>
        <v>Resolución</v>
      </c>
      <c r="I56" s="10" t="str">
        <f ca="1">IFERROR(__xludf.DUMMYFUNCTION("""COMPUTED_VALUE"""),"OBRA")</f>
        <v>OBRA</v>
      </c>
      <c r="J56" s="10" t="str">
        <f ca="1">IFERROR(__xludf.DUMMYFUNCTION("""COMPUTED_VALUE"""),"Cumplir con normativa y reglamentos internos del programa en base a los objetivos.")</f>
        <v>Cumplir con normativa y reglamentos internos del programa en base a los objetivos.</v>
      </c>
      <c r="K56" s="71">
        <f ca="1">IFERROR(__xludf.DUMMYFUNCTION("""COMPUTED_VALUE"""),150291399)</f>
        <v>150291399</v>
      </c>
      <c r="L56" s="72">
        <f ca="1">IFERROR(__xludf.DUMMYFUNCTION("""COMPUTED_VALUE"""),0.982296725490196)</f>
        <v>0.98229672549019598</v>
      </c>
      <c r="M56" s="10">
        <f ca="1">IFERROR(__xludf.DUMMYFUNCTION("""COMPUTED_VALUE"""),1059)</f>
        <v>1059</v>
      </c>
      <c r="N56" s="10" t="str">
        <f ca="1">IFERROR(__xludf.DUMMYFUNCTION("""COMPUTED_VALUE"""),"PMU")</f>
        <v>PMU</v>
      </c>
      <c r="O56" s="1"/>
      <c r="P56" s="1"/>
      <c r="Q56" s="1"/>
      <c r="R56" s="1"/>
      <c r="S56" s="1"/>
      <c r="T56" s="1"/>
      <c r="U56" s="1"/>
      <c r="V56" s="1"/>
      <c r="W56" s="1"/>
      <c r="X56" s="1"/>
      <c r="Y56" s="1"/>
      <c r="Z56" s="1"/>
    </row>
    <row r="57" spans="1:26" ht="12.75" customHeight="1">
      <c r="A57" s="1"/>
      <c r="B57" s="10" t="str">
        <f ca="1">IFERROR(__xludf.DUMMYFUNCTION("""COMPUTED_VALUE"""),"7. REPOSICIÓN ACERAS EN CALLE VOLCÁN PUYEHUE ENTRE CALLES VOLCÁN CALBUCO Y VOLCÁN LOS DIAGUITAS, POB. JORGE ALESSANDRI.")</f>
        <v>7. REPOSICIÓN ACERAS EN CALLE VOLCÁN PUYEHUE ENTRE CALLES VOLCÁN CALBUCO Y VOLCÁN LOS DIAGUITAS, POB. JORGE ALESSANDRI.</v>
      </c>
      <c r="C57" s="10" t="str">
        <f ca="1">IFERROR(__xludf.DUMMYFUNCTION("""COMPUTED_VALUE"""),"1-K-2023-155")</f>
        <v>1-K-2023-155</v>
      </c>
      <c r="D57" s="26" t="str">
        <f t="shared" ca="1" si="0"/>
        <v xml:space="preserve"> CORONEL</v>
      </c>
      <c r="E57" s="10" t="str">
        <f ca="1">IFERROR(__xludf.DUMMYFUNCTION("""COMPUTED_VALUE"""),"Guía Operativa")</f>
        <v>Guía Operativa</v>
      </c>
      <c r="F57" s="10" t="str">
        <f ca="1">IFERROR(__xludf.DUMMYFUNCTION("""COMPUTED_VALUE"""),"MUNICIPALIDAD DE CORONEL")</f>
        <v>MUNICIPALIDAD DE CORONEL</v>
      </c>
      <c r="G57" s="71">
        <f ca="1">IFERROR(__xludf.DUMMYFUNCTION("""COMPUTED_VALUE"""),85941708)</f>
        <v>85941708</v>
      </c>
      <c r="H57" s="10" t="str">
        <f ca="1">IFERROR(__xludf.DUMMYFUNCTION("""COMPUTED_VALUE"""),"Resolución")</f>
        <v>Resolución</v>
      </c>
      <c r="I57" s="10" t="str">
        <f ca="1">IFERROR(__xludf.DUMMYFUNCTION("""COMPUTED_VALUE"""),"OBRA")</f>
        <v>OBRA</v>
      </c>
      <c r="J57" s="10" t="str">
        <f ca="1">IFERROR(__xludf.DUMMYFUNCTION("""COMPUTED_VALUE"""),"Cumplir con normativa y reglamentos internos del programa en base a los objetivos.")</f>
        <v>Cumplir con normativa y reglamentos internos del programa en base a los objetivos.</v>
      </c>
      <c r="K57" s="71">
        <f ca="1">IFERROR(__xludf.DUMMYFUNCTION("""COMPUTED_VALUE"""),82812617)</f>
        <v>82812617</v>
      </c>
      <c r="L57" s="72">
        <f ca="1">IFERROR(__xludf.DUMMYFUNCTION("""COMPUTED_VALUE"""),0.963590542091623)</f>
        <v>0.96359054209162298</v>
      </c>
      <c r="M57" s="10">
        <f ca="1">IFERROR(__xludf.DUMMYFUNCTION("""COMPUTED_VALUE"""),1012)</f>
        <v>1012</v>
      </c>
      <c r="N57" s="10" t="str">
        <f ca="1">IFERROR(__xludf.DUMMYFUNCTION("""COMPUTED_VALUE"""),"PMU")</f>
        <v>PMU</v>
      </c>
      <c r="O57" s="1"/>
      <c r="P57" s="1"/>
      <c r="Q57" s="1"/>
      <c r="R57" s="1"/>
      <c r="S57" s="1"/>
      <c r="T57" s="1"/>
      <c r="U57" s="1"/>
      <c r="V57" s="1"/>
      <c r="W57" s="1"/>
      <c r="X57" s="1"/>
      <c r="Y57" s="1"/>
      <c r="Z57" s="1"/>
    </row>
    <row r="58" spans="1:26" ht="12.75" customHeight="1">
      <c r="A58" s="1"/>
      <c r="B58" s="10" t="str">
        <f ca="1">IFERROR(__xludf.DUMMYFUNCTION("""COMPUTED_VALUE"""),"8. REPOSICIÓN CIERRE PERIMETRAL MULTICANCHA VILLA LA POSADA DE CALLE LA ARAUCANA CON CATRILEO.")</f>
        <v>8. REPOSICIÓN CIERRE PERIMETRAL MULTICANCHA VILLA LA POSADA DE CALLE LA ARAUCANA CON CATRILEO.</v>
      </c>
      <c r="C58" s="10" t="str">
        <f ca="1">IFERROR(__xludf.DUMMYFUNCTION("""COMPUTED_VALUE"""),"1-K-2023-156")</f>
        <v>1-K-2023-156</v>
      </c>
      <c r="D58" s="26" t="str">
        <f t="shared" ca="1" si="0"/>
        <v xml:space="preserve"> CORONEL</v>
      </c>
      <c r="E58" s="10" t="str">
        <f ca="1">IFERROR(__xludf.DUMMYFUNCTION("""COMPUTED_VALUE"""),"Guía Operativa")</f>
        <v>Guía Operativa</v>
      </c>
      <c r="F58" s="10" t="str">
        <f ca="1">IFERROR(__xludf.DUMMYFUNCTION("""COMPUTED_VALUE"""),"MUNICIPALIDAD DE CORONEL")</f>
        <v>MUNICIPALIDAD DE CORONEL</v>
      </c>
      <c r="G58" s="71">
        <f ca="1">IFERROR(__xludf.DUMMYFUNCTION("""COMPUTED_VALUE"""),88277632)</f>
        <v>88277632</v>
      </c>
      <c r="H58" s="10" t="str">
        <f ca="1">IFERROR(__xludf.DUMMYFUNCTION("""COMPUTED_VALUE"""),"Resolución")</f>
        <v>Resolución</v>
      </c>
      <c r="I58" s="10" t="str">
        <f ca="1">IFERROR(__xludf.DUMMYFUNCTION("""COMPUTED_VALUE"""),"OBRA")</f>
        <v>OBRA</v>
      </c>
      <c r="J58" s="10" t="str">
        <f ca="1">IFERROR(__xludf.DUMMYFUNCTION("""COMPUTED_VALUE"""),"Cumplir con normativa y reglamentos internos del programa en base a los objetivos.")</f>
        <v>Cumplir con normativa y reglamentos internos del programa en base a los objetivos.</v>
      </c>
      <c r="K58" s="71">
        <f ca="1">IFERROR(__xludf.DUMMYFUNCTION("""COMPUTED_VALUE"""),82019450)</f>
        <v>82019450</v>
      </c>
      <c r="L58" s="72">
        <f ca="1">IFERROR(__xludf.DUMMYFUNCTION("""COMPUTED_VALUE"""),0.929107953416784)</f>
        <v>0.92910795341678398</v>
      </c>
      <c r="M58" s="10">
        <f ca="1">IFERROR(__xludf.DUMMYFUNCTION("""COMPUTED_VALUE"""),1018)</f>
        <v>1018</v>
      </c>
      <c r="N58" s="10" t="str">
        <f ca="1">IFERROR(__xludf.DUMMYFUNCTION("""COMPUTED_VALUE"""),"PMU")</f>
        <v>PMU</v>
      </c>
      <c r="O58" s="1"/>
      <c r="P58" s="1"/>
      <c r="Q58" s="1"/>
      <c r="R58" s="1"/>
      <c r="S58" s="1"/>
      <c r="T58" s="1"/>
      <c r="U58" s="1"/>
      <c r="V58" s="1"/>
      <c r="W58" s="1"/>
      <c r="X58" s="1"/>
      <c r="Y58" s="1"/>
      <c r="Z58" s="1"/>
    </row>
    <row r="59" spans="1:26" ht="12.75" customHeight="1">
      <c r="A59" s="1"/>
      <c r="B59" s="10" t="str">
        <f ca="1">IFERROR(__xludf.DUMMYFUNCTION("""COMPUTED_VALUE"""),"9. REPOSICIÓN ACERAS EN CALLE LOS POLVOREROS ENTRE CALLES FAYAMAN Y LAS CHARRAS, POB. O´HIGGINS.")</f>
        <v>9. REPOSICIÓN ACERAS EN CALLE LOS POLVOREROS ENTRE CALLES FAYAMAN Y LAS CHARRAS, POB. O´HIGGINS.</v>
      </c>
      <c r="C59" s="10" t="str">
        <f ca="1">IFERROR(__xludf.DUMMYFUNCTION("""COMPUTED_VALUE"""),"1-K-2023-157")</f>
        <v>1-K-2023-157</v>
      </c>
      <c r="D59" s="26" t="str">
        <f t="shared" ca="1" si="0"/>
        <v xml:space="preserve"> CORONEL</v>
      </c>
      <c r="E59" s="10" t="str">
        <f ca="1">IFERROR(__xludf.DUMMYFUNCTION("""COMPUTED_VALUE"""),"Guía Operativa")</f>
        <v>Guía Operativa</v>
      </c>
      <c r="F59" s="10" t="str">
        <f ca="1">IFERROR(__xludf.DUMMYFUNCTION("""COMPUTED_VALUE"""),"MUNICIPALIDAD DE CORONEL")</f>
        <v>MUNICIPALIDAD DE CORONEL</v>
      </c>
      <c r="G59" s="71">
        <f ca="1">IFERROR(__xludf.DUMMYFUNCTION("""COMPUTED_VALUE"""),84220313)</f>
        <v>84220313</v>
      </c>
      <c r="H59" s="10" t="str">
        <f ca="1">IFERROR(__xludf.DUMMYFUNCTION("""COMPUTED_VALUE"""),"Resolución")</f>
        <v>Resolución</v>
      </c>
      <c r="I59" s="10" t="str">
        <f ca="1">IFERROR(__xludf.DUMMYFUNCTION("""COMPUTED_VALUE"""),"OBRA")</f>
        <v>OBRA</v>
      </c>
      <c r="J59" s="10" t="str">
        <f ca="1">IFERROR(__xludf.DUMMYFUNCTION("""COMPUTED_VALUE"""),"Cumplir con normativa y reglamentos internos del programa en base a los objetivos.")</f>
        <v>Cumplir con normativa y reglamentos internos del programa en base a los objetivos.</v>
      </c>
      <c r="K59" s="71">
        <f ca="1">IFERROR(__xludf.DUMMYFUNCTION("""COMPUTED_VALUE"""),84220313)</f>
        <v>84220313</v>
      </c>
      <c r="L59" s="72">
        <f ca="1">IFERROR(__xludf.DUMMYFUNCTION("""COMPUTED_VALUE"""),1)</f>
        <v>1</v>
      </c>
      <c r="M59" s="10">
        <f ca="1">IFERROR(__xludf.DUMMYFUNCTION("""COMPUTED_VALUE"""),1018)</f>
        <v>1018</v>
      </c>
      <c r="N59" s="10" t="str">
        <f ca="1">IFERROR(__xludf.DUMMYFUNCTION("""COMPUTED_VALUE"""),"PMU")</f>
        <v>PMU</v>
      </c>
      <c r="O59" s="1"/>
      <c r="P59" s="1"/>
      <c r="Q59" s="1"/>
      <c r="R59" s="1"/>
      <c r="S59" s="1"/>
      <c r="T59" s="1"/>
      <c r="U59" s="1"/>
      <c r="V59" s="1"/>
      <c r="W59" s="1"/>
      <c r="X59" s="1"/>
      <c r="Y59" s="1"/>
      <c r="Z59" s="1"/>
    </row>
    <row r="60" spans="1:26" ht="12.75" customHeight="1">
      <c r="A60" s="1"/>
      <c r="B60" s="10" t="str">
        <f ca="1">IFERROR(__xludf.DUMMYFUNCTION("""COMPUTED_VALUE"""),"10. REPOSICIÓN ACERAS EN CALLE VOLCÁN PUYEHUE ENTRE CALLES VOLCÁN SAN PEDRO Y VOLCÁN LONQUIMAY, POB. JORGE ALESSANDRI.")</f>
        <v>10. REPOSICIÓN ACERAS EN CALLE VOLCÁN PUYEHUE ENTRE CALLES VOLCÁN SAN PEDRO Y VOLCÁN LONQUIMAY, POB. JORGE ALESSANDRI.</v>
      </c>
      <c r="C60" s="10" t="str">
        <f ca="1">IFERROR(__xludf.DUMMYFUNCTION("""COMPUTED_VALUE"""),"1-K-2023-158")</f>
        <v>1-K-2023-158</v>
      </c>
      <c r="D60" s="26" t="str">
        <f t="shared" ca="1" si="0"/>
        <v xml:space="preserve"> CORONEL</v>
      </c>
      <c r="E60" s="10" t="str">
        <f ca="1">IFERROR(__xludf.DUMMYFUNCTION("""COMPUTED_VALUE"""),"Guía Operativa")</f>
        <v>Guía Operativa</v>
      </c>
      <c r="F60" s="10" t="str">
        <f ca="1">IFERROR(__xludf.DUMMYFUNCTION("""COMPUTED_VALUE"""),"MUNICIPALIDAD DE CORONEL")</f>
        <v>MUNICIPALIDAD DE CORONEL</v>
      </c>
      <c r="G60" s="71">
        <f ca="1">IFERROR(__xludf.DUMMYFUNCTION("""COMPUTED_VALUE"""),149000000)</f>
        <v>149000000</v>
      </c>
      <c r="H60" s="10" t="str">
        <f ca="1">IFERROR(__xludf.DUMMYFUNCTION("""COMPUTED_VALUE"""),"Resolución")</f>
        <v>Resolución</v>
      </c>
      <c r="I60" s="10" t="str">
        <f ca="1">IFERROR(__xludf.DUMMYFUNCTION("""COMPUTED_VALUE"""),"OBRA")</f>
        <v>OBRA</v>
      </c>
      <c r="J60" s="10" t="str">
        <f ca="1">IFERROR(__xludf.DUMMYFUNCTION("""COMPUTED_VALUE"""),"Cumplir con normativa y reglamentos internos del programa en base a los objetivos.")</f>
        <v>Cumplir con normativa y reglamentos internos del programa en base a los objetivos.</v>
      </c>
      <c r="K60" s="71">
        <f ca="1">IFERROR(__xludf.DUMMYFUNCTION("""COMPUTED_VALUE"""),148808740)</f>
        <v>148808740</v>
      </c>
      <c r="L60" s="72">
        <f ca="1">IFERROR(__xludf.DUMMYFUNCTION("""COMPUTED_VALUE"""),0.998716375838926)</f>
        <v>0.99871637583892603</v>
      </c>
      <c r="M60" s="10">
        <f ca="1">IFERROR(__xludf.DUMMYFUNCTION("""COMPUTED_VALUE"""),1059)</f>
        <v>1059</v>
      </c>
      <c r="N60" s="10" t="str">
        <f ca="1">IFERROR(__xludf.DUMMYFUNCTION("""COMPUTED_VALUE"""),"PMU")</f>
        <v>PMU</v>
      </c>
      <c r="O60" s="1"/>
      <c r="P60" s="1"/>
      <c r="Q60" s="1"/>
      <c r="R60" s="1"/>
      <c r="S60" s="1"/>
      <c r="T60" s="1"/>
      <c r="U60" s="1"/>
      <c r="V60" s="1"/>
      <c r="W60" s="1"/>
      <c r="X60" s="1"/>
      <c r="Y60" s="1"/>
      <c r="Z60" s="1"/>
    </row>
    <row r="61" spans="1:26" ht="12.75" customHeight="1">
      <c r="A61" s="1"/>
      <c r="B61" s="10" t="str">
        <f ca="1">IFERROR(__xludf.DUMMYFUNCTION("""COMPUTED_VALUE"""),"11. REPOSICIÓN CIERRE PERIMETRAL MULTICANCHA EN CALLE LOS LLEUQUES CON CALLE LOS NOGALES, POB. LAGUNILLAS.")</f>
        <v>11. REPOSICIÓN CIERRE PERIMETRAL MULTICANCHA EN CALLE LOS LLEUQUES CON CALLE LOS NOGALES, POB. LAGUNILLAS.</v>
      </c>
      <c r="C61" s="10" t="str">
        <f ca="1">IFERROR(__xludf.DUMMYFUNCTION("""COMPUTED_VALUE"""),"1-K-2023-159")</f>
        <v>1-K-2023-159</v>
      </c>
      <c r="D61" s="26" t="str">
        <f t="shared" ca="1" si="0"/>
        <v xml:space="preserve"> CORONEL</v>
      </c>
      <c r="E61" s="10" t="str">
        <f ca="1">IFERROR(__xludf.DUMMYFUNCTION("""COMPUTED_VALUE"""),"Guía Operativa")</f>
        <v>Guía Operativa</v>
      </c>
      <c r="F61" s="10" t="str">
        <f ca="1">IFERROR(__xludf.DUMMYFUNCTION("""COMPUTED_VALUE"""),"MUNICIPALIDAD DE CORONEL")</f>
        <v>MUNICIPALIDAD DE CORONEL</v>
      </c>
      <c r="G61" s="71">
        <f ca="1">IFERROR(__xludf.DUMMYFUNCTION("""COMPUTED_VALUE"""),150000000)</f>
        <v>150000000</v>
      </c>
      <c r="H61" s="10" t="str">
        <f ca="1">IFERROR(__xludf.DUMMYFUNCTION("""COMPUTED_VALUE"""),"Resolución")</f>
        <v>Resolución</v>
      </c>
      <c r="I61" s="10" t="str">
        <f ca="1">IFERROR(__xludf.DUMMYFUNCTION("""COMPUTED_VALUE"""),"OBRA")</f>
        <v>OBRA</v>
      </c>
      <c r="J61" s="10" t="str">
        <f ca="1">IFERROR(__xludf.DUMMYFUNCTION("""COMPUTED_VALUE"""),"Cumplir con normativa y reglamentos internos del programa en base a los objetivos.")</f>
        <v>Cumplir con normativa y reglamentos internos del programa en base a los objetivos.</v>
      </c>
      <c r="K61" s="71">
        <f ca="1">IFERROR(__xludf.DUMMYFUNCTION("""COMPUTED_VALUE"""),146862011)</f>
        <v>146862011</v>
      </c>
      <c r="L61" s="72">
        <f ca="1">IFERROR(__xludf.DUMMYFUNCTION("""COMPUTED_VALUE"""),0.979080073333333)</f>
        <v>0.97908007333333302</v>
      </c>
      <c r="M61" s="10">
        <f ca="1">IFERROR(__xludf.DUMMYFUNCTION("""COMPUTED_VALUE"""),1059)</f>
        <v>1059</v>
      </c>
      <c r="N61" s="10" t="str">
        <f ca="1">IFERROR(__xludf.DUMMYFUNCTION("""COMPUTED_VALUE"""),"PMU")</f>
        <v>PMU</v>
      </c>
      <c r="O61" s="1"/>
      <c r="P61" s="1"/>
      <c r="Q61" s="1"/>
      <c r="R61" s="1"/>
      <c r="S61" s="1"/>
      <c r="T61" s="1"/>
      <c r="U61" s="1"/>
      <c r="V61" s="1"/>
      <c r="W61" s="1"/>
      <c r="X61" s="1"/>
      <c r="Y61" s="1"/>
      <c r="Z61" s="1"/>
    </row>
    <row r="62" spans="1:26" ht="12.75" customHeight="1">
      <c r="A62" s="1"/>
      <c r="B62" s="10" t="str">
        <f ca="1">IFERROR(__xludf.DUMMYFUNCTION("""COMPUTED_VALUE"""),"12. REPOSICIÓN CIERRE PERIMETRAL MULTICANCHA EN PASAJE MINERO EULOGIO RODRIGUEZ CON CALLE MINERO MARIO URZÚA MEZA, SECTOR LA PEÑA.")</f>
        <v>12. REPOSICIÓN CIERRE PERIMETRAL MULTICANCHA EN PASAJE MINERO EULOGIO RODRIGUEZ CON CALLE MINERO MARIO URZÚA MEZA, SECTOR LA PEÑA.</v>
      </c>
      <c r="C62" s="10" t="str">
        <f ca="1">IFERROR(__xludf.DUMMYFUNCTION("""COMPUTED_VALUE"""),"1-K-2023-160")</f>
        <v>1-K-2023-160</v>
      </c>
      <c r="D62" s="26" t="str">
        <f t="shared" ca="1" si="0"/>
        <v xml:space="preserve"> CORONEL</v>
      </c>
      <c r="E62" s="10" t="str">
        <f ca="1">IFERROR(__xludf.DUMMYFUNCTION("""COMPUTED_VALUE"""),"Guía Operativa")</f>
        <v>Guía Operativa</v>
      </c>
      <c r="F62" s="10" t="str">
        <f ca="1">IFERROR(__xludf.DUMMYFUNCTION("""COMPUTED_VALUE"""),"MUNICIPALIDAD DE CORONEL")</f>
        <v>MUNICIPALIDAD DE CORONEL</v>
      </c>
      <c r="G62" s="71">
        <f ca="1">IFERROR(__xludf.DUMMYFUNCTION("""COMPUTED_VALUE"""),151000000)</f>
        <v>151000000</v>
      </c>
      <c r="H62" s="10" t="str">
        <f ca="1">IFERROR(__xludf.DUMMYFUNCTION("""COMPUTED_VALUE"""),"Resolución")</f>
        <v>Resolución</v>
      </c>
      <c r="I62" s="10" t="str">
        <f ca="1">IFERROR(__xludf.DUMMYFUNCTION("""COMPUTED_VALUE"""),"OBRA")</f>
        <v>OBRA</v>
      </c>
      <c r="J62" s="10" t="str">
        <f ca="1">IFERROR(__xludf.DUMMYFUNCTION("""COMPUTED_VALUE"""),"Cumplir con normativa y reglamentos internos del programa en base a los objetivos.")</f>
        <v>Cumplir con normativa y reglamentos internos del programa en base a los objetivos.</v>
      </c>
      <c r="K62" s="71">
        <f ca="1">IFERROR(__xludf.DUMMYFUNCTION("""COMPUTED_VALUE"""),147810345)</f>
        <v>147810345</v>
      </c>
      <c r="L62" s="72">
        <f ca="1">IFERROR(__xludf.DUMMYFUNCTION("""COMPUTED_VALUE"""),0.978876456953642)</f>
        <v>0.978876456953642</v>
      </c>
      <c r="M62" s="10">
        <f ca="1">IFERROR(__xludf.DUMMYFUNCTION("""COMPUTED_VALUE"""),1018)</f>
        <v>1018</v>
      </c>
      <c r="N62" s="10" t="str">
        <f ca="1">IFERROR(__xludf.DUMMYFUNCTION("""COMPUTED_VALUE"""),"PMU")</f>
        <v>PMU</v>
      </c>
      <c r="O62" s="1"/>
      <c r="P62" s="1"/>
      <c r="Q62" s="1"/>
      <c r="R62" s="1"/>
      <c r="S62" s="1"/>
      <c r="T62" s="1"/>
      <c r="U62" s="1"/>
      <c r="V62" s="1"/>
      <c r="W62" s="1"/>
      <c r="X62" s="1"/>
      <c r="Y62" s="1"/>
      <c r="Z62" s="1"/>
    </row>
    <row r="63" spans="1:26" ht="12.75" customHeight="1">
      <c r="A63" s="1"/>
      <c r="B63" s="10" t="str">
        <f ca="1">IFERROR(__xludf.DUMMYFUNCTION("""COMPUTED_VALUE"""),"13. REPOSICIÓN ACERAS EN CALLE LOS PIRQUENES ENTRE CALLES LOS POLVOREROS Y LAS CORRIENTES, POB. O´HIGGINS.")</f>
        <v>13. REPOSICIÓN ACERAS EN CALLE LOS PIRQUENES ENTRE CALLES LOS POLVOREROS Y LAS CORRIENTES, POB. O´HIGGINS.</v>
      </c>
      <c r="C63" s="10" t="str">
        <f ca="1">IFERROR(__xludf.DUMMYFUNCTION("""COMPUTED_VALUE"""),"1-K-2023-161")</f>
        <v>1-K-2023-161</v>
      </c>
      <c r="D63" s="26" t="str">
        <f t="shared" ca="1" si="0"/>
        <v xml:space="preserve"> CORONEL</v>
      </c>
      <c r="E63" s="10" t="str">
        <f ca="1">IFERROR(__xludf.DUMMYFUNCTION("""COMPUTED_VALUE"""),"Guía Operativa")</f>
        <v>Guía Operativa</v>
      </c>
      <c r="F63" s="10" t="str">
        <f ca="1">IFERROR(__xludf.DUMMYFUNCTION("""COMPUTED_VALUE"""),"MUNICIPALIDAD DE CORONEL")</f>
        <v>MUNICIPALIDAD DE CORONEL</v>
      </c>
      <c r="G63" s="71">
        <f ca="1">IFERROR(__xludf.DUMMYFUNCTION("""COMPUTED_VALUE"""),149000000)</f>
        <v>149000000</v>
      </c>
      <c r="H63" s="10" t="str">
        <f ca="1">IFERROR(__xludf.DUMMYFUNCTION("""COMPUTED_VALUE"""),"Resolución")</f>
        <v>Resolución</v>
      </c>
      <c r="I63" s="10" t="str">
        <f ca="1">IFERROR(__xludf.DUMMYFUNCTION("""COMPUTED_VALUE"""),"OBRA")</f>
        <v>OBRA</v>
      </c>
      <c r="J63" s="10" t="str">
        <f ca="1">IFERROR(__xludf.DUMMYFUNCTION("""COMPUTED_VALUE"""),"Cumplir con normativa y reglamentos internos del programa en base a los objetivos.")</f>
        <v>Cumplir con normativa y reglamentos internos del programa en base a los objetivos.</v>
      </c>
      <c r="K63" s="71">
        <f ca="1">IFERROR(__xludf.DUMMYFUNCTION("""COMPUTED_VALUE"""),142547446)</f>
        <v>142547446</v>
      </c>
      <c r="L63" s="72">
        <f ca="1">IFERROR(__xludf.DUMMYFUNCTION("""COMPUTED_VALUE"""),0.956694268456375)</f>
        <v>0.95669426845637495</v>
      </c>
      <c r="M63" s="10">
        <f ca="1">IFERROR(__xludf.DUMMYFUNCTION("""COMPUTED_VALUE"""),1059)</f>
        <v>1059</v>
      </c>
      <c r="N63" s="10" t="str">
        <f ca="1">IFERROR(__xludf.DUMMYFUNCTION("""COMPUTED_VALUE"""),"PMU")</f>
        <v>PMU</v>
      </c>
      <c r="O63" s="1"/>
      <c r="P63" s="1"/>
      <c r="Q63" s="1"/>
      <c r="R63" s="1"/>
      <c r="S63" s="1"/>
      <c r="T63" s="1"/>
      <c r="U63" s="1"/>
      <c r="V63" s="1"/>
      <c r="W63" s="1"/>
      <c r="X63" s="1"/>
      <c r="Y63" s="1"/>
      <c r="Z63" s="1"/>
    </row>
    <row r="64" spans="1:26" ht="12.75" customHeight="1">
      <c r="A64" s="1"/>
      <c r="B64" s="10" t="str">
        <f ca="1">IFERROR(__xludf.DUMMYFUNCTION("""COMPUTED_VALUE"""),"14. REPOSICIÓN ACERAS EN CALLE LOS POLVOREROS ENTRE CALLES LAS CHARRAS Y LAS CABRIAS, POB. O´HIGGINS.")</f>
        <v>14. REPOSICIÓN ACERAS EN CALLE LOS POLVOREROS ENTRE CALLES LAS CHARRAS Y LAS CABRIAS, POB. O´HIGGINS.</v>
      </c>
      <c r="C64" s="10" t="str">
        <f ca="1">IFERROR(__xludf.DUMMYFUNCTION("""COMPUTED_VALUE"""),"1-K-2023-162")</f>
        <v>1-K-2023-162</v>
      </c>
      <c r="D64" s="26" t="str">
        <f t="shared" ca="1" si="0"/>
        <v xml:space="preserve"> CORONEL</v>
      </c>
      <c r="E64" s="10" t="str">
        <f ca="1">IFERROR(__xludf.DUMMYFUNCTION("""COMPUTED_VALUE"""),"Guía Operativa")</f>
        <v>Guía Operativa</v>
      </c>
      <c r="F64" s="10" t="str">
        <f ca="1">IFERROR(__xludf.DUMMYFUNCTION("""COMPUTED_VALUE"""),"MUNICIPALIDAD DE CORONEL")</f>
        <v>MUNICIPALIDAD DE CORONEL</v>
      </c>
      <c r="G64" s="71">
        <f ca="1">IFERROR(__xludf.DUMMYFUNCTION("""COMPUTED_VALUE"""),83378584)</f>
        <v>83378584</v>
      </c>
      <c r="H64" s="10" t="str">
        <f ca="1">IFERROR(__xludf.DUMMYFUNCTION("""COMPUTED_VALUE"""),"Resolución")</f>
        <v>Resolución</v>
      </c>
      <c r="I64" s="10" t="str">
        <f ca="1">IFERROR(__xludf.DUMMYFUNCTION("""COMPUTED_VALUE"""),"OBRA")</f>
        <v>OBRA</v>
      </c>
      <c r="J64" s="10" t="str">
        <f ca="1">IFERROR(__xludf.DUMMYFUNCTION("""COMPUTED_VALUE"""),"Cumplir con normativa y reglamentos internos del programa en base a los objetivos.")</f>
        <v>Cumplir con normativa y reglamentos internos del programa en base a los objetivos.</v>
      </c>
      <c r="K64" s="71">
        <f ca="1">IFERROR(__xludf.DUMMYFUNCTION("""COMPUTED_VALUE"""),77120402)</f>
        <v>77120402</v>
      </c>
      <c r="L64" s="72">
        <f ca="1">IFERROR(__xludf.DUMMYFUNCTION("""COMPUTED_VALUE"""),0.924942572783438)</f>
        <v>0.92494257278343806</v>
      </c>
      <c r="M64" s="10">
        <f ca="1">IFERROR(__xludf.DUMMYFUNCTION("""COMPUTED_VALUE"""),1018)</f>
        <v>1018</v>
      </c>
      <c r="N64" s="10" t="str">
        <f ca="1">IFERROR(__xludf.DUMMYFUNCTION("""COMPUTED_VALUE"""),"PMU")</f>
        <v>PMU</v>
      </c>
      <c r="O64" s="1"/>
      <c r="P64" s="1"/>
      <c r="Q64" s="1"/>
      <c r="R64" s="1"/>
      <c r="S64" s="1"/>
      <c r="T64" s="1"/>
      <c r="U64" s="1"/>
      <c r="V64" s="1"/>
      <c r="W64" s="1"/>
      <c r="X64" s="1"/>
      <c r="Y64" s="1"/>
      <c r="Z64" s="1"/>
    </row>
    <row r="65" spans="1:26" ht="12.75" customHeight="1">
      <c r="A65" s="1"/>
      <c r="B65" s="10" t="str">
        <f ca="1">IFERROR(__xludf.DUMMYFUNCTION("""COMPUTED_VALUE"""),"MEJORAMIENTO MUROS Y CONSTRUCCION RADIER ESTADIO MUNICIPAL COMUNA DE TOMÉ")</f>
        <v>MEJORAMIENTO MUROS Y CONSTRUCCION RADIER ESTADIO MUNICIPAL COMUNA DE TOMÉ</v>
      </c>
      <c r="C65" s="10" t="str">
        <f ca="1">IFERROR(__xludf.DUMMYFUNCTION("""COMPUTED_VALUE"""),"1-K-2023-163")</f>
        <v>1-K-2023-163</v>
      </c>
      <c r="D65" s="26" t="str">
        <f t="shared" ca="1" si="0"/>
        <v xml:space="preserve"> TOMÉ</v>
      </c>
      <c r="E65" s="10" t="str">
        <f ca="1">IFERROR(__xludf.DUMMYFUNCTION("""COMPUTED_VALUE"""),"Guía Operativa")</f>
        <v>Guía Operativa</v>
      </c>
      <c r="F65" s="10" t="str">
        <f ca="1">IFERROR(__xludf.DUMMYFUNCTION("""COMPUTED_VALUE"""),"MUNICIPALIDAD DE TOMÉ")</f>
        <v>MUNICIPALIDAD DE TOMÉ</v>
      </c>
      <c r="G65" s="71">
        <f ca="1">IFERROR(__xludf.DUMMYFUNCTION("""COMPUTED_VALUE"""),111000000)</f>
        <v>111000000</v>
      </c>
      <c r="H65" s="10" t="str">
        <f ca="1">IFERROR(__xludf.DUMMYFUNCTION("""COMPUTED_VALUE"""),"Resolución")</f>
        <v>Resolución</v>
      </c>
      <c r="I65" s="10" t="str">
        <f ca="1">IFERROR(__xludf.DUMMYFUNCTION("""COMPUTED_VALUE"""),"OBRA")</f>
        <v>OBRA</v>
      </c>
      <c r="J65" s="10" t="str">
        <f ca="1">IFERROR(__xludf.DUMMYFUNCTION("""COMPUTED_VALUE"""),"Cumplir con normativa y reglamentos internos del programa en base a los objetivos.")</f>
        <v>Cumplir con normativa y reglamentos internos del programa en base a los objetivos.</v>
      </c>
      <c r="K65" s="71">
        <f ca="1">IFERROR(__xludf.DUMMYFUNCTION("""COMPUTED_VALUE"""),55410736)</f>
        <v>55410736</v>
      </c>
      <c r="L65" s="72">
        <f ca="1">IFERROR(__xludf.DUMMYFUNCTION("""COMPUTED_VALUE"""),0.499195819819819)</f>
        <v>0.49919581981981898</v>
      </c>
      <c r="M65" s="10">
        <f ca="1">IFERROR(__xludf.DUMMYFUNCTION("""COMPUTED_VALUE"""),1025)</f>
        <v>1025</v>
      </c>
      <c r="N65" s="10" t="str">
        <f ca="1">IFERROR(__xludf.DUMMYFUNCTION("""COMPUTED_VALUE"""),"PMU")</f>
        <v>PMU</v>
      </c>
      <c r="O65" s="1"/>
      <c r="P65" s="1"/>
      <c r="Q65" s="1"/>
      <c r="R65" s="1"/>
      <c r="S65" s="1"/>
      <c r="T65" s="1"/>
      <c r="U65" s="1"/>
      <c r="V65" s="1"/>
      <c r="W65" s="1"/>
      <c r="X65" s="1"/>
      <c r="Y65" s="1"/>
      <c r="Z65" s="1"/>
    </row>
    <row r="66" spans="1:26" ht="12.75" customHeight="1">
      <c r="A66" s="1"/>
      <c r="B66" s="10" t="str">
        <f ca="1">IFERROR(__xludf.DUMMYFUNCTION("""COMPUTED_VALUE"""),"MEJORAMIENTO SEDE SOCIAL CLUB DEPORTIVO CALIFORNIA, COMUNA DE TOME")</f>
        <v>MEJORAMIENTO SEDE SOCIAL CLUB DEPORTIVO CALIFORNIA, COMUNA DE TOME</v>
      </c>
      <c r="C66" s="10" t="str">
        <f ca="1">IFERROR(__xludf.DUMMYFUNCTION("""COMPUTED_VALUE"""),"1-K-2023-164")</f>
        <v>1-K-2023-164</v>
      </c>
      <c r="D66" s="26" t="str">
        <f t="shared" ca="1" si="0"/>
        <v xml:space="preserve"> TOMÉ</v>
      </c>
      <c r="E66" s="10" t="str">
        <f ca="1">IFERROR(__xludf.DUMMYFUNCTION("""COMPUTED_VALUE"""),"Guía Operativa")</f>
        <v>Guía Operativa</v>
      </c>
      <c r="F66" s="10" t="str">
        <f ca="1">IFERROR(__xludf.DUMMYFUNCTION("""COMPUTED_VALUE"""),"MUNICIPALIDAD DE TOMÉ")</f>
        <v>MUNICIPALIDAD DE TOMÉ</v>
      </c>
      <c r="G66" s="71">
        <f ca="1">IFERROR(__xludf.DUMMYFUNCTION("""COMPUTED_VALUE"""),111000000)</f>
        <v>111000000</v>
      </c>
      <c r="H66" s="10" t="str">
        <f ca="1">IFERROR(__xludf.DUMMYFUNCTION("""COMPUTED_VALUE"""),"Resolución")</f>
        <v>Resolución</v>
      </c>
      <c r="I66" s="10" t="str">
        <f ca="1">IFERROR(__xludf.DUMMYFUNCTION("""COMPUTED_VALUE"""),"OBRA")</f>
        <v>OBRA</v>
      </c>
      <c r="J66" s="10" t="str">
        <f ca="1">IFERROR(__xludf.DUMMYFUNCTION("""COMPUTED_VALUE"""),"Cumplir con normativa y reglamentos internos del programa en base a los objetivos.")</f>
        <v>Cumplir con normativa y reglamentos internos del programa en base a los objetivos.</v>
      </c>
      <c r="K66" s="71">
        <f ca="1">IFERROR(__xludf.DUMMYFUNCTION("""COMPUTED_VALUE"""),55689043)</f>
        <v>55689043</v>
      </c>
      <c r="L66" s="72">
        <f ca="1">IFERROR(__xludf.DUMMYFUNCTION("""COMPUTED_VALUE"""),0.50170309009009)</f>
        <v>0.50170309009008995</v>
      </c>
      <c r="M66" s="10">
        <f ca="1">IFERROR(__xludf.DUMMYFUNCTION("""COMPUTED_VALUE"""),1022)</f>
        <v>1022</v>
      </c>
      <c r="N66" s="10" t="str">
        <f ca="1">IFERROR(__xludf.DUMMYFUNCTION("""COMPUTED_VALUE"""),"PMU")</f>
        <v>PMU</v>
      </c>
      <c r="O66" s="1"/>
      <c r="P66" s="1"/>
      <c r="Q66" s="1"/>
      <c r="R66" s="1"/>
      <c r="S66" s="1"/>
      <c r="T66" s="1"/>
      <c r="U66" s="1"/>
      <c r="V66" s="1"/>
      <c r="W66" s="1"/>
      <c r="X66" s="1"/>
      <c r="Y66" s="1"/>
      <c r="Z66" s="1"/>
    </row>
    <row r="67" spans="1:26" ht="12.75" customHeight="1">
      <c r="A67" s="1"/>
      <c r="B67" s="10" t="str">
        <f ca="1">IFERROR(__xludf.DUMMYFUNCTION("""COMPUTED_VALUE"""),"MEJORAMIENTO AREA VERDE CALLE BIO BIO Y PUCON TOME ALTO, COMUNA DE TOME")</f>
        <v>MEJORAMIENTO AREA VERDE CALLE BIO BIO Y PUCON TOME ALTO, COMUNA DE TOME</v>
      </c>
      <c r="C67" s="10" t="str">
        <f ca="1">IFERROR(__xludf.DUMMYFUNCTION("""COMPUTED_VALUE"""),"1-K-2023-165")</f>
        <v>1-K-2023-165</v>
      </c>
      <c r="D67" s="26" t="str">
        <f t="shared" ca="1" si="0"/>
        <v xml:space="preserve"> TOMÉ</v>
      </c>
      <c r="E67" s="10" t="str">
        <f ca="1">IFERROR(__xludf.DUMMYFUNCTION("""COMPUTED_VALUE"""),"Guía Operativa")</f>
        <v>Guía Operativa</v>
      </c>
      <c r="F67" s="10" t="str">
        <f ca="1">IFERROR(__xludf.DUMMYFUNCTION("""COMPUTED_VALUE"""),"MUNICIPALIDAD DE TOMÉ")</f>
        <v>MUNICIPALIDAD DE TOMÉ</v>
      </c>
      <c r="G67" s="71">
        <f ca="1">IFERROR(__xludf.DUMMYFUNCTION("""COMPUTED_VALUE"""),79688624)</f>
        <v>79688624</v>
      </c>
      <c r="H67" s="10" t="str">
        <f ca="1">IFERROR(__xludf.DUMMYFUNCTION("""COMPUTED_VALUE"""),"Resolución")</f>
        <v>Resolución</v>
      </c>
      <c r="I67" s="10" t="str">
        <f ca="1">IFERROR(__xludf.DUMMYFUNCTION("""COMPUTED_VALUE"""),"OBRA")</f>
        <v>OBRA</v>
      </c>
      <c r="J67" s="10" t="str">
        <f ca="1">IFERROR(__xludf.DUMMYFUNCTION("""COMPUTED_VALUE"""),"Cumplir con normativa y reglamentos internos del programa en base a los objetivos.")</f>
        <v>Cumplir con normativa y reglamentos internos del programa en base a los objetivos.</v>
      </c>
      <c r="K67" s="71">
        <f ca="1">IFERROR(__xludf.DUMMYFUNCTION("""COMPUTED_VALUE"""),39844312)</f>
        <v>39844312</v>
      </c>
      <c r="L67" s="72">
        <f ca="1">IFERROR(__xludf.DUMMYFUNCTION("""COMPUTED_VALUE"""),0.5)</f>
        <v>0.5</v>
      </c>
      <c r="M67" s="10">
        <f ca="1">IFERROR(__xludf.DUMMYFUNCTION("""COMPUTED_VALUE"""),1026)</f>
        <v>1026</v>
      </c>
      <c r="N67" s="10" t="str">
        <f ca="1">IFERROR(__xludf.DUMMYFUNCTION("""COMPUTED_VALUE"""),"PMU")</f>
        <v>PMU</v>
      </c>
      <c r="O67" s="1"/>
      <c r="P67" s="1"/>
      <c r="Q67" s="1"/>
      <c r="R67" s="1"/>
      <c r="S67" s="1"/>
      <c r="T67" s="1"/>
      <c r="U67" s="1"/>
      <c r="V67" s="1"/>
      <c r="W67" s="1"/>
      <c r="X67" s="1"/>
      <c r="Y67" s="1"/>
      <c r="Z67" s="1"/>
    </row>
    <row r="68" spans="1:26" ht="12.75" customHeight="1">
      <c r="A68" s="1"/>
      <c r="B68" s="10" t="str">
        <f ca="1">IFERROR(__xludf.DUMMYFUNCTION("""COMPUTED_VALUE"""),"CONSTRUCCION RADIER DE ACCESO GIMNASIO MUNICIPAL DE DICHATO, COMUNA DE TOME")</f>
        <v>CONSTRUCCION RADIER DE ACCESO GIMNASIO MUNICIPAL DE DICHATO, COMUNA DE TOME</v>
      </c>
      <c r="C68" s="10" t="str">
        <f ca="1">IFERROR(__xludf.DUMMYFUNCTION("""COMPUTED_VALUE"""),"1-K-2023-166")</f>
        <v>1-K-2023-166</v>
      </c>
      <c r="D68" s="26" t="str">
        <f t="shared" ca="1" si="0"/>
        <v xml:space="preserve"> TOMÉ</v>
      </c>
      <c r="E68" s="10" t="str">
        <f ca="1">IFERROR(__xludf.DUMMYFUNCTION("""COMPUTED_VALUE"""),"Guía Operativa")</f>
        <v>Guía Operativa</v>
      </c>
      <c r="F68" s="10" t="str">
        <f ca="1">IFERROR(__xludf.DUMMYFUNCTION("""COMPUTED_VALUE"""),"MUNICIPALIDAD DE TOMÉ")</f>
        <v>MUNICIPALIDAD DE TOMÉ</v>
      </c>
      <c r="G68" s="71">
        <f ca="1">IFERROR(__xludf.DUMMYFUNCTION("""COMPUTED_VALUE"""),116000000)</f>
        <v>116000000</v>
      </c>
      <c r="H68" s="10" t="str">
        <f ca="1">IFERROR(__xludf.DUMMYFUNCTION("""COMPUTED_VALUE"""),"Resolución")</f>
        <v>Resolución</v>
      </c>
      <c r="I68" s="10" t="str">
        <f ca="1">IFERROR(__xludf.DUMMYFUNCTION("""COMPUTED_VALUE"""),"OBRA")</f>
        <v>OBRA</v>
      </c>
      <c r="J68" s="10" t="str">
        <f ca="1">IFERROR(__xludf.DUMMYFUNCTION("""COMPUTED_VALUE"""),"Cumplir con normativa y reglamentos internos del programa en base a los objetivos.")</f>
        <v>Cumplir con normativa y reglamentos internos del programa en base a los objetivos.</v>
      </c>
      <c r="K68" s="71">
        <f ca="1">IFERROR(__xludf.DUMMYFUNCTION("""COMPUTED_VALUE"""),57975191)</f>
        <v>57975191</v>
      </c>
      <c r="L68" s="72">
        <f ca="1">IFERROR(__xludf.DUMMYFUNCTION("""COMPUTED_VALUE"""),0.499786129310344)</f>
        <v>0.499786129310344</v>
      </c>
      <c r="M68" s="10">
        <f ca="1">IFERROR(__xludf.DUMMYFUNCTION("""COMPUTED_VALUE"""),1026)</f>
        <v>1026</v>
      </c>
      <c r="N68" s="10" t="str">
        <f ca="1">IFERROR(__xludf.DUMMYFUNCTION("""COMPUTED_VALUE"""),"PMU")</f>
        <v>PMU</v>
      </c>
      <c r="O68" s="1"/>
      <c r="P68" s="1"/>
      <c r="Q68" s="1"/>
      <c r="R68" s="1"/>
      <c r="S68" s="1"/>
      <c r="T68" s="1"/>
      <c r="U68" s="1"/>
      <c r="V68" s="1"/>
      <c r="W68" s="1"/>
      <c r="X68" s="1"/>
      <c r="Y68" s="1"/>
      <c r="Z68" s="1"/>
    </row>
    <row r="69" spans="1:26" ht="12.75" customHeight="1">
      <c r="A69" s="1"/>
      <c r="B69" s="10" t="str">
        <f ca="1">IFERROR(__xludf.DUMMYFUNCTION("""COMPUTED_VALUE"""),"MEJORAMIENTO AREA VERDE VILLA ITALIA, Y CONSTRUCCION MURO DE CONTENCION CALLE DANTE DE ALIGHIERI")</f>
        <v>MEJORAMIENTO AREA VERDE VILLA ITALIA, Y CONSTRUCCION MURO DE CONTENCION CALLE DANTE DE ALIGHIERI</v>
      </c>
      <c r="C69" s="10" t="str">
        <f ca="1">IFERROR(__xludf.DUMMYFUNCTION("""COMPUTED_VALUE"""),"1-K-2023-167")</f>
        <v>1-K-2023-167</v>
      </c>
      <c r="D69" s="26" t="str">
        <f t="shared" ca="1" si="0"/>
        <v xml:space="preserve"> PENCO</v>
      </c>
      <c r="E69" s="10" t="str">
        <f ca="1">IFERROR(__xludf.DUMMYFUNCTION("""COMPUTED_VALUE"""),"Guía Operativa")</f>
        <v>Guía Operativa</v>
      </c>
      <c r="F69" s="10" t="str">
        <f ca="1">IFERROR(__xludf.DUMMYFUNCTION("""COMPUTED_VALUE"""),"MUNICIPALIDAD DE PENCO")</f>
        <v>MUNICIPALIDAD DE PENCO</v>
      </c>
      <c r="G69" s="71">
        <f ca="1">IFERROR(__xludf.DUMMYFUNCTION("""COMPUTED_VALUE"""),78587148)</f>
        <v>78587148</v>
      </c>
      <c r="H69" s="10" t="str">
        <f ca="1">IFERROR(__xludf.DUMMYFUNCTION("""COMPUTED_VALUE"""),"Resolución")</f>
        <v>Resolución</v>
      </c>
      <c r="I69" s="10" t="str">
        <f ca="1">IFERROR(__xludf.DUMMYFUNCTION("""COMPUTED_VALUE"""),"OBRA")</f>
        <v>OBRA</v>
      </c>
      <c r="J69" s="10" t="str">
        <f ca="1">IFERROR(__xludf.DUMMYFUNCTION("""COMPUTED_VALUE"""),"Cumplir con normativa y reglamentos internos del programa en base a los objetivos.")</f>
        <v>Cumplir con normativa y reglamentos internos del programa en base a los objetivos.</v>
      </c>
      <c r="K69" s="71">
        <f ca="1">IFERROR(__xludf.DUMMYFUNCTION("""COMPUTED_VALUE"""),75458057)</f>
        <v>75458057</v>
      </c>
      <c r="L69" s="72">
        <f ca="1">IFERROR(__xludf.DUMMYFUNCTION("""COMPUTED_VALUE"""),0.960183171426452)</f>
        <v>0.96018317142645204</v>
      </c>
      <c r="M69" s="10">
        <f ca="1">IFERROR(__xludf.DUMMYFUNCTION("""COMPUTED_VALUE"""),1032)</f>
        <v>1032</v>
      </c>
      <c r="N69" s="10" t="str">
        <f ca="1">IFERROR(__xludf.DUMMYFUNCTION("""COMPUTED_VALUE"""),"PMU")</f>
        <v>PMU</v>
      </c>
      <c r="O69" s="1"/>
      <c r="P69" s="1"/>
      <c r="Q69" s="1"/>
      <c r="R69" s="1"/>
      <c r="S69" s="1"/>
      <c r="T69" s="1"/>
      <c r="U69" s="1"/>
      <c r="V69" s="1"/>
      <c r="W69" s="1"/>
      <c r="X69" s="1"/>
      <c r="Y69" s="1"/>
      <c r="Z69" s="1"/>
    </row>
    <row r="70" spans="1:26" ht="12.75" customHeight="1">
      <c r="A70" s="1"/>
      <c r="B70" s="10" t="str">
        <f ca="1">IFERROR(__xludf.DUMMYFUNCTION("""COMPUTED_VALUE"""),"REPOSICION DE ACERAS CALLE LOS OLIVOS, ENTRE INFANTE Y TOLTEN")</f>
        <v>REPOSICION DE ACERAS CALLE LOS OLIVOS, ENTRE INFANTE Y TOLTEN</v>
      </c>
      <c r="C70" s="10" t="str">
        <f ca="1">IFERROR(__xludf.DUMMYFUNCTION("""COMPUTED_VALUE"""),"1-K-2023-168")</f>
        <v>1-K-2023-168</v>
      </c>
      <c r="D70" s="26" t="str">
        <f t="shared" ca="1" si="0"/>
        <v xml:space="preserve"> PENCO</v>
      </c>
      <c r="E70" s="10" t="str">
        <f ca="1">IFERROR(__xludf.DUMMYFUNCTION("""COMPUTED_VALUE"""),"Guía Operativa")</f>
        <v>Guía Operativa</v>
      </c>
      <c r="F70" s="10" t="str">
        <f ca="1">IFERROR(__xludf.DUMMYFUNCTION("""COMPUTED_VALUE"""),"MUNICIPALIDAD DE PENCO")</f>
        <v>MUNICIPALIDAD DE PENCO</v>
      </c>
      <c r="G70" s="71">
        <f ca="1">IFERROR(__xludf.DUMMYFUNCTION("""COMPUTED_VALUE"""),80278440)</f>
        <v>80278440</v>
      </c>
      <c r="H70" s="10" t="str">
        <f ca="1">IFERROR(__xludf.DUMMYFUNCTION("""COMPUTED_VALUE"""),"Resolución")</f>
        <v>Resolución</v>
      </c>
      <c r="I70" s="10" t="str">
        <f ca="1">IFERROR(__xludf.DUMMYFUNCTION("""COMPUTED_VALUE"""),"OBRA")</f>
        <v>OBRA</v>
      </c>
      <c r="J70" s="10" t="str">
        <f ca="1">IFERROR(__xludf.DUMMYFUNCTION("""COMPUTED_VALUE"""),"Cumplir con normativa y reglamentos internos del programa en base a los objetivos.")</f>
        <v>Cumplir con normativa y reglamentos internos del programa en base a los objetivos.</v>
      </c>
      <c r="K70" s="71">
        <f ca="1">IFERROR(__xludf.DUMMYFUNCTION("""COMPUTED_VALUE"""),70891167)</f>
        <v>70891167</v>
      </c>
      <c r="L70" s="72">
        <f ca="1">IFERROR(__xludf.DUMMYFUNCTION("""COMPUTED_VALUE"""),0.883066076022404)</f>
        <v>0.88306607602240395</v>
      </c>
      <c r="M70" s="10">
        <f ca="1">IFERROR(__xludf.DUMMYFUNCTION("""COMPUTED_VALUE"""),1031)</f>
        <v>1031</v>
      </c>
      <c r="N70" s="10" t="str">
        <f ca="1">IFERROR(__xludf.DUMMYFUNCTION("""COMPUTED_VALUE"""),"PMU")</f>
        <v>PMU</v>
      </c>
      <c r="O70" s="1"/>
      <c r="P70" s="1"/>
      <c r="Q70" s="1"/>
      <c r="R70" s="1"/>
      <c r="S70" s="1"/>
      <c r="T70" s="1"/>
      <c r="U70" s="1"/>
      <c r="V70" s="1"/>
      <c r="W70" s="1"/>
      <c r="X70" s="1"/>
      <c r="Y70" s="1"/>
      <c r="Z70" s="1"/>
    </row>
    <row r="71" spans="1:26" ht="12.75" customHeight="1">
      <c r="A71" s="1"/>
      <c r="B71" s="10" t="str">
        <f ca="1">IFERROR(__xludf.DUMMYFUNCTION("""COMPUTED_VALUE"""),"MEJORAMIENTO DE ACERAS Y AREAS VERDES, CALLE YERBAS BUENAS")</f>
        <v>MEJORAMIENTO DE ACERAS Y AREAS VERDES, CALLE YERBAS BUENAS</v>
      </c>
      <c r="C71" s="10" t="str">
        <f ca="1">IFERROR(__xludf.DUMMYFUNCTION("""COMPUTED_VALUE"""),"1-K-2023-170")</f>
        <v>1-K-2023-170</v>
      </c>
      <c r="D71" s="26" t="str">
        <f t="shared" ca="1" si="0"/>
        <v xml:space="preserve"> PENCO</v>
      </c>
      <c r="E71" s="10" t="str">
        <f ca="1">IFERROR(__xludf.DUMMYFUNCTION("""COMPUTED_VALUE"""),"Guía Operativa")</f>
        <v>Guía Operativa</v>
      </c>
      <c r="F71" s="10" t="str">
        <f ca="1">IFERROR(__xludf.DUMMYFUNCTION("""COMPUTED_VALUE"""),"MUNICIPALIDAD DE PENCO")</f>
        <v>MUNICIPALIDAD DE PENCO</v>
      </c>
      <c r="G71" s="71">
        <f ca="1">IFERROR(__xludf.DUMMYFUNCTION("""COMPUTED_VALUE"""),66654831)</f>
        <v>66654831</v>
      </c>
      <c r="H71" s="10" t="str">
        <f ca="1">IFERROR(__xludf.DUMMYFUNCTION("""COMPUTED_VALUE"""),"Resolución")</f>
        <v>Resolución</v>
      </c>
      <c r="I71" s="10" t="str">
        <f ca="1">IFERROR(__xludf.DUMMYFUNCTION("""COMPUTED_VALUE"""),"OBRA")</f>
        <v>OBRA</v>
      </c>
      <c r="J71" s="10" t="str">
        <f ca="1">IFERROR(__xludf.DUMMYFUNCTION("""COMPUTED_VALUE"""),"Cumplir con normativa y reglamentos internos del programa en base a los objetivos.")</f>
        <v>Cumplir con normativa y reglamentos internos del programa en base a los objetivos.</v>
      </c>
      <c r="K71" s="71">
        <f ca="1">IFERROR(__xludf.DUMMYFUNCTION("""COMPUTED_VALUE"""),57267558)</f>
        <v>57267558</v>
      </c>
      <c r="L71" s="72">
        <f ca="1">IFERROR(__xludf.DUMMYFUNCTION("""COMPUTED_VALUE"""),0.859165902018414)</f>
        <v>0.85916590201841403</v>
      </c>
      <c r="M71" s="10">
        <f ca="1">IFERROR(__xludf.DUMMYFUNCTION("""COMPUTED_VALUE"""),1031)</f>
        <v>1031</v>
      </c>
      <c r="N71" s="10" t="str">
        <f ca="1">IFERROR(__xludf.DUMMYFUNCTION("""COMPUTED_VALUE"""),"PMU")</f>
        <v>PMU</v>
      </c>
      <c r="O71" s="1"/>
      <c r="P71" s="1"/>
      <c r="Q71" s="1"/>
      <c r="R71" s="1"/>
      <c r="S71" s="1"/>
      <c r="T71" s="1"/>
      <c r="U71" s="1"/>
      <c r="V71" s="1"/>
      <c r="W71" s="1"/>
      <c r="X71" s="1"/>
      <c r="Y71" s="1"/>
      <c r="Z71" s="1"/>
    </row>
    <row r="72" spans="1:26" ht="12.75" customHeight="1">
      <c r="A72" s="1"/>
      <c r="B72" s="10" t="str">
        <f ca="1">IFERROR(__xludf.DUMMYFUNCTION("""COMPUTED_VALUE"""),"MEJORAMIENTO Y RECUPERACION DE AREA VERDE, POBL PADRE PEDRO ARREGUI")</f>
        <v>MEJORAMIENTO Y RECUPERACION DE AREA VERDE, POBL PADRE PEDRO ARREGUI</v>
      </c>
      <c r="C72" s="10" t="str">
        <f ca="1">IFERROR(__xludf.DUMMYFUNCTION("""COMPUTED_VALUE"""),"1-K-2023-171")</f>
        <v>1-K-2023-171</v>
      </c>
      <c r="D72" s="26" t="str">
        <f t="shared" ca="1" si="0"/>
        <v xml:space="preserve"> PENCO</v>
      </c>
      <c r="E72" s="10" t="str">
        <f ca="1">IFERROR(__xludf.DUMMYFUNCTION("""COMPUTED_VALUE"""),"Guía Operativa")</f>
        <v>Guía Operativa</v>
      </c>
      <c r="F72" s="10" t="str">
        <f ca="1">IFERROR(__xludf.DUMMYFUNCTION("""COMPUTED_VALUE"""),"MUNICIPALIDAD DE PENCO")</f>
        <v>MUNICIPALIDAD DE PENCO</v>
      </c>
      <c r="G72" s="71">
        <f ca="1">IFERROR(__xludf.DUMMYFUNCTION("""COMPUTED_VALUE"""),68873479)</f>
        <v>68873479</v>
      </c>
      <c r="H72" s="10" t="str">
        <f ca="1">IFERROR(__xludf.DUMMYFUNCTION("""COMPUTED_VALUE"""),"Resolución")</f>
        <v>Resolución</v>
      </c>
      <c r="I72" s="10" t="str">
        <f ca="1">IFERROR(__xludf.DUMMYFUNCTION("""COMPUTED_VALUE"""),"OBRA")</f>
        <v>OBRA</v>
      </c>
      <c r="J72" s="10" t="str">
        <f ca="1">IFERROR(__xludf.DUMMYFUNCTION("""COMPUTED_VALUE"""),"Cumplir con normativa y reglamentos internos del programa en base a los objetivos.")</f>
        <v>Cumplir con normativa y reglamentos internos del programa en base a los objetivos.</v>
      </c>
      <c r="K72" s="71">
        <f ca="1">IFERROR(__xludf.DUMMYFUNCTION("""COMPUTED_VALUE"""),65744388)</f>
        <v>65744388</v>
      </c>
      <c r="L72" s="72">
        <f ca="1">IFERROR(__xludf.DUMMYFUNCTION("""COMPUTED_VALUE"""),0.954567548417294)</f>
        <v>0.95456754841729397</v>
      </c>
      <c r="M72" s="10">
        <f ca="1">IFERROR(__xludf.DUMMYFUNCTION("""COMPUTED_VALUE"""),1064)</f>
        <v>1064</v>
      </c>
      <c r="N72" s="10" t="str">
        <f ca="1">IFERROR(__xludf.DUMMYFUNCTION("""COMPUTED_VALUE"""),"PMU")</f>
        <v>PMU</v>
      </c>
      <c r="O72" s="1"/>
      <c r="P72" s="1"/>
      <c r="Q72" s="1"/>
      <c r="R72" s="1"/>
      <c r="S72" s="1"/>
      <c r="T72" s="1"/>
      <c r="U72" s="1"/>
      <c r="V72" s="1"/>
      <c r="W72" s="1"/>
      <c r="X72" s="1"/>
      <c r="Y72" s="1"/>
      <c r="Z72" s="1"/>
    </row>
    <row r="73" spans="1:26" ht="12.75" customHeight="1">
      <c r="A73" s="1"/>
      <c r="B73" s="10" t="str">
        <f ca="1">IFERROR(__xludf.DUMMYFUNCTION("""COMPUTED_VALUE"""),"MEJORAMIENTO DE AREA VERDE, PLAZA SOTOMAYOR")</f>
        <v>MEJORAMIENTO DE AREA VERDE, PLAZA SOTOMAYOR</v>
      </c>
      <c r="C73" s="10" t="str">
        <f ca="1">IFERROR(__xludf.DUMMYFUNCTION("""COMPUTED_VALUE"""),"1-K-2023-172")</f>
        <v>1-K-2023-172</v>
      </c>
      <c r="D73" s="26" t="str">
        <f t="shared" ca="1" si="0"/>
        <v xml:space="preserve"> PENCO</v>
      </c>
      <c r="E73" s="10" t="str">
        <f ca="1">IFERROR(__xludf.DUMMYFUNCTION("""COMPUTED_VALUE"""),"Guía Operativa")</f>
        <v>Guía Operativa</v>
      </c>
      <c r="F73" s="10" t="str">
        <f ca="1">IFERROR(__xludf.DUMMYFUNCTION("""COMPUTED_VALUE"""),"MUNICIPALIDAD DE PENCO")</f>
        <v>MUNICIPALIDAD DE PENCO</v>
      </c>
      <c r="G73" s="71">
        <f ca="1">IFERROR(__xludf.DUMMYFUNCTION("""COMPUTED_VALUE"""),81177837)</f>
        <v>81177837</v>
      </c>
      <c r="H73" s="10" t="str">
        <f ca="1">IFERROR(__xludf.DUMMYFUNCTION("""COMPUTED_VALUE"""),"Resolución")</f>
        <v>Resolución</v>
      </c>
      <c r="I73" s="10" t="str">
        <f ca="1">IFERROR(__xludf.DUMMYFUNCTION("""COMPUTED_VALUE"""),"OBRA")</f>
        <v>OBRA</v>
      </c>
      <c r="J73" s="10" t="str">
        <f ca="1">IFERROR(__xludf.DUMMYFUNCTION("""COMPUTED_VALUE"""),"Cumplir con normativa y reglamentos internos del programa en base a los objetivos.")</f>
        <v>Cumplir con normativa y reglamentos internos del programa en base a los objetivos.</v>
      </c>
      <c r="K73" s="71">
        <f ca="1">IFERROR(__xludf.DUMMYFUNCTION("""COMPUTED_VALUE"""),78048746)</f>
        <v>78048746</v>
      </c>
      <c r="L73" s="72">
        <f ca="1">IFERROR(__xludf.DUMMYFUNCTION("""COMPUTED_VALUE"""),0.961453875643422)</f>
        <v>0.961453875643422</v>
      </c>
      <c r="M73" s="10">
        <f ca="1">IFERROR(__xludf.DUMMYFUNCTION("""COMPUTED_VALUE"""),1064)</f>
        <v>1064</v>
      </c>
      <c r="N73" s="10" t="str">
        <f ca="1">IFERROR(__xludf.DUMMYFUNCTION("""COMPUTED_VALUE"""),"PMU")</f>
        <v>PMU</v>
      </c>
      <c r="O73" s="1"/>
      <c r="P73" s="1"/>
      <c r="Q73" s="1"/>
      <c r="R73" s="1"/>
      <c r="S73" s="1"/>
      <c r="T73" s="1"/>
      <c r="U73" s="1"/>
      <c r="V73" s="1"/>
      <c r="W73" s="1"/>
      <c r="X73" s="1"/>
      <c r="Y73" s="1"/>
      <c r="Z73" s="1"/>
    </row>
    <row r="74" spans="1:26" ht="12.75" customHeight="1">
      <c r="A74" s="1"/>
      <c r="B74" s="10" t="str">
        <f ca="1">IFERROR(__xludf.DUMMYFUNCTION("""COMPUTED_VALUE"""),"CONSTRUCCIÓN REDUCTOR DE VELOCIDAD CALLE LUIS CRUZ MARTÍNEZ ENTRE PÉREZ CANTO Y REGIMIENTO BUIN SECTOR CALERO SUR, LOTA")</f>
        <v>CONSTRUCCIÓN REDUCTOR DE VELOCIDAD CALLE LUIS CRUZ MARTÍNEZ ENTRE PÉREZ CANTO Y REGIMIENTO BUIN SECTOR CALERO SUR, LOTA</v>
      </c>
      <c r="C74" s="10" t="str">
        <f ca="1">IFERROR(__xludf.DUMMYFUNCTION("""COMPUTED_VALUE"""),"1-K-2023-201")</f>
        <v>1-K-2023-201</v>
      </c>
      <c r="D74" s="26" t="str">
        <f t="shared" ca="1" si="0"/>
        <v xml:space="preserve"> LOTA</v>
      </c>
      <c r="E74" s="10" t="str">
        <f ca="1">IFERROR(__xludf.DUMMYFUNCTION("""COMPUTED_VALUE"""),"Guía Operativa")</f>
        <v>Guía Operativa</v>
      </c>
      <c r="F74" s="10" t="str">
        <f ca="1">IFERROR(__xludf.DUMMYFUNCTION("""COMPUTED_VALUE"""),"MUNICIPALIDAD DE LOTA")</f>
        <v>MUNICIPALIDAD DE LOTA</v>
      </c>
      <c r="G74" s="71">
        <f ca="1">IFERROR(__xludf.DUMMYFUNCTION("""COMPUTED_VALUE"""),150000000)</f>
        <v>150000000</v>
      </c>
      <c r="H74" s="10" t="str">
        <f ca="1">IFERROR(__xludf.DUMMYFUNCTION("""COMPUTED_VALUE"""),"Resolución")</f>
        <v>Resolución</v>
      </c>
      <c r="I74" s="10" t="str">
        <f ca="1">IFERROR(__xludf.DUMMYFUNCTION("""COMPUTED_VALUE"""),"OBRA")</f>
        <v>OBRA</v>
      </c>
      <c r="J74" s="10" t="str">
        <f ca="1">IFERROR(__xludf.DUMMYFUNCTION("""COMPUTED_VALUE"""),"Cumplir con normativa y reglamentos internos del programa en base a los objetivos.")</f>
        <v>Cumplir con normativa y reglamentos internos del programa en base a los objetivos.</v>
      </c>
      <c r="K74" s="71">
        <f ca="1">IFERROR(__xludf.DUMMYFUNCTION("""COMPUTED_VALUE"""),149615892)</f>
        <v>149615892</v>
      </c>
      <c r="L74" s="72">
        <f ca="1">IFERROR(__xludf.DUMMYFUNCTION("""COMPUTED_VALUE"""),0.99743928)</f>
        <v>0.99743928000000004</v>
      </c>
      <c r="M74" s="10">
        <f ca="1">IFERROR(__xludf.DUMMYFUNCTION("""COMPUTED_VALUE"""),1021)</f>
        <v>1021</v>
      </c>
      <c r="N74" s="10" t="str">
        <f ca="1">IFERROR(__xludf.DUMMYFUNCTION("""COMPUTED_VALUE"""),"PMU")</f>
        <v>PMU</v>
      </c>
      <c r="O74" s="1"/>
      <c r="P74" s="1"/>
      <c r="Q74" s="1"/>
      <c r="R74" s="1"/>
      <c r="S74" s="1"/>
      <c r="T74" s="1"/>
      <c r="U74" s="1"/>
      <c r="V74" s="1"/>
      <c r="W74" s="1"/>
      <c r="X74" s="1"/>
      <c r="Y74" s="1"/>
      <c r="Z74" s="1"/>
    </row>
    <row r="75" spans="1:26" ht="12.75" customHeight="1">
      <c r="A75" s="1"/>
      <c r="B75" s="10" t="str">
        <f ca="1">IFERROR(__xludf.DUMMYFUNCTION("""COMPUTED_VALUE"""),"CONSTRUCCIÓN DEFENSA CAMINERA Y REPOSICIÓN DE ACERA ENTRE CALLE LOS CASTAÑOS Y VIÑA DEL MAR SECTOR POLVORÍN 1, LOTA")</f>
        <v>CONSTRUCCIÓN DEFENSA CAMINERA Y REPOSICIÓN DE ACERA ENTRE CALLE LOS CASTAÑOS Y VIÑA DEL MAR SECTOR POLVORÍN 1, LOTA</v>
      </c>
      <c r="C75" s="10" t="str">
        <f ca="1">IFERROR(__xludf.DUMMYFUNCTION("""COMPUTED_VALUE"""),"1-K-2023-202")</f>
        <v>1-K-2023-202</v>
      </c>
      <c r="D75" s="26" t="str">
        <f t="shared" ca="1" si="0"/>
        <v xml:space="preserve"> LOTA</v>
      </c>
      <c r="E75" s="10" t="str">
        <f ca="1">IFERROR(__xludf.DUMMYFUNCTION("""COMPUTED_VALUE"""),"Guía Operativa")</f>
        <v>Guía Operativa</v>
      </c>
      <c r="F75" s="10" t="str">
        <f ca="1">IFERROR(__xludf.DUMMYFUNCTION("""COMPUTED_VALUE"""),"MUNICIPALIDAD DE LOTA")</f>
        <v>MUNICIPALIDAD DE LOTA</v>
      </c>
      <c r="G75" s="71">
        <f ca="1">IFERROR(__xludf.DUMMYFUNCTION("""COMPUTED_VALUE"""),148000000)</f>
        <v>148000000</v>
      </c>
      <c r="H75" s="10" t="str">
        <f ca="1">IFERROR(__xludf.DUMMYFUNCTION("""COMPUTED_VALUE"""),"Resolución")</f>
        <v>Resolución</v>
      </c>
      <c r="I75" s="10" t="str">
        <f ca="1">IFERROR(__xludf.DUMMYFUNCTION("""COMPUTED_VALUE"""),"OBRA")</f>
        <v>OBRA</v>
      </c>
      <c r="J75" s="10" t="str">
        <f ca="1">IFERROR(__xludf.DUMMYFUNCTION("""COMPUTED_VALUE"""),"Cumplir con normativa y reglamentos internos del programa en base a los objetivos.")</f>
        <v>Cumplir con normativa y reglamentos internos del programa en base a los objetivos.</v>
      </c>
      <c r="K75" s="71">
        <f ca="1">IFERROR(__xludf.DUMMYFUNCTION("""COMPUTED_VALUE"""),144470153)</f>
        <v>144470153</v>
      </c>
      <c r="L75" s="72">
        <f ca="1">IFERROR(__xludf.DUMMYFUNCTION("""COMPUTED_VALUE"""),0.976149682432432)</f>
        <v>0.97614968243243205</v>
      </c>
      <c r="M75" s="10">
        <f ca="1">IFERROR(__xludf.DUMMYFUNCTION("""COMPUTED_VALUE"""),1028)</f>
        <v>1028</v>
      </c>
      <c r="N75" s="10" t="str">
        <f ca="1">IFERROR(__xludf.DUMMYFUNCTION("""COMPUTED_VALUE"""),"PMU")</f>
        <v>PMU</v>
      </c>
      <c r="O75" s="1"/>
      <c r="P75" s="1"/>
      <c r="Q75" s="1"/>
      <c r="R75" s="1"/>
      <c r="S75" s="1"/>
      <c r="T75" s="1"/>
      <c r="U75" s="1"/>
      <c r="V75" s="1"/>
      <c r="W75" s="1"/>
      <c r="X75" s="1"/>
      <c r="Y75" s="1"/>
      <c r="Z75" s="1"/>
    </row>
    <row r="76" spans="1:26" ht="12.75" customHeight="1">
      <c r="A76" s="1"/>
      <c r="B76" s="10" t="str">
        <f ca="1">IFERROR(__xludf.DUMMYFUNCTION("""COMPUTED_VALUE"""),"REPOSICIÓN DEFENSA CAMINERA CALLE E. RIQUELME ENTRE LOS MAÑÍOS Y ING. CHAITT SECTOR GABRIELA MISTRAL 2, LOTA")</f>
        <v>REPOSICIÓN DEFENSA CAMINERA CALLE E. RIQUELME ENTRE LOS MAÑÍOS Y ING. CHAITT SECTOR GABRIELA MISTRAL 2, LOTA</v>
      </c>
      <c r="C76" s="10" t="str">
        <f ca="1">IFERROR(__xludf.DUMMYFUNCTION("""COMPUTED_VALUE"""),"1-K-2023-203")</f>
        <v>1-K-2023-203</v>
      </c>
      <c r="D76" s="26" t="str">
        <f t="shared" ca="1" si="0"/>
        <v xml:space="preserve"> LOTA</v>
      </c>
      <c r="E76" s="10" t="str">
        <f ca="1">IFERROR(__xludf.DUMMYFUNCTION("""COMPUTED_VALUE"""),"Guía Operativa")</f>
        <v>Guía Operativa</v>
      </c>
      <c r="F76" s="10" t="str">
        <f ca="1">IFERROR(__xludf.DUMMYFUNCTION("""COMPUTED_VALUE"""),"MUNICIPALIDAD DE LOTA")</f>
        <v>MUNICIPALIDAD DE LOTA</v>
      </c>
      <c r="G76" s="71">
        <f ca="1">IFERROR(__xludf.DUMMYFUNCTION("""COMPUTED_VALUE"""),143000000)</f>
        <v>143000000</v>
      </c>
      <c r="H76" s="10" t="str">
        <f ca="1">IFERROR(__xludf.DUMMYFUNCTION("""COMPUTED_VALUE"""),"Resolución")</f>
        <v>Resolución</v>
      </c>
      <c r="I76" s="10" t="str">
        <f ca="1">IFERROR(__xludf.DUMMYFUNCTION("""COMPUTED_VALUE"""),"OBRA")</f>
        <v>OBRA</v>
      </c>
      <c r="J76" s="10" t="str">
        <f ca="1">IFERROR(__xludf.DUMMYFUNCTION("""COMPUTED_VALUE"""),"Cumplir con normativa y reglamentos internos del programa en base a los objetivos.")</f>
        <v>Cumplir con normativa y reglamentos internos del programa en base a los objetivos.</v>
      </c>
      <c r="K76" s="71">
        <f ca="1">IFERROR(__xludf.DUMMYFUNCTION("""COMPUTED_VALUE"""),136781856)</f>
        <v>136781856</v>
      </c>
      <c r="L76" s="72">
        <f ca="1">IFERROR(__xludf.DUMMYFUNCTION("""COMPUTED_VALUE"""),0.956516475524475)</f>
        <v>0.95651647552447505</v>
      </c>
      <c r="M76" s="10">
        <f ca="1">IFERROR(__xludf.DUMMYFUNCTION("""COMPUTED_VALUE"""),1010)</f>
        <v>1010</v>
      </c>
      <c r="N76" s="10" t="str">
        <f ca="1">IFERROR(__xludf.DUMMYFUNCTION("""COMPUTED_VALUE"""),"PMU")</f>
        <v>PMU</v>
      </c>
      <c r="O76" s="1"/>
      <c r="P76" s="1"/>
      <c r="Q76" s="1"/>
      <c r="R76" s="1"/>
      <c r="S76" s="1"/>
      <c r="T76" s="1"/>
      <c r="U76" s="1"/>
      <c r="V76" s="1"/>
      <c r="W76" s="1"/>
      <c r="X76" s="1"/>
      <c r="Y76" s="1"/>
      <c r="Z76" s="1"/>
    </row>
    <row r="77" spans="1:26" ht="12.75" customHeight="1">
      <c r="A77" s="1"/>
      <c r="B77" s="10" t="str">
        <f ca="1">IFERROR(__xludf.DUMMYFUNCTION("""COMPUTED_VALUE"""),"CONSTRUCCIÓN PASAMANOS ESCALERA A. PÉREZ C. SECTOR CANTERA 1, LOTA")</f>
        <v>CONSTRUCCIÓN PASAMANOS ESCALERA A. PÉREZ C. SECTOR CANTERA 1, LOTA</v>
      </c>
      <c r="C77" s="10" t="str">
        <f ca="1">IFERROR(__xludf.DUMMYFUNCTION("""COMPUTED_VALUE"""),"1-K-2023-205")</f>
        <v>1-K-2023-205</v>
      </c>
      <c r="D77" s="26" t="str">
        <f t="shared" ca="1" si="0"/>
        <v xml:space="preserve"> LOTA</v>
      </c>
      <c r="E77" s="10" t="str">
        <f ca="1">IFERROR(__xludf.DUMMYFUNCTION("""COMPUTED_VALUE"""),"Guía Operativa")</f>
        <v>Guía Operativa</v>
      </c>
      <c r="F77" s="10" t="str">
        <f ca="1">IFERROR(__xludf.DUMMYFUNCTION("""COMPUTED_VALUE"""),"MUNICIPALIDAD DE LOTA")</f>
        <v>MUNICIPALIDAD DE LOTA</v>
      </c>
      <c r="G77" s="71">
        <f ca="1">IFERROR(__xludf.DUMMYFUNCTION("""COMPUTED_VALUE"""),141000000)</f>
        <v>141000000</v>
      </c>
      <c r="H77" s="10" t="str">
        <f ca="1">IFERROR(__xludf.DUMMYFUNCTION("""COMPUTED_VALUE"""),"Resolución")</f>
        <v>Resolución</v>
      </c>
      <c r="I77" s="10" t="str">
        <f ca="1">IFERROR(__xludf.DUMMYFUNCTION("""COMPUTED_VALUE"""),"OBRA")</f>
        <v>OBRA</v>
      </c>
      <c r="J77" s="10" t="str">
        <f ca="1">IFERROR(__xludf.DUMMYFUNCTION("""COMPUTED_VALUE"""),"Cumplir con normativa y reglamentos internos del programa en base a los objetivos.")</f>
        <v>Cumplir con normativa y reglamentos internos del programa en base a los objetivos.</v>
      </c>
      <c r="K77" s="71">
        <f ca="1">IFERROR(__xludf.DUMMYFUNCTION("""COMPUTED_VALUE"""),141117140)</f>
        <v>141117140</v>
      </c>
      <c r="L77" s="72">
        <f ca="1">IFERROR(__xludf.DUMMYFUNCTION("""COMPUTED_VALUE"""),1.00083078014184)</f>
        <v>1.0008307801418399</v>
      </c>
      <c r="M77" s="10">
        <f ca="1">IFERROR(__xludf.DUMMYFUNCTION("""COMPUTED_VALUE"""),1021)</f>
        <v>1021</v>
      </c>
      <c r="N77" s="10" t="str">
        <f ca="1">IFERROR(__xludf.DUMMYFUNCTION("""COMPUTED_VALUE"""),"PMU")</f>
        <v>PMU</v>
      </c>
      <c r="O77" s="1"/>
      <c r="P77" s="1"/>
      <c r="Q77" s="1"/>
      <c r="R77" s="1"/>
      <c r="S77" s="1"/>
      <c r="T77" s="1"/>
      <c r="U77" s="1"/>
      <c r="V77" s="1"/>
      <c r="W77" s="1"/>
      <c r="X77" s="1"/>
      <c r="Y77" s="1"/>
      <c r="Z77" s="1"/>
    </row>
    <row r="78" spans="1:26" ht="12.75" customHeight="1">
      <c r="A78" s="1"/>
      <c r="B78" s="10" t="str">
        <f ca="1">IFERROR(__xludf.DUMMYFUNCTION("""COMPUTED_VALUE"""),"COLOCACION PASAMANOS Y MOBILIARIO URBANO, ACCESO PEATONAL CEMENTERIO, LOTA.")</f>
        <v>COLOCACION PASAMANOS Y MOBILIARIO URBANO, ACCESO PEATONAL CEMENTERIO, LOTA.</v>
      </c>
      <c r="C78" s="10" t="str">
        <f ca="1">IFERROR(__xludf.DUMMYFUNCTION("""COMPUTED_VALUE"""),"1-K-2023-206")</f>
        <v>1-K-2023-206</v>
      </c>
      <c r="D78" s="26" t="str">
        <f t="shared" ca="1" si="0"/>
        <v xml:space="preserve"> LOTA</v>
      </c>
      <c r="E78" s="10" t="str">
        <f ca="1">IFERROR(__xludf.DUMMYFUNCTION("""COMPUTED_VALUE"""),"Guía Operativa")</f>
        <v>Guía Operativa</v>
      </c>
      <c r="F78" s="10" t="str">
        <f ca="1">IFERROR(__xludf.DUMMYFUNCTION("""COMPUTED_VALUE"""),"MUNICIPALIDAD DE LOTA")</f>
        <v>MUNICIPALIDAD DE LOTA</v>
      </c>
      <c r="G78" s="71">
        <f ca="1">IFERROR(__xludf.DUMMYFUNCTION("""COMPUTED_VALUE"""),141000000)</f>
        <v>141000000</v>
      </c>
      <c r="H78" s="10" t="str">
        <f ca="1">IFERROR(__xludf.DUMMYFUNCTION("""COMPUTED_VALUE"""),"Resolución")</f>
        <v>Resolución</v>
      </c>
      <c r="I78" s="10" t="str">
        <f ca="1">IFERROR(__xludf.DUMMYFUNCTION("""COMPUTED_VALUE"""),"OBRA")</f>
        <v>OBRA</v>
      </c>
      <c r="J78" s="10" t="str">
        <f ca="1">IFERROR(__xludf.DUMMYFUNCTION("""COMPUTED_VALUE"""),"Cumplir con normativa y reglamentos internos del programa en base a los objetivos.")</f>
        <v>Cumplir con normativa y reglamentos internos del programa en base a los objetivos.</v>
      </c>
      <c r="K78" s="71">
        <f ca="1">IFERROR(__xludf.DUMMYFUNCTION("""COMPUTED_VALUE"""),140749103)</f>
        <v>140749103</v>
      </c>
      <c r="L78" s="72">
        <f ca="1">IFERROR(__xludf.DUMMYFUNCTION("""COMPUTED_VALUE"""),0.998220588652482)</f>
        <v>0.99822058865248198</v>
      </c>
      <c r="M78" s="10">
        <f ca="1">IFERROR(__xludf.DUMMYFUNCTION("""COMPUTED_VALUE"""),1021)</f>
        <v>1021</v>
      </c>
      <c r="N78" s="10" t="str">
        <f ca="1">IFERROR(__xludf.DUMMYFUNCTION("""COMPUTED_VALUE"""),"PMU")</f>
        <v>PMU</v>
      </c>
      <c r="O78" s="1"/>
      <c r="P78" s="1"/>
      <c r="Q78" s="1"/>
      <c r="R78" s="1"/>
      <c r="S78" s="1"/>
      <c r="T78" s="1"/>
      <c r="U78" s="1"/>
      <c r="V78" s="1"/>
      <c r="W78" s="1"/>
      <c r="X78" s="1"/>
      <c r="Y78" s="1"/>
      <c r="Z78" s="1"/>
    </row>
    <row r="79" spans="1:26" ht="12.75" customHeight="1">
      <c r="A79" s="1"/>
      <c r="B79" s="10" t="str">
        <f ca="1">IFERROR(__xludf.DUMMYFUNCTION("""COMPUTED_VALUE"""),"INSTALACION RED DE SEÑALETICA DE RIESGO DE TSUNAMI, VALLE COLCURA, LOTA.")</f>
        <v>INSTALACION RED DE SEÑALETICA DE RIESGO DE TSUNAMI, VALLE COLCURA, LOTA.</v>
      </c>
      <c r="C79" s="10" t="str">
        <f ca="1">IFERROR(__xludf.DUMMYFUNCTION("""COMPUTED_VALUE"""),"1-K-2023-208")</f>
        <v>1-K-2023-208</v>
      </c>
      <c r="D79" s="26" t="str">
        <f t="shared" ca="1" si="0"/>
        <v xml:space="preserve"> LOTA</v>
      </c>
      <c r="E79" s="10" t="str">
        <f ca="1">IFERROR(__xludf.DUMMYFUNCTION("""COMPUTED_VALUE"""),"Guía Operativa")</f>
        <v>Guía Operativa</v>
      </c>
      <c r="F79" s="10" t="str">
        <f ca="1">IFERROR(__xludf.DUMMYFUNCTION("""COMPUTED_VALUE"""),"MUNICIPALIDAD DE LOTA")</f>
        <v>MUNICIPALIDAD DE LOTA</v>
      </c>
      <c r="G79" s="71">
        <f ca="1">IFERROR(__xludf.DUMMYFUNCTION("""COMPUTED_VALUE"""),145000000)</f>
        <v>145000000</v>
      </c>
      <c r="H79" s="10" t="str">
        <f ca="1">IFERROR(__xludf.DUMMYFUNCTION("""COMPUTED_VALUE"""),"Resolución")</f>
        <v>Resolución</v>
      </c>
      <c r="I79" s="10" t="str">
        <f ca="1">IFERROR(__xludf.DUMMYFUNCTION("""COMPUTED_VALUE"""),"OBRA")</f>
        <v>OBRA</v>
      </c>
      <c r="J79" s="10" t="str">
        <f ca="1">IFERROR(__xludf.DUMMYFUNCTION("""COMPUTED_VALUE"""),"Cumplir con normativa y reglamentos internos del programa en base a los objetivos.")</f>
        <v>Cumplir con normativa y reglamentos internos del programa en base a los objetivos.</v>
      </c>
      <c r="K79" s="71">
        <f ca="1">IFERROR(__xludf.DUMMYFUNCTION("""COMPUTED_VALUE"""),141688921)</f>
        <v>141688921</v>
      </c>
      <c r="L79" s="72">
        <f ca="1">IFERROR(__xludf.DUMMYFUNCTION("""COMPUTED_VALUE"""),0.977164972413793)</f>
        <v>0.97716497241379296</v>
      </c>
      <c r="M79" s="10">
        <f ca="1">IFERROR(__xludf.DUMMYFUNCTION("""COMPUTED_VALUE"""),1028)</f>
        <v>1028</v>
      </c>
      <c r="N79" s="10" t="str">
        <f ca="1">IFERROR(__xludf.DUMMYFUNCTION("""COMPUTED_VALUE"""),"PMU")</f>
        <v>PMU</v>
      </c>
      <c r="O79" s="1"/>
      <c r="P79" s="1"/>
      <c r="Q79" s="1"/>
      <c r="R79" s="1"/>
      <c r="S79" s="1"/>
      <c r="T79" s="1"/>
      <c r="U79" s="1"/>
      <c r="V79" s="1"/>
      <c r="W79" s="1"/>
      <c r="X79" s="1"/>
      <c r="Y79" s="1"/>
      <c r="Z79" s="1"/>
    </row>
    <row r="80" spans="1:26" ht="12.75" customHeight="1">
      <c r="A80" s="1"/>
      <c r="B80" s="10" t="str">
        <f ca="1">IFERROR(__xludf.DUMMYFUNCTION("""COMPUTED_VALUE"""),"RECONSTRUCCION Y CONSTRUCCION DE RESALTOS REDUCTORES DE VELOCIDAD EN CALLE: VICTORIA, EL BOSQUE Y L. VIDELA, LORETO CUSIÑO, LOTA")</f>
        <v>RECONSTRUCCION Y CONSTRUCCION DE RESALTOS REDUCTORES DE VELOCIDAD EN CALLE: VICTORIA, EL BOSQUE Y L. VIDELA, LORETO CUSIÑO, LOTA</v>
      </c>
      <c r="C80" s="10" t="str">
        <f ca="1">IFERROR(__xludf.DUMMYFUNCTION("""COMPUTED_VALUE"""),"1-K-2023-209")</f>
        <v>1-K-2023-209</v>
      </c>
      <c r="D80" s="26" t="str">
        <f t="shared" ca="1" si="0"/>
        <v xml:space="preserve"> LOTA</v>
      </c>
      <c r="E80" s="10" t="str">
        <f ca="1">IFERROR(__xludf.DUMMYFUNCTION("""COMPUTED_VALUE"""),"Guía Operativa")</f>
        <v>Guía Operativa</v>
      </c>
      <c r="F80" s="10" t="str">
        <f ca="1">IFERROR(__xludf.DUMMYFUNCTION("""COMPUTED_VALUE"""),"MUNICIPALIDAD DE LOTA")</f>
        <v>MUNICIPALIDAD DE LOTA</v>
      </c>
      <c r="G80" s="71">
        <f ca="1">IFERROR(__xludf.DUMMYFUNCTION("""COMPUTED_VALUE"""),150000000)</f>
        <v>150000000</v>
      </c>
      <c r="H80" s="10" t="str">
        <f ca="1">IFERROR(__xludf.DUMMYFUNCTION("""COMPUTED_VALUE"""),"Resolución")</f>
        <v>Resolución</v>
      </c>
      <c r="I80" s="10" t="str">
        <f ca="1">IFERROR(__xludf.DUMMYFUNCTION("""COMPUTED_VALUE"""),"OBRA")</f>
        <v>OBRA</v>
      </c>
      <c r="J80" s="10" t="str">
        <f ca="1">IFERROR(__xludf.DUMMYFUNCTION("""COMPUTED_VALUE"""),"Cumplir con normativa y reglamentos internos del programa en base a los objetivos.")</f>
        <v>Cumplir con normativa y reglamentos internos del programa en base a los objetivos.</v>
      </c>
      <c r="K80" s="71">
        <f ca="1">IFERROR(__xludf.DUMMYFUNCTION("""COMPUTED_VALUE"""),134671464)</f>
        <v>134671464</v>
      </c>
      <c r="L80" s="72">
        <f ca="1">IFERROR(__xludf.DUMMYFUNCTION("""COMPUTED_VALUE"""),0.89780976)</f>
        <v>0.89780976000000001</v>
      </c>
      <c r="M80" s="10">
        <f ca="1">IFERROR(__xludf.DUMMYFUNCTION("""COMPUTED_VALUE"""),1010)</f>
        <v>1010</v>
      </c>
      <c r="N80" s="10" t="str">
        <f ca="1">IFERROR(__xludf.DUMMYFUNCTION("""COMPUTED_VALUE"""),"PMU")</f>
        <v>PMU</v>
      </c>
      <c r="O80" s="1"/>
      <c r="P80" s="1"/>
      <c r="Q80" s="1"/>
      <c r="R80" s="1"/>
      <c r="S80" s="1"/>
      <c r="T80" s="1"/>
      <c r="U80" s="1"/>
      <c r="V80" s="1"/>
      <c r="W80" s="1"/>
      <c r="X80" s="1"/>
      <c r="Y80" s="1"/>
      <c r="Z80" s="1"/>
    </row>
    <row r="81" spans="1:26" ht="12.75" customHeight="1">
      <c r="A81" s="1"/>
      <c r="B81" s="10" t="str">
        <f ca="1">IFERROR(__xludf.DUMMYFUNCTION("""COMPUTED_VALUE"""),"RESALTOS EN CALLE LOS COPIHUES, POB. ROBLE ALTO, LOTA")</f>
        <v>RESALTOS EN CALLE LOS COPIHUES, POB. ROBLE ALTO, LOTA</v>
      </c>
      <c r="C81" s="10" t="str">
        <f ca="1">IFERROR(__xludf.DUMMYFUNCTION("""COMPUTED_VALUE"""),"1-K-2023-210")</f>
        <v>1-K-2023-210</v>
      </c>
      <c r="D81" s="26" t="str">
        <f t="shared" ca="1" si="0"/>
        <v xml:space="preserve"> LOTA</v>
      </c>
      <c r="E81" s="10" t="str">
        <f ca="1">IFERROR(__xludf.DUMMYFUNCTION("""COMPUTED_VALUE"""),"Guía Operativa")</f>
        <v>Guía Operativa</v>
      </c>
      <c r="F81" s="10" t="str">
        <f ca="1">IFERROR(__xludf.DUMMYFUNCTION("""COMPUTED_VALUE"""),"MUNICIPALIDAD DE LOTA")</f>
        <v>MUNICIPALIDAD DE LOTA</v>
      </c>
      <c r="G81" s="71">
        <f ca="1">IFERROR(__xludf.DUMMYFUNCTION("""COMPUTED_VALUE"""),142000000)</f>
        <v>142000000</v>
      </c>
      <c r="H81" s="10" t="str">
        <f ca="1">IFERROR(__xludf.DUMMYFUNCTION("""COMPUTED_VALUE"""),"Resolución")</f>
        <v>Resolución</v>
      </c>
      <c r="I81" s="10" t="str">
        <f ca="1">IFERROR(__xludf.DUMMYFUNCTION("""COMPUTED_VALUE"""),"OBRA")</f>
        <v>OBRA</v>
      </c>
      <c r="J81" s="10" t="str">
        <f ca="1">IFERROR(__xludf.DUMMYFUNCTION("""COMPUTED_VALUE"""),"Cumplir con normativa y reglamentos internos del programa en base a los objetivos.")</f>
        <v>Cumplir con normativa y reglamentos internos del programa en base a los objetivos.</v>
      </c>
      <c r="K81" s="71">
        <f ca="1">IFERROR(__xludf.DUMMYFUNCTION("""COMPUTED_VALUE"""),132809925)</f>
        <v>132809925</v>
      </c>
      <c r="L81" s="72">
        <f ca="1">IFERROR(__xludf.DUMMYFUNCTION("""COMPUTED_VALUE"""),0.935281161971831)</f>
        <v>0.93528116197183098</v>
      </c>
      <c r="M81" s="10">
        <f ca="1">IFERROR(__xludf.DUMMYFUNCTION("""COMPUTED_VALUE"""),1033)</f>
        <v>1033</v>
      </c>
      <c r="N81" s="10" t="str">
        <f ca="1">IFERROR(__xludf.DUMMYFUNCTION("""COMPUTED_VALUE"""),"PMU")</f>
        <v>PMU</v>
      </c>
      <c r="O81" s="1"/>
      <c r="P81" s="1"/>
      <c r="Q81" s="1"/>
      <c r="R81" s="1"/>
      <c r="S81" s="1"/>
      <c r="T81" s="1"/>
      <c r="U81" s="1"/>
      <c r="V81" s="1"/>
      <c r="W81" s="1"/>
      <c r="X81" s="1"/>
      <c r="Y81" s="1"/>
      <c r="Z81" s="1"/>
    </row>
    <row r="82" spans="1:26" ht="12.75" customHeight="1">
      <c r="A82" s="1"/>
      <c r="B82" s="10" t="str">
        <f ca="1">IFERROR(__xludf.DUMMYFUNCTION("""COMPUTED_VALUE"""),"MEJORAMIENTO ILUMINACIÓN PEATONAL CALLE LUIS COUSIÑO, LOTA")</f>
        <v>MEJORAMIENTO ILUMINACIÓN PEATONAL CALLE LUIS COUSIÑO, LOTA</v>
      </c>
      <c r="C82" s="10" t="str">
        <f ca="1">IFERROR(__xludf.DUMMYFUNCTION("""COMPUTED_VALUE"""),"1-K-2023-212")</f>
        <v>1-K-2023-212</v>
      </c>
      <c r="D82" s="26" t="str">
        <f t="shared" ca="1" si="0"/>
        <v xml:space="preserve"> LOTA</v>
      </c>
      <c r="E82" s="10" t="str">
        <f ca="1">IFERROR(__xludf.DUMMYFUNCTION("""COMPUTED_VALUE"""),"Guía Operativa")</f>
        <v>Guía Operativa</v>
      </c>
      <c r="F82" s="10" t="str">
        <f ca="1">IFERROR(__xludf.DUMMYFUNCTION("""COMPUTED_VALUE"""),"MUNICIPALIDAD DE LOTA")</f>
        <v>MUNICIPALIDAD DE LOTA</v>
      </c>
      <c r="G82" s="71">
        <f ca="1">IFERROR(__xludf.DUMMYFUNCTION("""COMPUTED_VALUE"""),150000000)</f>
        <v>150000000</v>
      </c>
      <c r="H82" s="10" t="str">
        <f ca="1">IFERROR(__xludf.DUMMYFUNCTION("""COMPUTED_VALUE"""),"Resolución")</f>
        <v>Resolución</v>
      </c>
      <c r="I82" s="10" t="str">
        <f ca="1">IFERROR(__xludf.DUMMYFUNCTION("""COMPUTED_VALUE"""),"OBRA")</f>
        <v>OBRA</v>
      </c>
      <c r="J82" s="10" t="str">
        <f ca="1">IFERROR(__xludf.DUMMYFUNCTION("""COMPUTED_VALUE"""),"Cumplir con normativa y reglamentos internos del programa en base a los objetivos.")</f>
        <v>Cumplir con normativa y reglamentos internos del programa en base a los objetivos.</v>
      </c>
      <c r="K82" s="71">
        <f ca="1">IFERROR(__xludf.DUMMYFUNCTION("""COMPUTED_VALUE"""),144050012)</f>
        <v>144050012</v>
      </c>
      <c r="L82" s="72">
        <f ca="1">IFERROR(__xludf.DUMMYFUNCTION("""COMPUTED_VALUE"""),0.960333413333333)</f>
        <v>0.960333413333333</v>
      </c>
      <c r="M82" s="10">
        <f ca="1">IFERROR(__xludf.DUMMYFUNCTION("""COMPUTED_VALUE"""),1010)</f>
        <v>1010</v>
      </c>
      <c r="N82" s="10" t="str">
        <f ca="1">IFERROR(__xludf.DUMMYFUNCTION("""COMPUTED_VALUE"""),"PMU")</f>
        <v>PMU</v>
      </c>
      <c r="O82" s="1"/>
      <c r="P82" s="1"/>
      <c r="Q82" s="1"/>
      <c r="R82" s="1"/>
      <c r="S82" s="1"/>
      <c r="T82" s="1"/>
      <c r="U82" s="1"/>
      <c r="V82" s="1"/>
      <c r="W82" s="1"/>
      <c r="X82" s="1"/>
      <c r="Y82" s="1"/>
      <c r="Z82" s="1"/>
    </row>
    <row r="83" spans="1:26" ht="12.75" customHeight="1">
      <c r="A83" s="1"/>
      <c r="B83" s="10" t="str">
        <f ca="1">IFERROR(__xludf.DUMMYFUNCTION("""COMPUTED_VALUE"""),"MEJORAMIENTO ILUMINACIÓN MULTICANCHA MANZANA 73, LOTA")</f>
        <v>MEJORAMIENTO ILUMINACIÓN MULTICANCHA MANZANA 73, LOTA</v>
      </c>
      <c r="C83" s="10" t="str">
        <f ca="1">IFERROR(__xludf.DUMMYFUNCTION("""COMPUTED_VALUE"""),"1-K-2023-215")</f>
        <v>1-K-2023-215</v>
      </c>
      <c r="D83" s="26" t="str">
        <f t="shared" ca="1" si="0"/>
        <v xml:space="preserve"> LOTA</v>
      </c>
      <c r="E83" s="10" t="str">
        <f ca="1">IFERROR(__xludf.DUMMYFUNCTION("""COMPUTED_VALUE"""),"Guía Operativa")</f>
        <v>Guía Operativa</v>
      </c>
      <c r="F83" s="10" t="str">
        <f ca="1">IFERROR(__xludf.DUMMYFUNCTION("""COMPUTED_VALUE"""),"MUNICIPALIDAD DE LOTA")</f>
        <v>MUNICIPALIDAD DE LOTA</v>
      </c>
      <c r="G83" s="71">
        <f ca="1">IFERROR(__xludf.DUMMYFUNCTION("""COMPUTED_VALUE"""),143000000)</f>
        <v>143000000</v>
      </c>
      <c r="H83" s="10" t="str">
        <f ca="1">IFERROR(__xludf.DUMMYFUNCTION("""COMPUTED_VALUE"""),"Resolución")</f>
        <v>Resolución</v>
      </c>
      <c r="I83" s="10" t="str">
        <f ca="1">IFERROR(__xludf.DUMMYFUNCTION("""COMPUTED_VALUE"""),"OBRA")</f>
        <v>OBRA</v>
      </c>
      <c r="J83" s="10" t="str">
        <f ca="1">IFERROR(__xludf.DUMMYFUNCTION("""COMPUTED_VALUE"""),"Cumplir con normativa y reglamentos internos del programa en base a los objetivos.")</f>
        <v>Cumplir con normativa y reglamentos internos del programa en base a los objetivos.</v>
      </c>
      <c r="K83" s="71">
        <f ca="1">IFERROR(__xludf.DUMMYFUNCTION("""COMPUTED_VALUE"""),140050065)</f>
        <v>140050065</v>
      </c>
      <c r="L83" s="72">
        <f ca="1">IFERROR(__xludf.DUMMYFUNCTION("""COMPUTED_VALUE"""),0.979371083916084)</f>
        <v>0.97937108391608396</v>
      </c>
      <c r="M83" s="10">
        <f ca="1">IFERROR(__xludf.DUMMYFUNCTION("""COMPUTED_VALUE"""),1028)</f>
        <v>1028</v>
      </c>
      <c r="N83" s="10" t="str">
        <f ca="1">IFERROR(__xludf.DUMMYFUNCTION("""COMPUTED_VALUE"""),"PMU")</f>
        <v>PMU</v>
      </c>
      <c r="O83" s="1"/>
      <c r="P83" s="1"/>
      <c r="Q83" s="1"/>
      <c r="R83" s="1"/>
      <c r="S83" s="1"/>
      <c r="T83" s="1"/>
      <c r="U83" s="1"/>
      <c r="V83" s="1"/>
      <c r="W83" s="1"/>
      <c r="X83" s="1"/>
      <c r="Y83" s="1"/>
      <c r="Z83" s="1"/>
    </row>
    <row r="84" spans="1:26" ht="12.75" customHeight="1">
      <c r="A84" s="1"/>
      <c r="B84" s="10" t="str">
        <f ca="1">IFERROR(__xludf.DUMMYFUNCTION("""COMPUTED_VALUE"""),"REPOSICIÓN REDUCTORES DE VELOCIDAD SECTOR POLVORÍN 2, LOTA.")</f>
        <v>REPOSICIÓN REDUCTORES DE VELOCIDAD SECTOR POLVORÍN 2, LOTA.</v>
      </c>
      <c r="C84" s="10" t="str">
        <f ca="1">IFERROR(__xludf.DUMMYFUNCTION("""COMPUTED_VALUE"""),"1-K-2023-216")</f>
        <v>1-K-2023-216</v>
      </c>
      <c r="D84" s="26" t="str">
        <f t="shared" ca="1" si="0"/>
        <v xml:space="preserve"> LOTA</v>
      </c>
      <c r="E84" s="10" t="str">
        <f ca="1">IFERROR(__xludf.DUMMYFUNCTION("""COMPUTED_VALUE"""),"Guía Operativa")</f>
        <v>Guía Operativa</v>
      </c>
      <c r="F84" s="10" t="str">
        <f ca="1">IFERROR(__xludf.DUMMYFUNCTION("""COMPUTED_VALUE"""),"MUNICIPALIDAD DE LOTA")</f>
        <v>MUNICIPALIDAD DE LOTA</v>
      </c>
      <c r="G84" s="71">
        <f ca="1">IFERROR(__xludf.DUMMYFUNCTION("""COMPUTED_VALUE"""),144000000)</f>
        <v>144000000</v>
      </c>
      <c r="H84" s="10" t="str">
        <f ca="1">IFERROR(__xludf.DUMMYFUNCTION("""COMPUTED_VALUE"""),"Resolución")</f>
        <v>Resolución</v>
      </c>
      <c r="I84" s="10" t="str">
        <f ca="1">IFERROR(__xludf.DUMMYFUNCTION("""COMPUTED_VALUE"""),"OBRA")</f>
        <v>OBRA</v>
      </c>
      <c r="J84" s="10" t="str">
        <f ca="1">IFERROR(__xludf.DUMMYFUNCTION("""COMPUTED_VALUE"""),"Cumplir con normativa y reglamentos internos del programa en base a los objetivos.")</f>
        <v>Cumplir con normativa y reglamentos internos del programa en base a los objetivos.</v>
      </c>
      <c r="K84" s="71">
        <f ca="1">IFERROR(__xludf.DUMMYFUNCTION("""COMPUTED_VALUE"""),138147471)</f>
        <v>138147471</v>
      </c>
      <c r="L84" s="72">
        <f ca="1">IFERROR(__xludf.DUMMYFUNCTION("""COMPUTED_VALUE"""),0.9593574375)</f>
        <v>0.95935743750000002</v>
      </c>
      <c r="M84" s="10">
        <f ca="1">IFERROR(__xludf.DUMMYFUNCTION("""COMPUTED_VALUE"""),1033)</f>
        <v>1033</v>
      </c>
      <c r="N84" s="10" t="str">
        <f ca="1">IFERROR(__xludf.DUMMYFUNCTION("""COMPUTED_VALUE"""),"PMU")</f>
        <v>PMU</v>
      </c>
      <c r="O84" s="1"/>
      <c r="P84" s="1"/>
      <c r="Q84" s="1"/>
      <c r="R84" s="1"/>
      <c r="S84" s="1"/>
      <c r="T84" s="1"/>
      <c r="U84" s="1"/>
      <c r="V84" s="1"/>
      <c r="W84" s="1"/>
      <c r="X84" s="1"/>
      <c r="Y84" s="1"/>
      <c r="Z84" s="1"/>
    </row>
    <row r="85" spans="1:26" ht="12.75" customHeight="1">
      <c r="A85" s="1"/>
      <c r="B85" s="10" t="str">
        <f ca="1">IFERROR(__xludf.DUMMYFUNCTION("""COMPUTED_VALUE"""),"CONSTRUCCIÓN PASAMANOS Y MEJORAMIENTO DE ESCALERA ESCUELA GETSEMANI SECTOR CANTERA, LOTA.")</f>
        <v>CONSTRUCCIÓN PASAMANOS Y MEJORAMIENTO DE ESCALERA ESCUELA GETSEMANI SECTOR CANTERA, LOTA.</v>
      </c>
      <c r="C85" s="10" t="str">
        <f ca="1">IFERROR(__xludf.DUMMYFUNCTION("""COMPUTED_VALUE"""),"1-K-2023-217")</f>
        <v>1-K-2023-217</v>
      </c>
      <c r="D85" s="26" t="str">
        <f t="shared" ca="1" si="0"/>
        <v xml:space="preserve"> LOTA</v>
      </c>
      <c r="E85" s="10" t="str">
        <f ca="1">IFERROR(__xludf.DUMMYFUNCTION("""COMPUTED_VALUE"""),"Guía Operativa")</f>
        <v>Guía Operativa</v>
      </c>
      <c r="F85" s="10" t="str">
        <f ca="1">IFERROR(__xludf.DUMMYFUNCTION("""COMPUTED_VALUE"""),"MUNICIPALIDAD DE LOTA")</f>
        <v>MUNICIPALIDAD DE LOTA</v>
      </c>
      <c r="G85" s="71">
        <f ca="1">IFERROR(__xludf.DUMMYFUNCTION("""COMPUTED_VALUE"""),144000000)</f>
        <v>144000000</v>
      </c>
      <c r="H85" s="10" t="str">
        <f ca="1">IFERROR(__xludf.DUMMYFUNCTION("""COMPUTED_VALUE"""),"Resolución")</f>
        <v>Resolución</v>
      </c>
      <c r="I85" s="10" t="str">
        <f ca="1">IFERROR(__xludf.DUMMYFUNCTION("""COMPUTED_VALUE"""),"OBRA")</f>
        <v>OBRA</v>
      </c>
      <c r="J85" s="10" t="str">
        <f ca="1">IFERROR(__xludf.DUMMYFUNCTION("""COMPUTED_VALUE"""),"Cumplir con normativa y reglamentos internos del programa en base a los objetivos.")</f>
        <v>Cumplir con normativa y reglamentos internos del programa en base a los objetivos.</v>
      </c>
      <c r="K85" s="71">
        <f ca="1">IFERROR(__xludf.DUMMYFUNCTION("""COMPUTED_VALUE"""),140842104)</f>
        <v>140842104</v>
      </c>
      <c r="L85" s="72">
        <f ca="1">IFERROR(__xludf.DUMMYFUNCTION("""COMPUTED_VALUE"""),0.978070166666666)</f>
        <v>0.97807016666666602</v>
      </c>
      <c r="M85" s="10">
        <f ca="1">IFERROR(__xludf.DUMMYFUNCTION("""COMPUTED_VALUE"""),1021)</f>
        <v>1021</v>
      </c>
      <c r="N85" s="10" t="str">
        <f ca="1">IFERROR(__xludf.DUMMYFUNCTION("""COMPUTED_VALUE"""),"PMU")</f>
        <v>PMU</v>
      </c>
      <c r="O85" s="1"/>
      <c r="P85" s="1"/>
      <c r="Q85" s="1"/>
      <c r="R85" s="1"/>
      <c r="S85" s="1"/>
      <c r="T85" s="1"/>
      <c r="U85" s="1"/>
      <c r="V85" s="1"/>
      <c r="W85" s="1"/>
      <c r="X85" s="1"/>
      <c r="Y85" s="1"/>
      <c r="Z85" s="1"/>
    </row>
    <row r="86" spans="1:26" ht="12.75" customHeight="1">
      <c r="A86" s="1"/>
      <c r="B86" s="10" t="str">
        <f ca="1">IFERROR(__xludf.DUMMYFUNCTION("""COMPUTED_VALUE"""),"CONSTRUCCIÓN REDUCTORES DE VELOCIDAD ENTRE CALLE PEDRO AGUIRRE CERDA Y SOTOMAYOR SECTOR CENTRO, LOTA.")</f>
        <v>CONSTRUCCIÓN REDUCTORES DE VELOCIDAD ENTRE CALLE PEDRO AGUIRRE CERDA Y SOTOMAYOR SECTOR CENTRO, LOTA.</v>
      </c>
      <c r="C86" s="10" t="str">
        <f ca="1">IFERROR(__xludf.DUMMYFUNCTION("""COMPUTED_VALUE"""),"1-K-2023-218")</f>
        <v>1-K-2023-218</v>
      </c>
      <c r="D86" s="26" t="str">
        <f t="shared" ca="1" si="0"/>
        <v xml:space="preserve"> LOTA</v>
      </c>
      <c r="E86" s="10" t="str">
        <f ca="1">IFERROR(__xludf.DUMMYFUNCTION("""COMPUTED_VALUE"""),"Guía Operativa")</f>
        <v>Guía Operativa</v>
      </c>
      <c r="F86" s="10" t="str">
        <f ca="1">IFERROR(__xludf.DUMMYFUNCTION("""COMPUTED_VALUE"""),"MUNICIPALIDAD DE LOTA")</f>
        <v>MUNICIPALIDAD DE LOTA</v>
      </c>
      <c r="G86" s="71">
        <f ca="1">IFERROR(__xludf.DUMMYFUNCTION("""COMPUTED_VALUE"""),146000000)</f>
        <v>146000000</v>
      </c>
      <c r="H86" s="10" t="str">
        <f ca="1">IFERROR(__xludf.DUMMYFUNCTION("""COMPUTED_VALUE"""),"Resolución")</f>
        <v>Resolución</v>
      </c>
      <c r="I86" s="10" t="str">
        <f ca="1">IFERROR(__xludf.DUMMYFUNCTION("""COMPUTED_VALUE"""),"OBRA")</f>
        <v>OBRA</v>
      </c>
      <c r="J86" s="10" t="str">
        <f ca="1">IFERROR(__xludf.DUMMYFUNCTION("""COMPUTED_VALUE"""),"Cumplir con normativa y reglamentos internos del programa en base a los objetivos.")</f>
        <v>Cumplir con normativa y reglamentos internos del programa en base a los objetivos.</v>
      </c>
      <c r="K86" s="71">
        <f ca="1">IFERROR(__xludf.DUMMYFUNCTION("""COMPUTED_VALUE"""),143334381)</f>
        <v>143334381</v>
      </c>
      <c r="L86" s="72">
        <f ca="1">IFERROR(__xludf.DUMMYFUNCTION("""COMPUTED_VALUE"""),0.981742335616438)</f>
        <v>0.98174233561643798</v>
      </c>
      <c r="M86" s="10">
        <f ca="1">IFERROR(__xludf.DUMMYFUNCTION("""COMPUTED_VALUE"""),1028)</f>
        <v>1028</v>
      </c>
      <c r="N86" s="10" t="str">
        <f ca="1">IFERROR(__xludf.DUMMYFUNCTION("""COMPUTED_VALUE"""),"PMU")</f>
        <v>PMU</v>
      </c>
      <c r="O86" s="1"/>
      <c r="P86" s="1"/>
      <c r="Q86" s="1"/>
      <c r="R86" s="1"/>
      <c r="S86" s="1"/>
      <c r="T86" s="1"/>
      <c r="U86" s="1"/>
      <c r="V86" s="1"/>
      <c r="W86" s="1"/>
      <c r="X86" s="1"/>
      <c r="Y86" s="1"/>
      <c r="Z86" s="1"/>
    </row>
    <row r="87" spans="1:26" ht="12.75" customHeight="1">
      <c r="A87" s="1"/>
      <c r="B87" s="10" t="str">
        <f ca="1">IFERROR(__xludf.DUMMYFUNCTION("""COMPUTED_VALUE"""),"CONSTRUCCIÓN PASAMANOS Y REPOSICIÓN DE ACERA PASAJE E. RIQUELME SECTOR VISTA HERMOSA, LOTA.")</f>
        <v>CONSTRUCCIÓN PASAMANOS Y REPOSICIÓN DE ACERA PASAJE E. RIQUELME SECTOR VISTA HERMOSA, LOTA.</v>
      </c>
      <c r="C87" s="10" t="str">
        <f ca="1">IFERROR(__xludf.DUMMYFUNCTION("""COMPUTED_VALUE"""),"1-K-2023-219")</f>
        <v>1-K-2023-219</v>
      </c>
      <c r="D87" s="26" t="str">
        <f t="shared" ca="1" si="0"/>
        <v xml:space="preserve"> LOTA</v>
      </c>
      <c r="E87" s="10" t="str">
        <f ca="1">IFERROR(__xludf.DUMMYFUNCTION("""COMPUTED_VALUE"""),"Guía Operativa")</f>
        <v>Guía Operativa</v>
      </c>
      <c r="F87" s="10" t="str">
        <f ca="1">IFERROR(__xludf.DUMMYFUNCTION("""COMPUTED_VALUE"""),"MUNICIPALIDAD DE LOTA")</f>
        <v>MUNICIPALIDAD DE LOTA</v>
      </c>
      <c r="G87" s="71">
        <f ca="1">IFERROR(__xludf.DUMMYFUNCTION("""COMPUTED_VALUE"""),142000000)</f>
        <v>142000000</v>
      </c>
      <c r="H87" s="10" t="str">
        <f ca="1">IFERROR(__xludf.DUMMYFUNCTION("""COMPUTED_VALUE"""),"Resolución")</f>
        <v>Resolución</v>
      </c>
      <c r="I87" s="10" t="str">
        <f ca="1">IFERROR(__xludf.DUMMYFUNCTION("""COMPUTED_VALUE"""),"OBRA")</f>
        <v>OBRA</v>
      </c>
      <c r="J87" s="10" t="str">
        <f ca="1">IFERROR(__xludf.DUMMYFUNCTION("""COMPUTED_VALUE"""),"Cumplir con normativa y reglamentos internos del programa en base a los objetivos.")</f>
        <v>Cumplir con normativa y reglamentos internos del programa en base a los objetivos.</v>
      </c>
      <c r="K87" s="71">
        <f ca="1">IFERROR(__xludf.DUMMYFUNCTION("""COMPUTED_VALUE"""),141851817)</f>
        <v>141851817</v>
      </c>
      <c r="L87" s="72">
        <f ca="1">IFERROR(__xludf.DUMMYFUNCTION("""COMPUTED_VALUE"""),0.998956457746478)</f>
        <v>0.99895645774647801</v>
      </c>
      <c r="M87" s="10">
        <f ca="1">IFERROR(__xludf.DUMMYFUNCTION("""COMPUTED_VALUE"""),1021)</f>
        <v>1021</v>
      </c>
      <c r="N87" s="10" t="str">
        <f ca="1">IFERROR(__xludf.DUMMYFUNCTION("""COMPUTED_VALUE"""),"PMU")</f>
        <v>PMU</v>
      </c>
      <c r="O87" s="1"/>
      <c r="P87" s="1"/>
      <c r="Q87" s="1"/>
      <c r="R87" s="1"/>
      <c r="S87" s="1"/>
      <c r="T87" s="1"/>
      <c r="U87" s="1"/>
      <c r="V87" s="1"/>
      <c r="W87" s="1"/>
      <c r="X87" s="1"/>
      <c r="Y87" s="1"/>
      <c r="Z87" s="1"/>
    </row>
    <row r="88" spans="1:26" ht="12.75" customHeight="1">
      <c r="A88" s="1"/>
      <c r="B88" s="10" t="str">
        <f ca="1">IFERROR(__xludf.DUMMYFUNCTION("""COMPUTED_VALUE"""),"MEJORAMIENTO ÁREA VERDE, EN SENDA PEATONAL ANDALUCÍA POBL. ESPAÑA, LOTA.")</f>
        <v>MEJORAMIENTO ÁREA VERDE, EN SENDA PEATONAL ANDALUCÍA POBL. ESPAÑA, LOTA.</v>
      </c>
      <c r="C88" s="10" t="str">
        <f ca="1">IFERROR(__xludf.DUMMYFUNCTION("""COMPUTED_VALUE"""),"1-K-2023-220")</f>
        <v>1-K-2023-220</v>
      </c>
      <c r="D88" s="26" t="str">
        <f t="shared" ca="1" si="0"/>
        <v xml:space="preserve"> LOTA</v>
      </c>
      <c r="E88" s="10" t="str">
        <f ca="1">IFERROR(__xludf.DUMMYFUNCTION("""COMPUTED_VALUE"""),"Guía Operativa")</f>
        <v>Guía Operativa</v>
      </c>
      <c r="F88" s="10" t="str">
        <f ca="1">IFERROR(__xludf.DUMMYFUNCTION("""COMPUTED_VALUE"""),"MUNICIPALIDAD DE LOTA")</f>
        <v>MUNICIPALIDAD DE LOTA</v>
      </c>
      <c r="G88" s="71">
        <f ca="1">IFERROR(__xludf.DUMMYFUNCTION("""COMPUTED_VALUE"""),147000000)</f>
        <v>147000000</v>
      </c>
      <c r="H88" s="10" t="str">
        <f ca="1">IFERROR(__xludf.DUMMYFUNCTION("""COMPUTED_VALUE"""),"Resolución")</f>
        <v>Resolución</v>
      </c>
      <c r="I88" s="10" t="str">
        <f ca="1">IFERROR(__xludf.DUMMYFUNCTION("""COMPUTED_VALUE"""),"OBRA")</f>
        <v>OBRA</v>
      </c>
      <c r="J88" s="10" t="str">
        <f ca="1">IFERROR(__xludf.DUMMYFUNCTION("""COMPUTED_VALUE"""),"Cumplir con normativa y reglamentos internos del programa en base a los objetivos.")</f>
        <v>Cumplir con normativa y reglamentos internos del programa en base a los objetivos.</v>
      </c>
      <c r="K88" s="71">
        <f ca="1">IFERROR(__xludf.DUMMYFUNCTION("""COMPUTED_VALUE"""),140326676)</f>
        <v>140326676</v>
      </c>
      <c r="L88" s="72">
        <f ca="1">IFERROR(__xludf.DUMMYFUNCTION("""COMPUTED_VALUE"""),0.954603238095238)</f>
        <v>0.95460323809523795</v>
      </c>
      <c r="M88" s="10">
        <f ca="1">IFERROR(__xludf.DUMMYFUNCTION("""COMPUTED_VALUE"""),1028)</f>
        <v>1028</v>
      </c>
      <c r="N88" s="10" t="str">
        <f ca="1">IFERROR(__xludf.DUMMYFUNCTION("""COMPUTED_VALUE"""),"PMU")</f>
        <v>PMU</v>
      </c>
      <c r="O88" s="1"/>
      <c r="P88" s="1"/>
      <c r="Q88" s="1"/>
      <c r="R88" s="1"/>
      <c r="S88" s="1"/>
      <c r="T88" s="1"/>
      <c r="U88" s="1"/>
      <c r="V88" s="1"/>
      <c r="W88" s="1"/>
      <c r="X88" s="1"/>
      <c r="Y88" s="1"/>
      <c r="Z88" s="1"/>
    </row>
    <row r="89" spans="1:26" ht="12.75" customHeight="1">
      <c r="A89" s="1"/>
      <c r="B89" s="10" t="str">
        <f ca="1">IFERROR(__xludf.DUMMYFUNCTION("""COMPUTED_VALUE"""),"COLOCACIÓN VALLA Y BARRERA DE CONTENCIÓN ESQUINA NORPONIENTE CALLE LAJA, POBL. SOTOMAYOR, LOTA.")</f>
        <v>COLOCACIÓN VALLA Y BARRERA DE CONTENCIÓN ESQUINA NORPONIENTE CALLE LAJA, POBL. SOTOMAYOR, LOTA.</v>
      </c>
      <c r="C89" s="10" t="str">
        <f ca="1">IFERROR(__xludf.DUMMYFUNCTION("""COMPUTED_VALUE"""),"1-K-2023-221")</f>
        <v>1-K-2023-221</v>
      </c>
      <c r="D89" s="26" t="str">
        <f t="shared" ca="1" si="0"/>
        <v xml:space="preserve"> LOTA</v>
      </c>
      <c r="E89" s="10" t="str">
        <f ca="1">IFERROR(__xludf.DUMMYFUNCTION("""COMPUTED_VALUE"""),"Guía Operativa")</f>
        <v>Guía Operativa</v>
      </c>
      <c r="F89" s="10" t="str">
        <f ca="1">IFERROR(__xludf.DUMMYFUNCTION("""COMPUTED_VALUE"""),"MUNICIPALIDAD DE LOTA")</f>
        <v>MUNICIPALIDAD DE LOTA</v>
      </c>
      <c r="G89" s="71">
        <f ca="1">IFERROR(__xludf.DUMMYFUNCTION("""COMPUTED_VALUE"""),145000000)</f>
        <v>145000000</v>
      </c>
      <c r="H89" s="10" t="str">
        <f ca="1">IFERROR(__xludf.DUMMYFUNCTION("""COMPUTED_VALUE"""),"Resolución")</f>
        <v>Resolución</v>
      </c>
      <c r="I89" s="10" t="str">
        <f ca="1">IFERROR(__xludf.DUMMYFUNCTION("""COMPUTED_VALUE"""),"OBRA")</f>
        <v>OBRA</v>
      </c>
      <c r="J89" s="10" t="str">
        <f ca="1">IFERROR(__xludf.DUMMYFUNCTION("""COMPUTED_VALUE"""),"Cumplir con normativa y reglamentos internos del programa en base a los objetivos.")</f>
        <v>Cumplir con normativa y reglamentos internos del programa en base a los objetivos.</v>
      </c>
      <c r="K89" s="71">
        <f ca="1">IFERROR(__xludf.DUMMYFUNCTION("""COMPUTED_VALUE"""),145405453)</f>
        <v>145405453</v>
      </c>
      <c r="L89" s="72">
        <f ca="1">IFERROR(__xludf.DUMMYFUNCTION("""COMPUTED_VALUE"""),1.0027962275862)</f>
        <v>1.0027962275861999</v>
      </c>
      <c r="M89" s="10">
        <f ca="1">IFERROR(__xludf.DUMMYFUNCTION("""COMPUTED_VALUE"""),1021)</f>
        <v>1021</v>
      </c>
      <c r="N89" s="10" t="str">
        <f ca="1">IFERROR(__xludf.DUMMYFUNCTION("""COMPUTED_VALUE"""),"PMU")</f>
        <v>PMU</v>
      </c>
      <c r="O89" s="1"/>
      <c r="P89" s="1"/>
      <c r="Q89" s="1"/>
      <c r="R89" s="1"/>
      <c r="S89" s="1"/>
      <c r="T89" s="1"/>
      <c r="U89" s="1"/>
      <c r="V89" s="1"/>
      <c r="W89" s="1"/>
      <c r="X89" s="1"/>
      <c r="Y89" s="1"/>
      <c r="Z89" s="1"/>
    </row>
    <row r="90" spans="1:26" ht="12.75" customHeight="1">
      <c r="A90" s="1"/>
      <c r="B90" s="10" t="str">
        <f ca="1">IFERROR(__xludf.DUMMYFUNCTION("""COMPUTED_VALUE"""),"MEJORAMIENTO ÁREA VERDE PJE. LA PAZ Y PORVENIR SECTOR PUESTA DE SOL, LOTA.")</f>
        <v>MEJORAMIENTO ÁREA VERDE PJE. LA PAZ Y PORVENIR SECTOR PUESTA DE SOL, LOTA.</v>
      </c>
      <c r="C90" s="10" t="str">
        <f ca="1">IFERROR(__xludf.DUMMYFUNCTION("""COMPUTED_VALUE"""),"1-K-2023-222")</f>
        <v>1-K-2023-222</v>
      </c>
      <c r="D90" s="26" t="str">
        <f t="shared" ca="1" si="0"/>
        <v xml:space="preserve"> LOTA</v>
      </c>
      <c r="E90" s="10" t="str">
        <f ca="1">IFERROR(__xludf.DUMMYFUNCTION("""COMPUTED_VALUE"""),"Guía Operativa")</f>
        <v>Guía Operativa</v>
      </c>
      <c r="F90" s="10" t="str">
        <f ca="1">IFERROR(__xludf.DUMMYFUNCTION("""COMPUTED_VALUE"""),"MUNICIPALIDAD DE LOTA")</f>
        <v>MUNICIPALIDAD DE LOTA</v>
      </c>
      <c r="G90" s="71">
        <f ca="1">IFERROR(__xludf.DUMMYFUNCTION("""COMPUTED_VALUE"""),154000000)</f>
        <v>154000000</v>
      </c>
      <c r="H90" s="10" t="str">
        <f ca="1">IFERROR(__xludf.DUMMYFUNCTION("""COMPUTED_VALUE"""),"Resolución")</f>
        <v>Resolución</v>
      </c>
      <c r="I90" s="10" t="str">
        <f ca="1">IFERROR(__xludf.DUMMYFUNCTION("""COMPUTED_VALUE"""),"OBRA")</f>
        <v>OBRA</v>
      </c>
      <c r="J90" s="10" t="str">
        <f ca="1">IFERROR(__xludf.DUMMYFUNCTION("""COMPUTED_VALUE"""),"Cumplir con normativa y reglamentos internos del programa en base a los objetivos.")</f>
        <v>Cumplir con normativa y reglamentos internos del programa en base a los objetivos.</v>
      </c>
      <c r="K90" s="71">
        <f ca="1">IFERROR(__xludf.DUMMYFUNCTION("""COMPUTED_VALUE"""),150718006)</f>
        <v>150718006</v>
      </c>
      <c r="L90" s="72">
        <f ca="1">IFERROR(__xludf.DUMMYFUNCTION("""COMPUTED_VALUE"""),0.97868835064935)</f>
        <v>0.97868835064935</v>
      </c>
      <c r="M90" s="10">
        <f ca="1">IFERROR(__xludf.DUMMYFUNCTION("""COMPUTED_VALUE"""),1028)</f>
        <v>1028</v>
      </c>
      <c r="N90" s="10" t="str">
        <f ca="1">IFERROR(__xludf.DUMMYFUNCTION("""COMPUTED_VALUE"""),"PMU")</f>
        <v>PMU</v>
      </c>
      <c r="O90" s="1"/>
      <c r="P90" s="1"/>
      <c r="Q90" s="1"/>
      <c r="R90" s="1"/>
      <c r="S90" s="1"/>
      <c r="T90" s="1"/>
      <c r="U90" s="1"/>
      <c r="V90" s="1"/>
      <c r="W90" s="1"/>
      <c r="X90" s="1"/>
      <c r="Y90" s="1"/>
      <c r="Z90" s="1"/>
    </row>
    <row r="91" spans="1:26" ht="12.75" customHeight="1">
      <c r="A91" s="1"/>
      <c r="B91" s="10" t="str">
        <f ca="1">IFERROR(__xludf.DUMMYFUNCTION("""COMPUTED_VALUE"""),"COLOCACIÓN CIERRE DE PROTECCIÓN CALLE BALDOMERO LILLO, POBL. V. EL ESFUERZO, LOTA.")</f>
        <v>COLOCACIÓN CIERRE DE PROTECCIÓN CALLE BALDOMERO LILLO, POBL. V. EL ESFUERZO, LOTA.</v>
      </c>
      <c r="C91" s="10" t="str">
        <f ca="1">IFERROR(__xludf.DUMMYFUNCTION("""COMPUTED_VALUE"""),"1-K-2023-223")</f>
        <v>1-K-2023-223</v>
      </c>
      <c r="D91" s="26" t="str">
        <f t="shared" ca="1" si="0"/>
        <v xml:space="preserve"> LOTA</v>
      </c>
      <c r="E91" s="10" t="str">
        <f ca="1">IFERROR(__xludf.DUMMYFUNCTION("""COMPUTED_VALUE"""),"Guía Operativa")</f>
        <v>Guía Operativa</v>
      </c>
      <c r="F91" s="10" t="str">
        <f ca="1">IFERROR(__xludf.DUMMYFUNCTION("""COMPUTED_VALUE"""),"MUNICIPALIDAD DE LOTA")</f>
        <v>MUNICIPALIDAD DE LOTA</v>
      </c>
      <c r="G91" s="71">
        <f ca="1">IFERROR(__xludf.DUMMYFUNCTION("""COMPUTED_VALUE"""),139000000)</f>
        <v>139000000</v>
      </c>
      <c r="H91" s="10" t="str">
        <f ca="1">IFERROR(__xludf.DUMMYFUNCTION("""COMPUTED_VALUE"""),"Resolución")</f>
        <v>Resolución</v>
      </c>
      <c r="I91" s="10" t="str">
        <f ca="1">IFERROR(__xludf.DUMMYFUNCTION("""COMPUTED_VALUE"""),"OBRA")</f>
        <v>OBRA</v>
      </c>
      <c r="J91" s="10" t="str">
        <f ca="1">IFERROR(__xludf.DUMMYFUNCTION("""COMPUTED_VALUE"""),"Cumplir con normativa y reglamentos internos del programa en base a los objetivos.")</f>
        <v>Cumplir con normativa y reglamentos internos del programa en base a los objetivos.</v>
      </c>
      <c r="K91" s="71">
        <f ca="1">IFERROR(__xludf.DUMMYFUNCTION("""COMPUTED_VALUE"""),138761195)</f>
        <v>138761195</v>
      </c>
      <c r="L91" s="72">
        <f ca="1">IFERROR(__xludf.DUMMYFUNCTION("""COMPUTED_VALUE"""),0.998281978417266)</f>
        <v>0.99828197841726596</v>
      </c>
      <c r="M91" s="10">
        <f ca="1">IFERROR(__xludf.DUMMYFUNCTION("""COMPUTED_VALUE"""),1021)</f>
        <v>1021</v>
      </c>
      <c r="N91" s="10" t="str">
        <f ca="1">IFERROR(__xludf.DUMMYFUNCTION("""COMPUTED_VALUE"""),"PMU")</f>
        <v>PMU</v>
      </c>
      <c r="O91" s="1"/>
      <c r="P91" s="1"/>
      <c r="Q91" s="1"/>
      <c r="R91" s="1"/>
      <c r="S91" s="1"/>
      <c r="T91" s="1"/>
      <c r="U91" s="1"/>
      <c r="V91" s="1"/>
      <c r="W91" s="1"/>
      <c r="X91" s="1"/>
      <c r="Y91" s="1"/>
      <c r="Z91" s="1"/>
    </row>
    <row r="92" spans="1:26" ht="12.75" customHeight="1">
      <c r="A92" s="1"/>
      <c r="B92" s="10" t="str">
        <f ca="1">IFERROR(__xludf.DUMMYFUNCTION("""COMPUTED_VALUE"""),"RECONSTRUCCIÓN Y CONSTRUCCIÓN DE RESALTOS REDUCTORES DE VELOCIDAD EN: CALLE ACCESO AL ROBLE ALTO, LOTA.")</f>
        <v>RECONSTRUCCIÓN Y CONSTRUCCIÓN DE RESALTOS REDUCTORES DE VELOCIDAD EN: CALLE ACCESO AL ROBLE ALTO, LOTA.</v>
      </c>
      <c r="C92" s="10" t="str">
        <f ca="1">IFERROR(__xludf.DUMMYFUNCTION("""COMPUTED_VALUE"""),"1-K-2023-224")</f>
        <v>1-K-2023-224</v>
      </c>
      <c r="D92" s="26" t="str">
        <f t="shared" ca="1" si="0"/>
        <v xml:space="preserve"> LOTA</v>
      </c>
      <c r="E92" s="10" t="str">
        <f ca="1">IFERROR(__xludf.DUMMYFUNCTION("""COMPUTED_VALUE"""),"Guía Operativa")</f>
        <v>Guía Operativa</v>
      </c>
      <c r="F92" s="10" t="str">
        <f ca="1">IFERROR(__xludf.DUMMYFUNCTION("""COMPUTED_VALUE"""),"MUNICIPALIDAD DE LOTA")</f>
        <v>MUNICIPALIDAD DE LOTA</v>
      </c>
      <c r="G92" s="71">
        <f ca="1">IFERROR(__xludf.DUMMYFUNCTION("""COMPUTED_VALUE"""),143000000)</f>
        <v>143000000</v>
      </c>
      <c r="H92" s="10" t="str">
        <f ca="1">IFERROR(__xludf.DUMMYFUNCTION("""COMPUTED_VALUE"""),"Resolución")</f>
        <v>Resolución</v>
      </c>
      <c r="I92" s="10" t="str">
        <f ca="1">IFERROR(__xludf.DUMMYFUNCTION("""COMPUTED_VALUE"""),"OBRA")</f>
        <v>OBRA</v>
      </c>
      <c r="J92" s="10" t="str">
        <f ca="1">IFERROR(__xludf.DUMMYFUNCTION("""COMPUTED_VALUE"""),"Cumplir con normativa y reglamentos internos del programa en base a los objetivos.")</f>
        <v>Cumplir con normativa y reglamentos internos del programa en base a los objetivos.</v>
      </c>
      <c r="K92" s="71">
        <f ca="1">IFERROR(__xludf.DUMMYFUNCTION("""COMPUTED_VALUE"""),136984537)</f>
        <v>136984537</v>
      </c>
      <c r="L92" s="72">
        <f ca="1">IFERROR(__xludf.DUMMYFUNCTION("""COMPUTED_VALUE"""),0.957933825174825)</f>
        <v>0.95793382517482495</v>
      </c>
      <c r="M92" s="10">
        <f ca="1">IFERROR(__xludf.DUMMYFUNCTION("""COMPUTED_VALUE"""),1028)</f>
        <v>1028</v>
      </c>
      <c r="N92" s="10" t="str">
        <f ca="1">IFERROR(__xludf.DUMMYFUNCTION("""COMPUTED_VALUE"""),"PMU")</f>
        <v>PMU</v>
      </c>
      <c r="O92" s="1"/>
      <c r="P92" s="1"/>
      <c r="Q92" s="1"/>
      <c r="R92" s="1"/>
      <c r="S92" s="1"/>
      <c r="T92" s="1"/>
      <c r="U92" s="1"/>
      <c r="V92" s="1"/>
      <c r="W92" s="1"/>
      <c r="X92" s="1"/>
      <c r="Y92" s="1"/>
      <c r="Z92" s="1"/>
    </row>
    <row r="93" spans="1:26" ht="12.75" customHeight="1">
      <c r="A93" s="1"/>
      <c r="B93" s="10" t="str">
        <f ca="1">IFERROR(__xludf.DUMMYFUNCTION("""COMPUTED_VALUE"""),"MEJORAMIENTO MULTICANCHA SECTOR CAMILO ESCALONA, LOTA")</f>
        <v>MEJORAMIENTO MULTICANCHA SECTOR CAMILO ESCALONA, LOTA</v>
      </c>
      <c r="C93" s="10" t="str">
        <f ca="1">IFERROR(__xludf.DUMMYFUNCTION("""COMPUTED_VALUE"""),"1-K-2023-225")</f>
        <v>1-K-2023-225</v>
      </c>
      <c r="D93" s="26" t="str">
        <f t="shared" ca="1" si="0"/>
        <v xml:space="preserve"> LOTA</v>
      </c>
      <c r="E93" s="10" t="str">
        <f ca="1">IFERROR(__xludf.DUMMYFUNCTION("""COMPUTED_VALUE"""),"Guía Operativa")</f>
        <v>Guía Operativa</v>
      </c>
      <c r="F93" s="10" t="str">
        <f ca="1">IFERROR(__xludf.DUMMYFUNCTION("""COMPUTED_VALUE"""),"MUNICIPALIDAD DE LOTA")</f>
        <v>MUNICIPALIDAD DE LOTA</v>
      </c>
      <c r="G93" s="71">
        <f ca="1">IFERROR(__xludf.DUMMYFUNCTION("""COMPUTED_VALUE"""),147000000)</f>
        <v>147000000</v>
      </c>
      <c r="H93" s="10" t="str">
        <f ca="1">IFERROR(__xludf.DUMMYFUNCTION("""COMPUTED_VALUE"""),"Resolución")</f>
        <v>Resolución</v>
      </c>
      <c r="I93" s="10" t="str">
        <f ca="1">IFERROR(__xludf.DUMMYFUNCTION("""COMPUTED_VALUE"""),"OBRA")</f>
        <v>OBRA</v>
      </c>
      <c r="J93" s="10" t="str">
        <f ca="1">IFERROR(__xludf.DUMMYFUNCTION("""COMPUTED_VALUE"""),"Cumplir con normativa y reglamentos internos del programa en base a los objetivos.")</f>
        <v>Cumplir con normativa y reglamentos internos del programa en base a los objetivos.</v>
      </c>
      <c r="K93" s="71">
        <f ca="1">IFERROR(__xludf.DUMMYFUNCTION("""COMPUTED_VALUE"""),147005787)</f>
        <v>147005787</v>
      </c>
      <c r="L93" s="72">
        <f ca="1">IFERROR(__xludf.DUMMYFUNCTION("""COMPUTED_VALUE"""),1.00003936734693)</f>
        <v>1.0000393673469301</v>
      </c>
      <c r="M93" s="10">
        <f ca="1">IFERROR(__xludf.DUMMYFUNCTION("""COMPUTED_VALUE"""),1010)</f>
        <v>1010</v>
      </c>
      <c r="N93" s="10" t="str">
        <f ca="1">IFERROR(__xludf.DUMMYFUNCTION("""COMPUTED_VALUE"""),"PMU")</f>
        <v>PMU</v>
      </c>
      <c r="O93" s="1"/>
      <c r="P93" s="1"/>
      <c r="Q93" s="1"/>
      <c r="R93" s="1"/>
      <c r="S93" s="1"/>
      <c r="T93" s="1"/>
      <c r="U93" s="1"/>
      <c r="V93" s="1"/>
      <c r="W93" s="1"/>
      <c r="X93" s="1"/>
      <c r="Y93" s="1"/>
      <c r="Z93" s="1"/>
    </row>
    <row r="94" spans="1:26" ht="12.75" customHeight="1">
      <c r="A94" s="1"/>
      <c r="B94" s="10" t="str">
        <f ca="1">IFERROR(__xludf.DUMMYFUNCTION("""COMPUTED_VALUE"""),"MEJORAMIENTO MIRADOR MONTE SINAÍ SECTOR CAMILO ESCALONA, LOTA.")</f>
        <v>MEJORAMIENTO MIRADOR MONTE SINAÍ SECTOR CAMILO ESCALONA, LOTA.</v>
      </c>
      <c r="C94" s="10" t="str">
        <f ca="1">IFERROR(__xludf.DUMMYFUNCTION("""COMPUTED_VALUE"""),"1-K-2023-226")</f>
        <v>1-K-2023-226</v>
      </c>
      <c r="D94" s="26" t="str">
        <f t="shared" ca="1" si="0"/>
        <v xml:space="preserve"> LOTA</v>
      </c>
      <c r="E94" s="10" t="str">
        <f ca="1">IFERROR(__xludf.DUMMYFUNCTION("""COMPUTED_VALUE"""),"Guía Operativa")</f>
        <v>Guía Operativa</v>
      </c>
      <c r="F94" s="10" t="str">
        <f ca="1">IFERROR(__xludf.DUMMYFUNCTION("""COMPUTED_VALUE"""),"MUNICIPALIDAD DE LOTA")</f>
        <v>MUNICIPALIDAD DE LOTA</v>
      </c>
      <c r="G94" s="71">
        <f ca="1">IFERROR(__xludf.DUMMYFUNCTION("""COMPUTED_VALUE"""),141000000)</f>
        <v>141000000</v>
      </c>
      <c r="H94" s="10" t="str">
        <f ca="1">IFERROR(__xludf.DUMMYFUNCTION("""COMPUTED_VALUE"""),"Resolución")</f>
        <v>Resolución</v>
      </c>
      <c r="I94" s="10" t="str">
        <f ca="1">IFERROR(__xludf.DUMMYFUNCTION("""COMPUTED_VALUE"""),"OBRA")</f>
        <v>OBRA</v>
      </c>
      <c r="J94" s="10" t="str">
        <f ca="1">IFERROR(__xludf.DUMMYFUNCTION("""COMPUTED_VALUE"""),"Cumplir con normativa y reglamentos internos del programa en base a los objetivos.")</f>
        <v>Cumplir con normativa y reglamentos internos del programa en base a los objetivos.</v>
      </c>
      <c r="K94" s="71">
        <f ca="1">IFERROR(__xludf.DUMMYFUNCTION("""COMPUTED_VALUE"""),138171371)</f>
        <v>138171371</v>
      </c>
      <c r="L94" s="72">
        <f ca="1">IFERROR(__xludf.DUMMYFUNCTION("""COMPUTED_VALUE"""),0.979938801418439)</f>
        <v>0.97993880141843903</v>
      </c>
      <c r="M94" s="10">
        <f ca="1">IFERROR(__xludf.DUMMYFUNCTION("""COMPUTED_VALUE"""),1034)</f>
        <v>1034</v>
      </c>
      <c r="N94" s="10" t="str">
        <f ca="1">IFERROR(__xludf.DUMMYFUNCTION("""COMPUTED_VALUE"""),"PMU")</f>
        <v>PMU</v>
      </c>
      <c r="O94" s="1"/>
      <c r="P94" s="1"/>
      <c r="Q94" s="1"/>
      <c r="R94" s="1"/>
      <c r="S94" s="1"/>
      <c r="T94" s="1"/>
      <c r="U94" s="1"/>
      <c r="V94" s="1"/>
      <c r="W94" s="1"/>
      <c r="X94" s="1"/>
      <c r="Y94" s="1"/>
      <c r="Z94" s="1"/>
    </row>
    <row r="95" spans="1:26" ht="12.75" customHeight="1">
      <c r="A95" s="1"/>
      <c r="B95" s="10" t="str">
        <f ca="1">IFERROR(__xludf.DUMMYFUNCTION("""COMPUTED_VALUE"""),"CONSTRUCCIÓN MURO DE CONTENCIÓN Y MEJORAMIENTO CALLE LAS GOLONDRINAS SECTOR CANTERA, LOTA.")</f>
        <v>CONSTRUCCIÓN MURO DE CONTENCIÓN Y MEJORAMIENTO CALLE LAS GOLONDRINAS SECTOR CANTERA, LOTA.</v>
      </c>
      <c r="C95" s="10" t="str">
        <f ca="1">IFERROR(__xludf.DUMMYFUNCTION("""COMPUTED_VALUE"""),"1-K-2023-227")</f>
        <v>1-K-2023-227</v>
      </c>
      <c r="D95" s="26" t="str">
        <f t="shared" ca="1" si="0"/>
        <v xml:space="preserve"> LOTA</v>
      </c>
      <c r="E95" s="10" t="str">
        <f ca="1">IFERROR(__xludf.DUMMYFUNCTION("""COMPUTED_VALUE"""),"Guía Operativa")</f>
        <v>Guía Operativa</v>
      </c>
      <c r="F95" s="10" t="str">
        <f ca="1">IFERROR(__xludf.DUMMYFUNCTION("""COMPUTED_VALUE"""),"MUNICIPALIDAD DE LOTA")</f>
        <v>MUNICIPALIDAD DE LOTA</v>
      </c>
      <c r="G95" s="71">
        <f ca="1">IFERROR(__xludf.DUMMYFUNCTION("""COMPUTED_VALUE"""),140000000)</f>
        <v>140000000</v>
      </c>
      <c r="H95" s="10" t="str">
        <f ca="1">IFERROR(__xludf.DUMMYFUNCTION("""COMPUTED_VALUE"""),"Resolución")</f>
        <v>Resolución</v>
      </c>
      <c r="I95" s="10" t="str">
        <f ca="1">IFERROR(__xludf.DUMMYFUNCTION("""COMPUTED_VALUE"""),"OBRA")</f>
        <v>OBRA</v>
      </c>
      <c r="J95" s="10" t="str">
        <f ca="1">IFERROR(__xludf.DUMMYFUNCTION("""COMPUTED_VALUE"""),"Cumplir con normativa y reglamentos internos del programa en base a los objetivos.")</f>
        <v>Cumplir con normativa y reglamentos internos del programa en base a los objetivos.</v>
      </c>
      <c r="K95" s="71">
        <f ca="1">IFERROR(__xludf.DUMMYFUNCTION("""COMPUTED_VALUE"""),133522787)</f>
        <v>133522787</v>
      </c>
      <c r="L95" s="72">
        <f ca="1">IFERROR(__xludf.DUMMYFUNCTION("""COMPUTED_VALUE"""),0.953734192857142)</f>
        <v>0.953734192857142</v>
      </c>
      <c r="M95" s="10">
        <f ca="1">IFERROR(__xludf.DUMMYFUNCTION("""COMPUTED_VALUE"""),1034)</f>
        <v>1034</v>
      </c>
      <c r="N95" s="10" t="str">
        <f ca="1">IFERROR(__xludf.DUMMYFUNCTION("""COMPUTED_VALUE"""),"PMU")</f>
        <v>PMU</v>
      </c>
      <c r="O95" s="1"/>
      <c r="P95" s="1"/>
      <c r="Q95" s="1"/>
      <c r="R95" s="1"/>
      <c r="S95" s="1"/>
      <c r="T95" s="1"/>
      <c r="U95" s="1"/>
      <c r="V95" s="1"/>
      <c r="W95" s="1"/>
      <c r="X95" s="1"/>
      <c r="Y95" s="1"/>
      <c r="Z95" s="1"/>
    </row>
    <row r="96" spans="1:26" ht="12.75" customHeight="1">
      <c r="A96" s="1"/>
      <c r="B96" s="10" t="str">
        <f ca="1">IFERROR(__xludf.DUMMYFUNCTION("""COMPUTED_VALUE"""),"MEJORAMIENTO ILUMINACIÓN PEATONAL CALLE FERNANDO MAIRA, ENTRE POLVORÍN Y MIRAMAR, LOTA")</f>
        <v>MEJORAMIENTO ILUMINACIÓN PEATONAL CALLE FERNANDO MAIRA, ENTRE POLVORÍN Y MIRAMAR, LOTA</v>
      </c>
      <c r="C96" s="10" t="str">
        <f ca="1">IFERROR(__xludf.DUMMYFUNCTION("""COMPUTED_VALUE"""),"1-K-2023-230")</f>
        <v>1-K-2023-230</v>
      </c>
      <c r="D96" s="26" t="str">
        <f t="shared" ca="1" si="0"/>
        <v xml:space="preserve"> LOTA</v>
      </c>
      <c r="E96" s="10" t="str">
        <f ca="1">IFERROR(__xludf.DUMMYFUNCTION("""COMPUTED_VALUE"""),"Guía Operativa")</f>
        <v>Guía Operativa</v>
      </c>
      <c r="F96" s="10" t="str">
        <f ca="1">IFERROR(__xludf.DUMMYFUNCTION("""COMPUTED_VALUE"""),"MUNICIPALIDAD DE LOTA")</f>
        <v>MUNICIPALIDAD DE LOTA</v>
      </c>
      <c r="G96" s="71">
        <f ca="1">IFERROR(__xludf.DUMMYFUNCTION("""COMPUTED_VALUE"""),151000000)</f>
        <v>151000000</v>
      </c>
      <c r="H96" s="10" t="str">
        <f ca="1">IFERROR(__xludf.DUMMYFUNCTION("""COMPUTED_VALUE"""),"Resolución")</f>
        <v>Resolución</v>
      </c>
      <c r="I96" s="10" t="str">
        <f ca="1">IFERROR(__xludf.DUMMYFUNCTION("""COMPUTED_VALUE"""),"OBRA")</f>
        <v>OBRA</v>
      </c>
      <c r="J96" s="10" t="str">
        <f ca="1">IFERROR(__xludf.DUMMYFUNCTION("""COMPUTED_VALUE"""),"Cumplir con normativa y reglamentos internos del programa en base a los objetivos.")</f>
        <v>Cumplir con normativa y reglamentos internos del programa en base a los objetivos.</v>
      </c>
      <c r="K96" s="71">
        <f ca="1">IFERROR(__xludf.DUMMYFUNCTION("""COMPUTED_VALUE"""),147939042)</f>
        <v>147939042</v>
      </c>
      <c r="L96" s="72">
        <f ca="1">IFERROR(__xludf.DUMMYFUNCTION("""COMPUTED_VALUE"""),0.979728754966887)</f>
        <v>0.97972875496688705</v>
      </c>
      <c r="M96" s="10">
        <f ca="1">IFERROR(__xludf.DUMMYFUNCTION("""COMPUTED_VALUE"""),1033)</f>
        <v>1033</v>
      </c>
      <c r="N96" s="10" t="str">
        <f ca="1">IFERROR(__xludf.DUMMYFUNCTION("""COMPUTED_VALUE"""),"PMU")</f>
        <v>PMU</v>
      </c>
      <c r="O96" s="1"/>
      <c r="P96" s="1"/>
      <c r="Q96" s="1"/>
      <c r="R96" s="1"/>
      <c r="S96" s="1"/>
      <c r="T96" s="1"/>
      <c r="U96" s="1"/>
      <c r="V96" s="1"/>
      <c r="W96" s="1"/>
      <c r="X96" s="1"/>
      <c r="Y96" s="1"/>
      <c r="Z96" s="1"/>
    </row>
    <row r="97" spans="1:26" ht="12.75" customHeight="1">
      <c r="A97" s="1"/>
      <c r="B97" s="10" t="str">
        <f ca="1">IFERROR(__xludf.DUMMYFUNCTION("""COMPUTED_VALUE"""),"MEJORAMIENTO ILUMINACIÓN PEATONAL CALLE 1, VILLA SAN PATRICIO, LOTA")</f>
        <v>MEJORAMIENTO ILUMINACIÓN PEATONAL CALLE 1, VILLA SAN PATRICIO, LOTA</v>
      </c>
      <c r="C97" s="10" t="str">
        <f ca="1">IFERROR(__xludf.DUMMYFUNCTION("""COMPUTED_VALUE"""),"1-K-2023-231")</f>
        <v>1-K-2023-231</v>
      </c>
      <c r="D97" s="26" t="str">
        <f t="shared" ca="1" si="0"/>
        <v xml:space="preserve"> LOTA</v>
      </c>
      <c r="E97" s="10" t="str">
        <f ca="1">IFERROR(__xludf.DUMMYFUNCTION("""COMPUTED_VALUE"""),"Guía Operativa")</f>
        <v>Guía Operativa</v>
      </c>
      <c r="F97" s="10" t="str">
        <f ca="1">IFERROR(__xludf.DUMMYFUNCTION("""COMPUTED_VALUE"""),"MUNICIPALIDAD DE LOTA")</f>
        <v>MUNICIPALIDAD DE LOTA</v>
      </c>
      <c r="G97" s="71">
        <f ca="1">IFERROR(__xludf.DUMMYFUNCTION("""COMPUTED_VALUE"""),143000000)</f>
        <v>143000000</v>
      </c>
      <c r="H97" s="10" t="str">
        <f ca="1">IFERROR(__xludf.DUMMYFUNCTION("""COMPUTED_VALUE"""),"Resolución")</f>
        <v>Resolución</v>
      </c>
      <c r="I97" s="10" t="str">
        <f ca="1">IFERROR(__xludf.DUMMYFUNCTION("""COMPUTED_VALUE"""),"OBRA")</f>
        <v>OBRA</v>
      </c>
      <c r="J97" s="10" t="str">
        <f ca="1">IFERROR(__xludf.DUMMYFUNCTION("""COMPUTED_VALUE"""),"Cumplir con normativa y reglamentos internos del programa en base a los objetivos.")</f>
        <v>Cumplir con normativa y reglamentos internos del programa en base a los objetivos.</v>
      </c>
      <c r="K97" s="71">
        <f ca="1">IFERROR(__xludf.DUMMYFUNCTION("""COMPUTED_VALUE"""),136310548)</f>
        <v>136310548</v>
      </c>
      <c r="L97" s="72">
        <f ca="1">IFERROR(__xludf.DUMMYFUNCTION("""COMPUTED_VALUE"""),0.953220615384615)</f>
        <v>0.953220615384615</v>
      </c>
      <c r="M97" s="10">
        <f ca="1">IFERROR(__xludf.DUMMYFUNCTION("""COMPUTED_VALUE"""),1033)</f>
        <v>1033</v>
      </c>
      <c r="N97" s="10" t="str">
        <f ca="1">IFERROR(__xludf.DUMMYFUNCTION("""COMPUTED_VALUE"""),"PMU")</f>
        <v>PMU</v>
      </c>
      <c r="O97" s="1"/>
      <c r="P97" s="1"/>
      <c r="Q97" s="1"/>
      <c r="R97" s="1"/>
      <c r="S97" s="1"/>
      <c r="T97" s="1"/>
      <c r="U97" s="1"/>
      <c r="V97" s="1"/>
      <c r="W97" s="1"/>
      <c r="X97" s="1"/>
      <c r="Y97" s="1"/>
      <c r="Z97" s="1"/>
    </row>
    <row r="98" spans="1:26" ht="12.75" customHeight="1">
      <c r="A98" s="1"/>
      <c r="B98" s="10" t="str">
        <f ca="1">IFERROR(__xludf.DUMMYFUNCTION("""COMPUTED_VALUE"""),"MEJORAMIENTO DE ALUMBRADO PÚBLICO PLAZA LOS PEHUENCHES, SANTA ROSA, LEBU")</f>
        <v>MEJORAMIENTO DE ALUMBRADO PÚBLICO PLAZA LOS PEHUENCHES, SANTA ROSA, LEBU</v>
      </c>
      <c r="C98" s="10" t="str">
        <f ca="1">IFERROR(__xludf.DUMMYFUNCTION("""COMPUTED_VALUE"""),"1-K-2023-258")</f>
        <v>1-K-2023-258</v>
      </c>
      <c r="D98" s="26" t="str">
        <f t="shared" ca="1" si="0"/>
        <v xml:space="preserve"> LEBU</v>
      </c>
      <c r="E98" s="10" t="str">
        <f ca="1">IFERROR(__xludf.DUMMYFUNCTION("""COMPUTED_VALUE"""),"Guía Operativa")</f>
        <v>Guía Operativa</v>
      </c>
      <c r="F98" s="10" t="str">
        <f ca="1">IFERROR(__xludf.DUMMYFUNCTION("""COMPUTED_VALUE"""),"MUNICIPALIDAD DE LEBU")</f>
        <v>MUNICIPALIDAD DE LEBU</v>
      </c>
      <c r="G98" s="71">
        <f ca="1">IFERROR(__xludf.DUMMYFUNCTION("""COMPUTED_VALUE"""),72432652)</f>
        <v>72432652</v>
      </c>
      <c r="H98" s="10" t="str">
        <f ca="1">IFERROR(__xludf.DUMMYFUNCTION("""COMPUTED_VALUE"""),"Resolución")</f>
        <v>Resolución</v>
      </c>
      <c r="I98" s="10" t="str">
        <f ca="1">IFERROR(__xludf.DUMMYFUNCTION("""COMPUTED_VALUE"""),"OBRA")</f>
        <v>OBRA</v>
      </c>
      <c r="J98" s="10" t="str">
        <f ca="1">IFERROR(__xludf.DUMMYFUNCTION("""COMPUTED_VALUE"""),"Cumplir con normativa y reglamentos internos del programa en base a los objetivos.")</f>
        <v>Cumplir con normativa y reglamentos internos del programa en base a los objetivos.</v>
      </c>
      <c r="K98" s="71">
        <f ca="1">IFERROR(__xludf.DUMMYFUNCTION("""COMPUTED_VALUE"""),72432652)</f>
        <v>72432652</v>
      </c>
      <c r="L98" s="72">
        <f ca="1">IFERROR(__xludf.DUMMYFUNCTION("""COMPUTED_VALUE"""),1)</f>
        <v>1</v>
      </c>
      <c r="M98" s="10">
        <f ca="1">IFERROR(__xludf.DUMMYFUNCTION("""COMPUTED_VALUE"""),1027)</f>
        <v>1027</v>
      </c>
      <c r="N98" s="10" t="str">
        <f ca="1">IFERROR(__xludf.DUMMYFUNCTION("""COMPUTED_VALUE"""),"PMU")</f>
        <v>PMU</v>
      </c>
      <c r="O98" s="1"/>
      <c r="P98" s="1"/>
      <c r="Q98" s="1"/>
      <c r="R98" s="1"/>
      <c r="S98" s="1"/>
      <c r="T98" s="1"/>
      <c r="U98" s="1"/>
      <c r="V98" s="1"/>
      <c r="W98" s="1"/>
      <c r="X98" s="1"/>
      <c r="Y98" s="1"/>
      <c r="Z98" s="1"/>
    </row>
    <row r="99" spans="1:26" ht="12.75" customHeight="1">
      <c r="A99" s="1"/>
      <c r="B99" s="10" t="str">
        <f ca="1">IFERROR(__xludf.DUMMYFUNCTION("""COMPUTED_VALUE"""),"INSTALACION DE JUEGOS AREA VERDE N°7 VILLA EL BOSQUE CERRO ALTO, LOS ALAMOS")</f>
        <v>INSTALACION DE JUEGOS AREA VERDE N°7 VILLA EL BOSQUE CERRO ALTO, LOS ALAMOS</v>
      </c>
      <c r="C99" s="10" t="str">
        <f ca="1">IFERROR(__xludf.DUMMYFUNCTION("""COMPUTED_VALUE"""),"1-K-2023-259")</f>
        <v>1-K-2023-259</v>
      </c>
      <c r="D99" s="26" t="str">
        <f t="shared" ca="1" si="0"/>
        <v xml:space="preserve"> LOS ÁLAMOS</v>
      </c>
      <c r="E99" s="10" t="str">
        <f ca="1">IFERROR(__xludf.DUMMYFUNCTION("""COMPUTED_VALUE"""),"Guía Operativa")</f>
        <v>Guía Operativa</v>
      </c>
      <c r="F99" s="10" t="str">
        <f ca="1">IFERROR(__xludf.DUMMYFUNCTION("""COMPUTED_VALUE"""),"MUNICIPALIDAD DE LOS ÁLAMOS")</f>
        <v>MUNICIPALIDAD DE LOS ÁLAMOS</v>
      </c>
      <c r="G99" s="71">
        <f ca="1">IFERROR(__xludf.DUMMYFUNCTION("""COMPUTED_VALUE"""),103000000)</f>
        <v>103000000</v>
      </c>
      <c r="H99" s="10" t="str">
        <f ca="1">IFERROR(__xludf.DUMMYFUNCTION("""COMPUTED_VALUE"""),"Resolución")</f>
        <v>Resolución</v>
      </c>
      <c r="I99" s="10" t="str">
        <f ca="1">IFERROR(__xludf.DUMMYFUNCTION("""COMPUTED_VALUE"""),"OBRA")</f>
        <v>OBRA</v>
      </c>
      <c r="J99" s="10" t="str">
        <f ca="1">IFERROR(__xludf.DUMMYFUNCTION("""COMPUTED_VALUE"""),"Cumplir con normativa y reglamentos internos del programa en base a los objetivos.")</f>
        <v>Cumplir con normativa y reglamentos internos del programa en base a los objetivos.</v>
      </c>
      <c r="K99" s="71">
        <f ca="1">IFERROR(__xludf.DUMMYFUNCTION("""COMPUTED_VALUE"""),102773334)</f>
        <v>102773334</v>
      </c>
      <c r="L99" s="72">
        <f ca="1">IFERROR(__xludf.DUMMYFUNCTION("""COMPUTED_VALUE"""),0.997799359223301)</f>
        <v>0.99779935922330099</v>
      </c>
      <c r="M99" s="10">
        <f ca="1">IFERROR(__xludf.DUMMYFUNCTION("""COMPUTED_VALUE"""),1063)</f>
        <v>1063</v>
      </c>
      <c r="N99" s="10" t="str">
        <f ca="1">IFERROR(__xludf.DUMMYFUNCTION("""COMPUTED_VALUE"""),"PMU")</f>
        <v>PMU</v>
      </c>
      <c r="O99" s="1"/>
      <c r="P99" s="1"/>
      <c r="Q99" s="1"/>
      <c r="R99" s="1"/>
      <c r="S99" s="1"/>
      <c r="T99" s="1"/>
      <c r="U99" s="1"/>
      <c r="V99" s="1"/>
      <c r="W99" s="1"/>
      <c r="X99" s="1"/>
      <c r="Y99" s="1"/>
      <c r="Z99" s="1"/>
    </row>
    <row r="100" spans="1:26" ht="12.75" customHeight="1">
      <c r="A100" s="1"/>
      <c r="B100" s="10" t="str">
        <f ca="1">IFERROR(__xludf.DUMMYFUNCTION("""COMPUTED_VALUE"""),"MEJORAMIENTO AREA VERDE POBLACION SILVIA CHACON, LOS ALAMOS")</f>
        <v>MEJORAMIENTO AREA VERDE POBLACION SILVIA CHACON, LOS ALAMOS</v>
      </c>
      <c r="C100" s="10" t="str">
        <f ca="1">IFERROR(__xludf.DUMMYFUNCTION("""COMPUTED_VALUE"""),"1-K-2023-260")</f>
        <v>1-K-2023-260</v>
      </c>
      <c r="D100" s="26" t="str">
        <f t="shared" ca="1" si="0"/>
        <v xml:space="preserve"> LOS ÁLAMOS</v>
      </c>
      <c r="E100" s="10" t="str">
        <f ca="1">IFERROR(__xludf.DUMMYFUNCTION("""COMPUTED_VALUE"""),"Guía Operativa")</f>
        <v>Guía Operativa</v>
      </c>
      <c r="F100" s="10" t="str">
        <f ca="1">IFERROR(__xludf.DUMMYFUNCTION("""COMPUTED_VALUE"""),"MUNICIPALIDAD DE LOS ÁLAMOS")</f>
        <v>MUNICIPALIDAD DE LOS ÁLAMOS</v>
      </c>
      <c r="G100" s="71">
        <f ca="1">IFERROR(__xludf.DUMMYFUNCTION("""COMPUTED_VALUE"""),102000000)</f>
        <v>102000000</v>
      </c>
      <c r="H100" s="10" t="str">
        <f ca="1">IFERROR(__xludf.DUMMYFUNCTION("""COMPUTED_VALUE"""),"Resolución")</f>
        <v>Resolución</v>
      </c>
      <c r="I100" s="10" t="str">
        <f ca="1">IFERROR(__xludf.DUMMYFUNCTION("""COMPUTED_VALUE"""),"OBRA")</f>
        <v>OBRA</v>
      </c>
      <c r="J100" s="10" t="str">
        <f ca="1">IFERROR(__xludf.DUMMYFUNCTION("""COMPUTED_VALUE"""),"Cumplir con normativa y reglamentos internos del programa en base a los objetivos.")</f>
        <v>Cumplir con normativa y reglamentos internos del programa en base a los objetivos.</v>
      </c>
      <c r="K100" s="71">
        <f ca="1">IFERROR(__xludf.DUMMYFUNCTION("""COMPUTED_VALUE"""),102141617)</f>
        <v>102141617</v>
      </c>
      <c r="L100" s="72">
        <f ca="1">IFERROR(__xludf.DUMMYFUNCTION("""COMPUTED_VALUE"""),1.00138840196078)</f>
        <v>1.0013884019607799</v>
      </c>
      <c r="M100" s="10">
        <f ca="1">IFERROR(__xludf.DUMMYFUNCTION("""COMPUTED_VALUE"""),1019)</f>
        <v>1019</v>
      </c>
      <c r="N100" s="10" t="str">
        <f ca="1">IFERROR(__xludf.DUMMYFUNCTION("""COMPUTED_VALUE"""),"PMU")</f>
        <v>PMU</v>
      </c>
      <c r="O100" s="1"/>
      <c r="P100" s="1"/>
      <c r="Q100" s="1"/>
      <c r="R100" s="1"/>
      <c r="S100" s="1"/>
      <c r="T100" s="1"/>
      <c r="U100" s="1"/>
      <c r="V100" s="1"/>
      <c r="W100" s="1"/>
      <c r="X100" s="1"/>
      <c r="Y100" s="1"/>
      <c r="Z100" s="1"/>
    </row>
    <row r="101" spans="1:26" ht="12.75" customHeight="1">
      <c r="A101" s="1"/>
      <c r="B101" s="10" t="str">
        <f ca="1">IFERROR(__xludf.DUMMYFUNCTION("""COMPUTED_VALUE"""),"MEJORAMIENTO E INSTALACION DE JUEGOS AREA VERDE SKATEPARK, LOS ALAMOS")</f>
        <v>MEJORAMIENTO E INSTALACION DE JUEGOS AREA VERDE SKATEPARK, LOS ALAMOS</v>
      </c>
      <c r="C101" s="10" t="str">
        <f ca="1">IFERROR(__xludf.DUMMYFUNCTION("""COMPUTED_VALUE"""),"1-K-2023-261")</f>
        <v>1-K-2023-261</v>
      </c>
      <c r="D101" s="26" t="str">
        <f t="shared" ca="1" si="0"/>
        <v xml:space="preserve"> LOS ÁLAMOS</v>
      </c>
      <c r="E101" s="10" t="str">
        <f ca="1">IFERROR(__xludf.DUMMYFUNCTION("""COMPUTED_VALUE"""),"Guía Operativa")</f>
        <v>Guía Operativa</v>
      </c>
      <c r="F101" s="10" t="str">
        <f ca="1">IFERROR(__xludf.DUMMYFUNCTION("""COMPUTED_VALUE"""),"MUNICIPALIDAD DE LOS ÁLAMOS")</f>
        <v>MUNICIPALIDAD DE LOS ÁLAMOS</v>
      </c>
      <c r="G101" s="71">
        <f ca="1">IFERROR(__xludf.DUMMYFUNCTION("""COMPUTED_VALUE"""),103000000)</f>
        <v>103000000</v>
      </c>
      <c r="H101" s="10" t="str">
        <f ca="1">IFERROR(__xludf.DUMMYFUNCTION("""COMPUTED_VALUE"""),"Resolución")</f>
        <v>Resolución</v>
      </c>
      <c r="I101" s="10" t="str">
        <f ca="1">IFERROR(__xludf.DUMMYFUNCTION("""COMPUTED_VALUE"""),"OBRA")</f>
        <v>OBRA</v>
      </c>
      <c r="J101" s="10" t="str">
        <f ca="1">IFERROR(__xludf.DUMMYFUNCTION("""COMPUTED_VALUE"""),"Cumplir con normativa y reglamentos internos del programa en base a los objetivos.")</f>
        <v>Cumplir con normativa y reglamentos internos del programa en base a los objetivos.</v>
      </c>
      <c r="K101" s="71">
        <f ca="1">IFERROR(__xludf.DUMMYFUNCTION("""COMPUTED_VALUE"""),102549081)</f>
        <v>102549081</v>
      </c>
      <c r="L101" s="72">
        <f ca="1">IFERROR(__xludf.DUMMYFUNCTION("""COMPUTED_VALUE"""),0.995622145631068)</f>
        <v>0.99562214563106799</v>
      </c>
      <c r="M101" s="10">
        <f ca="1">IFERROR(__xludf.DUMMYFUNCTION("""COMPUTED_VALUE"""),1023)</f>
        <v>1023</v>
      </c>
      <c r="N101" s="10" t="str">
        <f ca="1">IFERROR(__xludf.DUMMYFUNCTION("""COMPUTED_VALUE"""),"PMU")</f>
        <v>PMU</v>
      </c>
      <c r="O101" s="1"/>
      <c r="P101" s="1"/>
      <c r="Q101" s="1"/>
      <c r="R101" s="1"/>
      <c r="S101" s="1"/>
      <c r="T101" s="1"/>
      <c r="U101" s="1"/>
      <c r="V101" s="1"/>
      <c r="W101" s="1"/>
      <c r="X101" s="1"/>
      <c r="Y101" s="1"/>
      <c r="Z101" s="1"/>
    </row>
    <row r="102" spans="1:26" ht="12.75" customHeight="1">
      <c r="A102" s="1"/>
      <c r="B102" s="10" t="str">
        <f ca="1">IFERROR(__xludf.DUMMYFUNCTION("""COMPUTED_VALUE"""),"MEJORAMIENTO E INSTALACION DE JUEGOS BANDEJON J. M. CARRERA, LOS ALAMOS")</f>
        <v>MEJORAMIENTO E INSTALACION DE JUEGOS BANDEJON J. M. CARRERA, LOS ALAMOS</v>
      </c>
      <c r="C102" s="10" t="str">
        <f ca="1">IFERROR(__xludf.DUMMYFUNCTION("""COMPUTED_VALUE"""),"1-K-2023-262")</f>
        <v>1-K-2023-262</v>
      </c>
      <c r="D102" s="26" t="str">
        <f t="shared" ca="1" si="0"/>
        <v xml:space="preserve"> LOS ÁLAMOS</v>
      </c>
      <c r="E102" s="10" t="str">
        <f ca="1">IFERROR(__xludf.DUMMYFUNCTION("""COMPUTED_VALUE"""),"Guía Operativa")</f>
        <v>Guía Operativa</v>
      </c>
      <c r="F102" s="10" t="str">
        <f ca="1">IFERROR(__xludf.DUMMYFUNCTION("""COMPUTED_VALUE"""),"MUNICIPALIDAD DE LOS ÁLAMOS")</f>
        <v>MUNICIPALIDAD DE LOS ÁLAMOS</v>
      </c>
      <c r="G102" s="71">
        <f ca="1">IFERROR(__xludf.DUMMYFUNCTION("""COMPUTED_VALUE"""),103000000)</f>
        <v>103000000</v>
      </c>
      <c r="H102" s="10" t="str">
        <f ca="1">IFERROR(__xludf.DUMMYFUNCTION("""COMPUTED_VALUE"""),"Resolución")</f>
        <v>Resolución</v>
      </c>
      <c r="I102" s="10" t="str">
        <f ca="1">IFERROR(__xludf.DUMMYFUNCTION("""COMPUTED_VALUE"""),"OBRA")</f>
        <v>OBRA</v>
      </c>
      <c r="J102" s="10" t="str">
        <f ca="1">IFERROR(__xludf.DUMMYFUNCTION("""COMPUTED_VALUE"""),"Cumplir con normativa y reglamentos internos del programa en base a los objetivos.")</f>
        <v>Cumplir con normativa y reglamentos internos del programa en base a los objetivos.</v>
      </c>
      <c r="K102" s="71">
        <f ca="1">IFERROR(__xludf.DUMMYFUNCTION("""COMPUTED_VALUE"""),102812984)</f>
        <v>102812984</v>
      </c>
      <c r="L102" s="72">
        <f ca="1">IFERROR(__xludf.DUMMYFUNCTION("""COMPUTED_VALUE"""),0.998184310679611)</f>
        <v>0.998184310679611</v>
      </c>
      <c r="M102" s="10">
        <f ca="1">IFERROR(__xludf.DUMMYFUNCTION("""COMPUTED_VALUE"""),1023)</f>
        <v>1023</v>
      </c>
      <c r="N102" s="10" t="str">
        <f ca="1">IFERROR(__xludf.DUMMYFUNCTION("""COMPUTED_VALUE"""),"PMU")</f>
        <v>PMU</v>
      </c>
      <c r="O102" s="1"/>
      <c r="P102" s="1"/>
      <c r="Q102" s="1"/>
      <c r="R102" s="1"/>
      <c r="S102" s="1"/>
      <c r="T102" s="1"/>
      <c r="U102" s="1"/>
      <c r="V102" s="1"/>
      <c r="W102" s="1"/>
      <c r="X102" s="1"/>
      <c r="Y102" s="1"/>
      <c r="Z102" s="1"/>
    </row>
    <row r="103" spans="1:26" ht="12.75" customHeight="1">
      <c r="A103" s="1"/>
      <c r="B103" s="10" t="str">
        <f ca="1">IFERROR(__xludf.DUMMYFUNCTION("""COMPUTED_VALUE"""),"REPOSICION VEREDA AVDA. DIEGO PORTALES SECTOR ESCUELA EL TRENCITO CERRO ALTO, LOS ALAMOS")</f>
        <v>REPOSICION VEREDA AVDA. DIEGO PORTALES SECTOR ESCUELA EL TRENCITO CERRO ALTO, LOS ALAMOS</v>
      </c>
      <c r="C103" s="10" t="str">
        <f ca="1">IFERROR(__xludf.DUMMYFUNCTION("""COMPUTED_VALUE"""),"1-K-2023-263")</f>
        <v>1-K-2023-263</v>
      </c>
      <c r="D103" s="26" t="str">
        <f t="shared" ca="1" si="0"/>
        <v xml:space="preserve"> LOS ÁLAMOS</v>
      </c>
      <c r="E103" s="10" t="str">
        <f ca="1">IFERROR(__xludf.DUMMYFUNCTION("""COMPUTED_VALUE"""),"Guía Operativa")</f>
        <v>Guía Operativa</v>
      </c>
      <c r="F103" s="10" t="str">
        <f ca="1">IFERROR(__xludf.DUMMYFUNCTION("""COMPUTED_VALUE"""),"MUNICIPALIDAD DE LOS ÁLAMOS")</f>
        <v>MUNICIPALIDAD DE LOS ÁLAMOS</v>
      </c>
      <c r="G103" s="71">
        <f ca="1">IFERROR(__xludf.DUMMYFUNCTION("""COMPUTED_VALUE"""),103000000)</f>
        <v>103000000</v>
      </c>
      <c r="H103" s="10" t="str">
        <f ca="1">IFERROR(__xludf.DUMMYFUNCTION("""COMPUTED_VALUE"""),"Resolución")</f>
        <v>Resolución</v>
      </c>
      <c r="I103" s="10" t="str">
        <f ca="1">IFERROR(__xludf.DUMMYFUNCTION("""COMPUTED_VALUE"""),"OBRA")</f>
        <v>OBRA</v>
      </c>
      <c r="J103" s="10" t="str">
        <f ca="1">IFERROR(__xludf.DUMMYFUNCTION("""COMPUTED_VALUE"""),"Cumplir con normativa y reglamentos internos del programa en base a los objetivos.")</f>
        <v>Cumplir con normativa y reglamentos internos del programa en base a los objetivos.</v>
      </c>
      <c r="K103" s="71">
        <f ca="1">IFERROR(__xludf.DUMMYFUNCTION("""COMPUTED_VALUE"""),102746131)</f>
        <v>102746131</v>
      </c>
      <c r="L103" s="72">
        <f ca="1">IFERROR(__xludf.DUMMYFUNCTION("""COMPUTED_VALUE"""),0.997535252427184)</f>
        <v>0.99753525242718399</v>
      </c>
      <c r="M103" s="10">
        <f ca="1">IFERROR(__xludf.DUMMYFUNCTION("""COMPUTED_VALUE"""),1058)</f>
        <v>1058</v>
      </c>
      <c r="N103" s="10" t="str">
        <f ca="1">IFERROR(__xludf.DUMMYFUNCTION("""COMPUTED_VALUE"""),"PMU")</f>
        <v>PMU</v>
      </c>
      <c r="O103" s="1"/>
      <c r="P103" s="1"/>
      <c r="Q103" s="1"/>
      <c r="R103" s="1"/>
      <c r="S103" s="1"/>
      <c r="T103" s="1"/>
      <c r="U103" s="1"/>
      <c r="V103" s="1"/>
      <c r="W103" s="1"/>
      <c r="X103" s="1"/>
      <c r="Y103" s="1"/>
      <c r="Z103" s="1"/>
    </row>
    <row r="104" spans="1:26" ht="12.75" customHeight="1">
      <c r="A104" s="1"/>
      <c r="B104" s="10" t="str">
        <f ca="1">IFERROR(__xludf.DUMMYFUNCTION("""COMPUTED_VALUE"""),"REPOSICION VEREDA CALLE ARTURO PRAT LADO ESTE ANTIHUALA, LOS ALAMOS")</f>
        <v>REPOSICION VEREDA CALLE ARTURO PRAT LADO ESTE ANTIHUALA, LOS ALAMOS</v>
      </c>
      <c r="C104" s="10" t="str">
        <f ca="1">IFERROR(__xludf.DUMMYFUNCTION("""COMPUTED_VALUE"""),"1-K-2023-264")</f>
        <v>1-K-2023-264</v>
      </c>
      <c r="D104" s="26" t="str">
        <f t="shared" ca="1" si="0"/>
        <v xml:space="preserve"> LOS ÁLAMOS</v>
      </c>
      <c r="E104" s="10" t="str">
        <f ca="1">IFERROR(__xludf.DUMMYFUNCTION("""COMPUTED_VALUE"""),"Guía Operativa")</f>
        <v>Guía Operativa</v>
      </c>
      <c r="F104" s="10" t="str">
        <f ca="1">IFERROR(__xludf.DUMMYFUNCTION("""COMPUTED_VALUE"""),"MUNICIPALIDAD DE LOS ÁLAMOS")</f>
        <v>MUNICIPALIDAD DE LOS ÁLAMOS</v>
      </c>
      <c r="G104" s="71">
        <f ca="1">IFERROR(__xludf.DUMMYFUNCTION("""COMPUTED_VALUE"""),103000000)</f>
        <v>103000000</v>
      </c>
      <c r="H104" s="10" t="str">
        <f ca="1">IFERROR(__xludf.DUMMYFUNCTION("""COMPUTED_VALUE"""),"Resolución")</f>
        <v>Resolución</v>
      </c>
      <c r="I104" s="10" t="str">
        <f ca="1">IFERROR(__xludf.DUMMYFUNCTION("""COMPUTED_VALUE"""),"OBRA")</f>
        <v>OBRA</v>
      </c>
      <c r="J104" s="10" t="str">
        <f ca="1">IFERROR(__xludf.DUMMYFUNCTION("""COMPUTED_VALUE"""),"Cumplir con normativa y reglamentos internos del programa en base a los objetivos.")</f>
        <v>Cumplir con normativa y reglamentos internos del programa en base a los objetivos.</v>
      </c>
      <c r="K104" s="71">
        <f ca="1">IFERROR(__xludf.DUMMYFUNCTION("""COMPUTED_VALUE"""),99693367)</f>
        <v>99693367</v>
      </c>
      <c r="L104" s="72">
        <f ca="1">IFERROR(__xludf.DUMMYFUNCTION("""COMPUTED_VALUE"""),0.967896766990291)</f>
        <v>0.96789676699029104</v>
      </c>
      <c r="M104" s="10">
        <f ca="1">IFERROR(__xludf.DUMMYFUNCTION("""COMPUTED_VALUE"""),1058)</f>
        <v>1058</v>
      </c>
      <c r="N104" s="10" t="str">
        <f ca="1">IFERROR(__xludf.DUMMYFUNCTION("""COMPUTED_VALUE"""),"PMU")</f>
        <v>PMU</v>
      </c>
      <c r="O104" s="1"/>
      <c r="P104" s="1"/>
      <c r="Q104" s="1"/>
      <c r="R104" s="1"/>
      <c r="S104" s="1"/>
      <c r="T104" s="1"/>
      <c r="U104" s="1"/>
      <c r="V104" s="1"/>
      <c r="W104" s="1"/>
      <c r="X104" s="1"/>
      <c r="Y104" s="1"/>
      <c r="Z104" s="1"/>
    </row>
    <row r="105" spans="1:26" ht="12.75" customHeight="1">
      <c r="A105" s="1"/>
      <c r="B105" s="10" t="str">
        <f ca="1">IFERROR(__xludf.DUMMYFUNCTION("""COMPUTED_VALUE"""),"REPOSICION VEREDA CALLE ARTURO PRAT LADO ESTE CERRO ALTO, LOS ALAMOS")</f>
        <v>REPOSICION VEREDA CALLE ARTURO PRAT LADO ESTE CERRO ALTO, LOS ALAMOS</v>
      </c>
      <c r="C105" s="10" t="str">
        <f ca="1">IFERROR(__xludf.DUMMYFUNCTION("""COMPUTED_VALUE"""),"1-K-2023-265")</f>
        <v>1-K-2023-265</v>
      </c>
      <c r="D105" s="26" t="str">
        <f t="shared" ca="1" si="0"/>
        <v xml:space="preserve"> LOS ÁLAMOS</v>
      </c>
      <c r="E105" s="10" t="str">
        <f ca="1">IFERROR(__xludf.DUMMYFUNCTION("""COMPUTED_VALUE"""),"Guía Operativa")</f>
        <v>Guía Operativa</v>
      </c>
      <c r="F105" s="10" t="str">
        <f ca="1">IFERROR(__xludf.DUMMYFUNCTION("""COMPUTED_VALUE"""),"MUNICIPALIDAD DE LOS ÁLAMOS")</f>
        <v>MUNICIPALIDAD DE LOS ÁLAMOS</v>
      </c>
      <c r="G105" s="71">
        <f ca="1">IFERROR(__xludf.DUMMYFUNCTION("""COMPUTED_VALUE"""),103000000)</f>
        <v>103000000</v>
      </c>
      <c r="H105" s="10" t="str">
        <f ca="1">IFERROR(__xludf.DUMMYFUNCTION("""COMPUTED_VALUE"""),"Resolución")</f>
        <v>Resolución</v>
      </c>
      <c r="I105" s="10" t="str">
        <f ca="1">IFERROR(__xludf.DUMMYFUNCTION("""COMPUTED_VALUE"""),"OBRA")</f>
        <v>OBRA</v>
      </c>
      <c r="J105" s="10" t="str">
        <f ca="1">IFERROR(__xludf.DUMMYFUNCTION("""COMPUTED_VALUE"""),"Cumplir con normativa y reglamentos internos del programa en base a los objetivos.")</f>
        <v>Cumplir con normativa y reglamentos internos del programa en base a los objetivos.</v>
      </c>
      <c r="K105" s="71">
        <f ca="1">IFERROR(__xludf.DUMMYFUNCTION("""COMPUTED_VALUE"""),102955605)</f>
        <v>102955605</v>
      </c>
      <c r="L105" s="72">
        <f ca="1">IFERROR(__xludf.DUMMYFUNCTION("""COMPUTED_VALUE"""),0.999568980582524)</f>
        <v>0.99956898058252397</v>
      </c>
      <c r="M105" s="10">
        <f ca="1">IFERROR(__xludf.DUMMYFUNCTION("""COMPUTED_VALUE"""),1056)</f>
        <v>1056</v>
      </c>
      <c r="N105" s="10" t="str">
        <f ca="1">IFERROR(__xludf.DUMMYFUNCTION("""COMPUTED_VALUE"""),"PMU")</f>
        <v>PMU</v>
      </c>
      <c r="O105" s="1"/>
      <c r="P105" s="1"/>
      <c r="Q105" s="1"/>
      <c r="R105" s="1"/>
      <c r="S105" s="1"/>
      <c r="T105" s="1"/>
      <c r="U105" s="1"/>
      <c r="V105" s="1"/>
      <c r="W105" s="1"/>
      <c r="X105" s="1"/>
      <c r="Y105" s="1"/>
      <c r="Z105" s="1"/>
    </row>
    <row r="106" spans="1:26" ht="12.75" customHeight="1">
      <c r="A106" s="1"/>
      <c r="B106" s="10" t="str">
        <f ca="1">IFERROR(__xludf.DUMMYFUNCTION("""COMPUTED_VALUE"""),"REPOSICION VEREDA CALLE CEMENTERIO LADO OESTE, LOS ALAMOS")</f>
        <v>REPOSICION VEREDA CALLE CEMENTERIO LADO OESTE, LOS ALAMOS</v>
      </c>
      <c r="C106" s="10" t="str">
        <f ca="1">IFERROR(__xludf.DUMMYFUNCTION("""COMPUTED_VALUE"""),"1-K-2023-266")</f>
        <v>1-K-2023-266</v>
      </c>
      <c r="D106" s="26" t="str">
        <f t="shared" ca="1" si="0"/>
        <v xml:space="preserve"> LOS ÁLAMOS</v>
      </c>
      <c r="E106" s="10" t="str">
        <f ca="1">IFERROR(__xludf.DUMMYFUNCTION("""COMPUTED_VALUE"""),"Guía Operativa")</f>
        <v>Guía Operativa</v>
      </c>
      <c r="F106" s="10" t="str">
        <f ca="1">IFERROR(__xludf.DUMMYFUNCTION("""COMPUTED_VALUE"""),"MUNICIPALIDAD DE LOS ÁLAMOS")</f>
        <v>MUNICIPALIDAD DE LOS ÁLAMOS</v>
      </c>
      <c r="G106" s="71">
        <f ca="1">IFERROR(__xludf.DUMMYFUNCTION("""COMPUTED_VALUE"""),103000000)</f>
        <v>103000000</v>
      </c>
      <c r="H106" s="10" t="str">
        <f ca="1">IFERROR(__xludf.DUMMYFUNCTION("""COMPUTED_VALUE"""),"Resolución")</f>
        <v>Resolución</v>
      </c>
      <c r="I106" s="10" t="str">
        <f ca="1">IFERROR(__xludf.DUMMYFUNCTION("""COMPUTED_VALUE"""),"OBRA")</f>
        <v>OBRA</v>
      </c>
      <c r="J106" s="10" t="str">
        <f ca="1">IFERROR(__xludf.DUMMYFUNCTION("""COMPUTED_VALUE"""),"Cumplir con normativa y reglamentos internos del programa en base a los objetivos.")</f>
        <v>Cumplir con normativa y reglamentos internos del programa en base a los objetivos.</v>
      </c>
      <c r="K106" s="71">
        <f ca="1">IFERROR(__xludf.DUMMYFUNCTION("""COMPUTED_VALUE"""),102747064)</f>
        <v>102747064</v>
      </c>
      <c r="L106" s="72">
        <f ca="1">IFERROR(__xludf.DUMMYFUNCTION("""COMPUTED_VALUE"""),0.997544310679611)</f>
        <v>0.99754431067961102</v>
      </c>
      <c r="M106" s="10">
        <f ca="1">IFERROR(__xludf.DUMMYFUNCTION("""COMPUTED_VALUE"""),1019)</f>
        <v>1019</v>
      </c>
      <c r="N106" s="10" t="str">
        <f ca="1">IFERROR(__xludf.DUMMYFUNCTION("""COMPUTED_VALUE"""),"PMU")</f>
        <v>PMU</v>
      </c>
      <c r="O106" s="1"/>
      <c r="P106" s="1"/>
      <c r="Q106" s="1"/>
      <c r="R106" s="1"/>
      <c r="S106" s="1"/>
      <c r="T106" s="1"/>
      <c r="U106" s="1"/>
      <c r="V106" s="1"/>
      <c r="W106" s="1"/>
      <c r="X106" s="1"/>
      <c r="Y106" s="1"/>
      <c r="Z106" s="1"/>
    </row>
    <row r="107" spans="1:26" ht="12.75" customHeight="1">
      <c r="A107" s="1"/>
      <c r="B107" s="10" t="str">
        <f ca="1">IFERROR(__xludf.DUMMYFUNCTION("""COMPUTED_VALUE"""),"REPOSICION VEREDA CALLE INDEPENDENCIA LADO ESTE, LOS ALAMOS")</f>
        <v>REPOSICION VEREDA CALLE INDEPENDENCIA LADO ESTE, LOS ALAMOS</v>
      </c>
      <c r="C107" s="10" t="str">
        <f ca="1">IFERROR(__xludf.DUMMYFUNCTION("""COMPUTED_VALUE"""),"1-K-2023-267")</f>
        <v>1-K-2023-267</v>
      </c>
      <c r="D107" s="26" t="str">
        <f t="shared" ca="1" si="0"/>
        <v xml:space="preserve"> LOS ÁLAMOS</v>
      </c>
      <c r="E107" s="10" t="str">
        <f ca="1">IFERROR(__xludf.DUMMYFUNCTION("""COMPUTED_VALUE"""),"Guía Operativa")</f>
        <v>Guía Operativa</v>
      </c>
      <c r="F107" s="10" t="str">
        <f ca="1">IFERROR(__xludf.DUMMYFUNCTION("""COMPUTED_VALUE"""),"MUNICIPALIDAD DE LOS ÁLAMOS")</f>
        <v>MUNICIPALIDAD DE LOS ÁLAMOS</v>
      </c>
      <c r="G107" s="71">
        <f ca="1">IFERROR(__xludf.DUMMYFUNCTION("""COMPUTED_VALUE"""),103000000)</f>
        <v>103000000</v>
      </c>
      <c r="H107" s="10" t="str">
        <f ca="1">IFERROR(__xludf.DUMMYFUNCTION("""COMPUTED_VALUE"""),"Resolución")</f>
        <v>Resolución</v>
      </c>
      <c r="I107" s="10" t="str">
        <f ca="1">IFERROR(__xludf.DUMMYFUNCTION("""COMPUTED_VALUE"""),"OBRA")</f>
        <v>OBRA</v>
      </c>
      <c r="J107" s="10" t="str">
        <f ca="1">IFERROR(__xludf.DUMMYFUNCTION("""COMPUTED_VALUE"""),"Cumplir con normativa y reglamentos internos del programa en base a los objetivos.")</f>
        <v>Cumplir con normativa y reglamentos internos del programa en base a los objetivos.</v>
      </c>
      <c r="K107" s="71">
        <f ca="1">IFERROR(__xludf.DUMMYFUNCTION("""COMPUTED_VALUE"""),99619363)</f>
        <v>99619363</v>
      </c>
      <c r="L107" s="72">
        <f ca="1">IFERROR(__xludf.DUMMYFUNCTION("""COMPUTED_VALUE"""),0.967178281553398)</f>
        <v>0.96717828155339802</v>
      </c>
      <c r="M107" s="10">
        <f ca="1">IFERROR(__xludf.DUMMYFUNCTION("""COMPUTED_VALUE"""),1058)</f>
        <v>1058</v>
      </c>
      <c r="N107" s="10" t="str">
        <f ca="1">IFERROR(__xludf.DUMMYFUNCTION("""COMPUTED_VALUE"""),"PMU")</f>
        <v>PMU</v>
      </c>
      <c r="O107" s="1"/>
      <c r="P107" s="1"/>
      <c r="Q107" s="1"/>
      <c r="R107" s="1"/>
      <c r="S107" s="1"/>
      <c r="T107" s="1"/>
      <c r="U107" s="1"/>
      <c r="V107" s="1"/>
      <c r="W107" s="1"/>
      <c r="X107" s="1"/>
      <c r="Y107" s="1"/>
      <c r="Z107" s="1"/>
    </row>
    <row r="108" spans="1:26" ht="12.75" customHeight="1">
      <c r="A108" s="1"/>
      <c r="B108" s="10" t="str">
        <f ca="1">IFERROR(__xludf.DUMMYFUNCTION("""COMPUTED_VALUE"""),"REPOSICION VEREDA CALLE INDEPENDENCIA LADO NORTE, LOS ALAMOS")</f>
        <v>REPOSICION VEREDA CALLE INDEPENDENCIA LADO NORTE, LOS ALAMOS</v>
      </c>
      <c r="C108" s="10" t="str">
        <f ca="1">IFERROR(__xludf.DUMMYFUNCTION("""COMPUTED_VALUE"""),"1-K-2023-268")</f>
        <v>1-K-2023-268</v>
      </c>
      <c r="D108" s="26" t="str">
        <f t="shared" ca="1" si="0"/>
        <v xml:space="preserve"> LOS ÁLAMOS</v>
      </c>
      <c r="E108" s="10" t="str">
        <f ca="1">IFERROR(__xludf.DUMMYFUNCTION("""COMPUTED_VALUE"""),"Guía Operativa")</f>
        <v>Guía Operativa</v>
      </c>
      <c r="F108" s="10" t="str">
        <f ca="1">IFERROR(__xludf.DUMMYFUNCTION("""COMPUTED_VALUE"""),"MUNICIPALIDAD DE LOS ÁLAMOS")</f>
        <v>MUNICIPALIDAD DE LOS ÁLAMOS</v>
      </c>
      <c r="G108" s="71">
        <f ca="1">IFERROR(__xludf.DUMMYFUNCTION("""COMPUTED_VALUE"""),106000000)</f>
        <v>106000000</v>
      </c>
      <c r="H108" s="10" t="str">
        <f ca="1">IFERROR(__xludf.DUMMYFUNCTION("""COMPUTED_VALUE"""),"Resolución")</f>
        <v>Resolución</v>
      </c>
      <c r="I108" s="10" t="str">
        <f ca="1">IFERROR(__xludf.DUMMYFUNCTION("""COMPUTED_VALUE"""),"OBRA")</f>
        <v>OBRA</v>
      </c>
      <c r="J108" s="10" t="str">
        <f ca="1">IFERROR(__xludf.DUMMYFUNCTION("""COMPUTED_VALUE"""),"Cumplir con normativa y reglamentos internos del programa en base a los objetivos.")</f>
        <v>Cumplir con normativa y reglamentos internos del programa en base a los objetivos.</v>
      </c>
      <c r="K108" s="71">
        <f ca="1">IFERROR(__xludf.DUMMYFUNCTION("""COMPUTED_VALUE"""),103056138)</f>
        <v>103056138</v>
      </c>
      <c r="L108" s="72">
        <f ca="1">IFERROR(__xludf.DUMMYFUNCTION("""COMPUTED_VALUE"""),0.972227716981132)</f>
        <v>0.97222771698113197</v>
      </c>
      <c r="M108" s="10">
        <f ca="1">IFERROR(__xludf.DUMMYFUNCTION("""COMPUTED_VALUE"""),1056)</f>
        <v>1056</v>
      </c>
      <c r="N108" s="10" t="str">
        <f ca="1">IFERROR(__xludf.DUMMYFUNCTION("""COMPUTED_VALUE"""),"PMU")</f>
        <v>PMU</v>
      </c>
      <c r="O108" s="1"/>
      <c r="P108" s="1"/>
      <c r="Q108" s="1"/>
      <c r="R108" s="1"/>
      <c r="S108" s="1"/>
      <c r="T108" s="1"/>
      <c r="U108" s="1"/>
      <c r="V108" s="1"/>
      <c r="W108" s="1"/>
      <c r="X108" s="1"/>
      <c r="Y108" s="1"/>
      <c r="Z108" s="1"/>
    </row>
    <row r="109" spans="1:26" ht="12.75" customHeight="1">
      <c r="A109" s="1"/>
      <c r="B109" s="10" t="str">
        <f ca="1">IFERROR(__xludf.DUMMYFUNCTION("""COMPUTED_VALUE"""),"REPOSICION VEREDA CALLE LIBERTAD LADO OESTE, LOS ALAMOS")</f>
        <v>REPOSICION VEREDA CALLE LIBERTAD LADO OESTE, LOS ALAMOS</v>
      </c>
      <c r="C109" s="10" t="str">
        <f ca="1">IFERROR(__xludf.DUMMYFUNCTION("""COMPUTED_VALUE"""),"1-K-2023-269")</f>
        <v>1-K-2023-269</v>
      </c>
      <c r="D109" s="26" t="str">
        <f t="shared" ca="1" si="0"/>
        <v xml:space="preserve"> LOS ÁLAMOS</v>
      </c>
      <c r="E109" s="10" t="str">
        <f ca="1">IFERROR(__xludf.DUMMYFUNCTION("""COMPUTED_VALUE"""),"Guía Operativa")</f>
        <v>Guía Operativa</v>
      </c>
      <c r="F109" s="10" t="str">
        <f ca="1">IFERROR(__xludf.DUMMYFUNCTION("""COMPUTED_VALUE"""),"MUNICIPALIDAD DE LOS ÁLAMOS")</f>
        <v>MUNICIPALIDAD DE LOS ÁLAMOS</v>
      </c>
      <c r="G109" s="71">
        <f ca="1">IFERROR(__xludf.DUMMYFUNCTION("""COMPUTED_VALUE"""),106000000)</f>
        <v>106000000</v>
      </c>
      <c r="H109" s="10" t="str">
        <f ca="1">IFERROR(__xludf.DUMMYFUNCTION("""COMPUTED_VALUE"""),"Resolución")</f>
        <v>Resolución</v>
      </c>
      <c r="I109" s="10" t="str">
        <f ca="1">IFERROR(__xludf.DUMMYFUNCTION("""COMPUTED_VALUE"""),"OBRA")</f>
        <v>OBRA</v>
      </c>
      <c r="J109" s="10" t="str">
        <f ca="1">IFERROR(__xludf.DUMMYFUNCTION("""COMPUTED_VALUE"""),"Cumplir con normativa y reglamentos internos del programa en base a los objetivos.")</f>
        <v>Cumplir con normativa y reglamentos internos del programa en base a los objetivos.</v>
      </c>
      <c r="K109" s="71">
        <f ca="1">IFERROR(__xludf.DUMMYFUNCTION("""COMPUTED_VALUE"""),102891684)</f>
        <v>102891684</v>
      </c>
      <c r="L109" s="72">
        <f ca="1">IFERROR(__xludf.DUMMYFUNCTION("""COMPUTED_VALUE"""),0.970676264150943)</f>
        <v>0.97067626415094299</v>
      </c>
      <c r="M109" s="10">
        <f ca="1">IFERROR(__xludf.DUMMYFUNCTION("""COMPUTED_VALUE"""),1058)</f>
        <v>1058</v>
      </c>
      <c r="N109" s="10" t="str">
        <f ca="1">IFERROR(__xludf.DUMMYFUNCTION("""COMPUTED_VALUE"""),"PMU")</f>
        <v>PMU</v>
      </c>
      <c r="O109" s="1"/>
      <c r="P109" s="1"/>
      <c r="Q109" s="1"/>
      <c r="R109" s="1"/>
      <c r="S109" s="1"/>
      <c r="T109" s="1"/>
      <c r="U109" s="1"/>
      <c r="V109" s="1"/>
      <c r="W109" s="1"/>
      <c r="X109" s="1"/>
      <c r="Y109" s="1"/>
      <c r="Z109" s="1"/>
    </row>
    <row r="110" spans="1:26" ht="12.75" customHeight="1">
      <c r="A110" s="1"/>
      <c r="B110" s="10" t="str">
        <f ca="1">IFERROR(__xludf.DUMMYFUNCTION("""COMPUTED_VALUE"""),"REPOSICION VEREDA CALLE LOS PEUMOS LADO ESTE CERRO ALTO, LOS ALAMOS")</f>
        <v>REPOSICION VEREDA CALLE LOS PEUMOS LADO ESTE CERRO ALTO, LOS ALAMOS</v>
      </c>
      <c r="C110" s="10" t="str">
        <f ca="1">IFERROR(__xludf.DUMMYFUNCTION("""COMPUTED_VALUE"""),"1-K-2023-270")</f>
        <v>1-K-2023-270</v>
      </c>
      <c r="D110" s="26" t="str">
        <f t="shared" ca="1" si="0"/>
        <v xml:space="preserve"> LOS ÁLAMOS</v>
      </c>
      <c r="E110" s="10" t="str">
        <f ca="1">IFERROR(__xludf.DUMMYFUNCTION("""COMPUTED_VALUE"""),"Guía Operativa")</f>
        <v>Guía Operativa</v>
      </c>
      <c r="F110" s="10" t="str">
        <f ca="1">IFERROR(__xludf.DUMMYFUNCTION("""COMPUTED_VALUE"""),"MUNICIPALIDAD DE LOS ÁLAMOS")</f>
        <v>MUNICIPALIDAD DE LOS ÁLAMOS</v>
      </c>
      <c r="G110" s="71">
        <f ca="1">IFERROR(__xludf.DUMMYFUNCTION("""COMPUTED_VALUE"""),106000000)</f>
        <v>106000000</v>
      </c>
      <c r="H110" s="10" t="str">
        <f ca="1">IFERROR(__xludf.DUMMYFUNCTION("""COMPUTED_VALUE"""),"Resolución")</f>
        <v>Resolución</v>
      </c>
      <c r="I110" s="10" t="str">
        <f ca="1">IFERROR(__xludf.DUMMYFUNCTION("""COMPUTED_VALUE"""),"OBRA")</f>
        <v>OBRA</v>
      </c>
      <c r="J110" s="10" t="str">
        <f ca="1">IFERROR(__xludf.DUMMYFUNCTION("""COMPUTED_VALUE"""),"Cumplir con normativa y reglamentos internos del programa en base a los objetivos.")</f>
        <v>Cumplir con normativa y reglamentos internos del programa en base a los objetivos.</v>
      </c>
      <c r="K110" s="71">
        <f ca="1">IFERROR(__xludf.DUMMYFUNCTION("""COMPUTED_VALUE"""),102891684)</f>
        <v>102891684</v>
      </c>
      <c r="L110" s="72">
        <f ca="1">IFERROR(__xludf.DUMMYFUNCTION("""COMPUTED_VALUE"""),0.970676264150943)</f>
        <v>0.97067626415094299</v>
      </c>
      <c r="M110" s="10">
        <f ca="1">IFERROR(__xludf.DUMMYFUNCTION("""COMPUTED_VALUE"""),1058)</f>
        <v>1058</v>
      </c>
      <c r="N110" s="10" t="str">
        <f ca="1">IFERROR(__xludf.DUMMYFUNCTION("""COMPUTED_VALUE"""),"PMU")</f>
        <v>PMU</v>
      </c>
      <c r="O110" s="1"/>
      <c r="P110" s="1"/>
      <c r="Q110" s="1"/>
      <c r="R110" s="1"/>
      <c r="S110" s="1"/>
      <c r="T110" s="1"/>
      <c r="U110" s="1"/>
      <c r="V110" s="1"/>
      <c r="W110" s="1"/>
      <c r="X110" s="1"/>
      <c r="Y110" s="1"/>
      <c r="Z110" s="1"/>
    </row>
    <row r="111" spans="1:26" ht="12.75" customHeight="1">
      <c r="A111" s="1"/>
      <c r="B111" s="10" t="str">
        <f ca="1">IFERROR(__xludf.DUMMYFUNCTION("""COMPUTED_VALUE"""),"REPOSICION VEREDA CALLE O'HIGGINS LADO NORTE, LOS ALAMOS")</f>
        <v>REPOSICION VEREDA CALLE O'HIGGINS LADO NORTE, LOS ALAMOS</v>
      </c>
      <c r="C111" s="10" t="str">
        <f ca="1">IFERROR(__xludf.DUMMYFUNCTION("""COMPUTED_VALUE"""),"1-K-2023-271")</f>
        <v>1-K-2023-271</v>
      </c>
      <c r="D111" s="26" t="str">
        <f t="shared" ca="1" si="0"/>
        <v xml:space="preserve"> LOS ÁLAMOS</v>
      </c>
      <c r="E111" s="10" t="str">
        <f ca="1">IFERROR(__xludf.DUMMYFUNCTION("""COMPUTED_VALUE"""),"Guía Operativa")</f>
        <v>Guía Operativa</v>
      </c>
      <c r="F111" s="10" t="str">
        <f ca="1">IFERROR(__xludf.DUMMYFUNCTION("""COMPUTED_VALUE"""),"MUNICIPALIDAD DE LOS ÁLAMOS")</f>
        <v>MUNICIPALIDAD DE LOS ÁLAMOS</v>
      </c>
      <c r="G111" s="71">
        <f ca="1">IFERROR(__xludf.DUMMYFUNCTION("""COMPUTED_VALUE"""),106000000)</f>
        <v>106000000</v>
      </c>
      <c r="H111" s="10" t="str">
        <f ca="1">IFERROR(__xludf.DUMMYFUNCTION("""COMPUTED_VALUE"""),"Resolución")</f>
        <v>Resolución</v>
      </c>
      <c r="I111" s="10" t="str">
        <f ca="1">IFERROR(__xludf.DUMMYFUNCTION("""COMPUTED_VALUE"""),"OBRA")</f>
        <v>OBRA</v>
      </c>
      <c r="J111" s="10" t="str">
        <f ca="1">IFERROR(__xludf.DUMMYFUNCTION("""COMPUTED_VALUE"""),"Cumplir con normativa y reglamentos internos del programa en base a los objetivos.")</f>
        <v>Cumplir con normativa y reglamentos internos del programa en base a los objetivos.</v>
      </c>
      <c r="K111" s="71">
        <f ca="1">IFERROR(__xludf.DUMMYFUNCTION("""COMPUTED_VALUE"""),102854682)</f>
        <v>102854682</v>
      </c>
      <c r="L111" s="72">
        <f ca="1">IFERROR(__xludf.DUMMYFUNCTION("""COMPUTED_VALUE"""),0.970327188679245)</f>
        <v>0.97032718867924495</v>
      </c>
      <c r="M111" s="10">
        <f ca="1">IFERROR(__xludf.DUMMYFUNCTION("""COMPUTED_VALUE"""),1058)</f>
        <v>1058</v>
      </c>
      <c r="N111" s="10" t="str">
        <f ca="1">IFERROR(__xludf.DUMMYFUNCTION("""COMPUTED_VALUE"""),"PMU")</f>
        <v>PMU</v>
      </c>
      <c r="O111" s="1"/>
      <c r="P111" s="1"/>
      <c r="Q111" s="1"/>
      <c r="R111" s="1"/>
      <c r="S111" s="1"/>
      <c r="T111" s="1"/>
      <c r="U111" s="1"/>
      <c r="V111" s="1"/>
      <c r="W111" s="1"/>
      <c r="X111" s="1"/>
      <c r="Y111" s="1"/>
      <c r="Z111" s="1"/>
    </row>
    <row r="112" spans="1:26" ht="12.75" customHeight="1">
      <c r="A112" s="1"/>
      <c r="B112" s="10" t="str">
        <f ca="1">IFERROR(__xludf.DUMMYFUNCTION("""COMPUTED_VALUE"""),"REPOSICION VEREDA CALLE TENIENTE MERINO LADO ESTE, LOS ALAMOS")</f>
        <v>REPOSICION VEREDA CALLE TENIENTE MERINO LADO ESTE, LOS ALAMOS</v>
      </c>
      <c r="C112" s="10" t="str">
        <f ca="1">IFERROR(__xludf.DUMMYFUNCTION("""COMPUTED_VALUE"""),"1-K-2023-272")</f>
        <v>1-K-2023-272</v>
      </c>
      <c r="D112" s="26" t="str">
        <f t="shared" ca="1" si="0"/>
        <v xml:space="preserve"> LOS ÁLAMOS</v>
      </c>
      <c r="E112" s="10" t="str">
        <f ca="1">IFERROR(__xludf.DUMMYFUNCTION("""COMPUTED_VALUE"""),"Guía Operativa")</f>
        <v>Guía Operativa</v>
      </c>
      <c r="F112" s="10" t="str">
        <f ca="1">IFERROR(__xludf.DUMMYFUNCTION("""COMPUTED_VALUE"""),"MUNICIPALIDAD DE LOS ÁLAMOS")</f>
        <v>MUNICIPALIDAD DE LOS ÁLAMOS</v>
      </c>
      <c r="G112" s="71">
        <f ca="1">IFERROR(__xludf.DUMMYFUNCTION("""COMPUTED_VALUE"""),106000000)</f>
        <v>106000000</v>
      </c>
      <c r="H112" s="10" t="str">
        <f ca="1">IFERROR(__xludf.DUMMYFUNCTION("""COMPUTED_VALUE"""),"Resolución")</f>
        <v>Resolución</v>
      </c>
      <c r="I112" s="10" t="str">
        <f ca="1">IFERROR(__xludf.DUMMYFUNCTION("""COMPUTED_VALUE"""),"OBRA")</f>
        <v>OBRA</v>
      </c>
      <c r="J112" s="10" t="str">
        <f ca="1">IFERROR(__xludf.DUMMYFUNCTION("""COMPUTED_VALUE"""),"Cumplir con normativa y reglamentos internos del programa en base a los objetivos.")</f>
        <v>Cumplir con normativa y reglamentos internos del programa en base a los objetivos.</v>
      </c>
      <c r="K112" s="71">
        <f ca="1">IFERROR(__xludf.DUMMYFUNCTION("""COMPUTED_VALUE"""),102854682)</f>
        <v>102854682</v>
      </c>
      <c r="L112" s="72">
        <f ca="1">IFERROR(__xludf.DUMMYFUNCTION("""COMPUTED_VALUE"""),0.970327188679245)</f>
        <v>0.97032718867924495</v>
      </c>
      <c r="M112" s="10">
        <f ca="1">IFERROR(__xludf.DUMMYFUNCTION("""COMPUTED_VALUE"""),1056)</f>
        <v>1056</v>
      </c>
      <c r="N112" s="10" t="str">
        <f ca="1">IFERROR(__xludf.DUMMYFUNCTION("""COMPUTED_VALUE"""),"PMU")</f>
        <v>PMU</v>
      </c>
      <c r="O112" s="1"/>
      <c r="P112" s="1"/>
      <c r="Q112" s="1"/>
      <c r="R112" s="1"/>
      <c r="S112" s="1"/>
      <c r="T112" s="1"/>
      <c r="U112" s="1"/>
      <c r="V112" s="1"/>
      <c r="W112" s="1"/>
      <c r="X112" s="1"/>
      <c r="Y112" s="1"/>
      <c r="Z112" s="1"/>
    </row>
    <row r="113" spans="1:26" ht="12.75" customHeight="1">
      <c r="A113" s="1"/>
      <c r="B113" s="10" t="str">
        <f ca="1">IFERROR(__xludf.DUMMYFUNCTION("""COMPUTED_VALUE"""),"REPOSICION VEREDA CALLE TRIHUECO SECTOR LICEO CRISTO REDENTOR, LOS ALAMOS")</f>
        <v>REPOSICION VEREDA CALLE TRIHUECO SECTOR LICEO CRISTO REDENTOR, LOS ALAMOS</v>
      </c>
      <c r="C113" s="10" t="str">
        <f ca="1">IFERROR(__xludf.DUMMYFUNCTION("""COMPUTED_VALUE"""),"1-K-2023-273")</f>
        <v>1-K-2023-273</v>
      </c>
      <c r="D113" s="26" t="str">
        <f t="shared" ca="1" si="0"/>
        <v xml:space="preserve"> LOS ÁLAMOS</v>
      </c>
      <c r="E113" s="10" t="str">
        <f ca="1">IFERROR(__xludf.DUMMYFUNCTION("""COMPUTED_VALUE"""),"Guía Operativa")</f>
        <v>Guía Operativa</v>
      </c>
      <c r="F113" s="10" t="str">
        <f ca="1">IFERROR(__xludf.DUMMYFUNCTION("""COMPUTED_VALUE"""),"MUNICIPALIDAD DE LOS ÁLAMOS")</f>
        <v>MUNICIPALIDAD DE LOS ÁLAMOS</v>
      </c>
      <c r="G113" s="71">
        <f ca="1">IFERROR(__xludf.DUMMYFUNCTION("""COMPUTED_VALUE"""),106000000)</f>
        <v>106000000</v>
      </c>
      <c r="H113" s="10" t="str">
        <f ca="1">IFERROR(__xludf.DUMMYFUNCTION("""COMPUTED_VALUE"""),"Resolución")</f>
        <v>Resolución</v>
      </c>
      <c r="I113" s="10" t="str">
        <f ca="1">IFERROR(__xludf.DUMMYFUNCTION("""COMPUTED_VALUE"""),"OBRA")</f>
        <v>OBRA</v>
      </c>
      <c r="J113" s="10" t="str">
        <f ca="1">IFERROR(__xludf.DUMMYFUNCTION("""COMPUTED_VALUE"""),"Cumplir con normativa y reglamentos internos del programa en base a los objetivos.")</f>
        <v>Cumplir con normativa y reglamentos internos del programa en base a los objetivos.</v>
      </c>
      <c r="K113" s="71">
        <f ca="1">IFERROR(__xludf.DUMMYFUNCTION("""COMPUTED_VALUE"""),102844980)</f>
        <v>102844980</v>
      </c>
      <c r="L113" s="72">
        <f ca="1">IFERROR(__xludf.DUMMYFUNCTION("""COMPUTED_VALUE"""),0.970235660377358)</f>
        <v>0.97023566037735798</v>
      </c>
      <c r="M113" s="10">
        <f ca="1">IFERROR(__xludf.DUMMYFUNCTION("""COMPUTED_VALUE"""),1056)</f>
        <v>1056</v>
      </c>
      <c r="N113" s="10" t="str">
        <f ca="1">IFERROR(__xludf.DUMMYFUNCTION("""COMPUTED_VALUE"""),"PMU")</f>
        <v>PMU</v>
      </c>
      <c r="O113" s="1"/>
      <c r="P113" s="1"/>
      <c r="Q113" s="1"/>
      <c r="R113" s="1"/>
      <c r="S113" s="1"/>
      <c r="T113" s="1"/>
      <c r="U113" s="1"/>
      <c r="V113" s="1"/>
      <c r="W113" s="1"/>
      <c r="X113" s="1"/>
      <c r="Y113" s="1"/>
      <c r="Z113" s="1"/>
    </row>
    <row r="114" spans="1:26" ht="12.75" customHeight="1">
      <c r="A114" s="1"/>
      <c r="B114" s="10" t="str">
        <f ca="1">IFERROR(__xludf.DUMMYFUNCTION("""COMPUTED_VALUE"""),"REPOSICION BARANDAS SECTOR LA LAGUNA SANTA ROSA, LEBU")</f>
        <v>REPOSICION BARANDAS SECTOR LA LAGUNA SANTA ROSA, LEBU</v>
      </c>
      <c r="C114" s="10" t="str">
        <f ca="1">IFERROR(__xludf.DUMMYFUNCTION("""COMPUTED_VALUE"""),"1-K-2023-274")</f>
        <v>1-K-2023-274</v>
      </c>
      <c r="D114" s="26" t="str">
        <f t="shared" ca="1" si="0"/>
        <v xml:space="preserve"> LEBU</v>
      </c>
      <c r="E114" s="10" t="str">
        <f ca="1">IFERROR(__xludf.DUMMYFUNCTION("""COMPUTED_VALUE"""),"Guía Operativa")</f>
        <v>Guía Operativa</v>
      </c>
      <c r="F114" s="10" t="str">
        <f ca="1">IFERROR(__xludf.DUMMYFUNCTION("""COMPUTED_VALUE"""),"MUNICIPALIDAD DE LEBU")</f>
        <v>MUNICIPALIDAD DE LEBU</v>
      </c>
      <c r="G114" s="71">
        <f ca="1">IFERROR(__xludf.DUMMYFUNCTION("""COMPUTED_VALUE"""),129000000)</f>
        <v>129000000</v>
      </c>
      <c r="H114" s="10" t="str">
        <f ca="1">IFERROR(__xludf.DUMMYFUNCTION("""COMPUTED_VALUE"""),"Resolución")</f>
        <v>Resolución</v>
      </c>
      <c r="I114" s="10" t="str">
        <f ca="1">IFERROR(__xludf.DUMMYFUNCTION("""COMPUTED_VALUE"""),"OBRA")</f>
        <v>OBRA</v>
      </c>
      <c r="J114" s="10" t="str">
        <f ca="1">IFERROR(__xludf.DUMMYFUNCTION("""COMPUTED_VALUE"""),"Cumplir con normativa y reglamentos internos del programa en base a los objetivos.")</f>
        <v>Cumplir con normativa y reglamentos internos del programa en base a los objetivos.</v>
      </c>
      <c r="K114" s="71">
        <f ca="1">IFERROR(__xludf.DUMMYFUNCTION("""COMPUTED_VALUE"""),129230625)</f>
        <v>129230625</v>
      </c>
      <c r="L114" s="72">
        <f ca="1">IFERROR(__xludf.DUMMYFUNCTION("""COMPUTED_VALUE"""),1.00178779069767)</f>
        <v>1.00178779069767</v>
      </c>
      <c r="M114" s="10">
        <f ca="1">IFERROR(__xludf.DUMMYFUNCTION("""COMPUTED_VALUE"""),1029)</f>
        <v>1029</v>
      </c>
      <c r="N114" s="10" t="str">
        <f ca="1">IFERROR(__xludf.DUMMYFUNCTION("""COMPUTED_VALUE"""),"PMU")</f>
        <v>PMU</v>
      </c>
      <c r="O114" s="1"/>
      <c r="P114" s="1"/>
      <c r="Q114" s="1"/>
      <c r="R114" s="1"/>
      <c r="S114" s="1"/>
      <c r="T114" s="1"/>
      <c r="U114" s="1"/>
      <c r="V114" s="1"/>
      <c r="W114" s="1"/>
      <c r="X114" s="1"/>
      <c r="Y114" s="1"/>
      <c r="Z114" s="1"/>
    </row>
    <row r="115" spans="1:26" ht="12.75" customHeight="1">
      <c r="A115" s="1"/>
      <c r="B115" s="10" t="str">
        <f ca="1">IFERROR(__xludf.DUMMYFUNCTION("""COMPUTED_VALUE"""),"CONSTRUCCIÓN DE ALUMBRADO PÚBLICO CALLE LOS PEHUENCHES, SANTA ROSA, LEBU")</f>
        <v>CONSTRUCCIÓN DE ALUMBRADO PÚBLICO CALLE LOS PEHUENCHES, SANTA ROSA, LEBU</v>
      </c>
      <c r="C115" s="10" t="str">
        <f ca="1">IFERROR(__xludf.DUMMYFUNCTION("""COMPUTED_VALUE"""),"1-K-2023-275")</f>
        <v>1-K-2023-275</v>
      </c>
      <c r="D115" s="26" t="str">
        <f t="shared" ca="1" si="0"/>
        <v xml:space="preserve"> LEBU</v>
      </c>
      <c r="E115" s="10" t="str">
        <f ca="1">IFERROR(__xludf.DUMMYFUNCTION("""COMPUTED_VALUE"""),"Guía Operativa")</f>
        <v>Guía Operativa</v>
      </c>
      <c r="F115" s="10" t="str">
        <f ca="1">IFERROR(__xludf.DUMMYFUNCTION("""COMPUTED_VALUE"""),"MUNICIPALIDAD DE LEBU")</f>
        <v>MUNICIPALIDAD DE LEBU</v>
      </c>
      <c r="G115" s="71">
        <f ca="1">IFERROR(__xludf.DUMMYFUNCTION("""COMPUTED_VALUE"""),72443362)</f>
        <v>72443362</v>
      </c>
      <c r="H115" s="10" t="str">
        <f ca="1">IFERROR(__xludf.DUMMYFUNCTION("""COMPUTED_VALUE"""),"Resolución")</f>
        <v>Resolución</v>
      </c>
      <c r="I115" s="10" t="str">
        <f ca="1">IFERROR(__xludf.DUMMYFUNCTION("""COMPUTED_VALUE"""),"OBRA")</f>
        <v>OBRA</v>
      </c>
      <c r="J115" s="10" t="str">
        <f ca="1">IFERROR(__xludf.DUMMYFUNCTION("""COMPUTED_VALUE"""),"Cumplir con normativa y reglamentos internos del programa en base a los objetivos.")</f>
        <v>Cumplir con normativa y reglamentos internos del programa en base a los objetivos.</v>
      </c>
      <c r="K115" s="71">
        <f ca="1">IFERROR(__xludf.DUMMYFUNCTION("""COMPUTED_VALUE"""),72443362)</f>
        <v>72443362</v>
      </c>
      <c r="L115" s="72">
        <f ca="1">IFERROR(__xludf.DUMMYFUNCTION("""COMPUTED_VALUE"""),1)</f>
        <v>1</v>
      </c>
      <c r="M115" s="10">
        <f ca="1">IFERROR(__xludf.DUMMYFUNCTION("""COMPUTED_VALUE"""),1029)</f>
        <v>1029</v>
      </c>
      <c r="N115" s="10" t="str">
        <f ca="1">IFERROR(__xludf.DUMMYFUNCTION("""COMPUTED_VALUE"""),"PMU")</f>
        <v>PMU</v>
      </c>
      <c r="O115" s="1"/>
      <c r="P115" s="1"/>
      <c r="Q115" s="1"/>
      <c r="R115" s="1"/>
      <c r="S115" s="1"/>
      <c r="T115" s="1"/>
      <c r="U115" s="1"/>
      <c r="V115" s="1"/>
      <c r="W115" s="1"/>
      <c r="X115" s="1"/>
      <c r="Y115" s="1"/>
      <c r="Z115" s="1"/>
    </row>
    <row r="116" spans="1:26" ht="12.75" customHeight="1">
      <c r="A116" s="1"/>
      <c r="B116" s="10" t="str">
        <f ca="1">IFERROR(__xludf.DUMMYFUNCTION("""COMPUTED_VALUE"""),"CSV CONSTRUCCION ILUMINACION PEATONAL ZONA PONIENTE,COMUNA DE MELIPILLA")</f>
        <v>CSV CONSTRUCCION ILUMINACION PEATONAL ZONA PONIENTE,COMUNA DE MELIPILLA</v>
      </c>
      <c r="C116" s="10" t="str">
        <f ca="1">IFERROR(__xludf.DUMMYFUNCTION("""COMPUTED_VALUE"""),"1-C-2023-2520")</f>
        <v>1-C-2023-2520</v>
      </c>
      <c r="D116" s="26" t="str">
        <f t="shared" ca="1" si="0"/>
        <v xml:space="preserve"> MELIPILLA</v>
      </c>
      <c r="E116" s="10" t="str">
        <f ca="1">IFERROR(__xludf.DUMMYFUNCTION("""COMPUTED_VALUE"""),"Guía Operativa")</f>
        <v>Guía Operativa</v>
      </c>
      <c r="F116" s="10" t="str">
        <f ca="1">IFERROR(__xludf.DUMMYFUNCTION("""COMPUTED_VALUE"""),"MUNICIPALIDAD DE MELIPILLA")</f>
        <v>MUNICIPALIDAD DE MELIPILLA</v>
      </c>
      <c r="G116" s="71">
        <f ca="1">IFERROR(__xludf.DUMMYFUNCTION("""COMPUTED_VALUE"""),116000000)</f>
        <v>116000000</v>
      </c>
      <c r="H116" s="10" t="str">
        <f ca="1">IFERROR(__xludf.DUMMYFUNCTION("""COMPUTED_VALUE"""),"Resolución")</f>
        <v>Resolución</v>
      </c>
      <c r="I116" s="10" t="str">
        <f ca="1">IFERROR(__xludf.DUMMYFUNCTION("""COMPUTED_VALUE"""),"OBRA")</f>
        <v>OBRA</v>
      </c>
      <c r="J116" s="10" t="str">
        <f ca="1">IFERROR(__xludf.DUMMYFUNCTION("""COMPUTED_VALUE"""),"Cumplir con normativa y reglamentos internos del programa en base a los objetivos.")</f>
        <v>Cumplir con normativa y reglamentos internos del programa en base a los objetivos.</v>
      </c>
      <c r="K116" s="71">
        <f ca="1">IFERROR(__xludf.DUMMYFUNCTION("""COMPUTED_VALUE"""),116468460)</f>
        <v>116468460</v>
      </c>
      <c r="L116" s="72">
        <f ca="1">IFERROR(__xludf.DUMMYFUNCTION("""COMPUTED_VALUE"""),1.00403844827586)</f>
        <v>1.00403844827586</v>
      </c>
      <c r="M116" s="10">
        <f ca="1">IFERROR(__xludf.DUMMYFUNCTION("""COMPUTED_VALUE"""),637)</f>
        <v>637</v>
      </c>
      <c r="N116" s="10" t="str">
        <f ca="1">IFERROR(__xludf.DUMMYFUNCTION("""COMPUTED_VALUE"""),"PMU")</f>
        <v>PMU</v>
      </c>
      <c r="O116" s="1"/>
      <c r="P116" s="1"/>
      <c r="Q116" s="1"/>
      <c r="R116" s="1"/>
      <c r="S116" s="1"/>
      <c r="T116" s="1"/>
      <c r="U116" s="1"/>
      <c r="V116" s="1"/>
      <c r="W116" s="1"/>
      <c r="X116" s="1"/>
      <c r="Y116" s="1"/>
      <c r="Z116" s="1"/>
    </row>
    <row r="117" spans="1:26" ht="12.75" customHeight="1">
      <c r="A117" s="1"/>
      <c r="B117" s="10" t="str">
        <f ca="1">IFERROR(__xludf.DUMMYFUNCTION("""COMPUTED_VALUE"""),"CSV CONSTRUCCION ILUMINACION PEATONAL ZONA SUR,COMUNA DE MELIPILLA")</f>
        <v>CSV CONSTRUCCION ILUMINACION PEATONAL ZONA SUR,COMUNA DE MELIPILLA</v>
      </c>
      <c r="C117" s="10" t="str">
        <f ca="1">IFERROR(__xludf.DUMMYFUNCTION("""COMPUTED_VALUE"""),"1-C-2023-2521")</f>
        <v>1-C-2023-2521</v>
      </c>
      <c r="D117" s="26" t="str">
        <f t="shared" ca="1" si="0"/>
        <v xml:space="preserve"> MELIPILLA</v>
      </c>
      <c r="E117" s="10" t="str">
        <f ca="1">IFERROR(__xludf.DUMMYFUNCTION("""COMPUTED_VALUE"""),"Guía Operativa")</f>
        <v>Guía Operativa</v>
      </c>
      <c r="F117" s="10" t="str">
        <f ca="1">IFERROR(__xludf.DUMMYFUNCTION("""COMPUTED_VALUE"""),"MUNICIPALIDAD DE MELIPILLA")</f>
        <v>MUNICIPALIDAD DE MELIPILLA</v>
      </c>
      <c r="G117" s="71">
        <f ca="1">IFERROR(__xludf.DUMMYFUNCTION("""COMPUTED_VALUE"""),121000000)</f>
        <v>121000000</v>
      </c>
      <c r="H117" s="10" t="str">
        <f ca="1">IFERROR(__xludf.DUMMYFUNCTION("""COMPUTED_VALUE"""),"Resolución")</f>
        <v>Resolución</v>
      </c>
      <c r="I117" s="10" t="str">
        <f ca="1">IFERROR(__xludf.DUMMYFUNCTION("""COMPUTED_VALUE"""),"OBRA")</f>
        <v>OBRA</v>
      </c>
      <c r="J117" s="10" t="str">
        <f ca="1">IFERROR(__xludf.DUMMYFUNCTION("""COMPUTED_VALUE"""),"Cumplir con normativa y reglamentos internos del programa en base a los objetivos.")</f>
        <v>Cumplir con normativa y reglamentos internos del programa en base a los objetivos.</v>
      </c>
      <c r="K117" s="71">
        <f ca="1">IFERROR(__xludf.DUMMYFUNCTION("""COMPUTED_VALUE"""),120911562)</f>
        <v>120911562</v>
      </c>
      <c r="L117" s="72">
        <f ca="1">IFERROR(__xludf.DUMMYFUNCTION("""COMPUTED_VALUE"""),0.999269107438016)</f>
        <v>0.999269107438016</v>
      </c>
      <c r="M117" s="10">
        <f ca="1">IFERROR(__xludf.DUMMYFUNCTION("""COMPUTED_VALUE"""),637)</f>
        <v>637</v>
      </c>
      <c r="N117" s="10" t="str">
        <f ca="1">IFERROR(__xludf.DUMMYFUNCTION("""COMPUTED_VALUE"""),"PMU")</f>
        <v>PMU</v>
      </c>
      <c r="O117" s="1"/>
      <c r="P117" s="1"/>
      <c r="Q117" s="1"/>
      <c r="R117" s="1"/>
      <c r="S117" s="1"/>
      <c r="T117" s="1"/>
      <c r="U117" s="1"/>
      <c r="V117" s="1"/>
      <c r="W117" s="1"/>
      <c r="X117" s="1"/>
      <c r="Y117" s="1"/>
      <c r="Z117" s="1"/>
    </row>
    <row r="118" spans="1:26" ht="12.75" customHeight="1">
      <c r="A118" s="1"/>
      <c r="B118" s="10" t="str">
        <f ca="1">IFERROR(__xludf.DUMMYFUNCTION("""COMPUTED_VALUE"""),"CSV CONSTRUCCION ILUMINACION PEATONAL ZONA CENTRO,COMUNA DE MELIPILLA")</f>
        <v>CSV CONSTRUCCION ILUMINACION PEATONAL ZONA CENTRO,COMUNA DE MELIPILLA</v>
      </c>
      <c r="C118" s="10" t="str">
        <f ca="1">IFERROR(__xludf.DUMMYFUNCTION("""COMPUTED_VALUE"""),"1-C-2023-2523")</f>
        <v>1-C-2023-2523</v>
      </c>
      <c r="D118" s="26" t="str">
        <f t="shared" ca="1" si="0"/>
        <v xml:space="preserve"> MELIPILLA</v>
      </c>
      <c r="E118" s="10" t="str">
        <f ca="1">IFERROR(__xludf.DUMMYFUNCTION("""COMPUTED_VALUE"""),"Guía Operativa")</f>
        <v>Guía Operativa</v>
      </c>
      <c r="F118" s="10" t="str">
        <f ca="1">IFERROR(__xludf.DUMMYFUNCTION("""COMPUTED_VALUE"""),"MUNICIPALIDAD DE MELIPILLA")</f>
        <v>MUNICIPALIDAD DE MELIPILLA</v>
      </c>
      <c r="G118" s="71">
        <f ca="1">IFERROR(__xludf.DUMMYFUNCTION("""COMPUTED_VALUE"""),119000000)</f>
        <v>119000000</v>
      </c>
      <c r="H118" s="10" t="str">
        <f ca="1">IFERROR(__xludf.DUMMYFUNCTION("""COMPUTED_VALUE"""),"Resolución")</f>
        <v>Resolución</v>
      </c>
      <c r="I118" s="10" t="str">
        <f ca="1">IFERROR(__xludf.DUMMYFUNCTION("""COMPUTED_VALUE"""),"OBRA")</f>
        <v>OBRA</v>
      </c>
      <c r="J118" s="10" t="str">
        <f ca="1">IFERROR(__xludf.DUMMYFUNCTION("""COMPUTED_VALUE"""),"Cumplir con normativa y reglamentos internos del programa en base a los objetivos.")</f>
        <v>Cumplir con normativa y reglamentos internos del programa en base a los objetivos.</v>
      </c>
      <c r="K118" s="71">
        <f ca="1">IFERROR(__xludf.DUMMYFUNCTION("""COMPUTED_VALUE"""),119021749)</f>
        <v>119021749</v>
      </c>
      <c r="L118" s="72">
        <f ca="1">IFERROR(__xludf.DUMMYFUNCTION("""COMPUTED_VALUE"""),1.00018276470588)</f>
        <v>1.0001827647058801</v>
      </c>
      <c r="M118" s="10">
        <f ca="1">IFERROR(__xludf.DUMMYFUNCTION("""COMPUTED_VALUE"""),637)</f>
        <v>637</v>
      </c>
      <c r="N118" s="10" t="str">
        <f ca="1">IFERROR(__xludf.DUMMYFUNCTION("""COMPUTED_VALUE"""),"PMU")</f>
        <v>PMU</v>
      </c>
      <c r="O118" s="1"/>
      <c r="P118" s="1"/>
      <c r="Q118" s="1"/>
      <c r="R118" s="1"/>
      <c r="S118" s="1"/>
      <c r="T118" s="1"/>
      <c r="U118" s="1"/>
      <c r="V118" s="1"/>
      <c r="W118" s="1"/>
      <c r="X118" s="1"/>
      <c r="Y118" s="1"/>
      <c r="Z118" s="1"/>
    </row>
    <row r="119" spans="1:26" ht="12.75" customHeight="1">
      <c r="A119" s="1"/>
      <c r="B119" s="10" t="str">
        <f ca="1">IFERROR(__xludf.DUMMYFUNCTION("""COMPUTED_VALUE"""),"MEJORAMIENTO ESPACIO PÚBLICO ENTORNO CENTRO PENITENCIARIO FEMENINO, SAN MIGUEL")</f>
        <v>MEJORAMIENTO ESPACIO PÚBLICO ENTORNO CENTRO PENITENCIARIO FEMENINO, SAN MIGUEL</v>
      </c>
      <c r="C119" s="10" t="str">
        <f ca="1">IFERROR(__xludf.DUMMYFUNCTION("""COMPUTED_VALUE"""),"1-C-2023-2580")</f>
        <v>1-C-2023-2580</v>
      </c>
      <c r="D119" s="26" t="str">
        <f t="shared" ca="1" si="0"/>
        <v xml:space="preserve"> SAN MIGUEL</v>
      </c>
      <c r="E119" s="10" t="str">
        <f ca="1">IFERROR(__xludf.DUMMYFUNCTION("""COMPUTED_VALUE"""),"Guía Operativa")</f>
        <v>Guía Operativa</v>
      </c>
      <c r="F119" s="10" t="str">
        <f ca="1">IFERROR(__xludf.DUMMYFUNCTION("""COMPUTED_VALUE"""),"MUNICIPALIDAD DE SAN MIGUEL")</f>
        <v>MUNICIPALIDAD DE SAN MIGUEL</v>
      </c>
      <c r="G119" s="71">
        <f ca="1">IFERROR(__xludf.DUMMYFUNCTION("""COMPUTED_VALUE"""),144000000)</f>
        <v>144000000</v>
      </c>
      <c r="H119" s="10" t="str">
        <f ca="1">IFERROR(__xludf.DUMMYFUNCTION("""COMPUTED_VALUE"""),"Resolución")</f>
        <v>Resolución</v>
      </c>
      <c r="I119" s="10" t="str">
        <f ca="1">IFERROR(__xludf.DUMMYFUNCTION("""COMPUTED_VALUE"""),"OBRA")</f>
        <v>OBRA</v>
      </c>
      <c r="J119" s="10" t="str">
        <f ca="1">IFERROR(__xludf.DUMMYFUNCTION("""COMPUTED_VALUE"""),"Cumplir con normativa y reglamentos internos del programa en base a los objetivos.")</f>
        <v>Cumplir con normativa y reglamentos internos del programa en base a los objetivos.</v>
      </c>
      <c r="K119" s="71">
        <f ca="1">IFERROR(__xludf.DUMMYFUNCTION("""COMPUTED_VALUE"""),143600000)</f>
        <v>143600000</v>
      </c>
      <c r="L119" s="72">
        <f ca="1">IFERROR(__xludf.DUMMYFUNCTION("""COMPUTED_VALUE"""),0.997222222222222)</f>
        <v>0.99722222222222201</v>
      </c>
      <c r="M119" s="10">
        <f ca="1">IFERROR(__xludf.DUMMYFUNCTION("""COMPUTED_VALUE"""),836)</f>
        <v>836</v>
      </c>
      <c r="N119" s="10" t="str">
        <f ca="1">IFERROR(__xludf.DUMMYFUNCTION("""COMPUTED_VALUE"""),"PMU")</f>
        <v>PMU</v>
      </c>
      <c r="O119" s="1"/>
      <c r="P119" s="1"/>
      <c r="Q119" s="1"/>
      <c r="R119" s="1"/>
      <c r="S119" s="1"/>
      <c r="T119" s="1"/>
      <c r="U119" s="1"/>
      <c r="V119" s="1"/>
      <c r="W119" s="1"/>
      <c r="X119" s="1"/>
      <c r="Y119" s="1"/>
      <c r="Z119" s="1"/>
    </row>
    <row r="120" spans="1:26" ht="12.75" customHeight="1">
      <c r="A120" s="1"/>
      <c r="B120" s="10" t="str">
        <f ca="1">IFERROR(__xludf.DUMMYFUNCTION("""COMPUTED_VALUE"""),"MEJORAMIENTO DE ESPACIO PÚBLICO LO OVALLE NORTE, SAN MIGUEL")</f>
        <v>MEJORAMIENTO DE ESPACIO PÚBLICO LO OVALLE NORTE, SAN MIGUEL</v>
      </c>
      <c r="C120" s="10" t="str">
        <f ca="1">IFERROR(__xludf.DUMMYFUNCTION("""COMPUTED_VALUE"""),"1-C-2023-2581")</f>
        <v>1-C-2023-2581</v>
      </c>
      <c r="D120" s="26" t="str">
        <f t="shared" ca="1" si="0"/>
        <v xml:space="preserve"> SAN MIGUEL</v>
      </c>
      <c r="E120" s="10" t="str">
        <f ca="1">IFERROR(__xludf.DUMMYFUNCTION("""COMPUTED_VALUE"""),"Guía Operativa")</f>
        <v>Guía Operativa</v>
      </c>
      <c r="F120" s="10" t="str">
        <f ca="1">IFERROR(__xludf.DUMMYFUNCTION("""COMPUTED_VALUE"""),"MUNICIPALIDAD DE SAN MIGUEL")</f>
        <v>MUNICIPALIDAD DE SAN MIGUEL</v>
      </c>
      <c r="G120" s="71">
        <f ca="1">IFERROR(__xludf.DUMMYFUNCTION("""COMPUTED_VALUE"""),108000000)</f>
        <v>108000000</v>
      </c>
      <c r="H120" s="10" t="str">
        <f ca="1">IFERROR(__xludf.DUMMYFUNCTION("""COMPUTED_VALUE"""),"Resolución")</f>
        <v>Resolución</v>
      </c>
      <c r="I120" s="10" t="str">
        <f ca="1">IFERROR(__xludf.DUMMYFUNCTION("""COMPUTED_VALUE"""),"OBRA")</f>
        <v>OBRA</v>
      </c>
      <c r="J120" s="10" t="str">
        <f ca="1">IFERROR(__xludf.DUMMYFUNCTION("""COMPUTED_VALUE"""),"Cumplir con normativa y reglamentos internos del programa en base a los objetivos.")</f>
        <v>Cumplir con normativa y reglamentos internos del programa en base a los objetivos.</v>
      </c>
      <c r="K120" s="71">
        <f ca="1">IFERROR(__xludf.DUMMYFUNCTION("""COMPUTED_VALUE"""),108428590)</f>
        <v>108428590</v>
      </c>
      <c r="L120" s="72">
        <f ca="1">IFERROR(__xludf.DUMMYFUNCTION("""COMPUTED_VALUE"""),1.00396842592592)</f>
        <v>1.0039684259259201</v>
      </c>
      <c r="M120" s="10">
        <f ca="1">IFERROR(__xludf.DUMMYFUNCTION("""COMPUTED_VALUE"""),836)</f>
        <v>836</v>
      </c>
      <c r="N120" s="10" t="str">
        <f ca="1">IFERROR(__xludf.DUMMYFUNCTION("""COMPUTED_VALUE"""),"PMU")</f>
        <v>PMU</v>
      </c>
      <c r="O120" s="1"/>
      <c r="P120" s="1"/>
      <c r="Q120" s="1"/>
      <c r="R120" s="1"/>
      <c r="S120" s="1"/>
      <c r="T120" s="1"/>
      <c r="U120" s="1"/>
      <c r="V120" s="1"/>
      <c r="W120" s="1"/>
      <c r="X120" s="1"/>
      <c r="Y120" s="1"/>
      <c r="Z120" s="1"/>
    </row>
    <row r="121" spans="1:26" ht="12.75" customHeight="1">
      <c r="A121" s="1"/>
      <c r="B121" s="10" t="str">
        <f ca="1">IFERROR(__xludf.DUMMYFUNCTION("""COMPUTED_VALUE"""),"INSTALACIÓN DE ALUMBRADO PÚBLICO PLAYA ARENILLAS NEGRAS, ARICA")</f>
        <v>INSTALACIÓN DE ALUMBRADO PÚBLICO PLAYA ARENILLAS NEGRAS, ARICA</v>
      </c>
      <c r="C121" s="10" t="str">
        <f ca="1">IFERROR(__xludf.DUMMYFUNCTION("""COMPUTED_VALUE"""),"1-C-2023-2584")</f>
        <v>1-C-2023-2584</v>
      </c>
      <c r="D121" s="26" t="str">
        <f t="shared" ca="1" si="0"/>
        <v xml:space="preserve"> ARICA</v>
      </c>
      <c r="E121" s="10" t="str">
        <f ca="1">IFERROR(__xludf.DUMMYFUNCTION("""COMPUTED_VALUE"""),"Guía Operativa")</f>
        <v>Guía Operativa</v>
      </c>
      <c r="F121" s="10" t="str">
        <f ca="1">IFERROR(__xludf.DUMMYFUNCTION("""COMPUTED_VALUE"""),"MUNICIPALIDAD DE ARICA")</f>
        <v>MUNICIPALIDAD DE ARICA</v>
      </c>
      <c r="G121" s="71">
        <f ca="1">IFERROR(__xludf.DUMMYFUNCTION("""COMPUTED_VALUE"""),154000000)</f>
        <v>154000000</v>
      </c>
      <c r="H121" s="10" t="str">
        <f ca="1">IFERROR(__xludf.DUMMYFUNCTION("""COMPUTED_VALUE"""),"Resolución")</f>
        <v>Resolución</v>
      </c>
      <c r="I121" s="10" t="str">
        <f ca="1">IFERROR(__xludf.DUMMYFUNCTION("""COMPUTED_VALUE"""),"OBRA")</f>
        <v>OBRA</v>
      </c>
      <c r="J121" s="10" t="str">
        <f ca="1">IFERROR(__xludf.DUMMYFUNCTION("""COMPUTED_VALUE"""),"Cumplir con normativa y reglamentos internos del programa en base a los objetivos.")</f>
        <v>Cumplir con normativa y reglamentos internos del programa en base a los objetivos.</v>
      </c>
      <c r="K121" s="71">
        <f ca="1">IFERROR(__xludf.DUMMYFUNCTION("""COMPUTED_VALUE"""),153897946)</f>
        <v>153897946</v>
      </c>
      <c r="L121" s="72">
        <f ca="1">IFERROR(__xludf.DUMMYFUNCTION("""COMPUTED_VALUE"""),0.999337311688311)</f>
        <v>0.99933731168831097</v>
      </c>
      <c r="M121" s="10">
        <f ca="1">IFERROR(__xludf.DUMMYFUNCTION("""COMPUTED_VALUE"""),644)</f>
        <v>644</v>
      </c>
      <c r="N121" s="10" t="str">
        <f ca="1">IFERROR(__xludf.DUMMYFUNCTION("""COMPUTED_VALUE"""),"PMU")</f>
        <v>PMU</v>
      </c>
      <c r="O121" s="1"/>
      <c r="P121" s="1"/>
      <c r="Q121" s="1"/>
      <c r="R121" s="1"/>
      <c r="S121" s="1"/>
      <c r="T121" s="1"/>
      <c r="U121" s="1"/>
      <c r="V121" s="1"/>
      <c r="W121" s="1"/>
      <c r="X121" s="1"/>
      <c r="Y121" s="1"/>
      <c r="Z121" s="1"/>
    </row>
    <row r="122" spans="1:26" ht="12.75" customHeight="1">
      <c r="A122" s="1"/>
      <c r="B122" s="10" t="str">
        <f ca="1">IFERROR(__xludf.DUMMYFUNCTION("""COMPUTED_VALUE"""),"MEJORAMIENTO DE ESPACIO URBANO PARQUE DIEGO PORTALES, COMUNA DE ARICA")</f>
        <v>MEJORAMIENTO DE ESPACIO URBANO PARQUE DIEGO PORTALES, COMUNA DE ARICA</v>
      </c>
      <c r="C122" s="10" t="str">
        <f ca="1">IFERROR(__xludf.DUMMYFUNCTION("""COMPUTED_VALUE"""),"1-C-2023-2585")</f>
        <v>1-C-2023-2585</v>
      </c>
      <c r="D122" s="26" t="str">
        <f t="shared" ca="1" si="0"/>
        <v xml:space="preserve"> ARICA</v>
      </c>
      <c r="E122" s="10" t="str">
        <f ca="1">IFERROR(__xludf.DUMMYFUNCTION("""COMPUTED_VALUE"""),"Guía Operativa")</f>
        <v>Guía Operativa</v>
      </c>
      <c r="F122" s="10" t="str">
        <f ca="1">IFERROR(__xludf.DUMMYFUNCTION("""COMPUTED_VALUE"""),"MUNICIPALIDAD DE ARICA")</f>
        <v>MUNICIPALIDAD DE ARICA</v>
      </c>
      <c r="G122" s="71">
        <f ca="1">IFERROR(__xludf.DUMMYFUNCTION("""COMPUTED_VALUE"""),154000000)</f>
        <v>154000000</v>
      </c>
      <c r="H122" s="10" t="str">
        <f ca="1">IFERROR(__xludf.DUMMYFUNCTION("""COMPUTED_VALUE"""),"Resolución")</f>
        <v>Resolución</v>
      </c>
      <c r="I122" s="10" t="str">
        <f ca="1">IFERROR(__xludf.DUMMYFUNCTION("""COMPUTED_VALUE"""),"OBRA")</f>
        <v>OBRA</v>
      </c>
      <c r="J122" s="10" t="str">
        <f ca="1">IFERROR(__xludf.DUMMYFUNCTION("""COMPUTED_VALUE"""),"Cumplir con normativa y reglamentos internos del programa en base a los objetivos.")</f>
        <v>Cumplir con normativa y reglamentos internos del programa en base a los objetivos.</v>
      </c>
      <c r="K122" s="71">
        <f ca="1">IFERROR(__xludf.DUMMYFUNCTION("""COMPUTED_VALUE"""),153999786)</f>
        <v>153999786</v>
      </c>
      <c r="L122" s="72">
        <f ca="1">IFERROR(__xludf.DUMMYFUNCTION("""COMPUTED_VALUE"""),0.99999861038961)</f>
        <v>0.99999861038961002</v>
      </c>
      <c r="M122" s="10">
        <f ca="1">IFERROR(__xludf.DUMMYFUNCTION("""COMPUTED_VALUE"""),644)</f>
        <v>644</v>
      </c>
      <c r="N122" s="10" t="str">
        <f ca="1">IFERROR(__xludf.DUMMYFUNCTION("""COMPUTED_VALUE"""),"PMU")</f>
        <v>PMU</v>
      </c>
      <c r="O122" s="1"/>
      <c r="P122" s="1"/>
      <c r="Q122" s="1"/>
      <c r="R122" s="1"/>
      <c r="S122" s="1"/>
      <c r="T122" s="1"/>
      <c r="U122" s="1"/>
      <c r="V122" s="1"/>
      <c r="W122" s="1"/>
      <c r="X122" s="1"/>
      <c r="Y122" s="1"/>
      <c r="Z122" s="1"/>
    </row>
    <row r="123" spans="1:26" ht="12.75" customHeight="1">
      <c r="A123" s="1"/>
      <c r="B123" s="10" t="str">
        <f ca="1">IFERROR(__xludf.DUMMYFUNCTION("""COMPUTED_VALUE"""),"MEJORAMIENTO ESPACIO PUBLICO TERMINAL AGROPECUARIO, COMUNA DE ARICA")</f>
        <v>MEJORAMIENTO ESPACIO PUBLICO TERMINAL AGROPECUARIO, COMUNA DE ARICA</v>
      </c>
      <c r="C123" s="10" t="str">
        <f ca="1">IFERROR(__xludf.DUMMYFUNCTION("""COMPUTED_VALUE"""),"1-C-2023-2587")</f>
        <v>1-C-2023-2587</v>
      </c>
      <c r="D123" s="26" t="str">
        <f t="shared" ca="1" si="0"/>
        <v xml:space="preserve"> ARICA</v>
      </c>
      <c r="E123" s="10" t="str">
        <f ca="1">IFERROR(__xludf.DUMMYFUNCTION("""COMPUTED_VALUE"""),"Guía Operativa")</f>
        <v>Guía Operativa</v>
      </c>
      <c r="F123" s="10" t="str">
        <f ca="1">IFERROR(__xludf.DUMMYFUNCTION("""COMPUTED_VALUE"""),"MUNICIPALIDAD DE ARICA")</f>
        <v>MUNICIPALIDAD DE ARICA</v>
      </c>
      <c r="G123" s="71">
        <f ca="1">IFERROR(__xludf.DUMMYFUNCTION("""COMPUTED_VALUE"""),154000000)</f>
        <v>154000000</v>
      </c>
      <c r="H123" s="10" t="str">
        <f ca="1">IFERROR(__xludf.DUMMYFUNCTION("""COMPUTED_VALUE"""),"Resolución")</f>
        <v>Resolución</v>
      </c>
      <c r="I123" s="10" t="str">
        <f ca="1">IFERROR(__xludf.DUMMYFUNCTION("""COMPUTED_VALUE"""),"OBRA")</f>
        <v>OBRA</v>
      </c>
      <c r="J123" s="10" t="str">
        <f ca="1">IFERROR(__xludf.DUMMYFUNCTION("""COMPUTED_VALUE"""),"Cumplir con normativa y reglamentos internos del programa en base a los objetivos.")</f>
        <v>Cumplir con normativa y reglamentos internos del programa en base a los objetivos.</v>
      </c>
      <c r="K123" s="71">
        <f ca="1">IFERROR(__xludf.DUMMYFUNCTION("""COMPUTED_VALUE"""),153983705)</f>
        <v>153983705</v>
      </c>
      <c r="L123" s="72">
        <f ca="1">IFERROR(__xludf.DUMMYFUNCTION("""COMPUTED_VALUE"""),0.999894188311688)</f>
        <v>0.99989418831168797</v>
      </c>
      <c r="M123" s="10">
        <f ca="1">IFERROR(__xludf.DUMMYFUNCTION("""COMPUTED_VALUE"""),644)</f>
        <v>644</v>
      </c>
      <c r="N123" s="10" t="str">
        <f ca="1">IFERROR(__xludf.DUMMYFUNCTION("""COMPUTED_VALUE"""),"PMU")</f>
        <v>PMU</v>
      </c>
      <c r="O123" s="1"/>
      <c r="P123" s="1"/>
      <c r="Q123" s="1"/>
      <c r="R123" s="1"/>
      <c r="S123" s="1"/>
      <c r="T123" s="1"/>
      <c r="U123" s="1"/>
      <c r="V123" s="1"/>
      <c r="W123" s="1"/>
      <c r="X123" s="1"/>
      <c r="Y123" s="1"/>
      <c r="Z123" s="1"/>
    </row>
    <row r="124" spans="1:26" ht="12.75" customHeight="1">
      <c r="A124" s="1"/>
      <c r="B124" s="10" t="str">
        <f ca="1">IFERROR(__xludf.DUMMYFUNCTION("""COMPUTED_VALUE"""),"MEJORAMIENTO PLAZOLETA CONSISTORIAL")</f>
        <v>MEJORAMIENTO PLAZOLETA CONSISTORIAL</v>
      </c>
      <c r="C124" s="10" t="str">
        <f ca="1">IFERROR(__xludf.DUMMYFUNCTION("""COMPUTED_VALUE"""),"1-C-2023-2588")</f>
        <v>1-C-2023-2588</v>
      </c>
      <c r="D124" s="26" t="str">
        <f t="shared" ca="1" si="0"/>
        <v xml:space="preserve"> ARICA</v>
      </c>
      <c r="E124" s="10" t="str">
        <f ca="1">IFERROR(__xludf.DUMMYFUNCTION("""COMPUTED_VALUE"""),"Guía Operativa")</f>
        <v>Guía Operativa</v>
      </c>
      <c r="F124" s="10" t="str">
        <f ca="1">IFERROR(__xludf.DUMMYFUNCTION("""COMPUTED_VALUE"""),"MUNICIPALIDAD DE ARICA")</f>
        <v>MUNICIPALIDAD DE ARICA</v>
      </c>
      <c r="G124" s="71">
        <f ca="1">IFERROR(__xludf.DUMMYFUNCTION("""COMPUTED_VALUE"""),38118563)</f>
        <v>38118563</v>
      </c>
      <c r="H124" s="10" t="str">
        <f ca="1">IFERROR(__xludf.DUMMYFUNCTION("""COMPUTED_VALUE"""),"Resolución")</f>
        <v>Resolución</v>
      </c>
      <c r="I124" s="10" t="str">
        <f ca="1">IFERROR(__xludf.DUMMYFUNCTION("""COMPUTED_VALUE"""),"OBRA")</f>
        <v>OBRA</v>
      </c>
      <c r="J124" s="10" t="str">
        <f ca="1">IFERROR(__xludf.DUMMYFUNCTION("""COMPUTED_VALUE"""),"Cumplir con normativa y reglamentos internos del programa en base a los objetivos.")</f>
        <v>Cumplir con normativa y reglamentos internos del programa en base a los objetivos.</v>
      </c>
      <c r="K124" s="71">
        <f ca="1">IFERROR(__xludf.DUMMYFUNCTION("""COMPUTED_VALUE"""),38118563)</f>
        <v>38118563</v>
      </c>
      <c r="L124" s="72">
        <f ca="1">IFERROR(__xludf.DUMMYFUNCTION("""COMPUTED_VALUE"""),1)</f>
        <v>1</v>
      </c>
      <c r="M124" s="10">
        <f ca="1">IFERROR(__xludf.DUMMYFUNCTION("""COMPUTED_VALUE"""),644)</f>
        <v>644</v>
      </c>
      <c r="N124" s="10" t="str">
        <f ca="1">IFERROR(__xludf.DUMMYFUNCTION("""COMPUTED_VALUE"""),"PMU")</f>
        <v>PMU</v>
      </c>
      <c r="O124" s="1"/>
      <c r="P124" s="1"/>
      <c r="Q124" s="1"/>
      <c r="R124" s="1"/>
      <c r="S124" s="1"/>
      <c r="T124" s="1"/>
      <c r="U124" s="1"/>
      <c r="V124" s="1"/>
      <c r="W124" s="1"/>
      <c r="X124" s="1"/>
      <c r="Y124" s="1"/>
      <c r="Z124" s="1"/>
    </row>
    <row r="125" spans="1:26" ht="12.75" customHeight="1">
      <c r="A125" s="1"/>
      <c r="B125" s="10" t="str">
        <f ca="1">IFERROR(__xludf.DUMMYFUNCTION("""COMPUTED_VALUE"""),"MEJORAMIENTO DE INFRAESTRUCTURA Y AREAS COMUNES DE DEPENDENCIAS MUNICIPALES")</f>
        <v>MEJORAMIENTO DE INFRAESTRUCTURA Y AREAS COMUNES DE DEPENDENCIAS MUNICIPALES</v>
      </c>
      <c r="C125" s="10" t="str">
        <f ca="1">IFERROR(__xludf.DUMMYFUNCTION("""COMPUTED_VALUE"""),"1-C-2022-42 [CHA]")</f>
        <v>1-C-2022-42 [CHA]</v>
      </c>
      <c r="D125" s="26" t="str">
        <f t="shared" ca="1" si="0"/>
        <v xml:space="preserve"> HUARA</v>
      </c>
      <c r="E125" s="10" t="str">
        <f ca="1">IFERROR(__xludf.DUMMYFUNCTION("""COMPUTED_VALUE"""),"Guía Operativa")</f>
        <v>Guía Operativa</v>
      </c>
      <c r="F125" s="10" t="str">
        <f ca="1">IFERROR(__xludf.DUMMYFUNCTION("""COMPUTED_VALUE"""),"MUNICIPALIDAD DE HUARA")</f>
        <v>MUNICIPALIDAD DE HUARA</v>
      </c>
      <c r="G125" s="71">
        <f ca="1">IFERROR(__xludf.DUMMYFUNCTION("""COMPUTED_VALUE"""),97406816)</f>
        <v>97406816</v>
      </c>
      <c r="H125" s="10" t="str">
        <f ca="1">IFERROR(__xludf.DUMMYFUNCTION("""COMPUTED_VALUE"""),"Resolución")</f>
        <v>Resolución</v>
      </c>
      <c r="I125" s="10" t="str">
        <f ca="1">IFERROR(__xludf.DUMMYFUNCTION("""COMPUTED_VALUE"""),"OBRA")</f>
        <v>OBRA</v>
      </c>
      <c r="J125" s="10" t="str">
        <f ca="1">IFERROR(__xludf.DUMMYFUNCTION("""COMPUTED_VALUE"""),"Cumplir con normativa y reglamentos internos del programa en base a los objetivos.")</f>
        <v>Cumplir con normativa y reglamentos internos del programa en base a los objetivos.</v>
      </c>
      <c r="K125" s="71">
        <f ca="1">IFERROR(__xludf.DUMMYFUNCTION("""COMPUTED_VALUE"""),22084174)</f>
        <v>22084174</v>
      </c>
      <c r="L125" s="72">
        <f ca="1">IFERROR(__xludf.DUMMYFUNCTION("""COMPUTED_VALUE"""),0.996661034480379)</f>
        <v>0.99666103448037902</v>
      </c>
      <c r="M125" s="10">
        <f ca="1">IFERROR(__xludf.DUMMYFUNCTION("""COMPUTED_VALUE"""),7526)</f>
        <v>7526</v>
      </c>
      <c r="N125" s="10" t="str">
        <f ca="1">IFERROR(__xludf.DUMMYFUNCTION("""COMPUTED_VALUE"""),"PMU")</f>
        <v>PMU</v>
      </c>
      <c r="O125" s="1"/>
      <c r="P125" s="1"/>
      <c r="Q125" s="1"/>
      <c r="R125" s="1"/>
      <c r="S125" s="1"/>
      <c r="T125" s="1"/>
      <c r="U125" s="1"/>
      <c r="V125" s="1"/>
      <c r="W125" s="1"/>
      <c r="X125" s="1"/>
      <c r="Y125" s="1"/>
      <c r="Z125" s="1"/>
    </row>
    <row r="126" spans="1:26" ht="12.75" customHeight="1">
      <c r="A126" s="1"/>
      <c r="B126" s="10" t="str">
        <f ca="1">IFERROR(__xludf.DUMMYFUNCTION("""COMPUTED_VALUE"""),"CONSTRUCCION CALZADA CALLE 1, LOCALIDAD DE ESCAPIÑA")</f>
        <v>CONSTRUCCION CALZADA CALLE 1, LOCALIDAD DE ESCAPIÑA</v>
      </c>
      <c r="C126" s="10" t="str">
        <f ca="1">IFERROR(__xludf.DUMMYFUNCTION("""COMPUTED_VALUE"""),"1-C-2023-804")</f>
        <v>1-C-2023-804</v>
      </c>
      <c r="D126" s="26" t="str">
        <f t="shared" ca="1" si="0"/>
        <v xml:space="preserve"> COLCHANE</v>
      </c>
      <c r="E126" s="10" t="str">
        <f ca="1">IFERROR(__xludf.DUMMYFUNCTION("""COMPUTED_VALUE"""),"Guía Operativa")</f>
        <v>Guía Operativa</v>
      </c>
      <c r="F126" s="10" t="str">
        <f ca="1">IFERROR(__xludf.DUMMYFUNCTION("""COMPUTED_VALUE"""),"MUNICIPALIDAD DE COLCHANE")</f>
        <v>MUNICIPALIDAD DE COLCHANE</v>
      </c>
      <c r="G126" s="71">
        <f ca="1">IFERROR(__xludf.DUMMYFUNCTION("""COMPUTED_VALUE"""),87573713)</f>
        <v>87573713</v>
      </c>
      <c r="H126" s="10" t="str">
        <f ca="1">IFERROR(__xludf.DUMMYFUNCTION("""COMPUTED_VALUE"""),"Resolución")</f>
        <v>Resolución</v>
      </c>
      <c r="I126" s="10" t="str">
        <f ca="1">IFERROR(__xludf.DUMMYFUNCTION("""COMPUTED_VALUE"""),"OBRA")</f>
        <v>OBRA</v>
      </c>
      <c r="J126" s="10" t="str">
        <f ca="1">IFERROR(__xludf.DUMMYFUNCTION("""COMPUTED_VALUE"""),"Cumplir con normativa y reglamentos internos del programa en base a los objetivos.")</f>
        <v>Cumplir con normativa y reglamentos internos del programa en base a los objetivos.</v>
      </c>
      <c r="K126" s="71">
        <f ca="1">IFERROR(__xludf.DUMMYFUNCTION("""COMPUTED_VALUE"""),87573713)</f>
        <v>87573713</v>
      </c>
      <c r="L126" s="72">
        <f ca="1">IFERROR(__xludf.DUMMYFUNCTION("""COMPUTED_VALUE"""),1)</f>
        <v>1</v>
      </c>
      <c r="M126" s="10">
        <f ca="1">IFERROR(__xludf.DUMMYFUNCTION("""COMPUTED_VALUE"""),1350)</f>
        <v>1350</v>
      </c>
      <c r="N126" s="10" t="str">
        <f ca="1">IFERROR(__xludf.DUMMYFUNCTION("""COMPUTED_VALUE"""),"PMU")</f>
        <v>PMU</v>
      </c>
      <c r="O126" s="1"/>
      <c r="P126" s="1"/>
      <c r="Q126" s="1"/>
      <c r="R126" s="1"/>
      <c r="S126" s="1"/>
      <c r="T126" s="1"/>
      <c r="U126" s="1"/>
      <c r="V126" s="1"/>
      <c r="W126" s="1"/>
      <c r="X126" s="1"/>
      <c r="Y126" s="1"/>
      <c r="Z126" s="1"/>
    </row>
    <row r="127" spans="1:26" ht="12.75" customHeight="1">
      <c r="A127" s="1"/>
      <c r="B127" s="10" t="str">
        <f ca="1">IFERROR(__xludf.DUMMYFUNCTION("""COMPUTED_VALUE"""),"CONSTRUCCION CALZADA CALLE 3, LOCALIDAD DE COLCHANE")</f>
        <v>CONSTRUCCION CALZADA CALLE 3, LOCALIDAD DE COLCHANE</v>
      </c>
      <c r="C127" s="10" t="str">
        <f ca="1">IFERROR(__xludf.DUMMYFUNCTION("""COMPUTED_VALUE"""),"1-C-2023-811")</f>
        <v>1-C-2023-811</v>
      </c>
      <c r="D127" s="26" t="str">
        <f t="shared" ca="1" si="0"/>
        <v xml:space="preserve"> COLCHANE</v>
      </c>
      <c r="E127" s="10" t="str">
        <f ca="1">IFERROR(__xludf.DUMMYFUNCTION("""COMPUTED_VALUE"""),"Guía Operativa")</f>
        <v>Guía Operativa</v>
      </c>
      <c r="F127" s="10" t="str">
        <f ca="1">IFERROR(__xludf.DUMMYFUNCTION("""COMPUTED_VALUE"""),"MUNICIPALIDAD DE COLCHANE")</f>
        <v>MUNICIPALIDAD DE COLCHANE</v>
      </c>
      <c r="G127" s="71">
        <f ca="1">IFERROR(__xludf.DUMMYFUNCTION("""COMPUTED_VALUE"""),89831171)</f>
        <v>89831171</v>
      </c>
      <c r="H127" s="10" t="str">
        <f ca="1">IFERROR(__xludf.DUMMYFUNCTION("""COMPUTED_VALUE"""),"Resolución")</f>
        <v>Resolución</v>
      </c>
      <c r="I127" s="10" t="str">
        <f ca="1">IFERROR(__xludf.DUMMYFUNCTION("""COMPUTED_VALUE"""),"OBRA")</f>
        <v>OBRA</v>
      </c>
      <c r="J127" s="10" t="str">
        <f ca="1">IFERROR(__xludf.DUMMYFUNCTION("""COMPUTED_VALUE"""),"Cumplir con normativa y reglamentos internos del programa en base a los objetivos.")</f>
        <v>Cumplir con normativa y reglamentos internos del programa en base a los objetivos.</v>
      </c>
      <c r="K127" s="71">
        <f ca="1">IFERROR(__xludf.DUMMYFUNCTION("""COMPUTED_VALUE"""),89831171)</f>
        <v>89831171</v>
      </c>
      <c r="L127" s="72">
        <f ca="1">IFERROR(__xludf.DUMMYFUNCTION("""COMPUTED_VALUE"""),1)</f>
        <v>1</v>
      </c>
      <c r="M127" s="10">
        <f ca="1">IFERROR(__xludf.DUMMYFUNCTION("""COMPUTED_VALUE"""),1350)</f>
        <v>1350</v>
      </c>
      <c r="N127" s="10" t="str">
        <f ca="1">IFERROR(__xludf.DUMMYFUNCTION("""COMPUTED_VALUE"""),"PMU")</f>
        <v>PMU</v>
      </c>
      <c r="O127" s="1"/>
      <c r="P127" s="1"/>
      <c r="Q127" s="1"/>
      <c r="R127" s="1"/>
      <c r="S127" s="1"/>
      <c r="T127" s="1"/>
      <c r="U127" s="1"/>
      <c r="V127" s="1"/>
      <c r="W127" s="1"/>
      <c r="X127" s="1"/>
      <c r="Y127" s="1"/>
      <c r="Z127" s="1"/>
    </row>
    <row r="128" spans="1:26" ht="12.75" customHeight="1">
      <c r="A128" s="1"/>
      <c r="B128" s="10" t="str">
        <f ca="1">IFERROR(__xludf.DUMMYFUNCTION("""COMPUTED_VALUE"""),"[SATE] CONSTRUCCIÓN SOMBREADEROS, CALLEJÓN PÚBLICO PLAZA DE ARMAS COMUNA DE PICA")</f>
        <v>[SATE] CONSTRUCCIÓN SOMBREADEROS, CALLEJÓN PÚBLICO PLAZA DE ARMAS COMUNA DE PICA</v>
      </c>
      <c r="C128" s="10" t="str">
        <f ca="1">IFERROR(__xludf.DUMMYFUNCTION("""COMPUTED_VALUE"""),"1-C-2023-889")</f>
        <v>1-C-2023-889</v>
      </c>
      <c r="D128" s="26" t="str">
        <f t="shared" ca="1" si="0"/>
        <v xml:space="preserve"> PICA</v>
      </c>
      <c r="E128" s="10" t="str">
        <f ca="1">IFERROR(__xludf.DUMMYFUNCTION("""COMPUTED_VALUE"""),"Guía Operativa")</f>
        <v>Guía Operativa</v>
      </c>
      <c r="F128" s="10" t="str">
        <f ca="1">IFERROR(__xludf.DUMMYFUNCTION("""COMPUTED_VALUE"""),"MUNICIPALIDAD DE PICA")</f>
        <v>MUNICIPALIDAD DE PICA</v>
      </c>
      <c r="G128" s="71">
        <f ca="1">IFERROR(__xludf.DUMMYFUNCTION("""COMPUTED_VALUE"""),115216620)</f>
        <v>115216620</v>
      </c>
      <c r="H128" s="10" t="str">
        <f ca="1">IFERROR(__xludf.DUMMYFUNCTION("""COMPUTED_VALUE"""),"Resolución")</f>
        <v>Resolución</v>
      </c>
      <c r="I128" s="10" t="str">
        <f ca="1">IFERROR(__xludf.DUMMYFUNCTION("""COMPUTED_VALUE"""),"OBRA")</f>
        <v>OBRA</v>
      </c>
      <c r="J128" s="10" t="str">
        <f ca="1">IFERROR(__xludf.DUMMYFUNCTION("""COMPUTED_VALUE"""),"Cumplir con normativa y reglamentos internos del programa en base a los objetivos.")</f>
        <v>Cumplir con normativa y reglamentos internos del programa en base a los objetivos.</v>
      </c>
      <c r="K128" s="71">
        <f ca="1">IFERROR(__xludf.DUMMYFUNCTION("""COMPUTED_VALUE"""),115216620)</f>
        <v>115216620</v>
      </c>
      <c r="L128" s="72">
        <f ca="1">IFERROR(__xludf.DUMMYFUNCTION("""COMPUTED_VALUE"""),1)</f>
        <v>1</v>
      </c>
      <c r="M128" s="10">
        <f ca="1">IFERROR(__xludf.DUMMYFUNCTION("""COMPUTED_VALUE"""),1344)</f>
        <v>1344</v>
      </c>
      <c r="N128" s="10" t="str">
        <f ca="1">IFERROR(__xludf.DUMMYFUNCTION("""COMPUTED_VALUE"""),"PMU")</f>
        <v>PMU</v>
      </c>
      <c r="O128" s="1"/>
      <c r="P128" s="1"/>
      <c r="Q128" s="1"/>
      <c r="R128" s="1"/>
      <c r="S128" s="1"/>
      <c r="T128" s="1"/>
      <c r="U128" s="1"/>
      <c r="V128" s="1"/>
      <c r="W128" s="1"/>
      <c r="X128" s="1"/>
      <c r="Y128" s="1"/>
      <c r="Z128" s="1"/>
    </row>
    <row r="129" spans="1:26" ht="12.75" customHeight="1">
      <c r="A129" s="1"/>
      <c r="B129" s="10" t="str">
        <f ca="1">IFERROR(__xludf.DUMMYFUNCTION("""COMPUTED_VALUE"""),"[SATE] REPOSICIÓN CIERRE PERIMETRAL FRONTAL ELEAM, LOCALIDAD DE LA TIRANA")</f>
        <v>[SATE] REPOSICIÓN CIERRE PERIMETRAL FRONTAL ELEAM, LOCALIDAD DE LA TIRANA</v>
      </c>
      <c r="C129" s="10" t="str">
        <f ca="1">IFERROR(__xludf.DUMMYFUNCTION("""COMPUTED_VALUE"""),"1-C-2023-891")</f>
        <v>1-C-2023-891</v>
      </c>
      <c r="D129" s="26" t="str">
        <f t="shared" ca="1" si="0"/>
        <v xml:space="preserve"> POZO ALMONTE</v>
      </c>
      <c r="E129" s="10" t="str">
        <f ca="1">IFERROR(__xludf.DUMMYFUNCTION("""COMPUTED_VALUE"""),"Guía Operativa")</f>
        <v>Guía Operativa</v>
      </c>
      <c r="F129" s="10" t="str">
        <f ca="1">IFERROR(__xludf.DUMMYFUNCTION("""COMPUTED_VALUE"""),"MUNICIPALIDAD DE POZO ALMONTE")</f>
        <v>MUNICIPALIDAD DE POZO ALMONTE</v>
      </c>
      <c r="G129" s="71">
        <f ca="1">IFERROR(__xludf.DUMMYFUNCTION("""COMPUTED_VALUE"""),154067109)</f>
        <v>154067109</v>
      </c>
      <c r="H129" s="10" t="str">
        <f ca="1">IFERROR(__xludf.DUMMYFUNCTION("""COMPUTED_VALUE"""),"Resolución")</f>
        <v>Resolución</v>
      </c>
      <c r="I129" s="10" t="str">
        <f ca="1">IFERROR(__xludf.DUMMYFUNCTION("""COMPUTED_VALUE"""),"OBRA")</f>
        <v>OBRA</v>
      </c>
      <c r="J129" s="10" t="str">
        <f ca="1">IFERROR(__xludf.DUMMYFUNCTION("""COMPUTED_VALUE"""),"Cumplir con normativa y reglamentos internos del programa en base a los objetivos.")</f>
        <v>Cumplir con normativa y reglamentos internos del programa en base a los objetivos.</v>
      </c>
      <c r="K129" s="71">
        <f ca="1">IFERROR(__xludf.DUMMYFUNCTION("""COMPUTED_VALUE"""),154067109)</f>
        <v>154067109</v>
      </c>
      <c r="L129" s="72">
        <f ca="1">IFERROR(__xludf.DUMMYFUNCTION("""COMPUTED_VALUE"""),1)</f>
        <v>1</v>
      </c>
      <c r="M129" s="10">
        <f ca="1">IFERROR(__xludf.DUMMYFUNCTION("""COMPUTED_VALUE"""),1516)</f>
        <v>1516</v>
      </c>
      <c r="N129" s="10" t="str">
        <f ca="1">IFERROR(__xludf.DUMMYFUNCTION("""COMPUTED_VALUE"""),"PMU")</f>
        <v>PMU</v>
      </c>
      <c r="O129" s="1"/>
      <c r="P129" s="1"/>
      <c r="Q129" s="1"/>
      <c r="R129" s="1"/>
      <c r="S129" s="1"/>
      <c r="T129" s="1"/>
      <c r="U129" s="1"/>
      <c r="V129" s="1"/>
      <c r="W129" s="1"/>
      <c r="X129" s="1"/>
      <c r="Y129" s="1"/>
      <c r="Z129" s="1"/>
    </row>
    <row r="130" spans="1:26" ht="12.75" customHeight="1">
      <c r="A130" s="1"/>
      <c r="B130" s="10" t="str">
        <f ca="1">IFERROR(__xludf.DUMMYFUNCTION("""COMPUTED_VALUE"""),"[SATE] MEJORAMIENTO SOMBREADEROS CALLE ARTURO PRAT, COMUNA DE HUARA")</f>
        <v>[SATE] MEJORAMIENTO SOMBREADEROS CALLE ARTURO PRAT, COMUNA DE HUARA</v>
      </c>
      <c r="C130" s="10" t="str">
        <f ca="1">IFERROR(__xludf.DUMMYFUNCTION("""COMPUTED_VALUE"""),"1-C-2023-897")</f>
        <v>1-C-2023-897</v>
      </c>
      <c r="D130" s="26" t="str">
        <f t="shared" ca="1" si="0"/>
        <v xml:space="preserve"> HUARA</v>
      </c>
      <c r="E130" s="10" t="str">
        <f ca="1">IFERROR(__xludf.DUMMYFUNCTION("""COMPUTED_VALUE"""),"Guía Operativa")</f>
        <v>Guía Operativa</v>
      </c>
      <c r="F130" s="10" t="str">
        <f ca="1">IFERROR(__xludf.DUMMYFUNCTION("""COMPUTED_VALUE"""),"MUNICIPALIDAD DE HUARA")</f>
        <v>MUNICIPALIDAD DE HUARA</v>
      </c>
      <c r="G130" s="71">
        <f ca="1">IFERROR(__xludf.DUMMYFUNCTION("""COMPUTED_VALUE"""),154421999)</f>
        <v>154421999</v>
      </c>
      <c r="H130" s="10" t="str">
        <f ca="1">IFERROR(__xludf.DUMMYFUNCTION("""COMPUTED_VALUE"""),"Resolución")</f>
        <v>Resolución</v>
      </c>
      <c r="I130" s="10" t="str">
        <f ca="1">IFERROR(__xludf.DUMMYFUNCTION("""COMPUTED_VALUE"""),"OBRA")</f>
        <v>OBRA</v>
      </c>
      <c r="J130" s="10" t="str">
        <f ca="1">IFERROR(__xludf.DUMMYFUNCTION("""COMPUTED_VALUE"""),"Cumplir con normativa y reglamentos internos del programa en base a los objetivos.")</f>
        <v>Cumplir con normativa y reglamentos internos del programa en base a los objetivos.</v>
      </c>
      <c r="K130" s="71">
        <f ca="1">IFERROR(__xludf.DUMMYFUNCTION("""COMPUTED_VALUE"""),154421999)</f>
        <v>154421999</v>
      </c>
      <c r="L130" s="72">
        <f ca="1">IFERROR(__xludf.DUMMYFUNCTION("""COMPUTED_VALUE"""),1)</f>
        <v>1</v>
      </c>
      <c r="M130" s="10">
        <f ca="1">IFERROR(__xludf.DUMMYFUNCTION("""COMPUTED_VALUE"""),1231)</f>
        <v>1231</v>
      </c>
      <c r="N130" s="10" t="str">
        <f ca="1">IFERROR(__xludf.DUMMYFUNCTION("""COMPUTED_VALUE"""),"PMU")</f>
        <v>PMU</v>
      </c>
      <c r="O130" s="1"/>
      <c r="P130" s="1"/>
      <c r="Q130" s="1"/>
      <c r="R130" s="1"/>
      <c r="S130" s="1"/>
      <c r="T130" s="1"/>
      <c r="U130" s="1"/>
      <c r="V130" s="1"/>
      <c r="W130" s="1"/>
      <c r="X130" s="1"/>
      <c r="Y130" s="1"/>
      <c r="Z130" s="1"/>
    </row>
    <row r="131" spans="1:26" ht="12.75" customHeight="1">
      <c r="A131" s="1"/>
      <c r="B131" s="10" t="str">
        <f ca="1">IFERROR(__xludf.DUMMYFUNCTION("""COMPUTED_VALUE"""),"[SATE] REPOSICION ZONA DE SERVICIOS PISCINA MUNICIPAL DE POZO ALMONTE")</f>
        <v>[SATE] REPOSICION ZONA DE SERVICIOS PISCINA MUNICIPAL DE POZO ALMONTE</v>
      </c>
      <c r="C131" s="10" t="str">
        <f ca="1">IFERROR(__xludf.DUMMYFUNCTION("""COMPUTED_VALUE"""),"1-C-2023-1285")</f>
        <v>1-C-2023-1285</v>
      </c>
      <c r="D131" s="26" t="str">
        <f t="shared" ca="1" si="0"/>
        <v xml:space="preserve"> POZO ALMONTE</v>
      </c>
      <c r="E131" s="10" t="str">
        <f ca="1">IFERROR(__xludf.DUMMYFUNCTION("""COMPUTED_VALUE"""),"Guía Operativa")</f>
        <v>Guía Operativa</v>
      </c>
      <c r="F131" s="10" t="str">
        <f ca="1">IFERROR(__xludf.DUMMYFUNCTION("""COMPUTED_VALUE"""),"MUNICIPALIDAD DE POZO ALMONTE")</f>
        <v>MUNICIPALIDAD DE POZO ALMONTE</v>
      </c>
      <c r="G131" s="71">
        <f ca="1">IFERROR(__xludf.DUMMYFUNCTION("""COMPUTED_VALUE"""),154201010)</f>
        <v>154201010</v>
      </c>
      <c r="H131" s="10" t="str">
        <f ca="1">IFERROR(__xludf.DUMMYFUNCTION("""COMPUTED_VALUE"""),"Resolución")</f>
        <v>Resolución</v>
      </c>
      <c r="I131" s="10" t="str">
        <f ca="1">IFERROR(__xludf.DUMMYFUNCTION("""COMPUTED_VALUE"""),"OBRA")</f>
        <v>OBRA</v>
      </c>
      <c r="J131" s="10" t="str">
        <f ca="1">IFERROR(__xludf.DUMMYFUNCTION("""COMPUTED_VALUE"""),"Cumplir con normativa y reglamentos internos del programa en base a los objetivos.")</f>
        <v>Cumplir con normativa y reglamentos internos del programa en base a los objetivos.</v>
      </c>
      <c r="K131" s="71">
        <f ca="1">IFERROR(__xludf.DUMMYFUNCTION("""COMPUTED_VALUE"""),154201010)</f>
        <v>154201010</v>
      </c>
      <c r="L131" s="72">
        <f ca="1">IFERROR(__xludf.DUMMYFUNCTION("""COMPUTED_VALUE"""),1)</f>
        <v>1</v>
      </c>
      <c r="M131" s="10">
        <f ca="1">IFERROR(__xludf.DUMMYFUNCTION("""COMPUTED_VALUE"""),1516)</f>
        <v>1516</v>
      </c>
      <c r="N131" s="10" t="str">
        <f ca="1">IFERROR(__xludf.DUMMYFUNCTION("""COMPUTED_VALUE"""),"PMU")</f>
        <v>PMU</v>
      </c>
      <c r="O131" s="1"/>
      <c r="P131" s="1"/>
      <c r="Q131" s="1"/>
      <c r="R131" s="1"/>
      <c r="S131" s="1"/>
      <c r="T131" s="1"/>
      <c r="U131" s="1"/>
      <c r="V131" s="1"/>
      <c r="W131" s="1"/>
      <c r="X131" s="1"/>
      <c r="Y131" s="1"/>
      <c r="Z131" s="1"/>
    </row>
    <row r="132" spans="1:26" ht="12.75" customHeight="1">
      <c r="A132" s="1"/>
      <c r="B132" s="10" t="str">
        <f ca="1">IFERROR(__xludf.DUMMYFUNCTION("""COMPUTED_VALUE"""),"CONSTRUCCIÓN SERVICIOS HIGIÉNICOS PÚBLICOS Y DE CONCEJO MUNICIPAL, LOCALIDAD DE COLCHANE")</f>
        <v>CONSTRUCCIÓN SERVICIOS HIGIÉNICOS PÚBLICOS Y DE CONCEJO MUNICIPAL, LOCALIDAD DE COLCHANE</v>
      </c>
      <c r="C132" s="10" t="str">
        <f ca="1">IFERROR(__xludf.DUMMYFUNCTION("""COMPUTED_VALUE"""),"1-C-2023-1864")</f>
        <v>1-C-2023-1864</v>
      </c>
      <c r="D132" s="26" t="str">
        <f t="shared" ca="1" si="0"/>
        <v xml:space="preserve"> COLCHANE</v>
      </c>
      <c r="E132" s="10" t="str">
        <f ca="1">IFERROR(__xludf.DUMMYFUNCTION("""COMPUTED_VALUE"""),"Guía Operativa")</f>
        <v>Guía Operativa</v>
      </c>
      <c r="F132" s="10" t="str">
        <f ca="1">IFERROR(__xludf.DUMMYFUNCTION("""COMPUTED_VALUE"""),"MUNICIPALIDAD DE COLCHANE")</f>
        <v>MUNICIPALIDAD DE COLCHANE</v>
      </c>
      <c r="G132" s="71">
        <f ca="1">IFERROR(__xludf.DUMMYFUNCTION("""COMPUTED_VALUE"""),112717946)</f>
        <v>112717946</v>
      </c>
      <c r="H132" s="10" t="str">
        <f ca="1">IFERROR(__xludf.DUMMYFUNCTION("""COMPUTED_VALUE"""),"Resolución")</f>
        <v>Resolución</v>
      </c>
      <c r="I132" s="10" t="str">
        <f ca="1">IFERROR(__xludf.DUMMYFUNCTION("""COMPUTED_VALUE"""),"OBRA")</f>
        <v>OBRA</v>
      </c>
      <c r="J132" s="10" t="str">
        <f ca="1">IFERROR(__xludf.DUMMYFUNCTION("""COMPUTED_VALUE"""),"Cumplir con normativa y reglamentos internos del programa en base a los objetivos.")</f>
        <v>Cumplir con normativa y reglamentos internos del programa en base a los objetivos.</v>
      </c>
      <c r="K132" s="71">
        <f ca="1">IFERROR(__xludf.DUMMYFUNCTION("""COMPUTED_VALUE"""),112717946)</f>
        <v>112717946</v>
      </c>
      <c r="L132" s="72">
        <f ca="1">IFERROR(__xludf.DUMMYFUNCTION("""COMPUTED_VALUE"""),1)</f>
        <v>1</v>
      </c>
      <c r="M132" s="10">
        <f ca="1">IFERROR(__xludf.DUMMYFUNCTION("""COMPUTED_VALUE"""),1350)</f>
        <v>1350</v>
      </c>
      <c r="N132" s="10" t="str">
        <f ca="1">IFERROR(__xludf.DUMMYFUNCTION("""COMPUTED_VALUE"""),"PMU")</f>
        <v>PMU</v>
      </c>
      <c r="O132" s="1"/>
      <c r="P132" s="1"/>
      <c r="Q132" s="1"/>
      <c r="R132" s="1"/>
      <c r="S132" s="1"/>
      <c r="T132" s="1"/>
      <c r="U132" s="1"/>
      <c r="V132" s="1"/>
      <c r="W132" s="1"/>
      <c r="X132" s="1"/>
      <c r="Y132" s="1"/>
      <c r="Z132" s="1"/>
    </row>
    <row r="133" spans="1:26" ht="12.75" customHeight="1">
      <c r="A133" s="1"/>
      <c r="B133" s="10" t="str">
        <f ca="1">IFERROR(__xludf.DUMMYFUNCTION("""COMPUTED_VALUE"""),"CSV MEJORAMIENTO ILUMINACIÓN ACCESO SECTOR EL BORO, COMUNA DE ALTO HOSPICIO")</f>
        <v>CSV MEJORAMIENTO ILUMINACIÓN ACCESO SECTOR EL BORO, COMUNA DE ALTO HOSPICIO</v>
      </c>
      <c r="C133" s="10" t="str">
        <f ca="1">IFERROR(__xludf.DUMMYFUNCTION("""COMPUTED_VALUE"""),"1-C-2023-2550")</f>
        <v>1-C-2023-2550</v>
      </c>
      <c r="D133" s="26" t="str">
        <f t="shared" ca="1" si="0"/>
        <v xml:space="preserve"> ALTO HOSPICIO</v>
      </c>
      <c r="E133" s="10" t="str">
        <f ca="1">IFERROR(__xludf.DUMMYFUNCTION("""COMPUTED_VALUE"""),"Guía Operativa")</f>
        <v>Guía Operativa</v>
      </c>
      <c r="F133" s="10" t="str">
        <f ca="1">IFERROR(__xludf.DUMMYFUNCTION("""COMPUTED_VALUE"""),"MUNICIPALIDAD DE ALTO HOSPICIO")</f>
        <v>MUNICIPALIDAD DE ALTO HOSPICIO</v>
      </c>
      <c r="G133" s="71">
        <f ca="1">IFERROR(__xludf.DUMMYFUNCTION("""COMPUTED_VALUE"""),137266457)</f>
        <v>137266457</v>
      </c>
      <c r="H133" s="10" t="str">
        <f ca="1">IFERROR(__xludf.DUMMYFUNCTION("""COMPUTED_VALUE"""),"Resolución")</f>
        <v>Resolución</v>
      </c>
      <c r="I133" s="10" t="str">
        <f ca="1">IFERROR(__xludf.DUMMYFUNCTION("""COMPUTED_VALUE"""),"OBRA")</f>
        <v>OBRA</v>
      </c>
      <c r="J133" s="10" t="str">
        <f ca="1">IFERROR(__xludf.DUMMYFUNCTION("""COMPUTED_VALUE"""),"Cumplir con normativa y reglamentos internos del programa en base a los objetivos.")</f>
        <v>Cumplir con normativa y reglamentos internos del programa en base a los objetivos.</v>
      </c>
      <c r="K133" s="71">
        <f ca="1">IFERROR(__xludf.DUMMYFUNCTION("""COMPUTED_VALUE"""),137266457)</f>
        <v>137266457</v>
      </c>
      <c r="L133" s="72">
        <f ca="1">IFERROR(__xludf.DUMMYFUNCTION("""COMPUTED_VALUE"""),1)</f>
        <v>1</v>
      </c>
      <c r="M133" s="10">
        <f ca="1">IFERROR(__xludf.DUMMYFUNCTION("""COMPUTED_VALUE"""),1327)</f>
        <v>1327</v>
      </c>
      <c r="N133" s="10" t="str">
        <f ca="1">IFERROR(__xludf.DUMMYFUNCTION("""COMPUTED_VALUE"""),"PMU")</f>
        <v>PMU</v>
      </c>
      <c r="O133" s="1"/>
      <c r="P133" s="1"/>
      <c r="Q133" s="1"/>
      <c r="R133" s="1"/>
      <c r="S133" s="1"/>
      <c r="T133" s="1"/>
      <c r="U133" s="1"/>
      <c r="V133" s="1"/>
      <c r="W133" s="1"/>
      <c r="X133" s="1"/>
      <c r="Y133" s="1"/>
      <c r="Z133" s="1"/>
    </row>
    <row r="134" spans="1:26" ht="12.75" customHeight="1">
      <c r="A134" s="1"/>
      <c r="B134" s="10" t="str">
        <f ca="1">IFERROR(__xludf.DUMMYFUNCTION("""COMPUTED_VALUE"""),"CSV MEJORAMIENTO ILUMINACIÓN AVENIDA LOS ÁLAMOS ENTRE AVENIDA LAS PARCELAS Y AVENIDA PARQUE V.T. 2, COMUNA DE ALTO HOSPICIO")</f>
        <v>CSV MEJORAMIENTO ILUMINACIÓN AVENIDA LOS ÁLAMOS ENTRE AVENIDA LAS PARCELAS Y AVENIDA PARQUE V.T. 2, COMUNA DE ALTO HOSPICIO</v>
      </c>
      <c r="C134" s="10" t="str">
        <f ca="1">IFERROR(__xludf.DUMMYFUNCTION("""COMPUTED_VALUE"""),"1-C-2023-2555")</f>
        <v>1-C-2023-2555</v>
      </c>
      <c r="D134" s="26" t="str">
        <f t="shared" ca="1" si="0"/>
        <v xml:space="preserve"> ALTO HOSPICIO</v>
      </c>
      <c r="E134" s="10" t="str">
        <f ca="1">IFERROR(__xludf.DUMMYFUNCTION("""COMPUTED_VALUE"""),"Guía Operativa")</f>
        <v>Guía Operativa</v>
      </c>
      <c r="F134" s="10" t="str">
        <f ca="1">IFERROR(__xludf.DUMMYFUNCTION("""COMPUTED_VALUE"""),"MUNICIPALIDAD DE ALTO HOSPICIO")</f>
        <v>MUNICIPALIDAD DE ALTO HOSPICIO</v>
      </c>
      <c r="G134" s="71">
        <f ca="1">IFERROR(__xludf.DUMMYFUNCTION("""COMPUTED_VALUE"""),38019634)</f>
        <v>38019634</v>
      </c>
      <c r="H134" s="10" t="str">
        <f ca="1">IFERROR(__xludf.DUMMYFUNCTION("""COMPUTED_VALUE"""),"Resolución")</f>
        <v>Resolución</v>
      </c>
      <c r="I134" s="10" t="str">
        <f ca="1">IFERROR(__xludf.DUMMYFUNCTION("""COMPUTED_VALUE"""),"OBRA")</f>
        <v>OBRA</v>
      </c>
      <c r="J134" s="10" t="str">
        <f ca="1">IFERROR(__xludf.DUMMYFUNCTION("""COMPUTED_VALUE"""),"Cumplir con normativa y reglamentos internos del programa en base a los objetivos.")</f>
        <v>Cumplir con normativa y reglamentos internos del programa en base a los objetivos.</v>
      </c>
      <c r="K134" s="71">
        <f ca="1">IFERROR(__xludf.DUMMYFUNCTION("""COMPUTED_VALUE"""),38019634)</f>
        <v>38019634</v>
      </c>
      <c r="L134" s="72">
        <f ca="1">IFERROR(__xludf.DUMMYFUNCTION("""COMPUTED_VALUE"""),1)</f>
        <v>1</v>
      </c>
      <c r="M134" s="10">
        <f ca="1">IFERROR(__xludf.DUMMYFUNCTION("""COMPUTED_VALUE"""),1327)</f>
        <v>1327</v>
      </c>
      <c r="N134" s="10" t="str">
        <f ca="1">IFERROR(__xludf.DUMMYFUNCTION("""COMPUTED_VALUE"""),"PMU")</f>
        <v>PMU</v>
      </c>
      <c r="O134" s="1"/>
      <c r="P134" s="1"/>
      <c r="Q134" s="1"/>
      <c r="R134" s="1"/>
      <c r="S134" s="1"/>
      <c r="T134" s="1"/>
      <c r="U134" s="1"/>
      <c r="V134" s="1"/>
      <c r="W134" s="1"/>
      <c r="X134" s="1"/>
      <c r="Y134" s="1"/>
      <c r="Z134" s="1"/>
    </row>
    <row r="135" spans="1:26" ht="12.75" customHeight="1">
      <c r="A135" s="1"/>
      <c r="B135" s="10" t="str">
        <f ca="1">IFERROR(__xludf.DUMMYFUNCTION("""COMPUTED_VALUE"""),"CSV MEJORAMIENTO ILUMINACIÓN ÁREAS VERDES AV. COSTANERA ALTO MOLLE V.T. 5, SECTOR LA PAMPA, COMUNA DE ALTO HOSPICIO")</f>
        <v>CSV MEJORAMIENTO ILUMINACIÓN ÁREAS VERDES AV. COSTANERA ALTO MOLLE V.T. 5, SECTOR LA PAMPA, COMUNA DE ALTO HOSPICIO</v>
      </c>
      <c r="C135" s="10" t="str">
        <f ca="1">IFERROR(__xludf.DUMMYFUNCTION("""COMPUTED_VALUE"""),"1-C-2023-2557")</f>
        <v>1-C-2023-2557</v>
      </c>
      <c r="D135" s="26" t="str">
        <f t="shared" ca="1" si="0"/>
        <v xml:space="preserve"> ALTO HOSPICIO</v>
      </c>
      <c r="E135" s="10" t="str">
        <f ca="1">IFERROR(__xludf.DUMMYFUNCTION("""COMPUTED_VALUE"""),"Guía Operativa")</f>
        <v>Guía Operativa</v>
      </c>
      <c r="F135" s="10" t="str">
        <f ca="1">IFERROR(__xludf.DUMMYFUNCTION("""COMPUTED_VALUE"""),"MUNICIPALIDAD DE ALTO HOSPICIO")</f>
        <v>MUNICIPALIDAD DE ALTO HOSPICIO</v>
      </c>
      <c r="G135" s="71">
        <f ca="1">IFERROR(__xludf.DUMMYFUNCTION("""COMPUTED_VALUE"""),43626888)</f>
        <v>43626888</v>
      </c>
      <c r="H135" s="10" t="str">
        <f ca="1">IFERROR(__xludf.DUMMYFUNCTION("""COMPUTED_VALUE"""),"Resolución")</f>
        <v>Resolución</v>
      </c>
      <c r="I135" s="10" t="str">
        <f ca="1">IFERROR(__xludf.DUMMYFUNCTION("""COMPUTED_VALUE"""),"OBRA")</f>
        <v>OBRA</v>
      </c>
      <c r="J135" s="10" t="str">
        <f ca="1">IFERROR(__xludf.DUMMYFUNCTION("""COMPUTED_VALUE"""),"Cumplir con normativa y reglamentos internos del programa en base a los objetivos.")</f>
        <v>Cumplir con normativa y reglamentos internos del programa en base a los objetivos.</v>
      </c>
      <c r="K135" s="71">
        <f ca="1">IFERROR(__xludf.DUMMYFUNCTION("""COMPUTED_VALUE"""),43626888)</f>
        <v>43626888</v>
      </c>
      <c r="L135" s="72">
        <f ca="1">IFERROR(__xludf.DUMMYFUNCTION("""COMPUTED_VALUE"""),1)</f>
        <v>1</v>
      </c>
      <c r="M135" s="10">
        <f ca="1">IFERROR(__xludf.DUMMYFUNCTION("""COMPUTED_VALUE"""),1327)</f>
        <v>1327</v>
      </c>
      <c r="N135" s="10" t="str">
        <f ca="1">IFERROR(__xludf.DUMMYFUNCTION("""COMPUTED_VALUE"""),"PMU")</f>
        <v>PMU</v>
      </c>
      <c r="O135" s="1"/>
      <c r="P135" s="1"/>
      <c r="Q135" s="1"/>
      <c r="R135" s="1"/>
      <c r="S135" s="1"/>
      <c r="T135" s="1"/>
      <c r="U135" s="1"/>
      <c r="V135" s="1"/>
      <c r="W135" s="1"/>
      <c r="X135" s="1"/>
      <c r="Y135" s="1"/>
      <c r="Z135" s="1"/>
    </row>
    <row r="136" spans="1:26" ht="12.75" customHeight="1">
      <c r="A136" s="1"/>
      <c r="B136" s="10" t="str">
        <f ca="1">IFERROR(__xludf.DUMMYFUNCTION("""COMPUTED_VALUE"""),"CSV MEJORAMIENTO ALUMBRADO PÚBLICO AV. COSTANERA ALTO MOLLE V.T. 5, SECTOR LA PAMPA, COMUNA DE ALTO HOSPICIO")</f>
        <v>CSV MEJORAMIENTO ALUMBRADO PÚBLICO AV. COSTANERA ALTO MOLLE V.T. 5, SECTOR LA PAMPA, COMUNA DE ALTO HOSPICIO</v>
      </c>
      <c r="C136" s="10" t="str">
        <f ca="1">IFERROR(__xludf.DUMMYFUNCTION("""COMPUTED_VALUE"""),"1-C-2023-2563")</f>
        <v>1-C-2023-2563</v>
      </c>
      <c r="D136" s="26" t="str">
        <f t="shared" ca="1" si="0"/>
        <v xml:space="preserve"> ALTO HOSPICIO</v>
      </c>
      <c r="E136" s="10" t="str">
        <f ca="1">IFERROR(__xludf.DUMMYFUNCTION("""COMPUTED_VALUE"""),"Guía Operativa")</f>
        <v>Guía Operativa</v>
      </c>
      <c r="F136" s="10" t="str">
        <f ca="1">IFERROR(__xludf.DUMMYFUNCTION("""COMPUTED_VALUE"""),"MUNICIPALIDAD DE ALTO HOSPICIO")</f>
        <v>MUNICIPALIDAD DE ALTO HOSPICIO</v>
      </c>
      <c r="G136" s="71">
        <f ca="1">IFERROR(__xludf.DUMMYFUNCTION("""COMPUTED_VALUE"""),126665857)</f>
        <v>126665857</v>
      </c>
      <c r="H136" s="10" t="str">
        <f ca="1">IFERROR(__xludf.DUMMYFUNCTION("""COMPUTED_VALUE"""),"Resolución")</f>
        <v>Resolución</v>
      </c>
      <c r="I136" s="10" t="str">
        <f ca="1">IFERROR(__xludf.DUMMYFUNCTION("""COMPUTED_VALUE"""),"OBRA")</f>
        <v>OBRA</v>
      </c>
      <c r="J136" s="10" t="str">
        <f ca="1">IFERROR(__xludf.DUMMYFUNCTION("""COMPUTED_VALUE"""),"Cumplir con normativa y reglamentos internos del programa en base a los objetivos.")</f>
        <v>Cumplir con normativa y reglamentos internos del programa en base a los objetivos.</v>
      </c>
      <c r="K136" s="71">
        <f ca="1">IFERROR(__xludf.DUMMYFUNCTION("""COMPUTED_VALUE"""),126665857)</f>
        <v>126665857</v>
      </c>
      <c r="L136" s="72">
        <f ca="1">IFERROR(__xludf.DUMMYFUNCTION("""COMPUTED_VALUE"""),1)</f>
        <v>1</v>
      </c>
      <c r="M136" s="10">
        <f ca="1">IFERROR(__xludf.DUMMYFUNCTION("""COMPUTED_VALUE"""),1327)</f>
        <v>1327</v>
      </c>
      <c r="N136" s="10" t="str">
        <f ca="1">IFERROR(__xludf.DUMMYFUNCTION("""COMPUTED_VALUE"""),"PMU")</f>
        <v>PMU</v>
      </c>
      <c r="O136" s="1"/>
      <c r="P136" s="1"/>
      <c r="Q136" s="1"/>
      <c r="R136" s="1"/>
      <c r="S136" s="1"/>
      <c r="T136" s="1"/>
      <c r="U136" s="1"/>
      <c r="V136" s="1"/>
      <c r="W136" s="1"/>
      <c r="X136" s="1"/>
      <c r="Y136" s="1"/>
      <c r="Z136" s="1"/>
    </row>
    <row r="137" spans="1:26" ht="12.75" customHeight="1">
      <c r="A137" s="1"/>
      <c r="B137" s="10" t="str">
        <f ca="1">IFERROR(__xludf.DUMMYFUNCTION("""COMPUTED_VALUE"""),"[SATE] REPOSICIÓN DE CUBIERTA ESTADIO LA CALETA, COMUNA DE TALTAL.")</f>
        <v>[SATE] REPOSICIÓN DE CUBIERTA ESTADIO LA CALETA, COMUNA DE TALTAL.</v>
      </c>
      <c r="C137" s="10" t="str">
        <f ca="1">IFERROR(__xludf.DUMMYFUNCTION("""COMPUTED_VALUE"""),"1-C-2023-1244")</f>
        <v>1-C-2023-1244</v>
      </c>
      <c r="D137" s="26" t="str">
        <f t="shared" ca="1" si="0"/>
        <v xml:space="preserve"> TALTAL</v>
      </c>
      <c r="E137" s="10" t="str">
        <f ca="1">IFERROR(__xludf.DUMMYFUNCTION("""COMPUTED_VALUE"""),"Guía Operativa")</f>
        <v>Guía Operativa</v>
      </c>
      <c r="F137" s="10" t="str">
        <f ca="1">IFERROR(__xludf.DUMMYFUNCTION("""COMPUTED_VALUE"""),"MUNICIPALIDAD DE TALTAL")</f>
        <v>MUNICIPALIDAD DE TALTAL</v>
      </c>
      <c r="G137" s="71">
        <f ca="1">IFERROR(__xludf.DUMMYFUNCTION("""COMPUTED_VALUE"""),154422367)</f>
        <v>154422367</v>
      </c>
      <c r="H137" s="10" t="str">
        <f ca="1">IFERROR(__xludf.DUMMYFUNCTION("""COMPUTED_VALUE"""),"Resolución")</f>
        <v>Resolución</v>
      </c>
      <c r="I137" s="10" t="str">
        <f ca="1">IFERROR(__xludf.DUMMYFUNCTION("""COMPUTED_VALUE"""),"OBRA")</f>
        <v>OBRA</v>
      </c>
      <c r="J137" s="10" t="str">
        <f ca="1">IFERROR(__xludf.DUMMYFUNCTION("""COMPUTED_VALUE"""),"Cumplir con normativa y reglamentos internos del programa en base a los objetivos.")</f>
        <v>Cumplir con normativa y reglamentos internos del programa en base a los objetivos.</v>
      </c>
      <c r="K137" s="71">
        <f ca="1">IFERROR(__xludf.DUMMYFUNCTION("""COMPUTED_VALUE"""),154422367)</f>
        <v>154422367</v>
      </c>
      <c r="L137" s="72">
        <f ca="1">IFERROR(__xludf.DUMMYFUNCTION("""COMPUTED_VALUE"""),1)</f>
        <v>1</v>
      </c>
      <c r="M137" s="10">
        <f ca="1">IFERROR(__xludf.DUMMYFUNCTION("""COMPUTED_VALUE"""),1736)</f>
        <v>1736</v>
      </c>
      <c r="N137" s="10" t="str">
        <f ca="1">IFERROR(__xludf.DUMMYFUNCTION("""COMPUTED_VALUE"""),"PMU")</f>
        <v>PMU</v>
      </c>
      <c r="O137" s="1"/>
      <c r="P137" s="1"/>
      <c r="Q137" s="1"/>
      <c r="R137" s="1"/>
      <c r="S137" s="1"/>
      <c r="T137" s="1"/>
      <c r="U137" s="1"/>
      <c r="V137" s="1"/>
      <c r="W137" s="1"/>
      <c r="X137" s="1"/>
      <c r="Y137" s="1"/>
      <c r="Z137" s="1"/>
    </row>
    <row r="138" spans="1:26" ht="12.75" customHeight="1">
      <c r="A138" s="1"/>
      <c r="B138" s="10" t="str">
        <f ca="1">IFERROR(__xludf.DUMMYFUNCTION("""COMPUTED_VALUE"""),"EXTENSIÓN ALUMBRADO PÚBLICO PSJE INTERIOR (CAMACHO),SECTOR AV. LA PAZ 678 ENTRE PSJE BERNA Y AV. LOS SUSPIROS PLAN CALLE SIN VIOLENCIA, COMUNA CALAMA")</f>
        <v>EXTENSIÓN ALUMBRADO PÚBLICO PSJE INTERIOR (CAMACHO),SECTOR AV. LA PAZ 678 ENTRE PSJE BERNA Y AV. LOS SUSPIROS PLAN CALLE SIN VIOLENCIA, COMUNA CALAMA</v>
      </c>
      <c r="C138" s="10" t="str">
        <f ca="1">IFERROR(__xludf.DUMMYFUNCTION("""COMPUTED_VALUE"""),"1-C-2023-1939")</f>
        <v>1-C-2023-1939</v>
      </c>
      <c r="D138" s="26" t="str">
        <f t="shared" ca="1" si="0"/>
        <v xml:space="preserve"> CALAMA</v>
      </c>
      <c r="E138" s="10" t="str">
        <f ca="1">IFERROR(__xludf.DUMMYFUNCTION("""COMPUTED_VALUE"""),"Guía Operativa")</f>
        <v>Guía Operativa</v>
      </c>
      <c r="F138" s="10" t="str">
        <f ca="1">IFERROR(__xludf.DUMMYFUNCTION("""COMPUTED_VALUE"""),"MUNICIPALIDAD DE CALAMA")</f>
        <v>MUNICIPALIDAD DE CALAMA</v>
      </c>
      <c r="G138" s="71">
        <f ca="1">IFERROR(__xludf.DUMMYFUNCTION("""COMPUTED_VALUE"""),71459186)</f>
        <v>71459186</v>
      </c>
      <c r="H138" s="10" t="str">
        <f ca="1">IFERROR(__xludf.DUMMYFUNCTION("""COMPUTED_VALUE"""),"Resolución")</f>
        <v>Resolución</v>
      </c>
      <c r="I138" s="10" t="str">
        <f ca="1">IFERROR(__xludf.DUMMYFUNCTION("""COMPUTED_VALUE"""),"OBRA")</f>
        <v>OBRA</v>
      </c>
      <c r="J138" s="10" t="str">
        <f ca="1">IFERROR(__xludf.DUMMYFUNCTION("""COMPUTED_VALUE"""),"Cumplir con normativa y reglamentos internos del programa en base a los objetivos.")</f>
        <v>Cumplir con normativa y reglamentos internos del programa en base a los objetivos.</v>
      </c>
      <c r="K138" s="71">
        <f ca="1">IFERROR(__xludf.DUMMYFUNCTION("""COMPUTED_VALUE"""),71459186)</f>
        <v>71459186</v>
      </c>
      <c r="L138" s="72">
        <f ca="1">IFERROR(__xludf.DUMMYFUNCTION("""COMPUTED_VALUE"""),1)</f>
        <v>1</v>
      </c>
      <c r="M138" s="10">
        <f ca="1">IFERROR(__xludf.DUMMYFUNCTION("""COMPUTED_VALUE"""),851)</f>
        <v>851</v>
      </c>
      <c r="N138" s="10" t="str">
        <f ca="1">IFERROR(__xludf.DUMMYFUNCTION("""COMPUTED_VALUE"""),"PMU")</f>
        <v>PMU</v>
      </c>
      <c r="O138" s="1"/>
      <c r="P138" s="1"/>
      <c r="Q138" s="1"/>
      <c r="R138" s="1"/>
      <c r="S138" s="1"/>
      <c r="T138" s="1"/>
      <c r="U138" s="1"/>
      <c r="V138" s="1"/>
      <c r="W138" s="1"/>
      <c r="X138" s="1"/>
      <c r="Y138" s="1"/>
      <c r="Z138" s="1"/>
    </row>
    <row r="139" spans="1:26" ht="12.75" customHeight="1">
      <c r="A139" s="1"/>
      <c r="B139" s="10" t="str">
        <f ca="1">IFERROR(__xludf.DUMMYFUNCTION("""COMPUTED_VALUE"""),"HABILITACIÓN DEL SISTEMA DE ALUMBRADO PÚBLICO EN PLAZOLETA VILLA CASPANA PLAN CALLE SIN VIOLENCIA, COMUNA DE CALAMA")</f>
        <v>HABILITACIÓN DEL SISTEMA DE ALUMBRADO PÚBLICO EN PLAZOLETA VILLA CASPANA PLAN CALLE SIN VIOLENCIA, COMUNA DE CALAMA</v>
      </c>
      <c r="C139" s="10" t="str">
        <f ca="1">IFERROR(__xludf.DUMMYFUNCTION("""COMPUTED_VALUE"""),"1-C-2023-1940")</f>
        <v>1-C-2023-1940</v>
      </c>
      <c r="D139" s="26" t="str">
        <f t="shared" ca="1" si="0"/>
        <v xml:space="preserve"> CALAMA</v>
      </c>
      <c r="E139" s="10" t="str">
        <f ca="1">IFERROR(__xludf.DUMMYFUNCTION("""COMPUTED_VALUE"""),"Guía Operativa")</f>
        <v>Guía Operativa</v>
      </c>
      <c r="F139" s="10" t="str">
        <f ca="1">IFERROR(__xludf.DUMMYFUNCTION("""COMPUTED_VALUE"""),"MUNICIPALIDAD DE CALAMA")</f>
        <v>MUNICIPALIDAD DE CALAMA</v>
      </c>
      <c r="G139" s="71">
        <f ca="1">IFERROR(__xludf.DUMMYFUNCTION("""COMPUTED_VALUE"""),59920110)</f>
        <v>59920110</v>
      </c>
      <c r="H139" s="10" t="str">
        <f ca="1">IFERROR(__xludf.DUMMYFUNCTION("""COMPUTED_VALUE"""),"Resolución")</f>
        <v>Resolución</v>
      </c>
      <c r="I139" s="10" t="str">
        <f ca="1">IFERROR(__xludf.DUMMYFUNCTION("""COMPUTED_VALUE"""),"OBRA")</f>
        <v>OBRA</v>
      </c>
      <c r="J139" s="10" t="str">
        <f ca="1">IFERROR(__xludf.DUMMYFUNCTION("""COMPUTED_VALUE"""),"Cumplir con normativa y reglamentos internos del programa en base a los objetivos.")</f>
        <v>Cumplir con normativa y reglamentos internos del programa en base a los objetivos.</v>
      </c>
      <c r="K139" s="71">
        <f ca="1">IFERROR(__xludf.DUMMYFUNCTION("""COMPUTED_VALUE"""),59920110)</f>
        <v>59920110</v>
      </c>
      <c r="L139" s="72">
        <f ca="1">IFERROR(__xludf.DUMMYFUNCTION("""COMPUTED_VALUE"""),1)</f>
        <v>1</v>
      </c>
      <c r="M139" s="10">
        <f ca="1">IFERROR(__xludf.DUMMYFUNCTION("""COMPUTED_VALUE"""),851)</f>
        <v>851</v>
      </c>
      <c r="N139" s="10" t="str">
        <f ca="1">IFERROR(__xludf.DUMMYFUNCTION("""COMPUTED_VALUE"""),"PMU")</f>
        <v>PMU</v>
      </c>
      <c r="O139" s="1"/>
      <c r="P139" s="1"/>
      <c r="Q139" s="1"/>
      <c r="R139" s="1"/>
      <c r="S139" s="1"/>
      <c r="T139" s="1"/>
      <c r="U139" s="1"/>
      <c r="V139" s="1"/>
      <c r="W139" s="1"/>
      <c r="X139" s="1"/>
      <c r="Y139" s="1"/>
      <c r="Z139" s="1"/>
    </row>
    <row r="140" spans="1:26" ht="12.75" customHeight="1">
      <c r="A140" s="1"/>
      <c r="B140" s="10" t="str">
        <f ca="1">IFERROR(__xludf.DUMMYFUNCTION("""COMPUTED_VALUE"""),"HABILITACIÓN SISTEMA ALUMBRADO PÚBLICO EN PLAZOLETA DEL PSJE SALAR LLAMARÁ ENTRE SALAR PAMPA BLANCA Y SALAR DE ASCOTÁN, PLAN CSV, COMUNA DE CALAMA")</f>
        <v>HABILITACIÓN SISTEMA ALUMBRADO PÚBLICO EN PLAZOLETA DEL PSJE SALAR LLAMARÁ ENTRE SALAR PAMPA BLANCA Y SALAR DE ASCOTÁN, PLAN CSV, COMUNA DE CALAMA</v>
      </c>
      <c r="C140" s="10" t="str">
        <f ca="1">IFERROR(__xludf.DUMMYFUNCTION("""COMPUTED_VALUE"""),"1-C-2023-1941")</f>
        <v>1-C-2023-1941</v>
      </c>
      <c r="D140" s="26" t="str">
        <f t="shared" ca="1" si="0"/>
        <v xml:space="preserve"> CALAMA</v>
      </c>
      <c r="E140" s="10" t="str">
        <f ca="1">IFERROR(__xludf.DUMMYFUNCTION("""COMPUTED_VALUE"""),"Guía Operativa")</f>
        <v>Guía Operativa</v>
      </c>
      <c r="F140" s="10" t="str">
        <f ca="1">IFERROR(__xludf.DUMMYFUNCTION("""COMPUTED_VALUE"""),"MUNICIPALIDAD DE CALAMA")</f>
        <v>MUNICIPALIDAD DE CALAMA</v>
      </c>
      <c r="G140" s="71">
        <f ca="1">IFERROR(__xludf.DUMMYFUNCTION("""COMPUTED_VALUE"""),43751798)</f>
        <v>43751798</v>
      </c>
      <c r="H140" s="10" t="str">
        <f ca="1">IFERROR(__xludf.DUMMYFUNCTION("""COMPUTED_VALUE"""),"Resolución")</f>
        <v>Resolución</v>
      </c>
      <c r="I140" s="10" t="str">
        <f ca="1">IFERROR(__xludf.DUMMYFUNCTION("""COMPUTED_VALUE"""),"OBRA")</f>
        <v>OBRA</v>
      </c>
      <c r="J140" s="10" t="str">
        <f ca="1">IFERROR(__xludf.DUMMYFUNCTION("""COMPUTED_VALUE"""),"Cumplir con normativa y reglamentos internos del programa en base a los objetivos.")</f>
        <v>Cumplir con normativa y reglamentos internos del programa en base a los objetivos.</v>
      </c>
      <c r="K140" s="71">
        <f ca="1">IFERROR(__xludf.DUMMYFUNCTION("""COMPUTED_VALUE"""),43751798)</f>
        <v>43751798</v>
      </c>
      <c r="L140" s="72">
        <f ca="1">IFERROR(__xludf.DUMMYFUNCTION("""COMPUTED_VALUE"""),1)</f>
        <v>1</v>
      </c>
      <c r="M140" s="10">
        <f ca="1">IFERROR(__xludf.DUMMYFUNCTION("""COMPUTED_VALUE"""),851)</f>
        <v>851</v>
      </c>
      <c r="N140" s="10" t="str">
        <f ca="1">IFERROR(__xludf.DUMMYFUNCTION("""COMPUTED_VALUE"""),"PMU")</f>
        <v>PMU</v>
      </c>
      <c r="O140" s="1"/>
      <c r="P140" s="1"/>
      <c r="Q140" s="1"/>
      <c r="R140" s="1"/>
      <c r="S140" s="1"/>
      <c r="T140" s="1"/>
      <c r="U140" s="1"/>
      <c r="V140" s="1"/>
      <c r="W140" s="1"/>
      <c r="X140" s="1"/>
      <c r="Y140" s="1"/>
      <c r="Z140" s="1"/>
    </row>
    <row r="141" spans="1:26" ht="12.75" customHeight="1">
      <c r="A141" s="1"/>
      <c r="B141" s="10" t="str">
        <f ca="1">IFERROR(__xludf.DUMMYFUNCTION("""COMPUTED_VALUE"""),"REPOSICIÓN DE ALUMBRADO PÚBLICO AVDA. HENRIQUEZ, TRAMO CALETERA SUR CON AVDA. EL PALOMAR, COPIAPÓ")</f>
        <v>REPOSICIÓN DE ALUMBRADO PÚBLICO AVDA. HENRIQUEZ, TRAMO CALETERA SUR CON AVDA. EL PALOMAR, COPIAPÓ</v>
      </c>
      <c r="C141" s="10" t="str">
        <f ca="1">IFERROR(__xludf.DUMMYFUNCTION("""COMPUTED_VALUE"""),"1-C-2023-3061")</f>
        <v>1-C-2023-3061</v>
      </c>
      <c r="D141" s="26" t="str">
        <f t="shared" ca="1" si="0"/>
        <v xml:space="preserve"> COPIAPÓ</v>
      </c>
      <c r="E141" s="10" t="str">
        <f ca="1">IFERROR(__xludf.DUMMYFUNCTION("""COMPUTED_VALUE"""),"Guía Operativa")</f>
        <v>Guía Operativa</v>
      </c>
      <c r="F141" s="10" t="str">
        <f ca="1">IFERROR(__xludf.DUMMYFUNCTION("""COMPUTED_VALUE"""),"MUNICIPALIDAD DE COPIAPÓ")</f>
        <v>MUNICIPALIDAD DE COPIAPÓ</v>
      </c>
      <c r="G141" s="71">
        <f ca="1">IFERROR(__xludf.DUMMYFUNCTION("""COMPUTED_VALUE"""),154434989)</f>
        <v>154434989</v>
      </c>
      <c r="H141" s="10" t="str">
        <f ca="1">IFERROR(__xludf.DUMMYFUNCTION("""COMPUTED_VALUE"""),"Resolución")</f>
        <v>Resolución</v>
      </c>
      <c r="I141" s="10" t="str">
        <f ca="1">IFERROR(__xludf.DUMMYFUNCTION("""COMPUTED_VALUE"""),"OBRA")</f>
        <v>OBRA</v>
      </c>
      <c r="J141" s="10" t="str">
        <f ca="1">IFERROR(__xludf.DUMMYFUNCTION("""COMPUTED_VALUE"""),"Cumplir con normativa y reglamentos internos del programa en base a los objetivos.")</f>
        <v>Cumplir con normativa y reglamentos internos del programa en base a los objetivos.</v>
      </c>
      <c r="K141" s="71">
        <f ca="1">IFERROR(__xludf.DUMMYFUNCTION("""COMPUTED_VALUE"""),154434989)</f>
        <v>154434989</v>
      </c>
      <c r="L141" s="72">
        <f ca="1">IFERROR(__xludf.DUMMYFUNCTION("""COMPUTED_VALUE"""),1)</f>
        <v>1</v>
      </c>
      <c r="M141" s="10">
        <f ca="1">IFERROR(__xludf.DUMMYFUNCTION("""COMPUTED_VALUE"""),643)</f>
        <v>643</v>
      </c>
      <c r="N141" s="10" t="str">
        <f ca="1">IFERROR(__xludf.DUMMYFUNCTION("""COMPUTED_VALUE"""),"PMU")</f>
        <v>PMU</v>
      </c>
      <c r="O141" s="1"/>
      <c r="P141" s="1"/>
      <c r="Q141" s="1"/>
      <c r="R141" s="1"/>
      <c r="S141" s="1"/>
      <c r="T141" s="1"/>
      <c r="U141" s="1"/>
      <c r="V141" s="1"/>
      <c r="W141" s="1"/>
      <c r="X141" s="1"/>
      <c r="Y141" s="1"/>
      <c r="Z141" s="1"/>
    </row>
    <row r="142" spans="1:26" ht="12.75" customHeight="1">
      <c r="A142" s="1"/>
      <c r="B142" s="10" t="str">
        <f ca="1">IFERROR(__xludf.DUMMYFUNCTION("""COMPUTED_VALUE"""),"REPOSICIÓN DE ALUMBRADO PUBLICO POBLACIÓN JOTABECHE, COPIAPO")</f>
        <v>REPOSICIÓN DE ALUMBRADO PUBLICO POBLACIÓN JOTABECHE, COPIAPO</v>
      </c>
      <c r="C142" s="10" t="str">
        <f ca="1">IFERROR(__xludf.DUMMYFUNCTION("""COMPUTED_VALUE"""),"1-C-2023-3064")</f>
        <v>1-C-2023-3064</v>
      </c>
      <c r="D142" s="26" t="str">
        <f t="shared" ca="1" si="0"/>
        <v xml:space="preserve"> COPIAPÓ</v>
      </c>
      <c r="E142" s="10" t="str">
        <f ca="1">IFERROR(__xludf.DUMMYFUNCTION("""COMPUTED_VALUE"""),"Guía Operativa")</f>
        <v>Guía Operativa</v>
      </c>
      <c r="F142" s="10" t="str">
        <f ca="1">IFERROR(__xludf.DUMMYFUNCTION("""COMPUTED_VALUE"""),"MUNICIPALIDAD DE COPIAPÓ")</f>
        <v>MUNICIPALIDAD DE COPIAPÓ</v>
      </c>
      <c r="G142" s="71">
        <f ca="1">IFERROR(__xludf.DUMMYFUNCTION("""COMPUTED_VALUE"""),54423383)</f>
        <v>54423383</v>
      </c>
      <c r="H142" s="10" t="str">
        <f ca="1">IFERROR(__xludf.DUMMYFUNCTION("""COMPUTED_VALUE"""),"Resolución")</f>
        <v>Resolución</v>
      </c>
      <c r="I142" s="10" t="str">
        <f ca="1">IFERROR(__xludf.DUMMYFUNCTION("""COMPUTED_VALUE"""),"OBRA")</f>
        <v>OBRA</v>
      </c>
      <c r="J142" s="10" t="str">
        <f ca="1">IFERROR(__xludf.DUMMYFUNCTION("""COMPUTED_VALUE"""),"Cumplir con normativa y reglamentos internos del programa en base a los objetivos.")</f>
        <v>Cumplir con normativa y reglamentos internos del programa en base a los objetivos.</v>
      </c>
      <c r="K142" s="71">
        <f ca="1">IFERROR(__xludf.DUMMYFUNCTION("""COMPUTED_VALUE"""),54423383)</f>
        <v>54423383</v>
      </c>
      <c r="L142" s="72">
        <f ca="1">IFERROR(__xludf.DUMMYFUNCTION("""COMPUTED_VALUE"""),1)</f>
        <v>1</v>
      </c>
      <c r="M142" s="10">
        <f ca="1">IFERROR(__xludf.DUMMYFUNCTION("""COMPUTED_VALUE"""),643)</f>
        <v>643</v>
      </c>
      <c r="N142" s="10" t="str">
        <f ca="1">IFERROR(__xludf.DUMMYFUNCTION("""COMPUTED_VALUE"""),"PMU")</f>
        <v>PMU</v>
      </c>
      <c r="O142" s="1"/>
      <c r="P142" s="1"/>
      <c r="Q142" s="1"/>
      <c r="R142" s="1"/>
      <c r="S142" s="1"/>
      <c r="T142" s="1"/>
      <c r="U142" s="1"/>
      <c r="V142" s="1"/>
      <c r="W142" s="1"/>
      <c r="X142" s="1"/>
      <c r="Y142" s="1"/>
      <c r="Z142" s="1"/>
    </row>
    <row r="143" spans="1:26" ht="12.75" customHeight="1">
      <c r="A143" s="1"/>
      <c r="B143" s="10" t="str">
        <f ca="1">IFERROR(__xludf.DUMMYFUNCTION("""COMPUTED_VALUE"""),"REPOSICIÓN DE ALUMBRADO PUBLICO VILLA ESPERANZA, COPIAPO")</f>
        <v>REPOSICIÓN DE ALUMBRADO PUBLICO VILLA ESPERANZA, COPIAPO</v>
      </c>
      <c r="C143" s="10" t="str">
        <f ca="1">IFERROR(__xludf.DUMMYFUNCTION("""COMPUTED_VALUE"""),"1-C-2023-3065")</f>
        <v>1-C-2023-3065</v>
      </c>
      <c r="D143" s="26" t="str">
        <f t="shared" ca="1" si="0"/>
        <v xml:space="preserve"> COPIAPÓ</v>
      </c>
      <c r="E143" s="10" t="str">
        <f ca="1">IFERROR(__xludf.DUMMYFUNCTION("""COMPUTED_VALUE"""),"Guía Operativa")</f>
        <v>Guía Operativa</v>
      </c>
      <c r="F143" s="10" t="str">
        <f ca="1">IFERROR(__xludf.DUMMYFUNCTION("""COMPUTED_VALUE"""),"MUNICIPALIDAD DE COPIAPÓ")</f>
        <v>MUNICIPALIDAD DE COPIAPÓ</v>
      </c>
      <c r="G143" s="71">
        <f ca="1">IFERROR(__xludf.DUMMYFUNCTION("""COMPUTED_VALUE"""),136965989)</f>
        <v>136965989</v>
      </c>
      <c r="H143" s="10" t="str">
        <f ca="1">IFERROR(__xludf.DUMMYFUNCTION("""COMPUTED_VALUE"""),"Resolución")</f>
        <v>Resolución</v>
      </c>
      <c r="I143" s="10" t="str">
        <f ca="1">IFERROR(__xludf.DUMMYFUNCTION("""COMPUTED_VALUE"""),"OBRA")</f>
        <v>OBRA</v>
      </c>
      <c r="J143" s="10" t="str">
        <f ca="1">IFERROR(__xludf.DUMMYFUNCTION("""COMPUTED_VALUE"""),"Cumplir con normativa y reglamentos internos del programa en base a los objetivos.")</f>
        <v>Cumplir con normativa y reglamentos internos del programa en base a los objetivos.</v>
      </c>
      <c r="K143" s="71">
        <f ca="1">IFERROR(__xludf.DUMMYFUNCTION("""COMPUTED_VALUE"""),136965989)</f>
        <v>136965989</v>
      </c>
      <c r="L143" s="72">
        <f ca="1">IFERROR(__xludf.DUMMYFUNCTION("""COMPUTED_VALUE"""),1)</f>
        <v>1</v>
      </c>
      <c r="M143" s="10">
        <f ca="1">IFERROR(__xludf.DUMMYFUNCTION("""COMPUTED_VALUE"""),643)</f>
        <v>643</v>
      </c>
      <c r="N143" s="10" t="str">
        <f ca="1">IFERROR(__xludf.DUMMYFUNCTION("""COMPUTED_VALUE"""),"PMU")</f>
        <v>PMU</v>
      </c>
      <c r="O143" s="1"/>
      <c r="P143" s="1"/>
      <c r="Q143" s="1"/>
      <c r="R143" s="1"/>
      <c r="S143" s="1"/>
      <c r="T143" s="1"/>
      <c r="U143" s="1"/>
      <c r="V143" s="1"/>
      <c r="W143" s="1"/>
      <c r="X143" s="1"/>
      <c r="Y143" s="1"/>
      <c r="Z143" s="1"/>
    </row>
    <row r="144" spans="1:26" ht="12.75" customHeight="1">
      <c r="A144" s="1"/>
      <c r="B144" s="10" t="str">
        <f ca="1">IFERROR(__xludf.DUMMYFUNCTION("""COMPUTED_VALUE"""),"REPOSICIÓN DE ALUMBRADO PÚBLICO AVDA. COPAYAPU SUR, TRAMO MAIPÚ Y MUNDO NUEVO, COPIAPÓ")</f>
        <v>REPOSICIÓN DE ALUMBRADO PÚBLICO AVDA. COPAYAPU SUR, TRAMO MAIPÚ Y MUNDO NUEVO, COPIAPÓ</v>
      </c>
      <c r="C144" s="10" t="str">
        <f ca="1">IFERROR(__xludf.DUMMYFUNCTION("""COMPUTED_VALUE"""),"1-C-2023-3265")</f>
        <v>1-C-2023-3265</v>
      </c>
      <c r="D144" s="26" t="str">
        <f t="shared" ca="1" si="0"/>
        <v xml:space="preserve"> COPIAPÓ</v>
      </c>
      <c r="E144" s="10" t="str">
        <f ca="1">IFERROR(__xludf.DUMMYFUNCTION("""COMPUTED_VALUE"""),"Guía Operativa")</f>
        <v>Guía Operativa</v>
      </c>
      <c r="F144" s="10" t="str">
        <f ca="1">IFERROR(__xludf.DUMMYFUNCTION("""COMPUTED_VALUE"""),"MUNICIPALIDAD DE COPIAPÓ")</f>
        <v>MUNICIPALIDAD DE COPIAPÓ</v>
      </c>
      <c r="G144" s="71">
        <f ca="1">IFERROR(__xludf.DUMMYFUNCTION("""COMPUTED_VALUE"""),87536139)</f>
        <v>87536139</v>
      </c>
      <c r="H144" s="10" t="str">
        <f ca="1">IFERROR(__xludf.DUMMYFUNCTION("""COMPUTED_VALUE"""),"Resolución")</f>
        <v>Resolución</v>
      </c>
      <c r="I144" s="10" t="str">
        <f ca="1">IFERROR(__xludf.DUMMYFUNCTION("""COMPUTED_VALUE"""),"OBRA")</f>
        <v>OBRA</v>
      </c>
      <c r="J144" s="10" t="str">
        <f ca="1">IFERROR(__xludf.DUMMYFUNCTION("""COMPUTED_VALUE"""),"Cumplir con normativa y reglamentos internos del programa en base a los objetivos.")</f>
        <v>Cumplir con normativa y reglamentos internos del programa en base a los objetivos.</v>
      </c>
      <c r="K144" s="71">
        <f ca="1">IFERROR(__xludf.DUMMYFUNCTION("""COMPUTED_VALUE"""),87536139)</f>
        <v>87536139</v>
      </c>
      <c r="L144" s="72">
        <f ca="1">IFERROR(__xludf.DUMMYFUNCTION("""COMPUTED_VALUE"""),1)</f>
        <v>1</v>
      </c>
      <c r="M144" s="10">
        <f ca="1">IFERROR(__xludf.DUMMYFUNCTION("""COMPUTED_VALUE"""),643)</f>
        <v>643</v>
      </c>
      <c r="N144" s="10" t="str">
        <f ca="1">IFERROR(__xludf.DUMMYFUNCTION("""COMPUTED_VALUE"""),"PMU")</f>
        <v>PMU</v>
      </c>
      <c r="O144" s="1"/>
      <c r="P144" s="1"/>
      <c r="Q144" s="1"/>
      <c r="R144" s="1"/>
      <c r="S144" s="1"/>
      <c r="T144" s="1"/>
      <c r="U144" s="1"/>
      <c r="V144" s="1"/>
      <c r="W144" s="1"/>
      <c r="X144" s="1"/>
      <c r="Y144" s="1"/>
      <c r="Z144" s="1"/>
    </row>
    <row r="145" spans="1:26" ht="12.75" customHeight="1">
      <c r="A145" s="1"/>
      <c r="B145" s="10" t="str">
        <f ca="1">IFERROR(__xludf.DUMMYFUNCTION("""COMPUTED_VALUE"""),"SPI CONSTRUCCIÓN SALA DE PROCESOS COMUNITARIA")</f>
        <v>SPI CONSTRUCCIÓN SALA DE PROCESOS COMUNITARIA</v>
      </c>
      <c r="C145" s="10" t="str">
        <f ca="1">IFERROR(__xludf.DUMMYFUNCTION("""COMPUTED_VALUE"""),"1-C-2021-1745 [FET]")</f>
        <v>1-C-2021-1745 [FET]</v>
      </c>
      <c r="D145" s="26" t="str">
        <f t="shared" ca="1" si="0"/>
        <v xml:space="preserve"> PAIGUANO</v>
      </c>
      <c r="E145" s="10" t="str">
        <f ca="1">IFERROR(__xludf.DUMMYFUNCTION("""COMPUTED_VALUE"""),"Guía Operativa")</f>
        <v>Guía Operativa</v>
      </c>
      <c r="F145" s="10" t="str">
        <f ca="1">IFERROR(__xludf.DUMMYFUNCTION("""COMPUTED_VALUE"""),"MUNICIPALIDAD DE PAIGUANO")</f>
        <v>MUNICIPALIDAD DE PAIGUANO</v>
      </c>
      <c r="G145" s="71">
        <f ca="1">IFERROR(__xludf.DUMMYFUNCTION("""COMPUTED_VALUE"""),97498264)</f>
        <v>97498264</v>
      </c>
      <c r="H145" s="10" t="str">
        <f ca="1">IFERROR(__xludf.DUMMYFUNCTION("""COMPUTED_VALUE"""),"Resolución")</f>
        <v>Resolución</v>
      </c>
      <c r="I145" s="10" t="str">
        <f ca="1">IFERROR(__xludf.DUMMYFUNCTION("""COMPUTED_VALUE"""),"OBRA")</f>
        <v>OBRA</v>
      </c>
      <c r="J145" s="10" t="str">
        <f ca="1">IFERROR(__xludf.DUMMYFUNCTION("""COMPUTED_VALUE"""),"Cumplir con normativa y reglamentos internos del programa en base a los objetivos.")</f>
        <v>Cumplir con normativa y reglamentos internos del programa en base a los objetivos.</v>
      </c>
      <c r="K145" s="71">
        <f ca="1">IFERROR(__xludf.DUMMYFUNCTION("""COMPUTED_VALUE"""),22502517)</f>
        <v>22502517</v>
      </c>
      <c r="L145" s="72">
        <f ca="1">IFERROR(__xludf.DUMMYFUNCTION("""COMPUTED_VALUE"""),1)</f>
        <v>1</v>
      </c>
      <c r="M145" s="10">
        <f ca="1">IFERROR(__xludf.DUMMYFUNCTION("""COMPUTED_VALUE"""),4041)</f>
        <v>4041</v>
      </c>
      <c r="N145" s="10" t="str">
        <f ca="1">IFERROR(__xludf.DUMMYFUNCTION("""COMPUTED_VALUE"""),"PMU")</f>
        <v>PMU</v>
      </c>
      <c r="O145" s="1"/>
      <c r="P145" s="1"/>
      <c r="Q145" s="1"/>
      <c r="R145" s="1"/>
      <c r="S145" s="1"/>
      <c r="T145" s="1"/>
      <c r="U145" s="1"/>
      <c r="V145" s="1"/>
      <c r="W145" s="1"/>
      <c r="X145" s="1"/>
      <c r="Y145" s="1"/>
      <c r="Z145" s="1"/>
    </row>
    <row r="146" spans="1:26" ht="12.75" customHeight="1">
      <c r="A146" s="1"/>
      <c r="B146" s="10" t="str">
        <f ca="1">IFERROR(__xludf.DUMMYFUNCTION("""COMPUTED_VALUE"""),"[SATE] CONSTRUCCIÓN REDUCTORES DE VELOCIDAD Y SEÑALÉTICAS DE TRÁNSITO LA HIGUERA, CALETA LOS HORNOS Y EL TRAPICHE")</f>
        <v>[SATE] CONSTRUCCIÓN REDUCTORES DE VELOCIDAD Y SEÑALÉTICAS DE TRÁNSITO LA HIGUERA, CALETA LOS HORNOS Y EL TRAPICHE</v>
      </c>
      <c r="C146" s="10" t="str">
        <f ca="1">IFERROR(__xludf.DUMMYFUNCTION("""COMPUTED_VALUE"""),"1-C-2023-253")</f>
        <v>1-C-2023-253</v>
      </c>
      <c r="D146" s="26" t="str">
        <f t="shared" ca="1" si="0"/>
        <v xml:space="preserve"> LA HIGUERA</v>
      </c>
      <c r="E146" s="10" t="str">
        <f ca="1">IFERROR(__xludf.DUMMYFUNCTION("""COMPUTED_VALUE"""),"Guía Operativa")</f>
        <v>Guía Operativa</v>
      </c>
      <c r="F146" s="10" t="str">
        <f ca="1">IFERROR(__xludf.DUMMYFUNCTION("""COMPUTED_VALUE"""),"MUNICIPALIDAD DE LA HIGUERA")</f>
        <v>MUNICIPALIDAD DE LA HIGUERA</v>
      </c>
      <c r="G146" s="71">
        <f ca="1">IFERROR(__xludf.DUMMYFUNCTION("""COMPUTED_VALUE"""),137842277)</f>
        <v>137842277</v>
      </c>
      <c r="H146" s="10" t="str">
        <f ca="1">IFERROR(__xludf.DUMMYFUNCTION("""COMPUTED_VALUE"""),"Resolución")</f>
        <v>Resolución</v>
      </c>
      <c r="I146" s="10" t="str">
        <f ca="1">IFERROR(__xludf.DUMMYFUNCTION("""COMPUTED_VALUE"""),"OBRA")</f>
        <v>OBRA</v>
      </c>
      <c r="J146" s="10" t="str">
        <f ca="1">IFERROR(__xludf.DUMMYFUNCTION("""COMPUTED_VALUE"""),"Cumplir con normativa y reglamentos internos del programa en base a los objetivos.")</f>
        <v>Cumplir con normativa y reglamentos internos del programa en base a los objetivos.</v>
      </c>
      <c r="K146" s="71">
        <f ca="1">IFERROR(__xludf.DUMMYFUNCTION("""COMPUTED_VALUE"""),137842277)</f>
        <v>137842277</v>
      </c>
      <c r="L146" s="72">
        <f ca="1">IFERROR(__xludf.DUMMYFUNCTION("""COMPUTED_VALUE"""),1)</f>
        <v>1</v>
      </c>
      <c r="M146" s="10">
        <f ca="1">IFERROR(__xludf.DUMMYFUNCTION("""COMPUTED_VALUE"""),1341)</f>
        <v>1341</v>
      </c>
      <c r="N146" s="10" t="str">
        <f ca="1">IFERROR(__xludf.DUMMYFUNCTION("""COMPUTED_VALUE"""),"PMU")</f>
        <v>PMU</v>
      </c>
      <c r="O146" s="1"/>
      <c r="P146" s="1"/>
      <c r="Q146" s="1"/>
      <c r="R146" s="1"/>
      <c r="S146" s="1"/>
      <c r="T146" s="1"/>
      <c r="U146" s="1"/>
      <c r="V146" s="1"/>
      <c r="W146" s="1"/>
      <c r="X146" s="1"/>
      <c r="Y146" s="1"/>
      <c r="Z146" s="1"/>
    </row>
    <row r="147" spans="1:26" ht="12.75" customHeight="1">
      <c r="A147" s="1"/>
      <c r="B147" s="10" t="str">
        <f ca="1">IFERROR(__xludf.DUMMYFUNCTION("""COMPUTED_VALUE"""),"AMPLIACIÓN DE ALUMBRADO PÚBLICO DESDE EL INGRESO A CALLE JUAN JOSÉ LATORRE")</f>
        <v>AMPLIACIÓN DE ALUMBRADO PÚBLICO DESDE EL INGRESO A CALLE JUAN JOSÉ LATORRE</v>
      </c>
      <c r="C147" s="10" t="str">
        <f ca="1">IFERROR(__xludf.DUMMYFUNCTION("""COMPUTED_VALUE"""),"1-C-2023-2710")</f>
        <v>1-C-2023-2710</v>
      </c>
      <c r="D147" s="26" t="str">
        <f t="shared" ca="1" si="0"/>
        <v xml:space="preserve"> LA SERENA</v>
      </c>
      <c r="E147" s="10" t="str">
        <f ca="1">IFERROR(__xludf.DUMMYFUNCTION("""COMPUTED_VALUE"""),"Guía Operativa")</f>
        <v>Guía Operativa</v>
      </c>
      <c r="F147" s="10" t="str">
        <f ca="1">IFERROR(__xludf.DUMMYFUNCTION("""COMPUTED_VALUE"""),"MUNICIPALIDAD DE LA SERENA")</f>
        <v>MUNICIPALIDAD DE LA SERENA</v>
      </c>
      <c r="G147" s="71">
        <f ca="1">IFERROR(__xludf.DUMMYFUNCTION("""COMPUTED_VALUE"""),42767739)</f>
        <v>42767739</v>
      </c>
      <c r="H147" s="10" t="str">
        <f ca="1">IFERROR(__xludf.DUMMYFUNCTION("""COMPUTED_VALUE"""),"Resolución")</f>
        <v>Resolución</v>
      </c>
      <c r="I147" s="10" t="str">
        <f ca="1">IFERROR(__xludf.DUMMYFUNCTION("""COMPUTED_VALUE"""),"OBRA")</f>
        <v>OBRA</v>
      </c>
      <c r="J147" s="10" t="str">
        <f ca="1">IFERROR(__xludf.DUMMYFUNCTION("""COMPUTED_VALUE"""),"Cumplir con normativa y reglamentos internos del programa en base a los objetivos.")</f>
        <v>Cumplir con normativa y reglamentos internos del programa en base a los objetivos.</v>
      </c>
      <c r="K147" s="71">
        <f ca="1">IFERROR(__xludf.DUMMYFUNCTION("""COMPUTED_VALUE"""),42767739)</f>
        <v>42767739</v>
      </c>
      <c r="L147" s="72">
        <f ca="1">IFERROR(__xludf.DUMMYFUNCTION("""COMPUTED_VALUE"""),1)</f>
        <v>1</v>
      </c>
      <c r="M147" s="10">
        <f ca="1">IFERROR(__xludf.DUMMYFUNCTION("""COMPUTED_VALUE"""),1335)</f>
        <v>1335</v>
      </c>
      <c r="N147" s="10" t="str">
        <f ca="1">IFERROR(__xludf.DUMMYFUNCTION("""COMPUTED_VALUE"""),"PMU")</f>
        <v>PMU</v>
      </c>
      <c r="O147" s="1"/>
      <c r="P147" s="1"/>
      <c r="Q147" s="1"/>
      <c r="R147" s="1"/>
      <c r="S147" s="1"/>
      <c r="T147" s="1"/>
      <c r="U147" s="1"/>
      <c r="V147" s="1"/>
      <c r="W147" s="1"/>
      <c r="X147" s="1"/>
      <c r="Y147" s="1"/>
      <c r="Z147" s="1"/>
    </row>
    <row r="148" spans="1:26" ht="12.75" customHeight="1">
      <c r="A148" s="1"/>
      <c r="B148" s="10" t="str">
        <f ca="1">IFERROR(__xludf.DUMMYFUNCTION("""COMPUTED_VALUE"""),"MEJORAMIENTO PLAZA VILLA AGRÍCOLA, COMUNA DE OVALLE")</f>
        <v>MEJORAMIENTO PLAZA VILLA AGRÍCOLA, COMUNA DE OVALLE</v>
      </c>
      <c r="C148" s="10" t="str">
        <f ca="1">IFERROR(__xludf.DUMMYFUNCTION("""COMPUTED_VALUE"""),"1-C-2023-2715")</f>
        <v>1-C-2023-2715</v>
      </c>
      <c r="D148" s="26" t="str">
        <f t="shared" ca="1" si="0"/>
        <v xml:space="preserve"> OVALLE</v>
      </c>
      <c r="E148" s="10" t="str">
        <f ca="1">IFERROR(__xludf.DUMMYFUNCTION("""COMPUTED_VALUE"""),"Guía Operativa")</f>
        <v>Guía Operativa</v>
      </c>
      <c r="F148" s="10" t="str">
        <f ca="1">IFERROR(__xludf.DUMMYFUNCTION("""COMPUTED_VALUE"""),"MUNICIPALIDAD DE OVALLE")</f>
        <v>MUNICIPALIDAD DE OVALLE</v>
      </c>
      <c r="G148" s="71">
        <f ca="1">IFERROR(__xludf.DUMMYFUNCTION("""COMPUTED_VALUE"""),122106072)</f>
        <v>122106072</v>
      </c>
      <c r="H148" s="10" t="str">
        <f ca="1">IFERROR(__xludf.DUMMYFUNCTION("""COMPUTED_VALUE"""),"Resolución")</f>
        <v>Resolución</v>
      </c>
      <c r="I148" s="10" t="str">
        <f ca="1">IFERROR(__xludf.DUMMYFUNCTION("""COMPUTED_VALUE"""),"OBRA")</f>
        <v>OBRA</v>
      </c>
      <c r="J148" s="10" t="str">
        <f ca="1">IFERROR(__xludf.DUMMYFUNCTION("""COMPUTED_VALUE"""),"Cumplir con normativa y reglamentos internos del programa en base a los objetivos.")</f>
        <v>Cumplir con normativa y reglamentos internos del programa en base a los objetivos.</v>
      </c>
      <c r="K148" s="71">
        <f ca="1">IFERROR(__xludf.DUMMYFUNCTION("""COMPUTED_VALUE"""),122106072)</f>
        <v>122106072</v>
      </c>
      <c r="L148" s="72">
        <f ca="1">IFERROR(__xludf.DUMMYFUNCTION("""COMPUTED_VALUE"""),1)</f>
        <v>1</v>
      </c>
      <c r="M148" s="10">
        <f ca="1">IFERROR(__xludf.DUMMYFUNCTION("""COMPUTED_VALUE"""),848)</f>
        <v>848</v>
      </c>
      <c r="N148" s="10" t="str">
        <f ca="1">IFERROR(__xludf.DUMMYFUNCTION("""COMPUTED_VALUE"""),"PMU")</f>
        <v>PMU</v>
      </c>
      <c r="O148" s="1"/>
      <c r="P148" s="1"/>
      <c r="Q148" s="1"/>
      <c r="R148" s="1"/>
      <c r="S148" s="1"/>
      <c r="T148" s="1"/>
      <c r="U148" s="1"/>
      <c r="V148" s="1"/>
      <c r="W148" s="1"/>
      <c r="X148" s="1"/>
      <c r="Y148" s="1"/>
      <c r="Z148" s="1"/>
    </row>
    <row r="149" spans="1:26" ht="12.75" customHeight="1">
      <c r="A149" s="1"/>
      <c r="B149" s="10" t="str">
        <f ca="1">IFERROR(__xludf.DUMMYFUNCTION("""COMPUTED_VALUE"""),"MEJORAMIENTO PLAZA MEDIA HACIENDA, COMUNA DE OVALLE")</f>
        <v>MEJORAMIENTO PLAZA MEDIA HACIENDA, COMUNA DE OVALLE</v>
      </c>
      <c r="C149" s="10" t="str">
        <f ca="1">IFERROR(__xludf.DUMMYFUNCTION("""COMPUTED_VALUE"""),"1-C-2023-2731")</f>
        <v>1-C-2023-2731</v>
      </c>
      <c r="D149" s="26" t="str">
        <f t="shared" ca="1" si="0"/>
        <v xml:space="preserve"> OVALLE</v>
      </c>
      <c r="E149" s="10" t="str">
        <f ca="1">IFERROR(__xludf.DUMMYFUNCTION("""COMPUTED_VALUE"""),"Guía Operativa")</f>
        <v>Guía Operativa</v>
      </c>
      <c r="F149" s="10" t="str">
        <f ca="1">IFERROR(__xludf.DUMMYFUNCTION("""COMPUTED_VALUE"""),"MUNICIPALIDAD DE OVALLE")</f>
        <v>MUNICIPALIDAD DE OVALLE</v>
      </c>
      <c r="G149" s="71">
        <f ca="1">IFERROR(__xludf.DUMMYFUNCTION("""COMPUTED_VALUE"""),152027388)</f>
        <v>152027388</v>
      </c>
      <c r="H149" s="10" t="str">
        <f ca="1">IFERROR(__xludf.DUMMYFUNCTION("""COMPUTED_VALUE"""),"Resolución")</f>
        <v>Resolución</v>
      </c>
      <c r="I149" s="10" t="str">
        <f ca="1">IFERROR(__xludf.DUMMYFUNCTION("""COMPUTED_VALUE"""),"OBRA")</f>
        <v>OBRA</v>
      </c>
      <c r="J149" s="10" t="str">
        <f ca="1">IFERROR(__xludf.DUMMYFUNCTION("""COMPUTED_VALUE"""),"Cumplir con normativa y reglamentos internos del programa en base a los objetivos.")</f>
        <v>Cumplir con normativa y reglamentos internos del programa en base a los objetivos.</v>
      </c>
      <c r="K149" s="71">
        <f ca="1">IFERROR(__xludf.DUMMYFUNCTION("""COMPUTED_VALUE"""),152027388)</f>
        <v>152027388</v>
      </c>
      <c r="L149" s="72">
        <f ca="1">IFERROR(__xludf.DUMMYFUNCTION("""COMPUTED_VALUE"""),1)</f>
        <v>1</v>
      </c>
      <c r="M149" s="10">
        <f ca="1">IFERROR(__xludf.DUMMYFUNCTION("""COMPUTED_VALUE"""),848)</f>
        <v>848</v>
      </c>
      <c r="N149" s="10" t="str">
        <f ca="1">IFERROR(__xludf.DUMMYFUNCTION("""COMPUTED_VALUE"""),"PMU")</f>
        <v>PMU</v>
      </c>
      <c r="O149" s="1"/>
      <c r="P149" s="1"/>
      <c r="Q149" s="1"/>
      <c r="R149" s="1"/>
      <c r="S149" s="1"/>
      <c r="T149" s="1"/>
      <c r="U149" s="1"/>
      <c r="V149" s="1"/>
      <c r="W149" s="1"/>
      <c r="X149" s="1"/>
      <c r="Y149" s="1"/>
      <c r="Z149" s="1"/>
    </row>
    <row r="150" spans="1:26" ht="12.75" customHeight="1">
      <c r="A150" s="1"/>
      <c r="B150" s="10" t="str">
        <f ca="1">IFERROR(__xludf.DUMMYFUNCTION("""COMPUTED_VALUE"""),"CONSTRUCCIÓN ALUMBRADO PÚBLICO VARIOS SECTORES,COMUNA DE OVALLE")</f>
        <v>CONSTRUCCIÓN ALUMBRADO PÚBLICO VARIOS SECTORES,COMUNA DE OVALLE</v>
      </c>
      <c r="C150" s="10" t="str">
        <f ca="1">IFERROR(__xludf.DUMMYFUNCTION("""COMPUTED_VALUE"""),"1-C-2023-2732")</f>
        <v>1-C-2023-2732</v>
      </c>
      <c r="D150" s="26" t="str">
        <f t="shared" ca="1" si="0"/>
        <v xml:space="preserve"> OVALLE</v>
      </c>
      <c r="E150" s="10" t="str">
        <f ca="1">IFERROR(__xludf.DUMMYFUNCTION("""COMPUTED_VALUE"""),"Guía Operativa")</f>
        <v>Guía Operativa</v>
      </c>
      <c r="F150" s="10" t="str">
        <f ca="1">IFERROR(__xludf.DUMMYFUNCTION("""COMPUTED_VALUE"""),"MUNICIPALIDAD DE OVALLE")</f>
        <v>MUNICIPALIDAD DE OVALLE</v>
      </c>
      <c r="G150" s="71">
        <f ca="1">IFERROR(__xludf.DUMMYFUNCTION("""COMPUTED_VALUE"""),69202281)</f>
        <v>69202281</v>
      </c>
      <c r="H150" s="10" t="str">
        <f ca="1">IFERROR(__xludf.DUMMYFUNCTION("""COMPUTED_VALUE"""),"Resolución")</f>
        <v>Resolución</v>
      </c>
      <c r="I150" s="10" t="str">
        <f ca="1">IFERROR(__xludf.DUMMYFUNCTION("""COMPUTED_VALUE"""),"OBRA")</f>
        <v>OBRA</v>
      </c>
      <c r="J150" s="10" t="str">
        <f ca="1">IFERROR(__xludf.DUMMYFUNCTION("""COMPUTED_VALUE"""),"Cumplir con normativa y reglamentos internos del programa en base a los objetivos.")</f>
        <v>Cumplir con normativa y reglamentos internos del programa en base a los objetivos.</v>
      </c>
      <c r="K150" s="71">
        <f ca="1">IFERROR(__xludf.DUMMYFUNCTION("""COMPUTED_VALUE"""),69202281)</f>
        <v>69202281</v>
      </c>
      <c r="L150" s="72">
        <f ca="1">IFERROR(__xludf.DUMMYFUNCTION("""COMPUTED_VALUE"""),1)</f>
        <v>1</v>
      </c>
      <c r="M150" s="10">
        <f ca="1">IFERROR(__xludf.DUMMYFUNCTION("""COMPUTED_VALUE"""),848)</f>
        <v>848</v>
      </c>
      <c r="N150" s="10" t="str">
        <f ca="1">IFERROR(__xludf.DUMMYFUNCTION("""COMPUTED_VALUE"""),"PMU")</f>
        <v>PMU</v>
      </c>
      <c r="O150" s="1"/>
      <c r="P150" s="1"/>
      <c r="Q150" s="1"/>
      <c r="R150" s="1"/>
      <c r="S150" s="1"/>
      <c r="T150" s="1"/>
      <c r="U150" s="1"/>
      <c r="V150" s="1"/>
      <c r="W150" s="1"/>
      <c r="X150" s="1"/>
      <c r="Y150" s="1"/>
      <c r="Z150" s="1"/>
    </row>
    <row r="151" spans="1:26" ht="12.75" customHeight="1">
      <c r="A151" s="1"/>
      <c r="B151" s="10" t="str">
        <f ca="1">IFERROR(__xludf.DUMMYFUNCTION("""COMPUTED_VALUE"""),"MEJORAMIENTO LUMINARIAS PEATONALES CALLE BENAVENTE SECTOR PONIENTE, COMUNA DE OVALLE")</f>
        <v>MEJORAMIENTO LUMINARIAS PEATONALES CALLE BENAVENTE SECTOR PONIENTE, COMUNA DE OVALLE</v>
      </c>
      <c r="C151" s="10" t="str">
        <f ca="1">IFERROR(__xludf.DUMMYFUNCTION("""COMPUTED_VALUE"""),"1-C-2023-2737")</f>
        <v>1-C-2023-2737</v>
      </c>
      <c r="D151" s="26" t="str">
        <f t="shared" ca="1" si="0"/>
        <v xml:space="preserve"> OVALLE</v>
      </c>
      <c r="E151" s="10" t="str">
        <f ca="1">IFERROR(__xludf.DUMMYFUNCTION("""COMPUTED_VALUE"""),"Guía Operativa")</f>
        <v>Guía Operativa</v>
      </c>
      <c r="F151" s="10" t="str">
        <f ca="1">IFERROR(__xludf.DUMMYFUNCTION("""COMPUTED_VALUE"""),"MUNICIPALIDAD DE OVALLE")</f>
        <v>MUNICIPALIDAD DE OVALLE</v>
      </c>
      <c r="G151" s="71">
        <f ca="1">IFERROR(__xludf.DUMMYFUNCTION("""COMPUTED_VALUE"""),152404439)</f>
        <v>152404439</v>
      </c>
      <c r="H151" s="10" t="str">
        <f ca="1">IFERROR(__xludf.DUMMYFUNCTION("""COMPUTED_VALUE"""),"Resolución")</f>
        <v>Resolución</v>
      </c>
      <c r="I151" s="10" t="str">
        <f ca="1">IFERROR(__xludf.DUMMYFUNCTION("""COMPUTED_VALUE"""),"OBRA")</f>
        <v>OBRA</v>
      </c>
      <c r="J151" s="10" t="str">
        <f ca="1">IFERROR(__xludf.DUMMYFUNCTION("""COMPUTED_VALUE"""),"Cumplir con normativa y reglamentos internos del programa en base a los objetivos.")</f>
        <v>Cumplir con normativa y reglamentos internos del programa en base a los objetivos.</v>
      </c>
      <c r="K151" s="71">
        <f ca="1">IFERROR(__xludf.DUMMYFUNCTION("""COMPUTED_VALUE"""),152404439)</f>
        <v>152404439</v>
      </c>
      <c r="L151" s="72">
        <f ca="1">IFERROR(__xludf.DUMMYFUNCTION("""COMPUTED_VALUE"""),1)</f>
        <v>1</v>
      </c>
      <c r="M151" s="10">
        <f ca="1">IFERROR(__xludf.DUMMYFUNCTION("""COMPUTED_VALUE"""),848)</f>
        <v>848</v>
      </c>
      <c r="N151" s="10" t="str">
        <f ca="1">IFERROR(__xludf.DUMMYFUNCTION("""COMPUTED_VALUE"""),"PMU")</f>
        <v>PMU</v>
      </c>
      <c r="O151" s="1"/>
      <c r="P151" s="1"/>
      <c r="Q151" s="1"/>
      <c r="R151" s="1"/>
      <c r="S151" s="1"/>
      <c r="T151" s="1"/>
      <c r="U151" s="1"/>
      <c r="V151" s="1"/>
      <c r="W151" s="1"/>
      <c r="X151" s="1"/>
      <c r="Y151" s="1"/>
      <c r="Z151" s="1"/>
    </row>
    <row r="152" spans="1:26" ht="12.75" customHeight="1">
      <c r="A152" s="1"/>
      <c r="B152" s="10" t="str">
        <f ca="1">IFERROR(__xludf.DUMMYFUNCTION("""COMPUTED_VALUE"""),"REPOSICIÓN DE AREAS VERDES Y CONSTRUCCIÓN DE CIERRE PERIMETRAL VILLA MILLAGUE, COMUNA DE LA LIGUA")</f>
        <v>REPOSICIÓN DE AREAS VERDES Y CONSTRUCCIÓN DE CIERRE PERIMETRAL VILLA MILLAGUE, COMUNA DE LA LIGUA</v>
      </c>
      <c r="C152" s="10" t="str">
        <f ca="1">IFERROR(__xludf.DUMMYFUNCTION("""COMPUTED_VALUE"""),"1-C-2022-2581")</f>
        <v>1-C-2022-2581</v>
      </c>
      <c r="D152" s="26" t="str">
        <f t="shared" ca="1" si="0"/>
        <v xml:space="preserve"> LA LIGUA</v>
      </c>
      <c r="E152" s="10" t="str">
        <f ca="1">IFERROR(__xludf.DUMMYFUNCTION("""COMPUTED_VALUE"""),"Guía Operativa")</f>
        <v>Guía Operativa</v>
      </c>
      <c r="F152" s="10" t="str">
        <f ca="1">IFERROR(__xludf.DUMMYFUNCTION("""COMPUTED_VALUE"""),"MUNICIPALIDAD DE LA LIGUA")</f>
        <v>MUNICIPALIDAD DE LA LIGUA</v>
      </c>
      <c r="G152" s="71">
        <f ca="1">IFERROR(__xludf.DUMMYFUNCTION("""COMPUTED_VALUE"""),68665782)</f>
        <v>68665782</v>
      </c>
      <c r="H152" s="10" t="str">
        <f ca="1">IFERROR(__xludf.DUMMYFUNCTION("""COMPUTED_VALUE"""),"Resolución")</f>
        <v>Resolución</v>
      </c>
      <c r="I152" s="10" t="str">
        <f ca="1">IFERROR(__xludf.DUMMYFUNCTION("""COMPUTED_VALUE"""),"OBRA")</f>
        <v>OBRA</v>
      </c>
      <c r="J152" s="10" t="str">
        <f ca="1">IFERROR(__xludf.DUMMYFUNCTION("""COMPUTED_VALUE"""),"Cumplir con normativa y reglamentos internos del programa en base a los objetivos.")</f>
        <v>Cumplir con normativa y reglamentos internos del programa en base a los objetivos.</v>
      </c>
      <c r="K152" s="71">
        <f ca="1">IFERROR(__xludf.DUMMYFUNCTION("""COMPUTED_VALUE"""),68665782)</f>
        <v>68665782</v>
      </c>
      <c r="L152" s="72">
        <f ca="1">IFERROR(__xludf.DUMMYFUNCTION("""COMPUTED_VALUE"""),1)</f>
        <v>1</v>
      </c>
      <c r="M152" s="10">
        <f ca="1">IFERROR(__xludf.DUMMYFUNCTION("""COMPUTED_VALUE"""),1517)</f>
        <v>1517</v>
      </c>
      <c r="N152" s="10" t="str">
        <f ca="1">IFERROR(__xludf.DUMMYFUNCTION("""COMPUTED_VALUE"""),"PMU")</f>
        <v>PMU</v>
      </c>
      <c r="O152" s="1"/>
      <c r="P152" s="1"/>
      <c r="Q152" s="1"/>
      <c r="R152" s="1"/>
      <c r="S152" s="1"/>
      <c r="T152" s="1"/>
      <c r="U152" s="1"/>
      <c r="V152" s="1"/>
      <c r="W152" s="1"/>
      <c r="X152" s="1"/>
      <c r="Y152" s="1"/>
      <c r="Z152" s="1"/>
    </row>
    <row r="153" spans="1:26" ht="12.75" customHeight="1">
      <c r="A153" s="1"/>
      <c r="B153" s="10" t="str">
        <f ca="1">IFERROR(__xludf.DUMMYFUNCTION("""COMPUTED_VALUE"""),"REPOSICION DE VEREDAS LOS QUINTRALES, COMUNA DE LA LIGUA")</f>
        <v>REPOSICION DE VEREDAS LOS QUINTRALES, COMUNA DE LA LIGUA</v>
      </c>
      <c r="C153" s="10" t="str">
        <f ca="1">IFERROR(__xludf.DUMMYFUNCTION("""COMPUTED_VALUE"""),"1-C-2023-162")</f>
        <v>1-C-2023-162</v>
      </c>
      <c r="D153" s="26" t="str">
        <f t="shared" ca="1" si="0"/>
        <v xml:space="preserve"> LA LIGUA</v>
      </c>
      <c r="E153" s="10" t="str">
        <f ca="1">IFERROR(__xludf.DUMMYFUNCTION("""COMPUTED_VALUE"""),"Guía Operativa")</f>
        <v>Guía Operativa</v>
      </c>
      <c r="F153" s="10" t="str">
        <f ca="1">IFERROR(__xludf.DUMMYFUNCTION("""COMPUTED_VALUE"""),"MUNICIPALIDAD DE LA LIGUA")</f>
        <v>MUNICIPALIDAD DE LA LIGUA</v>
      </c>
      <c r="G153" s="71">
        <f ca="1">IFERROR(__xludf.DUMMYFUNCTION("""COMPUTED_VALUE"""),132363361)</f>
        <v>132363361</v>
      </c>
      <c r="H153" s="10" t="str">
        <f ca="1">IFERROR(__xludf.DUMMYFUNCTION("""COMPUTED_VALUE"""),"Resolución")</f>
        <v>Resolución</v>
      </c>
      <c r="I153" s="10" t="str">
        <f ca="1">IFERROR(__xludf.DUMMYFUNCTION("""COMPUTED_VALUE"""),"OBRA")</f>
        <v>OBRA</v>
      </c>
      <c r="J153" s="10" t="str">
        <f ca="1">IFERROR(__xludf.DUMMYFUNCTION("""COMPUTED_VALUE"""),"Cumplir con normativa y reglamentos internos del programa en base a los objetivos.")</f>
        <v>Cumplir con normativa y reglamentos internos del programa en base a los objetivos.</v>
      </c>
      <c r="K153" s="71">
        <f ca="1">IFERROR(__xludf.DUMMYFUNCTION("""COMPUTED_VALUE"""),132363361)</f>
        <v>132363361</v>
      </c>
      <c r="L153" s="72">
        <f ca="1">IFERROR(__xludf.DUMMYFUNCTION("""COMPUTED_VALUE"""),1)</f>
        <v>1</v>
      </c>
      <c r="M153" s="10">
        <f ca="1">IFERROR(__xludf.DUMMYFUNCTION("""COMPUTED_VALUE"""),1517)</f>
        <v>1517</v>
      </c>
      <c r="N153" s="10" t="str">
        <f ca="1">IFERROR(__xludf.DUMMYFUNCTION("""COMPUTED_VALUE"""),"PMU")</f>
        <v>PMU</v>
      </c>
      <c r="O153" s="1"/>
      <c r="P153" s="1"/>
      <c r="Q153" s="1"/>
      <c r="R153" s="1"/>
      <c r="S153" s="1"/>
      <c r="T153" s="1"/>
      <c r="U153" s="1"/>
      <c r="V153" s="1"/>
      <c r="W153" s="1"/>
      <c r="X153" s="1"/>
      <c r="Y153" s="1"/>
      <c r="Z153" s="1"/>
    </row>
    <row r="154" spans="1:26" ht="12.75" customHeight="1">
      <c r="A154" s="1"/>
      <c r="B154" s="10" t="str">
        <f ca="1">IFERROR(__xludf.DUMMYFUNCTION("""COMPUTED_VALUE"""),"REPOSICION MULTICANCHA VALLE CURIMON, COMUNA DE SAN FELIPE")</f>
        <v>REPOSICION MULTICANCHA VALLE CURIMON, COMUNA DE SAN FELIPE</v>
      </c>
      <c r="C154" s="10" t="str">
        <f ca="1">IFERROR(__xludf.DUMMYFUNCTION("""COMPUTED_VALUE"""),"1-C-2023-171")</f>
        <v>1-C-2023-171</v>
      </c>
      <c r="D154" s="26" t="str">
        <f t="shared" ca="1" si="0"/>
        <v xml:space="preserve"> SAN FELIPE</v>
      </c>
      <c r="E154" s="10" t="str">
        <f ca="1">IFERROR(__xludf.DUMMYFUNCTION("""COMPUTED_VALUE"""),"Guía Operativa")</f>
        <v>Guía Operativa</v>
      </c>
      <c r="F154" s="10" t="str">
        <f ca="1">IFERROR(__xludf.DUMMYFUNCTION("""COMPUTED_VALUE"""),"MUNICIPALIDAD DE SAN FELIPE")</f>
        <v>MUNICIPALIDAD DE SAN FELIPE</v>
      </c>
      <c r="G154" s="71">
        <f ca="1">IFERROR(__xludf.DUMMYFUNCTION("""COMPUTED_VALUE"""),142396257)</f>
        <v>142396257</v>
      </c>
      <c r="H154" s="10" t="str">
        <f ca="1">IFERROR(__xludf.DUMMYFUNCTION("""COMPUTED_VALUE"""),"Resolución")</f>
        <v>Resolución</v>
      </c>
      <c r="I154" s="10" t="str">
        <f ca="1">IFERROR(__xludf.DUMMYFUNCTION("""COMPUTED_VALUE"""),"OBRA")</f>
        <v>OBRA</v>
      </c>
      <c r="J154" s="10" t="str">
        <f ca="1">IFERROR(__xludf.DUMMYFUNCTION("""COMPUTED_VALUE"""),"Cumplir con normativa y reglamentos internos del programa en base a los objetivos.")</f>
        <v>Cumplir con normativa y reglamentos internos del programa en base a los objetivos.</v>
      </c>
      <c r="K154" s="71">
        <f ca="1">IFERROR(__xludf.DUMMYFUNCTION("""COMPUTED_VALUE"""),142396257)</f>
        <v>142396257</v>
      </c>
      <c r="L154" s="72">
        <f ca="1">IFERROR(__xludf.DUMMYFUNCTION("""COMPUTED_VALUE"""),1)</f>
        <v>1</v>
      </c>
      <c r="M154" s="10">
        <f ca="1">IFERROR(__xludf.DUMMYFUNCTION("""COMPUTED_VALUE"""),1346)</f>
        <v>1346</v>
      </c>
      <c r="N154" s="10" t="str">
        <f ca="1">IFERROR(__xludf.DUMMYFUNCTION("""COMPUTED_VALUE"""),"PMU")</f>
        <v>PMU</v>
      </c>
      <c r="O154" s="1"/>
      <c r="P154" s="1"/>
      <c r="Q154" s="1"/>
      <c r="R154" s="1"/>
      <c r="S154" s="1"/>
      <c r="T154" s="1"/>
      <c r="U154" s="1"/>
      <c r="V154" s="1"/>
      <c r="W154" s="1"/>
      <c r="X154" s="1"/>
      <c r="Y154" s="1"/>
      <c r="Z154" s="1"/>
    </row>
    <row r="155" spans="1:26" ht="12.75" customHeight="1">
      <c r="A155" s="1"/>
      <c r="B155" s="10" t="str">
        <f ca="1">IFERROR(__xludf.DUMMYFUNCTION("""COMPUTED_VALUE"""),"CONSTRUCCION SISTEMA DE ALUMBRADO CANCHA DE FUTBOL CLUB DEPORTIVO MARIO INOSTROZA, SAN FELIPE")</f>
        <v>CONSTRUCCION SISTEMA DE ALUMBRADO CANCHA DE FUTBOL CLUB DEPORTIVO MARIO INOSTROZA, SAN FELIPE</v>
      </c>
      <c r="C155" s="10" t="str">
        <f ca="1">IFERROR(__xludf.DUMMYFUNCTION("""COMPUTED_VALUE"""),"1-C-2023-2364")</f>
        <v>1-C-2023-2364</v>
      </c>
      <c r="D155" s="26" t="str">
        <f t="shared" ca="1" si="0"/>
        <v xml:space="preserve"> SAN FELIPE</v>
      </c>
      <c r="E155" s="10" t="str">
        <f ca="1">IFERROR(__xludf.DUMMYFUNCTION("""COMPUTED_VALUE"""),"Guía Operativa")</f>
        <v>Guía Operativa</v>
      </c>
      <c r="F155" s="10" t="str">
        <f ca="1">IFERROR(__xludf.DUMMYFUNCTION("""COMPUTED_VALUE"""),"MUNICIPALIDAD DE SAN FELIPE")</f>
        <v>MUNICIPALIDAD DE SAN FELIPE</v>
      </c>
      <c r="G155" s="71">
        <f ca="1">IFERROR(__xludf.DUMMYFUNCTION("""COMPUTED_VALUE"""),138915471)</f>
        <v>138915471</v>
      </c>
      <c r="H155" s="10" t="str">
        <f ca="1">IFERROR(__xludf.DUMMYFUNCTION("""COMPUTED_VALUE"""),"Resolución")</f>
        <v>Resolución</v>
      </c>
      <c r="I155" s="10" t="str">
        <f ca="1">IFERROR(__xludf.DUMMYFUNCTION("""COMPUTED_VALUE"""),"OBRA")</f>
        <v>OBRA</v>
      </c>
      <c r="J155" s="10" t="str">
        <f ca="1">IFERROR(__xludf.DUMMYFUNCTION("""COMPUTED_VALUE"""),"Cumplir con normativa y reglamentos internos del programa en base a los objetivos.")</f>
        <v>Cumplir con normativa y reglamentos internos del programa en base a los objetivos.</v>
      </c>
      <c r="K155" s="71">
        <f ca="1">IFERROR(__xludf.DUMMYFUNCTION("""COMPUTED_VALUE"""),138915471)</f>
        <v>138915471</v>
      </c>
      <c r="L155" s="72">
        <f ca="1">IFERROR(__xludf.DUMMYFUNCTION("""COMPUTED_VALUE"""),1)</f>
        <v>1</v>
      </c>
      <c r="M155" s="10">
        <f ca="1">IFERROR(__xludf.DUMMYFUNCTION("""COMPUTED_VALUE"""),2035)</f>
        <v>2035</v>
      </c>
      <c r="N155" s="10" t="str">
        <f ca="1">IFERROR(__xludf.DUMMYFUNCTION("""COMPUTED_VALUE"""),"PMU")</f>
        <v>PMU</v>
      </c>
      <c r="O155" s="1"/>
      <c r="P155" s="1"/>
      <c r="Q155" s="1"/>
      <c r="R155" s="1"/>
      <c r="S155" s="1"/>
      <c r="T155" s="1"/>
      <c r="U155" s="1"/>
      <c r="V155" s="1"/>
      <c r="W155" s="1"/>
      <c r="X155" s="1"/>
      <c r="Y155" s="1"/>
      <c r="Z155" s="1"/>
    </row>
    <row r="156" spans="1:26" ht="12.75" customHeight="1">
      <c r="A156" s="1"/>
      <c r="B156" s="10" t="str">
        <f ca="1">IFERROR(__xludf.DUMMYFUNCTION("""COMPUTED_VALUE"""),"CATASTROFE -RECUPERACION DE ESPACIOS PUBLICOS SECTOR QUEBRADA ESCOBARES, EL PATAGUAL Y RINCONADA COMUNA DE VILLA ALEMANA")</f>
        <v>CATASTROFE -RECUPERACION DE ESPACIOS PUBLICOS SECTOR QUEBRADA ESCOBARES, EL PATAGUAL Y RINCONADA COMUNA DE VILLA ALEMANA</v>
      </c>
      <c r="C156" s="10" t="str">
        <f ca="1">IFERROR(__xludf.DUMMYFUNCTION("""COMPUTED_VALUE"""),"1-C-2024-222")</f>
        <v>1-C-2024-222</v>
      </c>
      <c r="D156" s="26" t="str">
        <f t="shared" ca="1" si="0"/>
        <v xml:space="preserve"> VILLA ALEMANA</v>
      </c>
      <c r="E156" s="10" t="str">
        <f ca="1">IFERROR(__xludf.DUMMYFUNCTION("""COMPUTED_VALUE"""),"Guía Operativa")</f>
        <v>Guía Operativa</v>
      </c>
      <c r="F156" s="10" t="str">
        <f ca="1">IFERROR(__xludf.DUMMYFUNCTION("""COMPUTED_VALUE"""),"MUNICIPALIDAD DE VILLA ALEMANA")</f>
        <v>MUNICIPALIDAD DE VILLA ALEMANA</v>
      </c>
      <c r="G156" s="71">
        <f ca="1">IFERROR(__xludf.DUMMYFUNCTION("""COMPUTED_VALUE"""),49362933)</f>
        <v>49362933</v>
      </c>
      <c r="H156" s="10" t="str">
        <f ca="1">IFERROR(__xludf.DUMMYFUNCTION("""COMPUTED_VALUE"""),"Resolución")</f>
        <v>Resolución</v>
      </c>
      <c r="I156" s="10" t="str">
        <f ca="1">IFERROR(__xludf.DUMMYFUNCTION("""COMPUTED_VALUE"""),"OBRA")</f>
        <v>OBRA</v>
      </c>
      <c r="J156" s="10" t="str">
        <f ca="1">IFERROR(__xludf.DUMMYFUNCTION("""COMPUTED_VALUE"""),"Cumplir con normativa y reglamentos internos del programa en base a los objetivos.")</f>
        <v>Cumplir con normativa y reglamentos internos del programa en base a los objetivos.</v>
      </c>
      <c r="K156" s="71">
        <f ca="1">IFERROR(__xludf.DUMMYFUNCTION("""COMPUTED_VALUE"""),49362933)</f>
        <v>49362933</v>
      </c>
      <c r="L156" s="72">
        <f ca="1">IFERROR(__xludf.DUMMYFUNCTION("""COMPUTED_VALUE"""),1)</f>
        <v>1</v>
      </c>
      <c r="M156" s="10">
        <f ca="1">IFERROR(__xludf.DUMMYFUNCTION("""COMPUTED_VALUE"""),1213)</f>
        <v>1213</v>
      </c>
      <c r="N156" s="10" t="str">
        <f ca="1">IFERROR(__xludf.DUMMYFUNCTION("""COMPUTED_VALUE"""),"PMU")</f>
        <v>PMU</v>
      </c>
      <c r="O156" s="1"/>
      <c r="P156" s="1"/>
      <c r="Q156" s="1"/>
      <c r="R156" s="1"/>
      <c r="S156" s="1"/>
      <c r="T156" s="1"/>
      <c r="U156" s="1"/>
      <c r="V156" s="1"/>
      <c r="W156" s="1"/>
      <c r="X156" s="1"/>
      <c r="Y156" s="1"/>
      <c r="Z156" s="1"/>
    </row>
    <row r="157" spans="1:26" ht="12.75" customHeight="1">
      <c r="A157" s="1"/>
      <c r="B157" s="10" t="str">
        <f ca="1">IFERROR(__xludf.DUMMYFUNCTION("""COMPUTED_VALUE"""),"CATASTROFE RECUPERACION DE ESPACIOS PUBLICOS SECTORES EL OLIVAR – V. INDEPENDENCIA - VILLA HERMOSA, DE LA COMUNA DE VIÑA DEL MAR")</f>
        <v>CATASTROFE RECUPERACION DE ESPACIOS PUBLICOS SECTORES EL OLIVAR – V. INDEPENDENCIA - VILLA HERMOSA, DE LA COMUNA DE VIÑA DEL MAR</v>
      </c>
      <c r="C157" s="10" t="str">
        <f ca="1">IFERROR(__xludf.DUMMYFUNCTION("""COMPUTED_VALUE"""),"1-C-2024-223")</f>
        <v>1-C-2024-223</v>
      </c>
      <c r="D157" s="26" t="str">
        <f t="shared" ca="1" si="0"/>
        <v xml:space="preserve"> VIÑA DEL MAR</v>
      </c>
      <c r="E157" s="10" t="str">
        <f ca="1">IFERROR(__xludf.DUMMYFUNCTION("""COMPUTED_VALUE"""),"Guía Operativa")</f>
        <v>Guía Operativa</v>
      </c>
      <c r="F157" s="10" t="str">
        <f ca="1">IFERROR(__xludf.DUMMYFUNCTION("""COMPUTED_VALUE"""),"MUNICIPALIDAD DE VIÑA DEL MAR")</f>
        <v>MUNICIPALIDAD DE VIÑA DEL MAR</v>
      </c>
      <c r="G157" s="71">
        <f ca="1">IFERROR(__xludf.DUMMYFUNCTION("""COMPUTED_VALUE"""),105663968)</f>
        <v>105663968</v>
      </c>
      <c r="H157" s="10" t="str">
        <f ca="1">IFERROR(__xludf.DUMMYFUNCTION("""COMPUTED_VALUE"""),"Resolución")</f>
        <v>Resolución</v>
      </c>
      <c r="I157" s="10" t="str">
        <f ca="1">IFERROR(__xludf.DUMMYFUNCTION("""COMPUTED_VALUE"""),"OBRA")</f>
        <v>OBRA</v>
      </c>
      <c r="J157" s="10" t="str">
        <f ca="1">IFERROR(__xludf.DUMMYFUNCTION("""COMPUTED_VALUE"""),"Cumplir con normativa y reglamentos internos del programa en base a los objetivos.")</f>
        <v>Cumplir con normativa y reglamentos internos del programa en base a los objetivos.</v>
      </c>
      <c r="K157" s="71">
        <f ca="1">IFERROR(__xludf.DUMMYFUNCTION("""COMPUTED_VALUE"""),105663968)</f>
        <v>105663968</v>
      </c>
      <c r="L157" s="72">
        <f ca="1">IFERROR(__xludf.DUMMYFUNCTION("""COMPUTED_VALUE"""),1)</f>
        <v>1</v>
      </c>
      <c r="M157" s="10">
        <f ca="1">IFERROR(__xludf.DUMMYFUNCTION("""COMPUTED_VALUE"""),1215)</f>
        <v>1215</v>
      </c>
      <c r="N157" s="10" t="str">
        <f ca="1">IFERROR(__xludf.DUMMYFUNCTION("""COMPUTED_VALUE"""),"PMU")</f>
        <v>PMU</v>
      </c>
      <c r="O157" s="1"/>
      <c r="P157" s="1"/>
      <c r="Q157" s="1"/>
      <c r="R157" s="1"/>
      <c r="S157" s="1"/>
      <c r="T157" s="1"/>
      <c r="U157" s="1"/>
      <c r="V157" s="1"/>
      <c r="W157" s="1"/>
      <c r="X157" s="1"/>
      <c r="Y157" s="1"/>
      <c r="Z157" s="1"/>
    </row>
    <row r="158" spans="1:26" ht="12.75" customHeight="1">
      <c r="A158" s="1"/>
      <c r="B158" s="10" t="str">
        <f ca="1">IFERROR(__xludf.DUMMYFUNCTION("""COMPUTED_VALUE"""),"CATASTROFE RECUPERACION DE ESPACIOS PUBLICOS SECTORES EL SALTO - CHORRILLO, DE LA COMUNA DE VIÑA DEL MAR")</f>
        <v>CATASTROFE RECUPERACION DE ESPACIOS PUBLICOS SECTORES EL SALTO - CHORRILLO, DE LA COMUNA DE VIÑA DEL MAR</v>
      </c>
      <c r="C158" s="10" t="str">
        <f ca="1">IFERROR(__xludf.DUMMYFUNCTION("""COMPUTED_VALUE"""),"1-C-2024-224")</f>
        <v>1-C-2024-224</v>
      </c>
      <c r="D158" s="26" t="str">
        <f t="shared" ca="1" si="0"/>
        <v xml:space="preserve"> VIÑA DEL MAR</v>
      </c>
      <c r="E158" s="10" t="str">
        <f ca="1">IFERROR(__xludf.DUMMYFUNCTION("""COMPUTED_VALUE"""),"Guía Operativa")</f>
        <v>Guía Operativa</v>
      </c>
      <c r="F158" s="10" t="str">
        <f ca="1">IFERROR(__xludf.DUMMYFUNCTION("""COMPUTED_VALUE"""),"MUNICIPALIDAD DE VIÑA DEL MAR")</f>
        <v>MUNICIPALIDAD DE VIÑA DEL MAR</v>
      </c>
      <c r="G158" s="71">
        <f ca="1">IFERROR(__xludf.DUMMYFUNCTION("""COMPUTED_VALUE"""),105663968)</f>
        <v>105663968</v>
      </c>
      <c r="H158" s="10" t="str">
        <f ca="1">IFERROR(__xludf.DUMMYFUNCTION("""COMPUTED_VALUE"""),"Resolución")</f>
        <v>Resolución</v>
      </c>
      <c r="I158" s="10" t="str">
        <f ca="1">IFERROR(__xludf.DUMMYFUNCTION("""COMPUTED_VALUE"""),"OBRA")</f>
        <v>OBRA</v>
      </c>
      <c r="J158" s="10" t="str">
        <f ca="1">IFERROR(__xludf.DUMMYFUNCTION("""COMPUTED_VALUE"""),"Cumplir con normativa y reglamentos internos del programa en base a los objetivos.")</f>
        <v>Cumplir con normativa y reglamentos internos del programa en base a los objetivos.</v>
      </c>
      <c r="K158" s="71">
        <f ca="1">IFERROR(__xludf.DUMMYFUNCTION("""COMPUTED_VALUE"""),105663968)</f>
        <v>105663968</v>
      </c>
      <c r="L158" s="72">
        <f ca="1">IFERROR(__xludf.DUMMYFUNCTION("""COMPUTED_VALUE"""),1)</f>
        <v>1</v>
      </c>
      <c r="M158" s="10">
        <f ca="1">IFERROR(__xludf.DUMMYFUNCTION("""COMPUTED_VALUE"""),1215)</f>
        <v>1215</v>
      </c>
      <c r="N158" s="10" t="str">
        <f ca="1">IFERROR(__xludf.DUMMYFUNCTION("""COMPUTED_VALUE"""),"PMU")</f>
        <v>PMU</v>
      </c>
      <c r="O158" s="1"/>
      <c r="P158" s="1"/>
      <c r="Q158" s="1"/>
      <c r="R158" s="1"/>
      <c r="S158" s="1"/>
      <c r="T158" s="1"/>
      <c r="U158" s="1"/>
      <c r="V158" s="1"/>
      <c r="W158" s="1"/>
      <c r="X158" s="1"/>
      <c r="Y158" s="1"/>
      <c r="Z158" s="1"/>
    </row>
    <row r="159" spans="1:26" ht="12.75" customHeight="1">
      <c r="A159" s="1"/>
      <c r="B159" s="10" t="str">
        <f ca="1">IFERROR(__xludf.DUMMYFUNCTION("""COMPUTED_VALUE"""),"CATASTROFE RECUPERACION DE ESPACIOS PUBLICOS SECTORES MIRAFLORES - CANAL BEAGLE - VILLA DULCE, DE LA COMUNA DE VIÑA DEL MAR")</f>
        <v>CATASTROFE RECUPERACION DE ESPACIOS PUBLICOS SECTORES MIRAFLORES - CANAL BEAGLE - VILLA DULCE, DE LA COMUNA DE VIÑA DEL MAR</v>
      </c>
      <c r="C159" s="10" t="str">
        <f ca="1">IFERROR(__xludf.DUMMYFUNCTION("""COMPUTED_VALUE"""),"1-C-2024-225")</f>
        <v>1-C-2024-225</v>
      </c>
      <c r="D159" s="26" t="str">
        <f t="shared" ca="1" si="0"/>
        <v xml:space="preserve"> VIÑA DEL MAR</v>
      </c>
      <c r="E159" s="10" t="str">
        <f ca="1">IFERROR(__xludf.DUMMYFUNCTION("""COMPUTED_VALUE"""),"Guía Operativa")</f>
        <v>Guía Operativa</v>
      </c>
      <c r="F159" s="10" t="str">
        <f ca="1">IFERROR(__xludf.DUMMYFUNCTION("""COMPUTED_VALUE"""),"MUNICIPALIDAD DE VIÑA DEL MAR")</f>
        <v>MUNICIPALIDAD DE VIÑA DEL MAR</v>
      </c>
      <c r="G159" s="71">
        <f ca="1">IFERROR(__xludf.DUMMYFUNCTION("""COMPUTED_VALUE"""),140150168)</f>
        <v>140150168</v>
      </c>
      <c r="H159" s="10" t="str">
        <f ca="1">IFERROR(__xludf.DUMMYFUNCTION("""COMPUTED_VALUE"""),"Resolución")</f>
        <v>Resolución</v>
      </c>
      <c r="I159" s="10" t="str">
        <f ca="1">IFERROR(__xludf.DUMMYFUNCTION("""COMPUTED_VALUE"""),"OBRA")</f>
        <v>OBRA</v>
      </c>
      <c r="J159" s="10" t="str">
        <f ca="1">IFERROR(__xludf.DUMMYFUNCTION("""COMPUTED_VALUE"""),"Cumplir con normativa y reglamentos internos del programa en base a los objetivos.")</f>
        <v>Cumplir con normativa y reglamentos internos del programa en base a los objetivos.</v>
      </c>
      <c r="K159" s="71">
        <f ca="1">IFERROR(__xludf.DUMMYFUNCTION("""COMPUTED_VALUE"""),140150168)</f>
        <v>140150168</v>
      </c>
      <c r="L159" s="72">
        <f ca="1">IFERROR(__xludf.DUMMYFUNCTION("""COMPUTED_VALUE"""),1)</f>
        <v>1</v>
      </c>
      <c r="M159" s="10">
        <f ca="1">IFERROR(__xludf.DUMMYFUNCTION("""COMPUTED_VALUE"""),1215)</f>
        <v>1215</v>
      </c>
      <c r="N159" s="10" t="str">
        <f ca="1">IFERROR(__xludf.DUMMYFUNCTION("""COMPUTED_VALUE"""),"PMU")</f>
        <v>PMU</v>
      </c>
      <c r="O159" s="1"/>
      <c r="P159" s="1"/>
      <c r="Q159" s="1"/>
      <c r="R159" s="1"/>
      <c r="S159" s="1"/>
      <c r="T159" s="1"/>
      <c r="U159" s="1"/>
      <c r="V159" s="1"/>
      <c r="W159" s="1"/>
      <c r="X159" s="1"/>
      <c r="Y159" s="1"/>
      <c r="Z159" s="1"/>
    </row>
    <row r="160" spans="1:26" ht="12.75" customHeight="1">
      <c r="A160" s="1"/>
      <c r="B160" s="10" t="str">
        <f ca="1">IFERROR(__xludf.DUMMYFUNCTION("""COMPUTED_VALUE"""),"CATASTROFE RECUPERACION DE ESPACIOS PUBLICOS SECTORES ACHUPALLAS Y REÑACA ALTO, DE LA COMUNA DE VIÑA DEL MAR")</f>
        <v>CATASTROFE RECUPERACION DE ESPACIOS PUBLICOS SECTORES ACHUPALLAS Y REÑACA ALTO, DE LA COMUNA DE VIÑA DEL MAR</v>
      </c>
      <c r="C160" s="10" t="str">
        <f ca="1">IFERROR(__xludf.DUMMYFUNCTION("""COMPUTED_VALUE"""),"1-C-2024-227")</f>
        <v>1-C-2024-227</v>
      </c>
      <c r="D160" s="26" t="str">
        <f t="shared" ca="1" si="0"/>
        <v xml:space="preserve"> VIÑA DEL MAR</v>
      </c>
      <c r="E160" s="10" t="str">
        <f ca="1">IFERROR(__xludf.DUMMYFUNCTION("""COMPUTED_VALUE"""),"Guía Operativa")</f>
        <v>Guía Operativa</v>
      </c>
      <c r="F160" s="10" t="str">
        <f ca="1">IFERROR(__xludf.DUMMYFUNCTION("""COMPUTED_VALUE"""),"MUNICIPALIDAD DE VIÑA DEL MAR")</f>
        <v>MUNICIPALIDAD DE VIÑA DEL MAR</v>
      </c>
      <c r="G160" s="71">
        <f ca="1">IFERROR(__xludf.DUMMYFUNCTION("""COMPUTED_VALUE"""),140150168)</f>
        <v>140150168</v>
      </c>
      <c r="H160" s="10" t="str">
        <f ca="1">IFERROR(__xludf.DUMMYFUNCTION("""COMPUTED_VALUE"""),"Resolución")</f>
        <v>Resolución</v>
      </c>
      <c r="I160" s="10" t="str">
        <f ca="1">IFERROR(__xludf.DUMMYFUNCTION("""COMPUTED_VALUE"""),"OBRA")</f>
        <v>OBRA</v>
      </c>
      <c r="J160" s="10" t="str">
        <f ca="1">IFERROR(__xludf.DUMMYFUNCTION("""COMPUTED_VALUE"""),"Cumplir con normativa y reglamentos internos del programa en base a los objetivos.")</f>
        <v>Cumplir con normativa y reglamentos internos del programa en base a los objetivos.</v>
      </c>
      <c r="K160" s="71">
        <f ca="1">IFERROR(__xludf.DUMMYFUNCTION("""COMPUTED_VALUE"""),140150168)</f>
        <v>140150168</v>
      </c>
      <c r="L160" s="72">
        <f ca="1">IFERROR(__xludf.DUMMYFUNCTION("""COMPUTED_VALUE"""),1)</f>
        <v>1</v>
      </c>
      <c r="M160" s="10">
        <f ca="1">IFERROR(__xludf.DUMMYFUNCTION("""COMPUTED_VALUE"""),1215)</f>
        <v>1215</v>
      </c>
      <c r="N160" s="10" t="str">
        <f ca="1">IFERROR(__xludf.DUMMYFUNCTION("""COMPUTED_VALUE"""),"PMU")</f>
        <v>PMU</v>
      </c>
      <c r="O160" s="1"/>
      <c r="P160" s="1"/>
      <c r="Q160" s="1"/>
      <c r="R160" s="1"/>
      <c r="S160" s="1"/>
      <c r="T160" s="1"/>
      <c r="U160" s="1"/>
      <c r="V160" s="1"/>
      <c r="W160" s="1"/>
      <c r="X160" s="1"/>
      <c r="Y160" s="1"/>
      <c r="Z160" s="1"/>
    </row>
    <row r="161" spans="1:26" ht="12.75" customHeight="1">
      <c r="A161" s="1"/>
      <c r="B161" s="10" t="str">
        <f ca="1">IFERROR(__xludf.DUMMYFUNCTION("""COMPUTED_VALUE"""),"CATASTROFE -RECUPERACIÓN DE ESPACIOS PUBLICOS SECTOR POMPEYA NORTE Y POMPEYA SUR, COMUNA DE QUILPUÉ")</f>
        <v>CATASTROFE -RECUPERACIÓN DE ESPACIOS PUBLICOS SECTOR POMPEYA NORTE Y POMPEYA SUR, COMUNA DE QUILPUÉ</v>
      </c>
      <c r="C161" s="10" t="str">
        <f ca="1">IFERROR(__xludf.DUMMYFUNCTION("""COMPUTED_VALUE"""),"1-C-2024-228")</f>
        <v>1-C-2024-228</v>
      </c>
      <c r="D161" s="26" t="str">
        <f t="shared" ca="1" si="0"/>
        <v xml:space="preserve"> QUILPUÉ</v>
      </c>
      <c r="E161" s="10" t="str">
        <f ca="1">IFERROR(__xludf.DUMMYFUNCTION("""COMPUTED_VALUE"""),"Guía Operativa")</f>
        <v>Guía Operativa</v>
      </c>
      <c r="F161" s="10" t="str">
        <f ca="1">IFERROR(__xludf.DUMMYFUNCTION("""COMPUTED_VALUE"""),"MUNICIPALIDAD DE QUILPUÉ")</f>
        <v>MUNICIPALIDAD DE QUILPUÉ</v>
      </c>
      <c r="G161" s="71">
        <f ca="1">IFERROR(__xludf.DUMMYFUNCTION("""COMPUTED_VALUE"""),98249865)</f>
        <v>98249865</v>
      </c>
      <c r="H161" s="10" t="str">
        <f ca="1">IFERROR(__xludf.DUMMYFUNCTION("""COMPUTED_VALUE"""),"Resolución")</f>
        <v>Resolución</v>
      </c>
      <c r="I161" s="10" t="str">
        <f ca="1">IFERROR(__xludf.DUMMYFUNCTION("""COMPUTED_VALUE"""),"OBRA")</f>
        <v>OBRA</v>
      </c>
      <c r="J161" s="10" t="str">
        <f ca="1">IFERROR(__xludf.DUMMYFUNCTION("""COMPUTED_VALUE"""),"Cumplir con normativa y reglamentos internos del programa en base a los objetivos.")</f>
        <v>Cumplir con normativa y reglamentos internos del programa en base a los objetivos.</v>
      </c>
      <c r="K161" s="71">
        <f ca="1">IFERROR(__xludf.DUMMYFUNCTION("""COMPUTED_VALUE"""),98249865)</f>
        <v>98249865</v>
      </c>
      <c r="L161" s="72">
        <f ca="1">IFERROR(__xludf.DUMMYFUNCTION("""COMPUTED_VALUE"""),1)</f>
        <v>1</v>
      </c>
      <c r="M161" s="10">
        <f ca="1">IFERROR(__xludf.DUMMYFUNCTION("""COMPUTED_VALUE"""),1214)</f>
        <v>1214</v>
      </c>
      <c r="N161" s="10" t="str">
        <f ca="1">IFERROR(__xludf.DUMMYFUNCTION("""COMPUTED_VALUE"""),"PMU")</f>
        <v>PMU</v>
      </c>
      <c r="O161" s="1"/>
      <c r="P161" s="1"/>
      <c r="Q161" s="1"/>
      <c r="R161" s="1"/>
      <c r="S161" s="1"/>
      <c r="T161" s="1"/>
      <c r="U161" s="1"/>
      <c r="V161" s="1"/>
      <c r="W161" s="1"/>
      <c r="X161" s="1"/>
      <c r="Y161" s="1"/>
      <c r="Z161" s="1"/>
    </row>
    <row r="162" spans="1:26" ht="12.75" customHeight="1">
      <c r="A162" s="1"/>
      <c r="B162" s="10" t="str">
        <f ca="1">IFERROR(__xludf.DUMMYFUNCTION("""COMPUTED_VALUE"""),"CATASTROFE - RECUPERACION DE ESPACIOS PUBLICOS SECTOR POBLACION ARGENTINA Y CANAL CHACAO COMUNA DE QUILPUÉ")</f>
        <v>CATASTROFE - RECUPERACION DE ESPACIOS PUBLICOS SECTOR POBLACION ARGENTINA Y CANAL CHACAO COMUNA DE QUILPUÉ</v>
      </c>
      <c r="C162" s="10" t="str">
        <f ca="1">IFERROR(__xludf.DUMMYFUNCTION("""COMPUTED_VALUE"""),"1-C-2024-229")</f>
        <v>1-C-2024-229</v>
      </c>
      <c r="D162" s="26" t="str">
        <f t="shared" ca="1" si="0"/>
        <v xml:space="preserve"> QUILPUÉ</v>
      </c>
      <c r="E162" s="10" t="str">
        <f ca="1">IFERROR(__xludf.DUMMYFUNCTION("""COMPUTED_VALUE"""),"Guía Operativa")</f>
        <v>Guía Operativa</v>
      </c>
      <c r="F162" s="10" t="str">
        <f ca="1">IFERROR(__xludf.DUMMYFUNCTION("""COMPUTED_VALUE"""),"MUNICIPALIDAD DE QUILPUÉ")</f>
        <v>MUNICIPALIDAD DE QUILPUÉ</v>
      </c>
      <c r="G162" s="71">
        <f ca="1">IFERROR(__xludf.DUMMYFUNCTION("""COMPUTED_VALUE"""),98249865)</f>
        <v>98249865</v>
      </c>
      <c r="H162" s="10" t="str">
        <f ca="1">IFERROR(__xludf.DUMMYFUNCTION("""COMPUTED_VALUE"""),"Resolución")</f>
        <v>Resolución</v>
      </c>
      <c r="I162" s="10" t="str">
        <f ca="1">IFERROR(__xludf.DUMMYFUNCTION("""COMPUTED_VALUE"""),"OBRA")</f>
        <v>OBRA</v>
      </c>
      <c r="J162" s="10" t="str">
        <f ca="1">IFERROR(__xludf.DUMMYFUNCTION("""COMPUTED_VALUE"""),"Cumplir con normativa y reglamentos internos del programa en base a los objetivos.")</f>
        <v>Cumplir con normativa y reglamentos internos del programa en base a los objetivos.</v>
      </c>
      <c r="K162" s="71">
        <f ca="1">IFERROR(__xludf.DUMMYFUNCTION("""COMPUTED_VALUE"""),98249865)</f>
        <v>98249865</v>
      </c>
      <c r="L162" s="72">
        <f ca="1">IFERROR(__xludf.DUMMYFUNCTION("""COMPUTED_VALUE"""),1)</f>
        <v>1</v>
      </c>
      <c r="M162" s="10">
        <f ca="1">IFERROR(__xludf.DUMMYFUNCTION("""COMPUTED_VALUE"""),1214)</f>
        <v>1214</v>
      </c>
      <c r="N162" s="10" t="str">
        <f ca="1">IFERROR(__xludf.DUMMYFUNCTION("""COMPUTED_VALUE"""),"PMU")</f>
        <v>PMU</v>
      </c>
      <c r="O162" s="1"/>
      <c r="P162" s="1"/>
      <c r="Q162" s="1"/>
      <c r="R162" s="1"/>
      <c r="S162" s="1"/>
      <c r="T162" s="1"/>
      <c r="U162" s="1"/>
      <c r="V162" s="1"/>
      <c r="W162" s="1"/>
      <c r="X162" s="1"/>
      <c r="Y162" s="1"/>
      <c r="Z162" s="1"/>
    </row>
    <row r="163" spans="1:26" ht="12.75" customHeight="1">
      <c r="A163" s="1"/>
      <c r="B163" s="10" t="str">
        <f ca="1">IFERROR(__xludf.DUMMYFUNCTION("""COMPUTED_VALUE"""),"CATASTROFE - HABILITACION DE ESTANQUES DE AGUA COMUNITARIOS, VARIOS SECTORES, COMUNA DE QUILPUE")</f>
        <v>CATASTROFE - HABILITACION DE ESTANQUES DE AGUA COMUNITARIOS, VARIOS SECTORES, COMUNA DE QUILPUE</v>
      </c>
      <c r="C163" s="10" t="str">
        <f ca="1">IFERROR(__xludf.DUMMYFUNCTION("""COMPUTED_VALUE"""),"1-C-2024-230")</f>
        <v>1-C-2024-230</v>
      </c>
      <c r="D163" s="26" t="str">
        <f t="shared" ca="1" si="0"/>
        <v xml:space="preserve"> QUILPUÉ</v>
      </c>
      <c r="E163" s="10" t="str">
        <f ca="1">IFERROR(__xludf.DUMMYFUNCTION("""COMPUTED_VALUE"""),"Guía Operativa")</f>
        <v>Guía Operativa</v>
      </c>
      <c r="F163" s="10" t="str">
        <f ca="1">IFERROR(__xludf.DUMMYFUNCTION("""COMPUTED_VALUE"""),"MUNICIPALIDAD DE QUILPUÉ")</f>
        <v>MUNICIPALIDAD DE QUILPUÉ</v>
      </c>
      <c r="G163" s="71">
        <f ca="1">IFERROR(__xludf.DUMMYFUNCTION("""COMPUTED_VALUE"""),82618482)</f>
        <v>82618482</v>
      </c>
      <c r="H163" s="10" t="str">
        <f ca="1">IFERROR(__xludf.DUMMYFUNCTION("""COMPUTED_VALUE"""),"Resolución")</f>
        <v>Resolución</v>
      </c>
      <c r="I163" s="10" t="str">
        <f ca="1">IFERROR(__xludf.DUMMYFUNCTION("""COMPUTED_VALUE"""),"OBRA")</f>
        <v>OBRA</v>
      </c>
      <c r="J163" s="10" t="str">
        <f ca="1">IFERROR(__xludf.DUMMYFUNCTION("""COMPUTED_VALUE"""),"Cumplir con normativa y reglamentos internos del programa en base a los objetivos.")</f>
        <v>Cumplir con normativa y reglamentos internos del programa en base a los objetivos.</v>
      </c>
      <c r="K163" s="71">
        <f ca="1">IFERROR(__xludf.DUMMYFUNCTION("""COMPUTED_VALUE"""),82618482)</f>
        <v>82618482</v>
      </c>
      <c r="L163" s="72">
        <f ca="1">IFERROR(__xludf.DUMMYFUNCTION("""COMPUTED_VALUE"""),1)</f>
        <v>1</v>
      </c>
      <c r="M163" s="10">
        <f ca="1">IFERROR(__xludf.DUMMYFUNCTION("""COMPUTED_VALUE"""),1216)</f>
        <v>1216</v>
      </c>
      <c r="N163" s="10" t="str">
        <f ca="1">IFERROR(__xludf.DUMMYFUNCTION("""COMPUTED_VALUE"""),"PMU")</f>
        <v>PMU</v>
      </c>
      <c r="O163" s="1"/>
      <c r="P163" s="1"/>
      <c r="Q163" s="1"/>
      <c r="R163" s="1"/>
      <c r="S163" s="1"/>
      <c r="T163" s="1"/>
      <c r="U163" s="1"/>
      <c r="V163" s="1"/>
      <c r="W163" s="1"/>
      <c r="X163" s="1"/>
      <c r="Y163" s="1"/>
      <c r="Z163" s="1"/>
    </row>
    <row r="164" spans="1:26" ht="12.75" customHeight="1">
      <c r="A164" s="1"/>
      <c r="B164" s="10" t="str">
        <f ca="1">IFERROR(__xludf.DUMMYFUNCTION("""COMPUTED_VALUE"""),"CATÁSTROFE HABILITACIÓN DE ESTANQUES DE AGUA POTABLE COMUNITARIOS, PARA DISTINTOS SECTORES DE LA COMUNA DE VIÑA DEL MAR")</f>
        <v>CATÁSTROFE HABILITACIÓN DE ESTANQUES DE AGUA POTABLE COMUNITARIOS, PARA DISTINTOS SECTORES DE LA COMUNA DE VIÑA DEL MAR</v>
      </c>
      <c r="C164" s="10" t="str">
        <f ca="1">IFERROR(__xludf.DUMMYFUNCTION("""COMPUTED_VALUE"""),"1-C-2024-238")</f>
        <v>1-C-2024-238</v>
      </c>
      <c r="D164" s="26" t="str">
        <f t="shared" ca="1" si="0"/>
        <v xml:space="preserve"> VIÑA DEL MAR</v>
      </c>
      <c r="E164" s="10" t="str">
        <f ca="1">IFERROR(__xludf.DUMMYFUNCTION("""COMPUTED_VALUE"""),"Guía Operativa")</f>
        <v>Guía Operativa</v>
      </c>
      <c r="F164" s="10" t="str">
        <f ca="1">IFERROR(__xludf.DUMMYFUNCTION("""COMPUTED_VALUE"""),"MUNICIPALIDAD DE VIÑA DEL MAR")</f>
        <v>MUNICIPALIDAD DE VIÑA DEL MAR</v>
      </c>
      <c r="G164" s="71">
        <f ca="1">IFERROR(__xludf.DUMMYFUNCTION("""COMPUTED_VALUE"""),127678143)</f>
        <v>127678143</v>
      </c>
      <c r="H164" s="10" t="str">
        <f ca="1">IFERROR(__xludf.DUMMYFUNCTION("""COMPUTED_VALUE"""),"Resolución")</f>
        <v>Resolución</v>
      </c>
      <c r="I164" s="10" t="str">
        <f ca="1">IFERROR(__xludf.DUMMYFUNCTION("""COMPUTED_VALUE"""),"OBRA")</f>
        <v>OBRA</v>
      </c>
      <c r="J164" s="10" t="str">
        <f ca="1">IFERROR(__xludf.DUMMYFUNCTION("""COMPUTED_VALUE"""),"Cumplir con normativa y reglamentos internos del programa en base a los objetivos.")</f>
        <v>Cumplir con normativa y reglamentos internos del programa en base a los objetivos.</v>
      </c>
      <c r="K164" s="71">
        <f ca="1">IFERROR(__xludf.DUMMYFUNCTION("""COMPUTED_VALUE"""),127678143)</f>
        <v>127678143</v>
      </c>
      <c r="L164" s="72">
        <f ca="1">IFERROR(__xludf.DUMMYFUNCTION("""COMPUTED_VALUE"""),1)</f>
        <v>1</v>
      </c>
      <c r="M164" s="10">
        <f ca="1">IFERROR(__xludf.DUMMYFUNCTION("""COMPUTED_VALUE"""),1328)</f>
        <v>1328</v>
      </c>
      <c r="N164" s="10" t="str">
        <f ca="1">IFERROR(__xludf.DUMMYFUNCTION("""COMPUTED_VALUE"""),"PMU")</f>
        <v>PMU</v>
      </c>
      <c r="O164" s="1"/>
      <c r="P164" s="1"/>
      <c r="Q164" s="1"/>
      <c r="R164" s="1"/>
      <c r="S164" s="1"/>
      <c r="T164" s="1"/>
      <c r="U164" s="1"/>
      <c r="V164" s="1"/>
      <c r="W164" s="1"/>
      <c r="X164" s="1"/>
      <c r="Y164" s="1"/>
      <c r="Z164" s="1"/>
    </row>
    <row r="165" spans="1:26" ht="12.75" customHeight="1">
      <c r="A165" s="1"/>
      <c r="B165" s="10" t="str">
        <f ca="1">IFERROR(__xludf.DUMMYFUNCTION("""COMPUTED_VALUE"""),"CATASTROFE – HABILITACION DE ALUMBRADO EN VÍAS DE EVACUACION SECTOR ACHUPALLAS, COMUNA DE VIÑA DEL MAR")</f>
        <v>CATASTROFE – HABILITACION DE ALUMBRADO EN VÍAS DE EVACUACION SECTOR ACHUPALLAS, COMUNA DE VIÑA DEL MAR</v>
      </c>
      <c r="C165" s="10" t="str">
        <f ca="1">IFERROR(__xludf.DUMMYFUNCTION("""COMPUTED_VALUE"""),"1-C-2024-239")</f>
        <v>1-C-2024-239</v>
      </c>
      <c r="D165" s="26" t="str">
        <f t="shared" ca="1" si="0"/>
        <v xml:space="preserve"> VIÑA DEL MAR</v>
      </c>
      <c r="E165" s="10" t="str">
        <f ca="1">IFERROR(__xludf.DUMMYFUNCTION("""COMPUTED_VALUE"""),"Guía Operativa")</f>
        <v>Guía Operativa</v>
      </c>
      <c r="F165" s="10" t="str">
        <f ca="1">IFERROR(__xludf.DUMMYFUNCTION("""COMPUTED_VALUE"""),"MUNICIPALIDAD DE VIÑA DEL MAR")</f>
        <v>MUNICIPALIDAD DE VIÑA DEL MAR</v>
      </c>
      <c r="G165" s="71">
        <f ca="1">IFERROR(__xludf.DUMMYFUNCTION("""COMPUTED_VALUE"""),161636748)</f>
        <v>161636748</v>
      </c>
      <c r="H165" s="10" t="str">
        <f ca="1">IFERROR(__xludf.DUMMYFUNCTION("""COMPUTED_VALUE"""),"Resolución")</f>
        <v>Resolución</v>
      </c>
      <c r="I165" s="10" t="str">
        <f ca="1">IFERROR(__xludf.DUMMYFUNCTION("""COMPUTED_VALUE"""),"OBRA")</f>
        <v>OBRA</v>
      </c>
      <c r="J165" s="10" t="str">
        <f ca="1">IFERROR(__xludf.DUMMYFUNCTION("""COMPUTED_VALUE"""),"Cumplir con normativa y reglamentos internos del programa en base a los objetivos.")</f>
        <v>Cumplir con normativa y reglamentos internos del programa en base a los objetivos.</v>
      </c>
      <c r="K165" s="71">
        <f ca="1">IFERROR(__xludf.DUMMYFUNCTION("""COMPUTED_VALUE"""),161636748)</f>
        <v>161636748</v>
      </c>
      <c r="L165" s="72">
        <f ca="1">IFERROR(__xludf.DUMMYFUNCTION("""COMPUTED_VALUE"""),1)</f>
        <v>1</v>
      </c>
      <c r="M165" s="10">
        <f ca="1">IFERROR(__xludf.DUMMYFUNCTION("""COMPUTED_VALUE"""),1322)</f>
        <v>1322</v>
      </c>
      <c r="N165" s="10" t="str">
        <f ca="1">IFERROR(__xludf.DUMMYFUNCTION("""COMPUTED_VALUE"""),"PMU")</f>
        <v>PMU</v>
      </c>
      <c r="O165" s="1"/>
      <c r="P165" s="1"/>
      <c r="Q165" s="1"/>
      <c r="R165" s="1"/>
      <c r="S165" s="1"/>
      <c r="T165" s="1"/>
      <c r="U165" s="1"/>
      <c r="V165" s="1"/>
      <c r="W165" s="1"/>
      <c r="X165" s="1"/>
      <c r="Y165" s="1"/>
      <c r="Z165" s="1"/>
    </row>
    <row r="166" spans="1:26" ht="12.75" customHeight="1">
      <c r="A166" s="1"/>
      <c r="B166" s="10" t="str">
        <f ca="1">IFERROR(__xludf.DUMMYFUNCTION("""COMPUTED_VALUE"""),"CATASTROFE – REPOSICION DE ALUMBRADO EN VÍAS DE EVACUACION SECTOR MIRAFLORES, COMUNA DE VIÑA DEL MAR")</f>
        <v>CATASTROFE – REPOSICION DE ALUMBRADO EN VÍAS DE EVACUACION SECTOR MIRAFLORES, COMUNA DE VIÑA DEL MAR</v>
      </c>
      <c r="C166" s="10" t="str">
        <f ca="1">IFERROR(__xludf.DUMMYFUNCTION("""COMPUTED_VALUE"""),"1-C-2024-240")</f>
        <v>1-C-2024-240</v>
      </c>
      <c r="D166" s="26" t="str">
        <f t="shared" ca="1" si="0"/>
        <v xml:space="preserve"> VIÑA DEL MAR</v>
      </c>
      <c r="E166" s="10" t="str">
        <f ca="1">IFERROR(__xludf.DUMMYFUNCTION("""COMPUTED_VALUE"""),"Guía Operativa")</f>
        <v>Guía Operativa</v>
      </c>
      <c r="F166" s="10" t="str">
        <f ca="1">IFERROR(__xludf.DUMMYFUNCTION("""COMPUTED_VALUE"""),"MUNICIPALIDAD DE VIÑA DEL MAR")</f>
        <v>MUNICIPALIDAD DE VIÑA DEL MAR</v>
      </c>
      <c r="G166" s="71">
        <f ca="1">IFERROR(__xludf.DUMMYFUNCTION("""COMPUTED_VALUE"""),21046935)</f>
        <v>21046935</v>
      </c>
      <c r="H166" s="10" t="str">
        <f ca="1">IFERROR(__xludf.DUMMYFUNCTION("""COMPUTED_VALUE"""),"Resolución")</f>
        <v>Resolución</v>
      </c>
      <c r="I166" s="10" t="str">
        <f ca="1">IFERROR(__xludf.DUMMYFUNCTION("""COMPUTED_VALUE"""),"OBRA")</f>
        <v>OBRA</v>
      </c>
      <c r="J166" s="10" t="str">
        <f ca="1">IFERROR(__xludf.DUMMYFUNCTION("""COMPUTED_VALUE"""),"Cumplir con normativa y reglamentos internos del programa en base a los objetivos.")</f>
        <v>Cumplir con normativa y reglamentos internos del programa en base a los objetivos.</v>
      </c>
      <c r="K166" s="71">
        <f ca="1">IFERROR(__xludf.DUMMYFUNCTION("""COMPUTED_VALUE"""),21046935)</f>
        <v>21046935</v>
      </c>
      <c r="L166" s="72">
        <f ca="1">IFERROR(__xludf.DUMMYFUNCTION("""COMPUTED_VALUE"""),1)</f>
        <v>1</v>
      </c>
      <c r="M166" s="10">
        <f ca="1">IFERROR(__xludf.DUMMYFUNCTION("""COMPUTED_VALUE"""),1322)</f>
        <v>1322</v>
      </c>
      <c r="N166" s="10" t="str">
        <f ca="1">IFERROR(__xludf.DUMMYFUNCTION("""COMPUTED_VALUE"""),"PMU")</f>
        <v>PMU</v>
      </c>
      <c r="O166" s="1"/>
      <c r="P166" s="1"/>
      <c r="Q166" s="1"/>
      <c r="R166" s="1"/>
      <c r="S166" s="1"/>
      <c r="T166" s="1"/>
      <c r="U166" s="1"/>
      <c r="V166" s="1"/>
      <c r="W166" s="1"/>
      <c r="X166" s="1"/>
      <c r="Y166" s="1"/>
      <c r="Z166" s="1"/>
    </row>
    <row r="167" spans="1:26" ht="12.75" customHeight="1">
      <c r="A167" s="1"/>
      <c r="B167" s="10" t="str">
        <f ca="1">IFERROR(__xludf.DUMMYFUNCTION("""COMPUTED_VALUE"""),"CATASTROFE - HABILITACIÓN DE ALUMBRADO EN VÍAS DE EVACUACIÓN, VARIOS SECTORES, COMUNA DE QUILPUÉ")</f>
        <v>CATASTROFE - HABILITACIÓN DE ALUMBRADO EN VÍAS DE EVACUACIÓN, VARIOS SECTORES, COMUNA DE QUILPUÉ</v>
      </c>
      <c r="C167" s="10" t="str">
        <f ca="1">IFERROR(__xludf.DUMMYFUNCTION("""COMPUTED_VALUE"""),"1-C-2024-242")</f>
        <v>1-C-2024-242</v>
      </c>
      <c r="D167" s="26" t="str">
        <f t="shared" ca="1" si="0"/>
        <v xml:space="preserve"> QUILPUÉ</v>
      </c>
      <c r="E167" s="10" t="str">
        <f ca="1">IFERROR(__xludf.DUMMYFUNCTION("""COMPUTED_VALUE"""),"Guía Operativa")</f>
        <v>Guía Operativa</v>
      </c>
      <c r="F167" s="10" t="str">
        <f ca="1">IFERROR(__xludf.DUMMYFUNCTION("""COMPUTED_VALUE"""),"MUNICIPALIDAD DE QUILPUÉ")</f>
        <v>MUNICIPALIDAD DE QUILPUÉ</v>
      </c>
      <c r="G167" s="71">
        <f ca="1">IFERROR(__xludf.DUMMYFUNCTION("""COMPUTED_VALUE"""),147602989)</f>
        <v>147602989</v>
      </c>
      <c r="H167" s="10" t="str">
        <f ca="1">IFERROR(__xludf.DUMMYFUNCTION("""COMPUTED_VALUE"""),"Resolución")</f>
        <v>Resolución</v>
      </c>
      <c r="I167" s="10" t="str">
        <f ca="1">IFERROR(__xludf.DUMMYFUNCTION("""COMPUTED_VALUE"""),"OBRA")</f>
        <v>OBRA</v>
      </c>
      <c r="J167" s="10" t="str">
        <f ca="1">IFERROR(__xludf.DUMMYFUNCTION("""COMPUTED_VALUE"""),"Cumplir con normativa y reglamentos internos del programa en base a los objetivos.")</f>
        <v>Cumplir con normativa y reglamentos internos del programa en base a los objetivos.</v>
      </c>
      <c r="K167" s="71">
        <f ca="1">IFERROR(__xludf.DUMMYFUNCTION("""COMPUTED_VALUE"""),147602989)</f>
        <v>147602989</v>
      </c>
      <c r="L167" s="72">
        <f ca="1">IFERROR(__xludf.DUMMYFUNCTION("""COMPUTED_VALUE"""),1)</f>
        <v>1</v>
      </c>
      <c r="M167" s="10">
        <f ca="1">IFERROR(__xludf.DUMMYFUNCTION("""COMPUTED_VALUE"""),1413)</f>
        <v>1413</v>
      </c>
      <c r="N167" s="10" t="str">
        <f ca="1">IFERROR(__xludf.DUMMYFUNCTION("""COMPUTED_VALUE"""),"PMU")</f>
        <v>PMU</v>
      </c>
      <c r="O167" s="1"/>
      <c r="P167" s="1"/>
      <c r="Q167" s="1"/>
      <c r="R167" s="1"/>
      <c r="S167" s="1"/>
      <c r="T167" s="1"/>
      <c r="U167" s="1"/>
      <c r="V167" s="1"/>
      <c r="W167" s="1"/>
      <c r="X167" s="1"/>
      <c r="Y167" s="1"/>
      <c r="Z167" s="1"/>
    </row>
    <row r="168" spans="1:26" ht="12.75" customHeight="1">
      <c r="A168" s="1"/>
      <c r="B168" s="10" t="str">
        <f ca="1">IFERROR(__xludf.DUMMYFUNCTION("""COMPUTED_VALUE"""),"CATASTROFE- HABILITACION DE SERVICIOS BASICOS DE EMERGENCIA CANAL CHACAO Y POMPEYA, COMUNA QUILPUE")</f>
        <v>CATASTROFE- HABILITACION DE SERVICIOS BASICOS DE EMERGENCIA CANAL CHACAO Y POMPEYA, COMUNA QUILPUE</v>
      </c>
      <c r="C168" s="10" t="str">
        <f ca="1">IFERROR(__xludf.DUMMYFUNCTION("""COMPUTED_VALUE"""),"1-C-2024-257")</f>
        <v>1-C-2024-257</v>
      </c>
      <c r="D168" s="26" t="str">
        <f t="shared" ca="1" si="0"/>
        <v xml:space="preserve"> QUILPUÉ</v>
      </c>
      <c r="E168" s="10" t="str">
        <f ca="1">IFERROR(__xludf.DUMMYFUNCTION("""COMPUTED_VALUE"""),"Guía Operativa")</f>
        <v>Guía Operativa</v>
      </c>
      <c r="F168" s="10" t="str">
        <f ca="1">IFERROR(__xludf.DUMMYFUNCTION("""COMPUTED_VALUE"""),"MUNICIPALIDAD DE QUILPUÉ")</f>
        <v>MUNICIPALIDAD DE QUILPUÉ</v>
      </c>
      <c r="G168" s="71">
        <f ca="1">IFERROR(__xludf.DUMMYFUNCTION("""COMPUTED_VALUE"""),125976375)</f>
        <v>125976375</v>
      </c>
      <c r="H168" s="10" t="str">
        <f ca="1">IFERROR(__xludf.DUMMYFUNCTION("""COMPUTED_VALUE"""),"Resolución")</f>
        <v>Resolución</v>
      </c>
      <c r="I168" s="10" t="str">
        <f ca="1">IFERROR(__xludf.DUMMYFUNCTION("""COMPUTED_VALUE"""),"OBRA")</f>
        <v>OBRA</v>
      </c>
      <c r="J168" s="10" t="str">
        <f ca="1">IFERROR(__xludf.DUMMYFUNCTION("""COMPUTED_VALUE"""),"Cumplir con normativa y reglamentos internos del programa en base a los objetivos.")</f>
        <v>Cumplir con normativa y reglamentos internos del programa en base a los objetivos.</v>
      </c>
      <c r="K168" s="71">
        <f ca="1">IFERROR(__xludf.DUMMYFUNCTION("""COMPUTED_VALUE"""),125976375)</f>
        <v>125976375</v>
      </c>
      <c r="L168" s="72">
        <f ca="1">IFERROR(__xludf.DUMMYFUNCTION("""COMPUTED_VALUE"""),1)</f>
        <v>1</v>
      </c>
      <c r="M168" s="10">
        <f ca="1">IFERROR(__xludf.DUMMYFUNCTION("""COMPUTED_VALUE"""),1400)</f>
        <v>1400</v>
      </c>
      <c r="N168" s="10" t="str">
        <f ca="1">IFERROR(__xludf.DUMMYFUNCTION("""COMPUTED_VALUE"""),"PMU")</f>
        <v>PMU</v>
      </c>
      <c r="O168" s="1"/>
      <c r="P168" s="1"/>
      <c r="Q168" s="1"/>
      <c r="R168" s="1"/>
      <c r="S168" s="1"/>
      <c r="T168" s="1"/>
      <c r="U168" s="1"/>
      <c r="V168" s="1"/>
      <c r="W168" s="1"/>
      <c r="X168" s="1"/>
      <c r="Y168" s="1"/>
      <c r="Z168" s="1"/>
    </row>
    <row r="169" spans="1:26" ht="12.75" customHeight="1">
      <c r="A169" s="1"/>
      <c r="B169" s="10" t="str">
        <f ca="1">IFERROR(__xludf.DUMMYFUNCTION("""COMPUTED_VALUE"""),"CATASTROFE – HABILITACION DE SERVICIOS BASICOS DE EMERGENCIA POBLACIÓN ARGENTINA, COMUNA QUILPUE")</f>
        <v>CATASTROFE – HABILITACION DE SERVICIOS BASICOS DE EMERGENCIA POBLACIÓN ARGENTINA, COMUNA QUILPUE</v>
      </c>
      <c r="C169" s="10" t="str">
        <f ca="1">IFERROR(__xludf.DUMMYFUNCTION("""COMPUTED_VALUE"""),"1-C-2024-259")</f>
        <v>1-C-2024-259</v>
      </c>
      <c r="D169" s="26" t="str">
        <f t="shared" ca="1" si="0"/>
        <v xml:space="preserve"> QUILPUÉ</v>
      </c>
      <c r="E169" s="10" t="str">
        <f ca="1">IFERROR(__xludf.DUMMYFUNCTION("""COMPUTED_VALUE"""),"Guía Operativa")</f>
        <v>Guía Operativa</v>
      </c>
      <c r="F169" s="10" t="str">
        <f ca="1">IFERROR(__xludf.DUMMYFUNCTION("""COMPUTED_VALUE"""),"MUNICIPALIDAD DE QUILPUÉ")</f>
        <v>MUNICIPALIDAD DE QUILPUÉ</v>
      </c>
      <c r="G169" s="71">
        <f ca="1">IFERROR(__xludf.DUMMYFUNCTION("""COMPUTED_VALUE"""),64312063)</f>
        <v>64312063</v>
      </c>
      <c r="H169" s="10" t="str">
        <f ca="1">IFERROR(__xludf.DUMMYFUNCTION("""COMPUTED_VALUE"""),"Resolución")</f>
        <v>Resolución</v>
      </c>
      <c r="I169" s="10" t="str">
        <f ca="1">IFERROR(__xludf.DUMMYFUNCTION("""COMPUTED_VALUE"""),"OBRA")</f>
        <v>OBRA</v>
      </c>
      <c r="J169" s="10" t="str">
        <f ca="1">IFERROR(__xludf.DUMMYFUNCTION("""COMPUTED_VALUE"""),"Cumplir con normativa y reglamentos internos del programa en base a los objetivos.")</f>
        <v>Cumplir con normativa y reglamentos internos del programa en base a los objetivos.</v>
      </c>
      <c r="K169" s="71">
        <f ca="1">IFERROR(__xludf.DUMMYFUNCTION("""COMPUTED_VALUE"""),64312063)</f>
        <v>64312063</v>
      </c>
      <c r="L169" s="72">
        <f ca="1">IFERROR(__xludf.DUMMYFUNCTION("""COMPUTED_VALUE"""),1)</f>
        <v>1</v>
      </c>
      <c r="M169" s="10">
        <f ca="1">IFERROR(__xludf.DUMMYFUNCTION("""COMPUTED_VALUE"""),1400)</f>
        <v>1400</v>
      </c>
      <c r="N169" s="10" t="str">
        <f ca="1">IFERROR(__xludf.DUMMYFUNCTION("""COMPUTED_VALUE"""),"PMU")</f>
        <v>PMU</v>
      </c>
      <c r="O169" s="1"/>
      <c r="P169" s="1"/>
      <c r="Q169" s="1"/>
      <c r="R169" s="1"/>
      <c r="S169" s="1"/>
      <c r="T169" s="1"/>
      <c r="U169" s="1"/>
      <c r="V169" s="1"/>
      <c r="W169" s="1"/>
      <c r="X169" s="1"/>
      <c r="Y169" s="1"/>
      <c r="Z169" s="1"/>
    </row>
    <row r="170" spans="1:26" ht="12.75" customHeight="1">
      <c r="A170" s="1"/>
      <c r="B170" s="10" t="str">
        <f ca="1">IFERROR(__xludf.DUMMYFUNCTION("""COMPUTED_VALUE"""),"CATÁSTROFE – HABILITACIÓN DE SERVICIOS BÁSICOS DE EMERGENCIA SECTORES EL OLIVAR SUR, MIRAFLORES Y EL SALTO, COMUNA DE VIÑA DEL MAR")</f>
        <v>CATÁSTROFE – HABILITACIÓN DE SERVICIOS BÁSICOS DE EMERGENCIA SECTORES EL OLIVAR SUR, MIRAFLORES Y EL SALTO, COMUNA DE VIÑA DEL MAR</v>
      </c>
      <c r="C170" s="10" t="str">
        <f ca="1">IFERROR(__xludf.DUMMYFUNCTION("""COMPUTED_VALUE"""),"1-C-2024-267")</f>
        <v>1-C-2024-267</v>
      </c>
      <c r="D170" s="26" t="str">
        <f t="shared" ca="1" si="0"/>
        <v xml:space="preserve"> VIÑA DEL MAR</v>
      </c>
      <c r="E170" s="10" t="str">
        <f ca="1">IFERROR(__xludf.DUMMYFUNCTION("""COMPUTED_VALUE"""),"Guía Operativa")</f>
        <v>Guía Operativa</v>
      </c>
      <c r="F170" s="10" t="str">
        <f ca="1">IFERROR(__xludf.DUMMYFUNCTION("""COMPUTED_VALUE"""),"MUNICIPALIDAD DE VIÑA DEL MAR")</f>
        <v>MUNICIPALIDAD DE VIÑA DEL MAR</v>
      </c>
      <c r="G170" s="71">
        <f ca="1">IFERROR(__xludf.DUMMYFUNCTION("""COMPUTED_VALUE"""),161607355)</f>
        <v>161607355</v>
      </c>
      <c r="H170" s="10" t="str">
        <f ca="1">IFERROR(__xludf.DUMMYFUNCTION("""COMPUTED_VALUE"""),"Resolución")</f>
        <v>Resolución</v>
      </c>
      <c r="I170" s="10" t="str">
        <f ca="1">IFERROR(__xludf.DUMMYFUNCTION("""COMPUTED_VALUE"""),"OBRA")</f>
        <v>OBRA</v>
      </c>
      <c r="J170" s="10" t="str">
        <f ca="1">IFERROR(__xludf.DUMMYFUNCTION("""COMPUTED_VALUE"""),"Cumplir con normativa y reglamentos internos del programa en base a los objetivos.")</f>
        <v>Cumplir con normativa y reglamentos internos del programa en base a los objetivos.</v>
      </c>
      <c r="K170" s="71">
        <f ca="1">IFERROR(__xludf.DUMMYFUNCTION("""COMPUTED_VALUE"""),161607355)</f>
        <v>161607355</v>
      </c>
      <c r="L170" s="72">
        <f ca="1">IFERROR(__xludf.DUMMYFUNCTION("""COMPUTED_VALUE"""),1)</f>
        <v>1</v>
      </c>
      <c r="M170" s="10">
        <f ca="1">IFERROR(__xludf.DUMMYFUNCTION("""COMPUTED_VALUE"""),1412)</f>
        <v>1412</v>
      </c>
      <c r="N170" s="10" t="str">
        <f ca="1">IFERROR(__xludf.DUMMYFUNCTION("""COMPUTED_VALUE"""),"PMU")</f>
        <v>PMU</v>
      </c>
      <c r="O170" s="1"/>
      <c r="P170" s="1"/>
      <c r="Q170" s="1"/>
      <c r="R170" s="1"/>
      <c r="S170" s="1"/>
      <c r="T170" s="1"/>
      <c r="U170" s="1"/>
      <c r="V170" s="1"/>
      <c r="W170" s="1"/>
      <c r="X170" s="1"/>
      <c r="Y170" s="1"/>
      <c r="Z170" s="1"/>
    </row>
    <row r="171" spans="1:26" ht="12.75" customHeight="1">
      <c r="A171" s="1"/>
      <c r="B171" s="10" t="str">
        <f ca="1">IFERROR(__xludf.DUMMYFUNCTION("""COMPUTED_VALUE"""),"CATÁSTROFE – HABILITACIÓN DE SERVICIOS BÁSICOS DE EMERGENCIA SECTORES EL OLIVAR NORTE Y ACHUPALLAS, COMUNA DE VIÑA DEL MAR")</f>
        <v>CATÁSTROFE – HABILITACIÓN DE SERVICIOS BÁSICOS DE EMERGENCIA SECTORES EL OLIVAR NORTE Y ACHUPALLAS, COMUNA DE VIÑA DEL MAR</v>
      </c>
      <c r="C171" s="10" t="str">
        <f ca="1">IFERROR(__xludf.DUMMYFUNCTION("""COMPUTED_VALUE"""),"1-C-2024-270")</f>
        <v>1-C-2024-270</v>
      </c>
      <c r="D171" s="26" t="str">
        <f t="shared" ca="1" si="0"/>
        <v xml:space="preserve"> VIÑA DEL MAR</v>
      </c>
      <c r="E171" s="10" t="str">
        <f ca="1">IFERROR(__xludf.DUMMYFUNCTION("""COMPUTED_VALUE"""),"Guía Operativa")</f>
        <v>Guía Operativa</v>
      </c>
      <c r="F171" s="10" t="str">
        <f ca="1">IFERROR(__xludf.DUMMYFUNCTION("""COMPUTED_VALUE"""),"MUNICIPALIDAD DE VIÑA DEL MAR")</f>
        <v>MUNICIPALIDAD DE VIÑA DEL MAR</v>
      </c>
      <c r="G171" s="71">
        <f ca="1">IFERROR(__xludf.DUMMYFUNCTION("""COMPUTED_VALUE"""),161607355)</f>
        <v>161607355</v>
      </c>
      <c r="H171" s="10" t="str">
        <f ca="1">IFERROR(__xludf.DUMMYFUNCTION("""COMPUTED_VALUE"""),"Resolución")</f>
        <v>Resolución</v>
      </c>
      <c r="I171" s="10" t="str">
        <f ca="1">IFERROR(__xludf.DUMMYFUNCTION("""COMPUTED_VALUE"""),"OBRA")</f>
        <v>OBRA</v>
      </c>
      <c r="J171" s="10" t="str">
        <f ca="1">IFERROR(__xludf.DUMMYFUNCTION("""COMPUTED_VALUE"""),"Cumplir con normativa y reglamentos internos del programa en base a los objetivos.")</f>
        <v>Cumplir con normativa y reglamentos internos del programa en base a los objetivos.</v>
      </c>
      <c r="K171" s="71">
        <f ca="1">IFERROR(__xludf.DUMMYFUNCTION("""COMPUTED_VALUE"""),161607355)</f>
        <v>161607355</v>
      </c>
      <c r="L171" s="72">
        <f ca="1">IFERROR(__xludf.DUMMYFUNCTION("""COMPUTED_VALUE"""),1)</f>
        <v>1</v>
      </c>
      <c r="M171" s="10">
        <f ca="1">IFERROR(__xludf.DUMMYFUNCTION("""COMPUTED_VALUE"""),1412)</f>
        <v>1412</v>
      </c>
      <c r="N171" s="10" t="str">
        <f ca="1">IFERROR(__xludf.DUMMYFUNCTION("""COMPUTED_VALUE"""),"PMU")</f>
        <v>PMU</v>
      </c>
      <c r="O171" s="1"/>
      <c r="P171" s="1"/>
      <c r="Q171" s="1"/>
      <c r="R171" s="1"/>
      <c r="S171" s="1"/>
      <c r="T171" s="1"/>
      <c r="U171" s="1"/>
      <c r="V171" s="1"/>
      <c r="W171" s="1"/>
      <c r="X171" s="1"/>
      <c r="Y171" s="1"/>
      <c r="Z171" s="1"/>
    </row>
    <row r="172" spans="1:26" ht="12.75" customHeight="1">
      <c r="A172" s="1"/>
      <c r="B172" s="10" t="str">
        <f ca="1">IFERROR(__xludf.DUMMYFUNCTION("""COMPUTED_VALUE"""),"CATÁSTROFE - HABILITACIÓN DE ESTANQUES DE AGUA POTABLE COMUNITARIOS, SECTORES EL OLIVAR- EL SALTO- LIMONARES- VILLA HERMOSA DE LA COMUNA DE VIÑA DEL M")</f>
        <v>CATÁSTROFE - HABILITACIÓN DE ESTANQUES DE AGUA POTABLE COMUNITARIOS, SECTORES EL OLIVAR- EL SALTO- LIMONARES- VILLA HERMOSA DE LA COMUNA DE VIÑA DEL M</v>
      </c>
      <c r="C172" s="10" t="str">
        <f ca="1">IFERROR(__xludf.DUMMYFUNCTION("""COMPUTED_VALUE"""),"1-C-2024-271")</f>
        <v>1-C-2024-271</v>
      </c>
      <c r="D172" s="26" t="str">
        <f t="shared" ca="1" si="0"/>
        <v xml:space="preserve"> VIÑA DEL MAR</v>
      </c>
      <c r="E172" s="10" t="str">
        <f ca="1">IFERROR(__xludf.DUMMYFUNCTION("""COMPUTED_VALUE"""),"Guía Operativa")</f>
        <v>Guía Operativa</v>
      </c>
      <c r="F172" s="10" t="str">
        <f ca="1">IFERROR(__xludf.DUMMYFUNCTION("""COMPUTED_VALUE"""),"MUNICIPALIDAD DE VIÑA DEL MAR")</f>
        <v>MUNICIPALIDAD DE VIÑA DEL MAR</v>
      </c>
      <c r="G172" s="71">
        <f ca="1">IFERROR(__xludf.DUMMYFUNCTION("""COMPUTED_VALUE"""),50963378)</f>
        <v>50963378</v>
      </c>
      <c r="H172" s="10" t="str">
        <f ca="1">IFERROR(__xludf.DUMMYFUNCTION("""COMPUTED_VALUE"""),"Resolución")</f>
        <v>Resolución</v>
      </c>
      <c r="I172" s="10" t="str">
        <f ca="1">IFERROR(__xludf.DUMMYFUNCTION("""COMPUTED_VALUE"""),"OBRA")</f>
        <v>OBRA</v>
      </c>
      <c r="J172" s="10" t="str">
        <f ca="1">IFERROR(__xludf.DUMMYFUNCTION("""COMPUTED_VALUE"""),"Cumplir con normativa y reglamentos internos del programa en base a los objetivos.")</f>
        <v>Cumplir con normativa y reglamentos internos del programa en base a los objetivos.</v>
      </c>
      <c r="K172" s="71">
        <f ca="1">IFERROR(__xludf.DUMMYFUNCTION("""COMPUTED_VALUE"""),50963378)</f>
        <v>50963378</v>
      </c>
      <c r="L172" s="72">
        <f ca="1">IFERROR(__xludf.DUMMYFUNCTION("""COMPUTED_VALUE"""),1)</f>
        <v>1</v>
      </c>
      <c r="M172" s="10">
        <f ca="1">IFERROR(__xludf.DUMMYFUNCTION("""COMPUTED_VALUE"""),1412)</f>
        <v>1412</v>
      </c>
      <c r="N172" s="10" t="str">
        <f ca="1">IFERROR(__xludf.DUMMYFUNCTION("""COMPUTED_VALUE"""),"PMU")</f>
        <v>PMU</v>
      </c>
      <c r="O172" s="1"/>
      <c r="P172" s="1"/>
      <c r="Q172" s="1"/>
      <c r="R172" s="1"/>
      <c r="S172" s="1"/>
      <c r="T172" s="1"/>
      <c r="U172" s="1"/>
      <c r="V172" s="1"/>
      <c r="W172" s="1"/>
      <c r="X172" s="1"/>
      <c r="Y172" s="1"/>
      <c r="Z172" s="1"/>
    </row>
    <row r="173" spans="1:26" ht="12.75" customHeight="1">
      <c r="A173" s="1"/>
      <c r="B173" s="10" t="str">
        <f ca="1">IFERROR(__xludf.DUMMYFUNCTION("""COMPUTED_VALUE"""),"CSV CONSTRUCCIÓN ÁREA VERDE MILÁN, POBLACIÓN RECREO 2-A, COMUNA DE RANCAGUA")</f>
        <v>CSV CONSTRUCCIÓN ÁREA VERDE MILÁN, POBLACIÓN RECREO 2-A, COMUNA DE RANCAGUA</v>
      </c>
      <c r="C173" s="10" t="str">
        <f ca="1">IFERROR(__xludf.DUMMYFUNCTION("""COMPUTED_VALUE"""),"1-C-2023-2799")</f>
        <v>1-C-2023-2799</v>
      </c>
      <c r="D173" s="26" t="str">
        <f t="shared" ca="1" si="0"/>
        <v xml:space="preserve"> RANCAGUA</v>
      </c>
      <c r="E173" s="10" t="str">
        <f ca="1">IFERROR(__xludf.DUMMYFUNCTION("""COMPUTED_VALUE"""),"Guía Operativa")</f>
        <v>Guía Operativa</v>
      </c>
      <c r="F173" s="10" t="str">
        <f ca="1">IFERROR(__xludf.DUMMYFUNCTION("""COMPUTED_VALUE"""),"MUNICIPALIDAD DE RANCAGUA")</f>
        <v>MUNICIPALIDAD DE RANCAGUA</v>
      </c>
      <c r="G173" s="71">
        <f ca="1">IFERROR(__xludf.DUMMYFUNCTION("""COMPUTED_VALUE"""),141791518)</f>
        <v>141791518</v>
      </c>
      <c r="H173" s="10" t="str">
        <f ca="1">IFERROR(__xludf.DUMMYFUNCTION("""COMPUTED_VALUE"""),"Resolución")</f>
        <v>Resolución</v>
      </c>
      <c r="I173" s="10" t="str">
        <f ca="1">IFERROR(__xludf.DUMMYFUNCTION("""COMPUTED_VALUE"""),"OBRA")</f>
        <v>OBRA</v>
      </c>
      <c r="J173" s="10" t="str">
        <f ca="1">IFERROR(__xludf.DUMMYFUNCTION("""COMPUTED_VALUE"""),"Cumplir con normativa y reglamentos internos del programa en base a los objetivos.")</f>
        <v>Cumplir con normativa y reglamentos internos del programa en base a los objetivos.</v>
      </c>
      <c r="K173" s="71">
        <f ca="1">IFERROR(__xludf.DUMMYFUNCTION("""COMPUTED_VALUE"""),141791518)</f>
        <v>141791518</v>
      </c>
      <c r="L173" s="72">
        <f ca="1">IFERROR(__xludf.DUMMYFUNCTION("""COMPUTED_VALUE"""),1)</f>
        <v>1</v>
      </c>
      <c r="M173" s="10">
        <f ca="1">IFERROR(__xludf.DUMMYFUNCTION("""COMPUTED_VALUE"""),822)</f>
        <v>822</v>
      </c>
      <c r="N173" s="10" t="str">
        <f ca="1">IFERROR(__xludf.DUMMYFUNCTION("""COMPUTED_VALUE"""),"PMU")</f>
        <v>PMU</v>
      </c>
      <c r="O173" s="1"/>
      <c r="P173" s="1"/>
      <c r="Q173" s="1"/>
      <c r="R173" s="1"/>
      <c r="S173" s="1"/>
      <c r="T173" s="1"/>
      <c r="U173" s="1"/>
      <c r="V173" s="1"/>
      <c r="W173" s="1"/>
      <c r="X173" s="1"/>
      <c r="Y173" s="1"/>
      <c r="Z173" s="1"/>
    </row>
    <row r="174" spans="1:26" ht="12.75" customHeight="1">
      <c r="A174" s="1"/>
      <c r="B174" s="10" t="str">
        <f ca="1">IFERROR(__xludf.DUMMYFUNCTION("""COMPUTED_VALUE"""),"[SATE] REPOSICION CIERRES PERIMETRALES Y MEJORAMIENTO CLUB DEPORTIVO ESTRELLA ROJA, COMUNA DE YERBAS BUENAS")</f>
        <v>[SATE] REPOSICION CIERRES PERIMETRALES Y MEJORAMIENTO CLUB DEPORTIVO ESTRELLA ROJA, COMUNA DE YERBAS BUENAS</v>
      </c>
      <c r="C174" s="10" t="str">
        <f ca="1">IFERROR(__xludf.DUMMYFUNCTION("""COMPUTED_VALUE"""),"1-C-2023-1294")</f>
        <v>1-C-2023-1294</v>
      </c>
      <c r="D174" s="26" t="str">
        <f t="shared" ca="1" si="0"/>
        <v xml:space="preserve"> YERBAS BUENAS</v>
      </c>
      <c r="E174" s="10" t="str">
        <f ca="1">IFERROR(__xludf.DUMMYFUNCTION("""COMPUTED_VALUE"""),"Guía Operativa")</f>
        <v>Guía Operativa</v>
      </c>
      <c r="F174" s="10" t="str">
        <f ca="1">IFERROR(__xludf.DUMMYFUNCTION("""COMPUTED_VALUE"""),"MUNICIPALIDAD DE YERBAS BUENAS")</f>
        <v>MUNICIPALIDAD DE YERBAS BUENAS</v>
      </c>
      <c r="G174" s="71">
        <f ca="1">IFERROR(__xludf.DUMMYFUNCTION("""COMPUTED_VALUE"""),154421094)</f>
        <v>154421094</v>
      </c>
      <c r="H174" s="10" t="str">
        <f ca="1">IFERROR(__xludf.DUMMYFUNCTION("""COMPUTED_VALUE"""),"Resolución")</f>
        <v>Resolución</v>
      </c>
      <c r="I174" s="10" t="str">
        <f ca="1">IFERROR(__xludf.DUMMYFUNCTION("""COMPUTED_VALUE"""),"OBRA")</f>
        <v>OBRA</v>
      </c>
      <c r="J174" s="10" t="str">
        <f ca="1">IFERROR(__xludf.DUMMYFUNCTION("""COMPUTED_VALUE"""),"Cumplir con normativa y reglamentos internos del programa en base a los objetivos.")</f>
        <v>Cumplir con normativa y reglamentos internos del programa en base a los objetivos.</v>
      </c>
      <c r="K174" s="71">
        <f ca="1">IFERROR(__xludf.DUMMYFUNCTION("""COMPUTED_VALUE"""),154421094)</f>
        <v>154421094</v>
      </c>
      <c r="L174" s="72">
        <f ca="1">IFERROR(__xludf.DUMMYFUNCTION("""COMPUTED_VALUE"""),1)</f>
        <v>1</v>
      </c>
      <c r="M174" s="10">
        <f ca="1">IFERROR(__xludf.DUMMYFUNCTION("""COMPUTED_VALUE"""),1733)</f>
        <v>1733</v>
      </c>
      <c r="N174" s="10" t="str">
        <f ca="1">IFERROR(__xludf.DUMMYFUNCTION("""COMPUTED_VALUE"""),"PMU")</f>
        <v>PMU</v>
      </c>
      <c r="O174" s="1"/>
      <c r="P174" s="1"/>
      <c r="Q174" s="1"/>
      <c r="R174" s="1"/>
      <c r="S174" s="1"/>
      <c r="T174" s="1"/>
      <c r="U174" s="1"/>
      <c r="V174" s="1"/>
      <c r="W174" s="1"/>
      <c r="X174" s="1"/>
      <c r="Y174" s="1"/>
      <c r="Z174" s="1"/>
    </row>
    <row r="175" spans="1:26" ht="12.75" customHeight="1">
      <c r="A175" s="1"/>
      <c r="B175" s="10" t="str">
        <f ca="1">IFERROR(__xludf.DUMMYFUNCTION("""COMPUTED_VALUE"""),"ILUMINACIÓN ESPACIO CÍVICO ARTURO PRAT, CONSTITUCIÓN")</f>
        <v>ILUMINACIÓN ESPACIO CÍVICO ARTURO PRAT, CONSTITUCIÓN</v>
      </c>
      <c r="C175" s="10" t="str">
        <f ca="1">IFERROR(__xludf.DUMMYFUNCTION("""COMPUTED_VALUE"""),"1-C-2023-3343")</f>
        <v>1-C-2023-3343</v>
      </c>
      <c r="D175" s="26" t="str">
        <f t="shared" ca="1" si="0"/>
        <v xml:space="preserve"> CONSTITUCIÓN</v>
      </c>
      <c r="E175" s="10" t="str">
        <f ca="1">IFERROR(__xludf.DUMMYFUNCTION("""COMPUTED_VALUE"""),"Guía Operativa")</f>
        <v>Guía Operativa</v>
      </c>
      <c r="F175" s="10" t="str">
        <f ca="1">IFERROR(__xludf.DUMMYFUNCTION("""COMPUTED_VALUE"""),"MUNICIPALIDAD DE CONSTITUCIÓN")</f>
        <v>MUNICIPALIDAD DE CONSTITUCIÓN</v>
      </c>
      <c r="G175" s="71">
        <f ca="1">IFERROR(__xludf.DUMMYFUNCTION("""COMPUTED_VALUE"""),94294600)</f>
        <v>94294600</v>
      </c>
      <c r="H175" s="10" t="str">
        <f ca="1">IFERROR(__xludf.DUMMYFUNCTION("""COMPUTED_VALUE"""),"Resolución")</f>
        <v>Resolución</v>
      </c>
      <c r="I175" s="10" t="str">
        <f ca="1">IFERROR(__xludf.DUMMYFUNCTION("""COMPUTED_VALUE"""),"OBRA")</f>
        <v>OBRA</v>
      </c>
      <c r="J175" s="10" t="str">
        <f ca="1">IFERROR(__xludf.DUMMYFUNCTION("""COMPUTED_VALUE"""),"Cumplir con normativa y reglamentos internos del programa en base a los objetivos.")</f>
        <v>Cumplir con normativa y reglamentos internos del programa en base a los objetivos.</v>
      </c>
      <c r="K175" s="71">
        <f ca="1">IFERROR(__xludf.DUMMYFUNCTION("""COMPUTED_VALUE"""),94294600)</f>
        <v>94294600</v>
      </c>
      <c r="L175" s="72">
        <f ca="1">IFERROR(__xludf.DUMMYFUNCTION("""COMPUTED_VALUE"""),1)</f>
        <v>1</v>
      </c>
      <c r="M175" s="10">
        <f ca="1">IFERROR(__xludf.DUMMYFUNCTION("""COMPUTED_VALUE"""),1349)</f>
        <v>1349</v>
      </c>
      <c r="N175" s="10" t="str">
        <f ca="1">IFERROR(__xludf.DUMMYFUNCTION("""COMPUTED_VALUE"""),"PMU")</f>
        <v>PMU</v>
      </c>
      <c r="O175" s="1"/>
      <c r="P175" s="1"/>
      <c r="Q175" s="1"/>
      <c r="R175" s="1"/>
      <c r="S175" s="1"/>
      <c r="T175" s="1"/>
      <c r="U175" s="1"/>
      <c r="V175" s="1"/>
      <c r="W175" s="1"/>
      <c r="X175" s="1"/>
      <c r="Y175" s="1"/>
      <c r="Z175" s="1"/>
    </row>
    <row r="176" spans="1:26" ht="12.75" customHeight="1">
      <c r="A176" s="1"/>
      <c r="B176" s="10" t="str">
        <f ca="1">IFERROR(__xludf.DUMMYFUNCTION("""COMPUTED_VALUE"""),"HABILITACIÓN ECOMERCADO CHIGUAYANTE")</f>
        <v>HABILITACIÓN ECOMERCADO CHIGUAYANTE</v>
      </c>
      <c r="C176" s="10" t="str">
        <f ca="1">IFERROR(__xludf.DUMMYFUNCTION("""COMPUTED_VALUE"""),"1-C-2023-1950")</f>
        <v>1-C-2023-1950</v>
      </c>
      <c r="D176" s="26" t="str">
        <f t="shared" ca="1" si="0"/>
        <v xml:space="preserve"> CHIGUAYANTE</v>
      </c>
      <c r="E176" s="10" t="str">
        <f ca="1">IFERROR(__xludf.DUMMYFUNCTION("""COMPUTED_VALUE"""),"Guía Operativa")</f>
        <v>Guía Operativa</v>
      </c>
      <c r="F176" s="10" t="str">
        <f ca="1">IFERROR(__xludf.DUMMYFUNCTION("""COMPUTED_VALUE"""),"MUNICIPALIDAD DE CHIGUAYANTE")</f>
        <v>MUNICIPALIDAD DE CHIGUAYANTE</v>
      </c>
      <c r="G176" s="71">
        <f ca="1">IFERROR(__xludf.DUMMYFUNCTION("""COMPUTED_VALUE"""),59091922)</f>
        <v>59091922</v>
      </c>
      <c r="H176" s="10" t="str">
        <f ca="1">IFERROR(__xludf.DUMMYFUNCTION("""COMPUTED_VALUE"""),"Resolución")</f>
        <v>Resolución</v>
      </c>
      <c r="I176" s="10" t="str">
        <f ca="1">IFERROR(__xludf.DUMMYFUNCTION("""COMPUTED_VALUE"""),"OBRA")</f>
        <v>OBRA</v>
      </c>
      <c r="J176" s="10" t="str">
        <f ca="1">IFERROR(__xludf.DUMMYFUNCTION("""COMPUTED_VALUE"""),"Cumplir con normativa y reglamentos internos del programa en base a los objetivos.")</f>
        <v>Cumplir con normativa y reglamentos internos del programa en base a los objetivos.</v>
      </c>
      <c r="K176" s="71">
        <f ca="1">IFERROR(__xludf.DUMMYFUNCTION("""COMPUTED_VALUE"""),59091922)</f>
        <v>59091922</v>
      </c>
      <c r="L176" s="72">
        <f ca="1">IFERROR(__xludf.DUMMYFUNCTION("""COMPUTED_VALUE"""),1)</f>
        <v>1</v>
      </c>
      <c r="M176" s="10">
        <f ca="1">IFERROR(__xludf.DUMMYFUNCTION("""COMPUTED_VALUE"""),1351)</f>
        <v>1351</v>
      </c>
      <c r="N176" s="10" t="str">
        <f ca="1">IFERROR(__xludf.DUMMYFUNCTION("""COMPUTED_VALUE"""),"PMU")</f>
        <v>PMU</v>
      </c>
      <c r="O176" s="1"/>
      <c r="P176" s="1"/>
      <c r="Q176" s="1"/>
      <c r="R176" s="1"/>
      <c r="S176" s="1"/>
      <c r="T176" s="1"/>
      <c r="U176" s="1"/>
      <c r="V176" s="1"/>
      <c r="W176" s="1"/>
      <c r="X176" s="1"/>
      <c r="Y176" s="1"/>
      <c r="Z176" s="1"/>
    </row>
    <row r="177" spans="1:26" ht="12.75" customHeight="1">
      <c r="A177" s="1"/>
      <c r="B177" s="10" t="str">
        <f ca="1">IFERROR(__xludf.DUMMYFUNCTION("""COMPUTED_VALUE"""),"MEJORAMIENTO PLAZA COSTANERA PAILLIHUE SUR, LOS ÁNGELES")</f>
        <v>MEJORAMIENTO PLAZA COSTANERA PAILLIHUE SUR, LOS ÁNGELES</v>
      </c>
      <c r="C177" s="10" t="str">
        <f ca="1">IFERROR(__xludf.DUMMYFUNCTION("""COMPUTED_VALUE"""),"1-C-2023-2301")</f>
        <v>1-C-2023-2301</v>
      </c>
      <c r="D177" s="26" t="str">
        <f t="shared" ca="1" si="0"/>
        <v xml:space="preserve"> LOS ÁNGELES</v>
      </c>
      <c r="E177" s="10" t="str">
        <f ca="1">IFERROR(__xludf.DUMMYFUNCTION("""COMPUTED_VALUE"""),"Guía Operativa")</f>
        <v>Guía Operativa</v>
      </c>
      <c r="F177" s="10" t="str">
        <f ca="1">IFERROR(__xludf.DUMMYFUNCTION("""COMPUTED_VALUE"""),"MUNICIPALIDAD DE LOS ÁNGELES")</f>
        <v>MUNICIPALIDAD DE LOS ÁNGELES</v>
      </c>
      <c r="G177" s="71">
        <f ca="1">IFERROR(__xludf.DUMMYFUNCTION("""COMPUTED_VALUE"""),147916305)</f>
        <v>147916305</v>
      </c>
      <c r="H177" s="10" t="str">
        <f ca="1">IFERROR(__xludf.DUMMYFUNCTION("""COMPUTED_VALUE"""),"Resolución")</f>
        <v>Resolución</v>
      </c>
      <c r="I177" s="10" t="str">
        <f ca="1">IFERROR(__xludf.DUMMYFUNCTION("""COMPUTED_VALUE"""),"OBRA")</f>
        <v>OBRA</v>
      </c>
      <c r="J177" s="10" t="str">
        <f ca="1">IFERROR(__xludf.DUMMYFUNCTION("""COMPUTED_VALUE"""),"Cumplir con normativa y reglamentos internos del programa en base a los objetivos.")</f>
        <v>Cumplir con normativa y reglamentos internos del programa en base a los objetivos.</v>
      </c>
      <c r="K177" s="71">
        <f ca="1">IFERROR(__xludf.DUMMYFUNCTION("""COMPUTED_VALUE"""),147916305)</f>
        <v>147916305</v>
      </c>
      <c r="L177" s="72">
        <f ca="1">IFERROR(__xludf.DUMMYFUNCTION("""COMPUTED_VALUE"""),1)</f>
        <v>1</v>
      </c>
      <c r="M177" s="10">
        <f ca="1">IFERROR(__xludf.DUMMYFUNCTION("""COMPUTED_VALUE"""),636)</f>
        <v>636</v>
      </c>
      <c r="N177" s="10" t="str">
        <f ca="1">IFERROR(__xludf.DUMMYFUNCTION("""COMPUTED_VALUE"""),"PMU")</f>
        <v>PMU</v>
      </c>
      <c r="O177" s="1"/>
      <c r="P177" s="1"/>
      <c r="Q177" s="1"/>
      <c r="R177" s="1"/>
      <c r="S177" s="1"/>
      <c r="T177" s="1"/>
      <c r="U177" s="1"/>
      <c r="V177" s="1"/>
      <c r="W177" s="1"/>
      <c r="X177" s="1"/>
      <c r="Y177" s="1"/>
      <c r="Z177" s="1"/>
    </row>
    <row r="178" spans="1:26" ht="12.75" customHeight="1">
      <c r="A178" s="1"/>
      <c r="B178" s="10" t="str">
        <f ca="1">IFERROR(__xludf.DUMMYFUNCTION("""COMPUTED_VALUE"""),"CONSTRUCCIÓN DE ALUMBRADO PÚBLICO EN ÁREAS VERDES SECTOR SUR DE LA COMUNA DE LOS ÁNGELES")</f>
        <v>CONSTRUCCIÓN DE ALUMBRADO PÚBLICO EN ÁREAS VERDES SECTOR SUR DE LA COMUNA DE LOS ÁNGELES</v>
      </c>
      <c r="C178" s="10" t="str">
        <f ca="1">IFERROR(__xludf.DUMMYFUNCTION("""COMPUTED_VALUE"""),"1-C-2023-2492")</f>
        <v>1-C-2023-2492</v>
      </c>
      <c r="D178" s="26" t="str">
        <f t="shared" ca="1" si="0"/>
        <v xml:space="preserve"> LOS ÁNGELES</v>
      </c>
      <c r="E178" s="10" t="str">
        <f ca="1">IFERROR(__xludf.DUMMYFUNCTION("""COMPUTED_VALUE"""),"Guía Operativa")</f>
        <v>Guía Operativa</v>
      </c>
      <c r="F178" s="10" t="str">
        <f ca="1">IFERROR(__xludf.DUMMYFUNCTION("""COMPUTED_VALUE"""),"MUNICIPALIDAD DE LOS ÁNGELES")</f>
        <v>MUNICIPALIDAD DE LOS ÁNGELES</v>
      </c>
      <c r="G178" s="71">
        <f ca="1">IFERROR(__xludf.DUMMYFUNCTION("""COMPUTED_VALUE"""),149838305)</f>
        <v>149838305</v>
      </c>
      <c r="H178" s="10" t="str">
        <f ca="1">IFERROR(__xludf.DUMMYFUNCTION("""COMPUTED_VALUE"""),"Resolución")</f>
        <v>Resolución</v>
      </c>
      <c r="I178" s="10" t="str">
        <f ca="1">IFERROR(__xludf.DUMMYFUNCTION("""COMPUTED_VALUE"""),"OBRA")</f>
        <v>OBRA</v>
      </c>
      <c r="J178" s="10" t="str">
        <f ca="1">IFERROR(__xludf.DUMMYFUNCTION("""COMPUTED_VALUE"""),"Cumplir con normativa y reglamentos internos del programa en base a los objetivos.")</f>
        <v>Cumplir con normativa y reglamentos internos del programa en base a los objetivos.</v>
      </c>
      <c r="K178" s="71">
        <f ca="1">IFERROR(__xludf.DUMMYFUNCTION("""COMPUTED_VALUE"""),149838305)</f>
        <v>149838305</v>
      </c>
      <c r="L178" s="72">
        <f ca="1">IFERROR(__xludf.DUMMYFUNCTION("""COMPUTED_VALUE"""),1)</f>
        <v>1</v>
      </c>
      <c r="M178" s="10">
        <f ca="1">IFERROR(__xludf.DUMMYFUNCTION("""COMPUTED_VALUE"""),636)</f>
        <v>636</v>
      </c>
      <c r="N178" s="10" t="str">
        <f ca="1">IFERROR(__xludf.DUMMYFUNCTION("""COMPUTED_VALUE"""),"PMU")</f>
        <v>PMU</v>
      </c>
      <c r="O178" s="1"/>
      <c r="P178" s="1"/>
      <c r="Q178" s="1"/>
      <c r="R178" s="1"/>
      <c r="S178" s="1"/>
      <c r="T178" s="1"/>
      <c r="U178" s="1"/>
      <c r="V178" s="1"/>
      <c r="W178" s="1"/>
      <c r="X178" s="1"/>
      <c r="Y178" s="1"/>
      <c r="Z178" s="1"/>
    </row>
    <row r="179" spans="1:26" ht="12.75" customHeight="1">
      <c r="A179" s="1"/>
      <c r="B179" s="10" t="str">
        <f ca="1">IFERROR(__xludf.DUMMYFUNCTION("""COMPUTED_VALUE"""),"REPOSICIÓN PLAZA SAN CARLOS DE PURÉN")</f>
        <v>REPOSICIÓN PLAZA SAN CARLOS DE PURÉN</v>
      </c>
      <c r="C179" s="10" t="str">
        <f ca="1">IFERROR(__xludf.DUMMYFUNCTION("""COMPUTED_VALUE"""),"1-C-2023-2613")</f>
        <v>1-C-2023-2613</v>
      </c>
      <c r="D179" s="26" t="str">
        <f t="shared" ca="1" si="0"/>
        <v xml:space="preserve"> LOS ÁNGELES</v>
      </c>
      <c r="E179" s="10" t="str">
        <f ca="1">IFERROR(__xludf.DUMMYFUNCTION("""COMPUTED_VALUE"""),"Guía Operativa")</f>
        <v>Guía Operativa</v>
      </c>
      <c r="F179" s="10" t="str">
        <f ca="1">IFERROR(__xludf.DUMMYFUNCTION("""COMPUTED_VALUE"""),"MUNICIPALIDAD DE LOS ÁNGELES")</f>
        <v>MUNICIPALIDAD DE LOS ÁNGELES</v>
      </c>
      <c r="G179" s="71">
        <f ca="1">IFERROR(__xludf.DUMMYFUNCTION("""COMPUTED_VALUE"""),99229148)</f>
        <v>99229148</v>
      </c>
      <c r="H179" s="10" t="str">
        <f ca="1">IFERROR(__xludf.DUMMYFUNCTION("""COMPUTED_VALUE"""),"Resolución")</f>
        <v>Resolución</v>
      </c>
      <c r="I179" s="10" t="str">
        <f ca="1">IFERROR(__xludf.DUMMYFUNCTION("""COMPUTED_VALUE"""),"OBRA")</f>
        <v>OBRA</v>
      </c>
      <c r="J179" s="10" t="str">
        <f ca="1">IFERROR(__xludf.DUMMYFUNCTION("""COMPUTED_VALUE"""),"Cumplir con normativa y reglamentos internos del programa en base a los objetivos.")</f>
        <v>Cumplir con normativa y reglamentos internos del programa en base a los objetivos.</v>
      </c>
      <c r="K179" s="71">
        <f ca="1">IFERROR(__xludf.DUMMYFUNCTION("""COMPUTED_VALUE"""),99229148)</f>
        <v>99229148</v>
      </c>
      <c r="L179" s="72">
        <f ca="1">IFERROR(__xludf.DUMMYFUNCTION("""COMPUTED_VALUE"""),1)</f>
        <v>1</v>
      </c>
      <c r="M179" s="10">
        <f ca="1">IFERROR(__xludf.DUMMYFUNCTION("""COMPUTED_VALUE"""),636)</f>
        <v>636</v>
      </c>
      <c r="N179" s="10" t="str">
        <f ca="1">IFERROR(__xludf.DUMMYFUNCTION("""COMPUTED_VALUE"""),"PMU")</f>
        <v>PMU</v>
      </c>
      <c r="O179" s="1"/>
      <c r="P179" s="1"/>
      <c r="Q179" s="1"/>
      <c r="R179" s="1"/>
      <c r="S179" s="1"/>
      <c r="T179" s="1"/>
      <c r="U179" s="1"/>
      <c r="V179" s="1"/>
      <c r="W179" s="1"/>
      <c r="X179" s="1"/>
      <c r="Y179" s="1"/>
      <c r="Z179" s="1"/>
    </row>
    <row r="180" spans="1:26" ht="12.75" customHeight="1">
      <c r="A180" s="1"/>
      <c r="B180" s="10" t="str">
        <f ca="1">IFERROR(__xludf.DUMMYFUNCTION("""COMPUTED_VALUE"""),"CONSTRUCCION SEDE SOCIAL LOS CASTAÑOS II DE CAJÓN, COMUNA DE VILCUN")</f>
        <v>CONSTRUCCION SEDE SOCIAL LOS CASTAÑOS II DE CAJÓN, COMUNA DE VILCUN</v>
      </c>
      <c r="C180" s="10" t="str">
        <f ca="1">IFERROR(__xludf.DUMMYFUNCTION("""COMPUTED_VALUE"""),"1-C-2020-1189")</f>
        <v>1-C-2020-1189</v>
      </c>
      <c r="D180" s="26" t="str">
        <f t="shared" ca="1" si="0"/>
        <v xml:space="preserve"> VILCÚN</v>
      </c>
      <c r="E180" s="10" t="str">
        <f ca="1">IFERROR(__xludf.DUMMYFUNCTION("""COMPUTED_VALUE"""),"Guía Operativa")</f>
        <v>Guía Operativa</v>
      </c>
      <c r="F180" s="10" t="str">
        <f ca="1">IFERROR(__xludf.DUMMYFUNCTION("""COMPUTED_VALUE"""),"MUNICIPALIDAD DE VILCÚN")</f>
        <v>MUNICIPALIDAD DE VILCÚN</v>
      </c>
      <c r="G180" s="71">
        <f ca="1">IFERROR(__xludf.DUMMYFUNCTION("""COMPUTED_VALUE"""),76765000)</f>
        <v>76765000</v>
      </c>
      <c r="H180" s="10" t="str">
        <f ca="1">IFERROR(__xludf.DUMMYFUNCTION("""COMPUTED_VALUE"""),"Resolución")</f>
        <v>Resolución</v>
      </c>
      <c r="I180" s="10" t="str">
        <f ca="1">IFERROR(__xludf.DUMMYFUNCTION("""COMPUTED_VALUE"""),"OBRA")</f>
        <v>OBRA</v>
      </c>
      <c r="J180" s="10" t="str">
        <f ca="1">IFERROR(__xludf.DUMMYFUNCTION("""COMPUTED_VALUE"""),"Cumplir con normativa y reglamentos internos del programa en base a los objetivos.")</f>
        <v>Cumplir con normativa y reglamentos internos del programa en base a los objetivos.</v>
      </c>
      <c r="K180" s="71">
        <f ca="1">IFERROR(__xludf.DUMMYFUNCTION("""COMPUTED_VALUE"""),45389622)</f>
        <v>45389622</v>
      </c>
      <c r="L180" s="72">
        <f ca="1">IFERROR(__xludf.DUMMYFUNCTION("""COMPUTED_VALUE"""),0.97589555135804)</f>
        <v>0.97589555135803996</v>
      </c>
      <c r="M180" s="10">
        <f ca="1">IFERROR(__xludf.DUMMYFUNCTION("""COMPUTED_VALUE"""),6889)</f>
        <v>6889</v>
      </c>
      <c r="N180" s="10" t="str">
        <f ca="1">IFERROR(__xludf.DUMMYFUNCTION("""COMPUTED_VALUE"""),"PMU")</f>
        <v>PMU</v>
      </c>
      <c r="O180" s="1"/>
      <c r="P180" s="1"/>
      <c r="Q180" s="1"/>
      <c r="R180" s="1"/>
      <c r="S180" s="1"/>
      <c r="T180" s="1"/>
      <c r="U180" s="1"/>
      <c r="V180" s="1"/>
      <c r="W180" s="1"/>
      <c r="X180" s="1"/>
      <c r="Y180" s="1"/>
      <c r="Z180" s="1"/>
    </row>
    <row r="181" spans="1:26" ht="12.75" customHeight="1">
      <c r="A181" s="1"/>
      <c r="B181" s="10" t="str">
        <f ca="1">IFERROR(__xludf.DUMMYFUNCTION("""COMPUTED_VALUE"""),"MEJORAMIENTO GUARDIA NOCTURNA SÉPTIMA COMPAÑÍA DE BOMBEROS DE TEMUCO")</f>
        <v>MEJORAMIENTO GUARDIA NOCTURNA SÉPTIMA COMPAÑÍA DE BOMBEROS DE TEMUCO</v>
      </c>
      <c r="C181" s="10" t="str">
        <f ca="1">IFERROR(__xludf.DUMMYFUNCTION("""COMPUTED_VALUE"""),"1-C-2022-1212")</f>
        <v>1-C-2022-1212</v>
      </c>
      <c r="D181" s="26" t="str">
        <f t="shared" ca="1" si="0"/>
        <v xml:space="preserve"> TEMUCO</v>
      </c>
      <c r="E181" s="10" t="str">
        <f ca="1">IFERROR(__xludf.DUMMYFUNCTION("""COMPUTED_VALUE"""),"Guía Operativa")</f>
        <v>Guía Operativa</v>
      </c>
      <c r="F181" s="10" t="str">
        <f ca="1">IFERROR(__xludf.DUMMYFUNCTION("""COMPUTED_VALUE"""),"MUNICIPALIDAD DE TEMUCO")</f>
        <v>MUNICIPALIDAD DE TEMUCO</v>
      </c>
      <c r="G181" s="71">
        <f ca="1">IFERROR(__xludf.DUMMYFUNCTION("""COMPUTED_VALUE"""),127045074)</f>
        <v>127045074</v>
      </c>
      <c r="H181" s="10" t="str">
        <f ca="1">IFERROR(__xludf.DUMMYFUNCTION("""COMPUTED_VALUE"""),"Resolución")</f>
        <v>Resolución</v>
      </c>
      <c r="I181" s="10" t="str">
        <f ca="1">IFERROR(__xludf.DUMMYFUNCTION("""COMPUTED_VALUE"""),"OBRA")</f>
        <v>OBRA</v>
      </c>
      <c r="J181" s="10" t="str">
        <f ca="1">IFERROR(__xludf.DUMMYFUNCTION("""COMPUTED_VALUE"""),"Cumplir con normativa y reglamentos internos del programa en base a los objetivos.")</f>
        <v>Cumplir con normativa y reglamentos internos del programa en base a los objetivos.</v>
      </c>
      <c r="K181" s="71">
        <f ca="1">IFERROR(__xludf.DUMMYFUNCTION("""COMPUTED_VALUE"""),127045074)</f>
        <v>127045074</v>
      </c>
      <c r="L181" s="72">
        <f ca="1">IFERROR(__xludf.DUMMYFUNCTION("""COMPUTED_VALUE"""),1)</f>
        <v>1</v>
      </c>
      <c r="M181" s="10">
        <f ca="1">IFERROR(__xludf.DUMMYFUNCTION("""COMPUTED_VALUE"""),627)</f>
        <v>627</v>
      </c>
      <c r="N181" s="10" t="str">
        <f ca="1">IFERROR(__xludf.DUMMYFUNCTION("""COMPUTED_VALUE"""),"PMU")</f>
        <v>PMU</v>
      </c>
      <c r="O181" s="1"/>
      <c r="P181" s="1"/>
      <c r="Q181" s="1"/>
      <c r="R181" s="1"/>
      <c r="S181" s="1"/>
      <c r="T181" s="1"/>
      <c r="U181" s="1"/>
      <c r="V181" s="1"/>
      <c r="W181" s="1"/>
      <c r="X181" s="1"/>
      <c r="Y181" s="1"/>
      <c r="Z181" s="1"/>
    </row>
    <row r="182" spans="1:26" ht="12.75" customHeight="1">
      <c r="A182" s="1"/>
      <c r="B182" s="10" t="str">
        <f ca="1">IFERROR(__xludf.DUMMYFUNCTION("""COMPUTED_VALUE"""),"MEJORAMIENTO ÁREA VERDE NUEVA GENERACIÓN, TEMUCO")</f>
        <v>MEJORAMIENTO ÁREA VERDE NUEVA GENERACIÓN, TEMUCO</v>
      </c>
      <c r="C182" s="10" t="str">
        <f ca="1">IFERROR(__xludf.DUMMYFUNCTION("""COMPUTED_VALUE"""),"1-C-2022-1686")</f>
        <v>1-C-2022-1686</v>
      </c>
      <c r="D182" s="26" t="str">
        <f t="shared" ca="1" si="0"/>
        <v xml:space="preserve"> TEMUCO</v>
      </c>
      <c r="E182" s="10" t="str">
        <f ca="1">IFERROR(__xludf.DUMMYFUNCTION("""COMPUTED_VALUE"""),"Guía Operativa")</f>
        <v>Guía Operativa</v>
      </c>
      <c r="F182" s="10" t="str">
        <f ca="1">IFERROR(__xludf.DUMMYFUNCTION("""COMPUTED_VALUE"""),"MUNICIPALIDAD DE TEMUCO")</f>
        <v>MUNICIPALIDAD DE TEMUCO</v>
      </c>
      <c r="G182" s="71">
        <f ca="1">IFERROR(__xludf.DUMMYFUNCTION("""COMPUTED_VALUE"""),117261195)</f>
        <v>117261195</v>
      </c>
      <c r="H182" s="10" t="str">
        <f ca="1">IFERROR(__xludf.DUMMYFUNCTION("""COMPUTED_VALUE"""),"Resolución")</f>
        <v>Resolución</v>
      </c>
      <c r="I182" s="10" t="str">
        <f ca="1">IFERROR(__xludf.DUMMYFUNCTION("""COMPUTED_VALUE"""),"OBRA")</f>
        <v>OBRA</v>
      </c>
      <c r="J182" s="10" t="str">
        <f ca="1">IFERROR(__xludf.DUMMYFUNCTION("""COMPUTED_VALUE"""),"Cumplir con normativa y reglamentos internos del programa en base a los objetivos.")</f>
        <v>Cumplir con normativa y reglamentos internos del programa en base a los objetivos.</v>
      </c>
      <c r="K182" s="71">
        <f ca="1">IFERROR(__xludf.DUMMYFUNCTION("""COMPUTED_VALUE"""),117261195)</f>
        <v>117261195</v>
      </c>
      <c r="L182" s="72">
        <f ca="1">IFERROR(__xludf.DUMMYFUNCTION("""COMPUTED_VALUE"""),1)</f>
        <v>1</v>
      </c>
      <c r="M182" s="10">
        <f ca="1">IFERROR(__xludf.DUMMYFUNCTION("""COMPUTED_VALUE"""),1515)</f>
        <v>1515</v>
      </c>
      <c r="N182" s="10" t="str">
        <f ca="1">IFERROR(__xludf.DUMMYFUNCTION("""COMPUTED_VALUE"""),"PMU")</f>
        <v>PMU</v>
      </c>
      <c r="O182" s="1"/>
      <c r="P182" s="1"/>
      <c r="Q182" s="1"/>
      <c r="R182" s="1"/>
      <c r="S182" s="1"/>
      <c r="T182" s="1"/>
      <c r="U182" s="1"/>
      <c r="V182" s="1"/>
      <c r="W182" s="1"/>
      <c r="X182" s="1"/>
      <c r="Y182" s="1"/>
      <c r="Z182" s="1"/>
    </row>
    <row r="183" spans="1:26" ht="12.75" customHeight="1">
      <c r="A183" s="1"/>
      <c r="B183" s="10" t="str">
        <f ca="1">IFERROR(__xludf.DUMMYFUNCTION("""COMPUTED_VALUE"""),"[SATE] AMPLIACIÓN CENTRO COMUNITARIO ASOCIACIÓN GREMIAL DE PENSIONADOS Y MONTEPIADOS DE CURARREHUE")</f>
        <v>[SATE] AMPLIACIÓN CENTRO COMUNITARIO ASOCIACIÓN GREMIAL DE PENSIONADOS Y MONTEPIADOS DE CURARREHUE</v>
      </c>
      <c r="C183" s="10" t="str">
        <f ca="1">IFERROR(__xludf.DUMMYFUNCTION("""COMPUTED_VALUE"""),"1-C-2022-2778")</f>
        <v>1-C-2022-2778</v>
      </c>
      <c r="D183" s="26" t="str">
        <f t="shared" ca="1" si="0"/>
        <v xml:space="preserve"> CURARREHUE</v>
      </c>
      <c r="E183" s="10" t="str">
        <f ca="1">IFERROR(__xludf.DUMMYFUNCTION("""COMPUTED_VALUE"""),"Guía Operativa")</f>
        <v>Guía Operativa</v>
      </c>
      <c r="F183" s="10" t="str">
        <f ca="1">IFERROR(__xludf.DUMMYFUNCTION("""COMPUTED_VALUE"""),"MUNICIPALIDAD DE CURARREHUE")</f>
        <v>MUNICIPALIDAD DE CURARREHUE</v>
      </c>
      <c r="G183" s="71">
        <f ca="1">IFERROR(__xludf.DUMMYFUNCTION("""COMPUTED_VALUE"""),101556562)</f>
        <v>101556562</v>
      </c>
      <c r="H183" s="10" t="str">
        <f ca="1">IFERROR(__xludf.DUMMYFUNCTION("""COMPUTED_VALUE"""),"Resolución")</f>
        <v>Resolución</v>
      </c>
      <c r="I183" s="10" t="str">
        <f ca="1">IFERROR(__xludf.DUMMYFUNCTION("""COMPUTED_VALUE"""),"OBRA")</f>
        <v>OBRA</v>
      </c>
      <c r="J183" s="10" t="str">
        <f ca="1">IFERROR(__xludf.DUMMYFUNCTION("""COMPUTED_VALUE"""),"Cumplir con normativa y reglamentos internos del programa en base a los objetivos.")</f>
        <v>Cumplir con normativa y reglamentos internos del programa en base a los objetivos.</v>
      </c>
      <c r="K183" s="71">
        <f ca="1">IFERROR(__xludf.DUMMYFUNCTION("""COMPUTED_VALUE"""),101556562)</f>
        <v>101556562</v>
      </c>
      <c r="L183" s="72">
        <f ca="1">IFERROR(__xludf.DUMMYFUNCTION("""COMPUTED_VALUE"""),1)</f>
        <v>1</v>
      </c>
      <c r="M183" s="10">
        <f ca="1">IFERROR(__xludf.DUMMYFUNCTION("""COMPUTED_VALUE"""),1234)</f>
        <v>1234</v>
      </c>
      <c r="N183" s="10" t="str">
        <f ca="1">IFERROR(__xludf.DUMMYFUNCTION("""COMPUTED_VALUE"""),"PMU")</f>
        <v>PMU</v>
      </c>
      <c r="O183" s="1"/>
      <c r="P183" s="1"/>
      <c r="Q183" s="1"/>
      <c r="R183" s="1"/>
      <c r="S183" s="1"/>
      <c r="T183" s="1"/>
      <c r="U183" s="1"/>
      <c r="V183" s="1"/>
      <c r="W183" s="1"/>
      <c r="X183" s="1"/>
      <c r="Y183" s="1"/>
      <c r="Z183" s="1"/>
    </row>
    <row r="184" spans="1:26" ht="12.75" customHeight="1">
      <c r="A184" s="1"/>
      <c r="B184" s="10" t="str">
        <f ca="1">IFERROR(__xludf.DUMMYFUNCTION("""COMPUTED_VALUE"""),"[SATE] CONSTRUCCIÓN CENTRO COMUNITARIO QUIÑENAHUIN")</f>
        <v>[SATE] CONSTRUCCIÓN CENTRO COMUNITARIO QUIÑENAHUIN</v>
      </c>
      <c r="C184" s="10" t="str">
        <f ca="1">IFERROR(__xludf.DUMMYFUNCTION("""COMPUTED_VALUE"""),"1-C-2022-2782")</f>
        <v>1-C-2022-2782</v>
      </c>
      <c r="D184" s="26" t="str">
        <f t="shared" ca="1" si="0"/>
        <v xml:space="preserve"> CURARREHUE</v>
      </c>
      <c r="E184" s="10" t="str">
        <f ca="1">IFERROR(__xludf.DUMMYFUNCTION("""COMPUTED_VALUE"""),"Guía Operativa")</f>
        <v>Guía Operativa</v>
      </c>
      <c r="F184" s="10" t="str">
        <f ca="1">IFERROR(__xludf.DUMMYFUNCTION("""COMPUTED_VALUE"""),"MUNICIPALIDAD DE CURARREHUE")</f>
        <v>MUNICIPALIDAD DE CURARREHUE</v>
      </c>
      <c r="G184" s="71">
        <f ca="1">IFERROR(__xludf.DUMMYFUNCTION("""COMPUTED_VALUE"""),107960170)</f>
        <v>107960170</v>
      </c>
      <c r="H184" s="10" t="str">
        <f ca="1">IFERROR(__xludf.DUMMYFUNCTION("""COMPUTED_VALUE"""),"Resolución")</f>
        <v>Resolución</v>
      </c>
      <c r="I184" s="10" t="str">
        <f ca="1">IFERROR(__xludf.DUMMYFUNCTION("""COMPUTED_VALUE"""),"OBRA")</f>
        <v>OBRA</v>
      </c>
      <c r="J184" s="10" t="str">
        <f ca="1">IFERROR(__xludf.DUMMYFUNCTION("""COMPUTED_VALUE"""),"Cumplir con normativa y reglamentos internos del programa en base a los objetivos.")</f>
        <v>Cumplir con normativa y reglamentos internos del programa en base a los objetivos.</v>
      </c>
      <c r="K184" s="71">
        <f ca="1">IFERROR(__xludf.DUMMYFUNCTION("""COMPUTED_VALUE"""),107960170)</f>
        <v>107960170</v>
      </c>
      <c r="L184" s="72">
        <f ca="1">IFERROR(__xludf.DUMMYFUNCTION("""COMPUTED_VALUE"""),1)</f>
        <v>1</v>
      </c>
      <c r="M184" s="10">
        <f ca="1">IFERROR(__xludf.DUMMYFUNCTION("""COMPUTED_VALUE"""),1234)</f>
        <v>1234</v>
      </c>
      <c r="N184" s="10" t="str">
        <f ca="1">IFERROR(__xludf.DUMMYFUNCTION("""COMPUTED_VALUE"""),"PMU")</f>
        <v>PMU</v>
      </c>
      <c r="O184" s="1"/>
      <c r="P184" s="1"/>
      <c r="Q184" s="1"/>
      <c r="R184" s="1"/>
      <c r="S184" s="1"/>
      <c r="T184" s="1"/>
      <c r="U184" s="1"/>
      <c r="V184" s="1"/>
      <c r="W184" s="1"/>
      <c r="X184" s="1"/>
      <c r="Y184" s="1"/>
      <c r="Z184" s="1"/>
    </row>
    <row r="185" spans="1:26" ht="12.75" customHeight="1">
      <c r="A185" s="1"/>
      <c r="B185" s="10" t="str">
        <f ca="1">IFERROR(__xludf.DUMMYFUNCTION("""COMPUTED_VALUE"""),"[SATE] MEJORAMIENTO AREA VERDE Y CONSTRUCCION DE CANCHA VILLA LOS HEROES, LONCOCHE")</f>
        <v>[SATE] MEJORAMIENTO AREA VERDE Y CONSTRUCCION DE CANCHA VILLA LOS HEROES, LONCOCHE</v>
      </c>
      <c r="C185" s="10" t="str">
        <f ca="1">IFERROR(__xludf.DUMMYFUNCTION("""COMPUTED_VALUE"""),"1-C-2023-436")</f>
        <v>1-C-2023-436</v>
      </c>
      <c r="D185" s="26" t="str">
        <f t="shared" ca="1" si="0"/>
        <v xml:space="preserve"> LONCOCHE</v>
      </c>
      <c r="E185" s="10" t="str">
        <f ca="1">IFERROR(__xludf.DUMMYFUNCTION("""COMPUTED_VALUE"""),"Guía Operativa")</f>
        <v>Guía Operativa</v>
      </c>
      <c r="F185" s="10" t="str">
        <f ca="1">IFERROR(__xludf.DUMMYFUNCTION("""COMPUTED_VALUE"""),"MUNICIPALIDAD DE LONCOCHE")</f>
        <v>MUNICIPALIDAD DE LONCOCHE</v>
      </c>
      <c r="G185" s="71">
        <f ca="1">IFERROR(__xludf.DUMMYFUNCTION("""COMPUTED_VALUE"""),154422499)</f>
        <v>154422499</v>
      </c>
      <c r="H185" s="10" t="str">
        <f ca="1">IFERROR(__xludf.DUMMYFUNCTION("""COMPUTED_VALUE"""),"Resolución")</f>
        <v>Resolución</v>
      </c>
      <c r="I185" s="10" t="str">
        <f ca="1">IFERROR(__xludf.DUMMYFUNCTION("""COMPUTED_VALUE"""),"OBRA")</f>
        <v>OBRA</v>
      </c>
      <c r="J185" s="10" t="str">
        <f ca="1">IFERROR(__xludf.DUMMYFUNCTION("""COMPUTED_VALUE"""),"Cumplir con normativa y reglamentos internos del programa en base a los objetivos.")</f>
        <v>Cumplir con normativa y reglamentos internos del programa en base a los objetivos.</v>
      </c>
      <c r="K185" s="71">
        <f ca="1">IFERROR(__xludf.DUMMYFUNCTION("""COMPUTED_VALUE"""),154422499)</f>
        <v>154422499</v>
      </c>
      <c r="L185" s="72">
        <f ca="1">IFERROR(__xludf.DUMMYFUNCTION("""COMPUTED_VALUE"""),1)</f>
        <v>1</v>
      </c>
      <c r="M185" s="10">
        <f ca="1">IFERROR(__xludf.DUMMYFUNCTION("""COMPUTED_VALUE"""),1744)</f>
        <v>1744</v>
      </c>
      <c r="N185" s="10" t="str">
        <f ca="1">IFERROR(__xludf.DUMMYFUNCTION("""COMPUTED_VALUE"""),"PMU")</f>
        <v>PMU</v>
      </c>
      <c r="O185" s="1"/>
      <c r="P185" s="1"/>
      <c r="Q185" s="1"/>
      <c r="R185" s="1"/>
      <c r="S185" s="1"/>
      <c r="T185" s="1"/>
      <c r="U185" s="1"/>
      <c r="V185" s="1"/>
      <c r="W185" s="1"/>
      <c r="X185" s="1"/>
      <c r="Y185" s="1"/>
      <c r="Z185" s="1"/>
    </row>
    <row r="186" spans="1:26" ht="12.75" customHeight="1">
      <c r="A186" s="1"/>
      <c r="B186" s="10" t="str">
        <f ca="1">IFERROR(__xludf.DUMMYFUNCTION("""COMPUTED_VALUE"""),"MEJORAMIENTO ÁREA VERDE VILLA EL BOSQUE SECTOR LABRANZA, TEMUCO")</f>
        <v>MEJORAMIENTO ÁREA VERDE VILLA EL BOSQUE SECTOR LABRANZA, TEMUCO</v>
      </c>
      <c r="C186" s="10" t="str">
        <f ca="1">IFERROR(__xludf.DUMMYFUNCTION("""COMPUTED_VALUE"""),"1-C-2023-631")</f>
        <v>1-C-2023-631</v>
      </c>
      <c r="D186" s="26" t="str">
        <f t="shared" ca="1" si="0"/>
        <v xml:space="preserve"> TEMUCO</v>
      </c>
      <c r="E186" s="10" t="str">
        <f ca="1">IFERROR(__xludf.DUMMYFUNCTION("""COMPUTED_VALUE"""),"Guía Operativa")</f>
        <v>Guía Operativa</v>
      </c>
      <c r="F186" s="10" t="str">
        <f ca="1">IFERROR(__xludf.DUMMYFUNCTION("""COMPUTED_VALUE"""),"MUNICIPALIDAD DE TEMUCO")</f>
        <v>MUNICIPALIDAD DE TEMUCO</v>
      </c>
      <c r="G186" s="71">
        <f ca="1">IFERROR(__xludf.DUMMYFUNCTION("""COMPUTED_VALUE"""),137850854)</f>
        <v>137850854</v>
      </c>
      <c r="H186" s="10" t="str">
        <f ca="1">IFERROR(__xludf.DUMMYFUNCTION("""COMPUTED_VALUE"""),"Resolución")</f>
        <v>Resolución</v>
      </c>
      <c r="I186" s="10" t="str">
        <f ca="1">IFERROR(__xludf.DUMMYFUNCTION("""COMPUTED_VALUE"""),"OBRA")</f>
        <v>OBRA</v>
      </c>
      <c r="J186" s="10" t="str">
        <f ca="1">IFERROR(__xludf.DUMMYFUNCTION("""COMPUTED_VALUE"""),"Cumplir con normativa y reglamentos internos del programa en base a los objetivos.")</f>
        <v>Cumplir con normativa y reglamentos internos del programa en base a los objetivos.</v>
      </c>
      <c r="K186" s="71">
        <f ca="1">IFERROR(__xludf.DUMMYFUNCTION("""COMPUTED_VALUE"""),137850854)</f>
        <v>137850854</v>
      </c>
      <c r="L186" s="72">
        <f ca="1">IFERROR(__xludf.DUMMYFUNCTION("""COMPUTED_VALUE"""),1)</f>
        <v>1</v>
      </c>
      <c r="M186" s="10">
        <f ca="1">IFERROR(__xludf.DUMMYFUNCTION("""COMPUTED_VALUE"""),1515)</f>
        <v>1515</v>
      </c>
      <c r="N186" s="10" t="str">
        <f ca="1">IFERROR(__xludf.DUMMYFUNCTION("""COMPUTED_VALUE"""),"PMU")</f>
        <v>PMU</v>
      </c>
      <c r="O186" s="1"/>
      <c r="P186" s="1"/>
      <c r="Q186" s="1"/>
      <c r="R186" s="1"/>
      <c r="S186" s="1"/>
      <c r="T186" s="1"/>
      <c r="U186" s="1"/>
      <c r="V186" s="1"/>
      <c r="W186" s="1"/>
      <c r="X186" s="1"/>
      <c r="Y186" s="1"/>
      <c r="Z186" s="1"/>
    </row>
    <row r="187" spans="1:26" ht="12.75" customHeight="1">
      <c r="A187" s="1"/>
      <c r="B187" s="10" t="str">
        <f ca="1">IFERROR(__xludf.DUMMYFUNCTION("""COMPUTED_VALUE"""),"CONSTRUCCIÓN DE ESTACIONAMIENTOS ACCESO ESTADIO MUNICIPAL DE GALVARINO")</f>
        <v>CONSTRUCCIÓN DE ESTACIONAMIENTOS ACCESO ESTADIO MUNICIPAL DE GALVARINO</v>
      </c>
      <c r="C187" s="10" t="str">
        <f ca="1">IFERROR(__xludf.DUMMYFUNCTION("""COMPUTED_VALUE"""),"1-C-2023-942")</f>
        <v>1-C-2023-942</v>
      </c>
      <c r="D187" s="26" t="str">
        <f t="shared" ca="1" si="0"/>
        <v xml:space="preserve"> GALVARINO</v>
      </c>
      <c r="E187" s="10" t="str">
        <f ca="1">IFERROR(__xludf.DUMMYFUNCTION("""COMPUTED_VALUE"""),"Guía Operativa")</f>
        <v>Guía Operativa</v>
      </c>
      <c r="F187" s="10" t="str">
        <f ca="1">IFERROR(__xludf.DUMMYFUNCTION("""COMPUTED_VALUE"""),"MUNICIPALIDAD DE GALVARINO")</f>
        <v>MUNICIPALIDAD DE GALVARINO</v>
      </c>
      <c r="G187" s="71">
        <f ca="1">IFERROR(__xludf.DUMMYFUNCTION("""COMPUTED_VALUE"""),128887583)</f>
        <v>128887583</v>
      </c>
      <c r="H187" s="10" t="str">
        <f ca="1">IFERROR(__xludf.DUMMYFUNCTION("""COMPUTED_VALUE"""),"Resolución")</f>
        <v>Resolución</v>
      </c>
      <c r="I187" s="10" t="str">
        <f ca="1">IFERROR(__xludf.DUMMYFUNCTION("""COMPUTED_VALUE"""),"OBRA")</f>
        <v>OBRA</v>
      </c>
      <c r="J187" s="10" t="str">
        <f ca="1">IFERROR(__xludf.DUMMYFUNCTION("""COMPUTED_VALUE"""),"Cumplir con normativa y reglamentos internos del programa en base a los objetivos.")</f>
        <v>Cumplir con normativa y reglamentos internos del programa en base a los objetivos.</v>
      </c>
      <c r="K187" s="71">
        <f ca="1">IFERROR(__xludf.DUMMYFUNCTION("""COMPUTED_VALUE"""),128887583)</f>
        <v>128887583</v>
      </c>
      <c r="L187" s="72">
        <f ca="1">IFERROR(__xludf.DUMMYFUNCTION("""COMPUTED_VALUE"""),1)</f>
        <v>1</v>
      </c>
      <c r="M187" s="10">
        <f ca="1">IFERROR(__xludf.DUMMYFUNCTION("""COMPUTED_VALUE"""),1232)</f>
        <v>1232</v>
      </c>
      <c r="N187" s="10" t="str">
        <f ca="1">IFERROR(__xludf.DUMMYFUNCTION("""COMPUTED_VALUE"""),"PMU")</f>
        <v>PMU</v>
      </c>
      <c r="O187" s="1"/>
      <c r="P187" s="1"/>
      <c r="Q187" s="1"/>
      <c r="R187" s="1"/>
      <c r="S187" s="1"/>
      <c r="T187" s="1"/>
      <c r="U187" s="1"/>
      <c r="V187" s="1"/>
      <c r="W187" s="1"/>
      <c r="X187" s="1"/>
      <c r="Y187" s="1"/>
      <c r="Z187" s="1"/>
    </row>
    <row r="188" spans="1:26" ht="12.75" customHeight="1">
      <c r="A188" s="1"/>
      <c r="B188" s="10" t="str">
        <f ca="1">IFERROR(__xludf.DUMMYFUNCTION("""COMPUTED_VALUE"""),"SEMAFORIZACIÓN RUTA S-91 / RUTA S-65 LOCALIDAD DE ÑANCUL, COMUNA DE VILLARRICA")</f>
        <v>SEMAFORIZACIÓN RUTA S-91 / RUTA S-65 LOCALIDAD DE ÑANCUL, COMUNA DE VILLARRICA</v>
      </c>
      <c r="C188" s="10" t="str">
        <f ca="1">IFERROR(__xludf.DUMMYFUNCTION("""COMPUTED_VALUE"""),"1-C-2023-1884")</f>
        <v>1-C-2023-1884</v>
      </c>
      <c r="D188" s="26" t="str">
        <f t="shared" ca="1" si="0"/>
        <v xml:space="preserve"> VILLARRICA</v>
      </c>
      <c r="E188" s="10" t="str">
        <f ca="1">IFERROR(__xludf.DUMMYFUNCTION("""COMPUTED_VALUE"""),"Guía Operativa")</f>
        <v>Guía Operativa</v>
      </c>
      <c r="F188" s="10" t="str">
        <f ca="1">IFERROR(__xludf.DUMMYFUNCTION("""COMPUTED_VALUE"""),"MUNICIPALIDAD DE VILLARRICA")</f>
        <v>MUNICIPALIDAD DE VILLARRICA</v>
      </c>
      <c r="G188" s="71">
        <f ca="1">IFERROR(__xludf.DUMMYFUNCTION("""COMPUTED_VALUE"""),144973312)</f>
        <v>144973312</v>
      </c>
      <c r="H188" s="10" t="str">
        <f ca="1">IFERROR(__xludf.DUMMYFUNCTION("""COMPUTED_VALUE"""),"Resolución")</f>
        <v>Resolución</v>
      </c>
      <c r="I188" s="10" t="str">
        <f ca="1">IFERROR(__xludf.DUMMYFUNCTION("""COMPUTED_VALUE"""),"OBRA")</f>
        <v>OBRA</v>
      </c>
      <c r="J188" s="10" t="str">
        <f ca="1">IFERROR(__xludf.DUMMYFUNCTION("""COMPUTED_VALUE"""),"Cumplir con normativa y reglamentos internos del programa en base a los objetivos.")</f>
        <v>Cumplir con normativa y reglamentos internos del programa en base a los objetivos.</v>
      </c>
      <c r="K188" s="71">
        <f ca="1">IFERROR(__xludf.DUMMYFUNCTION("""COMPUTED_VALUE"""),144973312)</f>
        <v>144973312</v>
      </c>
      <c r="L188" s="72">
        <f ca="1">IFERROR(__xludf.DUMMYFUNCTION("""COMPUTED_VALUE"""),1)</f>
        <v>1</v>
      </c>
      <c r="M188" s="10">
        <f ca="1">IFERROR(__xludf.DUMMYFUNCTION("""COMPUTED_VALUE"""),1740)</f>
        <v>1740</v>
      </c>
      <c r="N188" s="10" t="str">
        <f ca="1">IFERROR(__xludf.DUMMYFUNCTION("""COMPUTED_VALUE"""),"PMU")</f>
        <v>PMU</v>
      </c>
      <c r="O188" s="1"/>
      <c r="P188" s="1"/>
      <c r="Q188" s="1"/>
      <c r="R188" s="1"/>
      <c r="S188" s="1"/>
      <c r="T188" s="1"/>
      <c r="U188" s="1"/>
      <c r="V188" s="1"/>
      <c r="W188" s="1"/>
      <c r="X188" s="1"/>
      <c r="Y188" s="1"/>
      <c r="Z188" s="1"/>
    </row>
    <row r="189" spans="1:26" ht="12.75" customHeight="1">
      <c r="A189" s="1"/>
      <c r="B189" s="10" t="str">
        <f ca="1">IFERROR(__xludf.DUMMYFUNCTION("""COMPUTED_VALUE"""),"MEJORAMIENTO DE ILUMINACIÓN DE ÁREA VERDE TEGUALDA MACROSECTOR COSTANERA DEL CAUTÍN, TEMUCO, PLAN CSV")</f>
        <v>MEJORAMIENTO DE ILUMINACIÓN DE ÁREA VERDE TEGUALDA MACROSECTOR COSTANERA DEL CAUTÍN, TEMUCO, PLAN CSV</v>
      </c>
      <c r="C189" s="10" t="str">
        <f ca="1">IFERROR(__xludf.DUMMYFUNCTION("""COMPUTED_VALUE"""),"1-C-2023-2006")</f>
        <v>1-C-2023-2006</v>
      </c>
      <c r="D189" s="26" t="str">
        <f t="shared" ca="1" si="0"/>
        <v xml:space="preserve"> TEMUCO</v>
      </c>
      <c r="E189" s="10" t="str">
        <f ca="1">IFERROR(__xludf.DUMMYFUNCTION("""COMPUTED_VALUE"""),"Guía Operativa")</f>
        <v>Guía Operativa</v>
      </c>
      <c r="F189" s="10" t="str">
        <f ca="1">IFERROR(__xludf.DUMMYFUNCTION("""COMPUTED_VALUE"""),"MUNICIPALIDAD DE TEMUCO")</f>
        <v>MUNICIPALIDAD DE TEMUCO</v>
      </c>
      <c r="G189" s="71">
        <f ca="1">IFERROR(__xludf.DUMMYFUNCTION("""COMPUTED_VALUE"""),110445444)</f>
        <v>110445444</v>
      </c>
      <c r="H189" s="10" t="str">
        <f ca="1">IFERROR(__xludf.DUMMYFUNCTION("""COMPUTED_VALUE"""),"Resolución")</f>
        <v>Resolución</v>
      </c>
      <c r="I189" s="10" t="str">
        <f ca="1">IFERROR(__xludf.DUMMYFUNCTION("""COMPUTED_VALUE"""),"OBRA")</f>
        <v>OBRA</v>
      </c>
      <c r="J189" s="10" t="str">
        <f ca="1">IFERROR(__xludf.DUMMYFUNCTION("""COMPUTED_VALUE"""),"Cumplir con normativa y reglamentos internos del programa en base a los objetivos.")</f>
        <v>Cumplir con normativa y reglamentos internos del programa en base a los objetivos.</v>
      </c>
      <c r="K189" s="71">
        <f ca="1">IFERROR(__xludf.DUMMYFUNCTION("""COMPUTED_VALUE"""),110445444)</f>
        <v>110445444</v>
      </c>
      <c r="L189" s="72">
        <f ca="1">IFERROR(__xludf.DUMMYFUNCTION("""COMPUTED_VALUE"""),1)</f>
        <v>1</v>
      </c>
      <c r="M189" s="10">
        <f ca="1">IFERROR(__xludf.DUMMYFUNCTION("""COMPUTED_VALUE"""),1336)</f>
        <v>1336</v>
      </c>
      <c r="N189" s="10" t="str">
        <f ca="1">IFERROR(__xludf.DUMMYFUNCTION("""COMPUTED_VALUE"""),"PMU")</f>
        <v>PMU</v>
      </c>
      <c r="O189" s="1"/>
      <c r="P189" s="1"/>
      <c r="Q189" s="1"/>
      <c r="R189" s="1"/>
      <c r="S189" s="1"/>
      <c r="T189" s="1"/>
      <c r="U189" s="1"/>
      <c r="V189" s="1"/>
      <c r="W189" s="1"/>
      <c r="X189" s="1"/>
      <c r="Y189" s="1"/>
      <c r="Z189" s="1"/>
    </row>
    <row r="190" spans="1:26" ht="12.75" customHeight="1">
      <c r="A190" s="1"/>
      <c r="B190" s="10" t="str">
        <f ca="1">IFERROR(__xludf.DUMMYFUNCTION("""COMPUTED_VALUE"""),"MEJORAMIENTO DE ILUMINACIÓN DE DIVERSAS ÁREAS VERDES DE TEMUCO EN MACROSECTOR EL CARMEN, COSTANERA DE CAUTIN, CENTRO, AMANECER Y PONIENTE, PLAN CSV")</f>
        <v>MEJORAMIENTO DE ILUMINACIÓN DE DIVERSAS ÁREAS VERDES DE TEMUCO EN MACROSECTOR EL CARMEN, COSTANERA DE CAUTIN, CENTRO, AMANECER Y PONIENTE, PLAN CSV</v>
      </c>
      <c r="C190" s="10" t="str">
        <f ca="1">IFERROR(__xludf.DUMMYFUNCTION("""COMPUTED_VALUE"""),"1-C-2023-2140")</f>
        <v>1-C-2023-2140</v>
      </c>
      <c r="D190" s="26" t="str">
        <f t="shared" ca="1" si="0"/>
        <v xml:space="preserve"> TEMUCO</v>
      </c>
      <c r="E190" s="10" t="str">
        <f ca="1">IFERROR(__xludf.DUMMYFUNCTION("""COMPUTED_VALUE"""),"Guía Operativa")</f>
        <v>Guía Operativa</v>
      </c>
      <c r="F190" s="10" t="str">
        <f ca="1">IFERROR(__xludf.DUMMYFUNCTION("""COMPUTED_VALUE"""),"MUNICIPALIDAD DE TEMUCO")</f>
        <v>MUNICIPALIDAD DE TEMUCO</v>
      </c>
      <c r="G190" s="71">
        <f ca="1">IFERROR(__xludf.DUMMYFUNCTION("""COMPUTED_VALUE"""),117872701)</f>
        <v>117872701</v>
      </c>
      <c r="H190" s="10" t="str">
        <f ca="1">IFERROR(__xludf.DUMMYFUNCTION("""COMPUTED_VALUE"""),"Resolución")</f>
        <v>Resolución</v>
      </c>
      <c r="I190" s="10" t="str">
        <f ca="1">IFERROR(__xludf.DUMMYFUNCTION("""COMPUTED_VALUE"""),"OBRA")</f>
        <v>OBRA</v>
      </c>
      <c r="J190" s="10" t="str">
        <f ca="1">IFERROR(__xludf.DUMMYFUNCTION("""COMPUTED_VALUE"""),"Cumplir con normativa y reglamentos internos del programa en base a los objetivos.")</f>
        <v>Cumplir con normativa y reglamentos internos del programa en base a los objetivos.</v>
      </c>
      <c r="K190" s="71">
        <f ca="1">IFERROR(__xludf.DUMMYFUNCTION("""COMPUTED_VALUE"""),117872701)</f>
        <v>117872701</v>
      </c>
      <c r="L190" s="72">
        <f ca="1">IFERROR(__xludf.DUMMYFUNCTION("""COMPUTED_VALUE"""),1)</f>
        <v>1</v>
      </c>
      <c r="M190" s="10">
        <f ca="1">IFERROR(__xludf.DUMMYFUNCTION("""COMPUTED_VALUE"""),1233)</f>
        <v>1233</v>
      </c>
      <c r="N190" s="10" t="str">
        <f ca="1">IFERROR(__xludf.DUMMYFUNCTION("""COMPUTED_VALUE"""),"PMU")</f>
        <v>PMU</v>
      </c>
      <c r="O190" s="1"/>
      <c r="P190" s="1"/>
      <c r="Q190" s="1"/>
      <c r="R190" s="1"/>
      <c r="S190" s="1"/>
      <c r="T190" s="1"/>
      <c r="U190" s="1"/>
      <c r="V190" s="1"/>
      <c r="W190" s="1"/>
      <c r="X190" s="1"/>
      <c r="Y190" s="1"/>
      <c r="Z190" s="1"/>
    </row>
    <row r="191" spans="1:26" ht="12.75" customHeight="1">
      <c r="A191" s="1"/>
      <c r="B191" s="10" t="str">
        <f ca="1">IFERROR(__xludf.DUMMYFUNCTION("""COMPUTED_VALUE"""),"MEJORAMIENTO DE ILUMINACIÓN DE DIVERSAS ÁREAS VERDES EN MACROSECTOR PUEBLO NUEVO, TEMUCO, PLAN CSV")</f>
        <v>MEJORAMIENTO DE ILUMINACIÓN DE DIVERSAS ÁREAS VERDES EN MACROSECTOR PUEBLO NUEVO, TEMUCO, PLAN CSV</v>
      </c>
      <c r="C191" s="10" t="str">
        <f ca="1">IFERROR(__xludf.DUMMYFUNCTION("""COMPUTED_VALUE"""),"1-C-2023-2230")</f>
        <v>1-C-2023-2230</v>
      </c>
      <c r="D191" s="26" t="str">
        <f t="shared" ca="1" si="0"/>
        <v xml:space="preserve"> TEMUCO</v>
      </c>
      <c r="E191" s="10" t="str">
        <f ca="1">IFERROR(__xludf.DUMMYFUNCTION("""COMPUTED_VALUE"""),"Guía Operativa")</f>
        <v>Guía Operativa</v>
      </c>
      <c r="F191" s="10" t="str">
        <f ca="1">IFERROR(__xludf.DUMMYFUNCTION("""COMPUTED_VALUE"""),"MUNICIPALIDAD DE TEMUCO")</f>
        <v>MUNICIPALIDAD DE TEMUCO</v>
      </c>
      <c r="G191" s="71">
        <f ca="1">IFERROR(__xludf.DUMMYFUNCTION("""COMPUTED_VALUE"""),79521658)</f>
        <v>79521658</v>
      </c>
      <c r="H191" s="10" t="str">
        <f ca="1">IFERROR(__xludf.DUMMYFUNCTION("""COMPUTED_VALUE"""),"Resolución")</f>
        <v>Resolución</v>
      </c>
      <c r="I191" s="10" t="str">
        <f ca="1">IFERROR(__xludf.DUMMYFUNCTION("""COMPUTED_VALUE"""),"OBRA")</f>
        <v>OBRA</v>
      </c>
      <c r="J191" s="10" t="str">
        <f ca="1">IFERROR(__xludf.DUMMYFUNCTION("""COMPUTED_VALUE"""),"Cumplir con normativa y reglamentos internos del programa en base a los objetivos.")</f>
        <v>Cumplir con normativa y reglamentos internos del programa en base a los objetivos.</v>
      </c>
      <c r="K191" s="71">
        <f ca="1">IFERROR(__xludf.DUMMYFUNCTION("""COMPUTED_VALUE"""),79521658)</f>
        <v>79521658</v>
      </c>
      <c r="L191" s="72">
        <f ca="1">IFERROR(__xludf.DUMMYFUNCTION("""COMPUTED_VALUE"""),1)</f>
        <v>1</v>
      </c>
      <c r="M191" s="10">
        <f ca="1">IFERROR(__xludf.DUMMYFUNCTION("""COMPUTED_VALUE"""),1336)</f>
        <v>1336</v>
      </c>
      <c r="N191" s="10" t="str">
        <f ca="1">IFERROR(__xludf.DUMMYFUNCTION("""COMPUTED_VALUE"""),"PMU")</f>
        <v>PMU</v>
      </c>
      <c r="O191" s="1"/>
      <c r="P191" s="1"/>
      <c r="Q191" s="1"/>
      <c r="R191" s="1"/>
      <c r="S191" s="1"/>
      <c r="T191" s="1"/>
      <c r="U191" s="1"/>
      <c r="V191" s="1"/>
      <c r="W191" s="1"/>
      <c r="X191" s="1"/>
      <c r="Y191" s="1"/>
      <c r="Z191" s="1"/>
    </row>
    <row r="192" spans="1:26" ht="12.75" customHeight="1">
      <c r="A192" s="1"/>
      <c r="B192" s="10" t="str">
        <f ca="1">IFERROR(__xludf.DUMMYFUNCTION("""COMPUTED_VALUE"""),"MEJORAMIENTO DE ILUMINACIÓN DE DIVERSAS ÁREAS VERDES EN U.V. BORDE RÍO, CERRO MARIPOSA, AQUELARRE Y ALEMANIA, TEMUCO, PLAN CSV")</f>
        <v>MEJORAMIENTO DE ILUMINACIÓN DE DIVERSAS ÁREAS VERDES EN U.V. BORDE RÍO, CERRO MARIPOSA, AQUELARRE Y ALEMANIA, TEMUCO, PLAN CSV</v>
      </c>
      <c r="C192" s="10" t="str">
        <f ca="1">IFERROR(__xludf.DUMMYFUNCTION("""COMPUTED_VALUE"""),"1-C-2023-2241")</f>
        <v>1-C-2023-2241</v>
      </c>
      <c r="D192" s="26" t="str">
        <f t="shared" ca="1" si="0"/>
        <v xml:space="preserve"> TEMUCO</v>
      </c>
      <c r="E192" s="10" t="str">
        <f ca="1">IFERROR(__xludf.DUMMYFUNCTION("""COMPUTED_VALUE"""),"Guía Operativa")</f>
        <v>Guía Operativa</v>
      </c>
      <c r="F192" s="10" t="str">
        <f ca="1">IFERROR(__xludf.DUMMYFUNCTION("""COMPUTED_VALUE"""),"MUNICIPALIDAD DE TEMUCO")</f>
        <v>MUNICIPALIDAD DE TEMUCO</v>
      </c>
      <c r="G192" s="71">
        <f ca="1">IFERROR(__xludf.DUMMYFUNCTION("""COMPUTED_VALUE"""),71463998)</f>
        <v>71463998</v>
      </c>
      <c r="H192" s="10" t="str">
        <f ca="1">IFERROR(__xludf.DUMMYFUNCTION("""COMPUTED_VALUE"""),"Resolución")</f>
        <v>Resolución</v>
      </c>
      <c r="I192" s="10" t="str">
        <f ca="1">IFERROR(__xludf.DUMMYFUNCTION("""COMPUTED_VALUE"""),"OBRA")</f>
        <v>OBRA</v>
      </c>
      <c r="J192" s="10" t="str">
        <f ca="1">IFERROR(__xludf.DUMMYFUNCTION("""COMPUTED_VALUE"""),"Cumplir con normativa y reglamentos internos del programa en base a los objetivos.")</f>
        <v>Cumplir con normativa y reglamentos internos del programa en base a los objetivos.</v>
      </c>
      <c r="K192" s="71">
        <f ca="1">IFERROR(__xludf.DUMMYFUNCTION("""COMPUTED_VALUE"""),71463998)</f>
        <v>71463998</v>
      </c>
      <c r="L192" s="72">
        <f ca="1">IFERROR(__xludf.DUMMYFUNCTION("""COMPUTED_VALUE"""),1)</f>
        <v>1</v>
      </c>
      <c r="M192" s="10">
        <f ca="1">IFERROR(__xludf.DUMMYFUNCTION("""COMPUTED_VALUE"""),1336)</f>
        <v>1336</v>
      </c>
      <c r="N192" s="10" t="str">
        <f ca="1">IFERROR(__xludf.DUMMYFUNCTION("""COMPUTED_VALUE"""),"PMU")</f>
        <v>PMU</v>
      </c>
      <c r="O192" s="1"/>
      <c r="P192" s="1"/>
      <c r="Q192" s="1"/>
      <c r="R192" s="1"/>
      <c r="S192" s="1"/>
      <c r="T192" s="1"/>
      <c r="U192" s="1"/>
      <c r="V192" s="1"/>
      <c r="W192" s="1"/>
      <c r="X192" s="1"/>
      <c r="Y192" s="1"/>
      <c r="Z192" s="1"/>
    </row>
    <row r="193" spans="1:26" ht="12.75" customHeight="1">
      <c r="A193" s="1"/>
      <c r="B193" s="10" t="str">
        <f ca="1">IFERROR(__xludf.DUMMYFUNCTION("""COMPUTED_VALUE"""),"MEJORAMIENTO DE ILUMINACIÓN DE DIVERSAS ÁREAS VERDES EN MACROSECTOR LABRANZA, TEMUCO, PLAN CSV")</f>
        <v>MEJORAMIENTO DE ILUMINACIÓN DE DIVERSAS ÁREAS VERDES EN MACROSECTOR LABRANZA, TEMUCO, PLAN CSV</v>
      </c>
      <c r="C193" s="10" t="str">
        <f ca="1">IFERROR(__xludf.DUMMYFUNCTION("""COMPUTED_VALUE"""),"1-C-2023-2357")</f>
        <v>1-C-2023-2357</v>
      </c>
      <c r="D193" s="26" t="str">
        <f t="shared" ca="1" si="0"/>
        <v xml:space="preserve"> TEMUCO</v>
      </c>
      <c r="E193" s="10" t="str">
        <f ca="1">IFERROR(__xludf.DUMMYFUNCTION("""COMPUTED_VALUE"""),"Guía Operativa")</f>
        <v>Guía Operativa</v>
      </c>
      <c r="F193" s="10" t="str">
        <f ca="1">IFERROR(__xludf.DUMMYFUNCTION("""COMPUTED_VALUE"""),"MUNICIPALIDAD DE TEMUCO")</f>
        <v>MUNICIPALIDAD DE TEMUCO</v>
      </c>
      <c r="G193" s="71">
        <f ca="1">IFERROR(__xludf.DUMMYFUNCTION("""COMPUTED_VALUE"""),58457449)</f>
        <v>58457449</v>
      </c>
      <c r="H193" s="10" t="str">
        <f ca="1">IFERROR(__xludf.DUMMYFUNCTION("""COMPUTED_VALUE"""),"Resolución")</f>
        <v>Resolución</v>
      </c>
      <c r="I193" s="10" t="str">
        <f ca="1">IFERROR(__xludf.DUMMYFUNCTION("""COMPUTED_VALUE"""),"OBRA")</f>
        <v>OBRA</v>
      </c>
      <c r="J193" s="10" t="str">
        <f ca="1">IFERROR(__xludf.DUMMYFUNCTION("""COMPUTED_VALUE"""),"Cumplir con normativa y reglamentos internos del programa en base a los objetivos.")</f>
        <v>Cumplir con normativa y reglamentos internos del programa en base a los objetivos.</v>
      </c>
      <c r="K193" s="71">
        <f ca="1">IFERROR(__xludf.DUMMYFUNCTION("""COMPUTED_VALUE"""),58457449)</f>
        <v>58457449</v>
      </c>
      <c r="L193" s="72">
        <f ca="1">IFERROR(__xludf.DUMMYFUNCTION("""COMPUTED_VALUE"""),1)</f>
        <v>1</v>
      </c>
      <c r="M193" s="10">
        <f ca="1">IFERROR(__xludf.DUMMYFUNCTION("""COMPUTED_VALUE"""),1336)</f>
        <v>1336</v>
      </c>
      <c r="N193" s="10" t="str">
        <f ca="1">IFERROR(__xludf.DUMMYFUNCTION("""COMPUTED_VALUE"""),"PMU")</f>
        <v>PMU</v>
      </c>
      <c r="O193" s="1"/>
      <c r="P193" s="1"/>
      <c r="Q193" s="1"/>
      <c r="R193" s="1"/>
      <c r="S193" s="1"/>
      <c r="T193" s="1"/>
      <c r="U193" s="1"/>
      <c r="V193" s="1"/>
      <c r="W193" s="1"/>
      <c r="X193" s="1"/>
      <c r="Y193" s="1"/>
      <c r="Z193" s="1"/>
    </row>
    <row r="194" spans="1:26" ht="12.75" customHeight="1">
      <c r="A194" s="1"/>
      <c r="B194" s="10" t="str">
        <f ca="1">IFERROR(__xludf.DUMMYFUNCTION("""COMPUTED_VALUE"""),"AMPLIACION SALA DE CLASES ESCUELA DOMINGO CAMARGO, COMUNA DE LONQUIMAY")</f>
        <v>AMPLIACION SALA DE CLASES ESCUELA DOMINGO CAMARGO, COMUNA DE LONQUIMAY</v>
      </c>
      <c r="C194" s="10" t="str">
        <f ca="1">IFERROR(__xludf.DUMMYFUNCTION("""COMPUTED_VALUE"""),"1-C-2023-2453")</f>
        <v>1-C-2023-2453</v>
      </c>
      <c r="D194" s="26" t="str">
        <f t="shared" ca="1" si="0"/>
        <v xml:space="preserve"> LONQUIMAY</v>
      </c>
      <c r="E194" s="10" t="str">
        <f ca="1">IFERROR(__xludf.DUMMYFUNCTION("""COMPUTED_VALUE"""),"Guía Operativa")</f>
        <v>Guía Operativa</v>
      </c>
      <c r="F194" s="10" t="str">
        <f ca="1">IFERROR(__xludf.DUMMYFUNCTION("""COMPUTED_VALUE"""),"MUNICIPALIDAD DE LONQUIMAY")</f>
        <v>MUNICIPALIDAD DE LONQUIMAY</v>
      </c>
      <c r="G194" s="71">
        <f ca="1">IFERROR(__xludf.DUMMYFUNCTION("""COMPUTED_VALUE"""),127970540)</f>
        <v>127970540</v>
      </c>
      <c r="H194" s="10" t="str">
        <f ca="1">IFERROR(__xludf.DUMMYFUNCTION("""COMPUTED_VALUE"""),"Resolución")</f>
        <v>Resolución</v>
      </c>
      <c r="I194" s="10" t="str">
        <f ca="1">IFERROR(__xludf.DUMMYFUNCTION("""COMPUTED_VALUE"""),"OBRA")</f>
        <v>OBRA</v>
      </c>
      <c r="J194" s="10" t="str">
        <f ca="1">IFERROR(__xludf.DUMMYFUNCTION("""COMPUTED_VALUE"""),"Cumplir con normativa y reglamentos internos del programa en base a los objetivos.")</f>
        <v>Cumplir con normativa y reglamentos internos del programa en base a los objetivos.</v>
      </c>
      <c r="K194" s="71">
        <f ca="1">IFERROR(__xludf.DUMMYFUNCTION("""COMPUTED_VALUE"""),127970540)</f>
        <v>127970540</v>
      </c>
      <c r="L194" s="72">
        <f ca="1">IFERROR(__xludf.DUMMYFUNCTION("""COMPUTED_VALUE"""),1)</f>
        <v>1</v>
      </c>
      <c r="M194" s="10">
        <f ca="1">IFERROR(__xludf.DUMMYFUNCTION("""COMPUTED_VALUE"""),1357)</f>
        <v>1357</v>
      </c>
      <c r="N194" s="10" t="str">
        <f ca="1">IFERROR(__xludf.DUMMYFUNCTION("""COMPUTED_VALUE"""),"PMU")</f>
        <v>PMU</v>
      </c>
      <c r="O194" s="1"/>
      <c r="P194" s="1"/>
      <c r="Q194" s="1"/>
      <c r="R194" s="1"/>
      <c r="S194" s="1"/>
      <c r="T194" s="1"/>
      <c r="U194" s="1"/>
      <c r="V194" s="1"/>
      <c r="W194" s="1"/>
      <c r="X194" s="1"/>
      <c r="Y194" s="1"/>
      <c r="Z194" s="1"/>
    </row>
    <row r="195" spans="1:26" ht="12.75" customHeight="1">
      <c r="A195" s="1"/>
      <c r="B195" s="10" t="str">
        <f ca="1">IFERROR(__xludf.DUMMYFUNCTION("""COMPUTED_VALUE"""),"(SATE) REPOSICIÓN LUMINARIAS DE ALUMBRADO PÚBLICO DE SODIO A LED, VARIOS SECTORES, COMUNA DE PUYEHUE")</f>
        <v>(SATE) REPOSICIÓN LUMINARIAS DE ALUMBRADO PÚBLICO DE SODIO A LED, VARIOS SECTORES, COMUNA DE PUYEHUE</v>
      </c>
      <c r="C195" s="10" t="str">
        <f ca="1">IFERROR(__xludf.DUMMYFUNCTION("""COMPUTED_VALUE"""),"1-C-2023-685")</f>
        <v>1-C-2023-685</v>
      </c>
      <c r="D195" s="26" t="str">
        <f t="shared" ca="1" si="0"/>
        <v xml:space="preserve"> PUYEHUE</v>
      </c>
      <c r="E195" s="10" t="str">
        <f ca="1">IFERROR(__xludf.DUMMYFUNCTION("""COMPUTED_VALUE"""),"Guía Operativa")</f>
        <v>Guía Operativa</v>
      </c>
      <c r="F195" s="10" t="str">
        <f ca="1">IFERROR(__xludf.DUMMYFUNCTION("""COMPUTED_VALUE"""),"MUNICIPALIDAD DE PUYEHUE")</f>
        <v>MUNICIPALIDAD DE PUYEHUE</v>
      </c>
      <c r="G195" s="71">
        <f ca="1">IFERROR(__xludf.DUMMYFUNCTION("""COMPUTED_VALUE"""),154422499)</f>
        <v>154422499</v>
      </c>
      <c r="H195" s="10" t="str">
        <f ca="1">IFERROR(__xludf.DUMMYFUNCTION("""COMPUTED_VALUE"""),"Resolución")</f>
        <v>Resolución</v>
      </c>
      <c r="I195" s="10" t="str">
        <f ca="1">IFERROR(__xludf.DUMMYFUNCTION("""COMPUTED_VALUE"""),"OBRA")</f>
        <v>OBRA</v>
      </c>
      <c r="J195" s="10" t="str">
        <f ca="1">IFERROR(__xludf.DUMMYFUNCTION("""COMPUTED_VALUE"""),"Cumplir con normativa y reglamentos internos del programa en base a los objetivos.")</f>
        <v>Cumplir con normativa y reglamentos internos del programa en base a los objetivos.</v>
      </c>
      <c r="K195" s="71">
        <f ca="1">IFERROR(__xludf.DUMMYFUNCTION("""COMPUTED_VALUE"""),154422499)</f>
        <v>154422499</v>
      </c>
      <c r="L195" s="72">
        <f ca="1">IFERROR(__xludf.DUMMYFUNCTION("""COMPUTED_VALUE"""),1)</f>
        <v>1</v>
      </c>
      <c r="M195" s="10">
        <f ca="1">IFERROR(__xludf.DUMMYFUNCTION("""COMPUTED_VALUE"""),1333)</f>
        <v>1333</v>
      </c>
      <c r="N195" s="10" t="str">
        <f ca="1">IFERROR(__xludf.DUMMYFUNCTION("""COMPUTED_VALUE"""),"PMU")</f>
        <v>PMU</v>
      </c>
      <c r="O195" s="1"/>
      <c r="P195" s="1"/>
      <c r="Q195" s="1"/>
      <c r="R195" s="1"/>
      <c r="S195" s="1"/>
      <c r="T195" s="1"/>
      <c r="U195" s="1"/>
      <c r="V195" s="1"/>
      <c r="W195" s="1"/>
      <c r="X195" s="1"/>
      <c r="Y195" s="1"/>
      <c r="Z195" s="1"/>
    </row>
    <row r="196" spans="1:26" ht="12.75" customHeight="1">
      <c r="A196" s="1"/>
      <c r="B196" s="10" t="str">
        <f ca="1">IFERROR(__xludf.DUMMYFUNCTION("""COMPUTED_VALUE"""),"[SATE] MEJORAMIENTO PLAZA INFANTIL VILLA LOS HEROES , COMUNA DE SAN PABLO")</f>
        <v>[SATE] MEJORAMIENTO PLAZA INFANTIL VILLA LOS HEROES , COMUNA DE SAN PABLO</v>
      </c>
      <c r="C196" s="10" t="str">
        <f ca="1">IFERROR(__xludf.DUMMYFUNCTION("""COMPUTED_VALUE"""),"1-C-2023-704")</f>
        <v>1-C-2023-704</v>
      </c>
      <c r="D196" s="26" t="str">
        <f t="shared" ca="1" si="0"/>
        <v xml:space="preserve"> SAN PABLO</v>
      </c>
      <c r="E196" s="10" t="str">
        <f ca="1">IFERROR(__xludf.DUMMYFUNCTION("""COMPUTED_VALUE"""),"Guía Operativa")</f>
        <v>Guía Operativa</v>
      </c>
      <c r="F196" s="10" t="str">
        <f ca="1">IFERROR(__xludf.DUMMYFUNCTION("""COMPUTED_VALUE"""),"MUNICIPALIDAD DE SAN PABLO")</f>
        <v>MUNICIPALIDAD DE SAN PABLO</v>
      </c>
      <c r="G196" s="71">
        <f ca="1">IFERROR(__xludf.DUMMYFUNCTION("""COMPUTED_VALUE"""),141041520)</f>
        <v>141041520</v>
      </c>
      <c r="H196" s="10" t="str">
        <f ca="1">IFERROR(__xludf.DUMMYFUNCTION("""COMPUTED_VALUE"""),"Resolución")</f>
        <v>Resolución</v>
      </c>
      <c r="I196" s="10" t="str">
        <f ca="1">IFERROR(__xludf.DUMMYFUNCTION("""COMPUTED_VALUE"""),"OBRA")</f>
        <v>OBRA</v>
      </c>
      <c r="J196" s="10" t="str">
        <f ca="1">IFERROR(__xludf.DUMMYFUNCTION("""COMPUTED_VALUE"""),"Cumplir con normativa y reglamentos internos del programa en base a los objetivos.")</f>
        <v>Cumplir con normativa y reglamentos internos del programa en base a los objetivos.</v>
      </c>
      <c r="K196" s="71">
        <f ca="1">IFERROR(__xludf.DUMMYFUNCTION("""COMPUTED_VALUE"""),141041520)</f>
        <v>141041520</v>
      </c>
      <c r="L196" s="72">
        <f ca="1">IFERROR(__xludf.DUMMYFUNCTION("""COMPUTED_VALUE"""),1)</f>
        <v>1</v>
      </c>
      <c r="M196" s="10">
        <f ca="1">IFERROR(__xludf.DUMMYFUNCTION("""COMPUTED_VALUE"""),1737)</f>
        <v>1737</v>
      </c>
      <c r="N196" s="10" t="str">
        <f ca="1">IFERROR(__xludf.DUMMYFUNCTION("""COMPUTED_VALUE"""),"PMU")</f>
        <v>PMU</v>
      </c>
      <c r="O196" s="1"/>
      <c r="P196" s="1"/>
      <c r="Q196" s="1"/>
      <c r="R196" s="1"/>
      <c r="S196" s="1"/>
      <c r="T196" s="1"/>
      <c r="U196" s="1"/>
      <c r="V196" s="1"/>
      <c r="W196" s="1"/>
      <c r="X196" s="1"/>
      <c r="Y196" s="1"/>
      <c r="Z196" s="1"/>
    </row>
    <row r="197" spans="1:26" ht="12.75" customHeight="1">
      <c r="A197" s="1"/>
      <c r="B197" s="10" t="str">
        <f ca="1">IFERROR(__xludf.DUMMYFUNCTION("""COMPUTED_VALUE"""),"[ SATE ] REPOSICION LUMINARIAS DE ALUMBRADO PUBLICO DE SODIO A LED VARIOS SECTORES RURALES , COMUNA SAN PABLO")</f>
        <v>[ SATE ] REPOSICION LUMINARIAS DE ALUMBRADO PUBLICO DE SODIO A LED VARIOS SECTORES RURALES , COMUNA SAN PABLO</v>
      </c>
      <c r="C197" s="10" t="str">
        <f ca="1">IFERROR(__xludf.DUMMYFUNCTION("""COMPUTED_VALUE"""),"1-C-2023-799")</f>
        <v>1-C-2023-799</v>
      </c>
      <c r="D197" s="26" t="str">
        <f t="shared" ca="1" si="0"/>
        <v xml:space="preserve"> SAN PABLO</v>
      </c>
      <c r="E197" s="10" t="str">
        <f ca="1">IFERROR(__xludf.DUMMYFUNCTION("""COMPUTED_VALUE"""),"Guía Operativa")</f>
        <v>Guía Operativa</v>
      </c>
      <c r="F197" s="10" t="str">
        <f ca="1">IFERROR(__xludf.DUMMYFUNCTION("""COMPUTED_VALUE"""),"MUNICIPALIDAD DE SAN PABLO")</f>
        <v>MUNICIPALIDAD DE SAN PABLO</v>
      </c>
      <c r="G197" s="71">
        <f ca="1">IFERROR(__xludf.DUMMYFUNCTION("""COMPUTED_VALUE"""),42274125)</f>
        <v>42274125</v>
      </c>
      <c r="H197" s="10" t="str">
        <f ca="1">IFERROR(__xludf.DUMMYFUNCTION("""COMPUTED_VALUE"""),"Resolución")</f>
        <v>Resolución</v>
      </c>
      <c r="I197" s="10" t="str">
        <f ca="1">IFERROR(__xludf.DUMMYFUNCTION("""COMPUTED_VALUE"""),"OBRA")</f>
        <v>OBRA</v>
      </c>
      <c r="J197" s="10" t="str">
        <f ca="1">IFERROR(__xludf.DUMMYFUNCTION("""COMPUTED_VALUE"""),"Cumplir con normativa y reglamentos internos del programa en base a los objetivos.")</f>
        <v>Cumplir con normativa y reglamentos internos del programa en base a los objetivos.</v>
      </c>
      <c r="K197" s="71">
        <f ca="1">IFERROR(__xludf.DUMMYFUNCTION("""COMPUTED_VALUE"""),42274125)</f>
        <v>42274125</v>
      </c>
      <c r="L197" s="72">
        <f ca="1">IFERROR(__xludf.DUMMYFUNCTION("""COMPUTED_VALUE"""),1)</f>
        <v>1</v>
      </c>
      <c r="M197" s="10">
        <f ca="1">IFERROR(__xludf.DUMMYFUNCTION("""COMPUTED_VALUE"""),1737)</f>
        <v>1737</v>
      </c>
      <c r="N197" s="10" t="str">
        <f ca="1">IFERROR(__xludf.DUMMYFUNCTION("""COMPUTED_VALUE"""),"PMU")</f>
        <v>PMU</v>
      </c>
      <c r="O197" s="1"/>
      <c r="P197" s="1"/>
      <c r="Q197" s="1"/>
      <c r="R197" s="1"/>
      <c r="S197" s="1"/>
      <c r="T197" s="1"/>
      <c r="U197" s="1"/>
      <c r="V197" s="1"/>
      <c r="W197" s="1"/>
      <c r="X197" s="1"/>
      <c r="Y197" s="1"/>
      <c r="Z197" s="1"/>
    </row>
    <row r="198" spans="1:26" ht="12.75" customHeight="1">
      <c r="A198" s="1"/>
      <c r="B198" s="10" t="str">
        <f ca="1">IFERROR(__xludf.DUMMYFUNCTION("""COMPUTED_VALUE"""),"MEJORAMIENTO COSTANERA DE COCHAMÓ")</f>
        <v>MEJORAMIENTO COSTANERA DE COCHAMÓ</v>
      </c>
      <c r="C198" s="10" t="str">
        <f ca="1">IFERROR(__xludf.DUMMYFUNCTION("""COMPUTED_VALUE"""),"1-C-2023-830")</f>
        <v>1-C-2023-830</v>
      </c>
      <c r="D198" s="26" t="str">
        <f t="shared" ca="1" si="0"/>
        <v xml:space="preserve"> COCHAMÓ</v>
      </c>
      <c r="E198" s="10" t="str">
        <f ca="1">IFERROR(__xludf.DUMMYFUNCTION("""COMPUTED_VALUE"""),"Guía Operativa")</f>
        <v>Guía Operativa</v>
      </c>
      <c r="F198" s="10" t="str">
        <f ca="1">IFERROR(__xludf.DUMMYFUNCTION("""COMPUTED_VALUE"""),"MUNICIPALIDAD DE COCHAMÓ")</f>
        <v>MUNICIPALIDAD DE COCHAMÓ</v>
      </c>
      <c r="G198" s="71">
        <f ca="1">IFERROR(__xludf.DUMMYFUNCTION("""COMPUTED_VALUE"""),141345815)</f>
        <v>141345815</v>
      </c>
      <c r="H198" s="10" t="str">
        <f ca="1">IFERROR(__xludf.DUMMYFUNCTION("""COMPUTED_VALUE"""),"Resolución")</f>
        <v>Resolución</v>
      </c>
      <c r="I198" s="10" t="str">
        <f ca="1">IFERROR(__xludf.DUMMYFUNCTION("""COMPUTED_VALUE"""),"OBRA")</f>
        <v>OBRA</v>
      </c>
      <c r="J198" s="10" t="str">
        <f ca="1">IFERROR(__xludf.DUMMYFUNCTION("""COMPUTED_VALUE"""),"Cumplir con normativa y reglamentos internos del programa en base a los objetivos.")</f>
        <v>Cumplir con normativa y reglamentos internos del programa en base a los objetivos.</v>
      </c>
      <c r="K198" s="71">
        <f ca="1">IFERROR(__xludf.DUMMYFUNCTION("""COMPUTED_VALUE"""),141345815)</f>
        <v>141345815</v>
      </c>
      <c r="L198" s="72">
        <f ca="1">IFERROR(__xludf.DUMMYFUNCTION("""COMPUTED_VALUE"""),1)</f>
        <v>1</v>
      </c>
      <c r="M198" s="10">
        <f ca="1">IFERROR(__xludf.DUMMYFUNCTION("""COMPUTED_VALUE"""),1343)</f>
        <v>1343</v>
      </c>
      <c r="N198" s="10" t="str">
        <f ca="1">IFERROR(__xludf.DUMMYFUNCTION("""COMPUTED_VALUE"""),"PMU")</f>
        <v>PMU</v>
      </c>
      <c r="O198" s="1"/>
      <c r="P198" s="1"/>
      <c r="Q198" s="1"/>
      <c r="R198" s="1"/>
      <c r="S198" s="1"/>
      <c r="T198" s="1"/>
      <c r="U198" s="1"/>
      <c r="V198" s="1"/>
      <c r="W198" s="1"/>
      <c r="X198" s="1"/>
      <c r="Y198" s="1"/>
      <c r="Z198" s="1"/>
    </row>
    <row r="199" spans="1:26" ht="12.75" customHeight="1">
      <c r="A199" s="1"/>
      <c r="B199" s="10" t="str">
        <f ca="1">IFERROR(__xludf.DUMMYFUNCTION("""COMPUTED_VALUE"""),"SATE - HABILITACIÓN LUMINARIAS FOTOVOLTAICAS EN ISLAS CHAUQUES Y CAUCAHUE,")</f>
        <v>SATE - HABILITACIÓN LUMINARIAS FOTOVOLTAICAS EN ISLAS CHAUQUES Y CAUCAHUE,</v>
      </c>
      <c r="C199" s="10" t="str">
        <f ca="1">IFERROR(__xludf.DUMMYFUNCTION("""COMPUTED_VALUE"""),"1-C-2023-1246")</f>
        <v>1-C-2023-1246</v>
      </c>
      <c r="D199" s="26" t="str">
        <f t="shared" ca="1" si="0"/>
        <v xml:space="preserve"> QUEMCHI</v>
      </c>
      <c r="E199" s="10" t="str">
        <f ca="1">IFERROR(__xludf.DUMMYFUNCTION("""COMPUTED_VALUE"""),"Guía Operativa")</f>
        <v>Guía Operativa</v>
      </c>
      <c r="F199" s="10" t="str">
        <f ca="1">IFERROR(__xludf.DUMMYFUNCTION("""COMPUTED_VALUE"""),"MUNICIPALIDAD DE QUEMCHI")</f>
        <v>MUNICIPALIDAD DE QUEMCHI</v>
      </c>
      <c r="G199" s="71">
        <f ca="1">IFERROR(__xludf.DUMMYFUNCTION("""COMPUTED_VALUE"""),153446930)</f>
        <v>153446930</v>
      </c>
      <c r="H199" s="10" t="str">
        <f ca="1">IFERROR(__xludf.DUMMYFUNCTION("""COMPUTED_VALUE"""),"Resolución")</f>
        <v>Resolución</v>
      </c>
      <c r="I199" s="10" t="str">
        <f ca="1">IFERROR(__xludf.DUMMYFUNCTION("""COMPUTED_VALUE"""),"OBRA")</f>
        <v>OBRA</v>
      </c>
      <c r="J199" s="10" t="str">
        <f ca="1">IFERROR(__xludf.DUMMYFUNCTION("""COMPUTED_VALUE"""),"Cumplir con normativa y reglamentos internos del programa en base a los objetivos.")</f>
        <v>Cumplir con normativa y reglamentos internos del programa en base a los objetivos.</v>
      </c>
      <c r="K199" s="71">
        <f ca="1">IFERROR(__xludf.DUMMYFUNCTION("""COMPUTED_VALUE"""),153446930)</f>
        <v>153446930</v>
      </c>
      <c r="L199" s="72">
        <f ca="1">IFERROR(__xludf.DUMMYFUNCTION("""COMPUTED_VALUE"""),1)</f>
        <v>1</v>
      </c>
      <c r="M199" s="10">
        <f ca="1">IFERROR(__xludf.DUMMYFUNCTION("""COMPUTED_VALUE"""),1739)</f>
        <v>1739</v>
      </c>
      <c r="N199" s="10" t="str">
        <f ca="1">IFERROR(__xludf.DUMMYFUNCTION("""COMPUTED_VALUE"""),"PMU")</f>
        <v>PMU</v>
      </c>
      <c r="O199" s="1"/>
      <c r="P199" s="1"/>
      <c r="Q199" s="1"/>
      <c r="R199" s="1"/>
      <c r="S199" s="1"/>
      <c r="T199" s="1"/>
      <c r="U199" s="1"/>
      <c r="V199" s="1"/>
      <c r="W199" s="1"/>
      <c r="X199" s="1"/>
      <c r="Y199" s="1"/>
      <c r="Z199" s="1"/>
    </row>
    <row r="200" spans="1:26" ht="12.75" customHeight="1">
      <c r="A200" s="1"/>
      <c r="B200" s="10" t="str">
        <f ca="1">IFERROR(__xludf.DUMMYFUNCTION("""COMPUTED_VALUE"""),"(SATE) CONSERVACION VEREDAS PEATONALES EN LOCALIDADES ICHUAC Y ALDACHILDO - COMUNA PUQUELDON")</f>
        <v>(SATE) CONSERVACION VEREDAS PEATONALES EN LOCALIDADES ICHUAC Y ALDACHILDO - COMUNA PUQUELDON</v>
      </c>
      <c r="C200" s="10" t="str">
        <f ca="1">IFERROR(__xludf.DUMMYFUNCTION("""COMPUTED_VALUE"""),"1-C-2023-1341")</f>
        <v>1-C-2023-1341</v>
      </c>
      <c r="D200" s="26" t="str">
        <f t="shared" ca="1" si="0"/>
        <v xml:space="preserve"> PUQUELDÓN</v>
      </c>
      <c r="E200" s="10" t="str">
        <f ca="1">IFERROR(__xludf.DUMMYFUNCTION("""COMPUTED_VALUE"""),"Guía Operativa")</f>
        <v>Guía Operativa</v>
      </c>
      <c r="F200" s="10" t="str">
        <f ca="1">IFERROR(__xludf.DUMMYFUNCTION("""COMPUTED_VALUE"""),"MUNICIPALIDAD DE PUQUELDÓN")</f>
        <v>MUNICIPALIDAD DE PUQUELDÓN</v>
      </c>
      <c r="G200" s="71">
        <f ca="1">IFERROR(__xludf.DUMMYFUNCTION("""COMPUTED_VALUE"""),123666834)</f>
        <v>123666834</v>
      </c>
      <c r="H200" s="10" t="str">
        <f ca="1">IFERROR(__xludf.DUMMYFUNCTION("""COMPUTED_VALUE"""),"Resolución")</f>
        <v>Resolución</v>
      </c>
      <c r="I200" s="10" t="str">
        <f ca="1">IFERROR(__xludf.DUMMYFUNCTION("""COMPUTED_VALUE"""),"OBRA")</f>
        <v>OBRA</v>
      </c>
      <c r="J200" s="10" t="str">
        <f ca="1">IFERROR(__xludf.DUMMYFUNCTION("""COMPUTED_VALUE"""),"Cumplir con normativa y reglamentos internos del programa en base a los objetivos.")</f>
        <v>Cumplir con normativa y reglamentos internos del programa en base a los objetivos.</v>
      </c>
      <c r="K200" s="71">
        <f ca="1">IFERROR(__xludf.DUMMYFUNCTION("""COMPUTED_VALUE"""),123666834)</f>
        <v>123666834</v>
      </c>
      <c r="L200" s="72">
        <f ca="1">IFERROR(__xludf.DUMMYFUNCTION("""COMPUTED_VALUE"""),1)</f>
        <v>1</v>
      </c>
      <c r="M200" s="10">
        <f ca="1">IFERROR(__xludf.DUMMYFUNCTION("""COMPUTED_VALUE"""),1355)</f>
        <v>1355</v>
      </c>
      <c r="N200" s="10" t="str">
        <f ca="1">IFERROR(__xludf.DUMMYFUNCTION("""COMPUTED_VALUE"""),"PMU")</f>
        <v>PMU</v>
      </c>
      <c r="O200" s="1"/>
      <c r="P200" s="1"/>
      <c r="Q200" s="1"/>
      <c r="R200" s="1"/>
      <c r="S200" s="1"/>
      <c r="T200" s="1"/>
      <c r="U200" s="1"/>
      <c r="V200" s="1"/>
      <c r="W200" s="1"/>
      <c r="X200" s="1"/>
      <c r="Y200" s="1"/>
      <c r="Z200" s="1"/>
    </row>
    <row r="201" spans="1:26" ht="12.75" customHeight="1">
      <c r="A201" s="1"/>
      <c r="B201" s="10" t="str">
        <f ca="1">IFERROR(__xludf.DUMMYFUNCTION("""COMPUTED_VALUE"""),"(SATE) CONSTRUCCION Y REPOSICION DE SEÑALIZACION Y SEGURIDAD VIAL LOCALIDAD DE PUQUELDON")</f>
        <v>(SATE) CONSTRUCCION Y REPOSICION DE SEÑALIZACION Y SEGURIDAD VIAL LOCALIDAD DE PUQUELDON</v>
      </c>
      <c r="C201" s="10" t="str">
        <f ca="1">IFERROR(__xludf.DUMMYFUNCTION("""COMPUTED_VALUE"""),"1-C-2023-1537")</f>
        <v>1-C-2023-1537</v>
      </c>
      <c r="D201" s="26" t="str">
        <f t="shared" ca="1" si="0"/>
        <v xml:space="preserve"> PUQUELDÓN</v>
      </c>
      <c r="E201" s="10" t="str">
        <f ca="1">IFERROR(__xludf.DUMMYFUNCTION("""COMPUTED_VALUE"""),"Guía Operativa")</f>
        <v>Guía Operativa</v>
      </c>
      <c r="F201" s="10" t="str">
        <f ca="1">IFERROR(__xludf.DUMMYFUNCTION("""COMPUTED_VALUE"""),"MUNICIPALIDAD DE PUQUELDÓN")</f>
        <v>MUNICIPALIDAD DE PUQUELDÓN</v>
      </c>
      <c r="G201" s="71">
        <f ca="1">IFERROR(__xludf.DUMMYFUNCTION("""COMPUTED_VALUE"""),153983796)</f>
        <v>153983796</v>
      </c>
      <c r="H201" s="10" t="str">
        <f ca="1">IFERROR(__xludf.DUMMYFUNCTION("""COMPUTED_VALUE"""),"Resolución")</f>
        <v>Resolución</v>
      </c>
      <c r="I201" s="10" t="str">
        <f ca="1">IFERROR(__xludf.DUMMYFUNCTION("""COMPUTED_VALUE"""),"OBRA")</f>
        <v>OBRA</v>
      </c>
      <c r="J201" s="10" t="str">
        <f ca="1">IFERROR(__xludf.DUMMYFUNCTION("""COMPUTED_VALUE"""),"Cumplir con normativa y reglamentos internos del programa en base a los objetivos.")</f>
        <v>Cumplir con normativa y reglamentos internos del programa en base a los objetivos.</v>
      </c>
      <c r="K201" s="71">
        <f ca="1">IFERROR(__xludf.DUMMYFUNCTION("""COMPUTED_VALUE"""),153983796)</f>
        <v>153983796</v>
      </c>
      <c r="L201" s="72">
        <f ca="1">IFERROR(__xludf.DUMMYFUNCTION("""COMPUTED_VALUE"""),1)</f>
        <v>1</v>
      </c>
      <c r="M201" s="10">
        <f ca="1">IFERROR(__xludf.DUMMYFUNCTION("""COMPUTED_VALUE"""),1355)</f>
        <v>1355</v>
      </c>
      <c r="N201" s="10" t="str">
        <f ca="1">IFERROR(__xludf.DUMMYFUNCTION("""COMPUTED_VALUE"""),"PMU")</f>
        <v>PMU</v>
      </c>
      <c r="O201" s="1"/>
      <c r="P201" s="1"/>
      <c r="Q201" s="1"/>
      <c r="R201" s="1"/>
      <c r="S201" s="1"/>
      <c r="T201" s="1"/>
      <c r="U201" s="1"/>
      <c r="V201" s="1"/>
      <c r="W201" s="1"/>
      <c r="X201" s="1"/>
      <c r="Y201" s="1"/>
      <c r="Z201" s="1"/>
    </row>
    <row r="202" spans="1:26" ht="12.75" customHeight="1">
      <c r="A202" s="1"/>
      <c r="B202" s="10" t="str">
        <f ca="1">IFERROR(__xludf.DUMMYFUNCTION("""COMPUTED_VALUE"""),"[SATE]MEJORAMIENTO DE PLAZA JAIME AMPUERO DE DALCAHUE")</f>
        <v>[SATE]MEJORAMIENTO DE PLAZA JAIME AMPUERO DE DALCAHUE</v>
      </c>
      <c r="C202" s="10" t="str">
        <f ca="1">IFERROR(__xludf.DUMMYFUNCTION("""COMPUTED_VALUE"""),"1-C-2023-1752")</f>
        <v>1-C-2023-1752</v>
      </c>
      <c r="D202" s="26" t="str">
        <f t="shared" ca="1" si="0"/>
        <v xml:space="preserve"> DALCAHUE</v>
      </c>
      <c r="E202" s="10" t="str">
        <f ca="1">IFERROR(__xludf.DUMMYFUNCTION("""COMPUTED_VALUE"""),"Guía Operativa")</f>
        <v>Guía Operativa</v>
      </c>
      <c r="F202" s="10" t="str">
        <f ca="1">IFERROR(__xludf.DUMMYFUNCTION("""COMPUTED_VALUE"""),"MUNICIPALIDAD DE DALCAHUE")</f>
        <v>MUNICIPALIDAD DE DALCAHUE</v>
      </c>
      <c r="G202" s="71">
        <f ca="1">IFERROR(__xludf.DUMMYFUNCTION("""COMPUTED_VALUE"""),119098889)</f>
        <v>119098889</v>
      </c>
      <c r="H202" s="10" t="str">
        <f ca="1">IFERROR(__xludf.DUMMYFUNCTION("""COMPUTED_VALUE"""),"Resolución")</f>
        <v>Resolución</v>
      </c>
      <c r="I202" s="10" t="str">
        <f ca="1">IFERROR(__xludf.DUMMYFUNCTION("""COMPUTED_VALUE"""),"OBRA")</f>
        <v>OBRA</v>
      </c>
      <c r="J202" s="10" t="str">
        <f ca="1">IFERROR(__xludf.DUMMYFUNCTION("""COMPUTED_VALUE"""),"Cumplir con normativa y reglamentos internos del programa en base a los objetivos.")</f>
        <v>Cumplir con normativa y reglamentos internos del programa en base a los objetivos.</v>
      </c>
      <c r="K202" s="71">
        <f ca="1">IFERROR(__xludf.DUMMYFUNCTION("""COMPUTED_VALUE"""),119098889)</f>
        <v>119098889</v>
      </c>
      <c r="L202" s="72">
        <f ca="1">IFERROR(__xludf.DUMMYFUNCTION("""COMPUTED_VALUE"""),1)</f>
        <v>1</v>
      </c>
      <c r="M202" s="10">
        <f ca="1">IFERROR(__xludf.DUMMYFUNCTION("""COMPUTED_VALUE"""),1330)</f>
        <v>1330</v>
      </c>
      <c r="N202" s="10" t="str">
        <f ca="1">IFERROR(__xludf.DUMMYFUNCTION("""COMPUTED_VALUE"""),"PMU")</f>
        <v>PMU</v>
      </c>
      <c r="O202" s="1"/>
      <c r="P202" s="1"/>
      <c r="Q202" s="1"/>
      <c r="R202" s="1"/>
      <c r="S202" s="1"/>
      <c r="T202" s="1"/>
      <c r="U202" s="1"/>
      <c r="V202" s="1"/>
      <c r="W202" s="1"/>
      <c r="X202" s="1"/>
      <c r="Y202" s="1"/>
      <c r="Z202" s="1"/>
    </row>
    <row r="203" spans="1:26" ht="12.75" customHeight="1">
      <c r="A203" s="1"/>
      <c r="B203" s="10" t="str">
        <f ca="1">IFERROR(__xludf.DUMMYFUNCTION("""COMPUTED_VALUE"""),"CONSTRUCCIÓN MIRADOR URBANO COSTANERA, CIUDAD DE DALCAHUE")</f>
        <v>CONSTRUCCIÓN MIRADOR URBANO COSTANERA, CIUDAD DE DALCAHUE</v>
      </c>
      <c r="C203" s="10" t="str">
        <f ca="1">IFERROR(__xludf.DUMMYFUNCTION("""COMPUTED_VALUE"""),"1-C-2023-2138")</f>
        <v>1-C-2023-2138</v>
      </c>
      <c r="D203" s="26" t="str">
        <f t="shared" ca="1" si="0"/>
        <v xml:space="preserve"> DALCAHUE</v>
      </c>
      <c r="E203" s="10" t="str">
        <f ca="1">IFERROR(__xludf.DUMMYFUNCTION("""COMPUTED_VALUE"""),"Guía Operativa")</f>
        <v>Guía Operativa</v>
      </c>
      <c r="F203" s="10" t="str">
        <f ca="1">IFERROR(__xludf.DUMMYFUNCTION("""COMPUTED_VALUE"""),"MUNICIPALIDAD DE DALCAHUE")</f>
        <v>MUNICIPALIDAD DE DALCAHUE</v>
      </c>
      <c r="G203" s="71">
        <f ca="1">IFERROR(__xludf.DUMMYFUNCTION("""COMPUTED_VALUE"""),154245300)</f>
        <v>154245300</v>
      </c>
      <c r="H203" s="10" t="str">
        <f ca="1">IFERROR(__xludf.DUMMYFUNCTION("""COMPUTED_VALUE"""),"Resolución")</f>
        <v>Resolución</v>
      </c>
      <c r="I203" s="10" t="str">
        <f ca="1">IFERROR(__xludf.DUMMYFUNCTION("""COMPUTED_VALUE"""),"OBRA")</f>
        <v>OBRA</v>
      </c>
      <c r="J203" s="10" t="str">
        <f ca="1">IFERROR(__xludf.DUMMYFUNCTION("""COMPUTED_VALUE"""),"Cumplir con normativa y reglamentos internos del programa en base a los objetivos.")</f>
        <v>Cumplir con normativa y reglamentos internos del programa en base a los objetivos.</v>
      </c>
      <c r="K203" s="71">
        <f ca="1">IFERROR(__xludf.DUMMYFUNCTION("""COMPUTED_VALUE"""),154245300)</f>
        <v>154245300</v>
      </c>
      <c r="L203" s="72">
        <f ca="1">IFERROR(__xludf.DUMMYFUNCTION("""COMPUTED_VALUE"""),1)</f>
        <v>1</v>
      </c>
      <c r="M203" s="10">
        <f ca="1">IFERROR(__xludf.DUMMYFUNCTION("""COMPUTED_VALUE"""),1330)</f>
        <v>1330</v>
      </c>
      <c r="N203" s="10" t="str">
        <f ca="1">IFERROR(__xludf.DUMMYFUNCTION("""COMPUTED_VALUE"""),"PMU")</f>
        <v>PMU</v>
      </c>
      <c r="O203" s="1"/>
      <c r="P203" s="1"/>
      <c r="Q203" s="1"/>
      <c r="R203" s="1"/>
      <c r="S203" s="1"/>
      <c r="T203" s="1"/>
      <c r="U203" s="1"/>
      <c r="V203" s="1"/>
      <c r="W203" s="1"/>
      <c r="X203" s="1"/>
      <c r="Y203" s="1"/>
      <c r="Z203" s="1"/>
    </row>
    <row r="204" spans="1:26" ht="12.75" customHeight="1">
      <c r="A204" s="1"/>
      <c r="B204" s="10" t="str">
        <f ca="1">IFERROR(__xludf.DUMMYFUNCTION("""COMPUTED_VALUE"""),"MEJORAMIENTO PLAZA HANGA ROA EN PTO. IBÁÑEZ")</f>
        <v>MEJORAMIENTO PLAZA HANGA ROA EN PTO. IBÁÑEZ</v>
      </c>
      <c r="C204" s="10" t="str">
        <f ca="1">IFERROR(__xludf.DUMMYFUNCTION("""COMPUTED_VALUE"""),"1-C-2020-905")</f>
        <v>1-C-2020-905</v>
      </c>
      <c r="D204" s="26" t="str">
        <f t="shared" ca="1" si="0"/>
        <v xml:space="preserve"> RÍO IBÁÑEZ</v>
      </c>
      <c r="E204" s="10" t="str">
        <f ca="1">IFERROR(__xludf.DUMMYFUNCTION("""COMPUTED_VALUE"""),"Guía Operativa")</f>
        <v>Guía Operativa</v>
      </c>
      <c r="F204" s="10" t="str">
        <f ca="1">IFERROR(__xludf.DUMMYFUNCTION("""COMPUTED_VALUE"""),"MUNICIPALIDAD DE RÍO IBÁÑEZ")</f>
        <v>MUNICIPALIDAD DE RÍO IBÁÑEZ</v>
      </c>
      <c r="G204" s="71">
        <f ca="1">IFERROR(__xludf.DUMMYFUNCTION("""COMPUTED_VALUE"""),77999595)</f>
        <v>77999595</v>
      </c>
      <c r="H204" s="10" t="str">
        <f ca="1">IFERROR(__xludf.DUMMYFUNCTION("""COMPUTED_VALUE"""),"Resolución")</f>
        <v>Resolución</v>
      </c>
      <c r="I204" s="10" t="str">
        <f ca="1">IFERROR(__xludf.DUMMYFUNCTION("""COMPUTED_VALUE"""),"OBRA")</f>
        <v>OBRA</v>
      </c>
      <c r="J204" s="10" t="str">
        <f ca="1">IFERROR(__xludf.DUMMYFUNCTION("""COMPUTED_VALUE"""),"Cumplir con normativa y reglamentos internos del programa en base a los objetivos.")</f>
        <v>Cumplir con normativa y reglamentos internos del programa en base a los objetivos.</v>
      </c>
      <c r="K204" s="71">
        <f ca="1">IFERROR(__xludf.DUMMYFUNCTION("""COMPUTED_VALUE"""),35999598)</f>
        <v>35999598</v>
      </c>
      <c r="L204" s="72">
        <f ca="1">IFERROR(__xludf.DUMMYFUNCTION("""COMPUTED_VALUE"""),1)</f>
        <v>1</v>
      </c>
      <c r="M204" s="10">
        <f ca="1">IFERROR(__xludf.DUMMYFUNCTION("""COMPUTED_VALUE"""),9364)</f>
        <v>9364</v>
      </c>
      <c r="N204" s="10" t="str">
        <f ca="1">IFERROR(__xludf.DUMMYFUNCTION("""COMPUTED_VALUE"""),"PMU")</f>
        <v>PMU</v>
      </c>
      <c r="O204" s="1"/>
      <c r="P204" s="1"/>
      <c r="Q204" s="1"/>
      <c r="R204" s="1"/>
      <c r="S204" s="1"/>
      <c r="T204" s="1"/>
      <c r="U204" s="1"/>
      <c r="V204" s="1"/>
      <c r="W204" s="1"/>
      <c r="X204" s="1"/>
      <c r="Y204" s="1"/>
      <c r="Z204" s="1"/>
    </row>
    <row r="205" spans="1:26" ht="12.75" customHeight="1">
      <c r="A205" s="1"/>
      <c r="B205" s="10" t="str">
        <f ca="1">IFERROR(__xludf.DUMMYFUNCTION("""COMPUTED_VALUE"""),"MEJORAMIENTO PLAZA BANDEJÓN VICARÍA ENTRE ESPÍRITU SANTO Y CUATRO PONIENTE, BARRIO SOL PONIENTE, MAIPÚ")</f>
        <v>MEJORAMIENTO PLAZA BANDEJÓN VICARÍA ENTRE ESPÍRITU SANTO Y CUATRO PONIENTE, BARRIO SOL PONIENTE, MAIPÚ</v>
      </c>
      <c r="C205" s="10" t="str">
        <f ca="1">IFERROR(__xludf.DUMMYFUNCTION("""COMPUTED_VALUE"""),"1-C-2022-144")</f>
        <v>1-C-2022-144</v>
      </c>
      <c r="D205" s="26" t="str">
        <f t="shared" ca="1" si="0"/>
        <v xml:space="preserve"> MAIPÚ</v>
      </c>
      <c r="E205" s="10" t="str">
        <f ca="1">IFERROR(__xludf.DUMMYFUNCTION("""COMPUTED_VALUE"""),"Guía Operativa")</f>
        <v>Guía Operativa</v>
      </c>
      <c r="F205" s="10" t="str">
        <f ca="1">IFERROR(__xludf.DUMMYFUNCTION("""COMPUTED_VALUE"""),"MUNICIPALIDAD DE MAIPÚ")</f>
        <v>MUNICIPALIDAD DE MAIPÚ</v>
      </c>
      <c r="G205" s="71">
        <f ca="1">IFERROR(__xludf.DUMMYFUNCTION("""COMPUTED_VALUE"""),92392689)</f>
        <v>92392689</v>
      </c>
      <c r="H205" s="10" t="str">
        <f ca="1">IFERROR(__xludf.DUMMYFUNCTION("""COMPUTED_VALUE"""),"Resolución")</f>
        <v>Resolución</v>
      </c>
      <c r="I205" s="10" t="str">
        <f ca="1">IFERROR(__xludf.DUMMYFUNCTION("""COMPUTED_VALUE"""),"OBRA")</f>
        <v>OBRA</v>
      </c>
      <c r="J205" s="10" t="str">
        <f ca="1">IFERROR(__xludf.DUMMYFUNCTION("""COMPUTED_VALUE"""),"Cumplir con normativa y reglamentos internos del programa en base a los objetivos.")</f>
        <v>Cumplir con normativa y reglamentos internos del programa en base a los objetivos.</v>
      </c>
      <c r="K205" s="71">
        <f ca="1">IFERROR(__xludf.DUMMYFUNCTION("""COMPUTED_VALUE"""),92392689)</f>
        <v>92392689</v>
      </c>
      <c r="L205" s="72">
        <f ca="1">IFERROR(__xludf.DUMMYFUNCTION("""COMPUTED_VALUE"""),1)</f>
        <v>1</v>
      </c>
      <c r="M205" s="10">
        <f ca="1">IFERROR(__xludf.DUMMYFUNCTION("""COMPUTED_VALUE"""),1359)</f>
        <v>1359</v>
      </c>
      <c r="N205" s="10" t="str">
        <f ca="1">IFERROR(__xludf.DUMMYFUNCTION("""COMPUTED_VALUE"""),"PMU")</f>
        <v>PMU</v>
      </c>
      <c r="O205" s="1"/>
      <c r="P205" s="1"/>
      <c r="Q205" s="1"/>
      <c r="R205" s="1"/>
      <c r="S205" s="1"/>
      <c r="T205" s="1"/>
      <c r="U205" s="1"/>
      <c r="V205" s="1"/>
      <c r="W205" s="1"/>
      <c r="X205" s="1"/>
      <c r="Y205" s="1"/>
      <c r="Z205" s="1"/>
    </row>
    <row r="206" spans="1:26" ht="12.75" customHeight="1">
      <c r="A206" s="1"/>
      <c r="B206" s="10" t="str">
        <f ca="1">IFERROR(__xludf.DUMMYFUNCTION("""COMPUTED_VALUE"""),"MEJORAMIENTO DE ÁREA VERDE VILLA DOÑA FLORENCIA I, COMUNA DE MELIPILLA")</f>
        <v>MEJORAMIENTO DE ÁREA VERDE VILLA DOÑA FLORENCIA I, COMUNA DE MELIPILLA</v>
      </c>
      <c r="C206" s="10" t="str">
        <f ca="1">IFERROR(__xludf.DUMMYFUNCTION("""COMPUTED_VALUE"""),"1-C-2022-1925")</f>
        <v>1-C-2022-1925</v>
      </c>
      <c r="D206" s="26" t="str">
        <f t="shared" ca="1" si="0"/>
        <v xml:space="preserve"> MELIPILLA</v>
      </c>
      <c r="E206" s="10" t="str">
        <f ca="1">IFERROR(__xludf.DUMMYFUNCTION("""COMPUTED_VALUE"""),"Guía Operativa")</f>
        <v>Guía Operativa</v>
      </c>
      <c r="F206" s="10" t="str">
        <f ca="1">IFERROR(__xludf.DUMMYFUNCTION("""COMPUTED_VALUE"""),"MUNICIPALIDAD DE MELIPILLA")</f>
        <v>MUNICIPALIDAD DE MELIPILLA</v>
      </c>
      <c r="G206" s="71">
        <f ca="1">IFERROR(__xludf.DUMMYFUNCTION("""COMPUTED_VALUE"""),102778079)</f>
        <v>102778079</v>
      </c>
      <c r="H206" s="10" t="str">
        <f ca="1">IFERROR(__xludf.DUMMYFUNCTION("""COMPUTED_VALUE"""),"Resolución")</f>
        <v>Resolución</v>
      </c>
      <c r="I206" s="10" t="str">
        <f ca="1">IFERROR(__xludf.DUMMYFUNCTION("""COMPUTED_VALUE"""),"OBRA")</f>
        <v>OBRA</v>
      </c>
      <c r="J206" s="10" t="str">
        <f ca="1">IFERROR(__xludf.DUMMYFUNCTION("""COMPUTED_VALUE"""),"Cumplir con normativa y reglamentos internos del programa en base a los objetivos.")</f>
        <v>Cumplir con normativa y reglamentos internos del programa en base a los objetivos.</v>
      </c>
      <c r="K206" s="71">
        <f ca="1">IFERROR(__xludf.DUMMYFUNCTION("""COMPUTED_VALUE"""),102778079)</f>
        <v>102778079</v>
      </c>
      <c r="L206" s="72">
        <f ca="1">IFERROR(__xludf.DUMMYFUNCTION("""COMPUTED_VALUE"""),1)</f>
        <v>1</v>
      </c>
      <c r="M206" s="10">
        <f ca="1">IFERROR(__xludf.DUMMYFUNCTION("""COMPUTED_VALUE"""),1738)</f>
        <v>1738</v>
      </c>
      <c r="N206" s="10" t="str">
        <f ca="1">IFERROR(__xludf.DUMMYFUNCTION("""COMPUTED_VALUE"""),"PMU")</f>
        <v>PMU</v>
      </c>
      <c r="O206" s="1"/>
      <c r="P206" s="1"/>
      <c r="Q206" s="1"/>
      <c r="R206" s="1"/>
      <c r="S206" s="1"/>
      <c r="T206" s="1"/>
      <c r="U206" s="1"/>
      <c r="V206" s="1"/>
      <c r="W206" s="1"/>
      <c r="X206" s="1"/>
      <c r="Y206" s="1"/>
      <c r="Z206" s="1"/>
    </row>
    <row r="207" spans="1:26" ht="12.75" customHeight="1">
      <c r="A207" s="1"/>
      <c r="B207" s="10" t="str">
        <f ca="1">IFERROR(__xludf.DUMMYFUNCTION("""COMPUTED_VALUE"""),"MEJORAMIENTO MULTICANCHA JUVENTUD 2000")</f>
        <v>MEJORAMIENTO MULTICANCHA JUVENTUD 2000</v>
      </c>
      <c r="C207" s="10" t="str">
        <f ca="1">IFERROR(__xludf.DUMMYFUNCTION("""COMPUTED_VALUE"""),"1-C-2022-2549")</f>
        <v>1-C-2022-2549</v>
      </c>
      <c r="D207" s="26" t="str">
        <f t="shared" ca="1" si="0"/>
        <v xml:space="preserve"> LO ESPEJO</v>
      </c>
      <c r="E207" s="10" t="str">
        <f ca="1">IFERROR(__xludf.DUMMYFUNCTION("""COMPUTED_VALUE"""),"Guía Operativa")</f>
        <v>Guía Operativa</v>
      </c>
      <c r="F207" s="10" t="str">
        <f ca="1">IFERROR(__xludf.DUMMYFUNCTION("""COMPUTED_VALUE"""),"MUNICIPALIDAD DE LO ESPEJO")</f>
        <v>MUNICIPALIDAD DE LO ESPEJO</v>
      </c>
      <c r="G207" s="71">
        <f ca="1">IFERROR(__xludf.DUMMYFUNCTION("""COMPUTED_VALUE"""),154399755)</f>
        <v>154399755</v>
      </c>
      <c r="H207" s="10" t="str">
        <f ca="1">IFERROR(__xludf.DUMMYFUNCTION("""COMPUTED_VALUE"""),"Resolución")</f>
        <v>Resolución</v>
      </c>
      <c r="I207" s="10" t="str">
        <f ca="1">IFERROR(__xludf.DUMMYFUNCTION("""COMPUTED_VALUE"""),"OBRA")</f>
        <v>OBRA</v>
      </c>
      <c r="J207" s="10" t="str">
        <f ca="1">IFERROR(__xludf.DUMMYFUNCTION("""COMPUTED_VALUE"""),"Cumplir con normativa y reglamentos internos del programa en base a los objetivos.")</f>
        <v>Cumplir con normativa y reglamentos internos del programa en base a los objetivos.</v>
      </c>
      <c r="K207" s="71">
        <f ca="1">IFERROR(__xludf.DUMMYFUNCTION("""COMPUTED_VALUE"""),154399755)</f>
        <v>154399755</v>
      </c>
      <c r="L207" s="72">
        <f ca="1">IFERROR(__xludf.DUMMYFUNCTION("""COMPUTED_VALUE"""),1)</f>
        <v>1</v>
      </c>
      <c r="M207" s="10">
        <f ca="1">IFERROR(__xludf.DUMMYFUNCTION("""COMPUTED_VALUE"""),1340)</f>
        <v>1340</v>
      </c>
      <c r="N207" s="10" t="str">
        <f ca="1">IFERROR(__xludf.DUMMYFUNCTION("""COMPUTED_VALUE"""),"PMU")</f>
        <v>PMU</v>
      </c>
      <c r="O207" s="1"/>
      <c r="P207" s="1"/>
      <c r="Q207" s="1"/>
      <c r="R207" s="1"/>
      <c r="S207" s="1"/>
      <c r="T207" s="1"/>
      <c r="U207" s="1"/>
      <c r="V207" s="1"/>
      <c r="W207" s="1"/>
      <c r="X207" s="1"/>
      <c r="Y207" s="1"/>
      <c r="Z207" s="1"/>
    </row>
    <row r="208" spans="1:26" ht="12.75" customHeight="1">
      <c r="A208" s="1"/>
      <c r="B208" s="10" t="str">
        <f ca="1">IFERROR(__xludf.DUMMYFUNCTION("""COMPUTED_VALUE"""),"CONSTRUCCIÓN, SEÑALIZACIÓN Y DEMARCACIÓN DE RESALTOS REDUCTORES DE VELOCIDAD, COMUNA DE LO ESPEJO")</f>
        <v>CONSTRUCCIÓN, SEÑALIZACIÓN Y DEMARCACIÓN DE RESALTOS REDUCTORES DE VELOCIDAD, COMUNA DE LO ESPEJO</v>
      </c>
      <c r="C208" s="10" t="str">
        <f ca="1">IFERROR(__xludf.DUMMYFUNCTION("""COMPUTED_VALUE"""),"1-C-2022-2621")</f>
        <v>1-C-2022-2621</v>
      </c>
      <c r="D208" s="26" t="str">
        <f t="shared" ca="1" si="0"/>
        <v xml:space="preserve"> LO ESPEJO</v>
      </c>
      <c r="E208" s="10" t="str">
        <f ca="1">IFERROR(__xludf.DUMMYFUNCTION("""COMPUTED_VALUE"""),"Guía Operativa")</f>
        <v>Guía Operativa</v>
      </c>
      <c r="F208" s="10" t="str">
        <f ca="1">IFERROR(__xludf.DUMMYFUNCTION("""COMPUTED_VALUE"""),"MUNICIPALIDAD DE LO ESPEJO")</f>
        <v>MUNICIPALIDAD DE LO ESPEJO</v>
      </c>
      <c r="G208" s="71">
        <f ca="1">IFERROR(__xludf.DUMMYFUNCTION("""COMPUTED_VALUE"""),148728654)</f>
        <v>148728654</v>
      </c>
      <c r="H208" s="10" t="str">
        <f ca="1">IFERROR(__xludf.DUMMYFUNCTION("""COMPUTED_VALUE"""),"Resolución")</f>
        <v>Resolución</v>
      </c>
      <c r="I208" s="10" t="str">
        <f ca="1">IFERROR(__xludf.DUMMYFUNCTION("""COMPUTED_VALUE"""),"OBRA")</f>
        <v>OBRA</v>
      </c>
      <c r="J208" s="10" t="str">
        <f ca="1">IFERROR(__xludf.DUMMYFUNCTION("""COMPUTED_VALUE"""),"Cumplir con normativa y reglamentos internos del programa en base a los objetivos.")</f>
        <v>Cumplir con normativa y reglamentos internos del programa en base a los objetivos.</v>
      </c>
      <c r="K208" s="71">
        <f ca="1">IFERROR(__xludf.DUMMYFUNCTION("""COMPUTED_VALUE"""),148728654)</f>
        <v>148728654</v>
      </c>
      <c r="L208" s="72">
        <f ca="1">IFERROR(__xludf.DUMMYFUNCTION("""COMPUTED_VALUE"""),1)</f>
        <v>1</v>
      </c>
      <c r="M208" s="10">
        <f ca="1">IFERROR(__xludf.DUMMYFUNCTION("""COMPUTED_VALUE"""),1340)</f>
        <v>1340</v>
      </c>
      <c r="N208" s="10" t="str">
        <f ca="1">IFERROR(__xludf.DUMMYFUNCTION("""COMPUTED_VALUE"""),"PMU")</f>
        <v>PMU</v>
      </c>
      <c r="O208" s="1"/>
      <c r="P208" s="1"/>
      <c r="Q208" s="1"/>
      <c r="R208" s="1"/>
      <c r="S208" s="1"/>
      <c r="T208" s="1"/>
      <c r="U208" s="1"/>
      <c r="V208" s="1"/>
      <c r="W208" s="1"/>
      <c r="X208" s="1"/>
      <c r="Y208" s="1"/>
      <c r="Z208" s="1"/>
    </row>
    <row r="209" spans="1:26" ht="12.75" customHeight="1">
      <c r="A209" s="1"/>
      <c r="B209" s="10" t="str">
        <f ca="1">IFERROR(__xludf.DUMMYFUNCTION("""COMPUTED_VALUE"""),"REPOSICIÓN DE CALZADAS CATALINA DE LOS RIOS Y ASUNCIÓN, COMUNA DE CONCHALÍ")</f>
        <v>REPOSICIÓN DE CALZADAS CATALINA DE LOS RIOS Y ASUNCIÓN, COMUNA DE CONCHALÍ</v>
      </c>
      <c r="C209" s="10" t="str">
        <f ca="1">IFERROR(__xludf.DUMMYFUNCTION("""COMPUTED_VALUE"""),"1-C-2023-705")</f>
        <v>1-C-2023-705</v>
      </c>
      <c r="D209" s="26" t="str">
        <f t="shared" ca="1" si="0"/>
        <v xml:space="preserve"> CONCHALÍ</v>
      </c>
      <c r="E209" s="10" t="str">
        <f ca="1">IFERROR(__xludf.DUMMYFUNCTION("""COMPUTED_VALUE"""),"Guía Operativa")</f>
        <v>Guía Operativa</v>
      </c>
      <c r="F209" s="10" t="str">
        <f ca="1">IFERROR(__xludf.DUMMYFUNCTION("""COMPUTED_VALUE"""),"MUNICIPALIDAD DE CONCHALÍ")</f>
        <v>MUNICIPALIDAD DE CONCHALÍ</v>
      </c>
      <c r="G209" s="71">
        <f ca="1">IFERROR(__xludf.DUMMYFUNCTION("""COMPUTED_VALUE"""),111321749)</f>
        <v>111321749</v>
      </c>
      <c r="H209" s="10" t="str">
        <f ca="1">IFERROR(__xludf.DUMMYFUNCTION("""COMPUTED_VALUE"""),"Resolución")</f>
        <v>Resolución</v>
      </c>
      <c r="I209" s="10" t="str">
        <f ca="1">IFERROR(__xludf.DUMMYFUNCTION("""COMPUTED_VALUE"""),"OBRA")</f>
        <v>OBRA</v>
      </c>
      <c r="J209" s="10" t="str">
        <f ca="1">IFERROR(__xludf.DUMMYFUNCTION("""COMPUTED_VALUE"""),"Cumplir con normativa y reglamentos internos del programa en base a los objetivos.")</f>
        <v>Cumplir con normativa y reglamentos internos del programa en base a los objetivos.</v>
      </c>
      <c r="K209" s="71">
        <f ca="1">IFERROR(__xludf.DUMMYFUNCTION("""COMPUTED_VALUE"""),111321749)</f>
        <v>111321749</v>
      </c>
      <c r="L209" s="72">
        <f ca="1">IFERROR(__xludf.DUMMYFUNCTION("""COMPUTED_VALUE"""),1)</f>
        <v>1</v>
      </c>
      <c r="M209" s="10">
        <f ca="1">IFERROR(__xludf.DUMMYFUNCTION("""COMPUTED_VALUE"""),1348)</f>
        <v>1348</v>
      </c>
      <c r="N209" s="10" t="str">
        <f ca="1">IFERROR(__xludf.DUMMYFUNCTION("""COMPUTED_VALUE"""),"PMU")</f>
        <v>PMU</v>
      </c>
      <c r="O209" s="1"/>
      <c r="P209" s="1"/>
      <c r="Q209" s="1"/>
      <c r="R209" s="1"/>
      <c r="S209" s="1"/>
      <c r="T209" s="1"/>
      <c r="U209" s="1"/>
      <c r="V209" s="1"/>
      <c r="W209" s="1"/>
      <c r="X209" s="1"/>
      <c r="Y209" s="1"/>
      <c r="Z209" s="1"/>
    </row>
    <row r="210" spans="1:26" ht="12.75" customHeight="1">
      <c r="A210" s="1"/>
      <c r="B210" s="10" t="str">
        <f ca="1">IFERROR(__xludf.DUMMYFUNCTION("""COMPUTED_VALUE"""),"CSV MEJORAMIENTO ILUMINACIÓN PEATONAL UNIDAD VECINAL 9")</f>
        <v>CSV MEJORAMIENTO ILUMINACIÓN PEATONAL UNIDAD VECINAL 9</v>
      </c>
      <c r="C210" s="10" t="str">
        <f ca="1">IFERROR(__xludf.DUMMYFUNCTION("""COMPUTED_VALUE"""),"1-C-2023-1936")</f>
        <v>1-C-2023-1936</v>
      </c>
      <c r="D210" s="26" t="str">
        <f t="shared" ca="1" si="0"/>
        <v xml:space="preserve"> INDEPENDENCIA</v>
      </c>
      <c r="E210" s="10" t="str">
        <f ca="1">IFERROR(__xludf.DUMMYFUNCTION("""COMPUTED_VALUE"""),"Guía Operativa")</f>
        <v>Guía Operativa</v>
      </c>
      <c r="F210" s="10" t="str">
        <f ca="1">IFERROR(__xludf.DUMMYFUNCTION("""COMPUTED_VALUE"""),"MUNICIPALIDAD DE INDEPENDENCIA")</f>
        <v>MUNICIPALIDAD DE INDEPENDENCIA</v>
      </c>
      <c r="G210" s="71">
        <f ca="1">IFERROR(__xludf.DUMMYFUNCTION("""COMPUTED_VALUE"""),96096289)</f>
        <v>96096289</v>
      </c>
      <c r="H210" s="10" t="str">
        <f ca="1">IFERROR(__xludf.DUMMYFUNCTION("""COMPUTED_VALUE"""),"Resolución")</f>
        <v>Resolución</v>
      </c>
      <c r="I210" s="10" t="str">
        <f ca="1">IFERROR(__xludf.DUMMYFUNCTION("""COMPUTED_VALUE"""),"OBRA")</f>
        <v>OBRA</v>
      </c>
      <c r="J210" s="10" t="str">
        <f ca="1">IFERROR(__xludf.DUMMYFUNCTION("""COMPUTED_VALUE"""),"Cumplir con normativa y reglamentos internos del programa en base a los objetivos.")</f>
        <v>Cumplir con normativa y reglamentos internos del programa en base a los objetivos.</v>
      </c>
      <c r="K210" s="71">
        <f ca="1">IFERROR(__xludf.DUMMYFUNCTION("""COMPUTED_VALUE"""),96096289)</f>
        <v>96096289</v>
      </c>
      <c r="L210" s="72">
        <f ca="1">IFERROR(__xludf.DUMMYFUNCTION("""COMPUTED_VALUE"""),1)</f>
        <v>1</v>
      </c>
      <c r="M210" s="10">
        <f ca="1">IFERROR(__xludf.DUMMYFUNCTION("""COMPUTED_VALUE"""),1361)</f>
        <v>1361</v>
      </c>
      <c r="N210" s="10" t="str">
        <f ca="1">IFERROR(__xludf.DUMMYFUNCTION("""COMPUTED_VALUE"""),"PMU")</f>
        <v>PMU</v>
      </c>
      <c r="O210" s="1"/>
      <c r="P210" s="1"/>
      <c r="Q210" s="1"/>
      <c r="R210" s="1"/>
      <c r="S210" s="1"/>
      <c r="T210" s="1"/>
      <c r="U210" s="1"/>
      <c r="V210" s="1"/>
      <c r="W210" s="1"/>
      <c r="X210" s="1"/>
      <c r="Y210" s="1"/>
      <c r="Z210" s="1"/>
    </row>
    <row r="211" spans="1:26" ht="12.75" customHeight="1">
      <c r="A211" s="1"/>
      <c r="B211" s="10" t="str">
        <f ca="1">IFERROR(__xludf.DUMMYFUNCTION("""COMPUTED_VALUE"""),"CSV, MEJORAMIENTO DE TRAMOS DE ILUMINACIÓN PÚBLICA DE LA COMUNA DE EL BOSQUE SECTOR VILLA LAS ACACIAS PONIENTE I")</f>
        <v>CSV, MEJORAMIENTO DE TRAMOS DE ILUMINACIÓN PÚBLICA DE LA COMUNA DE EL BOSQUE SECTOR VILLA LAS ACACIAS PONIENTE I</v>
      </c>
      <c r="C211" s="10" t="str">
        <f ca="1">IFERROR(__xludf.DUMMYFUNCTION("""COMPUTED_VALUE"""),"1-C-2023-1980")</f>
        <v>1-C-2023-1980</v>
      </c>
      <c r="D211" s="26" t="str">
        <f t="shared" ca="1" si="0"/>
        <v xml:space="preserve"> EL BOSQUE</v>
      </c>
      <c r="E211" s="10" t="str">
        <f ca="1">IFERROR(__xludf.DUMMYFUNCTION("""COMPUTED_VALUE"""),"Guía Operativa")</f>
        <v>Guía Operativa</v>
      </c>
      <c r="F211" s="10" t="str">
        <f ca="1">IFERROR(__xludf.DUMMYFUNCTION("""COMPUTED_VALUE"""),"MUNICIPALIDAD DE EL BOSQUE")</f>
        <v>MUNICIPALIDAD DE EL BOSQUE</v>
      </c>
      <c r="G211" s="71">
        <f ca="1">IFERROR(__xludf.DUMMYFUNCTION("""COMPUTED_VALUE"""),75052043)</f>
        <v>75052043</v>
      </c>
      <c r="H211" s="10" t="str">
        <f ca="1">IFERROR(__xludf.DUMMYFUNCTION("""COMPUTED_VALUE"""),"Resolución")</f>
        <v>Resolución</v>
      </c>
      <c r="I211" s="10" t="str">
        <f ca="1">IFERROR(__xludf.DUMMYFUNCTION("""COMPUTED_VALUE"""),"OBRA")</f>
        <v>OBRA</v>
      </c>
      <c r="J211" s="10" t="str">
        <f ca="1">IFERROR(__xludf.DUMMYFUNCTION("""COMPUTED_VALUE"""),"Cumplir con normativa y reglamentos internos del programa en base a los objetivos.")</f>
        <v>Cumplir con normativa y reglamentos internos del programa en base a los objetivos.</v>
      </c>
      <c r="K211" s="71">
        <f ca="1">IFERROR(__xludf.DUMMYFUNCTION("""COMPUTED_VALUE"""),75052043)</f>
        <v>75052043</v>
      </c>
      <c r="L211" s="72">
        <f ca="1">IFERROR(__xludf.DUMMYFUNCTION("""COMPUTED_VALUE"""),1)</f>
        <v>1</v>
      </c>
      <c r="M211" s="10">
        <f ca="1">IFERROR(__xludf.DUMMYFUNCTION("""COMPUTED_VALUE"""),849)</f>
        <v>849</v>
      </c>
      <c r="N211" s="10" t="str">
        <f ca="1">IFERROR(__xludf.DUMMYFUNCTION("""COMPUTED_VALUE"""),"PMU")</f>
        <v>PMU</v>
      </c>
      <c r="O211" s="1"/>
      <c r="P211" s="1"/>
      <c r="Q211" s="1"/>
      <c r="R211" s="1"/>
      <c r="S211" s="1"/>
      <c r="T211" s="1"/>
      <c r="U211" s="1"/>
      <c r="V211" s="1"/>
      <c r="W211" s="1"/>
      <c r="X211" s="1"/>
      <c r="Y211" s="1"/>
      <c r="Z211" s="1"/>
    </row>
    <row r="212" spans="1:26" ht="12.75" customHeight="1">
      <c r="A212" s="1"/>
      <c r="B212" s="10" t="str">
        <f ca="1">IFERROR(__xludf.DUMMYFUNCTION("""COMPUTED_VALUE"""),"CSV, MEJORAMIENTO DE TRAMOS DE ILUMINACIÓN PÚBLICA DE LA COMUNA DE EL BOSQUE SECTOR VILLA EL TEPUAL")</f>
        <v>CSV, MEJORAMIENTO DE TRAMOS DE ILUMINACIÓN PÚBLICA DE LA COMUNA DE EL BOSQUE SECTOR VILLA EL TEPUAL</v>
      </c>
      <c r="C212" s="10" t="str">
        <f ca="1">IFERROR(__xludf.DUMMYFUNCTION("""COMPUTED_VALUE"""),"1-C-2023-1983")</f>
        <v>1-C-2023-1983</v>
      </c>
      <c r="D212" s="26" t="str">
        <f t="shared" ca="1" si="0"/>
        <v xml:space="preserve"> EL BOSQUE</v>
      </c>
      <c r="E212" s="10" t="str">
        <f ca="1">IFERROR(__xludf.DUMMYFUNCTION("""COMPUTED_VALUE"""),"Guía Operativa")</f>
        <v>Guía Operativa</v>
      </c>
      <c r="F212" s="10" t="str">
        <f ca="1">IFERROR(__xludf.DUMMYFUNCTION("""COMPUTED_VALUE"""),"MUNICIPALIDAD DE EL BOSQUE")</f>
        <v>MUNICIPALIDAD DE EL BOSQUE</v>
      </c>
      <c r="G212" s="71">
        <f ca="1">IFERROR(__xludf.DUMMYFUNCTION("""COMPUTED_VALUE"""),71369394)</f>
        <v>71369394</v>
      </c>
      <c r="H212" s="10" t="str">
        <f ca="1">IFERROR(__xludf.DUMMYFUNCTION("""COMPUTED_VALUE"""),"Resolución")</f>
        <v>Resolución</v>
      </c>
      <c r="I212" s="10" t="str">
        <f ca="1">IFERROR(__xludf.DUMMYFUNCTION("""COMPUTED_VALUE"""),"OBRA")</f>
        <v>OBRA</v>
      </c>
      <c r="J212" s="10" t="str">
        <f ca="1">IFERROR(__xludf.DUMMYFUNCTION("""COMPUTED_VALUE"""),"Cumplir con normativa y reglamentos internos del programa en base a los objetivos.")</f>
        <v>Cumplir con normativa y reglamentos internos del programa en base a los objetivos.</v>
      </c>
      <c r="K212" s="71">
        <f ca="1">IFERROR(__xludf.DUMMYFUNCTION("""COMPUTED_VALUE"""),71369394)</f>
        <v>71369394</v>
      </c>
      <c r="L212" s="72">
        <f ca="1">IFERROR(__xludf.DUMMYFUNCTION("""COMPUTED_VALUE"""),1)</f>
        <v>1</v>
      </c>
      <c r="M212" s="10">
        <f ca="1">IFERROR(__xludf.DUMMYFUNCTION("""COMPUTED_VALUE"""),849)</f>
        <v>849</v>
      </c>
      <c r="N212" s="10" t="str">
        <f ca="1">IFERROR(__xludf.DUMMYFUNCTION("""COMPUTED_VALUE"""),"PMU")</f>
        <v>PMU</v>
      </c>
      <c r="O212" s="1"/>
      <c r="P212" s="1"/>
      <c r="Q212" s="1"/>
      <c r="R212" s="1"/>
      <c r="S212" s="1"/>
      <c r="T212" s="1"/>
      <c r="U212" s="1"/>
      <c r="V212" s="1"/>
      <c r="W212" s="1"/>
      <c r="X212" s="1"/>
      <c r="Y212" s="1"/>
      <c r="Z212" s="1"/>
    </row>
    <row r="213" spans="1:26" ht="12.75" customHeight="1">
      <c r="A213" s="1"/>
      <c r="B213" s="10" t="str">
        <f ca="1">IFERROR(__xludf.DUMMYFUNCTION("""COMPUTED_VALUE"""),"“CSV AMPLIACIÓN ILUMINACIÓN PEATONAL COLEGIOS FIDEL PINOCHET, ELVIRA BRADY, SECTOR SAN ALFONSO Y ESMERALDA, COMUNA DE SAN BERNARDO”")</f>
        <v>“CSV AMPLIACIÓN ILUMINACIÓN PEATONAL COLEGIOS FIDEL PINOCHET, ELVIRA BRADY, SECTOR SAN ALFONSO Y ESMERALDA, COMUNA DE SAN BERNARDO”</v>
      </c>
      <c r="C213" s="10" t="str">
        <f ca="1">IFERROR(__xludf.DUMMYFUNCTION("""COMPUTED_VALUE"""),"1-C-2023-2253")</f>
        <v>1-C-2023-2253</v>
      </c>
      <c r="D213" s="26" t="str">
        <f t="shared" ca="1" si="0"/>
        <v xml:space="preserve"> SAN BERNARDO</v>
      </c>
      <c r="E213" s="10" t="str">
        <f ca="1">IFERROR(__xludf.DUMMYFUNCTION("""COMPUTED_VALUE"""),"Guía Operativa")</f>
        <v>Guía Operativa</v>
      </c>
      <c r="F213" s="10" t="str">
        <f ca="1">IFERROR(__xludf.DUMMYFUNCTION("""COMPUTED_VALUE"""),"MUNICIPALIDAD DE SAN BERNARDO")</f>
        <v>MUNICIPALIDAD DE SAN BERNARDO</v>
      </c>
      <c r="G213" s="71">
        <f ca="1">IFERROR(__xludf.DUMMYFUNCTION("""COMPUTED_VALUE"""),143532374)</f>
        <v>143532374</v>
      </c>
      <c r="H213" s="10" t="str">
        <f ca="1">IFERROR(__xludf.DUMMYFUNCTION("""COMPUTED_VALUE"""),"Resolución")</f>
        <v>Resolución</v>
      </c>
      <c r="I213" s="10" t="str">
        <f ca="1">IFERROR(__xludf.DUMMYFUNCTION("""COMPUTED_VALUE"""),"OBRA")</f>
        <v>OBRA</v>
      </c>
      <c r="J213" s="10" t="str">
        <f ca="1">IFERROR(__xludf.DUMMYFUNCTION("""COMPUTED_VALUE"""),"Cumplir con normativa y reglamentos internos del programa en base a los objetivos.")</f>
        <v>Cumplir con normativa y reglamentos internos del programa en base a los objetivos.</v>
      </c>
      <c r="K213" s="71">
        <f ca="1">IFERROR(__xludf.DUMMYFUNCTION("""COMPUTED_VALUE"""),143532374)</f>
        <v>143532374</v>
      </c>
      <c r="L213" s="72">
        <f ca="1">IFERROR(__xludf.DUMMYFUNCTION("""COMPUTED_VALUE"""),1)</f>
        <v>1</v>
      </c>
      <c r="M213" s="10">
        <f ca="1">IFERROR(__xludf.DUMMYFUNCTION("""COMPUTED_VALUE"""),1334)</f>
        <v>1334</v>
      </c>
      <c r="N213" s="10" t="str">
        <f ca="1">IFERROR(__xludf.DUMMYFUNCTION("""COMPUTED_VALUE"""),"PMU")</f>
        <v>PMU</v>
      </c>
      <c r="O213" s="1"/>
      <c r="P213" s="1"/>
      <c r="Q213" s="1"/>
      <c r="R213" s="1"/>
      <c r="S213" s="1"/>
      <c r="T213" s="1"/>
      <c r="U213" s="1"/>
      <c r="V213" s="1"/>
      <c r="W213" s="1"/>
      <c r="X213" s="1"/>
      <c r="Y213" s="1"/>
      <c r="Z213" s="1"/>
    </row>
    <row r="214" spans="1:26" ht="12.75" customHeight="1">
      <c r="A214" s="1"/>
      <c r="B214" s="10" t="str">
        <f ca="1">IFERROR(__xludf.DUMMYFUNCTION("""COMPUTED_VALUE"""),"“CSV AMPLIACIÓN ILUMINACIÓN PEATONAL SECTOR ELIODORO YAÑEZ, LO HERRERA, COMUNA DE SAN BERNARDO”")</f>
        <v>“CSV AMPLIACIÓN ILUMINACIÓN PEATONAL SECTOR ELIODORO YAÑEZ, LO HERRERA, COMUNA DE SAN BERNARDO”</v>
      </c>
      <c r="C214" s="10" t="str">
        <f ca="1">IFERROR(__xludf.DUMMYFUNCTION("""COMPUTED_VALUE"""),"1-C-2023-2254")</f>
        <v>1-C-2023-2254</v>
      </c>
      <c r="D214" s="26" t="str">
        <f t="shared" ca="1" si="0"/>
        <v xml:space="preserve"> SAN BERNARDO</v>
      </c>
      <c r="E214" s="10" t="str">
        <f ca="1">IFERROR(__xludf.DUMMYFUNCTION("""COMPUTED_VALUE"""),"Guía Operativa")</f>
        <v>Guía Operativa</v>
      </c>
      <c r="F214" s="10" t="str">
        <f ca="1">IFERROR(__xludf.DUMMYFUNCTION("""COMPUTED_VALUE"""),"MUNICIPALIDAD DE SAN BERNARDO")</f>
        <v>MUNICIPALIDAD DE SAN BERNARDO</v>
      </c>
      <c r="G214" s="71">
        <f ca="1">IFERROR(__xludf.DUMMYFUNCTION("""COMPUTED_VALUE"""),128146405)</f>
        <v>128146405</v>
      </c>
      <c r="H214" s="10" t="str">
        <f ca="1">IFERROR(__xludf.DUMMYFUNCTION("""COMPUTED_VALUE"""),"Resolución")</f>
        <v>Resolución</v>
      </c>
      <c r="I214" s="10" t="str">
        <f ca="1">IFERROR(__xludf.DUMMYFUNCTION("""COMPUTED_VALUE"""),"OBRA")</f>
        <v>OBRA</v>
      </c>
      <c r="J214" s="10" t="str">
        <f ca="1">IFERROR(__xludf.DUMMYFUNCTION("""COMPUTED_VALUE"""),"Cumplir con normativa y reglamentos internos del programa en base a los objetivos.")</f>
        <v>Cumplir con normativa y reglamentos internos del programa en base a los objetivos.</v>
      </c>
      <c r="K214" s="71">
        <f ca="1">IFERROR(__xludf.DUMMYFUNCTION("""COMPUTED_VALUE"""),128146405)</f>
        <v>128146405</v>
      </c>
      <c r="L214" s="72">
        <f ca="1">IFERROR(__xludf.DUMMYFUNCTION("""COMPUTED_VALUE"""),1)</f>
        <v>1</v>
      </c>
      <c r="M214" s="10">
        <f ca="1">IFERROR(__xludf.DUMMYFUNCTION("""COMPUTED_VALUE"""),1334)</f>
        <v>1334</v>
      </c>
      <c r="N214" s="10" t="str">
        <f ca="1">IFERROR(__xludf.DUMMYFUNCTION("""COMPUTED_VALUE"""),"PMU")</f>
        <v>PMU</v>
      </c>
      <c r="O214" s="1"/>
      <c r="P214" s="1"/>
      <c r="Q214" s="1"/>
      <c r="R214" s="1"/>
      <c r="S214" s="1"/>
      <c r="T214" s="1"/>
      <c r="U214" s="1"/>
      <c r="V214" s="1"/>
      <c r="W214" s="1"/>
      <c r="X214" s="1"/>
      <c r="Y214" s="1"/>
      <c r="Z214" s="1"/>
    </row>
    <row r="215" spans="1:26" ht="12.75" customHeight="1">
      <c r="A215" s="1"/>
      <c r="B215" s="10" t="str">
        <f ca="1">IFERROR(__xludf.DUMMYFUNCTION("""COMPUTED_VALUE"""),"“CSV AMPLIACIÓN ILUMINACIÓN PEATONAL POBLACIÓN TEJAS DE CHENA, COMUNA DE SAN BERNARDO”")</f>
        <v>“CSV AMPLIACIÓN ILUMINACIÓN PEATONAL POBLACIÓN TEJAS DE CHENA, COMUNA DE SAN BERNARDO”</v>
      </c>
      <c r="C215" s="10" t="str">
        <f ca="1">IFERROR(__xludf.DUMMYFUNCTION("""COMPUTED_VALUE"""),"1-C-2023-2255")</f>
        <v>1-C-2023-2255</v>
      </c>
      <c r="D215" s="26" t="str">
        <f t="shared" ca="1" si="0"/>
        <v xml:space="preserve"> SAN BERNARDO</v>
      </c>
      <c r="E215" s="10" t="str">
        <f ca="1">IFERROR(__xludf.DUMMYFUNCTION("""COMPUTED_VALUE"""),"Guía Operativa")</f>
        <v>Guía Operativa</v>
      </c>
      <c r="F215" s="10" t="str">
        <f ca="1">IFERROR(__xludf.DUMMYFUNCTION("""COMPUTED_VALUE"""),"MUNICIPALIDAD DE SAN BERNARDO")</f>
        <v>MUNICIPALIDAD DE SAN BERNARDO</v>
      </c>
      <c r="G215" s="71">
        <f ca="1">IFERROR(__xludf.DUMMYFUNCTION("""COMPUTED_VALUE"""),112482364)</f>
        <v>112482364</v>
      </c>
      <c r="H215" s="10" t="str">
        <f ca="1">IFERROR(__xludf.DUMMYFUNCTION("""COMPUTED_VALUE"""),"Resolución")</f>
        <v>Resolución</v>
      </c>
      <c r="I215" s="10" t="str">
        <f ca="1">IFERROR(__xludf.DUMMYFUNCTION("""COMPUTED_VALUE"""),"OBRA")</f>
        <v>OBRA</v>
      </c>
      <c r="J215" s="10" t="str">
        <f ca="1">IFERROR(__xludf.DUMMYFUNCTION("""COMPUTED_VALUE"""),"Cumplir con normativa y reglamentos internos del programa en base a los objetivos.")</f>
        <v>Cumplir con normativa y reglamentos internos del programa en base a los objetivos.</v>
      </c>
      <c r="K215" s="71">
        <f ca="1">IFERROR(__xludf.DUMMYFUNCTION("""COMPUTED_VALUE"""),112482364)</f>
        <v>112482364</v>
      </c>
      <c r="L215" s="72">
        <f ca="1">IFERROR(__xludf.DUMMYFUNCTION("""COMPUTED_VALUE"""),1)</f>
        <v>1</v>
      </c>
      <c r="M215" s="10">
        <f ca="1">IFERROR(__xludf.DUMMYFUNCTION("""COMPUTED_VALUE"""),1334)</f>
        <v>1334</v>
      </c>
      <c r="N215" s="10" t="str">
        <f ca="1">IFERROR(__xludf.DUMMYFUNCTION("""COMPUTED_VALUE"""),"PMU")</f>
        <v>PMU</v>
      </c>
      <c r="O215" s="1"/>
      <c r="P215" s="1"/>
      <c r="Q215" s="1"/>
      <c r="R215" s="1"/>
      <c r="S215" s="1"/>
      <c r="T215" s="1"/>
      <c r="U215" s="1"/>
      <c r="V215" s="1"/>
      <c r="W215" s="1"/>
      <c r="X215" s="1"/>
      <c r="Y215" s="1"/>
      <c r="Z215" s="1"/>
    </row>
    <row r="216" spans="1:26" ht="12.75" customHeight="1">
      <c r="A216" s="1"/>
      <c r="B216" s="10" t="str">
        <f ca="1">IFERROR(__xludf.DUMMYFUNCTION("""COMPUTED_VALUE"""),"“CSV AMPLIACIÓN ILUMINACIÓN PEATONAL COLEGIOS Y CESFAM POBLACION EL OLIVO A, EL OLIVO B, LA PORTADA Y CONFRATERNIDAD, COMUNA DE SAN BERNARDO”")</f>
        <v>“CSV AMPLIACIÓN ILUMINACIÓN PEATONAL COLEGIOS Y CESFAM POBLACION EL OLIVO A, EL OLIVO B, LA PORTADA Y CONFRATERNIDAD, COMUNA DE SAN BERNARDO”</v>
      </c>
      <c r="C216" s="10" t="str">
        <f ca="1">IFERROR(__xludf.DUMMYFUNCTION("""COMPUTED_VALUE"""),"1-C-2023-2256")</f>
        <v>1-C-2023-2256</v>
      </c>
      <c r="D216" s="26" t="str">
        <f t="shared" ca="1" si="0"/>
        <v xml:space="preserve"> SAN BERNARDO</v>
      </c>
      <c r="E216" s="10" t="str">
        <f ca="1">IFERROR(__xludf.DUMMYFUNCTION("""COMPUTED_VALUE"""),"Guía Operativa")</f>
        <v>Guía Operativa</v>
      </c>
      <c r="F216" s="10" t="str">
        <f ca="1">IFERROR(__xludf.DUMMYFUNCTION("""COMPUTED_VALUE"""),"MUNICIPALIDAD DE SAN BERNARDO")</f>
        <v>MUNICIPALIDAD DE SAN BERNARDO</v>
      </c>
      <c r="G216" s="71">
        <f ca="1">IFERROR(__xludf.DUMMYFUNCTION("""COMPUTED_VALUE"""),100836625)</f>
        <v>100836625</v>
      </c>
      <c r="H216" s="10" t="str">
        <f ca="1">IFERROR(__xludf.DUMMYFUNCTION("""COMPUTED_VALUE"""),"Resolución")</f>
        <v>Resolución</v>
      </c>
      <c r="I216" s="10" t="str">
        <f ca="1">IFERROR(__xludf.DUMMYFUNCTION("""COMPUTED_VALUE"""),"OBRA")</f>
        <v>OBRA</v>
      </c>
      <c r="J216" s="10" t="str">
        <f ca="1">IFERROR(__xludf.DUMMYFUNCTION("""COMPUTED_VALUE"""),"Cumplir con normativa y reglamentos internos del programa en base a los objetivos.")</f>
        <v>Cumplir con normativa y reglamentos internos del programa en base a los objetivos.</v>
      </c>
      <c r="K216" s="71">
        <f ca="1">IFERROR(__xludf.DUMMYFUNCTION("""COMPUTED_VALUE"""),100836625)</f>
        <v>100836625</v>
      </c>
      <c r="L216" s="72">
        <f ca="1">IFERROR(__xludf.DUMMYFUNCTION("""COMPUTED_VALUE"""),1)</f>
        <v>1</v>
      </c>
      <c r="M216" s="10">
        <f ca="1">IFERROR(__xludf.DUMMYFUNCTION("""COMPUTED_VALUE"""),1743)</f>
        <v>1743</v>
      </c>
      <c r="N216" s="10" t="str">
        <f ca="1">IFERROR(__xludf.DUMMYFUNCTION("""COMPUTED_VALUE"""),"PMU")</f>
        <v>PMU</v>
      </c>
      <c r="O216" s="1"/>
      <c r="P216" s="1"/>
      <c r="Q216" s="1"/>
      <c r="R216" s="1"/>
      <c r="S216" s="1"/>
      <c r="T216" s="1"/>
      <c r="U216" s="1"/>
      <c r="V216" s="1"/>
      <c r="W216" s="1"/>
      <c r="X216" s="1"/>
      <c r="Y216" s="1"/>
      <c r="Z216" s="1"/>
    </row>
    <row r="217" spans="1:26" ht="12.75" customHeight="1">
      <c r="A217" s="1"/>
      <c r="B217" s="10" t="str">
        <f ca="1">IFERROR(__xludf.DUMMYFUNCTION("""COMPUTED_VALUE"""),"MEJORAMIENTO PLAZA RENATO SOTO MARÍN PCSV")</f>
        <v>MEJORAMIENTO PLAZA RENATO SOTO MARÍN PCSV</v>
      </c>
      <c r="C217" s="10" t="str">
        <f ca="1">IFERROR(__xludf.DUMMYFUNCTION("""COMPUTED_VALUE"""),"1-C-2023-2312")</f>
        <v>1-C-2023-2312</v>
      </c>
      <c r="D217" s="26" t="str">
        <f t="shared" ca="1" si="0"/>
        <v xml:space="preserve"> LA GRANJA</v>
      </c>
      <c r="E217" s="10" t="str">
        <f ca="1">IFERROR(__xludf.DUMMYFUNCTION("""COMPUTED_VALUE"""),"Guía Operativa")</f>
        <v>Guía Operativa</v>
      </c>
      <c r="F217" s="10" t="str">
        <f ca="1">IFERROR(__xludf.DUMMYFUNCTION("""COMPUTED_VALUE"""),"MUNICIPALIDAD DE LA GRANJA")</f>
        <v>MUNICIPALIDAD DE LA GRANJA</v>
      </c>
      <c r="G217" s="71">
        <f ca="1">IFERROR(__xludf.DUMMYFUNCTION("""COMPUTED_VALUE"""),153919434)</f>
        <v>153919434</v>
      </c>
      <c r="H217" s="10" t="str">
        <f ca="1">IFERROR(__xludf.DUMMYFUNCTION("""COMPUTED_VALUE"""),"Resolución")</f>
        <v>Resolución</v>
      </c>
      <c r="I217" s="10" t="str">
        <f ca="1">IFERROR(__xludf.DUMMYFUNCTION("""COMPUTED_VALUE"""),"OBRA")</f>
        <v>OBRA</v>
      </c>
      <c r="J217" s="10" t="str">
        <f ca="1">IFERROR(__xludf.DUMMYFUNCTION("""COMPUTED_VALUE"""),"Cumplir con normativa y reglamentos internos del programa en base a los objetivos.")</f>
        <v>Cumplir con normativa y reglamentos internos del programa en base a los objetivos.</v>
      </c>
      <c r="K217" s="71">
        <f ca="1">IFERROR(__xludf.DUMMYFUNCTION("""COMPUTED_VALUE"""),153919434)</f>
        <v>153919434</v>
      </c>
      <c r="L217" s="72">
        <f ca="1">IFERROR(__xludf.DUMMYFUNCTION("""COMPUTED_VALUE"""),1)</f>
        <v>1</v>
      </c>
      <c r="M217" s="10">
        <f ca="1">IFERROR(__xludf.DUMMYFUNCTION("""COMPUTED_VALUE"""),640)</f>
        <v>640</v>
      </c>
      <c r="N217" s="10" t="str">
        <f ca="1">IFERROR(__xludf.DUMMYFUNCTION("""COMPUTED_VALUE"""),"PMU")</f>
        <v>PMU</v>
      </c>
      <c r="O217" s="1"/>
      <c r="P217" s="1"/>
      <c r="Q217" s="1"/>
      <c r="R217" s="1"/>
      <c r="S217" s="1"/>
      <c r="T217" s="1"/>
      <c r="U217" s="1"/>
      <c r="V217" s="1"/>
      <c r="W217" s="1"/>
      <c r="X217" s="1"/>
      <c r="Y217" s="1"/>
      <c r="Z217" s="1"/>
    </row>
    <row r="218" spans="1:26" ht="12.75" customHeight="1">
      <c r="A218" s="1"/>
      <c r="B218" s="10" t="str">
        <f ca="1">IFERROR(__xludf.DUMMYFUNCTION("""COMPUTED_VALUE"""),"MEJORAMIENTO ESPACIO PÚBLICO EISENHOWER PCSV")</f>
        <v>MEJORAMIENTO ESPACIO PÚBLICO EISENHOWER PCSV</v>
      </c>
      <c r="C218" s="10" t="str">
        <f ca="1">IFERROR(__xludf.DUMMYFUNCTION("""COMPUTED_VALUE"""),"1-C-2023-2314")</f>
        <v>1-C-2023-2314</v>
      </c>
      <c r="D218" s="26" t="str">
        <f t="shared" ca="1" si="0"/>
        <v xml:space="preserve"> LA GRANJA</v>
      </c>
      <c r="E218" s="10" t="str">
        <f ca="1">IFERROR(__xludf.DUMMYFUNCTION("""COMPUTED_VALUE"""),"Guía Operativa")</f>
        <v>Guía Operativa</v>
      </c>
      <c r="F218" s="10" t="str">
        <f ca="1">IFERROR(__xludf.DUMMYFUNCTION("""COMPUTED_VALUE"""),"MUNICIPALIDAD DE LA GRANJA")</f>
        <v>MUNICIPALIDAD DE LA GRANJA</v>
      </c>
      <c r="G218" s="71">
        <f ca="1">IFERROR(__xludf.DUMMYFUNCTION("""COMPUTED_VALUE"""),109988066)</f>
        <v>109988066</v>
      </c>
      <c r="H218" s="10" t="str">
        <f ca="1">IFERROR(__xludf.DUMMYFUNCTION("""COMPUTED_VALUE"""),"Resolución")</f>
        <v>Resolución</v>
      </c>
      <c r="I218" s="10" t="str">
        <f ca="1">IFERROR(__xludf.DUMMYFUNCTION("""COMPUTED_VALUE"""),"OBRA")</f>
        <v>OBRA</v>
      </c>
      <c r="J218" s="10" t="str">
        <f ca="1">IFERROR(__xludf.DUMMYFUNCTION("""COMPUTED_VALUE"""),"Cumplir con normativa y reglamentos internos del programa en base a los objetivos.")</f>
        <v>Cumplir con normativa y reglamentos internos del programa en base a los objetivos.</v>
      </c>
      <c r="K218" s="71">
        <f ca="1">IFERROR(__xludf.DUMMYFUNCTION("""COMPUTED_VALUE"""),109988066)</f>
        <v>109988066</v>
      </c>
      <c r="L218" s="72">
        <f ca="1">IFERROR(__xludf.DUMMYFUNCTION("""COMPUTED_VALUE"""),1)</f>
        <v>1</v>
      </c>
      <c r="M218" s="10">
        <f ca="1">IFERROR(__xludf.DUMMYFUNCTION("""COMPUTED_VALUE"""),640)</f>
        <v>640</v>
      </c>
      <c r="N218" s="10" t="str">
        <f ca="1">IFERROR(__xludf.DUMMYFUNCTION("""COMPUTED_VALUE"""),"PMU")</f>
        <v>PMU</v>
      </c>
      <c r="O218" s="1"/>
      <c r="P218" s="1"/>
      <c r="Q218" s="1"/>
      <c r="R218" s="1"/>
      <c r="S218" s="1"/>
      <c r="T218" s="1"/>
      <c r="U218" s="1"/>
      <c r="V218" s="1"/>
      <c r="W218" s="1"/>
      <c r="X218" s="1"/>
      <c r="Y218" s="1"/>
      <c r="Z218" s="1"/>
    </row>
    <row r="219" spans="1:26" ht="12.75" customHeight="1">
      <c r="A219" s="1"/>
      <c r="B219" s="10" t="str">
        <f ca="1">IFERROR(__xludf.DUMMYFUNCTION("""COMPUTED_VALUE"""),"(CSV) REPOSICIÓN CIERRO PERIMETRAL Y DEMARCACIÓN MULTICANCHA ESPACIO RECREATIVO Y CULTURAL VÍCTOR JARA")</f>
        <v>(CSV) REPOSICIÓN CIERRO PERIMETRAL Y DEMARCACIÓN MULTICANCHA ESPACIO RECREATIVO Y CULTURAL VÍCTOR JARA</v>
      </c>
      <c r="C219" s="10" t="str">
        <f ca="1">IFERROR(__xludf.DUMMYFUNCTION("""COMPUTED_VALUE"""),"1-C-2023-2322")</f>
        <v>1-C-2023-2322</v>
      </c>
      <c r="D219" s="26" t="str">
        <f t="shared" ca="1" si="0"/>
        <v xml:space="preserve"> PEÑALOLÉN</v>
      </c>
      <c r="E219" s="10" t="str">
        <f ca="1">IFERROR(__xludf.DUMMYFUNCTION("""COMPUTED_VALUE"""),"Guía Operativa")</f>
        <v>Guía Operativa</v>
      </c>
      <c r="F219" s="10" t="str">
        <f ca="1">IFERROR(__xludf.DUMMYFUNCTION("""COMPUTED_VALUE"""),"MUNICIPALIDAD DE PEÑALOLÉN")</f>
        <v>MUNICIPALIDAD DE PEÑALOLÉN</v>
      </c>
      <c r="G219" s="71">
        <f ca="1">IFERROR(__xludf.DUMMYFUNCTION("""COMPUTED_VALUE"""),28329503)</f>
        <v>28329503</v>
      </c>
      <c r="H219" s="10" t="str">
        <f ca="1">IFERROR(__xludf.DUMMYFUNCTION("""COMPUTED_VALUE"""),"Resolución")</f>
        <v>Resolución</v>
      </c>
      <c r="I219" s="10" t="str">
        <f ca="1">IFERROR(__xludf.DUMMYFUNCTION("""COMPUTED_VALUE"""),"OBRA")</f>
        <v>OBRA</v>
      </c>
      <c r="J219" s="10" t="str">
        <f ca="1">IFERROR(__xludf.DUMMYFUNCTION("""COMPUTED_VALUE"""),"Cumplir con normativa y reglamentos internos del programa en base a los objetivos.")</f>
        <v>Cumplir con normativa y reglamentos internos del programa en base a los objetivos.</v>
      </c>
      <c r="K219" s="71">
        <f ca="1">IFERROR(__xludf.DUMMYFUNCTION("""COMPUTED_VALUE"""),28329503)</f>
        <v>28329503</v>
      </c>
      <c r="L219" s="72">
        <f ca="1">IFERROR(__xludf.DUMMYFUNCTION("""COMPUTED_VALUE"""),1)</f>
        <v>1</v>
      </c>
      <c r="M219" s="10">
        <f ca="1">IFERROR(__xludf.DUMMYFUNCTION("""COMPUTED_VALUE"""),641)</f>
        <v>641</v>
      </c>
      <c r="N219" s="10" t="str">
        <f ca="1">IFERROR(__xludf.DUMMYFUNCTION("""COMPUTED_VALUE"""),"PMU")</f>
        <v>PMU</v>
      </c>
      <c r="O219" s="1"/>
      <c r="P219" s="1"/>
      <c r="Q219" s="1"/>
      <c r="R219" s="1"/>
      <c r="S219" s="1"/>
      <c r="T219" s="1"/>
      <c r="U219" s="1"/>
      <c r="V219" s="1"/>
      <c r="W219" s="1"/>
      <c r="X219" s="1"/>
      <c r="Y219" s="1"/>
      <c r="Z219" s="1"/>
    </row>
    <row r="220" spans="1:26" ht="12.75" customHeight="1">
      <c r="A220" s="1"/>
      <c r="B220" s="10" t="str">
        <f ca="1">IFERROR(__xludf.DUMMYFUNCTION("""COMPUTED_VALUE"""),"MEJORAMIENTO DE ILUMINACIÓN EN COPROPIEDADES SECTOR INGENIERO MARIO DÍAZ, SAN JOAQUÍN")</f>
        <v>MEJORAMIENTO DE ILUMINACIÓN EN COPROPIEDADES SECTOR INGENIERO MARIO DÍAZ, SAN JOAQUÍN</v>
      </c>
      <c r="C220" s="10" t="str">
        <f ca="1">IFERROR(__xludf.DUMMYFUNCTION("""COMPUTED_VALUE"""),"1-C-2023-2339")</f>
        <v>1-C-2023-2339</v>
      </c>
      <c r="D220" s="26" t="str">
        <f t="shared" ca="1" si="0"/>
        <v xml:space="preserve"> SAN JOAQUÍN</v>
      </c>
      <c r="E220" s="10" t="str">
        <f ca="1">IFERROR(__xludf.DUMMYFUNCTION("""COMPUTED_VALUE"""),"Guía Operativa")</f>
        <v>Guía Operativa</v>
      </c>
      <c r="F220" s="10" t="str">
        <f ca="1">IFERROR(__xludf.DUMMYFUNCTION("""COMPUTED_VALUE"""),"MUNICIPALIDAD DE SAN JOAQUÍN")</f>
        <v>MUNICIPALIDAD DE SAN JOAQUÍN</v>
      </c>
      <c r="G220" s="71">
        <f ca="1">IFERROR(__xludf.DUMMYFUNCTION("""COMPUTED_VALUE"""),68704696)</f>
        <v>68704696</v>
      </c>
      <c r="H220" s="10" t="str">
        <f ca="1">IFERROR(__xludf.DUMMYFUNCTION("""COMPUTED_VALUE"""),"Resolución")</f>
        <v>Resolución</v>
      </c>
      <c r="I220" s="10" t="str">
        <f ca="1">IFERROR(__xludf.DUMMYFUNCTION("""COMPUTED_VALUE"""),"OBRA")</f>
        <v>OBRA</v>
      </c>
      <c r="J220" s="10" t="str">
        <f ca="1">IFERROR(__xludf.DUMMYFUNCTION("""COMPUTED_VALUE"""),"Cumplir con normativa y reglamentos internos del programa en base a los objetivos.")</f>
        <v>Cumplir con normativa y reglamentos internos del programa en base a los objetivos.</v>
      </c>
      <c r="K220" s="71">
        <f ca="1">IFERROR(__xludf.DUMMYFUNCTION("""COMPUTED_VALUE"""),68704696)</f>
        <v>68704696</v>
      </c>
      <c r="L220" s="72">
        <f ca="1">IFERROR(__xludf.DUMMYFUNCTION("""COMPUTED_VALUE"""),1)</f>
        <v>1</v>
      </c>
      <c r="M220" s="10">
        <f ca="1">IFERROR(__xludf.DUMMYFUNCTION("""COMPUTED_VALUE"""),835)</f>
        <v>835</v>
      </c>
      <c r="N220" s="10" t="str">
        <f ca="1">IFERROR(__xludf.DUMMYFUNCTION("""COMPUTED_VALUE"""),"PMU")</f>
        <v>PMU</v>
      </c>
      <c r="O220" s="1"/>
      <c r="P220" s="1"/>
      <c r="Q220" s="1"/>
      <c r="R220" s="1"/>
      <c r="S220" s="1"/>
      <c r="T220" s="1"/>
      <c r="U220" s="1"/>
      <c r="V220" s="1"/>
      <c r="W220" s="1"/>
      <c r="X220" s="1"/>
      <c r="Y220" s="1"/>
      <c r="Z220" s="1"/>
    </row>
    <row r="221" spans="1:26" ht="12.75" customHeight="1">
      <c r="A221" s="1"/>
      <c r="B221" s="10" t="str">
        <f ca="1">IFERROR(__xludf.DUMMYFUNCTION("""COMPUTED_VALUE"""),"MEJORAMIENTO ILUMINACIÓN PEATONAL EN DIVERSOS PUNTOS DE SAN JOAQUÍN")</f>
        <v>MEJORAMIENTO ILUMINACIÓN PEATONAL EN DIVERSOS PUNTOS DE SAN JOAQUÍN</v>
      </c>
      <c r="C221" s="10" t="str">
        <f ca="1">IFERROR(__xludf.DUMMYFUNCTION("""COMPUTED_VALUE"""),"1-C-2023-2342")</f>
        <v>1-C-2023-2342</v>
      </c>
      <c r="D221" s="26" t="str">
        <f t="shared" ca="1" si="0"/>
        <v xml:space="preserve"> SAN JOAQUÍN</v>
      </c>
      <c r="E221" s="10" t="str">
        <f ca="1">IFERROR(__xludf.DUMMYFUNCTION("""COMPUTED_VALUE"""),"Guía Operativa")</f>
        <v>Guía Operativa</v>
      </c>
      <c r="F221" s="10" t="str">
        <f ca="1">IFERROR(__xludf.DUMMYFUNCTION("""COMPUTED_VALUE"""),"MUNICIPALIDAD DE SAN JOAQUÍN")</f>
        <v>MUNICIPALIDAD DE SAN JOAQUÍN</v>
      </c>
      <c r="G221" s="71">
        <f ca="1">IFERROR(__xludf.DUMMYFUNCTION("""COMPUTED_VALUE"""),151222487)</f>
        <v>151222487</v>
      </c>
      <c r="H221" s="10" t="str">
        <f ca="1">IFERROR(__xludf.DUMMYFUNCTION("""COMPUTED_VALUE"""),"Resolución")</f>
        <v>Resolución</v>
      </c>
      <c r="I221" s="10" t="str">
        <f ca="1">IFERROR(__xludf.DUMMYFUNCTION("""COMPUTED_VALUE"""),"OBRA")</f>
        <v>OBRA</v>
      </c>
      <c r="J221" s="10" t="str">
        <f ca="1">IFERROR(__xludf.DUMMYFUNCTION("""COMPUTED_VALUE"""),"Cumplir con normativa y reglamentos internos del programa en base a los objetivos.")</f>
        <v>Cumplir con normativa y reglamentos internos del programa en base a los objetivos.</v>
      </c>
      <c r="K221" s="71">
        <f ca="1">IFERROR(__xludf.DUMMYFUNCTION("""COMPUTED_VALUE"""),151222487)</f>
        <v>151222487</v>
      </c>
      <c r="L221" s="72">
        <f ca="1">IFERROR(__xludf.DUMMYFUNCTION("""COMPUTED_VALUE"""),1)</f>
        <v>1</v>
      </c>
      <c r="M221" s="10">
        <f ca="1">IFERROR(__xludf.DUMMYFUNCTION("""COMPUTED_VALUE"""),1742)</f>
        <v>1742</v>
      </c>
      <c r="N221" s="10" t="str">
        <f ca="1">IFERROR(__xludf.DUMMYFUNCTION("""COMPUTED_VALUE"""),"PMU")</f>
        <v>PMU</v>
      </c>
      <c r="O221" s="1"/>
      <c r="P221" s="1"/>
      <c r="Q221" s="1"/>
      <c r="R221" s="1"/>
      <c r="S221" s="1"/>
      <c r="T221" s="1"/>
      <c r="U221" s="1"/>
      <c r="V221" s="1"/>
      <c r="W221" s="1"/>
      <c r="X221" s="1"/>
      <c r="Y221" s="1"/>
      <c r="Z221" s="1"/>
    </row>
    <row r="222" spans="1:26" ht="12.75" customHeight="1">
      <c r="A222" s="1"/>
      <c r="B222" s="10" t="str">
        <f ca="1">IFERROR(__xludf.DUMMYFUNCTION("""COMPUTED_VALUE"""),"MEJORAMIENTO DE ILUMINACIÓN AV. LO OVALLE, SAN JOAQUÍN")</f>
        <v>MEJORAMIENTO DE ILUMINACIÓN AV. LO OVALLE, SAN JOAQUÍN</v>
      </c>
      <c r="C222" s="10" t="str">
        <f ca="1">IFERROR(__xludf.DUMMYFUNCTION("""COMPUTED_VALUE"""),"1-C-2023-2343")</f>
        <v>1-C-2023-2343</v>
      </c>
      <c r="D222" s="26" t="str">
        <f t="shared" ca="1" si="0"/>
        <v xml:space="preserve"> SAN JOAQUÍN</v>
      </c>
      <c r="E222" s="10" t="str">
        <f ca="1">IFERROR(__xludf.DUMMYFUNCTION("""COMPUTED_VALUE"""),"Guía Operativa")</f>
        <v>Guía Operativa</v>
      </c>
      <c r="F222" s="10" t="str">
        <f ca="1">IFERROR(__xludf.DUMMYFUNCTION("""COMPUTED_VALUE"""),"MUNICIPALIDAD DE SAN JOAQUÍN")</f>
        <v>MUNICIPALIDAD DE SAN JOAQUÍN</v>
      </c>
      <c r="G222" s="71">
        <f ca="1">IFERROR(__xludf.DUMMYFUNCTION("""COMPUTED_VALUE"""),82620796)</f>
        <v>82620796</v>
      </c>
      <c r="H222" s="10" t="str">
        <f ca="1">IFERROR(__xludf.DUMMYFUNCTION("""COMPUTED_VALUE"""),"Resolución")</f>
        <v>Resolución</v>
      </c>
      <c r="I222" s="10" t="str">
        <f ca="1">IFERROR(__xludf.DUMMYFUNCTION("""COMPUTED_VALUE"""),"OBRA")</f>
        <v>OBRA</v>
      </c>
      <c r="J222" s="10" t="str">
        <f ca="1">IFERROR(__xludf.DUMMYFUNCTION("""COMPUTED_VALUE"""),"Cumplir con normativa y reglamentos internos del programa en base a los objetivos.")</f>
        <v>Cumplir con normativa y reglamentos internos del programa en base a los objetivos.</v>
      </c>
      <c r="K222" s="71">
        <f ca="1">IFERROR(__xludf.DUMMYFUNCTION("""COMPUTED_VALUE"""),82620796)</f>
        <v>82620796</v>
      </c>
      <c r="L222" s="72">
        <f ca="1">IFERROR(__xludf.DUMMYFUNCTION("""COMPUTED_VALUE"""),1)</f>
        <v>1</v>
      </c>
      <c r="M222" s="10">
        <f ca="1">IFERROR(__xludf.DUMMYFUNCTION("""COMPUTED_VALUE"""),835)</f>
        <v>835</v>
      </c>
      <c r="N222" s="10" t="str">
        <f ca="1">IFERROR(__xludf.DUMMYFUNCTION("""COMPUTED_VALUE"""),"PMU")</f>
        <v>PMU</v>
      </c>
      <c r="O222" s="1"/>
      <c r="P222" s="1"/>
      <c r="Q222" s="1"/>
      <c r="R222" s="1"/>
      <c r="S222" s="1"/>
      <c r="T222" s="1"/>
      <c r="U222" s="1"/>
      <c r="V222" s="1"/>
      <c r="W222" s="1"/>
      <c r="X222" s="1"/>
      <c r="Y222" s="1"/>
      <c r="Z222" s="1"/>
    </row>
    <row r="223" spans="1:26" ht="12.75" customHeight="1">
      <c r="A223" s="1"/>
      <c r="B223" s="10" t="str">
        <f ca="1">IFERROR(__xludf.DUMMYFUNCTION("""COMPUTED_VALUE"""),"INSTALACIÓN DE LUMINARIAS PEATONALES LED EN CALLE MAR DE CHILE, ENTRE COSTANERA SUR Y RÍO DOURO")</f>
        <v>INSTALACIÓN DE LUMINARIAS PEATONALES LED EN CALLE MAR DE CHILE, ENTRE COSTANERA SUR Y RÍO DOURO</v>
      </c>
      <c r="C223" s="10" t="str">
        <f ca="1">IFERROR(__xludf.DUMMYFUNCTION("""COMPUTED_VALUE"""),"1-C-2023-2358")</f>
        <v>1-C-2023-2358</v>
      </c>
      <c r="D223" s="26" t="str">
        <f t="shared" ca="1" si="0"/>
        <v xml:space="preserve"> CERRO NAVIA</v>
      </c>
      <c r="E223" s="10" t="str">
        <f ca="1">IFERROR(__xludf.DUMMYFUNCTION("""COMPUTED_VALUE"""),"Guía Operativa")</f>
        <v>Guía Operativa</v>
      </c>
      <c r="F223" s="10" t="str">
        <f ca="1">IFERROR(__xludf.DUMMYFUNCTION("""COMPUTED_VALUE"""),"MUNICIPALIDAD DE CERRO NAVIA")</f>
        <v>MUNICIPALIDAD DE CERRO NAVIA</v>
      </c>
      <c r="G223" s="71">
        <f ca="1">IFERROR(__xludf.DUMMYFUNCTION("""COMPUTED_VALUE"""),118724999)</f>
        <v>118724999</v>
      </c>
      <c r="H223" s="10" t="str">
        <f ca="1">IFERROR(__xludf.DUMMYFUNCTION("""COMPUTED_VALUE"""),"Resolución")</f>
        <v>Resolución</v>
      </c>
      <c r="I223" s="10" t="str">
        <f ca="1">IFERROR(__xludf.DUMMYFUNCTION("""COMPUTED_VALUE"""),"OBRA")</f>
        <v>OBRA</v>
      </c>
      <c r="J223" s="10" t="str">
        <f ca="1">IFERROR(__xludf.DUMMYFUNCTION("""COMPUTED_VALUE"""),"Cumplir con normativa y reglamentos internos del programa en base a los objetivos.")</f>
        <v>Cumplir con normativa y reglamentos internos del programa en base a los objetivos.</v>
      </c>
      <c r="K223" s="71">
        <f ca="1">IFERROR(__xludf.DUMMYFUNCTION("""COMPUTED_VALUE"""),118724999)</f>
        <v>118724999</v>
      </c>
      <c r="L223" s="72">
        <f ca="1">IFERROR(__xludf.DUMMYFUNCTION("""COMPUTED_VALUE"""),1)</f>
        <v>1</v>
      </c>
      <c r="M223" s="10">
        <f ca="1">IFERROR(__xludf.DUMMYFUNCTION("""COMPUTED_VALUE"""),824)</f>
        <v>824</v>
      </c>
      <c r="N223" s="10" t="str">
        <f ca="1">IFERROR(__xludf.DUMMYFUNCTION("""COMPUTED_VALUE"""),"PMU")</f>
        <v>PMU</v>
      </c>
      <c r="O223" s="1"/>
      <c r="P223" s="1"/>
      <c r="Q223" s="1"/>
      <c r="R223" s="1"/>
      <c r="S223" s="1"/>
      <c r="T223" s="1"/>
      <c r="U223" s="1"/>
      <c r="V223" s="1"/>
      <c r="W223" s="1"/>
      <c r="X223" s="1"/>
      <c r="Y223" s="1"/>
      <c r="Z223" s="1"/>
    </row>
    <row r="224" spans="1:26" ht="12.75" customHeight="1">
      <c r="A224" s="1"/>
      <c r="B224" s="10" t="str">
        <f ca="1">IFERROR(__xludf.DUMMYFUNCTION("""COMPUTED_VALUE"""),"INSTALACIÓN DE LUMINARIAS PEATONALES LED EN CALLE SERRANO, ENTRE COSTANERA SUR Y RÍO DOURO")</f>
        <v>INSTALACIÓN DE LUMINARIAS PEATONALES LED EN CALLE SERRANO, ENTRE COSTANERA SUR Y RÍO DOURO</v>
      </c>
      <c r="C224" s="10" t="str">
        <f ca="1">IFERROR(__xludf.DUMMYFUNCTION("""COMPUTED_VALUE"""),"1-C-2023-2360")</f>
        <v>1-C-2023-2360</v>
      </c>
      <c r="D224" s="26" t="str">
        <f t="shared" ca="1" si="0"/>
        <v xml:space="preserve"> CERRO NAVIA</v>
      </c>
      <c r="E224" s="10" t="str">
        <f ca="1">IFERROR(__xludf.DUMMYFUNCTION("""COMPUTED_VALUE"""),"Guía Operativa")</f>
        <v>Guía Operativa</v>
      </c>
      <c r="F224" s="10" t="str">
        <f ca="1">IFERROR(__xludf.DUMMYFUNCTION("""COMPUTED_VALUE"""),"MUNICIPALIDAD DE CERRO NAVIA")</f>
        <v>MUNICIPALIDAD DE CERRO NAVIA</v>
      </c>
      <c r="G224" s="71">
        <f ca="1">IFERROR(__xludf.DUMMYFUNCTION("""COMPUTED_VALUE"""),109267332)</f>
        <v>109267332</v>
      </c>
      <c r="H224" s="10" t="str">
        <f ca="1">IFERROR(__xludf.DUMMYFUNCTION("""COMPUTED_VALUE"""),"Resolución")</f>
        <v>Resolución</v>
      </c>
      <c r="I224" s="10" t="str">
        <f ca="1">IFERROR(__xludf.DUMMYFUNCTION("""COMPUTED_VALUE"""),"OBRA")</f>
        <v>OBRA</v>
      </c>
      <c r="J224" s="10" t="str">
        <f ca="1">IFERROR(__xludf.DUMMYFUNCTION("""COMPUTED_VALUE"""),"Cumplir con normativa y reglamentos internos del programa en base a los objetivos.")</f>
        <v>Cumplir con normativa y reglamentos internos del programa en base a los objetivos.</v>
      </c>
      <c r="K224" s="71">
        <f ca="1">IFERROR(__xludf.DUMMYFUNCTION("""COMPUTED_VALUE"""),109267332)</f>
        <v>109267332</v>
      </c>
      <c r="L224" s="72">
        <f ca="1">IFERROR(__xludf.DUMMYFUNCTION("""COMPUTED_VALUE"""),1)</f>
        <v>1</v>
      </c>
      <c r="M224" s="10">
        <f ca="1">IFERROR(__xludf.DUMMYFUNCTION("""COMPUTED_VALUE"""),824)</f>
        <v>824</v>
      </c>
      <c r="N224" s="10" t="str">
        <f ca="1">IFERROR(__xludf.DUMMYFUNCTION("""COMPUTED_VALUE"""),"PMU")</f>
        <v>PMU</v>
      </c>
      <c r="O224" s="1"/>
      <c r="P224" s="1"/>
      <c r="Q224" s="1"/>
      <c r="R224" s="1"/>
      <c r="S224" s="1"/>
      <c r="T224" s="1"/>
      <c r="U224" s="1"/>
      <c r="V224" s="1"/>
      <c r="W224" s="1"/>
      <c r="X224" s="1"/>
      <c r="Y224" s="1"/>
      <c r="Z224" s="1"/>
    </row>
    <row r="225" spans="1:26" ht="12.75" customHeight="1">
      <c r="A225" s="1"/>
      <c r="B225" s="10" t="str">
        <f ca="1">IFERROR(__xludf.DUMMYFUNCTION("""COMPUTED_VALUE"""),"INSTALACIÓN DE LUMINARIAS PEATONALES LED EN CALLE DOCTOR AVENDAÑO, ENTRE COSTANERA SUR Y FANALOZA")</f>
        <v>INSTALACIÓN DE LUMINARIAS PEATONALES LED EN CALLE DOCTOR AVENDAÑO, ENTRE COSTANERA SUR Y FANALOZA</v>
      </c>
      <c r="C225" s="10" t="str">
        <f ca="1">IFERROR(__xludf.DUMMYFUNCTION("""COMPUTED_VALUE"""),"1-C-2023-2361")</f>
        <v>1-C-2023-2361</v>
      </c>
      <c r="D225" s="26" t="str">
        <f t="shared" ca="1" si="0"/>
        <v xml:space="preserve"> CERRO NAVIA</v>
      </c>
      <c r="E225" s="10" t="str">
        <f ca="1">IFERROR(__xludf.DUMMYFUNCTION("""COMPUTED_VALUE"""),"Guía Operativa")</f>
        <v>Guía Operativa</v>
      </c>
      <c r="F225" s="10" t="str">
        <f ca="1">IFERROR(__xludf.DUMMYFUNCTION("""COMPUTED_VALUE"""),"MUNICIPALIDAD DE CERRO NAVIA")</f>
        <v>MUNICIPALIDAD DE CERRO NAVIA</v>
      </c>
      <c r="G225" s="71">
        <f ca="1">IFERROR(__xludf.DUMMYFUNCTION("""COMPUTED_VALUE"""),110928084)</f>
        <v>110928084</v>
      </c>
      <c r="H225" s="10" t="str">
        <f ca="1">IFERROR(__xludf.DUMMYFUNCTION("""COMPUTED_VALUE"""),"Resolución")</f>
        <v>Resolución</v>
      </c>
      <c r="I225" s="10" t="str">
        <f ca="1">IFERROR(__xludf.DUMMYFUNCTION("""COMPUTED_VALUE"""),"OBRA")</f>
        <v>OBRA</v>
      </c>
      <c r="J225" s="10" t="str">
        <f ca="1">IFERROR(__xludf.DUMMYFUNCTION("""COMPUTED_VALUE"""),"Cumplir con normativa y reglamentos internos del programa en base a los objetivos.")</f>
        <v>Cumplir con normativa y reglamentos internos del programa en base a los objetivos.</v>
      </c>
      <c r="K225" s="71">
        <f ca="1">IFERROR(__xludf.DUMMYFUNCTION("""COMPUTED_VALUE"""),110928084)</f>
        <v>110928084</v>
      </c>
      <c r="L225" s="72">
        <f ca="1">IFERROR(__xludf.DUMMYFUNCTION("""COMPUTED_VALUE"""),1)</f>
        <v>1</v>
      </c>
      <c r="M225" s="10">
        <f ca="1">IFERROR(__xludf.DUMMYFUNCTION("""COMPUTED_VALUE"""),824)</f>
        <v>824</v>
      </c>
      <c r="N225" s="10" t="str">
        <f ca="1">IFERROR(__xludf.DUMMYFUNCTION("""COMPUTED_VALUE"""),"PMU")</f>
        <v>PMU</v>
      </c>
      <c r="O225" s="1"/>
      <c r="P225" s="1"/>
      <c r="Q225" s="1"/>
      <c r="R225" s="1"/>
      <c r="S225" s="1"/>
      <c r="T225" s="1"/>
      <c r="U225" s="1"/>
      <c r="V225" s="1"/>
      <c r="W225" s="1"/>
      <c r="X225" s="1"/>
      <c r="Y225" s="1"/>
      <c r="Z225" s="1"/>
    </row>
    <row r="226" spans="1:26" ht="12.75" customHeight="1">
      <c r="A226" s="1"/>
      <c r="B226" s="10" t="str">
        <f ca="1">IFERROR(__xludf.DUMMYFUNCTION("""COMPUTED_VALUE"""),"INSTALACIÓN DE LUMINARIAS PEATONALES LED EN CALLE SANTOS LUIS MEDEL, ENTRE COSTANERA SUR Y MAPOCHO")</f>
        <v>INSTALACIÓN DE LUMINARIAS PEATONALES LED EN CALLE SANTOS LUIS MEDEL, ENTRE COSTANERA SUR Y MAPOCHO</v>
      </c>
      <c r="C226" s="10" t="str">
        <f ca="1">IFERROR(__xludf.DUMMYFUNCTION("""COMPUTED_VALUE"""),"1-C-2023-2362")</f>
        <v>1-C-2023-2362</v>
      </c>
      <c r="D226" s="26" t="str">
        <f t="shared" ca="1" si="0"/>
        <v xml:space="preserve"> CERRO NAVIA</v>
      </c>
      <c r="E226" s="10" t="str">
        <f ca="1">IFERROR(__xludf.DUMMYFUNCTION("""COMPUTED_VALUE"""),"Guía Operativa")</f>
        <v>Guía Operativa</v>
      </c>
      <c r="F226" s="10" t="str">
        <f ca="1">IFERROR(__xludf.DUMMYFUNCTION("""COMPUTED_VALUE"""),"MUNICIPALIDAD DE CERRO NAVIA")</f>
        <v>MUNICIPALIDAD DE CERRO NAVIA</v>
      </c>
      <c r="G226" s="71">
        <f ca="1">IFERROR(__xludf.DUMMYFUNCTION("""COMPUTED_VALUE"""),144233392)</f>
        <v>144233392</v>
      </c>
      <c r="H226" s="10" t="str">
        <f ca="1">IFERROR(__xludf.DUMMYFUNCTION("""COMPUTED_VALUE"""),"Resolución")</f>
        <v>Resolución</v>
      </c>
      <c r="I226" s="10" t="str">
        <f ca="1">IFERROR(__xludf.DUMMYFUNCTION("""COMPUTED_VALUE"""),"OBRA")</f>
        <v>OBRA</v>
      </c>
      <c r="J226" s="10" t="str">
        <f ca="1">IFERROR(__xludf.DUMMYFUNCTION("""COMPUTED_VALUE"""),"Cumplir con normativa y reglamentos internos del programa en base a los objetivos.")</f>
        <v>Cumplir con normativa y reglamentos internos del programa en base a los objetivos.</v>
      </c>
      <c r="K226" s="71">
        <f ca="1">IFERROR(__xludf.DUMMYFUNCTION("""COMPUTED_VALUE"""),144233392)</f>
        <v>144233392</v>
      </c>
      <c r="L226" s="72">
        <f ca="1">IFERROR(__xludf.DUMMYFUNCTION("""COMPUTED_VALUE"""),1)</f>
        <v>1</v>
      </c>
      <c r="M226" s="10">
        <f ca="1">IFERROR(__xludf.DUMMYFUNCTION("""COMPUTED_VALUE"""),824)</f>
        <v>824</v>
      </c>
      <c r="N226" s="10" t="str">
        <f ca="1">IFERROR(__xludf.DUMMYFUNCTION("""COMPUTED_VALUE"""),"PMU")</f>
        <v>PMU</v>
      </c>
      <c r="O226" s="1"/>
      <c r="P226" s="1"/>
      <c r="Q226" s="1"/>
      <c r="R226" s="1"/>
      <c r="S226" s="1"/>
      <c r="T226" s="1"/>
      <c r="U226" s="1"/>
      <c r="V226" s="1"/>
      <c r="W226" s="1"/>
      <c r="X226" s="1"/>
      <c r="Y226" s="1"/>
      <c r="Z226" s="1"/>
    </row>
    <row r="227" spans="1:26" ht="12.75" customHeight="1">
      <c r="A227" s="1"/>
      <c r="B227" s="10" t="str">
        <f ca="1">IFERROR(__xludf.DUMMYFUNCTION("""COMPUTED_VALUE"""),"CSV MEJORAMIENTO DE ILUMINACIÓN SANCHEZ FONTECILLA ENTRE AV GRECIA Y CAMILO MORI")</f>
        <v>CSV MEJORAMIENTO DE ILUMINACIÓN SANCHEZ FONTECILLA ENTRE AV GRECIA Y CAMILO MORI</v>
      </c>
      <c r="C227" s="10" t="str">
        <f ca="1">IFERROR(__xludf.DUMMYFUNCTION("""COMPUTED_VALUE"""),"1-C-2023-2379")</f>
        <v>1-C-2023-2379</v>
      </c>
      <c r="D227" s="26" t="str">
        <f t="shared" ca="1" si="0"/>
        <v xml:space="preserve"> PEÑALOLÉN</v>
      </c>
      <c r="E227" s="10" t="str">
        <f ca="1">IFERROR(__xludf.DUMMYFUNCTION("""COMPUTED_VALUE"""),"Guía Operativa")</f>
        <v>Guía Operativa</v>
      </c>
      <c r="F227" s="10" t="str">
        <f ca="1">IFERROR(__xludf.DUMMYFUNCTION("""COMPUTED_VALUE"""),"MUNICIPALIDAD DE PEÑALOLÉN")</f>
        <v>MUNICIPALIDAD DE PEÑALOLÉN</v>
      </c>
      <c r="G227" s="71">
        <f ca="1">IFERROR(__xludf.DUMMYFUNCTION("""COMPUTED_VALUE"""),117736097)</f>
        <v>117736097</v>
      </c>
      <c r="H227" s="10" t="str">
        <f ca="1">IFERROR(__xludf.DUMMYFUNCTION("""COMPUTED_VALUE"""),"Resolución")</f>
        <v>Resolución</v>
      </c>
      <c r="I227" s="10" t="str">
        <f ca="1">IFERROR(__xludf.DUMMYFUNCTION("""COMPUTED_VALUE"""),"OBRA")</f>
        <v>OBRA</v>
      </c>
      <c r="J227" s="10" t="str">
        <f ca="1">IFERROR(__xludf.DUMMYFUNCTION("""COMPUTED_VALUE"""),"Cumplir con normativa y reglamentos internos del programa en base a los objetivos.")</f>
        <v>Cumplir con normativa y reglamentos internos del programa en base a los objetivos.</v>
      </c>
      <c r="K227" s="71">
        <f ca="1">IFERROR(__xludf.DUMMYFUNCTION("""COMPUTED_VALUE"""),117736097)</f>
        <v>117736097</v>
      </c>
      <c r="L227" s="72">
        <f ca="1">IFERROR(__xludf.DUMMYFUNCTION("""COMPUTED_VALUE"""),1)</f>
        <v>1</v>
      </c>
      <c r="M227" s="10">
        <f ca="1">IFERROR(__xludf.DUMMYFUNCTION("""COMPUTED_VALUE"""),641)</f>
        <v>641</v>
      </c>
      <c r="N227" s="10" t="str">
        <f ca="1">IFERROR(__xludf.DUMMYFUNCTION("""COMPUTED_VALUE"""),"PMU")</f>
        <v>PMU</v>
      </c>
      <c r="O227" s="1"/>
      <c r="P227" s="1"/>
      <c r="Q227" s="1"/>
      <c r="R227" s="1"/>
      <c r="S227" s="1"/>
      <c r="T227" s="1"/>
      <c r="U227" s="1"/>
      <c r="V227" s="1"/>
      <c r="W227" s="1"/>
      <c r="X227" s="1"/>
      <c r="Y227" s="1"/>
      <c r="Z227" s="1"/>
    </row>
    <row r="228" spans="1:26" ht="12.75" customHeight="1">
      <c r="A228" s="1"/>
      <c r="B228" s="10" t="str">
        <f ca="1">IFERROR(__xludf.DUMMYFUNCTION("""COMPUTED_VALUE"""),"MEJORAMIENTO DE ILUMINACIÓN EN ÁREAS VERDES CUADRANTE VENANCIA LEIVA- AV. SANTA ROSA - AV. OBSERVATORIO Y LA BANDERA, LA PINTANA")</f>
        <v>MEJORAMIENTO DE ILUMINACIÓN EN ÁREAS VERDES CUADRANTE VENANCIA LEIVA- AV. SANTA ROSA - AV. OBSERVATORIO Y LA BANDERA, LA PINTANA</v>
      </c>
      <c r="C228" s="10" t="str">
        <f ca="1">IFERROR(__xludf.DUMMYFUNCTION("""COMPUTED_VALUE"""),"1-C-2023-2411")</f>
        <v>1-C-2023-2411</v>
      </c>
      <c r="D228" s="26" t="str">
        <f t="shared" ca="1" si="0"/>
        <v xml:space="preserve"> LA PINTANA</v>
      </c>
      <c r="E228" s="10" t="str">
        <f ca="1">IFERROR(__xludf.DUMMYFUNCTION("""COMPUTED_VALUE"""),"Guía Operativa")</f>
        <v>Guía Operativa</v>
      </c>
      <c r="F228" s="10" t="str">
        <f ca="1">IFERROR(__xludf.DUMMYFUNCTION("""COMPUTED_VALUE"""),"MUNICIPALIDAD DE LA PINTANA")</f>
        <v>MUNICIPALIDAD DE LA PINTANA</v>
      </c>
      <c r="G228" s="71">
        <f ca="1">IFERROR(__xludf.DUMMYFUNCTION("""COMPUTED_VALUE"""),100967009)</f>
        <v>100967009</v>
      </c>
      <c r="H228" s="10" t="str">
        <f ca="1">IFERROR(__xludf.DUMMYFUNCTION("""COMPUTED_VALUE"""),"Resolución")</f>
        <v>Resolución</v>
      </c>
      <c r="I228" s="10" t="str">
        <f ca="1">IFERROR(__xludf.DUMMYFUNCTION("""COMPUTED_VALUE"""),"OBRA")</f>
        <v>OBRA</v>
      </c>
      <c r="J228" s="10" t="str">
        <f ca="1">IFERROR(__xludf.DUMMYFUNCTION("""COMPUTED_VALUE"""),"Cumplir con normativa y reglamentos internos del programa en base a los objetivos.")</f>
        <v>Cumplir con normativa y reglamentos internos del programa en base a los objetivos.</v>
      </c>
      <c r="K228" s="71">
        <f ca="1">IFERROR(__xludf.DUMMYFUNCTION("""COMPUTED_VALUE"""),100967009)</f>
        <v>100967009</v>
      </c>
      <c r="L228" s="72">
        <f ca="1">IFERROR(__xludf.DUMMYFUNCTION("""COMPUTED_VALUE"""),1)</f>
        <v>1</v>
      </c>
      <c r="M228" s="10">
        <f ca="1">IFERROR(__xludf.DUMMYFUNCTION("""COMPUTED_VALUE"""),1360)</f>
        <v>1360</v>
      </c>
      <c r="N228" s="10" t="str">
        <f ca="1">IFERROR(__xludf.DUMMYFUNCTION("""COMPUTED_VALUE"""),"PMU")</f>
        <v>PMU</v>
      </c>
      <c r="O228" s="1"/>
      <c r="P228" s="1"/>
      <c r="Q228" s="1"/>
      <c r="R228" s="1"/>
      <c r="S228" s="1"/>
      <c r="T228" s="1"/>
      <c r="U228" s="1"/>
      <c r="V228" s="1"/>
      <c r="W228" s="1"/>
      <c r="X228" s="1"/>
      <c r="Y228" s="1"/>
      <c r="Z228" s="1"/>
    </row>
    <row r="229" spans="1:26" ht="12.75" customHeight="1">
      <c r="A229" s="1"/>
      <c r="B229" s="10" t="str">
        <f ca="1">IFERROR(__xludf.DUMMYFUNCTION("""COMPUTED_VALUE"""),"MEJORAMIENTO DE ILUMINACIÓN EN ÁREAS VERDES CUADRANTE VENANCIA LEIVA- LA BANDERA- AV. OBSERVATORIO Y SAN FRANCISCO, LA PINTANA")</f>
        <v>MEJORAMIENTO DE ILUMINACIÓN EN ÁREAS VERDES CUADRANTE VENANCIA LEIVA- LA BANDERA- AV. OBSERVATORIO Y SAN FRANCISCO, LA PINTANA</v>
      </c>
      <c r="C229" s="10" t="str">
        <f ca="1">IFERROR(__xludf.DUMMYFUNCTION("""COMPUTED_VALUE"""),"1-C-2023-2412")</f>
        <v>1-C-2023-2412</v>
      </c>
      <c r="D229" s="26" t="str">
        <f t="shared" ca="1" si="0"/>
        <v xml:space="preserve"> LA PINTANA</v>
      </c>
      <c r="E229" s="10" t="str">
        <f ca="1">IFERROR(__xludf.DUMMYFUNCTION("""COMPUTED_VALUE"""),"Guía Operativa")</f>
        <v>Guía Operativa</v>
      </c>
      <c r="F229" s="10" t="str">
        <f ca="1">IFERROR(__xludf.DUMMYFUNCTION("""COMPUTED_VALUE"""),"MUNICIPALIDAD DE LA PINTANA")</f>
        <v>MUNICIPALIDAD DE LA PINTANA</v>
      </c>
      <c r="G229" s="71">
        <f ca="1">IFERROR(__xludf.DUMMYFUNCTION("""COMPUTED_VALUE"""),105536167)</f>
        <v>105536167</v>
      </c>
      <c r="H229" s="10" t="str">
        <f ca="1">IFERROR(__xludf.DUMMYFUNCTION("""COMPUTED_VALUE"""),"Resolución")</f>
        <v>Resolución</v>
      </c>
      <c r="I229" s="10" t="str">
        <f ca="1">IFERROR(__xludf.DUMMYFUNCTION("""COMPUTED_VALUE"""),"OBRA")</f>
        <v>OBRA</v>
      </c>
      <c r="J229" s="10" t="str">
        <f ca="1">IFERROR(__xludf.DUMMYFUNCTION("""COMPUTED_VALUE"""),"Cumplir con normativa y reglamentos internos del programa en base a los objetivos.")</f>
        <v>Cumplir con normativa y reglamentos internos del programa en base a los objetivos.</v>
      </c>
      <c r="K229" s="71">
        <f ca="1">IFERROR(__xludf.DUMMYFUNCTION("""COMPUTED_VALUE"""),105536167)</f>
        <v>105536167</v>
      </c>
      <c r="L229" s="72">
        <f ca="1">IFERROR(__xludf.DUMMYFUNCTION("""COMPUTED_VALUE"""),1)</f>
        <v>1</v>
      </c>
      <c r="M229" s="10">
        <f ca="1">IFERROR(__xludf.DUMMYFUNCTION("""COMPUTED_VALUE"""),1360)</f>
        <v>1360</v>
      </c>
      <c r="N229" s="10" t="str">
        <f ca="1">IFERROR(__xludf.DUMMYFUNCTION("""COMPUTED_VALUE"""),"PMU")</f>
        <v>PMU</v>
      </c>
      <c r="O229" s="1"/>
      <c r="P229" s="1"/>
      <c r="Q229" s="1"/>
      <c r="R229" s="1"/>
      <c r="S229" s="1"/>
      <c r="T229" s="1"/>
      <c r="U229" s="1"/>
      <c r="V229" s="1"/>
      <c r="W229" s="1"/>
      <c r="X229" s="1"/>
      <c r="Y229" s="1"/>
      <c r="Z229" s="1"/>
    </row>
    <row r="230" spans="1:26" ht="12.75" customHeight="1">
      <c r="A230" s="1"/>
      <c r="B230" s="10" t="str">
        <f ca="1">IFERROR(__xludf.DUMMYFUNCTION("""COMPUTED_VALUE"""),"MEJORAMIENTO DE ILUMINACIÓN EN ÁREAS VERDES CUADRANTE SANTO TOMÁS- BAHÍA CATALINA- AV. OBSERVATORIO Y JOAQUÍN EDWARDS BELLO, LA PINTANA")</f>
        <v>MEJORAMIENTO DE ILUMINACIÓN EN ÁREAS VERDES CUADRANTE SANTO TOMÁS- BAHÍA CATALINA- AV. OBSERVATORIO Y JOAQUÍN EDWARDS BELLO, LA PINTANA</v>
      </c>
      <c r="C230" s="10" t="str">
        <f ca="1">IFERROR(__xludf.DUMMYFUNCTION("""COMPUTED_VALUE"""),"1-C-2023-2413")</f>
        <v>1-C-2023-2413</v>
      </c>
      <c r="D230" s="26" t="str">
        <f t="shared" ca="1" si="0"/>
        <v xml:space="preserve"> LA PINTANA</v>
      </c>
      <c r="E230" s="10" t="str">
        <f ca="1">IFERROR(__xludf.DUMMYFUNCTION("""COMPUTED_VALUE"""),"Guía Operativa")</f>
        <v>Guía Operativa</v>
      </c>
      <c r="F230" s="10" t="str">
        <f ca="1">IFERROR(__xludf.DUMMYFUNCTION("""COMPUTED_VALUE"""),"MUNICIPALIDAD DE LA PINTANA")</f>
        <v>MUNICIPALIDAD DE LA PINTANA</v>
      </c>
      <c r="G230" s="71">
        <f ca="1">IFERROR(__xludf.DUMMYFUNCTION("""COMPUTED_VALUE"""),154228699)</f>
        <v>154228699</v>
      </c>
      <c r="H230" s="10" t="str">
        <f ca="1">IFERROR(__xludf.DUMMYFUNCTION("""COMPUTED_VALUE"""),"Resolución")</f>
        <v>Resolución</v>
      </c>
      <c r="I230" s="10" t="str">
        <f ca="1">IFERROR(__xludf.DUMMYFUNCTION("""COMPUTED_VALUE"""),"OBRA")</f>
        <v>OBRA</v>
      </c>
      <c r="J230" s="10" t="str">
        <f ca="1">IFERROR(__xludf.DUMMYFUNCTION("""COMPUTED_VALUE"""),"Cumplir con normativa y reglamentos internos del programa en base a los objetivos.")</f>
        <v>Cumplir con normativa y reglamentos internos del programa en base a los objetivos.</v>
      </c>
      <c r="K230" s="71">
        <f ca="1">IFERROR(__xludf.DUMMYFUNCTION("""COMPUTED_VALUE"""),154228699)</f>
        <v>154228699</v>
      </c>
      <c r="L230" s="72">
        <f ca="1">IFERROR(__xludf.DUMMYFUNCTION("""COMPUTED_VALUE"""),1)</f>
        <v>1</v>
      </c>
      <c r="M230" s="10">
        <f ca="1">IFERROR(__xludf.DUMMYFUNCTION("""COMPUTED_VALUE"""),1360)</f>
        <v>1360</v>
      </c>
      <c r="N230" s="10" t="str">
        <f ca="1">IFERROR(__xludf.DUMMYFUNCTION("""COMPUTED_VALUE"""),"PMU")</f>
        <v>PMU</v>
      </c>
      <c r="O230" s="1"/>
      <c r="P230" s="1"/>
      <c r="Q230" s="1"/>
      <c r="R230" s="1"/>
      <c r="S230" s="1"/>
      <c r="T230" s="1"/>
      <c r="U230" s="1"/>
      <c r="V230" s="1"/>
      <c r="W230" s="1"/>
      <c r="X230" s="1"/>
      <c r="Y230" s="1"/>
      <c r="Z230" s="1"/>
    </row>
    <row r="231" spans="1:26" ht="12.75" customHeight="1">
      <c r="A231" s="1"/>
      <c r="B231" s="10" t="str">
        <f ca="1">IFERROR(__xludf.DUMMYFUNCTION("""COMPUTED_VALUE"""),"MEJORAMIENTO DE ILUMINACIÓN EN ÁREAS VERDES CUADRANTE SANTO TOMÁS- JOAQUÍN EDWARDS BELLO- AV. OBSERVATORIO Y AV. SANTA ROSA, LA PINTANA")</f>
        <v>MEJORAMIENTO DE ILUMINACIÓN EN ÁREAS VERDES CUADRANTE SANTO TOMÁS- JOAQUÍN EDWARDS BELLO- AV. OBSERVATORIO Y AV. SANTA ROSA, LA PINTANA</v>
      </c>
      <c r="C231" s="10" t="str">
        <f ca="1">IFERROR(__xludf.DUMMYFUNCTION("""COMPUTED_VALUE"""),"1-C-2023-2414")</f>
        <v>1-C-2023-2414</v>
      </c>
      <c r="D231" s="26" t="str">
        <f t="shared" ca="1" si="0"/>
        <v xml:space="preserve"> LA PINTANA</v>
      </c>
      <c r="E231" s="10" t="str">
        <f ca="1">IFERROR(__xludf.DUMMYFUNCTION("""COMPUTED_VALUE"""),"Guía Operativa")</f>
        <v>Guía Operativa</v>
      </c>
      <c r="F231" s="10" t="str">
        <f ca="1">IFERROR(__xludf.DUMMYFUNCTION("""COMPUTED_VALUE"""),"MUNICIPALIDAD DE LA PINTANA")</f>
        <v>MUNICIPALIDAD DE LA PINTANA</v>
      </c>
      <c r="G231" s="71">
        <f ca="1">IFERROR(__xludf.DUMMYFUNCTION("""COMPUTED_VALUE"""),113398991)</f>
        <v>113398991</v>
      </c>
      <c r="H231" s="10" t="str">
        <f ca="1">IFERROR(__xludf.DUMMYFUNCTION("""COMPUTED_VALUE"""),"Resolución")</f>
        <v>Resolución</v>
      </c>
      <c r="I231" s="10" t="str">
        <f ca="1">IFERROR(__xludf.DUMMYFUNCTION("""COMPUTED_VALUE"""),"OBRA")</f>
        <v>OBRA</v>
      </c>
      <c r="J231" s="10" t="str">
        <f ca="1">IFERROR(__xludf.DUMMYFUNCTION("""COMPUTED_VALUE"""),"Cumplir con normativa y reglamentos internos del programa en base a los objetivos.")</f>
        <v>Cumplir con normativa y reglamentos internos del programa en base a los objetivos.</v>
      </c>
      <c r="K231" s="71">
        <f ca="1">IFERROR(__xludf.DUMMYFUNCTION("""COMPUTED_VALUE"""),113398991)</f>
        <v>113398991</v>
      </c>
      <c r="L231" s="72">
        <f ca="1">IFERROR(__xludf.DUMMYFUNCTION("""COMPUTED_VALUE"""),1)</f>
        <v>1</v>
      </c>
      <c r="M231" s="10">
        <f ca="1">IFERROR(__xludf.DUMMYFUNCTION("""COMPUTED_VALUE"""),1360)</f>
        <v>1360</v>
      </c>
      <c r="N231" s="10" t="str">
        <f ca="1">IFERROR(__xludf.DUMMYFUNCTION("""COMPUTED_VALUE"""),"PMU")</f>
        <v>PMU</v>
      </c>
      <c r="O231" s="1"/>
      <c r="P231" s="1"/>
      <c r="Q231" s="1"/>
      <c r="R231" s="1"/>
      <c r="S231" s="1"/>
      <c r="T231" s="1"/>
      <c r="U231" s="1"/>
      <c r="V231" s="1"/>
      <c r="W231" s="1"/>
      <c r="X231" s="1"/>
      <c r="Y231" s="1"/>
      <c r="Z231" s="1"/>
    </row>
    <row r="232" spans="1:26" ht="12.75" customHeight="1">
      <c r="A232" s="1"/>
      <c r="B232" s="10" t="str">
        <f ca="1">IFERROR(__xludf.DUMMYFUNCTION("""COMPUTED_VALUE"""),"MEJORAMIENTO PLAZA EL TRIÁNGULO")</f>
        <v>MEJORAMIENTO PLAZA EL TRIÁNGULO</v>
      </c>
      <c r="C232" s="10" t="str">
        <f ca="1">IFERROR(__xludf.DUMMYFUNCTION("""COMPUTED_VALUE"""),"1-C-2023-2437")</f>
        <v>1-C-2023-2437</v>
      </c>
      <c r="D232" s="26" t="str">
        <f t="shared" ca="1" si="0"/>
        <v xml:space="preserve"> ESTACIÓN CENTRAL</v>
      </c>
      <c r="E232" s="10" t="str">
        <f ca="1">IFERROR(__xludf.DUMMYFUNCTION("""COMPUTED_VALUE"""),"Guía Operativa")</f>
        <v>Guía Operativa</v>
      </c>
      <c r="F232" s="10" t="str">
        <f ca="1">IFERROR(__xludf.DUMMYFUNCTION("""COMPUTED_VALUE"""),"MUNICIPALIDAD DE ESTACIÓN CENTRAL")</f>
        <v>MUNICIPALIDAD DE ESTACIÓN CENTRAL</v>
      </c>
      <c r="G232" s="71">
        <f ca="1">IFERROR(__xludf.DUMMYFUNCTION("""COMPUTED_VALUE"""),152157856)</f>
        <v>152157856</v>
      </c>
      <c r="H232" s="10" t="str">
        <f ca="1">IFERROR(__xludf.DUMMYFUNCTION("""COMPUTED_VALUE"""),"Resolución")</f>
        <v>Resolución</v>
      </c>
      <c r="I232" s="10" t="str">
        <f ca="1">IFERROR(__xludf.DUMMYFUNCTION("""COMPUTED_VALUE"""),"OBRA")</f>
        <v>OBRA</v>
      </c>
      <c r="J232" s="10" t="str">
        <f ca="1">IFERROR(__xludf.DUMMYFUNCTION("""COMPUTED_VALUE"""),"Cumplir con normativa y reglamentos internos del programa en base a los objetivos.")</f>
        <v>Cumplir con normativa y reglamentos internos del programa en base a los objetivos.</v>
      </c>
      <c r="K232" s="71">
        <f ca="1">IFERROR(__xludf.DUMMYFUNCTION("""COMPUTED_VALUE"""),152157856)</f>
        <v>152157856</v>
      </c>
      <c r="L232" s="72">
        <f ca="1">IFERROR(__xludf.DUMMYFUNCTION("""COMPUTED_VALUE"""),1)</f>
        <v>1</v>
      </c>
      <c r="M232" s="10">
        <f ca="1">IFERROR(__xludf.DUMMYFUNCTION("""COMPUTED_VALUE"""),1342)</f>
        <v>1342</v>
      </c>
      <c r="N232" s="10" t="str">
        <f ca="1">IFERROR(__xludf.DUMMYFUNCTION("""COMPUTED_VALUE"""),"PMU")</f>
        <v>PMU</v>
      </c>
      <c r="O232" s="1"/>
      <c r="P232" s="1"/>
      <c r="Q232" s="1"/>
      <c r="R232" s="1"/>
      <c r="S232" s="1"/>
      <c r="T232" s="1"/>
      <c r="U232" s="1"/>
      <c r="V232" s="1"/>
      <c r="W232" s="1"/>
      <c r="X232" s="1"/>
      <c r="Y232" s="1"/>
      <c r="Z232" s="1"/>
    </row>
    <row r="233" spans="1:26" ht="12.75" customHeight="1">
      <c r="A233" s="1"/>
      <c r="B233" s="10" t="str">
        <f ca="1">IFERROR(__xludf.DUMMYFUNCTION("""COMPUTED_VALUE"""),"MEJORAMIENTO DE ILUMINACIÓN ORNAMENTAL DE 21 ÁREAS VERDES, RENCA")</f>
        <v>MEJORAMIENTO DE ILUMINACIÓN ORNAMENTAL DE 21 ÁREAS VERDES, RENCA</v>
      </c>
      <c r="C233" s="10" t="str">
        <f ca="1">IFERROR(__xludf.DUMMYFUNCTION("""COMPUTED_VALUE"""),"1-C-2023-2443")</f>
        <v>1-C-2023-2443</v>
      </c>
      <c r="D233" s="26" t="str">
        <f t="shared" ca="1" si="0"/>
        <v xml:space="preserve"> RENCA</v>
      </c>
      <c r="E233" s="10" t="str">
        <f ca="1">IFERROR(__xludf.DUMMYFUNCTION("""COMPUTED_VALUE"""),"Guía Operativa")</f>
        <v>Guía Operativa</v>
      </c>
      <c r="F233" s="10" t="str">
        <f ca="1">IFERROR(__xludf.DUMMYFUNCTION("""COMPUTED_VALUE"""),"MUNICIPALIDAD DE RENCA")</f>
        <v>MUNICIPALIDAD DE RENCA</v>
      </c>
      <c r="G233" s="71">
        <f ca="1">IFERROR(__xludf.DUMMYFUNCTION("""COMPUTED_VALUE"""),122880095)</f>
        <v>122880095</v>
      </c>
      <c r="H233" s="10" t="str">
        <f ca="1">IFERROR(__xludf.DUMMYFUNCTION("""COMPUTED_VALUE"""),"Resolución")</f>
        <v>Resolución</v>
      </c>
      <c r="I233" s="10" t="str">
        <f ca="1">IFERROR(__xludf.DUMMYFUNCTION("""COMPUTED_VALUE"""),"OBRA")</f>
        <v>OBRA</v>
      </c>
      <c r="J233" s="10" t="str">
        <f ca="1">IFERROR(__xludf.DUMMYFUNCTION("""COMPUTED_VALUE"""),"Cumplir con normativa y reglamentos internos del programa en base a los objetivos.")</f>
        <v>Cumplir con normativa y reglamentos internos del programa en base a los objetivos.</v>
      </c>
      <c r="K233" s="71">
        <f ca="1">IFERROR(__xludf.DUMMYFUNCTION("""COMPUTED_VALUE"""),122880095)</f>
        <v>122880095</v>
      </c>
      <c r="L233" s="72">
        <f ca="1">IFERROR(__xludf.DUMMYFUNCTION("""COMPUTED_VALUE"""),1)</f>
        <v>1</v>
      </c>
      <c r="M233" s="10">
        <f ca="1">IFERROR(__xludf.DUMMYFUNCTION("""COMPUTED_VALUE"""),834)</f>
        <v>834</v>
      </c>
      <c r="N233" s="10" t="str">
        <f ca="1">IFERROR(__xludf.DUMMYFUNCTION("""COMPUTED_VALUE"""),"PMU")</f>
        <v>PMU</v>
      </c>
      <c r="O233" s="1"/>
      <c r="P233" s="1"/>
      <c r="Q233" s="1"/>
      <c r="R233" s="1"/>
      <c r="S233" s="1"/>
      <c r="T233" s="1"/>
      <c r="U233" s="1"/>
      <c r="V233" s="1"/>
      <c r="W233" s="1"/>
      <c r="X233" s="1"/>
      <c r="Y233" s="1"/>
      <c r="Z233" s="1"/>
    </row>
    <row r="234" spans="1:26" ht="12.75" customHeight="1">
      <c r="A234" s="1"/>
      <c r="B234" s="10" t="str">
        <f ca="1">IFERROR(__xludf.DUMMYFUNCTION("""COMPUTED_VALUE"""),"MEJORAMIENTO DE ILUMINACIÓN PEATONAL DE TRAMOS DE 3 EJES VIALES, RENCA")</f>
        <v>MEJORAMIENTO DE ILUMINACIÓN PEATONAL DE TRAMOS DE 3 EJES VIALES, RENCA</v>
      </c>
      <c r="C234" s="10" t="str">
        <f ca="1">IFERROR(__xludf.DUMMYFUNCTION("""COMPUTED_VALUE"""),"1-C-2023-2444")</f>
        <v>1-C-2023-2444</v>
      </c>
      <c r="D234" s="26" t="str">
        <f t="shared" ca="1" si="0"/>
        <v xml:space="preserve"> RENCA</v>
      </c>
      <c r="E234" s="10" t="str">
        <f ca="1">IFERROR(__xludf.DUMMYFUNCTION("""COMPUTED_VALUE"""),"Guía Operativa")</f>
        <v>Guía Operativa</v>
      </c>
      <c r="F234" s="10" t="str">
        <f ca="1">IFERROR(__xludf.DUMMYFUNCTION("""COMPUTED_VALUE"""),"MUNICIPALIDAD DE RENCA")</f>
        <v>MUNICIPALIDAD DE RENCA</v>
      </c>
      <c r="G234" s="71">
        <f ca="1">IFERROR(__xludf.DUMMYFUNCTION("""COMPUTED_VALUE"""),141809185)</f>
        <v>141809185</v>
      </c>
      <c r="H234" s="10" t="str">
        <f ca="1">IFERROR(__xludf.DUMMYFUNCTION("""COMPUTED_VALUE"""),"Resolución")</f>
        <v>Resolución</v>
      </c>
      <c r="I234" s="10" t="str">
        <f ca="1">IFERROR(__xludf.DUMMYFUNCTION("""COMPUTED_VALUE"""),"OBRA")</f>
        <v>OBRA</v>
      </c>
      <c r="J234" s="10" t="str">
        <f ca="1">IFERROR(__xludf.DUMMYFUNCTION("""COMPUTED_VALUE"""),"Cumplir con normativa y reglamentos internos del programa en base a los objetivos.")</f>
        <v>Cumplir con normativa y reglamentos internos del programa en base a los objetivos.</v>
      </c>
      <c r="K234" s="71">
        <f ca="1">IFERROR(__xludf.DUMMYFUNCTION("""COMPUTED_VALUE"""),141809185)</f>
        <v>141809185</v>
      </c>
      <c r="L234" s="72">
        <f ca="1">IFERROR(__xludf.DUMMYFUNCTION("""COMPUTED_VALUE"""),1)</f>
        <v>1</v>
      </c>
      <c r="M234" s="10">
        <f ca="1">IFERROR(__xludf.DUMMYFUNCTION("""COMPUTED_VALUE"""),834)</f>
        <v>834</v>
      </c>
      <c r="N234" s="10" t="str">
        <f ca="1">IFERROR(__xludf.DUMMYFUNCTION("""COMPUTED_VALUE"""),"PMU")</f>
        <v>PMU</v>
      </c>
      <c r="O234" s="1"/>
      <c r="P234" s="1"/>
      <c r="Q234" s="1"/>
      <c r="R234" s="1"/>
      <c r="S234" s="1"/>
      <c r="T234" s="1"/>
      <c r="U234" s="1"/>
      <c r="V234" s="1"/>
      <c r="W234" s="1"/>
      <c r="X234" s="1"/>
      <c r="Y234" s="1"/>
      <c r="Z234" s="1"/>
    </row>
    <row r="235" spans="1:26" ht="12.75" customHeight="1">
      <c r="A235" s="1"/>
      <c r="B235" s="10" t="str">
        <f ca="1">IFERROR(__xludf.DUMMYFUNCTION("""COMPUTED_VALUE"""),"MEJORAMIENTO INTEGRAL DE ÁREA VERDE PLAZA DE LA CULTURA OSCAR CASTRO, RENCA")</f>
        <v>MEJORAMIENTO INTEGRAL DE ÁREA VERDE PLAZA DE LA CULTURA OSCAR CASTRO, RENCA</v>
      </c>
      <c r="C235" s="10" t="str">
        <f ca="1">IFERROR(__xludf.DUMMYFUNCTION("""COMPUTED_VALUE"""),"1-C-2023-2445")</f>
        <v>1-C-2023-2445</v>
      </c>
      <c r="D235" s="26" t="str">
        <f t="shared" ca="1" si="0"/>
        <v xml:space="preserve"> RENCA</v>
      </c>
      <c r="E235" s="10" t="str">
        <f ca="1">IFERROR(__xludf.DUMMYFUNCTION("""COMPUTED_VALUE"""),"Guía Operativa")</f>
        <v>Guía Operativa</v>
      </c>
      <c r="F235" s="10" t="str">
        <f ca="1">IFERROR(__xludf.DUMMYFUNCTION("""COMPUTED_VALUE"""),"MUNICIPALIDAD DE RENCA")</f>
        <v>MUNICIPALIDAD DE RENCA</v>
      </c>
      <c r="G235" s="71">
        <f ca="1">IFERROR(__xludf.DUMMYFUNCTION("""COMPUTED_VALUE"""),153691672)</f>
        <v>153691672</v>
      </c>
      <c r="H235" s="10" t="str">
        <f ca="1">IFERROR(__xludf.DUMMYFUNCTION("""COMPUTED_VALUE"""),"Resolución")</f>
        <v>Resolución</v>
      </c>
      <c r="I235" s="10" t="str">
        <f ca="1">IFERROR(__xludf.DUMMYFUNCTION("""COMPUTED_VALUE"""),"OBRA")</f>
        <v>OBRA</v>
      </c>
      <c r="J235" s="10" t="str">
        <f ca="1">IFERROR(__xludf.DUMMYFUNCTION("""COMPUTED_VALUE"""),"Cumplir con normativa y reglamentos internos del programa en base a los objetivos.")</f>
        <v>Cumplir con normativa y reglamentos internos del programa en base a los objetivos.</v>
      </c>
      <c r="K235" s="71">
        <f ca="1">IFERROR(__xludf.DUMMYFUNCTION("""COMPUTED_VALUE"""),153691672)</f>
        <v>153691672</v>
      </c>
      <c r="L235" s="72">
        <f ca="1">IFERROR(__xludf.DUMMYFUNCTION("""COMPUTED_VALUE"""),1)</f>
        <v>1</v>
      </c>
      <c r="M235" s="10">
        <f ca="1">IFERROR(__xludf.DUMMYFUNCTION("""COMPUTED_VALUE"""),834)</f>
        <v>834</v>
      </c>
      <c r="N235" s="10" t="str">
        <f ca="1">IFERROR(__xludf.DUMMYFUNCTION("""COMPUTED_VALUE"""),"PMU")</f>
        <v>PMU</v>
      </c>
      <c r="O235" s="1"/>
      <c r="P235" s="1"/>
      <c r="Q235" s="1"/>
      <c r="R235" s="1"/>
      <c r="S235" s="1"/>
      <c r="T235" s="1"/>
      <c r="U235" s="1"/>
      <c r="V235" s="1"/>
      <c r="W235" s="1"/>
      <c r="X235" s="1"/>
      <c r="Y235" s="1"/>
      <c r="Z235" s="1"/>
    </row>
    <row r="236" spans="1:26" ht="12.75" customHeight="1">
      <c r="A236" s="1"/>
      <c r="B236" s="10" t="str">
        <f ca="1">IFERROR(__xludf.DUMMYFUNCTION("""COMPUTED_VALUE"""),"CONSTRUCCION DE LA ILUMINACION PEATONAL SANTA PETRONILA")</f>
        <v>CONSTRUCCION DE LA ILUMINACION PEATONAL SANTA PETRONILA</v>
      </c>
      <c r="C236" s="10" t="str">
        <f ca="1">IFERROR(__xludf.DUMMYFUNCTION("""COMPUTED_VALUE"""),"1-C-2023-2456")</f>
        <v>1-C-2023-2456</v>
      </c>
      <c r="D236" s="26" t="str">
        <f t="shared" ca="1" si="0"/>
        <v xml:space="preserve"> QUINTA NORMAL</v>
      </c>
      <c r="E236" s="10" t="str">
        <f ca="1">IFERROR(__xludf.DUMMYFUNCTION("""COMPUTED_VALUE"""),"Guía Operativa")</f>
        <v>Guía Operativa</v>
      </c>
      <c r="F236" s="10" t="str">
        <f ca="1">IFERROR(__xludf.DUMMYFUNCTION("""COMPUTED_VALUE"""),"MUNICIPALIDAD DE QUINTA NORMAL")</f>
        <v>MUNICIPALIDAD DE QUINTA NORMAL</v>
      </c>
      <c r="G236" s="71">
        <f ca="1">IFERROR(__xludf.DUMMYFUNCTION("""COMPUTED_VALUE"""),126417945)</f>
        <v>126417945</v>
      </c>
      <c r="H236" s="10" t="str">
        <f ca="1">IFERROR(__xludf.DUMMYFUNCTION("""COMPUTED_VALUE"""),"Resolución")</f>
        <v>Resolución</v>
      </c>
      <c r="I236" s="10" t="str">
        <f ca="1">IFERROR(__xludf.DUMMYFUNCTION("""COMPUTED_VALUE"""),"OBRA")</f>
        <v>OBRA</v>
      </c>
      <c r="J236" s="10" t="str">
        <f ca="1">IFERROR(__xludf.DUMMYFUNCTION("""COMPUTED_VALUE"""),"Cumplir con normativa y reglamentos internos del programa en base a los objetivos.")</f>
        <v>Cumplir con normativa y reglamentos internos del programa en base a los objetivos.</v>
      </c>
      <c r="K236" s="71">
        <f ca="1">IFERROR(__xludf.DUMMYFUNCTION("""COMPUTED_VALUE"""),126417945)</f>
        <v>126417945</v>
      </c>
      <c r="L236" s="72">
        <f ca="1">IFERROR(__xludf.DUMMYFUNCTION("""COMPUTED_VALUE"""),1)</f>
        <v>1</v>
      </c>
      <c r="M236" s="10">
        <f ca="1">IFERROR(__xludf.DUMMYFUNCTION("""COMPUTED_VALUE"""),850)</f>
        <v>850</v>
      </c>
      <c r="N236" s="10" t="str">
        <f ca="1">IFERROR(__xludf.DUMMYFUNCTION("""COMPUTED_VALUE"""),"PMU")</f>
        <v>PMU</v>
      </c>
      <c r="O236" s="1"/>
      <c r="P236" s="1"/>
      <c r="Q236" s="1"/>
      <c r="R236" s="1"/>
      <c r="S236" s="1"/>
      <c r="T236" s="1"/>
      <c r="U236" s="1"/>
      <c r="V236" s="1"/>
      <c r="W236" s="1"/>
      <c r="X236" s="1"/>
      <c r="Y236" s="1"/>
      <c r="Z236" s="1"/>
    </row>
    <row r="237" spans="1:26" ht="12.75" customHeight="1">
      <c r="A237" s="1"/>
      <c r="B237" s="10" t="str">
        <f ca="1">IFERROR(__xludf.DUMMYFUNCTION("""COMPUTED_VALUE"""),"CSV CONSTRUCCION Y REPOSICION DE ILUMINACION PEATONAL CALLE ORTUZAR,COMUNA DE MELIPILLA")</f>
        <v>CSV CONSTRUCCION Y REPOSICION DE ILUMINACION PEATONAL CALLE ORTUZAR,COMUNA DE MELIPILLA</v>
      </c>
      <c r="C237" s="10" t="str">
        <f ca="1">IFERROR(__xludf.DUMMYFUNCTION("""COMPUTED_VALUE"""),"1-C-2023-2517")</f>
        <v>1-C-2023-2517</v>
      </c>
      <c r="D237" s="26" t="str">
        <f t="shared" ca="1" si="0"/>
        <v xml:space="preserve"> MELIPILLA</v>
      </c>
      <c r="E237" s="10" t="str">
        <f ca="1">IFERROR(__xludf.DUMMYFUNCTION("""COMPUTED_VALUE"""),"Guía Operativa")</f>
        <v>Guía Operativa</v>
      </c>
      <c r="F237" s="10" t="str">
        <f ca="1">IFERROR(__xludf.DUMMYFUNCTION("""COMPUTED_VALUE"""),"MUNICIPALIDAD DE MELIPILLA")</f>
        <v>MUNICIPALIDAD DE MELIPILLA</v>
      </c>
      <c r="G237" s="71">
        <f ca="1">IFERROR(__xludf.DUMMYFUNCTION("""COMPUTED_VALUE"""),96776002)</f>
        <v>96776002</v>
      </c>
      <c r="H237" s="10" t="str">
        <f ca="1">IFERROR(__xludf.DUMMYFUNCTION("""COMPUTED_VALUE"""),"Resolución")</f>
        <v>Resolución</v>
      </c>
      <c r="I237" s="10" t="str">
        <f ca="1">IFERROR(__xludf.DUMMYFUNCTION("""COMPUTED_VALUE"""),"OBRA")</f>
        <v>OBRA</v>
      </c>
      <c r="J237" s="10" t="str">
        <f ca="1">IFERROR(__xludf.DUMMYFUNCTION("""COMPUTED_VALUE"""),"Cumplir con normativa y reglamentos internos del programa en base a los objetivos.")</f>
        <v>Cumplir con normativa y reglamentos internos del programa en base a los objetivos.</v>
      </c>
      <c r="K237" s="71">
        <f ca="1">IFERROR(__xludf.DUMMYFUNCTION("""COMPUTED_VALUE"""),96776002)</f>
        <v>96776002</v>
      </c>
      <c r="L237" s="72">
        <f ca="1">IFERROR(__xludf.DUMMYFUNCTION("""COMPUTED_VALUE"""),1)</f>
        <v>1</v>
      </c>
      <c r="M237" s="10">
        <f ca="1">IFERROR(__xludf.DUMMYFUNCTION("""COMPUTED_VALUE"""),1337)</f>
        <v>1337</v>
      </c>
      <c r="N237" s="10" t="str">
        <f ca="1">IFERROR(__xludf.DUMMYFUNCTION("""COMPUTED_VALUE"""),"PMU")</f>
        <v>PMU</v>
      </c>
      <c r="O237" s="1"/>
      <c r="P237" s="1"/>
      <c r="Q237" s="1"/>
      <c r="R237" s="1"/>
      <c r="S237" s="1"/>
      <c r="T237" s="1"/>
      <c r="U237" s="1"/>
      <c r="V237" s="1"/>
      <c r="W237" s="1"/>
      <c r="X237" s="1"/>
      <c r="Y237" s="1"/>
      <c r="Z237" s="1"/>
    </row>
    <row r="238" spans="1:26" ht="12.75" customHeight="1">
      <c r="A238" s="1"/>
      <c r="B238" s="10" t="str">
        <f ca="1">IFERROR(__xludf.DUMMYFUNCTION("""COMPUTED_VALUE"""),"CONSTRUCCIÓN CIERRE PERIMETRAL CANAL ORTUZANO, COMUNA ESTACIÓN CENTRAL")</f>
        <v>CONSTRUCCIÓN CIERRE PERIMETRAL CANAL ORTUZANO, COMUNA ESTACIÓN CENTRAL</v>
      </c>
      <c r="C238" s="10" t="str">
        <f ca="1">IFERROR(__xludf.DUMMYFUNCTION("""COMPUTED_VALUE"""),"1-C-2023-2540")</f>
        <v>1-C-2023-2540</v>
      </c>
      <c r="D238" s="26" t="str">
        <f t="shared" ca="1" si="0"/>
        <v xml:space="preserve"> ESTACIÓN CENTRAL</v>
      </c>
      <c r="E238" s="10" t="str">
        <f ca="1">IFERROR(__xludf.DUMMYFUNCTION("""COMPUTED_VALUE"""),"Guía Operativa")</f>
        <v>Guía Operativa</v>
      </c>
      <c r="F238" s="10" t="str">
        <f ca="1">IFERROR(__xludf.DUMMYFUNCTION("""COMPUTED_VALUE"""),"MUNICIPALIDAD DE ESTACIÓN CENTRAL")</f>
        <v>MUNICIPALIDAD DE ESTACIÓN CENTRAL</v>
      </c>
      <c r="G238" s="71">
        <f ca="1">IFERROR(__xludf.DUMMYFUNCTION("""COMPUTED_VALUE"""),153510780)</f>
        <v>153510780</v>
      </c>
      <c r="H238" s="10" t="str">
        <f ca="1">IFERROR(__xludf.DUMMYFUNCTION("""COMPUTED_VALUE"""),"Resolución")</f>
        <v>Resolución</v>
      </c>
      <c r="I238" s="10" t="str">
        <f ca="1">IFERROR(__xludf.DUMMYFUNCTION("""COMPUTED_VALUE"""),"OBRA")</f>
        <v>OBRA</v>
      </c>
      <c r="J238" s="10" t="str">
        <f ca="1">IFERROR(__xludf.DUMMYFUNCTION("""COMPUTED_VALUE"""),"Cumplir con normativa y reglamentos internos del programa en base a los objetivos.")</f>
        <v>Cumplir con normativa y reglamentos internos del programa en base a los objetivos.</v>
      </c>
      <c r="K238" s="71">
        <f ca="1">IFERROR(__xludf.DUMMYFUNCTION("""COMPUTED_VALUE"""),153510780)</f>
        <v>153510780</v>
      </c>
      <c r="L238" s="72">
        <f ca="1">IFERROR(__xludf.DUMMYFUNCTION("""COMPUTED_VALUE"""),1)</f>
        <v>1</v>
      </c>
      <c r="M238" s="10">
        <f ca="1">IFERROR(__xludf.DUMMYFUNCTION("""COMPUTED_VALUE"""),1331)</f>
        <v>1331</v>
      </c>
      <c r="N238" s="10" t="str">
        <f ca="1">IFERROR(__xludf.DUMMYFUNCTION("""COMPUTED_VALUE"""),"PMU")</f>
        <v>PMU</v>
      </c>
      <c r="O238" s="1"/>
      <c r="P238" s="1"/>
      <c r="Q238" s="1"/>
      <c r="R238" s="1"/>
      <c r="S238" s="1"/>
      <c r="T238" s="1"/>
      <c r="U238" s="1"/>
      <c r="V238" s="1"/>
      <c r="W238" s="1"/>
      <c r="X238" s="1"/>
      <c r="Y238" s="1"/>
      <c r="Z238" s="1"/>
    </row>
    <row r="239" spans="1:26" ht="12.75" customHeight="1">
      <c r="A239" s="1"/>
      <c r="B239" s="10" t="str">
        <f ca="1">IFERROR(__xludf.DUMMYFUNCTION("""COMPUTED_VALUE"""),"MEJORAMIENTO PLAZA LOS HISTORIADORES")</f>
        <v>MEJORAMIENTO PLAZA LOS HISTORIADORES</v>
      </c>
      <c r="C239" s="10" t="str">
        <f ca="1">IFERROR(__xludf.DUMMYFUNCTION("""COMPUTED_VALUE"""),"1-C-2023-2551")</f>
        <v>1-C-2023-2551</v>
      </c>
      <c r="D239" s="26" t="str">
        <f t="shared" ca="1" si="0"/>
        <v xml:space="preserve"> RECOLETA</v>
      </c>
      <c r="E239" s="10" t="str">
        <f ca="1">IFERROR(__xludf.DUMMYFUNCTION("""COMPUTED_VALUE"""),"Guía Operativa")</f>
        <v>Guía Operativa</v>
      </c>
      <c r="F239" s="10" t="str">
        <f ca="1">IFERROR(__xludf.DUMMYFUNCTION("""COMPUTED_VALUE"""),"MUNICIPALIDAD DE RECOLETA")</f>
        <v>MUNICIPALIDAD DE RECOLETA</v>
      </c>
      <c r="G239" s="71">
        <f ca="1">IFERROR(__xludf.DUMMYFUNCTION("""COMPUTED_VALUE"""),151585552)</f>
        <v>151585552</v>
      </c>
      <c r="H239" s="10" t="str">
        <f ca="1">IFERROR(__xludf.DUMMYFUNCTION("""COMPUTED_VALUE"""),"Resolución")</f>
        <v>Resolución</v>
      </c>
      <c r="I239" s="10" t="str">
        <f ca="1">IFERROR(__xludf.DUMMYFUNCTION("""COMPUTED_VALUE"""),"OBRA")</f>
        <v>OBRA</v>
      </c>
      <c r="J239" s="10" t="str">
        <f ca="1">IFERROR(__xludf.DUMMYFUNCTION("""COMPUTED_VALUE"""),"Cumplir con normativa y reglamentos internos del programa en base a los objetivos.")</f>
        <v>Cumplir con normativa y reglamentos internos del programa en base a los objetivos.</v>
      </c>
      <c r="K239" s="71">
        <f ca="1">IFERROR(__xludf.DUMMYFUNCTION("""COMPUTED_VALUE"""),151585552)</f>
        <v>151585552</v>
      </c>
      <c r="L239" s="72">
        <f ca="1">IFERROR(__xludf.DUMMYFUNCTION("""COMPUTED_VALUE"""),1)</f>
        <v>1</v>
      </c>
      <c r="M239" s="10">
        <f ca="1">IFERROR(__xludf.DUMMYFUNCTION("""COMPUTED_VALUE"""),1353)</f>
        <v>1353</v>
      </c>
      <c r="N239" s="10" t="str">
        <f ca="1">IFERROR(__xludf.DUMMYFUNCTION("""COMPUTED_VALUE"""),"PMU")</f>
        <v>PMU</v>
      </c>
      <c r="O239" s="1"/>
      <c r="P239" s="1"/>
      <c r="Q239" s="1"/>
      <c r="R239" s="1"/>
      <c r="S239" s="1"/>
      <c r="T239" s="1"/>
      <c r="U239" s="1"/>
      <c r="V239" s="1"/>
      <c r="W239" s="1"/>
      <c r="X239" s="1"/>
      <c r="Y239" s="1"/>
      <c r="Z239" s="1"/>
    </row>
    <row r="240" spans="1:26" ht="12.75" customHeight="1">
      <c r="A240" s="1"/>
      <c r="B240" s="10" t="str">
        <f ca="1">IFERROR(__xludf.DUMMYFUNCTION("""COMPUTED_VALUE"""),"MEJORAMIENTO PLAZA JUAN ZAMORANO CHACON")</f>
        <v>MEJORAMIENTO PLAZA JUAN ZAMORANO CHACON</v>
      </c>
      <c r="C240" s="10" t="str">
        <f ca="1">IFERROR(__xludf.DUMMYFUNCTION("""COMPUTED_VALUE"""),"1-C-2023-2558")</f>
        <v>1-C-2023-2558</v>
      </c>
      <c r="D240" s="26" t="str">
        <f t="shared" ca="1" si="0"/>
        <v xml:space="preserve"> RECOLETA</v>
      </c>
      <c r="E240" s="10" t="str">
        <f ca="1">IFERROR(__xludf.DUMMYFUNCTION("""COMPUTED_VALUE"""),"Guía Operativa")</f>
        <v>Guía Operativa</v>
      </c>
      <c r="F240" s="10" t="str">
        <f ca="1">IFERROR(__xludf.DUMMYFUNCTION("""COMPUTED_VALUE"""),"MUNICIPALIDAD DE RECOLETA")</f>
        <v>MUNICIPALIDAD DE RECOLETA</v>
      </c>
      <c r="G240" s="71">
        <f ca="1">IFERROR(__xludf.DUMMYFUNCTION("""COMPUTED_VALUE"""),130389837)</f>
        <v>130389837</v>
      </c>
      <c r="H240" s="10" t="str">
        <f ca="1">IFERROR(__xludf.DUMMYFUNCTION("""COMPUTED_VALUE"""),"Resolución")</f>
        <v>Resolución</v>
      </c>
      <c r="I240" s="10" t="str">
        <f ca="1">IFERROR(__xludf.DUMMYFUNCTION("""COMPUTED_VALUE"""),"OBRA")</f>
        <v>OBRA</v>
      </c>
      <c r="J240" s="10" t="str">
        <f ca="1">IFERROR(__xludf.DUMMYFUNCTION("""COMPUTED_VALUE"""),"Cumplir con normativa y reglamentos internos del programa en base a los objetivos.")</f>
        <v>Cumplir con normativa y reglamentos internos del programa en base a los objetivos.</v>
      </c>
      <c r="K240" s="71">
        <f ca="1">IFERROR(__xludf.DUMMYFUNCTION("""COMPUTED_VALUE"""),130389837)</f>
        <v>130389837</v>
      </c>
      <c r="L240" s="72">
        <f ca="1">IFERROR(__xludf.DUMMYFUNCTION("""COMPUTED_VALUE"""),1)</f>
        <v>1</v>
      </c>
      <c r="M240" s="10">
        <f ca="1">IFERROR(__xludf.DUMMYFUNCTION("""COMPUTED_VALUE"""),638)</f>
        <v>638</v>
      </c>
      <c r="N240" s="10" t="str">
        <f ca="1">IFERROR(__xludf.DUMMYFUNCTION("""COMPUTED_VALUE"""),"PMU")</f>
        <v>PMU</v>
      </c>
      <c r="O240" s="1"/>
      <c r="P240" s="1"/>
      <c r="Q240" s="1"/>
      <c r="R240" s="1"/>
      <c r="S240" s="1"/>
      <c r="T240" s="1"/>
      <c r="U240" s="1"/>
      <c r="V240" s="1"/>
      <c r="W240" s="1"/>
      <c r="X240" s="1"/>
      <c r="Y240" s="1"/>
      <c r="Z240" s="1"/>
    </row>
    <row r="241" spans="1:26" ht="12.75" customHeight="1">
      <c r="A241" s="1"/>
      <c r="B241" s="10" t="str">
        <f ca="1">IFERROR(__xludf.DUMMYFUNCTION("""COMPUTED_VALUE"""),"MEJORAMIENTO PLAZOLETA FRAY ANDRESITO")</f>
        <v>MEJORAMIENTO PLAZOLETA FRAY ANDRESITO</v>
      </c>
      <c r="C241" s="10" t="str">
        <f ca="1">IFERROR(__xludf.DUMMYFUNCTION("""COMPUTED_VALUE"""),"1-C-2023-2559")</f>
        <v>1-C-2023-2559</v>
      </c>
      <c r="D241" s="26" t="str">
        <f t="shared" ca="1" si="0"/>
        <v xml:space="preserve"> RECOLETA</v>
      </c>
      <c r="E241" s="10" t="str">
        <f ca="1">IFERROR(__xludf.DUMMYFUNCTION("""COMPUTED_VALUE"""),"Guía Operativa")</f>
        <v>Guía Operativa</v>
      </c>
      <c r="F241" s="10" t="str">
        <f ca="1">IFERROR(__xludf.DUMMYFUNCTION("""COMPUTED_VALUE"""),"MUNICIPALIDAD DE RECOLETA")</f>
        <v>MUNICIPALIDAD DE RECOLETA</v>
      </c>
      <c r="G241" s="71">
        <f ca="1">IFERROR(__xludf.DUMMYFUNCTION("""COMPUTED_VALUE"""),36644075)</f>
        <v>36644075</v>
      </c>
      <c r="H241" s="10" t="str">
        <f ca="1">IFERROR(__xludf.DUMMYFUNCTION("""COMPUTED_VALUE"""),"Resolución")</f>
        <v>Resolución</v>
      </c>
      <c r="I241" s="10" t="str">
        <f ca="1">IFERROR(__xludf.DUMMYFUNCTION("""COMPUTED_VALUE"""),"OBRA")</f>
        <v>OBRA</v>
      </c>
      <c r="J241" s="10" t="str">
        <f ca="1">IFERROR(__xludf.DUMMYFUNCTION("""COMPUTED_VALUE"""),"Cumplir con normativa y reglamentos internos del programa en base a los objetivos.")</f>
        <v>Cumplir con normativa y reglamentos internos del programa en base a los objetivos.</v>
      </c>
      <c r="K241" s="71">
        <f ca="1">IFERROR(__xludf.DUMMYFUNCTION("""COMPUTED_VALUE"""),36644075)</f>
        <v>36644075</v>
      </c>
      <c r="L241" s="72">
        <f ca="1">IFERROR(__xludf.DUMMYFUNCTION("""COMPUTED_VALUE"""),1)</f>
        <v>1</v>
      </c>
      <c r="M241" s="10">
        <f ca="1">IFERROR(__xludf.DUMMYFUNCTION("""COMPUTED_VALUE"""),1347)</f>
        <v>1347</v>
      </c>
      <c r="N241" s="10" t="str">
        <f ca="1">IFERROR(__xludf.DUMMYFUNCTION("""COMPUTED_VALUE"""),"PMU")</f>
        <v>PMU</v>
      </c>
      <c r="O241" s="1"/>
      <c r="P241" s="1"/>
      <c r="Q241" s="1"/>
      <c r="R241" s="1"/>
      <c r="S241" s="1"/>
      <c r="T241" s="1"/>
      <c r="U241" s="1"/>
      <c r="V241" s="1"/>
      <c r="W241" s="1"/>
      <c r="X241" s="1"/>
      <c r="Y241" s="1"/>
      <c r="Z241" s="1"/>
    </row>
    <row r="242" spans="1:26" ht="12.75" customHeight="1">
      <c r="A242" s="1"/>
      <c r="B242" s="10" t="str">
        <f ca="1">IFERROR(__xludf.DUMMYFUNCTION("""COMPUTED_VALUE"""),"CONSTRUCCION DE LA ILUMINACION PEATONAL NUEVA PLATON")</f>
        <v>CONSTRUCCION DE LA ILUMINACION PEATONAL NUEVA PLATON</v>
      </c>
      <c r="C242" s="10" t="str">
        <f ca="1">IFERROR(__xludf.DUMMYFUNCTION("""COMPUTED_VALUE"""),"1-C-2023-2583")</f>
        <v>1-C-2023-2583</v>
      </c>
      <c r="D242" s="26" t="str">
        <f t="shared" ca="1" si="0"/>
        <v xml:space="preserve"> QUINTA NORMAL</v>
      </c>
      <c r="E242" s="10" t="str">
        <f ca="1">IFERROR(__xludf.DUMMYFUNCTION("""COMPUTED_VALUE"""),"Guía Operativa")</f>
        <v>Guía Operativa</v>
      </c>
      <c r="F242" s="10" t="str">
        <f ca="1">IFERROR(__xludf.DUMMYFUNCTION("""COMPUTED_VALUE"""),"MUNICIPALIDAD DE QUINTA NORMAL")</f>
        <v>MUNICIPALIDAD DE QUINTA NORMAL</v>
      </c>
      <c r="G242" s="71">
        <f ca="1">IFERROR(__xludf.DUMMYFUNCTION("""COMPUTED_VALUE"""),74718948)</f>
        <v>74718948</v>
      </c>
      <c r="H242" s="10" t="str">
        <f ca="1">IFERROR(__xludf.DUMMYFUNCTION("""COMPUTED_VALUE"""),"Resolución")</f>
        <v>Resolución</v>
      </c>
      <c r="I242" s="10" t="str">
        <f ca="1">IFERROR(__xludf.DUMMYFUNCTION("""COMPUTED_VALUE"""),"OBRA")</f>
        <v>OBRA</v>
      </c>
      <c r="J242" s="10" t="str">
        <f ca="1">IFERROR(__xludf.DUMMYFUNCTION("""COMPUTED_VALUE"""),"Cumplir con normativa y reglamentos internos del programa en base a los objetivos.")</f>
        <v>Cumplir con normativa y reglamentos internos del programa en base a los objetivos.</v>
      </c>
      <c r="K242" s="71">
        <f ca="1">IFERROR(__xludf.DUMMYFUNCTION("""COMPUTED_VALUE"""),74718948)</f>
        <v>74718948</v>
      </c>
      <c r="L242" s="72">
        <f ca="1">IFERROR(__xludf.DUMMYFUNCTION("""COMPUTED_VALUE"""),1)</f>
        <v>1</v>
      </c>
      <c r="M242" s="10">
        <f ca="1">IFERROR(__xludf.DUMMYFUNCTION("""COMPUTED_VALUE"""),850)</f>
        <v>850</v>
      </c>
      <c r="N242" s="10" t="str">
        <f ca="1">IFERROR(__xludf.DUMMYFUNCTION("""COMPUTED_VALUE"""),"PMU")</f>
        <v>PMU</v>
      </c>
      <c r="O242" s="1"/>
      <c r="P242" s="1"/>
      <c r="Q242" s="1"/>
      <c r="R242" s="1"/>
      <c r="S242" s="1"/>
      <c r="T242" s="1"/>
      <c r="U242" s="1"/>
      <c r="V242" s="1"/>
      <c r="W242" s="1"/>
      <c r="X242" s="1"/>
      <c r="Y242" s="1"/>
      <c r="Z242" s="1"/>
    </row>
    <row r="243" spans="1:26" ht="12.75" customHeight="1">
      <c r="A243" s="1"/>
      <c r="B243" s="10" t="str">
        <f ca="1">IFERROR(__xludf.DUMMYFUNCTION("""COMPUTED_VALUE"""),"MEJORAMIENTO PLATABANDA CALLE JUJUY, COMUNA DE QUINTA NORMAL")</f>
        <v>MEJORAMIENTO PLATABANDA CALLE JUJUY, COMUNA DE QUINTA NORMAL</v>
      </c>
      <c r="C243" s="10" t="str">
        <f ca="1">IFERROR(__xludf.DUMMYFUNCTION("""COMPUTED_VALUE"""),"1-C-2023-2594")</f>
        <v>1-C-2023-2594</v>
      </c>
      <c r="D243" s="26" t="str">
        <f t="shared" ca="1" si="0"/>
        <v xml:space="preserve"> QUINTA NORMAL</v>
      </c>
      <c r="E243" s="10" t="str">
        <f ca="1">IFERROR(__xludf.DUMMYFUNCTION("""COMPUTED_VALUE"""),"Guía Operativa")</f>
        <v>Guía Operativa</v>
      </c>
      <c r="F243" s="10" t="str">
        <f ca="1">IFERROR(__xludf.DUMMYFUNCTION("""COMPUTED_VALUE"""),"MUNICIPALIDAD DE QUINTA NORMAL")</f>
        <v>MUNICIPALIDAD DE QUINTA NORMAL</v>
      </c>
      <c r="G243" s="71">
        <f ca="1">IFERROR(__xludf.DUMMYFUNCTION("""COMPUTED_VALUE"""),154348211)</f>
        <v>154348211</v>
      </c>
      <c r="H243" s="10" t="str">
        <f ca="1">IFERROR(__xludf.DUMMYFUNCTION("""COMPUTED_VALUE"""),"Resolución")</f>
        <v>Resolución</v>
      </c>
      <c r="I243" s="10" t="str">
        <f ca="1">IFERROR(__xludf.DUMMYFUNCTION("""COMPUTED_VALUE"""),"OBRA")</f>
        <v>OBRA</v>
      </c>
      <c r="J243" s="10" t="str">
        <f ca="1">IFERROR(__xludf.DUMMYFUNCTION("""COMPUTED_VALUE"""),"Cumplir con normativa y reglamentos internos del programa en base a los objetivos.")</f>
        <v>Cumplir con normativa y reglamentos internos del programa en base a los objetivos.</v>
      </c>
      <c r="K243" s="71">
        <f ca="1">IFERROR(__xludf.DUMMYFUNCTION("""COMPUTED_VALUE"""),154348211)</f>
        <v>154348211</v>
      </c>
      <c r="L243" s="72">
        <f ca="1">IFERROR(__xludf.DUMMYFUNCTION("""COMPUTED_VALUE"""),1)</f>
        <v>1</v>
      </c>
      <c r="M243" s="10">
        <f ca="1">IFERROR(__xludf.DUMMYFUNCTION("""COMPUTED_VALUE"""),1356)</f>
        <v>1356</v>
      </c>
      <c r="N243" s="10" t="str">
        <f ca="1">IFERROR(__xludf.DUMMYFUNCTION("""COMPUTED_VALUE"""),"PMU")</f>
        <v>PMU</v>
      </c>
      <c r="O243" s="1"/>
      <c r="P243" s="1"/>
      <c r="Q243" s="1"/>
      <c r="R243" s="1"/>
      <c r="S243" s="1"/>
      <c r="T243" s="1"/>
      <c r="U243" s="1"/>
      <c r="V243" s="1"/>
      <c r="W243" s="1"/>
      <c r="X243" s="1"/>
      <c r="Y243" s="1"/>
      <c r="Z243" s="1"/>
    </row>
    <row r="244" spans="1:26" ht="12.75" customHeight="1">
      <c r="A244" s="1"/>
      <c r="B244" s="10" t="str">
        <f ca="1">IFERROR(__xludf.DUMMYFUNCTION("""COMPUTED_VALUE"""),"MEJORAMIENTO PLAZA LAS LILAS, UNIDAD VECINAL 11, SAN RAMÓN")</f>
        <v>MEJORAMIENTO PLAZA LAS LILAS, UNIDAD VECINAL 11, SAN RAMÓN</v>
      </c>
      <c r="C244" s="10" t="str">
        <f ca="1">IFERROR(__xludf.DUMMYFUNCTION("""COMPUTED_VALUE"""),"1-C-2023-2601")</f>
        <v>1-C-2023-2601</v>
      </c>
      <c r="D244" s="26" t="str">
        <f t="shared" ca="1" si="0"/>
        <v xml:space="preserve"> SAN RAMÓN</v>
      </c>
      <c r="E244" s="10" t="str">
        <f ca="1">IFERROR(__xludf.DUMMYFUNCTION("""COMPUTED_VALUE"""),"Guía Operativa")</f>
        <v>Guía Operativa</v>
      </c>
      <c r="F244" s="10" t="str">
        <f ca="1">IFERROR(__xludf.DUMMYFUNCTION("""COMPUTED_VALUE"""),"MUNICIPALIDAD DE SAN RAMÓN")</f>
        <v>MUNICIPALIDAD DE SAN RAMÓN</v>
      </c>
      <c r="G244" s="71">
        <f ca="1">IFERROR(__xludf.DUMMYFUNCTION("""COMPUTED_VALUE"""),154451907)</f>
        <v>154451907</v>
      </c>
      <c r="H244" s="10" t="str">
        <f ca="1">IFERROR(__xludf.DUMMYFUNCTION("""COMPUTED_VALUE"""),"Resolución")</f>
        <v>Resolución</v>
      </c>
      <c r="I244" s="10" t="str">
        <f ca="1">IFERROR(__xludf.DUMMYFUNCTION("""COMPUTED_VALUE"""),"OBRA")</f>
        <v>OBRA</v>
      </c>
      <c r="J244" s="10" t="str">
        <f ca="1">IFERROR(__xludf.DUMMYFUNCTION("""COMPUTED_VALUE"""),"Cumplir con normativa y reglamentos internos del programa en base a los objetivos.")</f>
        <v>Cumplir con normativa y reglamentos internos del programa en base a los objetivos.</v>
      </c>
      <c r="K244" s="71">
        <f ca="1">IFERROR(__xludf.DUMMYFUNCTION("""COMPUTED_VALUE"""),154451907)</f>
        <v>154451907</v>
      </c>
      <c r="L244" s="72">
        <f ca="1">IFERROR(__xludf.DUMMYFUNCTION("""COMPUTED_VALUE"""),1)</f>
        <v>1</v>
      </c>
      <c r="M244" s="10">
        <f ca="1">IFERROR(__xludf.DUMMYFUNCTION("""COMPUTED_VALUE"""),821)</f>
        <v>821</v>
      </c>
      <c r="N244" s="10" t="str">
        <f ca="1">IFERROR(__xludf.DUMMYFUNCTION("""COMPUTED_VALUE"""),"PMU")</f>
        <v>PMU</v>
      </c>
      <c r="O244" s="1"/>
      <c r="P244" s="1"/>
      <c r="Q244" s="1"/>
      <c r="R244" s="1"/>
      <c r="S244" s="1"/>
      <c r="T244" s="1"/>
      <c r="U244" s="1"/>
      <c r="V244" s="1"/>
      <c r="W244" s="1"/>
      <c r="X244" s="1"/>
      <c r="Y244" s="1"/>
      <c r="Z244" s="1"/>
    </row>
    <row r="245" spans="1:26" ht="12.75" customHeight="1">
      <c r="A245" s="1"/>
      <c r="B245" s="10" t="str">
        <f ca="1">IFERROR(__xludf.DUMMYFUNCTION("""COMPUTED_VALUE"""),"MEJORAMIENTO ESPACIO PÚBLICO PASAJE CASTOR - ALFA DE LA CRUZ, COMUNA DE PUDAHUEL")</f>
        <v>MEJORAMIENTO ESPACIO PÚBLICO PASAJE CASTOR - ALFA DE LA CRUZ, COMUNA DE PUDAHUEL</v>
      </c>
      <c r="C245" s="10" t="str">
        <f ca="1">IFERROR(__xludf.DUMMYFUNCTION("""COMPUTED_VALUE"""),"1-C-2023-2602")</f>
        <v>1-C-2023-2602</v>
      </c>
      <c r="D245" s="26" t="str">
        <f t="shared" ca="1" si="0"/>
        <v xml:space="preserve"> PUDAHUEL</v>
      </c>
      <c r="E245" s="10" t="str">
        <f ca="1">IFERROR(__xludf.DUMMYFUNCTION("""COMPUTED_VALUE"""),"Guía Operativa")</f>
        <v>Guía Operativa</v>
      </c>
      <c r="F245" s="10" t="str">
        <f ca="1">IFERROR(__xludf.DUMMYFUNCTION("""COMPUTED_VALUE"""),"MUNICIPALIDAD DE PUDAHUEL")</f>
        <v>MUNICIPALIDAD DE PUDAHUEL</v>
      </c>
      <c r="G245" s="71">
        <f ca="1">IFERROR(__xludf.DUMMYFUNCTION("""COMPUTED_VALUE"""),154017977)</f>
        <v>154017977</v>
      </c>
      <c r="H245" s="10" t="str">
        <f ca="1">IFERROR(__xludf.DUMMYFUNCTION("""COMPUTED_VALUE"""),"Resolución")</f>
        <v>Resolución</v>
      </c>
      <c r="I245" s="10" t="str">
        <f ca="1">IFERROR(__xludf.DUMMYFUNCTION("""COMPUTED_VALUE"""),"OBRA")</f>
        <v>OBRA</v>
      </c>
      <c r="J245" s="10" t="str">
        <f ca="1">IFERROR(__xludf.DUMMYFUNCTION("""COMPUTED_VALUE"""),"Cumplir con normativa y reglamentos internos del programa en base a los objetivos.")</f>
        <v>Cumplir con normativa y reglamentos internos del programa en base a los objetivos.</v>
      </c>
      <c r="K245" s="71">
        <f ca="1">IFERROR(__xludf.DUMMYFUNCTION("""COMPUTED_VALUE"""),154017977)</f>
        <v>154017977</v>
      </c>
      <c r="L245" s="72">
        <f ca="1">IFERROR(__xludf.DUMMYFUNCTION("""COMPUTED_VALUE"""),1)</f>
        <v>1</v>
      </c>
      <c r="M245" s="10">
        <f ca="1">IFERROR(__xludf.DUMMYFUNCTION("""COMPUTED_VALUE"""),1352)</f>
        <v>1352</v>
      </c>
      <c r="N245" s="10" t="str">
        <f ca="1">IFERROR(__xludf.DUMMYFUNCTION("""COMPUTED_VALUE"""),"PMU")</f>
        <v>PMU</v>
      </c>
      <c r="O245" s="1"/>
      <c r="P245" s="1"/>
      <c r="Q245" s="1"/>
      <c r="R245" s="1"/>
      <c r="S245" s="1"/>
      <c r="T245" s="1"/>
      <c r="U245" s="1"/>
      <c r="V245" s="1"/>
      <c r="W245" s="1"/>
      <c r="X245" s="1"/>
      <c r="Y245" s="1"/>
      <c r="Z245" s="1"/>
    </row>
    <row r="246" spans="1:26" ht="12.75" customHeight="1">
      <c r="A246" s="1"/>
      <c r="B246" s="10" t="str">
        <f ca="1">IFERROR(__xludf.DUMMYFUNCTION("""COMPUTED_VALUE"""),"CONSTRUCCIÓN DEL ESPACIO PÚBLICO EN PASAJE RENCA CON ISLAS VIRGENES")</f>
        <v>CONSTRUCCIÓN DEL ESPACIO PÚBLICO EN PASAJE RENCA CON ISLAS VIRGENES</v>
      </c>
      <c r="C246" s="10" t="str">
        <f ca="1">IFERROR(__xludf.DUMMYFUNCTION("""COMPUTED_VALUE"""),"1-C-2023-2605")</f>
        <v>1-C-2023-2605</v>
      </c>
      <c r="D246" s="26" t="str">
        <f t="shared" ca="1" si="0"/>
        <v xml:space="preserve"> PUDAHUEL</v>
      </c>
      <c r="E246" s="10" t="str">
        <f ca="1">IFERROR(__xludf.DUMMYFUNCTION("""COMPUTED_VALUE"""),"Guía Operativa")</f>
        <v>Guía Operativa</v>
      </c>
      <c r="F246" s="10" t="str">
        <f ca="1">IFERROR(__xludf.DUMMYFUNCTION("""COMPUTED_VALUE"""),"MUNICIPALIDAD DE PUDAHUEL")</f>
        <v>MUNICIPALIDAD DE PUDAHUEL</v>
      </c>
      <c r="G246" s="71">
        <f ca="1">IFERROR(__xludf.DUMMYFUNCTION("""COMPUTED_VALUE"""),131368917)</f>
        <v>131368917</v>
      </c>
      <c r="H246" s="10" t="str">
        <f ca="1">IFERROR(__xludf.DUMMYFUNCTION("""COMPUTED_VALUE"""),"Resolución")</f>
        <v>Resolución</v>
      </c>
      <c r="I246" s="10" t="str">
        <f ca="1">IFERROR(__xludf.DUMMYFUNCTION("""COMPUTED_VALUE"""),"OBRA")</f>
        <v>OBRA</v>
      </c>
      <c r="J246" s="10" t="str">
        <f ca="1">IFERROR(__xludf.DUMMYFUNCTION("""COMPUTED_VALUE"""),"Cumplir con normativa y reglamentos internos del programa en base a los objetivos.")</f>
        <v>Cumplir con normativa y reglamentos internos del programa en base a los objetivos.</v>
      </c>
      <c r="K246" s="71">
        <f ca="1">IFERROR(__xludf.DUMMYFUNCTION("""COMPUTED_VALUE"""),131368917)</f>
        <v>131368917</v>
      </c>
      <c r="L246" s="72">
        <f ca="1">IFERROR(__xludf.DUMMYFUNCTION("""COMPUTED_VALUE"""),1)</f>
        <v>1</v>
      </c>
      <c r="M246" s="10">
        <f ca="1">IFERROR(__xludf.DUMMYFUNCTION("""COMPUTED_VALUE"""),1332)</f>
        <v>1332</v>
      </c>
      <c r="N246" s="10" t="str">
        <f ca="1">IFERROR(__xludf.DUMMYFUNCTION("""COMPUTED_VALUE"""),"PMU")</f>
        <v>PMU</v>
      </c>
      <c r="O246" s="1"/>
      <c r="P246" s="1"/>
      <c r="Q246" s="1"/>
      <c r="R246" s="1"/>
      <c r="S246" s="1"/>
      <c r="T246" s="1"/>
      <c r="U246" s="1"/>
      <c r="V246" s="1"/>
      <c r="W246" s="1"/>
      <c r="X246" s="1"/>
      <c r="Y246" s="1"/>
      <c r="Z246" s="1"/>
    </row>
    <row r="247" spans="1:26" ht="12.75" customHeight="1">
      <c r="A247" s="1"/>
      <c r="B247" s="10" t="str">
        <f ca="1">IFERROR(__xludf.DUMMYFUNCTION("""COMPUTED_VALUE"""),"MEJORAMIENTO DE ILUMINACIÓN PEATONAL EN DISTINTOS PUNTOS, COMUNA DE SAN RAMÓN")</f>
        <v>MEJORAMIENTO DE ILUMINACIÓN PEATONAL EN DISTINTOS PUNTOS, COMUNA DE SAN RAMÓN</v>
      </c>
      <c r="C247" s="10" t="str">
        <f ca="1">IFERROR(__xludf.DUMMYFUNCTION("""COMPUTED_VALUE"""),"1-C-2023-2606")</f>
        <v>1-C-2023-2606</v>
      </c>
      <c r="D247" s="26" t="str">
        <f t="shared" ca="1" si="0"/>
        <v xml:space="preserve"> SAN RAMÓN</v>
      </c>
      <c r="E247" s="10" t="str">
        <f ca="1">IFERROR(__xludf.DUMMYFUNCTION("""COMPUTED_VALUE"""),"Guía Operativa")</f>
        <v>Guía Operativa</v>
      </c>
      <c r="F247" s="10" t="str">
        <f ca="1">IFERROR(__xludf.DUMMYFUNCTION("""COMPUTED_VALUE"""),"MUNICIPALIDAD DE SAN RAMÓN")</f>
        <v>MUNICIPALIDAD DE SAN RAMÓN</v>
      </c>
      <c r="G247" s="71">
        <f ca="1">IFERROR(__xludf.DUMMYFUNCTION("""COMPUTED_VALUE"""),154421540)</f>
        <v>154421540</v>
      </c>
      <c r="H247" s="10" t="str">
        <f ca="1">IFERROR(__xludf.DUMMYFUNCTION("""COMPUTED_VALUE"""),"Resolución")</f>
        <v>Resolución</v>
      </c>
      <c r="I247" s="10" t="str">
        <f ca="1">IFERROR(__xludf.DUMMYFUNCTION("""COMPUTED_VALUE"""),"OBRA")</f>
        <v>OBRA</v>
      </c>
      <c r="J247" s="10" t="str">
        <f ca="1">IFERROR(__xludf.DUMMYFUNCTION("""COMPUTED_VALUE"""),"Cumplir con normativa y reglamentos internos del programa en base a los objetivos.")</f>
        <v>Cumplir con normativa y reglamentos internos del programa en base a los objetivos.</v>
      </c>
      <c r="K247" s="71">
        <f ca="1">IFERROR(__xludf.DUMMYFUNCTION("""COMPUTED_VALUE"""),154421540)</f>
        <v>154421540</v>
      </c>
      <c r="L247" s="72">
        <f ca="1">IFERROR(__xludf.DUMMYFUNCTION("""COMPUTED_VALUE"""),1)</f>
        <v>1</v>
      </c>
      <c r="M247" s="10">
        <f ca="1">IFERROR(__xludf.DUMMYFUNCTION("""COMPUTED_VALUE"""),821)</f>
        <v>821</v>
      </c>
      <c r="N247" s="10" t="str">
        <f ca="1">IFERROR(__xludf.DUMMYFUNCTION("""COMPUTED_VALUE"""),"PMU")</f>
        <v>PMU</v>
      </c>
      <c r="O247" s="1"/>
      <c r="P247" s="1"/>
      <c r="Q247" s="1"/>
      <c r="R247" s="1"/>
      <c r="S247" s="1"/>
      <c r="T247" s="1"/>
      <c r="U247" s="1"/>
      <c r="V247" s="1"/>
      <c r="W247" s="1"/>
      <c r="X247" s="1"/>
      <c r="Y247" s="1"/>
      <c r="Z247" s="1"/>
    </row>
    <row r="248" spans="1:26" ht="12.75" customHeight="1">
      <c r="A248" s="1"/>
      <c r="B248" s="10" t="str">
        <f ca="1">IFERROR(__xludf.DUMMYFUNCTION("""COMPUTED_VALUE"""),"MEJORAMIENTO ESPACIO PÚBLICO SECTOR CERRO NEGRO CON GOYCOLEA, SAN RAMÓN")</f>
        <v>MEJORAMIENTO ESPACIO PÚBLICO SECTOR CERRO NEGRO CON GOYCOLEA, SAN RAMÓN</v>
      </c>
      <c r="C248" s="10" t="str">
        <f ca="1">IFERROR(__xludf.DUMMYFUNCTION("""COMPUTED_VALUE"""),"1-C-2023-2608")</f>
        <v>1-C-2023-2608</v>
      </c>
      <c r="D248" s="26" t="str">
        <f t="shared" ca="1" si="0"/>
        <v xml:space="preserve"> SAN RAMÓN</v>
      </c>
      <c r="E248" s="10" t="str">
        <f ca="1">IFERROR(__xludf.DUMMYFUNCTION("""COMPUTED_VALUE"""),"Guía Operativa")</f>
        <v>Guía Operativa</v>
      </c>
      <c r="F248" s="10" t="str">
        <f ca="1">IFERROR(__xludf.DUMMYFUNCTION("""COMPUTED_VALUE"""),"MUNICIPALIDAD DE SAN RAMÓN")</f>
        <v>MUNICIPALIDAD DE SAN RAMÓN</v>
      </c>
      <c r="G248" s="71">
        <f ca="1">IFERROR(__xludf.DUMMYFUNCTION("""COMPUTED_VALUE"""),95952674)</f>
        <v>95952674</v>
      </c>
      <c r="H248" s="10" t="str">
        <f ca="1">IFERROR(__xludf.DUMMYFUNCTION("""COMPUTED_VALUE"""),"Resolución")</f>
        <v>Resolución</v>
      </c>
      <c r="I248" s="10" t="str">
        <f ca="1">IFERROR(__xludf.DUMMYFUNCTION("""COMPUTED_VALUE"""),"OBRA")</f>
        <v>OBRA</v>
      </c>
      <c r="J248" s="10" t="str">
        <f ca="1">IFERROR(__xludf.DUMMYFUNCTION("""COMPUTED_VALUE"""),"Cumplir con normativa y reglamentos internos del programa en base a los objetivos.")</f>
        <v>Cumplir con normativa y reglamentos internos del programa en base a los objetivos.</v>
      </c>
      <c r="K248" s="71">
        <f ca="1">IFERROR(__xludf.DUMMYFUNCTION("""COMPUTED_VALUE"""),95952674)</f>
        <v>95952674</v>
      </c>
      <c r="L248" s="72">
        <f ca="1">IFERROR(__xludf.DUMMYFUNCTION("""COMPUTED_VALUE"""),1)</f>
        <v>1</v>
      </c>
      <c r="M248" s="10">
        <f ca="1">IFERROR(__xludf.DUMMYFUNCTION("""COMPUTED_VALUE"""),1015)</f>
        <v>1015</v>
      </c>
      <c r="N248" s="10" t="str">
        <f ca="1">IFERROR(__xludf.DUMMYFUNCTION("""COMPUTED_VALUE"""),"PMU")</f>
        <v>PMU</v>
      </c>
      <c r="O248" s="1"/>
      <c r="P248" s="1"/>
      <c r="Q248" s="1"/>
      <c r="R248" s="1"/>
      <c r="S248" s="1"/>
      <c r="T248" s="1"/>
      <c r="U248" s="1"/>
      <c r="V248" s="1"/>
      <c r="W248" s="1"/>
      <c r="X248" s="1"/>
      <c r="Y248" s="1"/>
      <c r="Z248" s="1"/>
    </row>
    <row r="249" spans="1:26" ht="12.75" customHeight="1">
      <c r="A249" s="1"/>
      <c r="B249" s="10" t="str">
        <f ca="1">IFERROR(__xludf.DUMMYFUNCTION("""COMPUTED_VALUE"""),"CONSTRUCCIÓN CIERRE PERIMETRAL CANAL ORTUZANO")</f>
        <v>CONSTRUCCIÓN CIERRE PERIMETRAL CANAL ORTUZANO</v>
      </c>
      <c r="C249" s="10" t="str">
        <f ca="1">IFERROR(__xludf.DUMMYFUNCTION("""COMPUTED_VALUE"""),"1-C-2023-2761")</f>
        <v>1-C-2023-2761</v>
      </c>
      <c r="D249" s="26" t="str">
        <f t="shared" ca="1" si="0"/>
        <v xml:space="preserve"> CERRILLOS</v>
      </c>
      <c r="E249" s="10" t="str">
        <f ca="1">IFERROR(__xludf.DUMMYFUNCTION("""COMPUTED_VALUE"""),"Guía Operativa")</f>
        <v>Guía Operativa</v>
      </c>
      <c r="F249" s="10" t="str">
        <f ca="1">IFERROR(__xludf.DUMMYFUNCTION("""COMPUTED_VALUE"""),"MUNICIPALIDAD DE CERRILLOS")</f>
        <v>MUNICIPALIDAD DE CERRILLOS</v>
      </c>
      <c r="G249" s="71">
        <f ca="1">IFERROR(__xludf.DUMMYFUNCTION("""COMPUTED_VALUE"""),130491681)</f>
        <v>130491681</v>
      </c>
      <c r="H249" s="10" t="str">
        <f ca="1">IFERROR(__xludf.DUMMYFUNCTION("""COMPUTED_VALUE"""),"Resolución")</f>
        <v>Resolución</v>
      </c>
      <c r="I249" s="10" t="str">
        <f ca="1">IFERROR(__xludf.DUMMYFUNCTION("""COMPUTED_VALUE"""),"OBRA")</f>
        <v>OBRA</v>
      </c>
      <c r="J249" s="10" t="str">
        <f ca="1">IFERROR(__xludf.DUMMYFUNCTION("""COMPUTED_VALUE"""),"Cumplir con normativa y reglamentos internos del programa en base a los objetivos.")</f>
        <v>Cumplir con normativa y reglamentos internos del programa en base a los objetivos.</v>
      </c>
      <c r="K249" s="71">
        <f ca="1">IFERROR(__xludf.DUMMYFUNCTION("""COMPUTED_VALUE"""),130491681)</f>
        <v>130491681</v>
      </c>
      <c r="L249" s="72">
        <f ca="1">IFERROR(__xludf.DUMMYFUNCTION("""COMPUTED_VALUE"""),1)</f>
        <v>1</v>
      </c>
      <c r="M249" s="10">
        <f ca="1">IFERROR(__xludf.DUMMYFUNCTION("""COMPUTED_VALUE"""),1264)</f>
        <v>1264</v>
      </c>
      <c r="N249" s="10" t="str">
        <f ca="1">IFERROR(__xludf.DUMMYFUNCTION("""COMPUTED_VALUE"""),"PMU")</f>
        <v>PMU</v>
      </c>
      <c r="O249" s="1"/>
      <c r="P249" s="1"/>
      <c r="Q249" s="1"/>
      <c r="R249" s="1"/>
      <c r="S249" s="1"/>
      <c r="T249" s="1"/>
      <c r="U249" s="1"/>
      <c r="V249" s="1"/>
      <c r="W249" s="1"/>
      <c r="X249" s="1"/>
      <c r="Y249" s="1"/>
      <c r="Z249" s="1"/>
    </row>
    <row r="250" spans="1:26" ht="12.75" customHeight="1">
      <c r="A250" s="1"/>
      <c r="B250" s="10" t="str">
        <f ca="1">IFERROR(__xludf.DUMMYFUNCTION("""COMPUTED_VALUE"""),"CONSTRUCCION DE LA ILUMINACION PEATONAL PLAZA MEXICO")</f>
        <v>CONSTRUCCION DE LA ILUMINACION PEATONAL PLAZA MEXICO</v>
      </c>
      <c r="C250" s="10" t="str">
        <f ca="1">IFERROR(__xludf.DUMMYFUNCTION("""COMPUTED_VALUE"""),"1-C-2023-2804")</f>
        <v>1-C-2023-2804</v>
      </c>
      <c r="D250" s="26" t="str">
        <f t="shared" ca="1" si="0"/>
        <v xml:space="preserve"> QUINTA NORMAL</v>
      </c>
      <c r="E250" s="10" t="str">
        <f ca="1">IFERROR(__xludf.DUMMYFUNCTION("""COMPUTED_VALUE"""),"Guía Operativa")</f>
        <v>Guía Operativa</v>
      </c>
      <c r="F250" s="10" t="str">
        <f ca="1">IFERROR(__xludf.DUMMYFUNCTION("""COMPUTED_VALUE"""),"MUNICIPALIDAD DE QUINTA NORMAL")</f>
        <v>MUNICIPALIDAD DE QUINTA NORMAL</v>
      </c>
      <c r="G250" s="71">
        <f ca="1">IFERROR(__xludf.DUMMYFUNCTION("""COMPUTED_VALUE"""),37125620)</f>
        <v>37125620</v>
      </c>
      <c r="H250" s="10" t="str">
        <f ca="1">IFERROR(__xludf.DUMMYFUNCTION("""COMPUTED_VALUE"""),"Resolución")</f>
        <v>Resolución</v>
      </c>
      <c r="I250" s="10" t="str">
        <f ca="1">IFERROR(__xludf.DUMMYFUNCTION("""COMPUTED_VALUE"""),"OBRA")</f>
        <v>OBRA</v>
      </c>
      <c r="J250" s="10" t="str">
        <f ca="1">IFERROR(__xludf.DUMMYFUNCTION("""COMPUTED_VALUE"""),"Cumplir con normativa y reglamentos internos del programa en base a los objetivos.")</f>
        <v>Cumplir con normativa y reglamentos internos del programa en base a los objetivos.</v>
      </c>
      <c r="K250" s="71">
        <f ca="1">IFERROR(__xludf.DUMMYFUNCTION("""COMPUTED_VALUE"""),37125620)</f>
        <v>37125620</v>
      </c>
      <c r="L250" s="72">
        <f ca="1">IFERROR(__xludf.DUMMYFUNCTION("""COMPUTED_VALUE"""),1)</f>
        <v>1</v>
      </c>
      <c r="M250" s="10">
        <f ca="1">IFERROR(__xludf.DUMMYFUNCTION("""COMPUTED_VALUE"""),850)</f>
        <v>850</v>
      </c>
      <c r="N250" s="10" t="str">
        <f ca="1">IFERROR(__xludf.DUMMYFUNCTION("""COMPUTED_VALUE"""),"PMU")</f>
        <v>PMU</v>
      </c>
      <c r="O250" s="1"/>
      <c r="P250" s="1"/>
      <c r="Q250" s="1"/>
      <c r="R250" s="1"/>
      <c r="S250" s="1"/>
      <c r="T250" s="1"/>
      <c r="U250" s="1"/>
      <c r="V250" s="1"/>
      <c r="W250" s="1"/>
      <c r="X250" s="1"/>
      <c r="Y250" s="1"/>
      <c r="Z250" s="1"/>
    </row>
    <row r="251" spans="1:26" ht="12.75" customHeight="1">
      <c r="A251" s="1"/>
      <c r="B251" s="10" t="str">
        <f ca="1">IFERROR(__xludf.DUMMYFUNCTION("""COMPUTED_VALUE"""),"MEJORAMIENTO PLAZA CHAÑARAL, COMUNA DE COLINA")</f>
        <v>MEJORAMIENTO PLAZA CHAÑARAL, COMUNA DE COLINA</v>
      </c>
      <c r="C251" s="10" t="str">
        <f ca="1">IFERROR(__xludf.DUMMYFUNCTION("""COMPUTED_VALUE"""),"1-C-2023-2806")</f>
        <v>1-C-2023-2806</v>
      </c>
      <c r="D251" s="26" t="str">
        <f t="shared" ca="1" si="0"/>
        <v xml:space="preserve"> COLINA</v>
      </c>
      <c r="E251" s="10" t="str">
        <f ca="1">IFERROR(__xludf.DUMMYFUNCTION("""COMPUTED_VALUE"""),"Guía Operativa")</f>
        <v>Guía Operativa</v>
      </c>
      <c r="F251" s="10" t="str">
        <f ca="1">IFERROR(__xludf.DUMMYFUNCTION("""COMPUTED_VALUE"""),"MUNICIPALIDAD DE COLINA")</f>
        <v>MUNICIPALIDAD DE COLINA</v>
      </c>
      <c r="G251" s="71">
        <f ca="1">IFERROR(__xludf.DUMMYFUNCTION("""COMPUTED_VALUE"""),66573714)</f>
        <v>66573714</v>
      </c>
      <c r="H251" s="10" t="str">
        <f ca="1">IFERROR(__xludf.DUMMYFUNCTION("""COMPUTED_VALUE"""),"Resolución")</f>
        <v>Resolución</v>
      </c>
      <c r="I251" s="10" t="str">
        <f ca="1">IFERROR(__xludf.DUMMYFUNCTION("""COMPUTED_VALUE"""),"OBRA")</f>
        <v>OBRA</v>
      </c>
      <c r="J251" s="10" t="str">
        <f ca="1">IFERROR(__xludf.DUMMYFUNCTION("""COMPUTED_VALUE"""),"Cumplir con normativa y reglamentos internos del programa en base a los objetivos.")</f>
        <v>Cumplir con normativa y reglamentos internos del programa en base a los objetivos.</v>
      </c>
      <c r="K251" s="71">
        <f ca="1">IFERROR(__xludf.DUMMYFUNCTION("""COMPUTED_VALUE"""),66573714)</f>
        <v>66573714</v>
      </c>
      <c r="L251" s="72">
        <f ca="1">IFERROR(__xludf.DUMMYFUNCTION("""COMPUTED_VALUE"""),1)</f>
        <v>1</v>
      </c>
      <c r="M251" s="10">
        <f ca="1">IFERROR(__xludf.DUMMYFUNCTION("""COMPUTED_VALUE"""),1338)</f>
        <v>1338</v>
      </c>
      <c r="N251" s="10" t="str">
        <f ca="1">IFERROR(__xludf.DUMMYFUNCTION("""COMPUTED_VALUE"""),"PMU")</f>
        <v>PMU</v>
      </c>
      <c r="O251" s="1"/>
      <c r="P251" s="1"/>
      <c r="Q251" s="1"/>
      <c r="R251" s="1"/>
      <c r="S251" s="1"/>
      <c r="T251" s="1"/>
      <c r="U251" s="1"/>
      <c r="V251" s="1"/>
      <c r="W251" s="1"/>
      <c r="X251" s="1"/>
      <c r="Y251" s="1"/>
      <c r="Z251" s="1"/>
    </row>
    <row r="252" spans="1:26" ht="12.75" customHeight="1">
      <c r="A252" s="1"/>
      <c r="B252" s="10" t="str">
        <f ca="1">IFERROR(__xludf.DUMMYFUNCTION("""COMPUTED_VALUE"""),"CONSERVACION CIERRO EXISTENTE SECTOR SANTA CORINA, COMUNA ESTACIÓN CENTRAL")</f>
        <v>CONSERVACION CIERRO EXISTENTE SECTOR SANTA CORINA, COMUNA ESTACIÓN CENTRAL</v>
      </c>
      <c r="C252" s="10" t="str">
        <f ca="1">IFERROR(__xludf.DUMMYFUNCTION("""COMPUTED_VALUE"""),"1-C-2023-2811")</f>
        <v>1-C-2023-2811</v>
      </c>
      <c r="D252" s="26" t="str">
        <f t="shared" ca="1" si="0"/>
        <v xml:space="preserve"> ESTACIÓN CENTRAL</v>
      </c>
      <c r="E252" s="10" t="str">
        <f ca="1">IFERROR(__xludf.DUMMYFUNCTION("""COMPUTED_VALUE"""),"Guía Operativa")</f>
        <v>Guía Operativa</v>
      </c>
      <c r="F252" s="10" t="str">
        <f ca="1">IFERROR(__xludf.DUMMYFUNCTION("""COMPUTED_VALUE"""),"MUNICIPALIDAD DE ESTACIÓN CENTRAL")</f>
        <v>MUNICIPALIDAD DE ESTACIÓN CENTRAL</v>
      </c>
      <c r="G252" s="71">
        <f ca="1">IFERROR(__xludf.DUMMYFUNCTION("""COMPUTED_VALUE"""),84996169)</f>
        <v>84996169</v>
      </c>
      <c r="H252" s="10" t="str">
        <f ca="1">IFERROR(__xludf.DUMMYFUNCTION("""COMPUTED_VALUE"""),"Resolución")</f>
        <v>Resolución</v>
      </c>
      <c r="I252" s="10" t="str">
        <f ca="1">IFERROR(__xludf.DUMMYFUNCTION("""COMPUTED_VALUE"""),"OBRA")</f>
        <v>OBRA</v>
      </c>
      <c r="J252" s="10" t="str">
        <f ca="1">IFERROR(__xludf.DUMMYFUNCTION("""COMPUTED_VALUE"""),"Cumplir con normativa y reglamentos internos del programa en base a los objetivos.")</f>
        <v>Cumplir con normativa y reglamentos internos del programa en base a los objetivos.</v>
      </c>
      <c r="K252" s="71">
        <f ca="1">IFERROR(__xludf.DUMMYFUNCTION("""COMPUTED_VALUE"""),84996169)</f>
        <v>84996169</v>
      </c>
      <c r="L252" s="72">
        <f ca="1">IFERROR(__xludf.DUMMYFUNCTION("""COMPUTED_VALUE"""),1)</f>
        <v>1</v>
      </c>
      <c r="M252" s="10">
        <f ca="1">IFERROR(__xludf.DUMMYFUNCTION("""COMPUTED_VALUE"""),1331)</f>
        <v>1331</v>
      </c>
      <c r="N252" s="10" t="str">
        <f ca="1">IFERROR(__xludf.DUMMYFUNCTION("""COMPUTED_VALUE"""),"PMU")</f>
        <v>PMU</v>
      </c>
      <c r="O252" s="1"/>
      <c r="P252" s="1"/>
      <c r="Q252" s="1"/>
      <c r="R252" s="1"/>
      <c r="S252" s="1"/>
      <c r="T252" s="1"/>
      <c r="U252" s="1"/>
      <c r="V252" s="1"/>
      <c r="W252" s="1"/>
      <c r="X252" s="1"/>
      <c r="Y252" s="1"/>
      <c r="Z252" s="1"/>
    </row>
    <row r="253" spans="1:26" ht="12.75" customHeight="1">
      <c r="A253" s="1"/>
      <c r="B253" s="10" t="str">
        <f ca="1">IFERROR(__xludf.DUMMYFUNCTION("""COMPUTED_VALUE"""),"MEJORAMIENTO ESPACIO PÚBLICO PASAJE 24, EN UV 24, POBLACIÓN SANTA ADRIANA")</f>
        <v>MEJORAMIENTO ESPACIO PÚBLICO PASAJE 24, EN UV 24, POBLACIÓN SANTA ADRIANA</v>
      </c>
      <c r="C253" s="10" t="str">
        <f ca="1">IFERROR(__xludf.DUMMYFUNCTION("""COMPUTED_VALUE"""),"1-C-2023-3236")</f>
        <v>1-C-2023-3236</v>
      </c>
      <c r="D253" s="26" t="str">
        <f t="shared" ca="1" si="0"/>
        <v xml:space="preserve"> LO ESPEJO</v>
      </c>
      <c r="E253" s="10" t="str">
        <f ca="1">IFERROR(__xludf.DUMMYFUNCTION("""COMPUTED_VALUE"""),"Guía Operativa")</f>
        <v>Guía Operativa</v>
      </c>
      <c r="F253" s="10" t="str">
        <f ca="1">IFERROR(__xludf.DUMMYFUNCTION("""COMPUTED_VALUE"""),"MUNICIPALIDAD DE LO ESPEJO")</f>
        <v>MUNICIPALIDAD DE LO ESPEJO</v>
      </c>
      <c r="G253" s="71">
        <f ca="1">IFERROR(__xludf.DUMMYFUNCTION("""COMPUTED_VALUE"""),153360126)</f>
        <v>153360126</v>
      </c>
      <c r="H253" s="10" t="str">
        <f ca="1">IFERROR(__xludf.DUMMYFUNCTION("""COMPUTED_VALUE"""),"Resolución")</f>
        <v>Resolución</v>
      </c>
      <c r="I253" s="10" t="str">
        <f ca="1">IFERROR(__xludf.DUMMYFUNCTION("""COMPUTED_VALUE"""),"OBRA")</f>
        <v>OBRA</v>
      </c>
      <c r="J253" s="10" t="str">
        <f ca="1">IFERROR(__xludf.DUMMYFUNCTION("""COMPUTED_VALUE"""),"Cumplir con normativa y reglamentos internos del programa en base a los objetivos.")</f>
        <v>Cumplir con normativa y reglamentos internos del programa en base a los objetivos.</v>
      </c>
      <c r="K253" s="71">
        <f ca="1">IFERROR(__xludf.DUMMYFUNCTION("""COMPUTED_VALUE"""),153360126)</f>
        <v>153360126</v>
      </c>
      <c r="L253" s="72">
        <f ca="1">IFERROR(__xludf.DUMMYFUNCTION("""COMPUTED_VALUE"""),1)</f>
        <v>1</v>
      </c>
      <c r="M253" s="10">
        <f ca="1">IFERROR(__xludf.DUMMYFUNCTION("""COMPUTED_VALUE"""),1340)</f>
        <v>1340</v>
      </c>
      <c r="N253" s="10" t="str">
        <f ca="1">IFERROR(__xludf.DUMMYFUNCTION("""COMPUTED_VALUE"""),"PMU")</f>
        <v>PMU</v>
      </c>
      <c r="O253" s="1"/>
      <c r="P253" s="1"/>
      <c r="Q253" s="1"/>
      <c r="R253" s="1"/>
      <c r="S253" s="1"/>
      <c r="T253" s="1"/>
      <c r="U253" s="1"/>
      <c r="V253" s="1"/>
      <c r="W253" s="1"/>
      <c r="X253" s="1"/>
      <c r="Y253" s="1"/>
      <c r="Z253" s="1"/>
    </row>
    <row r="254" spans="1:26" ht="12.75" customHeight="1">
      <c r="A254" s="1"/>
      <c r="B254" s="10" t="str">
        <f ca="1">IFERROR(__xludf.DUMMYFUNCTION("""COMPUTED_VALUE"""),"MEJORAMIENTO PLAZA PRINCIPAL UV N° 2")</f>
        <v>MEJORAMIENTO PLAZA PRINCIPAL UV N° 2</v>
      </c>
      <c r="C254" s="10" t="str">
        <f ca="1">IFERROR(__xludf.DUMMYFUNCTION("""COMPUTED_VALUE"""),"1-C-2023-3266")</f>
        <v>1-C-2023-3266</v>
      </c>
      <c r="D254" s="26" t="str">
        <f t="shared" ca="1" si="0"/>
        <v xml:space="preserve"> RECOLETA</v>
      </c>
      <c r="E254" s="10" t="str">
        <f ca="1">IFERROR(__xludf.DUMMYFUNCTION("""COMPUTED_VALUE"""),"Guía Operativa")</f>
        <v>Guía Operativa</v>
      </c>
      <c r="F254" s="10" t="str">
        <f ca="1">IFERROR(__xludf.DUMMYFUNCTION("""COMPUTED_VALUE"""),"MUNICIPALIDAD DE RECOLETA")</f>
        <v>MUNICIPALIDAD DE RECOLETA</v>
      </c>
      <c r="G254" s="71">
        <f ca="1">IFERROR(__xludf.DUMMYFUNCTION("""COMPUTED_VALUE"""),109599477)</f>
        <v>109599477</v>
      </c>
      <c r="H254" s="10" t="str">
        <f ca="1">IFERROR(__xludf.DUMMYFUNCTION("""COMPUTED_VALUE"""),"Resolución")</f>
        <v>Resolución</v>
      </c>
      <c r="I254" s="10" t="str">
        <f ca="1">IFERROR(__xludf.DUMMYFUNCTION("""COMPUTED_VALUE"""),"OBRA")</f>
        <v>OBRA</v>
      </c>
      <c r="J254" s="10" t="str">
        <f ca="1">IFERROR(__xludf.DUMMYFUNCTION("""COMPUTED_VALUE"""),"Cumplir con normativa y reglamentos internos del programa en base a los objetivos.")</f>
        <v>Cumplir con normativa y reglamentos internos del programa en base a los objetivos.</v>
      </c>
      <c r="K254" s="71">
        <f ca="1">IFERROR(__xludf.DUMMYFUNCTION("""COMPUTED_VALUE"""),109599477)</f>
        <v>109599477</v>
      </c>
      <c r="L254" s="72">
        <f ca="1">IFERROR(__xludf.DUMMYFUNCTION("""COMPUTED_VALUE"""),1)</f>
        <v>1</v>
      </c>
      <c r="M254" s="10">
        <f ca="1">IFERROR(__xludf.DUMMYFUNCTION("""COMPUTED_VALUE"""),1347)</f>
        <v>1347</v>
      </c>
      <c r="N254" s="10" t="str">
        <f ca="1">IFERROR(__xludf.DUMMYFUNCTION("""COMPUTED_VALUE"""),"PMU")</f>
        <v>PMU</v>
      </c>
      <c r="O254" s="1"/>
      <c r="P254" s="1"/>
      <c r="Q254" s="1"/>
      <c r="R254" s="1"/>
      <c r="S254" s="1"/>
      <c r="T254" s="1"/>
      <c r="U254" s="1"/>
      <c r="V254" s="1"/>
      <c r="W254" s="1"/>
      <c r="X254" s="1"/>
      <c r="Y254" s="1"/>
      <c r="Z254" s="1"/>
    </row>
    <row r="255" spans="1:26" ht="12.75" customHeight="1">
      <c r="A255" s="1"/>
      <c r="B255" s="10" t="str">
        <f ca="1">IFERROR(__xludf.DUMMYFUNCTION("""COMPUTED_VALUE"""),"[SATE] INSTALACIÓN Y REPOSICIÓN DE ALUMBRADO PÚBLICO LOS ESTEROS, TRAIGUEN, EL HUAPE Y CHAMPEL")</f>
        <v>[SATE] INSTALACIÓN Y REPOSICIÓN DE ALUMBRADO PÚBLICO LOS ESTEROS, TRAIGUEN, EL HUAPE Y CHAMPEL</v>
      </c>
      <c r="C255" s="10" t="str">
        <f ca="1">IFERROR(__xludf.DUMMYFUNCTION("""COMPUTED_VALUE"""),"1-C-2023-1383")</f>
        <v>1-C-2023-1383</v>
      </c>
      <c r="D255" s="26" t="str">
        <f t="shared" ca="1" si="0"/>
        <v xml:space="preserve"> LA UNIÓN</v>
      </c>
      <c r="E255" s="10" t="str">
        <f ca="1">IFERROR(__xludf.DUMMYFUNCTION("""COMPUTED_VALUE"""),"Guía Operativa")</f>
        <v>Guía Operativa</v>
      </c>
      <c r="F255" s="10" t="str">
        <f ca="1">IFERROR(__xludf.DUMMYFUNCTION("""COMPUTED_VALUE"""),"MUNICIPALIDAD DE LA UNIÓN")</f>
        <v>MUNICIPALIDAD DE LA UNIÓN</v>
      </c>
      <c r="G255" s="71">
        <f ca="1">IFERROR(__xludf.DUMMYFUNCTION("""COMPUTED_VALUE"""),114103754)</f>
        <v>114103754</v>
      </c>
      <c r="H255" s="10" t="str">
        <f ca="1">IFERROR(__xludf.DUMMYFUNCTION("""COMPUTED_VALUE"""),"Resolución")</f>
        <v>Resolución</v>
      </c>
      <c r="I255" s="10" t="str">
        <f ca="1">IFERROR(__xludf.DUMMYFUNCTION("""COMPUTED_VALUE"""),"OBRA")</f>
        <v>OBRA</v>
      </c>
      <c r="J255" s="10" t="str">
        <f ca="1">IFERROR(__xludf.DUMMYFUNCTION("""COMPUTED_VALUE"""),"Cumplir con normativa y reglamentos internos del programa en base a los objetivos.")</f>
        <v>Cumplir con normativa y reglamentos internos del programa en base a los objetivos.</v>
      </c>
      <c r="K255" s="71">
        <f ca="1">IFERROR(__xludf.DUMMYFUNCTION("""COMPUTED_VALUE"""),114103754)</f>
        <v>114103754</v>
      </c>
      <c r="L255" s="72">
        <f ca="1">IFERROR(__xludf.DUMMYFUNCTION("""COMPUTED_VALUE"""),1)</f>
        <v>1</v>
      </c>
      <c r="M255" s="10">
        <f ca="1">IFERROR(__xludf.DUMMYFUNCTION("""COMPUTED_VALUE"""),1358)</f>
        <v>1358</v>
      </c>
      <c r="N255" s="10" t="str">
        <f ca="1">IFERROR(__xludf.DUMMYFUNCTION("""COMPUTED_VALUE"""),"PMU")</f>
        <v>PMU</v>
      </c>
      <c r="O255" s="1"/>
      <c r="P255" s="1"/>
      <c r="Q255" s="1"/>
      <c r="R255" s="1"/>
      <c r="S255" s="1"/>
      <c r="T255" s="1"/>
      <c r="U255" s="1"/>
      <c r="V255" s="1"/>
      <c r="W255" s="1"/>
      <c r="X255" s="1"/>
      <c r="Y255" s="1"/>
      <c r="Z255" s="1"/>
    </row>
    <row r="256" spans="1:26" ht="12.75" customHeight="1">
      <c r="A256" s="1"/>
      <c r="B256" s="10" t="str">
        <f ca="1">IFERROR(__xludf.DUMMYFUNCTION("""COMPUTED_VALUE"""),"CONSTRUCCION CIERRE PERIMETRAL CANCHA RURAL, SECTOR LUMACO")</f>
        <v>CONSTRUCCION CIERRE PERIMETRAL CANCHA RURAL, SECTOR LUMACO</v>
      </c>
      <c r="C256" s="10" t="str">
        <f ca="1">IFERROR(__xludf.DUMMYFUNCTION("""COMPUTED_VALUE"""),"1-C-2023-1512")</f>
        <v>1-C-2023-1512</v>
      </c>
      <c r="D256" s="26" t="str">
        <f t="shared" ca="1" si="0"/>
        <v xml:space="preserve"> LANCO</v>
      </c>
      <c r="E256" s="10" t="str">
        <f ca="1">IFERROR(__xludf.DUMMYFUNCTION("""COMPUTED_VALUE"""),"Guía Operativa")</f>
        <v>Guía Operativa</v>
      </c>
      <c r="F256" s="10" t="str">
        <f ca="1">IFERROR(__xludf.DUMMYFUNCTION("""COMPUTED_VALUE"""),"MUNICIPALIDAD DE LANCO")</f>
        <v>MUNICIPALIDAD DE LANCO</v>
      </c>
      <c r="G256" s="71">
        <f ca="1">IFERROR(__xludf.DUMMYFUNCTION("""COMPUTED_VALUE"""),59388796)</f>
        <v>59388796</v>
      </c>
      <c r="H256" s="10" t="str">
        <f ca="1">IFERROR(__xludf.DUMMYFUNCTION("""COMPUTED_VALUE"""),"Resolución")</f>
        <v>Resolución</v>
      </c>
      <c r="I256" s="10" t="str">
        <f ca="1">IFERROR(__xludf.DUMMYFUNCTION("""COMPUTED_VALUE"""),"OBRA")</f>
        <v>OBRA</v>
      </c>
      <c r="J256" s="10" t="str">
        <f ca="1">IFERROR(__xludf.DUMMYFUNCTION("""COMPUTED_VALUE"""),"Cumplir con normativa y reglamentos internos del programa en base a los objetivos.")</f>
        <v>Cumplir con normativa y reglamentos internos del programa en base a los objetivos.</v>
      </c>
      <c r="K256" s="71">
        <f ca="1">IFERROR(__xludf.DUMMYFUNCTION("""COMPUTED_VALUE"""),59388796)</f>
        <v>59388796</v>
      </c>
      <c r="L256" s="72">
        <f ca="1">IFERROR(__xludf.DUMMYFUNCTION("""COMPUTED_VALUE"""),1)</f>
        <v>1</v>
      </c>
      <c r="M256" s="10">
        <f ca="1">IFERROR(__xludf.DUMMYFUNCTION("""COMPUTED_VALUE"""),1329)</f>
        <v>1329</v>
      </c>
      <c r="N256" s="10" t="str">
        <f ca="1">IFERROR(__xludf.DUMMYFUNCTION("""COMPUTED_VALUE"""),"PMU")</f>
        <v>PMU</v>
      </c>
      <c r="O256" s="1"/>
      <c r="P256" s="1"/>
      <c r="Q256" s="1"/>
      <c r="R256" s="1"/>
      <c r="S256" s="1"/>
      <c r="T256" s="1"/>
      <c r="U256" s="1"/>
      <c r="V256" s="1"/>
      <c r="W256" s="1"/>
      <c r="X256" s="1"/>
      <c r="Y256" s="1"/>
      <c r="Z256" s="1"/>
    </row>
    <row r="257" spans="1:26" ht="12.75" customHeight="1">
      <c r="A257" s="1"/>
      <c r="B257" s="10" t="str">
        <f ca="1">IFERROR(__xludf.DUMMYFUNCTION("""COMPUTED_VALUE"""),"REHABILITACIÓN PASARELA CONTRA, COMUNA DE RÍO BUENO, REGIÓN DE LOS RÍOS")</f>
        <v>REHABILITACIÓN PASARELA CONTRA, COMUNA DE RÍO BUENO, REGIÓN DE LOS RÍOS</v>
      </c>
      <c r="C257" s="10" t="str">
        <f ca="1">IFERROR(__xludf.DUMMYFUNCTION("""COMPUTED_VALUE"""),"1-C-2023-3155")</f>
        <v>1-C-2023-3155</v>
      </c>
      <c r="D257" s="26" t="str">
        <f t="shared" ca="1" si="0"/>
        <v xml:space="preserve"> RÍO BUENO</v>
      </c>
      <c r="E257" s="10" t="str">
        <f ca="1">IFERROR(__xludf.DUMMYFUNCTION("""COMPUTED_VALUE"""),"Guía Operativa")</f>
        <v>Guía Operativa</v>
      </c>
      <c r="F257" s="10" t="str">
        <f ca="1">IFERROR(__xludf.DUMMYFUNCTION("""COMPUTED_VALUE"""),"MUNICIPALIDAD DE RÍO BUENO")</f>
        <v>MUNICIPALIDAD DE RÍO BUENO</v>
      </c>
      <c r="G257" s="71">
        <f ca="1">IFERROR(__xludf.DUMMYFUNCTION("""COMPUTED_VALUE"""),132835312)</f>
        <v>132835312</v>
      </c>
      <c r="H257" s="10" t="str">
        <f ca="1">IFERROR(__xludf.DUMMYFUNCTION("""COMPUTED_VALUE"""),"Resolución")</f>
        <v>Resolución</v>
      </c>
      <c r="I257" s="10" t="str">
        <f ca="1">IFERROR(__xludf.DUMMYFUNCTION("""COMPUTED_VALUE"""),"OBRA")</f>
        <v>OBRA</v>
      </c>
      <c r="J257" s="10" t="str">
        <f ca="1">IFERROR(__xludf.DUMMYFUNCTION("""COMPUTED_VALUE"""),"Cumplir con normativa y reglamentos internos del programa en base a los objetivos.")</f>
        <v>Cumplir con normativa y reglamentos internos del programa en base a los objetivos.</v>
      </c>
      <c r="K257" s="71">
        <f ca="1">IFERROR(__xludf.DUMMYFUNCTION("""COMPUTED_VALUE"""),132835312)</f>
        <v>132835312</v>
      </c>
      <c r="L257" s="72">
        <f ca="1">IFERROR(__xludf.DUMMYFUNCTION("""COMPUTED_VALUE"""),1)</f>
        <v>1</v>
      </c>
      <c r="M257" s="10">
        <f ca="1">IFERROR(__xludf.DUMMYFUNCTION("""COMPUTED_VALUE"""),1354)</f>
        <v>1354</v>
      </c>
      <c r="N257" s="10" t="str">
        <f ca="1">IFERROR(__xludf.DUMMYFUNCTION("""COMPUTED_VALUE"""),"PMU")</f>
        <v>PMU</v>
      </c>
      <c r="O257" s="1"/>
      <c r="P257" s="1"/>
      <c r="Q257" s="1"/>
      <c r="R257" s="1"/>
      <c r="S257" s="1"/>
      <c r="T257" s="1"/>
      <c r="U257" s="1"/>
      <c r="V257" s="1"/>
      <c r="W257" s="1"/>
      <c r="X257" s="1"/>
      <c r="Y257" s="1"/>
      <c r="Z257" s="1"/>
    </row>
    <row r="258" spans="1:26" ht="12.75" customHeight="1">
      <c r="A258" s="1"/>
      <c r="B258" s="10" t="str">
        <f ca="1">IFERROR(__xludf.DUMMYFUNCTION("""COMPUTED_VALUE"""),"[SATE] CONSTRUCCIÓN CANCHA PASTO SINTETICO, SECTOR HUALTE, COMUNA DE NINHUE.")</f>
        <v>[SATE] CONSTRUCCIÓN CANCHA PASTO SINTETICO, SECTOR HUALTE, COMUNA DE NINHUE.</v>
      </c>
      <c r="C258" s="10" t="str">
        <f ca="1">IFERROR(__xludf.DUMMYFUNCTION("""COMPUTED_VALUE"""),"1-C-2023-1140")</f>
        <v>1-C-2023-1140</v>
      </c>
      <c r="D258" s="26" t="str">
        <f t="shared" ca="1" si="0"/>
        <v xml:space="preserve"> NINHUE</v>
      </c>
      <c r="E258" s="10" t="str">
        <f ca="1">IFERROR(__xludf.DUMMYFUNCTION("""COMPUTED_VALUE"""),"Guía Operativa")</f>
        <v>Guía Operativa</v>
      </c>
      <c r="F258" s="10" t="str">
        <f ca="1">IFERROR(__xludf.DUMMYFUNCTION("""COMPUTED_VALUE"""),"MUNICIPALIDAD DE NINHUE")</f>
        <v>MUNICIPALIDAD DE NINHUE</v>
      </c>
      <c r="G258" s="71">
        <f ca="1">IFERROR(__xludf.DUMMYFUNCTION("""COMPUTED_VALUE"""),147554749)</f>
        <v>147554749</v>
      </c>
      <c r="H258" s="10" t="str">
        <f ca="1">IFERROR(__xludf.DUMMYFUNCTION("""COMPUTED_VALUE"""),"Resolución")</f>
        <v>Resolución</v>
      </c>
      <c r="I258" s="10" t="str">
        <f ca="1">IFERROR(__xludf.DUMMYFUNCTION("""COMPUTED_VALUE"""),"OBRA")</f>
        <v>OBRA</v>
      </c>
      <c r="J258" s="10" t="str">
        <f ca="1">IFERROR(__xludf.DUMMYFUNCTION("""COMPUTED_VALUE"""),"Cumplir con normativa y reglamentos internos del programa en base a los objetivos.")</f>
        <v>Cumplir con normativa y reglamentos internos del programa en base a los objetivos.</v>
      </c>
      <c r="K258" s="71">
        <f ca="1">IFERROR(__xludf.DUMMYFUNCTION("""COMPUTED_VALUE"""),147554749)</f>
        <v>147554749</v>
      </c>
      <c r="L258" s="72">
        <f ca="1">IFERROR(__xludf.DUMMYFUNCTION("""COMPUTED_VALUE"""),1)</f>
        <v>1</v>
      </c>
      <c r="M258" s="10">
        <f ca="1">IFERROR(__xludf.DUMMYFUNCTION("""COMPUTED_VALUE"""),1345)</f>
        <v>1345</v>
      </c>
      <c r="N258" s="10" t="str">
        <f ca="1">IFERROR(__xludf.DUMMYFUNCTION("""COMPUTED_VALUE"""),"PMU")</f>
        <v>PMU</v>
      </c>
      <c r="O258" s="1"/>
      <c r="P258" s="1"/>
      <c r="Q258" s="1"/>
      <c r="R258" s="1"/>
      <c r="S258" s="1"/>
      <c r="T258" s="1"/>
      <c r="U258" s="1"/>
      <c r="V258" s="1"/>
      <c r="W258" s="1"/>
      <c r="X258" s="1"/>
      <c r="Y258" s="1"/>
      <c r="Z258" s="1"/>
    </row>
    <row r="259" spans="1:26" ht="12.75" customHeight="1">
      <c r="A259" s="1"/>
      <c r="B259" s="10" t="str">
        <f ca="1">IFERROR(__xludf.DUMMYFUNCTION("""COMPUTED_VALUE"""),"CSV CONSTRUCCIÓN ÁREA VERDE LA CASTILLA")</f>
        <v>CSV CONSTRUCCIÓN ÁREA VERDE LA CASTILLA</v>
      </c>
      <c r="C259" s="10" t="str">
        <f ca="1">IFERROR(__xludf.DUMMYFUNCTION("""COMPUTED_VALUE"""),"1-C-2023-2334")</f>
        <v>1-C-2023-2334</v>
      </c>
      <c r="D259" s="26" t="str">
        <f t="shared" ca="1" si="0"/>
        <v xml:space="preserve"> CHILLÁN</v>
      </c>
      <c r="E259" s="10" t="str">
        <f ca="1">IFERROR(__xludf.DUMMYFUNCTION("""COMPUTED_VALUE"""),"Guía Operativa")</f>
        <v>Guía Operativa</v>
      </c>
      <c r="F259" s="10" t="str">
        <f ca="1">IFERROR(__xludf.DUMMYFUNCTION("""COMPUTED_VALUE"""),"MUNICIPALIDAD DE CHILLÁN")</f>
        <v>MUNICIPALIDAD DE CHILLÁN</v>
      </c>
      <c r="G259" s="71">
        <f ca="1">IFERROR(__xludf.DUMMYFUNCTION("""COMPUTED_VALUE"""),126254405)</f>
        <v>126254405</v>
      </c>
      <c r="H259" s="10" t="str">
        <f ca="1">IFERROR(__xludf.DUMMYFUNCTION("""COMPUTED_VALUE"""),"Resolución")</f>
        <v>Resolución</v>
      </c>
      <c r="I259" s="10" t="str">
        <f ca="1">IFERROR(__xludf.DUMMYFUNCTION("""COMPUTED_VALUE"""),"OBRA")</f>
        <v>OBRA</v>
      </c>
      <c r="J259" s="10" t="str">
        <f ca="1">IFERROR(__xludf.DUMMYFUNCTION("""COMPUTED_VALUE"""),"Cumplir con normativa y reglamentos internos del programa en base a los objetivos.")</f>
        <v>Cumplir con normativa y reglamentos internos del programa en base a los objetivos.</v>
      </c>
      <c r="K259" s="71">
        <f ca="1">IFERROR(__xludf.DUMMYFUNCTION("""COMPUTED_VALUE"""),126254405)</f>
        <v>126254405</v>
      </c>
      <c r="L259" s="72">
        <f ca="1">IFERROR(__xludf.DUMMYFUNCTION("""COMPUTED_VALUE"""),1)</f>
        <v>1</v>
      </c>
      <c r="M259" s="10">
        <f ca="1">IFERROR(__xludf.DUMMYFUNCTION("""COMPUTED_VALUE"""),1339)</f>
        <v>1339</v>
      </c>
      <c r="N259" s="10" t="str">
        <f ca="1">IFERROR(__xludf.DUMMYFUNCTION("""COMPUTED_VALUE"""),"PMU")</f>
        <v>PMU</v>
      </c>
      <c r="O259" s="1"/>
      <c r="P259" s="1"/>
      <c r="Q259" s="1"/>
      <c r="R259" s="1"/>
      <c r="S259" s="1"/>
      <c r="T259" s="1"/>
      <c r="U259" s="1"/>
      <c r="V259" s="1"/>
      <c r="W259" s="1"/>
      <c r="X259" s="1"/>
      <c r="Y259" s="1"/>
      <c r="Z259" s="1"/>
    </row>
    <row r="260" spans="1:26" ht="12.75" customHeight="1">
      <c r="A260" s="1"/>
      <c r="B260" s="10" t="str">
        <f ca="1">IFERROR(__xludf.DUMMYFUNCTION("""COMPUTED_VALUE"""),"CSV MEJORAMIENTO PLAZA O´BRIEN COVADONGA")</f>
        <v>CSV MEJORAMIENTO PLAZA O´BRIEN COVADONGA</v>
      </c>
      <c r="C260" s="10" t="str">
        <f ca="1">IFERROR(__xludf.DUMMYFUNCTION("""COMPUTED_VALUE"""),"1-C-2023-2335")</f>
        <v>1-C-2023-2335</v>
      </c>
      <c r="D260" s="26" t="str">
        <f t="shared" ca="1" si="0"/>
        <v xml:space="preserve"> CHILLÁN</v>
      </c>
      <c r="E260" s="10" t="str">
        <f ca="1">IFERROR(__xludf.DUMMYFUNCTION("""COMPUTED_VALUE"""),"Guía Operativa")</f>
        <v>Guía Operativa</v>
      </c>
      <c r="F260" s="10" t="str">
        <f ca="1">IFERROR(__xludf.DUMMYFUNCTION("""COMPUTED_VALUE"""),"MUNICIPALIDAD DE CHILLÁN")</f>
        <v>MUNICIPALIDAD DE CHILLÁN</v>
      </c>
      <c r="G260" s="71">
        <f ca="1">IFERROR(__xludf.DUMMYFUNCTION("""COMPUTED_VALUE"""),90884062)</f>
        <v>90884062</v>
      </c>
      <c r="H260" s="10" t="str">
        <f ca="1">IFERROR(__xludf.DUMMYFUNCTION("""COMPUTED_VALUE"""),"Resolución")</f>
        <v>Resolución</v>
      </c>
      <c r="I260" s="10" t="str">
        <f ca="1">IFERROR(__xludf.DUMMYFUNCTION("""COMPUTED_VALUE"""),"OBRA")</f>
        <v>OBRA</v>
      </c>
      <c r="J260" s="10" t="str">
        <f ca="1">IFERROR(__xludf.DUMMYFUNCTION("""COMPUTED_VALUE"""),"Cumplir con normativa y reglamentos internos del programa en base a los objetivos.")</f>
        <v>Cumplir con normativa y reglamentos internos del programa en base a los objetivos.</v>
      </c>
      <c r="K260" s="71">
        <f ca="1">IFERROR(__xludf.DUMMYFUNCTION("""COMPUTED_VALUE"""),90884062)</f>
        <v>90884062</v>
      </c>
      <c r="L260" s="72">
        <f ca="1">IFERROR(__xludf.DUMMYFUNCTION("""COMPUTED_VALUE"""),1)</f>
        <v>1</v>
      </c>
      <c r="M260" s="10">
        <f ca="1">IFERROR(__xludf.DUMMYFUNCTION("""COMPUTED_VALUE"""),1339)</f>
        <v>1339</v>
      </c>
      <c r="N260" s="10" t="str">
        <f ca="1">IFERROR(__xludf.DUMMYFUNCTION("""COMPUTED_VALUE"""),"PMU")</f>
        <v>PMU</v>
      </c>
      <c r="O260" s="1"/>
      <c r="P260" s="1"/>
      <c r="Q260" s="1"/>
      <c r="R260" s="1"/>
      <c r="S260" s="1"/>
      <c r="T260" s="1"/>
      <c r="U260" s="1"/>
      <c r="V260" s="1"/>
      <c r="W260" s="1"/>
      <c r="X260" s="1"/>
      <c r="Y260" s="1"/>
      <c r="Z260" s="1"/>
    </row>
    <row r="261" spans="1:26" ht="12.75" customHeight="1">
      <c r="A261" s="1"/>
      <c r="B261" s="10" t="str">
        <f ca="1">IFERROR(__xludf.DUMMYFUNCTION("""COMPUTED_VALUE"""),"AMPLIACIÓN ALUMBRADO PÚBLICO INGRESOS SECTORES BELLAVISTA Y LOMAS DE MONARDEZ")</f>
        <v>AMPLIACIÓN ALUMBRADO PÚBLICO INGRESOS SECTORES BELLAVISTA Y LOMAS DE MONARDEZ</v>
      </c>
      <c r="C261" s="10" t="str">
        <f ca="1">IFERROR(__xludf.DUMMYFUNCTION("""COMPUTED_VALUE"""),"1-C-2023-2712")</f>
        <v>1-C-2023-2712</v>
      </c>
      <c r="D261" s="26" t="str">
        <f t="shared" ca="1" si="0"/>
        <v xml:space="preserve"> LA SERENA</v>
      </c>
      <c r="E261" s="10" t="str">
        <f ca="1">IFERROR(__xludf.DUMMYFUNCTION("""COMPUTED_VALUE"""),"Guía Operativa")</f>
        <v>Guía Operativa</v>
      </c>
      <c r="F261" s="10" t="str">
        <f ca="1">IFERROR(__xludf.DUMMYFUNCTION("""COMPUTED_VALUE"""),"MUNICIPALIDAD DE LA SERENA")</f>
        <v>MUNICIPALIDAD DE LA SERENA</v>
      </c>
      <c r="G261" s="71">
        <f ca="1">IFERROR(__xludf.DUMMYFUNCTION("""COMPUTED_VALUE"""),57053539)</f>
        <v>57053539</v>
      </c>
      <c r="H261" s="10" t="str">
        <f ca="1">IFERROR(__xludf.DUMMYFUNCTION("""COMPUTED_VALUE"""),"Resolución")</f>
        <v>Resolución</v>
      </c>
      <c r="I261" s="10" t="str">
        <f ca="1">IFERROR(__xludf.DUMMYFUNCTION("""COMPUTED_VALUE"""),"OBRA")</f>
        <v>OBRA</v>
      </c>
      <c r="J261" s="10" t="str">
        <f ca="1">IFERROR(__xludf.DUMMYFUNCTION("""COMPUTED_VALUE"""),"Cumplir con normativa y reglamentos internos del programa en base a los objetivos.")</f>
        <v>Cumplir con normativa y reglamentos internos del programa en base a los objetivos.</v>
      </c>
      <c r="K261" s="71">
        <f ca="1">IFERROR(__xludf.DUMMYFUNCTION("""COMPUTED_VALUE"""),57053539)</f>
        <v>57053539</v>
      </c>
      <c r="L261" s="72">
        <f ca="1">IFERROR(__xludf.DUMMYFUNCTION("""COMPUTED_VALUE"""),1)</f>
        <v>1</v>
      </c>
      <c r="M261" s="10">
        <f ca="1">IFERROR(__xludf.DUMMYFUNCTION("""COMPUTED_VALUE"""),2401)</f>
        <v>2401</v>
      </c>
      <c r="N261" s="10" t="str">
        <f ca="1">IFERROR(__xludf.DUMMYFUNCTION("""COMPUTED_VALUE"""),"PMU")</f>
        <v>PMU</v>
      </c>
      <c r="O261" s="1"/>
      <c r="P261" s="1"/>
      <c r="Q261" s="1"/>
      <c r="R261" s="1"/>
      <c r="S261" s="1"/>
      <c r="T261" s="1"/>
      <c r="U261" s="1"/>
      <c r="V261" s="1"/>
      <c r="W261" s="1"/>
      <c r="X261" s="1"/>
      <c r="Y261" s="1"/>
      <c r="Z261" s="1"/>
    </row>
    <row r="262" spans="1:26" ht="12.75" customHeight="1">
      <c r="A262" s="1"/>
      <c r="B262" s="10" t="str">
        <f ca="1">IFERROR(__xludf.DUMMYFUNCTION("""COMPUTED_VALUE"""),"CONSTRUCCIÓN SEDE SOCIAL CHUMAQUITO")</f>
        <v>CONSTRUCCIÓN SEDE SOCIAL CHUMAQUITO</v>
      </c>
      <c r="C262" s="10" t="str">
        <f ca="1">IFERROR(__xludf.DUMMYFUNCTION("""COMPUTED_VALUE"""),"1-C-2022-599 [CHA]")</f>
        <v>1-C-2022-599 [CHA]</v>
      </c>
      <c r="D262" s="26" t="str">
        <f t="shared" ca="1" si="0"/>
        <v xml:space="preserve"> REQUÍNOA</v>
      </c>
      <c r="E262" s="10" t="str">
        <f ca="1">IFERROR(__xludf.DUMMYFUNCTION("""COMPUTED_VALUE"""),"Guía Operativa")</f>
        <v>Guía Operativa</v>
      </c>
      <c r="F262" s="10" t="str">
        <f ca="1">IFERROR(__xludf.DUMMYFUNCTION("""COMPUTED_VALUE"""),"MUNICIPALIDAD DE REQUÍNOA")</f>
        <v>MUNICIPALIDAD DE REQUÍNOA</v>
      </c>
      <c r="G262" s="71">
        <f ca="1">IFERROR(__xludf.DUMMYFUNCTION("""COMPUTED_VALUE"""),97498658)</f>
        <v>97498658</v>
      </c>
      <c r="H262" s="10" t="str">
        <f ca="1">IFERROR(__xludf.DUMMYFUNCTION("""COMPUTED_VALUE"""),"Resolución")</f>
        <v>Resolución</v>
      </c>
      <c r="I262" s="10" t="str">
        <f ca="1">IFERROR(__xludf.DUMMYFUNCTION("""COMPUTED_VALUE"""),"OBRA")</f>
        <v>OBRA</v>
      </c>
      <c r="J262" s="10" t="str">
        <f ca="1">IFERROR(__xludf.DUMMYFUNCTION("""COMPUTED_VALUE"""),"Cumplir con normativa y reglamentos internos del programa en base a los objetivos.")</f>
        <v>Cumplir con normativa y reglamentos internos del programa en base a los objetivos.</v>
      </c>
      <c r="K262" s="71">
        <f ca="1">IFERROR(__xludf.DUMMYFUNCTION("""COMPUTED_VALUE"""),22498660)</f>
        <v>22498660</v>
      </c>
      <c r="L262" s="72">
        <f ca="1">IFERROR(__xludf.DUMMYFUNCTION("""COMPUTED_VALUE"""),1)</f>
        <v>1</v>
      </c>
      <c r="M262" s="10">
        <f ca="1">IFERROR(__xludf.DUMMYFUNCTION("""COMPUTED_VALUE"""),10633)</f>
        <v>10633</v>
      </c>
      <c r="N262" s="10" t="str">
        <f ca="1">IFERROR(__xludf.DUMMYFUNCTION("""COMPUTED_VALUE"""),"PMU")</f>
        <v>PMU</v>
      </c>
      <c r="O262" s="1"/>
      <c r="P262" s="1"/>
      <c r="Q262" s="1"/>
      <c r="R262" s="1"/>
      <c r="S262" s="1"/>
      <c r="T262" s="1"/>
      <c r="U262" s="1"/>
      <c r="V262" s="1"/>
      <c r="W262" s="1"/>
      <c r="X262" s="1"/>
      <c r="Y262" s="1"/>
      <c r="Z262" s="1"/>
    </row>
    <row r="263" spans="1:26" ht="12.75" customHeight="1">
      <c r="A263" s="1"/>
      <c r="B263" s="10" t="str">
        <f ca="1">IFERROR(__xludf.DUMMYFUNCTION("""COMPUTED_VALUE"""),"REPOSICIÓN SEDE SOCIAL N° 5, VILLA PRAT")</f>
        <v>REPOSICIÓN SEDE SOCIAL N° 5, VILLA PRAT</v>
      </c>
      <c r="C263" s="10" t="str">
        <f ca="1">IFERROR(__xludf.DUMMYFUNCTION("""COMPUTED_VALUE"""),"1-C-2021-714")</f>
        <v>1-C-2021-714</v>
      </c>
      <c r="D263" s="26" t="str">
        <f t="shared" ca="1" si="0"/>
        <v xml:space="preserve"> SAGRADA FAMILIA</v>
      </c>
      <c r="E263" s="10" t="str">
        <f ca="1">IFERROR(__xludf.DUMMYFUNCTION("""COMPUTED_VALUE"""),"Guía Operativa")</f>
        <v>Guía Operativa</v>
      </c>
      <c r="F263" s="10" t="str">
        <f ca="1">IFERROR(__xludf.DUMMYFUNCTION("""COMPUTED_VALUE"""),"MUNICIPALIDAD DE SAGRADA FAMILIA")</f>
        <v>MUNICIPALIDAD DE SAGRADA FAMILIA</v>
      </c>
      <c r="G263" s="71">
        <f ca="1">IFERROR(__xludf.DUMMYFUNCTION("""COMPUTED_VALUE"""),74999469)</f>
        <v>74999469</v>
      </c>
      <c r="H263" s="10" t="str">
        <f ca="1">IFERROR(__xludf.DUMMYFUNCTION("""COMPUTED_VALUE"""),"Resolución")</f>
        <v>Resolución</v>
      </c>
      <c r="I263" s="10" t="str">
        <f ca="1">IFERROR(__xludf.DUMMYFUNCTION("""COMPUTED_VALUE"""),"OBRA")</f>
        <v>OBRA</v>
      </c>
      <c r="J263" s="10" t="str">
        <f ca="1">IFERROR(__xludf.DUMMYFUNCTION("""COMPUTED_VALUE"""),"Cumplir con normativa y reglamentos internos del programa en base a los objetivos.")</f>
        <v>Cumplir con normativa y reglamentos internos del programa en base a los objetivos.</v>
      </c>
      <c r="K263" s="71">
        <f ca="1">IFERROR(__xludf.DUMMYFUNCTION("""COMPUTED_VALUE"""),13576248)</f>
        <v>13576248</v>
      </c>
      <c r="L263" s="72">
        <f ca="1">IFERROR(__xludf.DUMMYFUNCTION("""COMPUTED_VALUE"""),0.981005665520111)</f>
        <v>0.98100566552011104</v>
      </c>
      <c r="M263" s="10">
        <f ca="1">IFERROR(__xludf.DUMMYFUNCTION("""COMPUTED_VALUE"""),9541)</f>
        <v>9541</v>
      </c>
      <c r="N263" s="10" t="str">
        <f ca="1">IFERROR(__xludf.DUMMYFUNCTION("""COMPUTED_VALUE"""),"PMU")</f>
        <v>PMU</v>
      </c>
      <c r="O263" s="1"/>
      <c r="P263" s="1"/>
      <c r="Q263" s="1"/>
      <c r="R263" s="1"/>
      <c r="S263" s="1"/>
      <c r="T263" s="1"/>
      <c r="U263" s="1"/>
      <c r="V263" s="1"/>
      <c r="W263" s="1"/>
      <c r="X263" s="1"/>
      <c r="Y263" s="1"/>
      <c r="Z263" s="1"/>
    </row>
    <row r="264" spans="1:26" ht="12.75" customHeight="1">
      <c r="A264" s="1"/>
      <c r="B264" s="10" t="str">
        <f ca="1">IFERROR(__xludf.DUMMYFUNCTION("""COMPUTED_VALUE"""),"[SATE] MEJORAMIENTO PLATABANDA IGNACIO CARRERA PINTO")</f>
        <v>[SATE] MEJORAMIENTO PLATABANDA IGNACIO CARRERA PINTO</v>
      </c>
      <c r="C264" s="10" t="str">
        <f ca="1">IFERROR(__xludf.DUMMYFUNCTION("""COMPUTED_VALUE"""),"1-C-2023-243")</f>
        <v>1-C-2023-243</v>
      </c>
      <c r="D264" s="26" t="str">
        <f t="shared" ca="1" si="0"/>
        <v xml:space="preserve"> LEBU</v>
      </c>
      <c r="E264" s="10" t="str">
        <f ca="1">IFERROR(__xludf.DUMMYFUNCTION("""COMPUTED_VALUE"""),"Guía Operativa")</f>
        <v>Guía Operativa</v>
      </c>
      <c r="F264" s="10" t="str">
        <f ca="1">IFERROR(__xludf.DUMMYFUNCTION("""COMPUTED_VALUE"""),"MUNICIPALIDAD DE LEBU")</f>
        <v>MUNICIPALIDAD DE LEBU</v>
      </c>
      <c r="G264" s="71">
        <f ca="1">IFERROR(__xludf.DUMMYFUNCTION("""COMPUTED_VALUE"""),70235953)</f>
        <v>70235953</v>
      </c>
      <c r="H264" s="10" t="str">
        <f ca="1">IFERROR(__xludf.DUMMYFUNCTION("""COMPUTED_VALUE"""),"Resolución")</f>
        <v>Resolución</v>
      </c>
      <c r="I264" s="10" t="str">
        <f ca="1">IFERROR(__xludf.DUMMYFUNCTION("""COMPUTED_VALUE"""),"OBRA")</f>
        <v>OBRA</v>
      </c>
      <c r="J264" s="10" t="str">
        <f ca="1">IFERROR(__xludf.DUMMYFUNCTION("""COMPUTED_VALUE"""),"Cumplir con normativa y reglamentos internos del programa en base a los objetivos.")</f>
        <v>Cumplir con normativa y reglamentos internos del programa en base a los objetivos.</v>
      </c>
      <c r="K264" s="71">
        <f ca="1">IFERROR(__xludf.DUMMYFUNCTION("""COMPUTED_VALUE"""),70235953)</f>
        <v>70235953</v>
      </c>
      <c r="L264" s="72">
        <f ca="1">IFERROR(__xludf.DUMMYFUNCTION("""COMPUTED_VALUE"""),1)</f>
        <v>1</v>
      </c>
      <c r="M264" s="10">
        <f ca="1">IFERROR(__xludf.DUMMYFUNCTION("""COMPUTED_VALUE"""),2236)</f>
        <v>2236</v>
      </c>
      <c r="N264" s="10" t="str">
        <f ca="1">IFERROR(__xludf.DUMMYFUNCTION("""COMPUTED_VALUE"""),"PMU")</f>
        <v>PMU</v>
      </c>
      <c r="O264" s="1"/>
      <c r="P264" s="1"/>
      <c r="Q264" s="1"/>
      <c r="R264" s="1"/>
      <c r="S264" s="1"/>
      <c r="T264" s="1"/>
      <c r="U264" s="1"/>
      <c r="V264" s="1"/>
      <c r="W264" s="1"/>
      <c r="X264" s="1"/>
      <c r="Y264" s="1"/>
      <c r="Z264" s="1"/>
    </row>
    <row r="265" spans="1:26" ht="12.75" customHeight="1">
      <c r="A265" s="1"/>
      <c r="B265" s="10" t="str">
        <f ca="1">IFERROR(__xludf.DUMMYFUNCTION("""COMPUTED_VALUE"""),"[SATE] MEJORAMIENTO ESCUELAS RURALES; BAJO LOS RIOS, LOS CRUCEROS, TRONGOL ALTO; ENTRE OTRAS")</f>
        <v>[SATE] MEJORAMIENTO ESCUELAS RURALES; BAJO LOS RIOS, LOS CRUCEROS, TRONGOL ALTO; ENTRE OTRAS</v>
      </c>
      <c r="C265" s="10" t="str">
        <f ca="1">IFERROR(__xludf.DUMMYFUNCTION("""COMPUTED_VALUE"""),"1-C-2023-577")</f>
        <v>1-C-2023-577</v>
      </c>
      <c r="D265" s="26" t="str">
        <f t="shared" ca="1" si="0"/>
        <v xml:space="preserve"> CURANILAHUE</v>
      </c>
      <c r="E265" s="10" t="str">
        <f ca="1">IFERROR(__xludf.DUMMYFUNCTION("""COMPUTED_VALUE"""),"Guía Operativa")</f>
        <v>Guía Operativa</v>
      </c>
      <c r="F265" s="10" t="str">
        <f ca="1">IFERROR(__xludf.DUMMYFUNCTION("""COMPUTED_VALUE"""),"MUNICIPALIDAD DE CURANILAHUE")</f>
        <v>MUNICIPALIDAD DE CURANILAHUE</v>
      </c>
      <c r="G265" s="71">
        <f ca="1">IFERROR(__xludf.DUMMYFUNCTION("""COMPUTED_VALUE"""),149236710)</f>
        <v>149236710</v>
      </c>
      <c r="H265" s="10" t="str">
        <f ca="1">IFERROR(__xludf.DUMMYFUNCTION("""COMPUTED_VALUE"""),"Resolución")</f>
        <v>Resolución</v>
      </c>
      <c r="I265" s="10" t="str">
        <f ca="1">IFERROR(__xludf.DUMMYFUNCTION("""COMPUTED_VALUE"""),"OBRA")</f>
        <v>OBRA</v>
      </c>
      <c r="J265" s="10" t="str">
        <f ca="1">IFERROR(__xludf.DUMMYFUNCTION("""COMPUTED_VALUE"""),"Cumplir con normativa y reglamentos internos del programa en base a los objetivos.")</f>
        <v>Cumplir con normativa y reglamentos internos del programa en base a los objetivos.</v>
      </c>
      <c r="K265" s="71">
        <f ca="1">IFERROR(__xludf.DUMMYFUNCTION("""COMPUTED_VALUE"""),149236710)</f>
        <v>149236710</v>
      </c>
      <c r="L265" s="72">
        <f ca="1">IFERROR(__xludf.DUMMYFUNCTION("""COMPUTED_VALUE"""),1)</f>
        <v>1</v>
      </c>
      <c r="M265" s="10">
        <f ca="1">IFERROR(__xludf.DUMMYFUNCTION("""COMPUTED_VALUE"""),2034)</f>
        <v>2034</v>
      </c>
      <c r="N265" s="10" t="str">
        <f ca="1">IFERROR(__xludf.DUMMYFUNCTION("""COMPUTED_VALUE"""),"PMU")</f>
        <v>PMU</v>
      </c>
      <c r="O265" s="1"/>
      <c r="P265" s="1"/>
      <c r="Q265" s="1"/>
      <c r="R265" s="1"/>
      <c r="S265" s="1"/>
      <c r="T265" s="1"/>
      <c r="U265" s="1"/>
      <c r="V265" s="1"/>
      <c r="W265" s="1"/>
      <c r="X265" s="1"/>
      <c r="Y265" s="1"/>
      <c r="Z265" s="1"/>
    </row>
    <row r="266" spans="1:26" ht="12.75" customHeight="1">
      <c r="A266" s="1"/>
      <c r="B266" s="10" t="str">
        <f ca="1">IFERROR(__xludf.DUMMYFUNCTION("""COMPUTED_VALUE"""),"CONSTRUCCIÓN SEDE SOCIAL NUEVO COCHOLGUE, TOMÉ")</f>
        <v>CONSTRUCCIÓN SEDE SOCIAL NUEVO COCHOLGUE, TOMÉ</v>
      </c>
      <c r="C266" s="10" t="str">
        <f ca="1">IFERROR(__xludf.DUMMYFUNCTION("""COMPUTED_VALUE"""),"1-C-2023-1724")</f>
        <v>1-C-2023-1724</v>
      </c>
      <c r="D266" s="26" t="str">
        <f t="shared" ca="1" si="0"/>
        <v xml:space="preserve"> TOMÉ</v>
      </c>
      <c r="E266" s="10" t="str">
        <f ca="1">IFERROR(__xludf.DUMMYFUNCTION("""COMPUTED_VALUE"""),"Guía Operativa")</f>
        <v>Guía Operativa</v>
      </c>
      <c r="F266" s="10" t="str">
        <f ca="1">IFERROR(__xludf.DUMMYFUNCTION("""COMPUTED_VALUE"""),"MUNICIPALIDAD DE TOMÉ")</f>
        <v>MUNICIPALIDAD DE TOMÉ</v>
      </c>
      <c r="G266" s="71">
        <f ca="1">IFERROR(__xludf.DUMMYFUNCTION("""COMPUTED_VALUE"""),122618588)</f>
        <v>122618588</v>
      </c>
      <c r="H266" s="10" t="str">
        <f ca="1">IFERROR(__xludf.DUMMYFUNCTION("""COMPUTED_VALUE"""),"Resolución")</f>
        <v>Resolución</v>
      </c>
      <c r="I266" s="10" t="str">
        <f ca="1">IFERROR(__xludf.DUMMYFUNCTION("""COMPUTED_VALUE"""),"OBRA")</f>
        <v>OBRA</v>
      </c>
      <c r="J266" s="10" t="str">
        <f ca="1">IFERROR(__xludf.DUMMYFUNCTION("""COMPUTED_VALUE"""),"Cumplir con normativa y reglamentos internos del programa en base a los objetivos.")</f>
        <v>Cumplir con normativa y reglamentos internos del programa en base a los objetivos.</v>
      </c>
      <c r="K266" s="71">
        <f ca="1">IFERROR(__xludf.DUMMYFUNCTION("""COMPUTED_VALUE"""),122618588)</f>
        <v>122618588</v>
      </c>
      <c r="L266" s="72">
        <f ca="1">IFERROR(__xludf.DUMMYFUNCTION("""COMPUTED_VALUE"""),1)</f>
        <v>1</v>
      </c>
      <c r="M266" s="10">
        <f ca="1">IFERROR(__xludf.DUMMYFUNCTION("""COMPUTED_VALUE"""),2033)</f>
        <v>2033</v>
      </c>
      <c r="N266" s="10" t="str">
        <f ca="1">IFERROR(__xludf.DUMMYFUNCTION("""COMPUTED_VALUE"""),"PMU")</f>
        <v>PMU</v>
      </c>
      <c r="O266" s="1"/>
      <c r="P266" s="1"/>
      <c r="Q266" s="1"/>
      <c r="R266" s="1"/>
      <c r="S266" s="1"/>
      <c r="T266" s="1"/>
      <c r="U266" s="1"/>
      <c r="V266" s="1"/>
      <c r="W266" s="1"/>
      <c r="X266" s="1"/>
      <c r="Y266" s="1"/>
      <c r="Z266" s="1"/>
    </row>
    <row r="267" spans="1:26" ht="12.75" customHeight="1">
      <c r="A267" s="1"/>
      <c r="B267" s="10" t="str">
        <f ca="1">IFERROR(__xludf.DUMMYFUNCTION("""COMPUTED_VALUE"""),"CONSTRUCCION SEDE SOCIAL, EL TESORO")</f>
        <v>CONSTRUCCION SEDE SOCIAL, EL TESORO</v>
      </c>
      <c r="C267" s="10" t="str">
        <f ca="1">IFERROR(__xludf.DUMMYFUNCTION("""COMPUTED_VALUE"""),"1-C-2016-784")</f>
        <v>1-C-2016-784</v>
      </c>
      <c r="D267" s="26" t="str">
        <f t="shared" ca="1" si="0"/>
        <v xml:space="preserve"> VILCÚN</v>
      </c>
      <c r="E267" s="10" t="str">
        <f ca="1">IFERROR(__xludf.DUMMYFUNCTION("""COMPUTED_VALUE"""),"Guía Operativa")</f>
        <v>Guía Operativa</v>
      </c>
      <c r="F267" s="10" t="str">
        <f ca="1">IFERROR(__xludf.DUMMYFUNCTION("""COMPUTED_VALUE"""),"MUNICIPALIDAD DE VILCÚN")</f>
        <v>MUNICIPALIDAD DE VILCÚN</v>
      </c>
      <c r="G267" s="71">
        <f ca="1">IFERROR(__xludf.DUMMYFUNCTION("""COMPUTED_VALUE"""),63180620)</f>
        <v>63180620</v>
      </c>
      <c r="H267" s="10" t="str">
        <f ca="1">IFERROR(__xludf.DUMMYFUNCTION("""COMPUTED_VALUE"""),"Resolución")</f>
        <v>Resolución</v>
      </c>
      <c r="I267" s="10" t="str">
        <f ca="1">IFERROR(__xludf.DUMMYFUNCTION("""COMPUTED_VALUE"""),"OBRA")</f>
        <v>OBRA</v>
      </c>
      <c r="J267" s="10" t="str">
        <f ca="1">IFERROR(__xludf.DUMMYFUNCTION("""COMPUTED_VALUE"""),"Cumplir con normativa y reglamentos internos del programa en base a los objetivos.")</f>
        <v>Cumplir con normativa y reglamentos internos del programa en base a los objetivos.</v>
      </c>
      <c r="K267" s="71">
        <f ca="1">IFERROR(__xludf.DUMMYFUNCTION("""COMPUTED_VALUE"""),46406430)</f>
        <v>46406430</v>
      </c>
      <c r="L267" s="72">
        <f ca="1">IFERROR(__xludf.DUMMYFUNCTION("""COMPUTED_VALUE"""),0.965278245132763)</f>
        <v>0.96527824513276295</v>
      </c>
      <c r="M267" s="10">
        <f ca="1">IFERROR(__xludf.DUMMYFUNCTION("""COMPUTED_VALUE"""),8219)</f>
        <v>8219</v>
      </c>
      <c r="N267" s="10" t="str">
        <f ca="1">IFERROR(__xludf.DUMMYFUNCTION("""COMPUTED_VALUE"""),"PMU")</f>
        <v>PMU</v>
      </c>
      <c r="O267" s="1"/>
      <c r="P267" s="1"/>
      <c r="Q267" s="1"/>
      <c r="R267" s="1"/>
      <c r="S267" s="1"/>
      <c r="T267" s="1"/>
      <c r="U267" s="1"/>
      <c r="V267" s="1"/>
      <c r="W267" s="1"/>
      <c r="X267" s="1"/>
      <c r="Y267" s="1"/>
      <c r="Z267" s="1"/>
    </row>
    <row r="268" spans="1:26" ht="12.75" customHeight="1">
      <c r="A268" s="1"/>
      <c r="B268" s="10" t="str">
        <f ca="1">IFERROR(__xludf.DUMMYFUNCTION("""COMPUTED_VALUE"""),"CONSTRUCCION SEDE SOCIAL LOS CASTAÑOS I DE CAJÓN, COMUNA DE VILCUN")</f>
        <v>CONSTRUCCION SEDE SOCIAL LOS CASTAÑOS I DE CAJÓN, COMUNA DE VILCUN</v>
      </c>
      <c r="C268" s="10" t="str">
        <f ca="1">IFERROR(__xludf.DUMMYFUNCTION("""COMPUTED_VALUE"""),"1-C-2020-1188")</f>
        <v>1-C-2020-1188</v>
      </c>
      <c r="D268" s="26" t="str">
        <f t="shared" ca="1" si="0"/>
        <v xml:space="preserve"> VILCÚN</v>
      </c>
      <c r="E268" s="10" t="str">
        <f ca="1">IFERROR(__xludf.DUMMYFUNCTION("""COMPUTED_VALUE"""),"Guía Operativa")</f>
        <v>Guía Operativa</v>
      </c>
      <c r="F268" s="10" t="str">
        <f ca="1">IFERROR(__xludf.DUMMYFUNCTION("""COMPUTED_VALUE"""),"MUNICIPALIDAD DE VILCÚN")</f>
        <v>MUNICIPALIDAD DE VILCÚN</v>
      </c>
      <c r="G268" s="71">
        <f ca="1">IFERROR(__xludf.DUMMYFUNCTION("""COMPUTED_VALUE"""),75855000)</f>
        <v>75855000</v>
      </c>
      <c r="H268" s="10" t="str">
        <f ca="1">IFERROR(__xludf.DUMMYFUNCTION("""COMPUTED_VALUE"""),"Resolución")</f>
        <v>Resolución</v>
      </c>
      <c r="I268" s="10" t="str">
        <f ca="1">IFERROR(__xludf.DUMMYFUNCTION("""COMPUTED_VALUE"""),"OBRA")</f>
        <v>OBRA</v>
      </c>
      <c r="J268" s="10" t="str">
        <f ca="1">IFERROR(__xludf.DUMMYFUNCTION("""COMPUTED_VALUE"""),"Cumplir con normativa y reglamentos internos del programa en base a los objetivos.")</f>
        <v>Cumplir con normativa y reglamentos internos del programa en base a los objetivos.</v>
      </c>
      <c r="K268" s="71">
        <f ca="1">IFERROR(__xludf.DUMMYFUNCTION("""COMPUTED_VALUE"""),45050469)</f>
        <v>45050469</v>
      </c>
      <c r="L268" s="72">
        <f ca="1">IFERROR(__xludf.DUMMYFUNCTION("""COMPUTED_VALUE"""),0.978517816887482)</f>
        <v>0.97851781688748196</v>
      </c>
      <c r="M268" s="10">
        <f ca="1">IFERROR(__xludf.DUMMYFUNCTION("""COMPUTED_VALUE"""),6655)</f>
        <v>6655</v>
      </c>
      <c r="N268" s="10" t="str">
        <f ca="1">IFERROR(__xludf.DUMMYFUNCTION("""COMPUTED_VALUE"""),"PMU")</f>
        <v>PMU</v>
      </c>
      <c r="O268" s="1"/>
      <c r="P268" s="1"/>
      <c r="Q268" s="1"/>
      <c r="R268" s="1"/>
      <c r="S268" s="1"/>
      <c r="T268" s="1"/>
      <c r="U268" s="1"/>
      <c r="V268" s="1"/>
      <c r="W268" s="1"/>
      <c r="X268" s="1"/>
      <c r="Y268" s="1"/>
      <c r="Z268" s="1"/>
    </row>
    <row r="269" spans="1:26" ht="12.75" customHeight="1">
      <c r="A269" s="1"/>
      <c r="B269" s="10" t="str">
        <f ca="1">IFERROR(__xludf.DUMMYFUNCTION("""COMPUTED_VALUE"""),"REPOSICIÓN PAVIMENTO FIN DE CALLE BALMACEDA, CAPITÁN PASTENE, COMUNA DE LUMACO")</f>
        <v>REPOSICIÓN PAVIMENTO FIN DE CALLE BALMACEDA, CAPITÁN PASTENE, COMUNA DE LUMACO</v>
      </c>
      <c r="C269" s="10" t="str">
        <f ca="1">IFERROR(__xludf.DUMMYFUNCTION("""COMPUTED_VALUE"""),"1-B-2021-140")</f>
        <v>1-B-2021-140</v>
      </c>
      <c r="D269" s="26" t="str">
        <f t="shared" ca="1" si="0"/>
        <v xml:space="preserve"> LUMACO</v>
      </c>
      <c r="E269" s="10" t="str">
        <f ca="1">IFERROR(__xludf.DUMMYFUNCTION("""COMPUTED_VALUE"""),"Guía Operativa")</f>
        <v>Guía Operativa</v>
      </c>
      <c r="F269" s="10" t="str">
        <f ca="1">IFERROR(__xludf.DUMMYFUNCTION("""COMPUTED_VALUE"""),"MUNICIPALIDAD DE LUMACO")</f>
        <v>MUNICIPALIDAD DE LUMACO</v>
      </c>
      <c r="G269" s="71">
        <f ca="1">IFERROR(__xludf.DUMMYFUNCTION("""COMPUTED_VALUE"""),20000000)</f>
        <v>20000000</v>
      </c>
      <c r="H269" s="10" t="str">
        <f ca="1">IFERROR(__xludf.DUMMYFUNCTION("""COMPUTED_VALUE"""),"Resolución")</f>
        <v>Resolución</v>
      </c>
      <c r="I269" s="10" t="str">
        <f ca="1">IFERROR(__xludf.DUMMYFUNCTION("""COMPUTED_VALUE"""),"OBRA")</f>
        <v>OBRA</v>
      </c>
      <c r="J269" s="10" t="str">
        <f ca="1">IFERROR(__xludf.DUMMYFUNCTION("""COMPUTED_VALUE"""),"Cumplir con normativa y reglamentos internos del programa en base a los objetivos.")</f>
        <v>Cumplir con normativa y reglamentos internos del programa en base a los objetivos.</v>
      </c>
      <c r="K269" s="71">
        <f ca="1">IFERROR(__xludf.DUMMYFUNCTION("""COMPUTED_VALUE"""),9999958)</f>
        <v>9999958</v>
      </c>
      <c r="L269" s="72">
        <f ca="1">IFERROR(__xludf.DUMMYFUNCTION("""COMPUTED_VALUE"""),0.9999979)</f>
        <v>0.9999979</v>
      </c>
      <c r="M269" s="10">
        <f ca="1">IFERROR(__xludf.DUMMYFUNCTION("""COMPUTED_VALUE"""),5690)</f>
        <v>5690</v>
      </c>
      <c r="N269" s="10" t="str">
        <f ca="1">IFERROR(__xludf.DUMMYFUNCTION("""COMPUTED_VALUE"""),"PMU")</f>
        <v>PMU</v>
      </c>
      <c r="O269" s="1"/>
      <c r="P269" s="1"/>
      <c r="Q269" s="1"/>
      <c r="R269" s="1"/>
      <c r="S269" s="1"/>
      <c r="T269" s="1"/>
      <c r="U269" s="1"/>
      <c r="V269" s="1"/>
      <c r="W269" s="1"/>
      <c r="X269" s="1"/>
      <c r="Y269" s="1"/>
      <c r="Z269" s="1"/>
    </row>
    <row r="270" spans="1:26" ht="12.75" customHeight="1">
      <c r="A270" s="1"/>
      <c r="B270" s="10" t="str">
        <f ca="1">IFERROR(__xludf.DUMMYFUNCTION("""COMPUTED_VALUE"""),"CONSTRUCCION SALAS DE CLASES Y DEPENDENCIAS ESCUELA LAS CARDAS")</f>
        <v>CONSTRUCCION SALAS DE CLASES Y DEPENDENCIAS ESCUELA LAS CARDAS</v>
      </c>
      <c r="C270" s="10" t="str">
        <f ca="1">IFERROR(__xludf.DUMMYFUNCTION("""COMPUTED_VALUE"""),"1-C-2023-1525")</f>
        <v>1-C-2023-1525</v>
      </c>
      <c r="D270" s="26" t="str">
        <f t="shared" ca="1" si="0"/>
        <v xml:space="preserve"> VICTORIA</v>
      </c>
      <c r="E270" s="10" t="str">
        <f ca="1">IFERROR(__xludf.DUMMYFUNCTION("""COMPUTED_VALUE"""),"Guía Operativa")</f>
        <v>Guía Operativa</v>
      </c>
      <c r="F270" s="10" t="str">
        <f ca="1">IFERROR(__xludf.DUMMYFUNCTION("""COMPUTED_VALUE"""),"MUNICIPALIDAD DE VICTORIA")</f>
        <v>MUNICIPALIDAD DE VICTORIA</v>
      </c>
      <c r="G270" s="71">
        <f ca="1">IFERROR(__xludf.DUMMYFUNCTION("""COMPUTED_VALUE"""),154342564)</f>
        <v>154342564</v>
      </c>
      <c r="H270" s="10" t="str">
        <f ca="1">IFERROR(__xludf.DUMMYFUNCTION("""COMPUTED_VALUE"""),"Resolución")</f>
        <v>Resolución</v>
      </c>
      <c r="I270" s="10" t="str">
        <f ca="1">IFERROR(__xludf.DUMMYFUNCTION("""COMPUTED_VALUE"""),"OBRA")</f>
        <v>OBRA</v>
      </c>
      <c r="J270" s="10" t="str">
        <f ca="1">IFERROR(__xludf.DUMMYFUNCTION("""COMPUTED_VALUE"""),"Cumplir con normativa y reglamentos internos del programa en base a los objetivos.")</f>
        <v>Cumplir con normativa y reglamentos internos del programa en base a los objetivos.</v>
      </c>
      <c r="K270" s="71">
        <f ca="1">IFERROR(__xludf.DUMMYFUNCTION("""COMPUTED_VALUE"""),154342564)</f>
        <v>154342564</v>
      </c>
      <c r="L270" s="72">
        <f ca="1">IFERROR(__xludf.DUMMYFUNCTION("""COMPUTED_VALUE"""),1)</f>
        <v>1</v>
      </c>
      <c r="M270" s="10">
        <f ca="1">IFERROR(__xludf.DUMMYFUNCTION("""COMPUTED_VALUE"""),2403)</f>
        <v>2403</v>
      </c>
      <c r="N270" s="10" t="str">
        <f ca="1">IFERROR(__xludf.DUMMYFUNCTION("""COMPUTED_VALUE"""),"PMU")</f>
        <v>PMU</v>
      </c>
      <c r="O270" s="1"/>
      <c r="P270" s="1"/>
      <c r="Q270" s="1"/>
      <c r="R270" s="1"/>
      <c r="S270" s="1"/>
      <c r="T270" s="1"/>
      <c r="U270" s="1"/>
      <c r="V270" s="1"/>
      <c r="W270" s="1"/>
      <c r="X270" s="1"/>
      <c r="Y270" s="1"/>
      <c r="Z270" s="1"/>
    </row>
    <row r="271" spans="1:26" ht="12.75" customHeight="1">
      <c r="A271" s="1"/>
      <c r="B271" s="10" t="str">
        <f ca="1">IFERROR(__xludf.DUMMYFUNCTION("""COMPUTED_VALUE"""),"REPOSICION DE LUMINARIAS SECTOR CENTRO Y PERICENTRO DE LA COMUNA DE PUERTO MONTT")</f>
        <v>REPOSICION DE LUMINARIAS SECTOR CENTRO Y PERICENTRO DE LA COMUNA DE PUERTO MONTT</v>
      </c>
      <c r="C271" s="10" t="str">
        <f ca="1">IFERROR(__xludf.DUMMYFUNCTION("""COMPUTED_VALUE"""),"1-C-2023-2546")</f>
        <v>1-C-2023-2546</v>
      </c>
      <c r="D271" s="26" t="str">
        <f t="shared" ca="1" si="0"/>
        <v xml:space="preserve"> PUERTO MONTT</v>
      </c>
      <c r="E271" s="10" t="str">
        <f ca="1">IFERROR(__xludf.DUMMYFUNCTION("""COMPUTED_VALUE"""),"Guía Operativa")</f>
        <v>Guía Operativa</v>
      </c>
      <c r="F271" s="10" t="str">
        <f ca="1">IFERROR(__xludf.DUMMYFUNCTION("""COMPUTED_VALUE"""),"MUNICIPALIDAD DE PUERTO MONTT")</f>
        <v>MUNICIPALIDAD DE PUERTO MONTT</v>
      </c>
      <c r="G271" s="71">
        <f ca="1">IFERROR(__xludf.DUMMYFUNCTION("""COMPUTED_VALUE"""),154422499)</f>
        <v>154422499</v>
      </c>
      <c r="H271" s="10" t="str">
        <f ca="1">IFERROR(__xludf.DUMMYFUNCTION("""COMPUTED_VALUE"""),"Resolución")</f>
        <v>Resolución</v>
      </c>
      <c r="I271" s="10" t="str">
        <f ca="1">IFERROR(__xludf.DUMMYFUNCTION("""COMPUTED_VALUE"""),"OBRA")</f>
        <v>OBRA</v>
      </c>
      <c r="J271" s="10" t="str">
        <f ca="1">IFERROR(__xludf.DUMMYFUNCTION("""COMPUTED_VALUE"""),"Cumplir con normativa y reglamentos internos del programa en base a los objetivos.")</f>
        <v>Cumplir con normativa y reglamentos internos del programa en base a los objetivos.</v>
      </c>
      <c r="K271" s="71">
        <f ca="1">IFERROR(__xludf.DUMMYFUNCTION("""COMPUTED_VALUE"""),154422499)</f>
        <v>154422499</v>
      </c>
      <c r="L271" s="72">
        <f ca="1">IFERROR(__xludf.DUMMYFUNCTION("""COMPUTED_VALUE"""),1)</f>
        <v>1</v>
      </c>
      <c r="M271" s="10">
        <f ca="1">IFERROR(__xludf.DUMMYFUNCTION("""COMPUTED_VALUE"""),2863)</f>
        <v>2863</v>
      </c>
      <c r="N271" s="10" t="str">
        <f ca="1">IFERROR(__xludf.DUMMYFUNCTION("""COMPUTED_VALUE"""),"PMU")</f>
        <v>PMU</v>
      </c>
      <c r="O271" s="1"/>
      <c r="P271" s="1"/>
      <c r="Q271" s="1"/>
      <c r="R271" s="1"/>
      <c r="S271" s="1"/>
      <c r="T271" s="1"/>
      <c r="U271" s="1"/>
      <c r="V271" s="1"/>
      <c r="W271" s="1"/>
      <c r="X271" s="1"/>
      <c r="Y271" s="1"/>
      <c r="Z271" s="1"/>
    </row>
    <row r="272" spans="1:26" ht="12.75" customHeight="1">
      <c r="A272" s="1"/>
      <c r="B272" s="10" t="str">
        <f ca="1">IFERROR(__xludf.DUMMYFUNCTION("""COMPUTED_VALUE"""),"REPOSICION DE LUMINARIAS SECTOR BERNARDO O'HIGGINS DE LA COMUNA DE PUERTO MONTT")</f>
        <v>REPOSICION DE LUMINARIAS SECTOR BERNARDO O'HIGGINS DE LA COMUNA DE PUERTO MONTT</v>
      </c>
      <c r="C272" s="10" t="str">
        <f ca="1">IFERROR(__xludf.DUMMYFUNCTION("""COMPUTED_VALUE"""),"1-C-2023-2548")</f>
        <v>1-C-2023-2548</v>
      </c>
      <c r="D272" s="26" t="str">
        <f t="shared" ca="1" si="0"/>
        <v xml:space="preserve"> PUERTO MONTT</v>
      </c>
      <c r="E272" s="10" t="str">
        <f ca="1">IFERROR(__xludf.DUMMYFUNCTION("""COMPUTED_VALUE"""),"Guía Operativa")</f>
        <v>Guía Operativa</v>
      </c>
      <c r="F272" s="10" t="str">
        <f ca="1">IFERROR(__xludf.DUMMYFUNCTION("""COMPUTED_VALUE"""),"MUNICIPALIDAD DE PUERTO MONTT")</f>
        <v>MUNICIPALIDAD DE PUERTO MONTT</v>
      </c>
      <c r="G272" s="71">
        <f ca="1">IFERROR(__xludf.DUMMYFUNCTION("""COMPUTED_VALUE"""),154422499)</f>
        <v>154422499</v>
      </c>
      <c r="H272" s="10" t="str">
        <f ca="1">IFERROR(__xludf.DUMMYFUNCTION("""COMPUTED_VALUE"""),"Resolución")</f>
        <v>Resolución</v>
      </c>
      <c r="I272" s="10" t="str">
        <f ca="1">IFERROR(__xludf.DUMMYFUNCTION("""COMPUTED_VALUE"""),"OBRA")</f>
        <v>OBRA</v>
      </c>
      <c r="J272" s="10" t="str">
        <f ca="1">IFERROR(__xludf.DUMMYFUNCTION("""COMPUTED_VALUE"""),"Cumplir con normativa y reglamentos internos del programa en base a los objetivos.")</f>
        <v>Cumplir con normativa y reglamentos internos del programa en base a los objetivos.</v>
      </c>
      <c r="K272" s="71">
        <f ca="1">IFERROR(__xludf.DUMMYFUNCTION("""COMPUTED_VALUE"""),154422499)</f>
        <v>154422499</v>
      </c>
      <c r="L272" s="72">
        <f ca="1">IFERROR(__xludf.DUMMYFUNCTION("""COMPUTED_VALUE"""),1)</f>
        <v>1</v>
      </c>
      <c r="M272" s="10">
        <f ca="1">IFERROR(__xludf.DUMMYFUNCTION("""COMPUTED_VALUE"""),2863)</f>
        <v>2863</v>
      </c>
      <c r="N272" s="10" t="str">
        <f ca="1">IFERROR(__xludf.DUMMYFUNCTION("""COMPUTED_VALUE"""),"PMU")</f>
        <v>PMU</v>
      </c>
      <c r="O272" s="1"/>
      <c r="P272" s="1"/>
      <c r="Q272" s="1"/>
      <c r="R272" s="1"/>
      <c r="S272" s="1"/>
      <c r="T272" s="1"/>
      <c r="U272" s="1"/>
      <c r="V272" s="1"/>
      <c r="W272" s="1"/>
      <c r="X272" s="1"/>
      <c r="Y272" s="1"/>
      <c r="Z272" s="1"/>
    </row>
    <row r="273" spans="1:26" ht="12.75" customHeight="1">
      <c r="A273" s="1"/>
      <c r="B273" s="10" t="str">
        <f ca="1">IFERROR(__xludf.DUMMYFUNCTION("""COMPUTED_VALUE"""),"REPOSICIÓN DE LUMINARIAS SECTOR HOSPITAL DE LA COMUNA DE PUERTO MONTT")</f>
        <v>REPOSICIÓN DE LUMINARIAS SECTOR HOSPITAL DE LA COMUNA DE PUERTO MONTT</v>
      </c>
      <c r="C273" s="10" t="str">
        <f ca="1">IFERROR(__xludf.DUMMYFUNCTION("""COMPUTED_VALUE"""),"1-C-2023-2549")</f>
        <v>1-C-2023-2549</v>
      </c>
      <c r="D273" s="26" t="str">
        <f t="shared" ca="1" si="0"/>
        <v xml:space="preserve"> PUERTO MONTT</v>
      </c>
      <c r="E273" s="10" t="str">
        <f ca="1">IFERROR(__xludf.DUMMYFUNCTION("""COMPUTED_VALUE"""),"Guía Operativa")</f>
        <v>Guía Operativa</v>
      </c>
      <c r="F273" s="10" t="str">
        <f ca="1">IFERROR(__xludf.DUMMYFUNCTION("""COMPUTED_VALUE"""),"MUNICIPALIDAD DE PUERTO MONTT")</f>
        <v>MUNICIPALIDAD DE PUERTO MONTT</v>
      </c>
      <c r="G273" s="71">
        <f ca="1">IFERROR(__xludf.DUMMYFUNCTION("""COMPUTED_VALUE"""),154422499)</f>
        <v>154422499</v>
      </c>
      <c r="H273" s="10" t="str">
        <f ca="1">IFERROR(__xludf.DUMMYFUNCTION("""COMPUTED_VALUE"""),"Resolución")</f>
        <v>Resolución</v>
      </c>
      <c r="I273" s="10" t="str">
        <f ca="1">IFERROR(__xludf.DUMMYFUNCTION("""COMPUTED_VALUE"""),"OBRA")</f>
        <v>OBRA</v>
      </c>
      <c r="J273" s="10" t="str">
        <f ca="1">IFERROR(__xludf.DUMMYFUNCTION("""COMPUTED_VALUE"""),"Cumplir con normativa y reglamentos internos del programa en base a los objetivos.")</f>
        <v>Cumplir con normativa y reglamentos internos del programa en base a los objetivos.</v>
      </c>
      <c r="K273" s="71">
        <f ca="1">IFERROR(__xludf.DUMMYFUNCTION("""COMPUTED_VALUE"""),154422499)</f>
        <v>154422499</v>
      </c>
      <c r="L273" s="72">
        <f ca="1">IFERROR(__xludf.DUMMYFUNCTION("""COMPUTED_VALUE"""),1)</f>
        <v>1</v>
      </c>
      <c r="M273" s="10">
        <f ca="1">IFERROR(__xludf.DUMMYFUNCTION("""COMPUTED_VALUE"""),2863)</f>
        <v>2863</v>
      </c>
      <c r="N273" s="10" t="str">
        <f ca="1">IFERROR(__xludf.DUMMYFUNCTION("""COMPUTED_VALUE"""),"PMU")</f>
        <v>PMU</v>
      </c>
      <c r="O273" s="1"/>
      <c r="P273" s="1"/>
      <c r="Q273" s="1"/>
      <c r="R273" s="1"/>
      <c r="S273" s="1"/>
      <c r="T273" s="1"/>
      <c r="U273" s="1"/>
      <c r="V273" s="1"/>
      <c r="W273" s="1"/>
      <c r="X273" s="1"/>
      <c r="Y273" s="1"/>
      <c r="Z273" s="1"/>
    </row>
    <row r="274" spans="1:26" ht="12.75" customHeight="1">
      <c r="A274" s="1"/>
      <c r="B274" s="10" t="str">
        <f ca="1">IFERROR(__xludf.DUMMYFUNCTION("""COMPUTED_VALUE"""),"CONSTRUCCIÓN VEREDÓN ORIENTE ESCUELA HERNÁN MERINO CORREA DE COCHRANE")</f>
        <v>CONSTRUCCIÓN VEREDÓN ORIENTE ESCUELA HERNÁN MERINO CORREA DE COCHRANE</v>
      </c>
      <c r="C274" s="10" t="str">
        <f ca="1">IFERROR(__xludf.DUMMYFUNCTION("""COMPUTED_VALUE"""),"1-C-2021-653 [FET]")</f>
        <v>1-C-2021-653 [FET]</v>
      </c>
      <c r="D274" s="26" t="str">
        <f t="shared" ca="1" si="0"/>
        <v xml:space="preserve"> COCHRANE</v>
      </c>
      <c r="E274" s="10" t="str">
        <f ca="1">IFERROR(__xludf.DUMMYFUNCTION("""COMPUTED_VALUE"""),"Guía Operativa")</f>
        <v>Guía Operativa</v>
      </c>
      <c r="F274" s="10" t="str">
        <f ca="1">IFERROR(__xludf.DUMMYFUNCTION("""COMPUTED_VALUE"""),"MUNICIPALIDAD DE COCHRANE")</f>
        <v>MUNICIPALIDAD DE COCHRANE</v>
      </c>
      <c r="G274" s="71">
        <f ca="1">IFERROR(__xludf.DUMMYFUNCTION("""COMPUTED_VALUE"""),74999886)</f>
        <v>74999886</v>
      </c>
      <c r="H274" s="10" t="str">
        <f ca="1">IFERROR(__xludf.DUMMYFUNCTION("""COMPUTED_VALUE"""),"Resolución")</f>
        <v>Resolución</v>
      </c>
      <c r="I274" s="10" t="str">
        <f ca="1">IFERROR(__xludf.DUMMYFUNCTION("""COMPUTED_VALUE"""),"OBRA")</f>
        <v>OBRA</v>
      </c>
      <c r="J274" s="10" t="str">
        <f ca="1">IFERROR(__xludf.DUMMYFUNCTION("""COMPUTED_VALUE"""),"Cumplir con normativa y reglamentos internos del programa en base a los objetivos.")</f>
        <v>Cumplir con normativa y reglamentos internos del programa en base a los objetivos.</v>
      </c>
      <c r="K274" s="71">
        <f ca="1">IFERROR(__xludf.DUMMYFUNCTION("""COMPUTED_VALUE"""),14997274)</f>
        <v>14997274</v>
      </c>
      <c r="L274" s="72">
        <f ca="1">IFERROR(__xludf.DUMMYFUNCTION("""COMPUTED_VALUE"""),0.99996503994686)</f>
        <v>0.99996503994686003</v>
      </c>
      <c r="M274" s="10">
        <f ca="1">IFERROR(__xludf.DUMMYFUNCTION("""COMPUTED_VALUE"""),8248)</f>
        <v>8248</v>
      </c>
      <c r="N274" s="10" t="str">
        <f ca="1">IFERROR(__xludf.DUMMYFUNCTION("""COMPUTED_VALUE"""),"PMU")</f>
        <v>PMU</v>
      </c>
      <c r="O274" s="1"/>
      <c r="P274" s="1"/>
      <c r="Q274" s="1"/>
      <c r="R274" s="1"/>
      <c r="S274" s="1"/>
      <c r="T274" s="1"/>
      <c r="U274" s="1"/>
      <c r="V274" s="1"/>
      <c r="W274" s="1"/>
      <c r="X274" s="1"/>
      <c r="Y274" s="1"/>
      <c r="Z274" s="1"/>
    </row>
    <row r="275" spans="1:26" ht="12.75" customHeight="1">
      <c r="A275" s="1"/>
      <c r="B275" s="10" t="str">
        <f ca="1">IFERROR(__xludf.DUMMYFUNCTION("""COMPUTED_VALUE"""),"MEJORAMIENTO VIAL SELLO ALTA FRICCIÓN CALLE OCTAVIO VARGAS")</f>
        <v>MEJORAMIENTO VIAL SELLO ALTA FRICCIÓN CALLE OCTAVIO VARGAS</v>
      </c>
      <c r="C275" s="10" t="str">
        <f ca="1">IFERROR(__xludf.DUMMYFUNCTION("""COMPUTED_VALUE"""),"1-C-2023-2384")</f>
        <v>1-C-2023-2384</v>
      </c>
      <c r="D275" s="26" t="str">
        <f t="shared" ca="1" si="0"/>
        <v xml:space="preserve"> COCHRANE</v>
      </c>
      <c r="E275" s="10" t="str">
        <f ca="1">IFERROR(__xludf.DUMMYFUNCTION("""COMPUTED_VALUE"""),"Guía Operativa")</f>
        <v>Guía Operativa</v>
      </c>
      <c r="F275" s="10" t="str">
        <f ca="1">IFERROR(__xludf.DUMMYFUNCTION("""COMPUTED_VALUE"""),"MUNICIPALIDAD DE COCHRANE")</f>
        <v>MUNICIPALIDAD DE COCHRANE</v>
      </c>
      <c r="G275" s="71">
        <f ca="1">IFERROR(__xludf.DUMMYFUNCTION("""COMPUTED_VALUE"""),152069566)</f>
        <v>152069566</v>
      </c>
      <c r="H275" s="10" t="str">
        <f ca="1">IFERROR(__xludf.DUMMYFUNCTION("""COMPUTED_VALUE"""),"Resolución")</f>
        <v>Resolución</v>
      </c>
      <c r="I275" s="10" t="str">
        <f ca="1">IFERROR(__xludf.DUMMYFUNCTION("""COMPUTED_VALUE"""),"OBRA")</f>
        <v>OBRA</v>
      </c>
      <c r="J275" s="10" t="str">
        <f ca="1">IFERROR(__xludf.DUMMYFUNCTION("""COMPUTED_VALUE"""),"Cumplir con normativa y reglamentos internos del programa en base a los objetivos.")</f>
        <v>Cumplir con normativa y reglamentos internos del programa en base a los objetivos.</v>
      </c>
      <c r="K275" s="71">
        <f ca="1">IFERROR(__xludf.DUMMYFUNCTION("""COMPUTED_VALUE"""),152069566)</f>
        <v>152069566</v>
      </c>
      <c r="L275" s="72">
        <f ca="1">IFERROR(__xludf.DUMMYFUNCTION("""COMPUTED_VALUE"""),1)</f>
        <v>1</v>
      </c>
      <c r="M275" s="10">
        <f ca="1">IFERROR(__xludf.DUMMYFUNCTION("""COMPUTED_VALUE"""),2768)</f>
        <v>2768</v>
      </c>
      <c r="N275" s="10" t="str">
        <f ca="1">IFERROR(__xludf.DUMMYFUNCTION("""COMPUTED_VALUE"""),"PMU")</f>
        <v>PMU</v>
      </c>
      <c r="O275" s="1"/>
      <c r="P275" s="1"/>
      <c r="Q275" s="1"/>
      <c r="R275" s="1"/>
      <c r="S275" s="1"/>
      <c r="T275" s="1"/>
      <c r="U275" s="1"/>
      <c r="V275" s="1"/>
      <c r="W275" s="1"/>
      <c r="X275" s="1"/>
      <c r="Y275" s="1"/>
      <c r="Z275" s="1"/>
    </row>
    <row r="276" spans="1:26" ht="12.75" customHeight="1">
      <c r="A276" s="1"/>
      <c r="B276" s="10" t="str">
        <f ca="1">IFERROR(__xludf.DUMMYFUNCTION("""COMPUTED_VALUE"""),"COSTRUCCIÓN SELLO ALTA FRICCIÓN SECTOR TAMANGO DE LA COMUNA DE COCHRANE")</f>
        <v>COSTRUCCIÓN SELLO ALTA FRICCIÓN SECTOR TAMANGO DE LA COMUNA DE COCHRANE</v>
      </c>
      <c r="C276" s="10" t="str">
        <f ca="1">IFERROR(__xludf.DUMMYFUNCTION("""COMPUTED_VALUE"""),"1-C-2023-2454")</f>
        <v>1-C-2023-2454</v>
      </c>
      <c r="D276" s="26" t="str">
        <f t="shared" ca="1" si="0"/>
        <v xml:space="preserve"> COCHRANE</v>
      </c>
      <c r="E276" s="10" t="str">
        <f ca="1">IFERROR(__xludf.DUMMYFUNCTION("""COMPUTED_VALUE"""),"Guía Operativa")</f>
        <v>Guía Operativa</v>
      </c>
      <c r="F276" s="10" t="str">
        <f ca="1">IFERROR(__xludf.DUMMYFUNCTION("""COMPUTED_VALUE"""),"MUNICIPALIDAD DE COCHRANE")</f>
        <v>MUNICIPALIDAD DE COCHRANE</v>
      </c>
      <c r="G276" s="71">
        <f ca="1">IFERROR(__xludf.DUMMYFUNCTION("""COMPUTED_VALUE"""),151688908)</f>
        <v>151688908</v>
      </c>
      <c r="H276" s="10" t="str">
        <f ca="1">IFERROR(__xludf.DUMMYFUNCTION("""COMPUTED_VALUE"""),"Resolución")</f>
        <v>Resolución</v>
      </c>
      <c r="I276" s="10" t="str">
        <f ca="1">IFERROR(__xludf.DUMMYFUNCTION("""COMPUTED_VALUE"""),"OBRA")</f>
        <v>OBRA</v>
      </c>
      <c r="J276" s="10" t="str">
        <f ca="1">IFERROR(__xludf.DUMMYFUNCTION("""COMPUTED_VALUE"""),"Cumplir con normativa y reglamentos internos del programa en base a los objetivos.")</f>
        <v>Cumplir con normativa y reglamentos internos del programa en base a los objetivos.</v>
      </c>
      <c r="K276" s="71">
        <f ca="1">IFERROR(__xludf.DUMMYFUNCTION("""COMPUTED_VALUE"""),151688908)</f>
        <v>151688908</v>
      </c>
      <c r="L276" s="72">
        <f ca="1">IFERROR(__xludf.DUMMYFUNCTION("""COMPUTED_VALUE"""),1)</f>
        <v>1</v>
      </c>
      <c r="M276" s="10">
        <f ca="1">IFERROR(__xludf.DUMMYFUNCTION("""COMPUTED_VALUE"""),2768)</f>
        <v>2768</v>
      </c>
      <c r="N276" s="10" t="str">
        <f ca="1">IFERROR(__xludf.DUMMYFUNCTION("""COMPUTED_VALUE"""),"PMU")</f>
        <v>PMU</v>
      </c>
      <c r="O276" s="1"/>
      <c r="P276" s="1"/>
      <c r="Q276" s="1"/>
      <c r="R276" s="1"/>
      <c r="S276" s="1"/>
      <c r="T276" s="1"/>
      <c r="U276" s="1"/>
      <c r="V276" s="1"/>
      <c r="W276" s="1"/>
      <c r="X276" s="1"/>
      <c r="Y276" s="1"/>
      <c r="Z276" s="1"/>
    </row>
    <row r="277" spans="1:26" ht="12.75" customHeight="1">
      <c r="A277" s="1"/>
      <c r="B277" s="10" t="str">
        <f ca="1">IFERROR(__xludf.DUMMYFUNCTION("""COMPUTED_VALUE"""),"REPOSICION SEDE SOCIAL LAS PALMERAS")</f>
        <v>REPOSICION SEDE SOCIAL LAS PALMERAS</v>
      </c>
      <c r="C277" s="10" t="str">
        <f ca="1">IFERROR(__xludf.DUMMYFUNCTION("""COMPUTED_VALUE"""),"1-C-2020-1289 [FET]")</f>
        <v>1-C-2020-1289 [FET]</v>
      </c>
      <c r="D277" s="26" t="str">
        <f t="shared" ca="1" si="0"/>
        <v xml:space="preserve"> CERRILLOS</v>
      </c>
      <c r="E277" s="10" t="str">
        <f ca="1">IFERROR(__xludf.DUMMYFUNCTION("""COMPUTED_VALUE"""),"Guía Operativa")</f>
        <v>Guía Operativa</v>
      </c>
      <c r="F277" s="10" t="str">
        <f ca="1">IFERROR(__xludf.DUMMYFUNCTION("""COMPUTED_VALUE"""),"MUNICIPALIDAD DE CERRILLOS")</f>
        <v>MUNICIPALIDAD DE CERRILLOS</v>
      </c>
      <c r="G277" s="71">
        <f ca="1">IFERROR(__xludf.DUMMYFUNCTION("""COMPUTED_VALUE"""),77402603)</f>
        <v>77402603</v>
      </c>
      <c r="H277" s="10" t="str">
        <f ca="1">IFERROR(__xludf.DUMMYFUNCTION("""COMPUTED_VALUE"""),"Resolución")</f>
        <v>Resolución</v>
      </c>
      <c r="I277" s="10" t="str">
        <f ca="1">IFERROR(__xludf.DUMMYFUNCTION("""COMPUTED_VALUE"""),"OBRA")</f>
        <v>OBRA</v>
      </c>
      <c r="J277" s="10" t="str">
        <f ca="1">IFERROR(__xludf.DUMMYFUNCTION("""COMPUTED_VALUE"""),"Cumplir con normativa y reglamentos internos del programa en base a los objetivos.")</f>
        <v>Cumplir con normativa y reglamentos internos del programa en base a los objetivos.</v>
      </c>
      <c r="K277" s="71">
        <f ca="1">IFERROR(__xludf.DUMMYFUNCTION("""COMPUTED_VALUE"""),16193789)</f>
        <v>16193789</v>
      </c>
      <c r="L277" s="72">
        <f ca="1">IFERROR(__xludf.DUMMYFUNCTION("""COMPUTED_VALUE"""),0.981652412903995)</f>
        <v>0.98165241290399496</v>
      </c>
      <c r="M277" s="10">
        <f ca="1">IFERROR(__xludf.DUMMYFUNCTION("""COMPUTED_VALUE"""),1734)</f>
        <v>1734</v>
      </c>
      <c r="N277" s="10" t="str">
        <f ca="1">IFERROR(__xludf.DUMMYFUNCTION("""COMPUTED_VALUE"""),"PMU")</f>
        <v>PMU</v>
      </c>
      <c r="O277" s="1"/>
      <c r="P277" s="1"/>
      <c r="Q277" s="1"/>
      <c r="R277" s="1"/>
      <c r="S277" s="1"/>
      <c r="T277" s="1"/>
      <c r="U277" s="1"/>
      <c r="V277" s="1"/>
      <c r="W277" s="1"/>
      <c r="X277" s="1"/>
      <c r="Y277" s="1"/>
      <c r="Z277" s="1"/>
    </row>
    <row r="278" spans="1:26" ht="12.75" customHeight="1">
      <c r="A278" s="1"/>
      <c r="B278" s="10" t="str">
        <f ca="1">IFERROR(__xludf.DUMMYFUNCTION("""COMPUTED_VALUE"""),"MEJORAMIENTO DE ILUMINACION EN DIFERENTES PARADAS DE LOCOMOCION COLECTIVA DE LA COMUNA DE RENCA, PARADERO SEGURO 2.0")</f>
        <v>MEJORAMIENTO DE ILUMINACION EN DIFERENTES PARADAS DE LOCOMOCION COLECTIVA DE LA COMUNA DE RENCA, PARADERO SEGURO 2.0</v>
      </c>
      <c r="C278" s="10" t="str">
        <f ca="1">IFERROR(__xludf.DUMMYFUNCTION("""COMPUTED_VALUE"""),"1-SPD-2022-388")</f>
        <v>1-SPD-2022-388</v>
      </c>
      <c r="D278" s="26" t="str">
        <f t="shared" ca="1" si="0"/>
        <v xml:space="preserve"> RENCA</v>
      </c>
      <c r="E278" s="10" t="str">
        <f ca="1">IFERROR(__xludf.DUMMYFUNCTION("""COMPUTED_VALUE"""),"Guía Operativa")</f>
        <v>Guía Operativa</v>
      </c>
      <c r="F278" s="10" t="str">
        <f ca="1">IFERROR(__xludf.DUMMYFUNCTION("""COMPUTED_VALUE"""),"MUNICIPALIDAD DE RENCA")</f>
        <v>MUNICIPALIDAD DE RENCA</v>
      </c>
      <c r="G278" s="71">
        <f ca="1">IFERROR(__xludf.DUMMYFUNCTION("""COMPUTED_VALUE"""),74436520)</f>
        <v>74436520</v>
      </c>
      <c r="H278" s="10" t="str">
        <f ca="1">IFERROR(__xludf.DUMMYFUNCTION("""COMPUTED_VALUE"""),"Resolución")</f>
        <v>Resolución</v>
      </c>
      <c r="I278" s="10" t="str">
        <f ca="1">IFERROR(__xludf.DUMMYFUNCTION("""COMPUTED_VALUE"""),"OBRA")</f>
        <v>OBRA</v>
      </c>
      <c r="J278" s="10" t="str">
        <f ca="1">IFERROR(__xludf.DUMMYFUNCTION("""COMPUTED_VALUE"""),"Cumplir con normativa y reglamentos internos del programa en base a los objetivos.")</f>
        <v>Cumplir con normativa y reglamentos internos del programa en base a los objetivos.</v>
      </c>
      <c r="K278" s="71">
        <f ca="1">IFERROR(__xludf.DUMMYFUNCTION("""COMPUTED_VALUE"""),74436520)</f>
        <v>74436520</v>
      </c>
      <c r="L278" s="72">
        <f ca="1">IFERROR(__xludf.DUMMYFUNCTION("""COMPUTED_VALUE"""),1)</f>
        <v>1</v>
      </c>
      <c r="M278" s="10">
        <f ca="1">IFERROR(__xludf.DUMMYFUNCTION("""COMPUTED_VALUE"""),2360)</f>
        <v>2360</v>
      </c>
      <c r="N278" s="10" t="str">
        <f ca="1">IFERROR(__xludf.DUMMYFUNCTION("""COMPUTED_VALUE"""),"PMU")</f>
        <v>PMU</v>
      </c>
      <c r="O278" s="1"/>
      <c r="P278" s="1"/>
      <c r="Q278" s="1"/>
      <c r="R278" s="1"/>
      <c r="S278" s="1"/>
      <c r="T278" s="1"/>
      <c r="U278" s="1"/>
      <c r="V278" s="1"/>
      <c r="W278" s="1"/>
      <c r="X278" s="1"/>
      <c r="Y278" s="1"/>
      <c r="Z278" s="1"/>
    </row>
    <row r="279" spans="1:26" ht="12.75" customHeight="1">
      <c r="A279" s="1"/>
      <c r="B279" s="10" t="str">
        <f ca="1">IFERROR(__xludf.DUMMYFUNCTION("""COMPUTED_VALUE"""),"REPARACIÓN DE BACHES DE CALZADAS CON ASFALTO EN CALLE ARTURO PRAT, COMUNA DE RENCA")</f>
        <v>REPARACIÓN DE BACHES DE CALZADAS CON ASFALTO EN CALLE ARTURO PRAT, COMUNA DE RENCA</v>
      </c>
      <c r="C279" s="10" t="str">
        <f ca="1">IFERROR(__xludf.DUMMYFUNCTION("""COMPUTED_VALUE"""),"1-C-2023-1915")</f>
        <v>1-C-2023-1915</v>
      </c>
      <c r="D279" s="26" t="str">
        <f t="shared" ca="1" si="0"/>
        <v xml:space="preserve"> RENCA</v>
      </c>
      <c r="E279" s="10" t="str">
        <f ca="1">IFERROR(__xludf.DUMMYFUNCTION("""COMPUTED_VALUE"""),"Guía Operativa")</f>
        <v>Guía Operativa</v>
      </c>
      <c r="F279" s="10" t="str">
        <f ca="1">IFERROR(__xludf.DUMMYFUNCTION("""COMPUTED_VALUE"""),"MUNICIPALIDAD DE RENCA")</f>
        <v>MUNICIPALIDAD DE RENCA</v>
      </c>
      <c r="G279" s="71">
        <f ca="1">IFERROR(__xludf.DUMMYFUNCTION("""COMPUTED_VALUE"""),154036141)</f>
        <v>154036141</v>
      </c>
      <c r="H279" s="10" t="str">
        <f ca="1">IFERROR(__xludf.DUMMYFUNCTION("""COMPUTED_VALUE"""),"Resolución")</f>
        <v>Resolución</v>
      </c>
      <c r="I279" s="10" t="str">
        <f ca="1">IFERROR(__xludf.DUMMYFUNCTION("""COMPUTED_VALUE"""),"OBRA")</f>
        <v>OBRA</v>
      </c>
      <c r="J279" s="10" t="str">
        <f ca="1">IFERROR(__xludf.DUMMYFUNCTION("""COMPUTED_VALUE"""),"Cumplir con normativa y reglamentos internos del programa en base a los objetivos.")</f>
        <v>Cumplir con normativa y reglamentos internos del programa en base a los objetivos.</v>
      </c>
      <c r="K279" s="71">
        <f ca="1">IFERROR(__xludf.DUMMYFUNCTION("""COMPUTED_VALUE"""),154036141)</f>
        <v>154036141</v>
      </c>
      <c r="L279" s="72">
        <f ca="1">IFERROR(__xludf.DUMMYFUNCTION("""COMPUTED_VALUE"""),1)</f>
        <v>1</v>
      </c>
      <c r="M279" s="10">
        <f ca="1">IFERROR(__xludf.DUMMYFUNCTION("""COMPUTED_VALUE"""),2361)</f>
        <v>2361</v>
      </c>
      <c r="N279" s="10" t="str">
        <f ca="1">IFERROR(__xludf.DUMMYFUNCTION("""COMPUTED_VALUE"""),"PMU")</f>
        <v>PMU</v>
      </c>
      <c r="O279" s="1"/>
      <c r="P279" s="1"/>
      <c r="Q279" s="1"/>
      <c r="R279" s="1"/>
      <c r="S279" s="1"/>
      <c r="T279" s="1"/>
      <c r="U279" s="1"/>
      <c r="V279" s="1"/>
      <c r="W279" s="1"/>
      <c r="X279" s="1"/>
      <c r="Y279" s="1"/>
      <c r="Z279" s="1"/>
    </row>
    <row r="280" spans="1:26" ht="12.75" customHeight="1">
      <c r="A280" s="1"/>
      <c r="B280" s="10" t="str">
        <f ca="1">IFERROR(__xludf.DUMMYFUNCTION("""COMPUTED_VALUE"""),"MEJORAMIENTO PLAZOLETA JUAN NIETO, SAN JOAQUÍN")</f>
        <v>MEJORAMIENTO PLAZOLETA JUAN NIETO, SAN JOAQUÍN</v>
      </c>
      <c r="C280" s="10" t="str">
        <f ca="1">IFERROR(__xludf.DUMMYFUNCTION("""COMPUTED_VALUE"""),"1-C-2023-2344")</f>
        <v>1-C-2023-2344</v>
      </c>
      <c r="D280" s="26" t="str">
        <f t="shared" ca="1" si="0"/>
        <v xml:space="preserve"> SAN JOAQUÍN</v>
      </c>
      <c r="E280" s="10" t="str">
        <f ca="1">IFERROR(__xludf.DUMMYFUNCTION("""COMPUTED_VALUE"""),"Guía Operativa")</f>
        <v>Guía Operativa</v>
      </c>
      <c r="F280" s="10" t="str">
        <f ca="1">IFERROR(__xludf.DUMMYFUNCTION("""COMPUTED_VALUE"""),"MUNICIPALIDAD DE SAN JOAQUÍN")</f>
        <v>MUNICIPALIDAD DE SAN JOAQUÍN</v>
      </c>
      <c r="G280" s="71">
        <f ca="1">IFERROR(__xludf.DUMMYFUNCTION("""COMPUTED_VALUE"""),50142131)</f>
        <v>50142131</v>
      </c>
      <c r="H280" s="10" t="str">
        <f ca="1">IFERROR(__xludf.DUMMYFUNCTION("""COMPUTED_VALUE"""),"Resolución")</f>
        <v>Resolución</v>
      </c>
      <c r="I280" s="10" t="str">
        <f ca="1">IFERROR(__xludf.DUMMYFUNCTION("""COMPUTED_VALUE"""),"OBRA")</f>
        <v>OBRA</v>
      </c>
      <c r="J280" s="10" t="str">
        <f ca="1">IFERROR(__xludf.DUMMYFUNCTION("""COMPUTED_VALUE"""),"Cumplir con normativa y reglamentos internos del programa en base a los objetivos.")</f>
        <v>Cumplir con normativa y reglamentos internos del programa en base a los objetivos.</v>
      </c>
      <c r="K280" s="71">
        <f ca="1">IFERROR(__xludf.DUMMYFUNCTION("""COMPUTED_VALUE"""),50142131)</f>
        <v>50142131</v>
      </c>
      <c r="L280" s="72">
        <f ca="1">IFERROR(__xludf.DUMMYFUNCTION("""COMPUTED_VALUE"""),1)</f>
        <v>1</v>
      </c>
      <c r="M280" s="10">
        <f ca="1">IFERROR(__xludf.DUMMYFUNCTION("""COMPUTED_VALUE"""),2409)</f>
        <v>2409</v>
      </c>
      <c r="N280" s="10" t="str">
        <f ca="1">IFERROR(__xludf.DUMMYFUNCTION("""COMPUTED_VALUE"""),"PMU")</f>
        <v>PMU</v>
      </c>
      <c r="O280" s="1"/>
      <c r="P280" s="1"/>
      <c r="Q280" s="1"/>
      <c r="R280" s="1"/>
      <c r="S280" s="1"/>
      <c r="T280" s="1"/>
      <c r="U280" s="1"/>
      <c r="V280" s="1"/>
      <c r="W280" s="1"/>
      <c r="X280" s="1"/>
      <c r="Y280" s="1"/>
      <c r="Z280" s="1"/>
    </row>
    <row r="281" spans="1:26" ht="12.75" customHeight="1">
      <c r="A281" s="1"/>
      <c r="B281" s="10" t="str">
        <f ca="1">IFERROR(__xludf.DUMMYFUNCTION("""COMPUTED_VALUE"""),"MEJORAMIENTO DE 6 MULTICANCHAS CON ILUMINACIÓN Y EQUIPAMIENTO DEPORTIVO, RENCA")</f>
        <v>MEJORAMIENTO DE 6 MULTICANCHAS CON ILUMINACIÓN Y EQUIPAMIENTO DEPORTIVO, RENCA</v>
      </c>
      <c r="C281" s="10" t="str">
        <f ca="1">IFERROR(__xludf.DUMMYFUNCTION("""COMPUTED_VALUE"""),"1-C-2023-2446")</f>
        <v>1-C-2023-2446</v>
      </c>
      <c r="D281" s="26" t="str">
        <f t="shared" ca="1" si="0"/>
        <v xml:space="preserve"> RENCA</v>
      </c>
      <c r="E281" s="10" t="str">
        <f ca="1">IFERROR(__xludf.DUMMYFUNCTION("""COMPUTED_VALUE"""),"Guía Operativa")</f>
        <v>Guía Operativa</v>
      </c>
      <c r="F281" s="10" t="str">
        <f ca="1">IFERROR(__xludf.DUMMYFUNCTION("""COMPUTED_VALUE"""),"MUNICIPALIDAD DE RENCA")</f>
        <v>MUNICIPALIDAD DE RENCA</v>
      </c>
      <c r="G281" s="71">
        <f ca="1">IFERROR(__xludf.DUMMYFUNCTION("""COMPUTED_VALUE"""),81617574)</f>
        <v>81617574</v>
      </c>
      <c r="H281" s="10" t="str">
        <f ca="1">IFERROR(__xludf.DUMMYFUNCTION("""COMPUTED_VALUE"""),"Resolución")</f>
        <v>Resolución</v>
      </c>
      <c r="I281" s="10" t="str">
        <f ca="1">IFERROR(__xludf.DUMMYFUNCTION("""COMPUTED_VALUE"""),"OBRA")</f>
        <v>OBRA</v>
      </c>
      <c r="J281" s="10" t="str">
        <f ca="1">IFERROR(__xludf.DUMMYFUNCTION("""COMPUTED_VALUE"""),"Cumplir con normativa y reglamentos internos del programa en base a los objetivos.")</f>
        <v>Cumplir con normativa y reglamentos internos del programa en base a los objetivos.</v>
      </c>
      <c r="K281" s="71">
        <f ca="1">IFERROR(__xludf.DUMMYFUNCTION("""COMPUTED_VALUE"""),81617574)</f>
        <v>81617574</v>
      </c>
      <c r="L281" s="72">
        <f ca="1">IFERROR(__xludf.DUMMYFUNCTION("""COMPUTED_VALUE"""),1)</f>
        <v>1</v>
      </c>
      <c r="M281" s="10">
        <f ca="1">IFERROR(__xludf.DUMMYFUNCTION("""COMPUTED_VALUE"""),2359)</f>
        <v>2359</v>
      </c>
      <c r="N281" s="10" t="str">
        <f ca="1">IFERROR(__xludf.DUMMYFUNCTION("""COMPUTED_VALUE"""),"PMU")</f>
        <v>PMU</v>
      </c>
      <c r="O281" s="1"/>
      <c r="P281" s="1"/>
      <c r="Q281" s="1"/>
      <c r="R281" s="1"/>
      <c r="S281" s="1"/>
      <c r="T281" s="1"/>
      <c r="U281" s="1"/>
      <c r="V281" s="1"/>
      <c r="W281" s="1"/>
      <c r="X281" s="1"/>
      <c r="Y281" s="1"/>
      <c r="Z281" s="1"/>
    </row>
    <row r="282" spans="1:26" ht="12.75" customHeight="1">
      <c r="A282" s="1"/>
      <c r="B282" s="10" t="str">
        <f ca="1">IFERROR(__xludf.DUMMYFUNCTION("""COMPUTED_VALUE"""),"CONSTRUCCIÓN DEL ESPACIO PÚBLICO EN PASAJE MAR CASPIO - LAGUNA SAN RAFAEL, COMUNA DE PUDAHUEL")</f>
        <v>CONSTRUCCIÓN DEL ESPACIO PÚBLICO EN PASAJE MAR CASPIO - LAGUNA SAN RAFAEL, COMUNA DE PUDAHUEL</v>
      </c>
      <c r="C282" s="10" t="str">
        <f ca="1">IFERROR(__xludf.DUMMYFUNCTION("""COMPUTED_VALUE"""),"1-C-2023-2603")</f>
        <v>1-C-2023-2603</v>
      </c>
      <c r="D282" s="26" t="str">
        <f t="shared" ca="1" si="0"/>
        <v xml:space="preserve"> PUDAHUEL</v>
      </c>
      <c r="E282" s="10" t="str">
        <f ca="1">IFERROR(__xludf.DUMMYFUNCTION("""COMPUTED_VALUE"""),"Guía Operativa")</f>
        <v>Guía Operativa</v>
      </c>
      <c r="F282" s="10" t="str">
        <f ca="1">IFERROR(__xludf.DUMMYFUNCTION("""COMPUTED_VALUE"""),"MUNICIPALIDAD DE PUDAHUEL")</f>
        <v>MUNICIPALIDAD DE PUDAHUEL</v>
      </c>
      <c r="G282" s="71">
        <f ca="1">IFERROR(__xludf.DUMMYFUNCTION("""COMPUTED_VALUE"""),123304727)</f>
        <v>123304727</v>
      </c>
      <c r="H282" s="10" t="str">
        <f ca="1">IFERROR(__xludf.DUMMYFUNCTION("""COMPUTED_VALUE"""),"Resolución")</f>
        <v>Resolución</v>
      </c>
      <c r="I282" s="10" t="str">
        <f ca="1">IFERROR(__xludf.DUMMYFUNCTION("""COMPUTED_VALUE"""),"OBRA")</f>
        <v>OBRA</v>
      </c>
      <c r="J282" s="10" t="str">
        <f ca="1">IFERROR(__xludf.DUMMYFUNCTION("""COMPUTED_VALUE"""),"Cumplir con normativa y reglamentos internos del programa en base a los objetivos.")</f>
        <v>Cumplir con normativa y reglamentos internos del programa en base a los objetivos.</v>
      </c>
      <c r="K282" s="71">
        <f ca="1">IFERROR(__xludf.DUMMYFUNCTION("""COMPUTED_VALUE"""),123304727)</f>
        <v>123304727</v>
      </c>
      <c r="L282" s="72">
        <f ca="1">IFERROR(__xludf.DUMMYFUNCTION("""COMPUTED_VALUE"""),1)</f>
        <v>1</v>
      </c>
      <c r="M282" s="10">
        <f ca="1">IFERROR(__xludf.DUMMYFUNCTION("""COMPUTED_VALUE"""),2276)</f>
        <v>2276</v>
      </c>
      <c r="N282" s="10" t="str">
        <f ca="1">IFERROR(__xludf.DUMMYFUNCTION("""COMPUTED_VALUE"""),"PMU")</f>
        <v>PMU</v>
      </c>
      <c r="O282" s="1"/>
      <c r="P282" s="1"/>
      <c r="Q282" s="1"/>
      <c r="R282" s="1"/>
      <c r="S282" s="1"/>
      <c r="T282" s="1"/>
      <c r="U282" s="1"/>
      <c r="V282" s="1"/>
      <c r="W282" s="1"/>
      <c r="X282" s="1"/>
      <c r="Y282" s="1"/>
      <c r="Z282" s="1"/>
    </row>
    <row r="283" spans="1:26" ht="12.75" customHeight="1">
      <c r="A283" s="1"/>
      <c r="B283" s="10" t="str">
        <f ca="1">IFERROR(__xludf.DUMMYFUNCTION("""COMPUTED_VALUE"""),"MEJORAMIENTO PLAZA TOPOCALMA CON MAR BRAVA, RENCA")</f>
        <v>MEJORAMIENTO PLAZA TOPOCALMA CON MAR BRAVA, RENCA</v>
      </c>
      <c r="C283" s="10" t="str">
        <f ca="1">IFERROR(__xludf.DUMMYFUNCTION("""COMPUTED_VALUE"""),"1-C-2023-2902")</f>
        <v>1-C-2023-2902</v>
      </c>
      <c r="D283" s="26" t="str">
        <f t="shared" ca="1" si="0"/>
        <v xml:space="preserve"> RENCA</v>
      </c>
      <c r="E283" s="10" t="str">
        <f ca="1">IFERROR(__xludf.DUMMYFUNCTION("""COMPUTED_VALUE"""),"Guía Operativa")</f>
        <v>Guía Operativa</v>
      </c>
      <c r="F283" s="10" t="str">
        <f ca="1">IFERROR(__xludf.DUMMYFUNCTION("""COMPUTED_VALUE"""),"MUNICIPALIDAD DE RENCA")</f>
        <v>MUNICIPALIDAD DE RENCA</v>
      </c>
      <c r="G283" s="71">
        <f ca="1">IFERROR(__xludf.DUMMYFUNCTION("""COMPUTED_VALUE"""),33456380)</f>
        <v>33456380</v>
      </c>
      <c r="H283" s="10" t="str">
        <f ca="1">IFERROR(__xludf.DUMMYFUNCTION("""COMPUTED_VALUE"""),"Resolución")</f>
        <v>Resolución</v>
      </c>
      <c r="I283" s="10" t="str">
        <f ca="1">IFERROR(__xludf.DUMMYFUNCTION("""COMPUTED_VALUE"""),"OBRA")</f>
        <v>OBRA</v>
      </c>
      <c r="J283" s="10" t="str">
        <f ca="1">IFERROR(__xludf.DUMMYFUNCTION("""COMPUTED_VALUE"""),"Cumplir con normativa y reglamentos internos del programa en base a los objetivos.")</f>
        <v>Cumplir con normativa y reglamentos internos del programa en base a los objetivos.</v>
      </c>
      <c r="K283" s="71">
        <f ca="1">IFERROR(__xludf.DUMMYFUNCTION("""COMPUTED_VALUE"""),33456380)</f>
        <v>33456380</v>
      </c>
      <c r="L283" s="72">
        <f ca="1">IFERROR(__xludf.DUMMYFUNCTION("""COMPUTED_VALUE"""),1)</f>
        <v>1</v>
      </c>
      <c r="M283" s="10">
        <f ca="1">IFERROR(__xludf.DUMMYFUNCTION("""COMPUTED_VALUE"""),2361)</f>
        <v>2361</v>
      </c>
      <c r="N283" s="10" t="str">
        <f ca="1">IFERROR(__xludf.DUMMYFUNCTION("""COMPUTED_VALUE"""),"PMU")</f>
        <v>PMU</v>
      </c>
      <c r="O283" s="1"/>
      <c r="P283" s="1"/>
      <c r="Q283" s="1"/>
      <c r="R283" s="1"/>
      <c r="S283" s="1"/>
      <c r="T283" s="1"/>
      <c r="U283" s="1"/>
      <c r="V283" s="1"/>
      <c r="W283" s="1"/>
      <c r="X283" s="1"/>
      <c r="Y283" s="1"/>
      <c r="Z283" s="1"/>
    </row>
    <row r="284" spans="1:26" ht="12.75" customHeight="1">
      <c r="A284" s="1"/>
      <c r="B284" s="10" t="str">
        <f ca="1">IFERROR(__xludf.DUMMYFUNCTION("""COMPUTED_VALUE"""),"PLAN CSV - CONSTRUCCIÓN CIERRE PERIMETRAL PARQUE DEL RÍO, COMUNA DE COLINA")</f>
        <v>PLAN CSV - CONSTRUCCIÓN CIERRE PERIMETRAL PARQUE DEL RÍO, COMUNA DE COLINA</v>
      </c>
      <c r="C284" s="10" t="str">
        <f ca="1">IFERROR(__xludf.DUMMYFUNCTION("""COMPUTED_VALUE"""),"1-C-2023-3026")</f>
        <v>1-C-2023-3026</v>
      </c>
      <c r="D284" s="26" t="str">
        <f t="shared" ca="1" si="0"/>
        <v xml:space="preserve"> COLINA</v>
      </c>
      <c r="E284" s="10" t="str">
        <f ca="1">IFERROR(__xludf.DUMMYFUNCTION("""COMPUTED_VALUE"""),"Guía Operativa")</f>
        <v>Guía Operativa</v>
      </c>
      <c r="F284" s="10" t="str">
        <f ca="1">IFERROR(__xludf.DUMMYFUNCTION("""COMPUTED_VALUE"""),"MUNICIPALIDAD DE COLINA")</f>
        <v>MUNICIPALIDAD DE COLINA</v>
      </c>
      <c r="G284" s="71">
        <f ca="1">IFERROR(__xludf.DUMMYFUNCTION("""COMPUTED_VALUE"""),150000000)</f>
        <v>150000000</v>
      </c>
      <c r="H284" s="10" t="str">
        <f ca="1">IFERROR(__xludf.DUMMYFUNCTION("""COMPUTED_VALUE"""),"Resolución")</f>
        <v>Resolución</v>
      </c>
      <c r="I284" s="10" t="str">
        <f ca="1">IFERROR(__xludf.DUMMYFUNCTION("""COMPUTED_VALUE"""),"OBRA")</f>
        <v>OBRA</v>
      </c>
      <c r="J284" s="10" t="str">
        <f ca="1">IFERROR(__xludf.DUMMYFUNCTION("""COMPUTED_VALUE"""),"Cumplir con normativa y reglamentos internos del programa en base a los objetivos.")</f>
        <v>Cumplir con normativa y reglamentos internos del programa en base a los objetivos.</v>
      </c>
      <c r="K284" s="71">
        <f ca="1">IFERROR(__xludf.DUMMYFUNCTION("""COMPUTED_VALUE"""),150000000)</f>
        <v>150000000</v>
      </c>
      <c r="L284" s="72">
        <f ca="1">IFERROR(__xludf.DUMMYFUNCTION("""COMPUTED_VALUE"""),1)</f>
        <v>1</v>
      </c>
      <c r="M284" s="10">
        <f ca="1">IFERROR(__xludf.DUMMYFUNCTION("""COMPUTED_VALUE"""),2758)</f>
        <v>2758</v>
      </c>
      <c r="N284" s="10" t="str">
        <f ca="1">IFERROR(__xludf.DUMMYFUNCTION("""COMPUTED_VALUE"""),"PMU")</f>
        <v>PMU</v>
      </c>
      <c r="O284" s="1"/>
      <c r="P284" s="1"/>
      <c r="Q284" s="1"/>
      <c r="R284" s="1"/>
      <c r="S284" s="1"/>
      <c r="T284" s="1"/>
      <c r="U284" s="1"/>
      <c r="V284" s="1"/>
      <c r="W284" s="1"/>
      <c r="X284" s="1"/>
      <c r="Y284" s="1"/>
      <c r="Z284" s="1"/>
    </row>
    <row r="285" spans="1:26" ht="12.75" customHeight="1">
      <c r="A285" s="1"/>
      <c r="B285" s="10" t="str">
        <f ca="1">IFERROR(__xludf.DUMMYFUNCTION("""COMPUTED_VALUE"""),"[CSV] IMPLEMENTACIÓN LUMINARIA PEATONAL CALLE CHACABUCO, VALDIVIA")</f>
        <v>[CSV] IMPLEMENTACIÓN LUMINARIA PEATONAL CALLE CHACABUCO, VALDIVIA</v>
      </c>
      <c r="C285" s="10" t="str">
        <f ca="1">IFERROR(__xludf.DUMMYFUNCTION("""COMPUTED_VALUE"""),"1-C-2023-2784")</f>
        <v>1-C-2023-2784</v>
      </c>
      <c r="D285" s="26" t="str">
        <f t="shared" ca="1" si="0"/>
        <v xml:space="preserve"> VALDIVIA</v>
      </c>
      <c r="E285" s="10" t="str">
        <f ca="1">IFERROR(__xludf.DUMMYFUNCTION("""COMPUTED_VALUE"""),"Guía Operativa")</f>
        <v>Guía Operativa</v>
      </c>
      <c r="F285" s="10" t="str">
        <f ca="1">IFERROR(__xludf.DUMMYFUNCTION("""COMPUTED_VALUE"""),"MUNICIPALIDAD DE VALDIVIA")</f>
        <v>MUNICIPALIDAD DE VALDIVIA</v>
      </c>
      <c r="G285" s="71">
        <f ca="1">IFERROR(__xludf.DUMMYFUNCTION("""COMPUTED_VALUE"""),137453609)</f>
        <v>137453609</v>
      </c>
      <c r="H285" s="10" t="str">
        <f ca="1">IFERROR(__xludf.DUMMYFUNCTION("""COMPUTED_VALUE"""),"Resolución")</f>
        <v>Resolución</v>
      </c>
      <c r="I285" s="10" t="str">
        <f ca="1">IFERROR(__xludf.DUMMYFUNCTION("""COMPUTED_VALUE"""),"OBRA")</f>
        <v>OBRA</v>
      </c>
      <c r="J285" s="10" t="str">
        <f ca="1">IFERROR(__xludf.DUMMYFUNCTION("""COMPUTED_VALUE"""),"Cumplir con normativa y reglamentos internos del programa en base a los objetivos.")</f>
        <v>Cumplir con normativa y reglamentos internos del programa en base a los objetivos.</v>
      </c>
      <c r="K285" s="71">
        <f ca="1">IFERROR(__xludf.DUMMYFUNCTION("""COMPUTED_VALUE"""),137453609)</f>
        <v>137453609</v>
      </c>
      <c r="L285" s="72">
        <f ca="1">IFERROR(__xludf.DUMMYFUNCTION("""COMPUTED_VALUE"""),1)</f>
        <v>1</v>
      </c>
      <c r="M285" s="10">
        <f ca="1">IFERROR(__xludf.DUMMYFUNCTION("""COMPUTED_VALUE"""),2407)</f>
        <v>2407</v>
      </c>
      <c r="N285" s="10" t="str">
        <f ca="1">IFERROR(__xludf.DUMMYFUNCTION("""COMPUTED_VALUE"""),"PMU")</f>
        <v>PMU</v>
      </c>
      <c r="O285" s="1"/>
      <c r="P285" s="1"/>
      <c r="Q285" s="1"/>
      <c r="R285" s="1"/>
      <c r="S285" s="1"/>
      <c r="T285" s="1"/>
      <c r="U285" s="1"/>
      <c r="V285" s="1"/>
      <c r="W285" s="1"/>
      <c r="X285" s="1"/>
      <c r="Y285" s="1"/>
      <c r="Z285" s="1"/>
    </row>
    <row r="286" spans="1:26" ht="12.75" customHeight="1">
      <c r="A286" s="1"/>
      <c r="B286" s="10" t="str">
        <f ca="1">IFERROR(__xludf.DUMMYFUNCTION("""COMPUTED_VALUE"""),"[CSV] IMPLEMENTACIÓN LUMINARIA PEATONAL CALLE CAUPOLICÁN, VALDIVIA")</f>
        <v>[CSV] IMPLEMENTACIÓN LUMINARIA PEATONAL CALLE CAUPOLICÁN, VALDIVIA</v>
      </c>
      <c r="C286" s="10" t="str">
        <f ca="1">IFERROR(__xludf.DUMMYFUNCTION("""COMPUTED_VALUE"""),"1-C-2023-2785")</f>
        <v>1-C-2023-2785</v>
      </c>
      <c r="D286" s="26" t="str">
        <f t="shared" ca="1" si="0"/>
        <v xml:space="preserve"> VALDIVIA</v>
      </c>
      <c r="E286" s="10" t="str">
        <f ca="1">IFERROR(__xludf.DUMMYFUNCTION("""COMPUTED_VALUE"""),"Guía Operativa")</f>
        <v>Guía Operativa</v>
      </c>
      <c r="F286" s="10" t="str">
        <f ca="1">IFERROR(__xludf.DUMMYFUNCTION("""COMPUTED_VALUE"""),"MUNICIPALIDAD DE VALDIVIA")</f>
        <v>MUNICIPALIDAD DE VALDIVIA</v>
      </c>
      <c r="G286" s="71">
        <f ca="1">IFERROR(__xludf.DUMMYFUNCTION("""COMPUTED_VALUE"""),42711146)</f>
        <v>42711146</v>
      </c>
      <c r="H286" s="10" t="str">
        <f ca="1">IFERROR(__xludf.DUMMYFUNCTION("""COMPUTED_VALUE"""),"Resolución")</f>
        <v>Resolución</v>
      </c>
      <c r="I286" s="10" t="str">
        <f ca="1">IFERROR(__xludf.DUMMYFUNCTION("""COMPUTED_VALUE"""),"OBRA")</f>
        <v>OBRA</v>
      </c>
      <c r="J286" s="10" t="str">
        <f ca="1">IFERROR(__xludf.DUMMYFUNCTION("""COMPUTED_VALUE"""),"Cumplir con normativa y reglamentos internos del programa en base a los objetivos.")</f>
        <v>Cumplir con normativa y reglamentos internos del programa en base a los objetivos.</v>
      </c>
      <c r="K286" s="71">
        <f ca="1">IFERROR(__xludf.DUMMYFUNCTION("""COMPUTED_VALUE"""),42711146)</f>
        <v>42711146</v>
      </c>
      <c r="L286" s="72">
        <f ca="1">IFERROR(__xludf.DUMMYFUNCTION("""COMPUTED_VALUE"""),1)</f>
        <v>1</v>
      </c>
      <c r="M286" s="10">
        <f ca="1">IFERROR(__xludf.DUMMYFUNCTION("""COMPUTED_VALUE"""),2407)</f>
        <v>2407</v>
      </c>
      <c r="N286" s="10" t="str">
        <f ca="1">IFERROR(__xludf.DUMMYFUNCTION("""COMPUTED_VALUE"""),"PMU")</f>
        <v>PMU</v>
      </c>
      <c r="O286" s="1"/>
      <c r="P286" s="1"/>
      <c r="Q286" s="1"/>
      <c r="R286" s="1"/>
      <c r="S286" s="1"/>
      <c r="T286" s="1"/>
      <c r="U286" s="1"/>
      <c r="V286" s="1"/>
      <c r="W286" s="1"/>
      <c r="X286" s="1"/>
      <c r="Y286" s="1"/>
      <c r="Z286" s="1"/>
    </row>
    <row r="287" spans="1:26" ht="12.75" customHeight="1">
      <c r="A287" s="1"/>
      <c r="B287" s="10" t="str">
        <f ca="1">IFERROR(__xludf.DUMMYFUNCTION("""COMPUTED_VALUE"""),"[CSV] IMPLEMENTACIÓN LUMINARIA PEATONAL CALLE COCHRANE, VALDIVIA")</f>
        <v>[CSV] IMPLEMENTACIÓN LUMINARIA PEATONAL CALLE COCHRANE, VALDIVIA</v>
      </c>
      <c r="C287" s="10" t="str">
        <f ca="1">IFERROR(__xludf.DUMMYFUNCTION("""COMPUTED_VALUE"""),"1-C-2023-2786")</f>
        <v>1-C-2023-2786</v>
      </c>
      <c r="D287" s="26" t="str">
        <f t="shared" ca="1" si="0"/>
        <v xml:space="preserve"> VALDIVIA</v>
      </c>
      <c r="E287" s="10" t="str">
        <f ca="1">IFERROR(__xludf.DUMMYFUNCTION("""COMPUTED_VALUE"""),"Guía Operativa")</f>
        <v>Guía Operativa</v>
      </c>
      <c r="F287" s="10" t="str">
        <f ca="1">IFERROR(__xludf.DUMMYFUNCTION("""COMPUTED_VALUE"""),"MUNICIPALIDAD DE VALDIVIA")</f>
        <v>MUNICIPALIDAD DE VALDIVIA</v>
      </c>
      <c r="G287" s="71">
        <f ca="1">IFERROR(__xludf.DUMMYFUNCTION("""COMPUTED_VALUE"""),121838498)</f>
        <v>121838498</v>
      </c>
      <c r="H287" s="10" t="str">
        <f ca="1">IFERROR(__xludf.DUMMYFUNCTION("""COMPUTED_VALUE"""),"Resolución")</f>
        <v>Resolución</v>
      </c>
      <c r="I287" s="10" t="str">
        <f ca="1">IFERROR(__xludf.DUMMYFUNCTION("""COMPUTED_VALUE"""),"OBRA")</f>
        <v>OBRA</v>
      </c>
      <c r="J287" s="10" t="str">
        <f ca="1">IFERROR(__xludf.DUMMYFUNCTION("""COMPUTED_VALUE"""),"Cumplir con normativa y reglamentos internos del programa en base a los objetivos.")</f>
        <v>Cumplir con normativa y reglamentos internos del programa en base a los objetivos.</v>
      </c>
      <c r="K287" s="71">
        <f ca="1">IFERROR(__xludf.DUMMYFUNCTION("""COMPUTED_VALUE"""),121838498)</f>
        <v>121838498</v>
      </c>
      <c r="L287" s="72">
        <f ca="1">IFERROR(__xludf.DUMMYFUNCTION("""COMPUTED_VALUE"""),1)</f>
        <v>1</v>
      </c>
      <c r="M287" s="10">
        <f ca="1">IFERROR(__xludf.DUMMYFUNCTION("""COMPUTED_VALUE"""),2761)</f>
        <v>2761</v>
      </c>
      <c r="N287" s="10" t="str">
        <f ca="1">IFERROR(__xludf.DUMMYFUNCTION("""COMPUTED_VALUE"""),"PMU")</f>
        <v>PMU</v>
      </c>
      <c r="O287" s="1"/>
      <c r="P287" s="1"/>
      <c r="Q287" s="1"/>
      <c r="R287" s="1"/>
      <c r="S287" s="1"/>
      <c r="T287" s="1"/>
      <c r="U287" s="1"/>
      <c r="V287" s="1"/>
      <c r="W287" s="1"/>
      <c r="X287" s="1"/>
      <c r="Y287" s="1"/>
      <c r="Z287" s="1"/>
    </row>
    <row r="288" spans="1:26" ht="12.75" customHeight="1">
      <c r="A288" s="1"/>
      <c r="B288" s="10" t="str">
        <f ca="1">IFERROR(__xludf.DUMMYFUNCTION("""COMPUTED_VALUE"""),"[CSV] IMPLEMENTACIÓN LUMINARIA PEATONAL CALLE ARAUCO, VALDIVIA")</f>
        <v>[CSV] IMPLEMENTACIÓN LUMINARIA PEATONAL CALLE ARAUCO, VALDIVIA</v>
      </c>
      <c r="C288" s="10" t="str">
        <f ca="1">IFERROR(__xludf.DUMMYFUNCTION("""COMPUTED_VALUE"""),"1-C-2023-2790")</f>
        <v>1-C-2023-2790</v>
      </c>
      <c r="D288" s="26" t="str">
        <f t="shared" ca="1" si="0"/>
        <v xml:space="preserve"> VALDIVIA</v>
      </c>
      <c r="E288" s="10" t="str">
        <f ca="1">IFERROR(__xludf.DUMMYFUNCTION("""COMPUTED_VALUE"""),"Guía Operativa")</f>
        <v>Guía Operativa</v>
      </c>
      <c r="F288" s="10" t="str">
        <f ca="1">IFERROR(__xludf.DUMMYFUNCTION("""COMPUTED_VALUE"""),"MUNICIPALIDAD DE VALDIVIA")</f>
        <v>MUNICIPALIDAD DE VALDIVIA</v>
      </c>
      <c r="G288" s="71">
        <f ca="1">IFERROR(__xludf.DUMMYFUNCTION("""COMPUTED_VALUE"""),64063702)</f>
        <v>64063702</v>
      </c>
      <c r="H288" s="10" t="str">
        <f ca="1">IFERROR(__xludf.DUMMYFUNCTION("""COMPUTED_VALUE"""),"Resolución")</f>
        <v>Resolución</v>
      </c>
      <c r="I288" s="10" t="str">
        <f ca="1">IFERROR(__xludf.DUMMYFUNCTION("""COMPUTED_VALUE"""),"OBRA")</f>
        <v>OBRA</v>
      </c>
      <c r="J288" s="10" t="str">
        <f ca="1">IFERROR(__xludf.DUMMYFUNCTION("""COMPUTED_VALUE"""),"Cumplir con normativa y reglamentos internos del programa en base a los objetivos.")</f>
        <v>Cumplir con normativa y reglamentos internos del programa en base a los objetivos.</v>
      </c>
      <c r="K288" s="71">
        <f ca="1">IFERROR(__xludf.DUMMYFUNCTION("""COMPUTED_VALUE"""),64063702)</f>
        <v>64063702</v>
      </c>
      <c r="L288" s="72">
        <f ca="1">IFERROR(__xludf.DUMMYFUNCTION("""COMPUTED_VALUE"""),1)</f>
        <v>1</v>
      </c>
      <c r="M288" s="10">
        <f ca="1">IFERROR(__xludf.DUMMYFUNCTION("""COMPUTED_VALUE"""),2759)</f>
        <v>2759</v>
      </c>
      <c r="N288" s="10" t="str">
        <f ca="1">IFERROR(__xludf.DUMMYFUNCTION("""COMPUTED_VALUE"""),"PMU")</f>
        <v>PMU</v>
      </c>
      <c r="O288" s="1"/>
      <c r="P288" s="1"/>
      <c r="Q288" s="1"/>
      <c r="R288" s="1"/>
      <c r="S288" s="1"/>
      <c r="T288" s="1"/>
      <c r="U288" s="1"/>
      <c r="V288" s="1"/>
      <c r="W288" s="1"/>
      <c r="X288" s="1"/>
      <c r="Y288" s="1"/>
      <c r="Z288" s="1"/>
    </row>
    <row r="289" spans="1:26" ht="12.75" customHeight="1">
      <c r="A289" s="1"/>
      <c r="B289" s="10" t="str">
        <f ca="1">IFERROR(__xludf.DUMMYFUNCTION("""COMPUTED_VALUE"""),"[CSV] IMPLEMENTACIÓN LUMINARIA PEATONAL CALLE PHILLIPPI, VALDIVIA")</f>
        <v>[CSV] IMPLEMENTACIÓN LUMINARIA PEATONAL CALLE PHILLIPPI, VALDIVIA</v>
      </c>
      <c r="C289" s="10" t="str">
        <f ca="1">IFERROR(__xludf.DUMMYFUNCTION("""COMPUTED_VALUE"""),"1-C-2024-171")</f>
        <v>1-C-2024-171</v>
      </c>
      <c r="D289" s="26" t="str">
        <f t="shared" ca="1" si="0"/>
        <v xml:space="preserve"> VALDIVIA</v>
      </c>
      <c r="E289" s="10" t="str">
        <f ca="1">IFERROR(__xludf.DUMMYFUNCTION("""COMPUTED_VALUE"""),"Guía Operativa")</f>
        <v>Guía Operativa</v>
      </c>
      <c r="F289" s="10" t="str">
        <f ca="1">IFERROR(__xludf.DUMMYFUNCTION("""COMPUTED_VALUE"""),"MUNICIPALIDAD DE VALDIVIA")</f>
        <v>MUNICIPALIDAD DE VALDIVIA</v>
      </c>
      <c r="G289" s="71">
        <f ca="1">IFERROR(__xludf.DUMMYFUNCTION("""COMPUTED_VALUE"""),40790981)</f>
        <v>40790981</v>
      </c>
      <c r="H289" s="10" t="str">
        <f ca="1">IFERROR(__xludf.DUMMYFUNCTION("""COMPUTED_VALUE"""),"Resolución")</f>
        <v>Resolución</v>
      </c>
      <c r="I289" s="10" t="str">
        <f ca="1">IFERROR(__xludf.DUMMYFUNCTION("""COMPUTED_VALUE"""),"OBRA")</f>
        <v>OBRA</v>
      </c>
      <c r="J289" s="10" t="str">
        <f ca="1">IFERROR(__xludf.DUMMYFUNCTION("""COMPUTED_VALUE"""),"Cumplir con normativa y reglamentos internos del programa en base a los objetivos.")</f>
        <v>Cumplir con normativa y reglamentos internos del programa en base a los objetivos.</v>
      </c>
      <c r="K289" s="71">
        <f ca="1">IFERROR(__xludf.DUMMYFUNCTION("""COMPUTED_VALUE"""),40790981)</f>
        <v>40790981</v>
      </c>
      <c r="L289" s="72">
        <f ca="1">IFERROR(__xludf.DUMMYFUNCTION("""COMPUTED_VALUE"""),1)</f>
        <v>1</v>
      </c>
      <c r="M289" s="10">
        <f ca="1">IFERROR(__xludf.DUMMYFUNCTION("""COMPUTED_VALUE"""),2761)</f>
        <v>2761</v>
      </c>
      <c r="N289" s="10" t="str">
        <f ca="1">IFERROR(__xludf.DUMMYFUNCTION("""COMPUTED_VALUE"""),"PMU")</f>
        <v>PMU</v>
      </c>
      <c r="O289" s="1"/>
      <c r="P289" s="1"/>
      <c r="Q289" s="1"/>
      <c r="R289" s="1"/>
      <c r="S289" s="1"/>
      <c r="T289" s="1"/>
      <c r="U289" s="1"/>
      <c r="V289" s="1"/>
      <c r="W289" s="1"/>
      <c r="X289" s="1"/>
      <c r="Y289" s="1"/>
      <c r="Z289" s="1"/>
    </row>
    <row r="290" spans="1:26" ht="12.75" customHeight="1">
      <c r="A290" s="1"/>
      <c r="B290" s="10" t="str">
        <f ca="1">IFERROR(__xludf.DUMMYFUNCTION("""COMPUTED_VALUE"""),"CONSTRUCCION CANCHA DE RAYUELA SECTOR SAN IGNACIO, COMUNA DE SAN IGNACIO")</f>
        <v>CONSTRUCCION CANCHA DE RAYUELA SECTOR SAN IGNACIO, COMUNA DE SAN IGNACIO</v>
      </c>
      <c r="C290" s="10" t="str">
        <f ca="1">IFERROR(__xludf.DUMMYFUNCTION("""COMPUTED_VALUE"""),"1-C-2021-50")</f>
        <v>1-C-2021-50</v>
      </c>
      <c r="D290" s="26" t="str">
        <f t="shared" ca="1" si="0"/>
        <v xml:space="preserve"> SAN IGNACIO</v>
      </c>
      <c r="E290" s="10" t="str">
        <f ca="1">IFERROR(__xludf.DUMMYFUNCTION("""COMPUTED_VALUE"""),"Guía Operativa")</f>
        <v>Guía Operativa</v>
      </c>
      <c r="F290" s="10" t="str">
        <f ca="1">IFERROR(__xludf.DUMMYFUNCTION("""COMPUTED_VALUE"""),"MUNICIPALIDAD DE SAN IGNACIO")</f>
        <v>MUNICIPALIDAD DE SAN IGNACIO</v>
      </c>
      <c r="G290" s="71">
        <f ca="1">IFERROR(__xludf.DUMMYFUNCTION("""COMPUTED_VALUE"""),74729207)</f>
        <v>74729207</v>
      </c>
      <c r="H290" s="10" t="str">
        <f ca="1">IFERROR(__xludf.DUMMYFUNCTION("""COMPUTED_VALUE"""),"Resolución")</f>
        <v>Resolución</v>
      </c>
      <c r="I290" s="10" t="str">
        <f ca="1">IFERROR(__xludf.DUMMYFUNCTION("""COMPUTED_VALUE"""),"OBRA")</f>
        <v>OBRA</v>
      </c>
      <c r="J290" s="10" t="str">
        <f ca="1">IFERROR(__xludf.DUMMYFUNCTION("""COMPUTED_VALUE"""),"Cumplir con normativa y reglamentos internos del programa en base a los objetivos.")</f>
        <v>Cumplir con normativa y reglamentos internos del programa en base a los objetivos.</v>
      </c>
      <c r="K290" s="71">
        <f ca="1">IFERROR(__xludf.DUMMYFUNCTION("""COMPUTED_VALUE"""),14675652)</f>
        <v>14675652</v>
      </c>
      <c r="L290" s="72">
        <f ca="1">IFERROR(__xludf.DUMMYFUNCTION("""COMPUTED_VALUE"""),0.999281351935127)</f>
        <v>0.99928135193512702</v>
      </c>
      <c r="M290" s="10">
        <f ca="1">IFERROR(__xludf.DUMMYFUNCTION("""COMPUTED_VALUE"""),11883)</f>
        <v>11883</v>
      </c>
      <c r="N290" s="10" t="str">
        <f ca="1">IFERROR(__xludf.DUMMYFUNCTION("""COMPUTED_VALUE"""),"PMU")</f>
        <v>PMU</v>
      </c>
      <c r="O290" s="1"/>
      <c r="P290" s="1"/>
      <c r="Q290" s="1"/>
      <c r="R290" s="1"/>
      <c r="S290" s="1"/>
      <c r="T290" s="1"/>
      <c r="U290" s="1"/>
      <c r="V290" s="1"/>
      <c r="W290" s="1"/>
      <c r="X290" s="1"/>
      <c r="Y290" s="1"/>
      <c r="Z290" s="1"/>
    </row>
    <row r="291" spans="1:26" ht="12.75" customHeight="1">
      <c r="A291" s="1"/>
      <c r="B291" s="10" t="str">
        <f ca="1">IFERROR(__xludf.DUMMYFUNCTION("""COMPUTED_VALUE"""),"“MEJORAMIENTO Y AMPLIACIÓN SEDE SOCIAL JUNTA DE VECINOS MAR AZUL, CALDERA 2023”")</f>
        <v>“MEJORAMIENTO Y AMPLIACIÓN SEDE SOCIAL JUNTA DE VECINOS MAR AZUL, CALDERA 2023”</v>
      </c>
      <c r="C291" s="10" t="str">
        <f ca="1">IFERROR(__xludf.DUMMYFUNCTION("""COMPUTED_VALUE"""),"1-C-2023-2524")</f>
        <v>1-C-2023-2524</v>
      </c>
      <c r="D291" s="26" t="str">
        <f t="shared" ca="1" si="0"/>
        <v xml:space="preserve"> CALDERA</v>
      </c>
      <c r="E291" s="10" t="str">
        <f ca="1">IFERROR(__xludf.DUMMYFUNCTION("""COMPUTED_VALUE"""),"Guía Operativa")</f>
        <v>Guía Operativa</v>
      </c>
      <c r="F291" s="10" t="str">
        <f ca="1">IFERROR(__xludf.DUMMYFUNCTION("""COMPUTED_VALUE"""),"MUNICIPALIDAD DE CALDERA")</f>
        <v>MUNICIPALIDAD DE CALDERA</v>
      </c>
      <c r="G291" s="71">
        <f ca="1">IFERROR(__xludf.DUMMYFUNCTION("""COMPUTED_VALUE"""),123144568)</f>
        <v>123144568</v>
      </c>
      <c r="H291" s="10" t="str">
        <f ca="1">IFERROR(__xludf.DUMMYFUNCTION("""COMPUTED_VALUE"""),"Resolución")</f>
        <v>Resolución</v>
      </c>
      <c r="I291" s="10" t="str">
        <f ca="1">IFERROR(__xludf.DUMMYFUNCTION("""COMPUTED_VALUE"""),"OBRA")</f>
        <v>OBRA</v>
      </c>
      <c r="J291" s="10" t="str">
        <f ca="1">IFERROR(__xludf.DUMMYFUNCTION("""COMPUTED_VALUE"""),"Cumplir con normativa y reglamentos internos del programa en base a los objetivos.")</f>
        <v>Cumplir con normativa y reglamentos internos del programa en base a los objetivos.</v>
      </c>
      <c r="K291" s="71">
        <f ca="1">IFERROR(__xludf.DUMMYFUNCTION("""COMPUTED_VALUE"""),123144568)</f>
        <v>123144568</v>
      </c>
      <c r="L291" s="72">
        <f ca="1">IFERROR(__xludf.DUMMYFUNCTION("""COMPUTED_VALUE"""),1)</f>
        <v>1</v>
      </c>
      <c r="M291" s="10">
        <f ca="1">IFERROR(__xludf.DUMMYFUNCTION("""COMPUTED_VALUE"""),3459)</f>
        <v>3459</v>
      </c>
      <c r="N291" s="10" t="str">
        <f ca="1">IFERROR(__xludf.DUMMYFUNCTION("""COMPUTED_VALUE"""),"PMU")</f>
        <v>PMU</v>
      </c>
      <c r="O291" s="1"/>
      <c r="P291" s="1"/>
      <c r="Q291" s="1"/>
      <c r="R291" s="1"/>
      <c r="S291" s="1"/>
      <c r="T291" s="1"/>
      <c r="U291" s="1"/>
      <c r="V291" s="1"/>
      <c r="W291" s="1"/>
      <c r="X291" s="1"/>
      <c r="Y291" s="1"/>
      <c r="Z291" s="1"/>
    </row>
    <row r="292" spans="1:26" ht="12.75" customHeight="1">
      <c r="A292" s="1"/>
      <c r="B292" s="10" t="str">
        <f ca="1">IFERROR(__xludf.DUMMYFUNCTION("""COMPUTED_VALUE"""),"[SATE] CONSTRUCCION Y MEJORAMIENTO DE SEÑALETICA VARIOS SECTORES , MONTE PATRIA")</f>
        <v>[SATE] CONSTRUCCION Y MEJORAMIENTO DE SEÑALETICA VARIOS SECTORES , MONTE PATRIA</v>
      </c>
      <c r="C292" s="10" t="str">
        <f ca="1">IFERROR(__xludf.DUMMYFUNCTION("""COMPUTED_VALUE"""),"1-C-2022-2489")</f>
        <v>1-C-2022-2489</v>
      </c>
      <c r="D292" s="26" t="str">
        <f t="shared" ca="1" si="0"/>
        <v xml:space="preserve"> MONTE PATRIA</v>
      </c>
      <c r="E292" s="10" t="str">
        <f ca="1">IFERROR(__xludf.DUMMYFUNCTION("""COMPUTED_VALUE"""),"Guía Operativa")</f>
        <v>Guía Operativa</v>
      </c>
      <c r="F292" s="10" t="str">
        <f ca="1">IFERROR(__xludf.DUMMYFUNCTION("""COMPUTED_VALUE"""),"MUNICIPALIDAD DE MONTE PATRIA")</f>
        <v>MUNICIPALIDAD DE MONTE PATRIA</v>
      </c>
      <c r="G292" s="71">
        <f ca="1">IFERROR(__xludf.DUMMYFUNCTION("""COMPUTED_VALUE"""),127989876)</f>
        <v>127989876</v>
      </c>
      <c r="H292" s="10" t="str">
        <f ca="1">IFERROR(__xludf.DUMMYFUNCTION("""COMPUTED_VALUE"""),"Resolución")</f>
        <v>Resolución</v>
      </c>
      <c r="I292" s="10" t="str">
        <f ca="1">IFERROR(__xludf.DUMMYFUNCTION("""COMPUTED_VALUE"""),"OBRA")</f>
        <v>OBRA</v>
      </c>
      <c r="J292" s="10" t="str">
        <f ca="1">IFERROR(__xludf.DUMMYFUNCTION("""COMPUTED_VALUE"""),"Cumplir con normativa y reglamentos internos del programa en base a los objetivos.")</f>
        <v>Cumplir con normativa y reglamentos internos del programa en base a los objetivos.</v>
      </c>
      <c r="K292" s="71">
        <f ca="1">IFERROR(__xludf.DUMMYFUNCTION("""COMPUTED_VALUE"""),127989876)</f>
        <v>127989876</v>
      </c>
      <c r="L292" s="72">
        <f ca="1">IFERROR(__xludf.DUMMYFUNCTION("""COMPUTED_VALUE"""),1)</f>
        <v>1</v>
      </c>
      <c r="M292" s="10">
        <f ca="1">IFERROR(__xludf.DUMMYFUNCTION("""COMPUTED_VALUE"""),4126)</f>
        <v>4126</v>
      </c>
      <c r="N292" s="10" t="str">
        <f ca="1">IFERROR(__xludf.DUMMYFUNCTION("""COMPUTED_VALUE"""),"PMU")</f>
        <v>PMU</v>
      </c>
      <c r="O292" s="1"/>
      <c r="P292" s="1"/>
      <c r="Q292" s="1"/>
      <c r="R292" s="1"/>
      <c r="S292" s="1"/>
      <c r="T292" s="1"/>
      <c r="U292" s="1"/>
      <c r="V292" s="1"/>
      <c r="W292" s="1"/>
      <c r="X292" s="1"/>
      <c r="Y292" s="1"/>
      <c r="Z292" s="1"/>
    </row>
    <row r="293" spans="1:26" ht="12.75" customHeight="1">
      <c r="A293" s="1"/>
      <c r="B293" s="10" t="str">
        <f ca="1">IFERROR(__xludf.DUMMYFUNCTION("""COMPUTED_VALUE"""),"[SATE] REPOSICIÓN SEDE VILLA LAS AMÉRICAS, COMUNA DE LOS VILOS")</f>
        <v>[SATE] REPOSICIÓN SEDE VILLA LAS AMÉRICAS, COMUNA DE LOS VILOS</v>
      </c>
      <c r="C293" s="10" t="str">
        <f ca="1">IFERROR(__xludf.DUMMYFUNCTION("""COMPUTED_VALUE"""),"1-C-2023-2005")</f>
        <v>1-C-2023-2005</v>
      </c>
      <c r="D293" s="26" t="str">
        <f t="shared" ca="1" si="0"/>
        <v xml:space="preserve"> LOS VILOS</v>
      </c>
      <c r="E293" s="10" t="str">
        <f ca="1">IFERROR(__xludf.DUMMYFUNCTION("""COMPUTED_VALUE"""),"Guía Operativa")</f>
        <v>Guía Operativa</v>
      </c>
      <c r="F293" s="10" t="str">
        <f ca="1">IFERROR(__xludf.DUMMYFUNCTION("""COMPUTED_VALUE"""),"MUNICIPALIDAD DE LOS VILOS")</f>
        <v>MUNICIPALIDAD DE LOS VILOS</v>
      </c>
      <c r="G293" s="71">
        <f ca="1">IFERROR(__xludf.DUMMYFUNCTION("""COMPUTED_VALUE"""),123860026)</f>
        <v>123860026</v>
      </c>
      <c r="H293" s="10" t="str">
        <f ca="1">IFERROR(__xludf.DUMMYFUNCTION("""COMPUTED_VALUE"""),"Resolución")</f>
        <v>Resolución</v>
      </c>
      <c r="I293" s="10" t="str">
        <f ca="1">IFERROR(__xludf.DUMMYFUNCTION("""COMPUTED_VALUE"""),"OBRA")</f>
        <v>OBRA</v>
      </c>
      <c r="J293" s="10" t="str">
        <f ca="1">IFERROR(__xludf.DUMMYFUNCTION("""COMPUTED_VALUE"""),"Cumplir con normativa y reglamentos internos del programa en base a los objetivos.")</f>
        <v>Cumplir con normativa y reglamentos internos del programa en base a los objetivos.</v>
      </c>
      <c r="K293" s="71">
        <f ca="1">IFERROR(__xludf.DUMMYFUNCTION("""COMPUTED_VALUE"""),123860026)</f>
        <v>123860026</v>
      </c>
      <c r="L293" s="72">
        <f ca="1">IFERROR(__xludf.DUMMYFUNCTION("""COMPUTED_VALUE"""),1)</f>
        <v>1</v>
      </c>
      <c r="M293" s="10">
        <f ca="1">IFERROR(__xludf.DUMMYFUNCTION("""COMPUTED_VALUE"""),3223)</f>
        <v>3223</v>
      </c>
      <c r="N293" s="10" t="str">
        <f ca="1">IFERROR(__xludf.DUMMYFUNCTION("""COMPUTED_VALUE"""),"PMU")</f>
        <v>PMU</v>
      </c>
      <c r="O293" s="1"/>
      <c r="P293" s="1"/>
      <c r="Q293" s="1"/>
      <c r="R293" s="1"/>
      <c r="S293" s="1"/>
      <c r="T293" s="1"/>
      <c r="U293" s="1"/>
      <c r="V293" s="1"/>
      <c r="W293" s="1"/>
      <c r="X293" s="1"/>
      <c r="Y293" s="1"/>
      <c r="Z293" s="1"/>
    </row>
    <row r="294" spans="1:26" ht="12.75" customHeight="1">
      <c r="A294" s="1"/>
      <c r="B294" s="10" t="str">
        <f ca="1">IFERROR(__xludf.DUMMYFUNCTION("""COMPUTED_VALUE"""),"MEJORAMIENTO PLAZA EL PEÑON")</f>
        <v>MEJORAMIENTO PLAZA EL PEÑON</v>
      </c>
      <c r="C294" s="10" t="str">
        <f ca="1">IFERROR(__xludf.DUMMYFUNCTION("""COMPUTED_VALUE"""),"1-C-2023-2599")</f>
        <v>1-C-2023-2599</v>
      </c>
      <c r="D294" s="26" t="str">
        <f t="shared" ca="1" si="0"/>
        <v xml:space="preserve"> COQUIMBO</v>
      </c>
      <c r="E294" s="10" t="str">
        <f ca="1">IFERROR(__xludf.DUMMYFUNCTION("""COMPUTED_VALUE"""),"Guía Operativa")</f>
        <v>Guía Operativa</v>
      </c>
      <c r="F294" s="10" t="str">
        <f ca="1">IFERROR(__xludf.DUMMYFUNCTION("""COMPUTED_VALUE"""),"MUNICIPALIDAD DE COQUIMBO")</f>
        <v>MUNICIPALIDAD DE COQUIMBO</v>
      </c>
      <c r="G294" s="71">
        <f ca="1">IFERROR(__xludf.DUMMYFUNCTION("""COMPUTED_VALUE"""),149812394)</f>
        <v>149812394</v>
      </c>
      <c r="H294" s="10" t="str">
        <f ca="1">IFERROR(__xludf.DUMMYFUNCTION("""COMPUTED_VALUE"""),"Resolución")</f>
        <v>Resolución</v>
      </c>
      <c r="I294" s="10" t="str">
        <f ca="1">IFERROR(__xludf.DUMMYFUNCTION("""COMPUTED_VALUE"""),"OBRA")</f>
        <v>OBRA</v>
      </c>
      <c r="J294" s="10" t="str">
        <f ca="1">IFERROR(__xludf.DUMMYFUNCTION("""COMPUTED_VALUE"""),"Cumplir con normativa y reglamentos internos del programa en base a los objetivos.")</f>
        <v>Cumplir con normativa y reglamentos internos del programa en base a los objetivos.</v>
      </c>
      <c r="K294" s="71">
        <f ca="1">IFERROR(__xludf.DUMMYFUNCTION("""COMPUTED_VALUE"""),149812394)</f>
        <v>149812394</v>
      </c>
      <c r="L294" s="72">
        <f ca="1">IFERROR(__xludf.DUMMYFUNCTION("""COMPUTED_VALUE"""),1)</f>
        <v>1</v>
      </c>
      <c r="M294" s="10">
        <f ca="1">IFERROR(__xludf.DUMMYFUNCTION("""COMPUTED_VALUE"""),2760)</f>
        <v>2760</v>
      </c>
      <c r="N294" s="10" t="str">
        <f ca="1">IFERROR(__xludf.DUMMYFUNCTION("""COMPUTED_VALUE"""),"PMU")</f>
        <v>PMU</v>
      </c>
      <c r="O294" s="1"/>
      <c r="P294" s="1"/>
      <c r="Q294" s="1"/>
      <c r="R294" s="1"/>
      <c r="S294" s="1"/>
      <c r="T294" s="1"/>
      <c r="U294" s="1"/>
      <c r="V294" s="1"/>
      <c r="W294" s="1"/>
      <c r="X294" s="1"/>
      <c r="Y294" s="1"/>
      <c r="Z294" s="1"/>
    </row>
    <row r="295" spans="1:26" ht="12.75" customHeight="1">
      <c r="A295" s="1"/>
      <c r="B295" s="10" t="str">
        <f ca="1">IFERROR(__xludf.DUMMYFUNCTION("""COMPUTED_VALUE"""),"SPD CONSTRUCCION PLAZA MIRADOR BLANCHARD, EL RETIRO, QUILPUÉ")</f>
        <v>SPD CONSTRUCCION PLAZA MIRADOR BLANCHARD, EL RETIRO, QUILPUÉ</v>
      </c>
      <c r="C295" s="10" t="str">
        <f ca="1">IFERROR(__xludf.DUMMYFUNCTION("""COMPUTED_VALUE"""),"1-SPD-2022-245")</f>
        <v>1-SPD-2022-245</v>
      </c>
      <c r="D295" s="26" t="str">
        <f t="shared" ca="1" si="0"/>
        <v xml:space="preserve"> QUILPUÉ</v>
      </c>
      <c r="E295" s="10" t="str">
        <f ca="1">IFERROR(__xludf.DUMMYFUNCTION("""COMPUTED_VALUE"""),"Guía Operativa")</f>
        <v>Guía Operativa</v>
      </c>
      <c r="F295" s="10" t="str">
        <f ca="1">IFERROR(__xludf.DUMMYFUNCTION("""COMPUTED_VALUE"""),"MUNICIPALIDAD DE QUILPUÉ")</f>
        <v>MUNICIPALIDAD DE QUILPUÉ</v>
      </c>
      <c r="G295" s="71">
        <f ca="1">IFERROR(__xludf.DUMMYFUNCTION("""COMPUTED_VALUE"""),74572657)</f>
        <v>74572657</v>
      </c>
      <c r="H295" s="10" t="str">
        <f ca="1">IFERROR(__xludf.DUMMYFUNCTION("""COMPUTED_VALUE"""),"Resolución")</f>
        <v>Resolución</v>
      </c>
      <c r="I295" s="10" t="str">
        <f ca="1">IFERROR(__xludf.DUMMYFUNCTION("""COMPUTED_VALUE"""),"OBRA")</f>
        <v>OBRA</v>
      </c>
      <c r="J295" s="10" t="str">
        <f ca="1">IFERROR(__xludf.DUMMYFUNCTION("""COMPUTED_VALUE"""),"Cumplir con normativa y reglamentos internos del programa en base a los objetivos.")</f>
        <v>Cumplir con normativa y reglamentos internos del programa en base a los objetivos.</v>
      </c>
      <c r="K295" s="71">
        <f ca="1">IFERROR(__xludf.DUMMYFUNCTION("""COMPUTED_VALUE"""),74572657)</f>
        <v>74572657</v>
      </c>
      <c r="L295" s="72">
        <f ca="1">IFERROR(__xludf.DUMMYFUNCTION("""COMPUTED_VALUE"""),1)</f>
        <v>1</v>
      </c>
      <c r="M295" s="10">
        <f ca="1">IFERROR(__xludf.DUMMYFUNCTION("""COMPUTED_VALUE"""),4128)</f>
        <v>4128</v>
      </c>
      <c r="N295" s="10" t="str">
        <f ca="1">IFERROR(__xludf.DUMMYFUNCTION("""COMPUTED_VALUE"""),"PMU")</f>
        <v>PMU</v>
      </c>
      <c r="O295" s="1"/>
      <c r="P295" s="1"/>
      <c r="Q295" s="1"/>
      <c r="R295" s="1"/>
      <c r="S295" s="1"/>
      <c r="T295" s="1"/>
      <c r="U295" s="1"/>
      <c r="V295" s="1"/>
      <c r="W295" s="1"/>
      <c r="X295" s="1"/>
      <c r="Y295" s="1"/>
      <c r="Z295" s="1"/>
    </row>
    <row r="296" spans="1:26" ht="12.75" customHeight="1">
      <c r="A296" s="1"/>
      <c r="B296" s="10" t="str">
        <f ca="1">IFERROR(__xludf.DUMMYFUNCTION("""COMPUTED_VALUE"""),"CONSTRUCCIÓN ACERAS J.J GODOY, DESDE CALLE MIGUEL SAEZ A LÍNEA FERREA, LA CALERA")</f>
        <v>CONSTRUCCIÓN ACERAS J.J GODOY, DESDE CALLE MIGUEL SAEZ A LÍNEA FERREA, LA CALERA</v>
      </c>
      <c r="C296" s="10" t="str">
        <f ca="1">IFERROR(__xludf.DUMMYFUNCTION("""COMPUTED_VALUE"""),"1-C-2023-1129")</f>
        <v>1-C-2023-1129</v>
      </c>
      <c r="D296" s="26" t="str">
        <f t="shared" ca="1" si="0"/>
        <v xml:space="preserve"> CALERA</v>
      </c>
      <c r="E296" s="10" t="str">
        <f ca="1">IFERROR(__xludf.DUMMYFUNCTION("""COMPUTED_VALUE"""),"Guía Operativa")</f>
        <v>Guía Operativa</v>
      </c>
      <c r="F296" s="10" t="str">
        <f ca="1">IFERROR(__xludf.DUMMYFUNCTION("""COMPUTED_VALUE"""),"MUNICIPALIDAD DE CALERA")</f>
        <v>MUNICIPALIDAD DE CALERA</v>
      </c>
      <c r="G296" s="71">
        <f ca="1">IFERROR(__xludf.DUMMYFUNCTION("""COMPUTED_VALUE"""),154122488)</f>
        <v>154122488</v>
      </c>
      <c r="H296" s="10" t="str">
        <f ca="1">IFERROR(__xludf.DUMMYFUNCTION("""COMPUTED_VALUE"""),"Resolución")</f>
        <v>Resolución</v>
      </c>
      <c r="I296" s="10" t="str">
        <f ca="1">IFERROR(__xludf.DUMMYFUNCTION("""COMPUTED_VALUE"""),"OBRA")</f>
        <v>OBRA</v>
      </c>
      <c r="J296" s="10" t="str">
        <f ca="1">IFERROR(__xludf.DUMMYFUNCTION("""COMPUTED_VALUE"""),"Cumplir con normativa y reglamentos internos del programa en base a los objetivos.")</f>
        <v>Cumplir con normativa y reglamentos internos del programa en base a los objetivos.</v>
      </c>
      <c r="K296" s="71">
        <f ca="1">IFERROR(__xludf.DUMMYFUNCTION("""COMPUTED_VALUE"""),154122488)</f>
        <v>154122488</v>
      </c>
      <c r="L296" s="72">
        <f ca="1">IFERROR(__xludf.DUMMYFUNCTION("""COMPUTED_VALUE"""),1)</f>
        <v>1</v>
      </c>
      <c r="M296" s="10">
        <f ca="1">IFERROR(__xludf.DUMMYFUNCTION("""COMPUTED_VALUE"""),4386)</f>
        <v>4386</v>
      </c>
      <c r="N296" s="10" t="str">
        <f ca="1">IFERROR(__xludf.DUMMYFUNCTION("""COMPUTED_VALUE"""),"PMU")</f>
        <v>PMU</v>
      </c>
      <c r="O296" s="1"/>
      <c r="P296" s="1"/>
      <c r="Q296" s="1"/>
      <c r="R296" s="1"/>
      <c r="S296" s="1"/>
      <c r="T296" s="1"/>
      <c r="U296" s="1"/>
      <c r="V296" s="1"/>
      <c r="W296" s="1"/>
      <c r="X296" s="1"/>
      <c r="Y296" s="1"/>
      <c r="Z296" s="1"/>
    </row>
    <row r="297" spans="1:26" ht="12.75" customHeight="1">
      <c r="A297" s="1"/>
      <c r="B297" s="10" t="str">
        <f ca="1">IFERROR(__xludf.DUMMYFUNCTION("""COMPUTED_VALUE"""),"REPOSICION DE VEREDAS CALLE JULIO MOTT SALAMANCA , LOS ANDES")</f>
        <v>REPOSICION DE VEREDAS CALLE JULIO MOTT SALAMANCA , LOS ANDES</v>
      </c>
      <c r="C297" s="10" t="str">
        <f ca="1">IFERROR(__xludf.DUMMYFUNCTION("""COMPUTED_VALUE"""),"1-C-2023-1762")</f>
        <v>1-C-2023-1762</v>
      </c>
      <c r="D297" s="26" t="str">
        <f t="shared" ca="1" si="0"/>
        <v xml:space="preserve"> LOS ANDES</v>
      </c>
      <c r="E297" s="10" t="str">
        <f ca="1">IFERROR(__xludf.DUMMYFUNCTION("""COMPUTED_VALUE"""),"Guía Operativa")</f>
        <v>Guía Operativa</v>
      </c>
      <c r="F297" s="10" t="str">
        <f ca="1">IFERROR(__xludf.DUMMYFUNCTION("""COMPUTED_VALUE"""),"MUNICIPALIDAD DE LOS ANDES")</f>
        <v>MUNICIPALIDAD DE LOS ANDES</v>
      </c>
      <c r="G297" s="71">
        <f ca="1">IFERROR(__xludf.DUMMYFUNCTION("""COMPUTED_VALUE"""),50961863)</f>
        <v>50961863</v>
      </c>
      <c r="H297" s="10" t="str">
        <f ca="1">IFERROR(__xludf.DUMMYFUNCTION("""COMPUTED_VALUE"""),"Resolución")</f>
        <v>Resolución</v>
      </c>
      <c r="I297" s="10" t="str">
        <f ca="1">IFERROR(__xludf.DUMMYFUNCTION("""COMPUTED_VALUE"""),"OBRA")</f>
        <v>OBRA</v>
      </c>
      <c r="J297" s="10" t="str">
        <f ca="1">IFERROR(__xludf.DUMMYFUNCTION("""COMPUTED_VALUE"""),"Cumplir con normativa y reglamentos internos del programa en base a los objetivos.")</f>
        <v>Cumplir con normativa y reglamentos internos del programa en base a los objetivos.</v>
      </c>
      <c r="K297" s="71">
        <f ca="1">IFERROR(__xludf.DUMMYFUNCTION("""COMPUTED_VALUE"""),50961863)</f>
        <v>50961863</v>
      </c>
      <c r="L297" s="72">
        <f ca="1">IFERROR(__xludf.DUMMYFUNCTION("""COMPUTED_VALUE"""),1)</f>
        <v>1</v>
      </c>
      <c r="M297" s="10">
        <f ca="1">IFERROR(__xludf.DUMMYFUNCTION("""COMPUTED_VALUE"""),4127)</f>
        <v>4127</v>
      </c>
      <c r="N297" s="10" t="str">
        <f ca="1">IFERROR(__xludf.DUMMYFUNCTION("""COMPUTED_VALUE"""),"PMU")</f>
        <v>PMU</v>
      </c>
      <c r="O297" s="1"/>
      <c r="P297" s="1"/>
      <c r="Q297" s="1"/>
      <c r="R297" s="1"/>
      <c r="S297" s="1"/>
      <c r="T297" s="1"/>
      <c r="U297" s="1"/>
      <c r="V297" s="1"/>
      <c r="W297" s="1"/>
      <c r="X297" s="1"/>
      <c r="Y297" s="1"/>
      <c r="Z297" s="1"/>
    </row>
    <row r="298" spans="1:26" ht="12.75" customHeight="1">
      <c r="A298" s="1"/>
      <c r="B298" s="10" t="str">
        <f ca="1">IFERROR(__xludf.DUMMYFUNCTION("""COMPUTED_VALUE"""),"CONSERVACION DE ACERA NORTE AVENIDA DIEGO PORTALES")</f>
        <v>CONSERVACION DE ACERA NORTE AVENIDA DIEGO PORTALES</v>
      </c>
      <c r="C298" s="10" t="str">
        <f ca="1">IFERROR(__xludf.DUMMYFUNCTION("""COMPUTED_VALUE"""),"1-C-2023-2156")</f>
        <v>1-C-2023-2156</v>
      </c>
      <c r="D298" s="26" t="str">
        <f t="shared" ca="1" si="0"/>
        <v xml:space="preserve"> CASABLANCA</v>
      </c>
      <c r="E298" s="10" t="str">
        <f ca="1">IFERROR(__xludf.DUMMYFUNCTION("""COMPUTED_VALUE"""),"Guía Operativa")</f>
        <v>Guía Operativa</v>
      </c>
      <c r="F298" s="10" t="str">
        <f ca="1">IFERROR(__xludf.DUMMYFUNCTION("""COMPUTED_VALUE"""),"MUNICIPALIDAD DE CASABLANCA")</f>
        <v>MUNICIPALIDAD DE CASABLANCA</v>
      </c>
      <c r="G298" s="71">
        <f ca="1">IFERROR(__xludf.DUMMYFUNCTION("""COMPUTED_VALUE"""),139712946)</f>
        <v>139712946</v>
      </c>
      <c r="H298" s="10" t="str">
        <f ca="1">IFERROR(__xludf.DUMMYFUNCTION("""COMPUTED_VALUE"""),"Resolución")</f>
        <v>Resolución</v>
      </c>
      <c r="I298" s="10" t="str">
        <f ca="1">IFERROR(__xludf.DUMMYFUNCTION("""COMPUTED_VALUE"""),"OBRA")</f>
        <v>OBRA</v>
      </c>
      <c r="J298" s="10" t="str">
        <f ca="1">IFERROR(__xludf.DUMMYFUNCTION("""COMPUTED_VALUE"""),"Cumplir con normativa y reglamentos internos del programa en base a los objetivos.")</f>
        <v>Cumplir con normativa y reglamentos internos del programa en base a los objetivos.</v>
      </c>
      <c r="K298" s="71">
        <f ca="1">IFERROR(__xludf.DUMMYFUNCTION("""COMPUTED_VALUE"""),139712946)</f>
        <v>139712946</v>
      </c>
      <c r="L298" s="72">
        <f ca="1">IFERROR(__xludf.DUMMYFUNCTION("""COMPUTED_VALUE"""),1)</f>
        <v>1</v>
      </c>
      <c r="M298" s="10">
        <f ca="1">IFERROR(__xludf.DUMMYFUNCTION("""COMPUTED_VALUE"""),4145)</f>
        <v>4145</v>
      </c>
      <c r="N298" s="10" t="str">
        <f ca="1">IFERROR(__xludf.DUMMYFUNCTION("""COMPUTED_VALUE"""),"PMU")</f>
        <v>PMU</v>
      </c>
      <c r="O298" s="1"/>
      <c r="P298" s="1"/>
      <c r="Q298" s="1"/>
      <c r="R298" s="1"/>
      <c r="S298" s="1"/>
      <c r="T298" s="1"/>
      <c r="U298" s="1"/>
      <c r="V298" s="1"/>
      <c r="W298" s="1"/>
      <c r="X298" s="1"/>
      <c r="Y298" s="1"/>
      <c r="Z298" s="1"/>
    </row>
    <row r="299" spans="1:26" ht="12.75" customHeight="1">
      <c r="A299" s="1"/>
      <c r="B299" s="10" t="str">
        <f ca="1">IFERROR(__xludf.DUMMYFUNCTION("""COMPUTED_VALUE"""),"CATASTROFE - RECUPERACION DE DIVERSOS ESPACIOS PUBLICOS EN AREA AFECTADA POR INCENDIO, COMUNA DE QUILPUÉ")</f>
        <v>CATASTROFE - RECUPERACION DE DIVERSOS ESPACIOS PUBLICOS EN AREA AFECTADA POR INCENDIO, COMUNA DE QUILPUÉ</v>
      </c>
      <c r="C299" s="10" t="str">
        <f ca="1">IFERROR(__xludf.DUMMYFUNCTION("""COMPUTED_VALUE"""),"1-C-2024-639")</f>
        <v>1-C-2024-639</v>
      </c>
      <c r="D299" s="26" t="str">
        <f t="shared" ca="1" si="0"/>
        <v xml:space="preserve"> QUILPUÉ</v>
      </c>
      <c r="E299" s="10" t="str">
        <f ca="1">IFERROR(__xludf.DUMMYFUNCTION("""COMPUTED_VALUE"""),"Guía Operativa")</f>
        <v>Guía Operativa</v>
      </c>
      <c r="F299" s="10" t="str">
        <f ca="1">IFERROR(__xludf.DUMMYFUNCTION("""COMPUTED_VALUE"""),"MUNICIPALIDAD DE QUILPUÉ")</f>
        <v>MUNICIPALIDAD DE QUILPUÉ</v>
      </c>
      <c r="G299" s="71">
        <f ca="1">IFERROR(__xludf.DUMMYFUNCTION("""COMPUTED_VALUE"""),86917066)</f>
        <v>86917066</v>
      </c>
      <c r="H299" s="10" t="str">
        <f ca="1">IFERROR(__xludf.DUMMYFUNCTION("""COMPUTED_VALUE"""),"Resolución")</f>
        <v>Resolución</v>
      </c>
      <c r="I299" s="10" t="str">
        <f ca="1">IFERROR(__xludf.DUMMYFUNCTION("""COMPUTED_VALUE"""),"OBRA")</f>
        <v>OBRA</v>
      </c>
      <c r="J299" s="10" t="str">
        <f ca="1">IFERROR(__xludf.DUMMYFUNCTION("""COMPUTED_VALUE"""),"Cumplir con normativa y reglamentos internos del programa en base a los objetivos.")</f>
        <v>Cumplir con normativa y reglamentos internos del programa en base a los objetivos.</v>
      </c>
      <c r="K299" s="71">
        <f ca="1">IFERROR(__xludf.DUMMYFUNCTION("""COMPUTED_VALUE"""),86917066)</f>
        <v>86917066</v>
      </c>
      <c r="L299" s="72">
        <f ca="1">IFERROR(__xludf.DUMMYFUNCTION("""COMPUTED_VALUE"""),1)</f>
        <v>1</v>
      </c>
      <c r="M299" s="10">
        <f ca="1">IFERROR(__xludf.DUMMYFUNCTION("""COMPUTED_VALUE"""),4401)</f>
        <v>4401</v>
      </c>
      <c r="N299" s="10" t="str">
        <f ca="1">IFERROR(__xludf.DUMMYFUNCTION("""COMPUTED_VALUE"""),"PMU")</f>
        <v>PMU</v>
      </c>
      <c r="O299" s="1"/>
      <c r="P299" s="1"/>
      <c r="Q299" s="1"/>
      <c r="R299" s="1"/>
      <c r="S299" s="1"/>
      <c r="T299" s="1"/>
      <c r="U299" s="1"/>
      <c r="V299" s="1"/>
      <c r="W299" s="1"/>
      <c r="X299" s="1"/>
      <c r="Y299" s="1"/>
      <c r="Z299" s="1"/>
    </row>
    <row r="300" spans="1:26" ht="12.75" customHeight="1">
      <c r="A300" s="1"/>
      <c r="B300" s="10" t="str">
        <f ca="1">IFERROR(__xludf.DUMMYFUNCTION("""COMPUTED_VALUE"""),"MEJORAMIENTO DE EQUIPAMIENTO, VILLA LA PAZ, TALCA.")</f>
        <v>MEJORAMIENTO DE EQUIPAMIENTO, VILLA LA PAZ, TALCA.</v>
      </c>
      <c r="C300" s="10" t="str">
        <f ca="1">IFERROR(__xludf.DUMMYFUNCTION("""COMPUTED_VALUE"""),"1-C-2022-395 [FET]")</f>
        <v>1-C-2022-395 [FET]</v>
      </c>
      <c r="D300" s="26" t="str">
        <f t="shared" ca="1" si="0"/>
        <v xml:space="preserve"> TALCA</v>
      </c>
      <c r="E300" s="10" t="str">
        <f ca="1">IFERROR(__xludf.DUMMYFUNCTION("""COMPUTED_VALUE"""),"Guía Operativa")</f>
        <v>Guía Operativa</v>
      </c>
      <c r="F300" s="10" t="str">
        <f ca="1">IFERROR(__xludf.DUMMYFUNCTION("""COMPUTED_VALUE"""),"MUNICIPALIDAD DE TALCA")</f>
        <v>MUNICIPALIDAD DE TALCA</v>
      </c>
      <c r="G300" s="71">
        <f ca="1">IFERROR(__xludf.DUMMYFUNCTION("""COMPUTED_VALUE"""),95148794)</f>
        <v>95148794</v>
      </c>
      <c r="H300" s="10" t="str">
        <f ca="1">IFERROR(__xludf.DUMMYFUNCTION("""COMPUTED_VALUE"""),"Resolución")</f>
        <v>Resolución</v>
      </c>
      <c r="I300" s="10" t="str">
        <f ca="1">IFERROR(__xludf.DUMMYFUNCTION("""COMPUTED_VALUE"""),"OBRA")</f>
        <v>OBRA</v>
      </c>
      <c r="J300" s="10" t="str">
        <f ca="1">IFERROR(__xludf.DUMMYFUNCTION("""COMPUTED_VALUE"""),"Cumplir con normativa y reglamentos internos del programa en base a los objetivos.")</f>
        <v>Cumplir con normativa y reglamentos internos del programa en base a los objetivos.</v>
      </c>
      <c r="K300" s="71">
        <f ca="1">IFERROR(__xludf.DUMMYFUNCTION("""COMPUTED_VALUE"""),17028766)</f>
        <v>17028766</v>
      </c>
      <c r="L300" s="72">
        <f ca="1">IFERROR(__xludf.DUMMYFUNCTION("""COMPUTED_VALUE"""),0.967188979820385)</f>
        <v>0.96718897982038499</v>
      </c>
      <c r="M300" s="10">
        <f ca="1">IFERROR(__xludf.DUMMYFUNCTION("""COMPUTED_VALUE"""),8074)</f>
        <v>8074</v>
      </c>
      <c r="N300" s="10" t="str">
        <f ca="1">IFERROR(__xludf.DUMMYFUNCTION("""COMPUTED_VALUE"""),"PMU")</f>
        <v>PMU</v>
      </c>
      <c r="O300" s="1"/>
      <c r="P300" s="1"/>
      <c r="Q300" s="1"/>
      <c r="R300" s="1"/>
      <c r="S300" s="1"/>
      <c r="T300" s="1"/>
      <c r="U300" s="1"/>
      <c r="V300" s="1"/>
      <c r="W300" s="1"/>
      <c r="X300" s="1"/>
      <c r="Y300" s="1"/>
      <c r="Z300" s="1"/>
    </row>
    <row r="301" spans="1:26" ht="12.75" customHeight="1">
      <c r="A301" s="1"/>
      <c r="B301" s="10" t="str">
        <f ca="1">IFERROR(__xludf.DUMMYFUNCTION("""COMPUTED_VALUE"""),"MEJORAMIENTO CAMINO LOS MÉDANOS, COMUNA DE CHANCO")</f>
        <v>MEJORAMIENTO CAMINO LOS MÉDANOS, COMUNA DE CHANCO</v>
      </c>
      <c r="C301" s="10" t="str">
        <f ca="1">IFERROR(__xludf.DUMMYFUNCTION("""COMPUTED_VALUE"""),"1-C-2022-2716")</f>
        <v>1-C-2022-2716</v>
      </c>
      <c r="D301" s="26" t="str">
        <f t="shared" ca="1" si="0"/>
        <v xml:space="preserve"> CHANCO</v>
      </c>
      <c r="E301" s="10" t="str">
        <f ca="1">IFERROR(__xludf.DUMMYFUNCTION("""COMPUTED_VALUE"""),"Guía Operativa")</f>
        <v>Guía Operativa</v>
      </c>
      <c r="F301" s="10" t="str">
        <f ca="1">IFERROR(__xludf.DUMMYFUNCTION("""COMPUTED_VALUE"""),"MUNICIPALIDAD DE CHANCO")</f>
        <v>MUNICIPALIDAD DE CHANCO</v>
      </c>
      <c r="G301" s="71">
        <f ca="1">IFERROR(__xludf.DUMMYFUNCTION("""COMPUTED_VALUE"""),74999999)</f>
        <v>74999999</v>
      </c>
      <c r="H301" s="10" t="str">
        <f ca="1">IFERROR(__xludf.DUMMYFUNCTION("""COMPUTED_VALUE"""),"Resolución")</f>
        <v>Resolución</v>
      </c>
      <c r="I301" s="10" t="str">
        <f ca="1">IFERROR(__xludf.DUMMYFUNCTION("""COMPUTED_VALUE"""),"OBRA")</f>
        <v>OBRA</v>
      </c>
      <c r="J301" s="10" t="str">
        <f ca="1">IFERROR(__xludf.DUMMYFUNCTION("""COMPUTED_VALUE"""),"Cumplir con normativa y reglamentos internos del programa en base a los objetivos.")</f>
        <v>Cumplir con normativa y reglamentos internos del programa en base a los objetivos.</v>
      </c>
      <c r="K301" s="71">
        <f ca="1">IFERROR(__xludf.DUMMYFUNCTION("""COMPUTED_VALUE"""),74999999)</f>
        <v>74999999</v>
      </c>
      <c r="L301" s="72">
        <f ca="1">IFERROR(__xludf.DUMMYFUNCTION("""COMPUTED_VALUE"""),1)</f>
        <v>1</v>
      </c>
      <c r="M301" s="10">
        <f ca="1">IFERROR(__xludf.DUMMYFUNCTION("""COMPUTED_VALUE"""),3224)</f>
        <v>3224</v>
      </c>
      <c r="N301" s="10" t="str">
        <f ca="1">IFERROR(__xludf.DUMMYFUNCTION("""COMPUTED_VALUE"""),"PMU")</f>
        <v>PMU</v>
      </c>
      <c r="O301" s="1"/>
      <c r="P301" s="1"/>
      <c r="Q301" s="1"/>
      <c r="R301" s="1"/>
      <c r="S301" s="1"/>
      <c r="T301" s="1"/>
      <c r="U301" s="1"/>
      <c r="V301" s="1"/>
      <c r="W301" s="1"/>
      <c r="X301" s="1"/>
      <c r="Y301" s="1"/>
      <c r="Z301" s="1"/>
    </row>
    <row r="302" spans="1:26" ht="12.75" customHeight="1">
      <c r="A302" s="1"/>
      <c r="B302" s="10" t="str">
        <f ca="1">IFERROR(__xludf.DUMMYFUNCTION("""COMPUTED_VALUE"""),"MEJORAMIENTO CAMINO EL MAITEN, CHANCO")</f>
        <v>MEJORAMIENTO CAMINO EL MAITEN, CHANCO</v>
      </c>
      <c r="C302" s="10" t="str">
        <f ca="1">IFERROR(__xludf.DUMMYFUNCTION("""COMPUTED_VALUE"""),"1-C-2023-922")</f>
        <v>1-C-2023-922</v>
      </c>
      <c r="D302" s="26" t="str">
        <f t="shared" ca="1" si="0"/>
        <v xml:space="preserve"> CHANCO</v>
      </c>
      <c r="E302" s="10" t="str">
        <f ca="1">IFERROR(__xludf.DUMMYFUNCTION("""COMPUTED_VALUE"""),"Guía Operativa")</f>
        <v>Guía Operativa</v>
      </c>
      <c r="F302" s="10" t="str">
        <f ca="1">IFERROR(__xludf.DUMMYFUNCTION("""COMPUTED_VALUE"""),"MUNICIPALIDAD DE CHANCO")</f>
        <v>MUNICIPALIDAD DE CHANCO</v>
      </c>
      <c r="G302" s="71">
        <f ca="1">IFERROR(__xludf.DUMMYFUNCTION("""COMPUTED_VALUE"""),80270000)</f>
        <v>80270000</v>
      </c>
      <c r="H302" s="10" t="str">
        <f ca="1">IFERROR(__xludf.DUMMYFUNCTION("""COMPUTED_VALUE"""),"Resolución")</f>
        <v>Resolución</v>
      </c>
      <c r="I302" s="10" t="str">
        <f ca="1">IFERROR(__xludf.DUMMYFUNCTION("""COMPUTED_VALUE"""),"OBRA")</f>
        <v>OBRA</v>
      </c>
      <c r="J302" s="10" t="str">
        <f ca="1">IFERROR(__xludf.DUMMYFUNCTION("""COMPUTED_VALUE"""),"Cumplir con normativa y reglamentos internos del programa en base a los objetivos.")</f>
        <v>Cumplir con normativa y reglamentos internos del programa en base a los objetivos.</v>
      </c>
      <c r="K302" s="71">
        <f ca="1">IFERROR(__xludf.DUMMYFUNCTION("""COMPUTED_VALUE"""),80270000)</f>
        <v>80270000</v>
      </c>
      <c r="L302" s="72">
        <f ca="1">IFERROR(__xludf.DUMMYFUNCTION("""COMPUTED_VALUE"""),1)</f>
        <v>1</v>
      </c>
      <c r="M302" s="10">
        <f ca="1">IFERROR(__xludf.DUMMYFUNCTION("""COMPUTED_VALUE"""),3224)</f>
        <v>3224</v>
      </c>
      <c r="N302" s="10" t="str">
        <f ca="1">IFERROR(__xludf.DUMMYFUNCTION("""COMPUTED_VALUE"""),"PMU")</f>
        <v>PMU</v>
      </c>
      <c r="O302" s="1"/>
      <c r="P302" s="1"/>
      <c r="Q302" s="1"/>
      <c r="R302" s="1"/>
      <c r="S302" s="1"/>
      <c r="T302" s="1"/>
      <c r="U302" s="1"/>
      <c r="V302" s="1"/>
      <c r="W302" s="1"/>
      <c r="X302" s="1"/>
      <c r="Y302" s="1"/>
      <c r="Z302" s="1"/>
    </row>
    <row r="303" spans="1:26" ht="12.75" customHeight="1">
      <c r="A303" s="1"/>
      <c r="B303" s="10" t="str">
        <f ca="1">IFERROR(__xludf.DUMMYFUNCTION("""COMPUTED_VALUE"""),"MEJORAMIENTO CAMINO LAS TRANCAS COMUNA DE CHANCO")</f>
        <v>MEJORAMIENTO CAMINO LAS TRANCAS COMUNA DE CHANCO</v>
      </c>
      <c r="C303" s="10" t="str">
        <f ca="1">IFERROR(__xludf.DUMMYFUNCTION("""COMPUTED_VALUE"""),"1-C-2023-1020")</f>
        <v>1-C-2023-1020</v>
      </c>
      <c r="D303" s="26" t="str">
        <f t="shared" ca="1" si="0"/>
        <v xml:space="preserve"> CHANCO</v>
      </c>
      <c r="E303" s="10" t="str">
        <f ca="1">IFERROR(__xludf.DUMMYFUNCTION("""COMPUTED_VALUE"""),"Guía Operativa")</f>
        <v>Guía Operativa</v>
      </c>
      <c r="F303" s="10" t="str">
        <f ca="1">IFERROR(__xludf.DUMMYFUNCTION("""COMPUTED_VALUE"""),"MUNICIPALIDAD DE CHANCO")</f>
        <v>MUNICIPALIDAD DE CHANCO</v>
      </c>
      <c r="G303" s="71">
        <f ca="1">IFERROR(__xludf.DUMMYFUNCTION("""COMPUTED_VALUE"""),102422000)</f>
        <v>102422000</v>
      </c>
      <c r="H303" s="10" t="str">
        <f ca="1">IFERROR(__xludf.DUMMYFUNCTION("""COMPUTED_VALUE"""),"Resolución")</f>
        <v>Resolución</v>
      </c>
      <c r="I303" s="10" t="str">
        <f ca="1">IFERROR(__xludf.DUMMYFUNCTION("""COMPUTED_VALUE"""),"OBRA")</f>
        <v>OBRA</v>
      </c>
      <c r="J303" s="10" t="str">
        <f ca="1">IFERROR(__xludf.DUMMYFUNCTION("""COMPUTED_VALUE"""),"Cumplir con normativa y reglamentos internos del programa en base a los objetivos.")</f>
        <v>Cumplir con normativa y reglamentos internos del programa en base a los objetivos.</v>
      </c>
      <c r="K303" s="71">
        <f ca="1">IFERROR(__xludf.DUMMYFUNCTION("""COMPUTED_VALUE"""),102422000)</f>
        <v>102422000</v>
      </c>
      <c r="L303" s="72">
        <f ca="1">IFERROR(__xludf.DUMMYFUNCTION("""COMPUTED_VALUE"""),1)</f>
        <v>1</v>
      </c>
      <c r="M303" s="10">
        <f ca="1">IFERROR(__xludf.DUMMYFUNCTION("""COMPUTED_VALUE"""),3224)</f>
        <v>3224</v>
      </c>
      <c r="N303" s="10" t="str">
        <f ca="1">IFERROR(__xludf.DUMMYFUNCTION("""COMPUTED_VALUE"""),"PMU")</f>
        <v>PMU</v>
      </c>
      <c r="O303" s="1"/>
      <c r="P303" s="1"/>
      <c r="Q303" s="1"/>
      <c r="R303" s="1"/>
      <c r="S303" s="1"/>
      <c r="T303" s="1"/>
      <c r="U303" s="1"/>
      <c r="V303" s="1"/>
      <c r="W303" s="1"/>
      <c r="X303" s="1"/>
      <c r="Y303" s="1"/>
      <c r="Z303" s="1"/>
    </row>
    <row r="304" spans="1:26" ht="12.75" customHeight="1">
      <c r="A304" s="1"/>
      <c r="B304" s="10" t="str">
        <f ca="1">IFERROR(__xludf.DUMMYFUNCTION("""COMPUTED_VALUE"""),"MEJORAMIENTO CAMINO INTERIOR LAS MARGARITAS, CHANCO")</f>
        <v>MEJORAMIENTO CAMINO INTERIOR LAS MARGARITAS, CHANCO</v>
      </c>
      <c r="C304" s="10" t="str">
        <f ca="1">IFERROR(__xludf.DUMMYFUNCTION("""COMPUTED_VALUE"""),"1-C-2023-1209")</f>
        <v>1-C-2023-1209</v>
      </c>
      <c r="D304" s="26" t="str">
        <f t="shared" ca="1" si="0"/>
        <v xml:space="preserve"> CHANCO</v>
      </c>
      <c r="E304" s="10" t="str">
        <f ca="1">IFERROR(__xludf.DUMMYFUNCTION("""COMPUTED_VALUE"""),"Guía Operativa")</f>
        <v>Guía Operativa</v>
      </c>
      <c r="F304" s="10" t="str">
        <f ca="1">IFERROR(__xludf.DUMMYFUNCTION("""COMPUTED_VALUE"""),"MUNICIPALIDAD DE CHANCO")</f>
        <v>MUNICIPALIDAD DE CHANCO</v>
      </c>
      <c r="G304" s="71">
        <f ca="1">IFERROR(__xludf.DUMMYFUNCTION("""COMPUTED_VALUE"""),154422499)</f>
        <v>154422499</v>
      </c>
      <c r="H304" s="10" t="str">
        <f ca="1">IFERROR(__xludf.DUMMYFUNCTION("""COMPUTED_VALUE"""),"Resolución")</f>
        <v>Resolución</v>
      </c>
      <c r="I304" s="10" t="str">
        <f ca="1">IFERROR(__xludf.DUMMYFUNCTION("""COMPUTED_VALUE"""),"OBRA")</f>
        <v>OBRA</v>
      </c>
      <c r="J304" s="10" t="str">
        <f ca="1">IFERROR(__xludf.DUMMYFUNCTION("""COMPUTED_VALUE"""),"Cumplir con normativa y reglamentos internos del programa en base a los objetivos.")</f>
        <v>Cumplir con normativa y reglamentos internos del programa en base a los objetivos.</v>
      </c>
      <c r="K304" s="71">
        <f ca="1">IFERROR(__xludf.DUMMYFUNCTION("""COMPUTED_VALUE"""),154422499)</f>
        <v>154422499</v>
      </c>
      <c r="L304" s="72">
        <f ca="1">IFERROR(__xludf.DUMMYFUNCTION("""COMPUTED_VALUE"""),1)</f>
        <v>1</v>
      </c>
      <c r="M304" s="10">
        <f ca="1">IFERROR(__xludf.DUMMYFUNCTION("""COMPUTED_VALUE"""),3224)</f>
        <v>3224</v>
      </c>
      <c r="N304" s="10" t="str">
        <f ca="1">IFERROR(__xludf.DUMMYFUNCTION("""COMPUTED_VALUE"""),"PMU")</f>
        <v>PMU</v>
      </c>
      <c r="O304" s="1"/>
      <c r="P304" s="1"/>
      <c r="Q304" s="1"/>
      <c r="R304" s="1"/>
      <c r="S304" s="1"/>
      <c r="T304" s="1"/>
      <c r="U304" s="1"/>
      <c r="V304" s="1"/>
      <c r="W304" s="1"/>
      <c r="X304" s="1"/>
      <c r="Y304" s="1"/>
      <c r="Z304" s="1"/>
    </row>
    <row r="305" spans="1:26" ht="12.75" customHeight="1">
      <c r="A305" s="1"/>
      <c r="B305" s="10" t="str">
        <f ca="1">IFERROR(__xludf.DUMMYFUNCTION("""COMPUTED_VALUE"""),"MEJORAMIENTO CAMINO INTERIOR LAGUNILLAS EL CARMÍN,CHANCO")</f>
        <v>MEJORAMIENTO CAMINO INTERIOR LAGUNILLAS EL CARMÍN,CHANCO</v>
      </c>
      <c r="C305" s="10" t="str">
        <f ca="1">IFERROR(__xludf.DUMMYFUNCTION("""COMPUTED_VALUE"""),"1-C-2023-1494")</f>
        <v>1-C-2023-1494</v>
      </c>
      <c r="D305" s="26" t="str">
        <f t="shared" ca="1" si="0"/>
        <v xml:space="preserve"> CHANCO</v>
      </c>
      <c r="E305" s="10" t="str">
        <f ca="1">IFERROR(__xludf.DUMMYFUNCTION("""COMPUTED_VALUE"""),"Guía Operativa")</f>
        <v>Guía Operativa</v>
      </c>
      <c r="F305" s="10" t="str">
        <f ca="1">IFERROR(__xludf.DUMMYFUNCTION("""COMPUTED_VALUE"""),"MUNICIPALIDAD DE CHANCO")</f>
        <v>MUNICIPALIDAD DE CHANCO</v>
      </c>
      <c r="G305" s="71">
        <f ca="1">IFERROR(__xludf.DUMMYFUNCTION("""COMPUTED_VALUE"""),153850000)</f>
        <v>153850000</v>
      </c>
      <c r="H305" s="10" t="str">
        <f ca="1">IFERROR(__xludf.DUMMYFUNCTION("""COMPUTED_VALUE"""),"Resolución")</f>
        <v>Resolución</v>
      </c>
      <c r="I305" s="10" t="str">
        <f ca="1">IFERROR(__xludf.DUMMYFUNCTION("""COMPUTED_VALUE"""),"OBRA")</f>
        <v>OBRA</v>
      </c>
      <c r="J305" s="10" t="str">
        <f ca="1">IFERROR(__xludf.DUMMYFUNCTION("""COMPUTED_VALUE"""),"Cumplir con normativa y reglamentos internos del programa en base a los objetivos.")</f>
        <v>Cumplir con normativa y reglamentos internos del programa en base a los objetivos.</v>
      </c>
      <c r="K305" s="71">
        <f ca="1">IFERROR(__xludf.DUMMYFUNCTION("""COMPUTED_VALUE"""),153850000)</f>
        <v>153850000</v>
      </c>
      <c r="L305" s="72">
        <f ca="1">IFERROR(__xludf.DUMMYFUNCTION("""COMPUTED_VALUE"""),1)</f>
        <v>1</v>
      </c>
      <c r="M305" s="10">
        <f ca="1">IFERROR(__xludf.DUMMYFUNCTION("""COMPUTED_VALUE"""),3224)</f>
        <v>3224</v>
      </c>
      <c r="N305" s="10" t="str">
        <f ca="1">IFERROR(__xludf.DUMMYFUNCTION("""COMPUTED_VALUE"""),"PMU")</f>
        <v>PMU</v>
      </c>
      <c r="O305" s="1"/>
      <c r="P305" s="1"/>
      <c r="Q305" s="1"/>
      <c r="R305" s="1"/>
      <c r="S305" s="1"/>
      <c r="T305" s="1"/>
      <c r="U305" s="1"/>
      <c r="V305" s="1"/>
      <c r="W305" s="1"/>
      <c r="X305" s="1"/>
      <c r="Y305" s="1"/>
      <c r="Z305" s="1"/>
    </row>
    <row r="306" spans="1:26" ht="12.75" customHeight="1">
      <c r="A306" s="1"/>
      <c r="B306" s="10" t="str">
        <f ca="1">IFERROR(__xludf.DUMMYFUNCTION("""COMPUTED_VALUE"""),"[CATÁSTROFE] REPOSICÓN DE CONECTIVIDAD DE CAMINOS DE TUICIÓN MUNICIPAL AFECTADOS POR SISTEMA FRONTAL AGOSTO 2023")</f>
        <v>[CATÁSTROFE] REPOSICÓN DE CONECTIVIDAD DE CAMINOS DE TUICIÓN MUNICIPAL AFECTADOS POR SISTEMA FRONTAL AGOSTO 2023</v>
      </c>
      <c r="C306" s="10" t="str">
        <f ca="1">IFERROR(__xludf.DUMMYFUNCTION("""COMPUTED_VALUE"""),"1-C-2023-2647")</f>
        <v>1-C-2023-2647</v>
      </c>
      <c r="D306" s="26" t="str">
        <f t="shared" ca="1" si="0"/>
        <v xml:space="preserve"> MOLINA</v>
      </c>
      <c r="E306" s="10" t="str">
        <f ca="1">IFERROR(__xludf.DUMMYFUNCTION("""COMPUTED_VALUE"""),"Guía Operativa")</f>
        <v>Guía Operativa</v>
      </c>
      <c r="F306" s="10" t="str">
        <f ca="1">IFERROR(__xludf.DUMMYFUNCTION("""COMPUTED_VALUE"""),"MUNICIPALIDAD DE MOLINA")</f>
        <v>MUNICIPALIDAD DE MOLINA</v>
      </c>
      <c r="G306" s="71">
        <f ca="1">IFERROR(__xludf.DUMMYFUNCTION("""COMPUTED_VALUE"""),49985950)</f>
        <v>49985950</v>
      </c>
      <c r="H306" s="10" t="str">
        <f ca="1">IFERROR(__xludf.DUMMYFUNCTION("""COMPUTED_VALUE"""),"Resolución")</f>
        <v>Resolución</v>
      </c>
      <c r="I306" s="10" t="str">
        <f ca="1">IFERROR(__xludf.DUMMYFUNCTION("""COMPUTED_VALUE"""),"OBRA")</f>
        <v>OBRA</v>
      </c>
      <c r="J306" s="10" t="str">
        <f ca="1">IFERROR(__xludf.DUMMYFUNCTION("""COMPUTED_VALUE"""),"Cumplir con normativa y reglamentos internos del programa en base a los objetivos.")</f>
        <v>Cumplir con normativa y reglamentos internos del programa en base a los objetivos.</v>
      </c>
      <c r="K306" s="71">
        <f ca="1">IFERROR(__xludf.DUMMYFUNCTION("""COMPUTED_VALUE"""),49985950)</f>
        <v>49985950</v>
      </c>
      <c r="L306" s="72">
        <f ca="1">IFERROR(__xludf.DUMMYFUNCTION("""COMPUTED_VALUE"""),1)</f>
        <v>1</v>
      </c>
      <c r="M306" s="10">
        <f ca="1">IFERROR(__xludf.DUMMYFUNCTION("""COMPUTED_VALUE"""),3403)</f>
        <v>3403</v>
      </c>
      <c r="N306" s="10" t="str">
        <f ca="1">IFERROR(__xludf.DUMMYFUNCTION("""COMPUTED_VALUE"""),"PMU")</f>
        <v>PMU</v>
      </c>
      <c r="O306" s="1"/>
      <c r="P306" s="1"/>
      <c r="Q306" s="1"/>
      <c r="R306" s="1"/>
      <c r="S306" s="1"/>
      <c r="T306" s="1"/>
      <c r="U306" s="1"/>
      <c r="V306" s="1"/>
      <c r="W306" s="1"/>
      <c r="X306" s="1"/>
      <c r="Y306" s="1"/>
      <c r="Z306" s="1"/>
    </row>
    <row r="307" spans="1:26" ht="12.75" customHeight="1">
      <c r="A307" s="1"/>
      <c r="B307" s="10" t="str">
        <f ca="1">IFERROR(__xludf.DUMMYFUNCTION("""COMPUTED_VALUE"""),"CATASTROFE MEJORAMIENTO CAMINOS SECTOR PUNCHEMA,CHANCO")</f>
        <v>CATASTROFE MEJORAMIENTO CAMINOS SECTOR PUNCHEMA,CHANCO</v>
      </c>
      <c r="C307" s="10" t="str">
        <f ca="1">IFERROR(__xludf.DUMMYFUNCTION("""COMPUTED_VALUE"""),"1-C-2023-2840")</f>
        <v>1-C-2023-2840</v>
      </c>
      <c r="D307" s="26" t="str">
        <f t="shared" ca="1" si="0"/>
        <v xml:space="preserve"> CHANCO</v>
      </c>
      <c r="E307" s="10" t="str">
        <f ca="1">IFERROR(__xludf.DUMMYFUNCTION("""COMPUTED_VALUE"""),"Guía Operativa")</f>
        <v>Guía Operativa</v>
      </c>
      <c r="F307" s="10" t="str">
        <f ca="1">IFERROR(__xludf.DUMMYFUNCTION("""COMPUTED_VALUE"""),"MUNICIPALIDAD DE CHANCO")</f>
        <v>MUNICIPALIDAD DE CHANCO</v>
      </c>
      <c r="G307" s="71">
        <f ca="1">IFERROR(__xludf.DUMMYFUNCTION("""COMPUTED_VALUE"""),30000000)</f>
        <v>30000000</v>
      </c>
      <c r="H307" s="10" t="str">
        <f ca="1">IFERROR(__xludf.DUMMYFUNCTION("""COMPUTED_VALUE"""),"Resolución")</f>
        <v>Resolución</v>
      </c>
      <c r="I307" s="10" t="str">
        <f ca="1">IFERROR(__xludf.DUMMYFUNCTION("""COMPUTED_VALUE"""),"OBRA")</f>
        <v>OBRA</v>
      </c>
      <c r="J307" s="10" t="str">
        <f ca="1">IFERROR(__xludf.DUMMYFUNCTION("""COMPUTED_VALUE"""),"Cumplir con normativa y reglamentos internos del programa en base a los objetivos.")</f>
        <v>Cumplir con normativa y reglamentos internos del programa en base a los objetivos.</v>
      </c>
      <c r="K307" s="71">
        <f ca="1">IFERROR(__xludf.DUMMYFUNCTION("""COMPUTED_VALUE"""),30000000)</f>
        <v>30000000</v>
      </c>
      <c r="L307" s="72">
        <f ca="1">IFERROR(__xludf.DUMMYFUNCTION("""COMPUTED_VALUE"""),1)</f>
        <v>1</v>
      </c>
      <c r="M307" s="10">
        <f ca="1">IFERROR(__xludf.DUMMYFUNCTION("""COMPUTED_VALUE"""),3699)</f>
        <v>3699</v>
      </c>
      <c r="N307" s="10" t="str">
        <f ca="1">IFERROR(__xludf.DUMMYFUNCTION("""COMPUTED_VALUE"""),"PMU")</f>
        <v>PMU</v>
      </c>
      <c r="O307" s="1"/>
      <c r="P307" s="1"/>
      <c r="Q307" s="1"/>
      <c r="R307" s="1"/>
      <c r="S307" s="1"/>
      <c r="T307" s="1"/>
      <c r="U307" s="1"/>
      <c r="V307" s="1"/>
      <c r="W307" s="1"/>
      <c r="X307" s="1"/>
      <c r="Y307" s="1"/>
      <c r="Z307" s="1"/>
    </row>
    <row r="308" spans="1:26" ht="12.75" customHeight="1">
      <c r="A308" s="1"/>
      <c r="B308" s="10" t="str">
        <f ca="1">IFERROR(__xludf.DUMMYFUNCTION("""COMPUTED_VALUE"""),"REPOSICIÓN DE VEREDAS, SOLERAS Y DEMARCACIÓN VIAL CHANCO URBANO SUR")</f>
        <v>REPOSICIÓN DE VEREDAS, SOLERAS Y DEMARCACIÓN VIAL CHANCO URBANO SUR</v>
      </c>
      <c r="C308" s="10" t="str">
        <f ca="1">IFERROR(__xludf.DUMMYFUNCTION("""COMPUTED_VALUE"""),"1-B-2024-57")</f>
        <v>1-B-2024-57</v>
      </c>
      <c r="D308" s="26" t="str">
        <f t="shared" ca="1" si="0"/>
        <v xml:space="preserve"> CHANCO</v>
      </c>
      <c r="E308" s="10" t="str">
        <f ca="1">IFERROR(__xludf.DUMMYFUNCTION("""COMPUTED_VALUE"""),"Guía Operativa")</f>
        <v>Guía Operativa</v>
      </c>
      <c r="F308" s="10" t="str">
        <f ca="1">IFERROR(__xludf.DUMMYFUNCTION("""COMPUTED_VALUE"""),"MUNICIPALIDAD DE CHANCO")</f>
        <v>MUNICIPALIDAD DE CHANCO</v>
      </c>
      <c r="G308" s="71">
        <f ca="1">IFERROR(__xludf.DUMMYFUNCTION("""COMPUTED_VALUE"""),125929730)</f>
        <v>125929730</v>
      </c>
      <c r="H308" s="10" t="str">
        <f ca="1">IFERROR(__xludf.DUMMYFUNCTION("""COMPUTED_VALUE"""),"Resolución")</f>
        <v>Resolución</v>
      </c>
      <c r="I308" s="10" t="str">
        <f ca="1">IFERROR(__xludf.DUMMYFUNCTION("""COMPUTED_VALUE"""),"OBRA")</f>
        <v>OBRA</v>
      </c>
      <c r="J308" s="10" t="str">
        <f ca="1">IFERROR(__xludf.DUMMYFUNCTION("""COMPUTED_VALUE"""),"Cumplir con normativa y reglamentos internos del programa en base a los objetivos.")</f>
        <v>Cumplir con normativa y reglamentos internos del programa en base a los objetivos.</v>
      </c>
      <c r="K308" s="71">
        <f ca="1">IFERROR(__xludf.DUMMYFUNCTION("""COMPUTED_VALUE"""),125929730)</f>
        <v>125929730</v>
      </c>
      <c r="L308" s="72">
        <f ca="1">IFERROR(__xludf.DUMMYFUNCTION("""COMPUTED_VALUE"""),1)</f>
        <v>1</v>
      </c>
      <c r="M308" s="10">
        <f ca="1">IFERROR(__xludf.DUMMYFUNCTION("""COMPUTED_VALUE"""),4385)</f>
        <v>4385</v>
      </c>
      <c r="N308" s="10" t="str">
        <f ca="1">IFERROR(__xludf.DUMMYFUNCTION("""COMPUTED_VALUE"""),"PMU")</f>
        <v>PMU</v>
      </c>
      <c r="O308" s="1"/>
      <c r="P308" s="1"/>
      <c r="Q308" s="1"/>
      <c r="R308" s="1"/>
      <c r="S308" s="1"/>
      <c r="T308" s="1"/>
      <c r="U308" s="1"/>
      <c r="V308" s="1"/>
      <c r="W308" s="1"/>
      <c r="X308" s="1"/>
      <c r="Y308" s="1"/>
      <c r="Z308" s="1"/>
    </row>
    <row r="309" spans="1:26" ht="12.75" customHeight="1">
      <c r="A309" s="1"/>
      <c r="B309" s="10" t="str">
        <f ca="1">IFERROR(__xludf.DUMMYFUNCTION("""COMPUTED_VALUE"""),"REPOSICIÓN SEDE SOCIAL JUNTA DE VECINOS PEDRO AGUIRRE CERDA")</f>
        <v>REPOSICIÓN SEDE SOCIAL JUNTA DE VECINOS PEDRO AGUIRRE CERDA</v>
      </c>
      <c r="C309" s="10" t="str">
        <f ca="1">IFERROR(__xludf.DUMMYFUNCTION("""COMPUTED_VALUE"""),"1-C-2016-1549")</f>
        <v>1-C-2016-1549</v>
      </c>
      <c r="D309" s="26" t="str">
        <f t="shared" ca="1" si="0"/>
        <v xml:space="preserve"> CONCEPCIÓN</v>
      </c>
      <c r="E309" s="10" t="str">
        <f ca="1">IFERROR(__xludf.DUMMYFUNCTION("""COMPUTED_VALUE"""),"Guía Operativa")</f>
        <v>Guía Operativa</v>
      </c>
      <c r="F309" s="10" t="str">
        <f ca="1">IFERROR(__xludf.DUMMYFUNCTION("""COMPUTED_VALUE"""),"MUNICIPALIDAD DE CONCEPCIÓN")</f>
        <v>MUNICIPALIDAD DE CONCEPCIÓN</v>
      </c>
      <c r="G309" s="71">
        <f ca="1">IFERROR(__xludf.DUMMYFUNCTION("""COMPUTED_VALUE"""),69344531)</f>
        <v>69344531</v>
      </c>
      <c r="H309" s="10" t="str">
        <f ca="1">IFERROR(__xludf.DUMMYFUNCTION("""COMPUTED_VALUE"""),"Resolución")</f>
        <v>Resolución</v>
      </c>
      <c r="I309" s="10" t="str">
        <f ca="1">IFERROR(__xludf.DUMMYFUNCTION("""COMPUTED_VALUE"""),"OBRA")</f>
        <v>OBRA</v>
      </c>
      <c r="J309" s="10" t="str">
        <f ca="1">IFERROR(__xludf.DUMMYFUNCTION("""COMPUTED_VALUE"""),"Cumplir con normativa y reglamentos internos del programa en base a los objetivos.")</f>
        <v>Cumplir con normativa y reglamentos internos del programa en base a los objetivos.</v>
      </c>
      <c r="K309" s="71">
        <f ca="1">IFERROR(__xludf.DUMMYFUNCTION("""COMPUTED_VALUE"""),9722218)</f>
        <v>9722218</v>
      </c>
      <c r="L309" s="72">
        <f ca="1">IFERROR(__xludf.DUMMYFUNCTION("""COMPUTED_VALUE"""),1)</f>
        <v>1</v>
      </c>
      <c r="M309" s="10">
        <f ca="1">IFERROR(__xludf.DUMMYFUNCTION("""COMPUTED_VALUE"""),3678)</f>
        <v>3678</v>
      </c>
      <c r="N309" s="10" t="str">
        <f ca="1">IFERROR(__xludf.DUMMYFUNCTION("""COMPUTED_VALUE"""),"PMU")</f>
        <v>PMU</v>
      </c>
      <c r="O309" s="1"/>
      <c r="P309" s="1"/>
      <c r="Q309" s="1"/>
      <c r="R309" s="1"/>
      <c r="S309" s="1"/>
      <c r="T309" s="1"/>
      <c r="U309" s="1"/>
      <c r="V309" s="1"/>
      <c r="W309" s="1"/>
      <c r="X309" s="1"/>
      <c r="Y309" s="1"/>
      <c r="Z309" s="1"/>
    </row>
    <row r="310" spans="1:26" ht="12.75" customHeight="1">
      <c r="A310" s="1"/>
      <c r="B310" s="10" t="str">
        <f ca="1">IFERROR(__xludf.DUMMYFUNCTION("""COMPUTED_VALUE"""),"MEJORAMIENTO ÁREA VERDE CALLE LOS NOGALES, ENTRE LAS ENCINAS Y LOS CANELOS LAGUNILLAS 3, CORONEL")</f>
        <v>MEJORAMIENTO ÁREA VERDE CALLE LOS NOGALES, ENTRE LAS ENCINAS Y LOS CANELOS LAGUNILLAS 3, CORONEL</v>
      </c>
      <c r="C310" s="10" t="str">
        <f ca="1">IFERROR(__xludf.DUMMYFUNCTION("""COMPUTED_VALUE"""),"1-C-2023-1774")</f>
        <v>1-C-2023-1774</v>
      </c>
      <c r="D310" s="26" t="str">
        <f t="shared" ca="1" si="0"/>
        <v xml:space="preserve"> CORONEL</v>
      </c>
      <c r="E310" s="10" t="str">
        <f ca="1">IFERROR(__xludf.DUMMYFUNCTION("""COMPUTED_VALUE"""),"Guía Operativa")</f>
        <v>Guía Operativa</v>
      </c>
      <c r="F310" s="10" t="str">
        <f ca="1">IFERROR(__xludf.DUMMYFUNCTION("""COMPUTED_VALUE"""),"MUNICIPALIDAD DE CORONEL")</f>
        <v>MUNICIPALIDAD DE CORONEL</v>
      </c>
      <c r="G310" s="71">
        <f ca="1">IFERROR(__xludf.DUMMYFUNCTION("""COMPUTED_VALUE"""),153924492)</f>
        <v>153924492</v>
      </c>
      <c r="H310" s="10" t="str">
        <f ca="1">IFERROR(__xludf.DUMMYFUNCTION("""COMPUTED_VALUE"""),"Resolución")</f>
        <v>Resolución</v>
      </c>
      <c r="I310" s="10" t="str">
        <f ca="1">IFERROR(__xludf.DUMMYFUNCTION("""COMPUTED_VALUE"""),"OBRA")</f>
        <v>OBRA</v>
      </c>
      <c r="J310" s="10" t="str">
        <f ca="1">IFERROR(__xludf.DUMMYFUNCTION("""COMPUTED_VALUE"""),"Cumplir con normativa y reglamentos internos del programa en base a los objetivos.")</f>
        <v>Cumplir con normativa y reglamentos internos del programa en base a los objetivos.</v>
      </c>
      <c r="K310" s="71">
        <f ca="1">IFERROR(__xludf.DUMMYFUNCTION("""COMPUTED_VALUE"""),153924492)</f>
        <v>153924492</v>
      </c>
      <c r="L310" s="72">
        <f ca="1">IFERROR(__xludf.DUMMYFUNCTION("""COMPUTED_VALUE"""),1)</f>
        <v>1</v>
      </c>
      <c r="M310" s="10">
        <f ca="1">IFERROR(__xludf.DUMMYFUNCTION("""COMPUTED_VALUE"""),3216)</f>
        <v>3216</v>
      </c>
      <c r="N310" s="10" t="str">
        <f ca="1">IFERROR(__xludf.DUMMYFUNCTION("""COMPUTED_VALUE"""),"PMU")</f>
        <v>PMU</v>
      </c>
      <c r="O310" s="1"/>
      <c r="P310" s="1"/>
      <c r="Q310" s="1"/>
      <c r="R310" s="1"/>
      <c r="S310" s="1"/>
      <c r="T310" s="1"/>
      <c r="U310" s="1"/>
      <c r="V310" s="1"/>
      <c r="W310" s="1"/>
      <c r="X310" s="1"/>
      <c r="Y310" s="1"/>
      <c r="Z310" s="1"/>
    </row>
    <row r="311" spans="1:26" ht="12.75" customHeight="1">
      <c r="A311" s="1"/>
      <c r="B311" s="10" t="str">
        <f ca="1">IFERROR(__xludf.DUMMYFUNCTION("""COMPUTED_VALUE"""),"NORMALIZACIÓN SEMÁFOROS INTERSECCIONES AV. CHACABUCO CON JANEQUEO Y ONGOLMO")</f>
        <v>NORMALIZACIÓN SEMÁFOROS INTERSECCIONES AV. CHACABUCO CON JANEQUEO Y ONGOLMO</v>
      </c>
      <c r="C311" s="10" t="str">
        <f ca="1">IFERROR(__xludf.DUMMYFUNCTION("""COMPUTED_VALUE"""),"1-C-2023-1807")</f>
        <v>1-C-2023-1807</v>
      </c>
      <c r="D311" s="26" t="str">
        <f t="shared" ca="1" si="0"/>
        <v xml:space="preserve"> CONCEPCIÓN</v>
      </c>
      <c r="E311" s="10" t="str">
        <f ca="1">IFERROR(__xludf.DUMMYFUNCTION("""COMPUTED_VALUE"""),"Guía Operativa")</f>
        <v>Guía Operativa</v>
      </c>
      <c r="F311" s="10" t="str">
        <f ca="1">IFERROR(__xludf.DUMMYFUNCTION("""COMPUTED_VALUE"""),"MUNICIPALIDAD DE CONCEPCIÓN")</f>
        <v>MUNICIPALIDAD DE CONCEPCIÓN</v>
      </c>
      <c r="G311" s="71">
        <f ca="1">IFERROR(__xludf.DUMMYFUNCTION("""COMPUTED_VALUE"""),154114526)</f>
        <v>154114526</v>
      </c>
      <c r="H311" s="10" t="str">
        <f ca="1">IFERROR(__xludf.DUMMYFUNCTION("""COMPUTED_VALUE"""),"Resolución")</f>
        <v>Resolución</v>
      </c>
      <c r="I311" s="10" t="str">
        <f ca="1">IFERROR(__xludf.DUMMYFUNCTION("""COMPUTED_VALUE"""),"OBRA")</f>
        <v>OBRA</v>
      </c>
      <c r="J311" s="10" t="str">
        <f ca="1">IFERROR(__xludf.DUMMYFUNCTION("""COMPUTED_VALUE"""),"Cumplir con normativa y reglamentos internos del programa en base a los objetivos.")</f>
        <v>Cumplir con normativa y reglamentos internos del programa en base a los objetivos.</v>
      </c>
      <c r="K311" s="71">
        <f ca="1">IFERROR(__xludf.DUMMYFUNCTION("""COMPUTED_VALUE"""),154114526)</f>
        <v>154114526</v>
      </c>
      <c r="L311" s="72">
        <f ca="1">IFERROR(__xludf.DUMMYFUNCTION("""COMPUTED_VALUE"""),1)</f>
        <v>1</v>
      </c>
      <c r="M311" s="10">
        <f ca="1">IFERROR(__xludf.DUMMYFUNCTION("""COMPUTED_VALUE"""),3078)</f>
        <v>3078</v>
      </c>
      <c r="N311" s="10" t="str">
        <f ca="1">IFERROR(__xludf.DUMMYFUNCTION("""COMPUTED_VALUE"""),"PMU")</f>
        <v>PMU</v>
      </c>
      <c r="O311" s="1"/>
      <c r="P311" s="1"/>
      <c r="Q311" s="1"/>
      <c r="R311" s="1"/>
      <c r="S311" s="1"/>
      <c r="T311" s="1"/>
      <c r="U311" s="1"/>
      <c r="V311" s="1"/>
      <c r="W311" s="1"/>
      <c r="X311" s="1"/>
      <c r="Y311" s="1"/>
      <c r="Z311" s="1"/>
    </row>
    <row r="312" spans="1:26" ht="12.75" customHeight="1">
      <c r="A312" s="1"/>
      <c r="B312" s="10" t="str">
        <f ca="1">IFERROR(__xludf.DUMMYFUNCTION("""COMPUTED_VALUE"""),"[SATE] CONSTRUCCIÓN LUMINARIAS DIVERSOS SECTORES PANGUE Y SARA DE LEBU, LOS ÁLAMOS")</f>
        <v>[SATE] CONSTRUCCIÓN LUMINARIAS DIVERSOS SECTORES PANGUE Y SARA DE LEBU, LOS ÁLAMOS</v>
      </c>
      <c r="C312" s="10" t="str">
        <f ca="1">IFERROR(__xludf.DUMMYFUNCTION("""COMPUTED_VALUE"""),"1-C-2023-2020")</f>
        <v>1-C-2023-2020</v>
      </c>
      <c r="D312" s="26" t="str">
        <f t="shared" ca="1" si="0"/>
        <v xml:space="preserve"> LOS ÁLAMOS</v>
      </c>
      <c r="E312" s="10" t="str">
        <f ca="1">IFERROR(__xludf.DUMMYFUNCTION("""COMPUTED_VALUE"""),"Guía Operativa")</f>
        <v>Guía Operativa</v>
      </c>
      <c r="F312" s="10" t="str">
        <f ca="1">IFERROR(__xludf.DUMMYFUNCTION("""COMPUTED_VALUE"""),"MUNICIPALIDAD DE LOS ÁLAMOS")</f>
        <v>MUNICIPALIDAD DE LOS ÁLAMOS</v>
      </c>
      <c r="G312" s="71">
        <f ca="1">IFERROR(__xludf.DUMMYFUNCTION("""COMPUTED_VALUE"""),149999999)</f>
        <v>149999999</v>
      </c>
      <c r="H312" s="10" t="str">
        <f ca="1">IFERROR(__xludf.DUMMYFUNCTION("""COMPUTED_VALUE"""),"Resolución")</f>
        <v>Resolución</v>
      </c>
      <c r="I312" s="10" t="str">
        <f ca="1">IFERROR(__xludf.DUMMYFUNCTION("""COMPUTED_VALUE"""),"OBRA")</f>
        <v>OBRA</v>
      </c>
      <c r="J312" s="10" t="str">
        <f ca="1">IFERROR(__xludf.DUMMYFUNCTION("""COMPUTED_VALUE"""),"Cumplir con normativa y reglamentos internos del programa en base a los objetivos.")</f>
        <v>Cumplir con normativa y reglamentos internos del programa en base a los objetivos.</v>
      </c>
      <c r="K312" s="71">
        <f ca="1">IFERROR(__xludf.DUMMYFUNCTION("""COMPUTED_VALUE"""),149999999)</f>
        <v>149999999</v>
      </c>
      <c r="L312" s="72">
        <f ca="1">IFERROR(__xludf.DUMMYFUNCTION("""COMPUTED_VALUE"""),1)</f>
        <v>1</v>
      </c>
      <c r="M312" s="10">
        <f ca="1">IFERROR(__xludf.DUMMYFUNCTION("""COMPUTED_VALUE"""),4144)</f>
        <v>4144</v>
      </c>
      <c r="N312" s="10" t="str">
        <f ca="1">IFERROR(__xludf.DUMMYFUNCTION("""COMPUTED_VALUE"""),"PMU")</f>
        <v>PMU</v>
      </c>
      <c r="O312" s="1"/>
      <c r="P312" s="1"/>
      <c r="Q312" s="1"/>
      <c r="R312" s="1"/>
      <c r="S312" s="1"/>
      <c r="T312" s="1"/>
      <c r="U312" s="1"/>
      <c r="V312" s="1"/>
      <c r="W312" s="1"/>
      <c r="X312" s="1"/>
      <c r="Y312" s="1"/>
      <c r="Z312" s="1"/>
    </row>
    <row r="313" spans="1:26" ht="12.75" customHeight="1">
      <c r="A313" s="1"/>
      <c r="B313" s="10" t="str">
        <f ca="1">IFERROR(__xludf.DUMMYFUNCTION("""COMPUTED_VALUE"""),"HABILITACIÓN ECOMERCADO SOLIDARIO CORONEL")</f>
        <v>HABILITACIÓN ECOMERCADO SOLIDARIO CORONEL</v>
      </c>
      <c r="C313" s="10" t="str">
        <f ca="1">IFERROR(__xludf.DUMMYFUNCTION("""COMPUTED_VALUE"""),"1-C-2023-2181")</f>
        <v>1-C-2023-2181</v>
      </c>
      <c r="D313" s="26" t="str">
        <f t="shared" ca="1" si="0"/>
        <v xml:space="preserve"> CORONEL</v>
      </c>
      <c r="E313" s="10" t="str">
        <f ca="1">IFERROR(__xludf.DUMMYFUNCTION("""COMPUTED_VALUE"""),"Guía Operativa")</f>
        <v>Guía Operativa</v>
      </c>
      <c r="F313" s="10" t="str">
        <f ca="1">IFERROR(__xludf.DUMMYFUNCTION("""COMPUTED_VALUE"""),"MUNICIPALIDAD DE CORONEL")</f>
        <v>MUNICIPALIDAD DE CORONEL</v>
      </c>
      <c r="G313" s="71">
        <f ca="1">IFERROR(__xludf.DUMMYFUNCTION("""COMPUTED_VALUE"""),49999993)</f>
        <v>49999993</v>
      </c>
      <c r="H313" s="10" t="str">
        <f ca="1">IFERROR(__xludf.DUMMYFUNCTION("""COMPUTED_VALUE"""),"Resolución")</f>
        <v>Resolución</v>
      </c>
      <c r="I313" s="10" t="str">
        <f ca="1">IFERROR(__xludf.DUMMYFUNCTION("""COMPUTED_VALUE"""),"OBRA")</f>
        <v>OBRA</v>
      </c>
      <c r="J313" s="10" t="str">
        <f ca="1">IFERROR(__xludf.DUMMYFUNCTION("""COMPUTED_VALUE"""),"Cumplir con normativa y reglamentos internos del programa en base a los objetivos.")</f>
        <v>Cumplir con normativa y reglamentos internos del programa en base a los objetivos.</v>
      </c>
      <c r="K313" s="71">
        <f ca="1">IFERROR(__xludf.DUMMYFUNCTION("""COMPUTED_VALUE"""),49999993)</f>
        <v>49999993</v>
      </c>
      <c r="L313" s="72">
        <f ca="1">IFERROR(__xludf.DUMMYFUNCTION("""COMPUTED_VALUE"""),1)</f>
        <v>1</v>
      </c>
      <c r="M313" s="10">
        <f ca="1">IFERROR(__xludf.DUMMYFUNCTION("""COMPUTED_VALUE"""),4232)</f>
        <v>4232</v>
      </c>
      <c r="N313" s="10" t="str">
        <f ca="1">IFERROR(__xludf.DUMMYFUNCTION("""COMPUTED_VALUE"""),"PMU")</f>
        <v>PMU</v>
      </c>
      <c r="O313" s="1"/>
      <c r="P313" s="1"/>
      <c r="Q313" s="1"/>
      <c r="R313" s="1"/>
      <c r="S313" s="1"/>
      <c r="T313" s="1"/>
      <c r="U313" s="1"/>
      <c r="V313" s="1"/>
      <c r="W313" s="1"/>
      <c r="X313" s="1"/>
      <c r="Y313" s="1"/>
      <c r="Z313" s="1"/>
    </row>
    <row r="314" spans="1:26" ht="12.75" customHeight="1">
      <c r="A314" s="1"/>
      <c r="B314" s="10" t="str">
        <f ca="1">IFERROR(__xludf.DUMMYFUNCTION("""COMPUTED_VALUE"""),"MEJORAMIENTO Y AMPLIACIÓN DE ÁREA VERDE SOBRE TERRENO EQUIPAMIENTO, LAS MONJAS")</f>
        <v>MEJORAMIENTO Y AMPLIACIÓN DE ÁREA VERDE SOBRE TERRENO EQUIPAMIENTO, LAS MONJAS</v>
      </c>
      <c r="C314" s="10" t="str">
        <f ca="1">IFERROR(__xludf.DUMMYFUNCTION("""COMPUTED_VALUE"""),"1-C-2023-2793")</f>
        <v>1-C-2023-2793</v>
      </c>
      <c r="D314" s="26" t="str">
        <f t="shared" ca="1" si="0"/>
        <v xml:space="preserve"> CONCEPCIÓN</v>
      </c>
      <c r="E314" s="10" t="str">
        <f ca="1">IFERROR(__xludf.DUMMYFUNCTION("""COMPUTED_VALUE"""),"Guía Operativa")</f>
        <v>Guía Operativa</v>
      </c>
      <c r="F314" s="10" t="str">
        <f ca="1">IFERROR(__xludf.DUMMYFUNCTION("""COMPUTED_VALUE"""),"MUNICIPALIDAD DE CONCEPCIÓN")</f>
        <v>MUNICIPALIDAD DE CONCEPCIÓN</v>
      </c>
      <c r="G314" s="71">
        <f ca="1">IFERROR(__xludf.DUMMYFUNCTION("""COMPUTED_VALUE"""),149454995)</f>
        <v>149454995</v>
      </c>
      <c r="H314" s="10" t="str">
        <f ca="1">IFERROR(__xludf.DUMMYFUNCTION("""COMPUTED_VALUE"""),"Resolución")</f>
        <v>Resolución</v>
      </c>
      <c r="I314" s="10" t="str">
        <f ca="1">IFERROR(__xludf.DUMMYFUNCTION("""COMPUTED_VALUE"""),"OBRA")</f>
        <v>OBRA</v>
      </c>
      <c r="J314" s="10" t="str">
        <f ca="1">IFERROR(__xludf.DUMMYFUNCTION("""COMPUTED_VALUE"""),"Cumplir con normativa y reglamentos internos del programa en base a los objetivos.")</f>
        <v>Cumplir con normativa y reglamentos internos del programa en base a los objetivos.</v>
      </c>
      <c r="K314" s="71">
        <f ca="1">IFERROR(__xludf.DUMMYFUNCTION("""COMPUTED_VALUE"""),149454995)</f>
        <v>149454995</v>
      </c>
      <c r="L314" s="72">
        <f ca="1">IFERROR(__xludf.DUMMYFUNCTION("""COMPUTED_VALUE"""),1)</f>
        <v>1</v>
      </c>
      <c r="M314" s="10">
        <f ca="1">IFERROR(__xludf.DUMMYFUNCTION("""COMPUTED_VALUE"""),3063)</f>
        <v>3063</v>
      </c>
      <c r="N314" s="10" t="str">
        <f ca="1">IFERROR(__xludf.DUMMYFUNCTION("""COMPUTED_VALUE"""),"PMU")</f>
        <v>PMU</v>
      </c>
      <c r="O314" s="1"/>
      <c r="P314" s="1"/>
      <c r="Q314" s="1"/>
      <c r="R314" s="1"/>
      <c r="S314" s="1"/>
      <c r="T314" s="1"/>
      <c r="U314" s="1"/>
      <c r="V314" s="1"/>
      <c r="W314" s="1"/>
      <c r="X314" s="1"/>
      <c r="Y314" s="1"/>
      <c r="Z314" s="1"/>
    </row>
    <row r="315" spans="1:26" ht="12.75" customHeight="1">
      <c r="A315" s="1"/>
      <c r="B315" s="10" t="str">
        <f ca="1">IFERROR(__xludf.DUMMYFUNCTION("""COMPUTED_VALUE"""),"MEJORAMIENTO PASEO MONTT - BANNEN - LAUTARO, CORONEL")</f>
        <v>MEJORAMIENTO PASEO MONTT - BANNEN - LAUTARO, CORONEL</v>
      </c>
      <c r="C315" s="10" t="str">
        <f ca="1">IFERROR(__xludf.DUMMYFUNCTION("""COMPUTED_VALUE"""),"1-C-2023-2834")</f>
        <v>1-C-2023-2834</v>
      </c>
      <c r="D315" s="26" t="str">
        <f t="shared" ca="1" si="0"/>
        <v xml:space="preserve"> CORONEL</v>
      </c>
      <c r="E315" s="10" t="str">
        <f ca="1">IFERROR(__xludf.DUMMYFUNCTION("""COMPUTED_VALUE"""),"Guía Operativa")</f>
        <v>Guía Operativa</v>
      </c>
      <c r="F315" s="10" t="str">
        <f ca="1">IFERROR(__xludf.DUMMYFUNCTION("""COMPUTED_VALUE"""),"MUNICIPALIDAD DE CORONEL")</f>
        <v>MUNICIPALIDAD DE CORONEL</v>
      </c>
      <c r="G315" s="71">
        <f ca="1">IFERROR(__xludf.DUMMYFUNCTION("""COMPUTED_VALUE"""),153776521)</f>
        <v>153776521</v>
      </c>
      <c r="H315" s="10" t="str">
        <f ca="1">IFERROR(__xludf.DUMMYFUNCTION("""COMPUTED_VALUE"""),"Resolución")</f>
        <v>Resolución</v>
      </c>
      <c r="I315" s="10" t="str">
        <f ca="1">IFERROR(__xludf.DUMMYFUNCTION("""COMPUTED_VALUE"""),"OBRA")</f>
        <v>OBRA</v>
      </c>
      <c r="J315" s="10" t="str">
        <f ca="1">IFERROR(__xludf.DUMMYFUNCTION("""COMPUTED_VALUE"""),"Cumplir con normativa y reglamentos internos del programa en base a los objetivos.")</f>
        <v>Cumplir con normativa y reglamentos internos del programa en base a los objetivos.</v>
      </c>
      <c r="K315" s="71">
        <f ca="1">IFERROR(__xludf.DUMMYFUNCTION("""COMPUTED_VALUE"""),153776521)</f>
        <v>153776521</v>
      </c>
      <c r="L315" s="72">
        <f ca="1">IFERROR(__xludf.DUMMYFUNCTION("""COMPUTED_VALUE"""),1)</f>
        <v>1</v>
      </c>
      <c r="M315" s="10">
        <f ca="1">IFERROR(__xludf.DUMMYFUNCTION("""COMPUTED_VALUE"""),4232)</f>
        <v>4232</v>
      </c>
      <c r="N315" s="10" t="str">
        <f ca="1">IFERROR(__xludf.DUMMYFUNCTION("""COMPUTED_VALUE"""),"PMU")</f>
        <v>PMU</v>
      </c>
      <c r="O315" s="1"/>
      <c r="P315" s="1"/>
      <c r="Q315" s="1"/>
      <c r="R315" s="1"/>
      <c r="S315" s="1"/>
      <c r="T315" s="1"/>
      <c r="U315" s="1"/>
      <c r="V315" s="1"/>
      <c r="W315" s="1"/>
      <c r="X315" s="1"/>
      <c r="Y315" s="1"/>
      <c r="Z315" s="1"/>
    </row>
    <row r="316" spans="1:26" ht="12.75" customHeight="1">
      <c r="A316" s="1"/>
      <c r="B316" s="10" t="str">
        <f ca="1">IFERROR(__xludf.DUMMYFUNCTION("""COMPUTED_VALUE"""),"MEJORAMIENTO ILUMINACION PEATONAL ENTORNO PLAZA, CORONEL")</f>
        <v>MEJORAMIENTO ILUMINACION PEATONAL ENTORNO PLAZA, CORONEL</v>
      </c>
      <c r="C316" s="10" t="str">
        <f ca="1">IFERROR(__xludf.DUMMYFUNCTION("""COMPUTED_VALUE"""),"1-C-2023-2835")</f>
        <v>1-C-2023-2835</v>
      </c>
      <c r="D316" s="26" t="str">
        <f t="shared" ca="1" si="0"/>
        <v xml:space="preserve"> CORONEL</v>
      </c>
      <c r="E316" s="10" t="str">
        <f ca="1">IFERROR(__xludf.DUMMYFUNCTION("""COMPUTED_VALUE"""),"Guía Operativa")</f>
        <v>Guía Operativa</v>
      </c>
      <c r="F316" s="10" t="str">
        <f ca="1">IFERROR(__xludf.DUMMYFUNCTION("""COMPUTED_VALUE"""),"MUNICIPALIDAD DE CORONEL")</f>
        <v>MUNICIPALIDAD DE CORONEL</v>
      </c>
      <c r="G316" s="71">
        <f ca="1">IFERROR(__xludf.DUMMYFUNCTION("""COMPUTED_VALUE"""),119597826)</f>
        <v>119597826</v>
      </c>
      <c r="H316" s="10" t="str">
        <f ca="1">IFERROR(__xludf.DUMMYFUNCTION("""COMPUTED_VALUE"""),"Resolución")</f>
        <v>Resolución</v>
      </c>
      <c r="I316" s="10" t="str">
        <f ca="1">IFERROR(__xludf.DUMMYFUNCTION("""COMPUTED_VALUE"""),"OBRA")</f>
        <v>OBRA</v>
      </c>
      <c r="J316" s="10" t="str">
        <f ca="1">IFERROR(__xludf.DUMMYFUNCTION("""COMPUTED_VALUE"""),"Cumplir con normativa y reglamentos internos del programa en base a los objetivos.")</f>
        <v>Cumplir con normativa y reglamentos internos del programa en base a los objetivos.</v>
      </c>
      <c r="K316" s="71">
        <f ca="1">IFERROR(__xludf.DUMMYFUNCTION("""COMPUTED_VALUE"""),119597826)</f>
        <v>119597826</v>
      </c>
      <c r="L316" s="72">
        <f ca="1">IFERROR(__xludf.DUMMYFUNCTION("""COMPUTED_VALUE"""),1)</f>
        <v>1</v>
      </c>
      <c r="M316" s="10">
        <f ca="1">IFERROR(__xludf.DUMMYFUNCTION("""COMPUTED_VALUE"""),4232)</f>
        <v>4232</v>
      </c>
      <c r="N316" s="10" t="str">
        <f ca="1">IFERROR(__xludf.DUMMYFUNCTION("""COMPUTED_VALUE"""),"PMU")</f>
        <v>PMU</v>
      </c>
      <c r="O316" s="1"/>
      <c r="P316" s="1"/>
      <c r="Q316" s="1"/>
      <c r="R316" s="1"/>
      <c r="S316" s="1"/>
      <c r="T316" s="1"/>
      <c r="U316" s="1"/>
      <c r="V316" s="1"/>
      <c r="W316" s="1"/>
      <c r="X316" s="1"/>
      <c r="Y316" s="1"/>
      <c r="Z316" s="1"/>
    </row>
    <row r="317" spans="1:26" ht="12.75" customHeight="1">
      <c r="A317" s="1"/>
      <c r="B317" s="10" t="str">
        <f ca="1">IFERROR(__xludf.DUMMYFUNCTION("""COMPUTED_VALUE"""),"MEJORAMIENTO PLATABANDA ACERA CALLE MATADERO LADO OESTE, LOS ÁLAMOS")</f>
        <v>MEJORAMIENTO PLATABANDA ACERA CALLE MATADERO LADO OESTE, LOS ÁLAMOS</v>
      </c>
      <c r="C317" s="10" t="str">
        <f ca="1">IFERROR(__xludf.DUMMYFUNCTION("""COMPUTED_VALUE"""),"1-C-2024-407")</f>
        <v>1-C-2024-407</v>
      </c>
      <c r="D317" s="26" t="str">
        <f t="shared" ca="1" si="0"/>
        <v xml:space="preserve"> LOS ÁLAMOS</v>
      </c>
      <c r="E317" s="10" t="str">
        <f ca="1">IFERROR(__xludf.DUMMYFUNCTION("""COMPUTED_VALUE"""),"Guía Operativa")</f>
        <v>Guía Operativa</v>
      </c>
      <c r="F317" s="10" t="str">
        <f ca="1">IFERROR(__xludf.DUMMYFUNCTION("""COMPUTED_VALUE"""),"MUNICIPALIDAD DE LOS ÁLAMOS")</f>
        <v>MUNICIPALIDAD DE LOS ÁLAMOS</v>
      </c>
      <c r="G317" s="71">
        <f ca="1">IFERROR(__xludf.DUMMYFUNCTION("""COMPUTED_VALUE"""),161372689)</f>
        <v>161372689</v>
      </c>
      <c r="H317" s="10" t="str">
        <f ca="1">IFERROR(__xludf.DUMMYFUNCTION("""COMPUTED_VALUE"""),"Resolución")</f>
        <v>Resolución</v>
      </c>
      <c r="I317" s="10" t="str">
        <f ca="1">IFERROR(__xludf.DUMMYFUNCTION("""COMPUTED_VALUE"""),"OBRA")</f>
        <v>OBRA</v>
      </c>
      <c r="J317" s="10" t="str">
        <f ca="1">IFERROR(__xludf.DUMMYFUNCTION("""COMPUTED_VALUE"""),"Cumplir con normativa y reglamentos internos del programa en base a los objetivos.")</f>
        <v>Cumplir con normativa y reglamentos internos del programa en base a los objetivos.</v>
      </c>
      <c r="K317" s="71">
        <f ca="1">IFERROR(__xludf.DUMMYFUNCTION("""COMPUTED_VALUE"""),161372689)</f>
        <v>161372689</v>
      </c>
      <c r="L317" s="72">
        <f ca="1">IFERROR(__xludf.DUMMYFUNCTION("""COMPUTED_VALUE"""),1)</f>
        <v>1</v>
      </c>
      <c r="M317" s="10">
        <f ca="1">IFERROR(__xludf.DUMMYFUNCTION("""COMPUTED_VALUE"""),3989)</f>
        <v>3989</v>
      </c>
      <c r="N317" s="10" t="str">
        <f ca="1">IFERROR(__xludf.DUMMYFUNCTION("""COMPUTED_VALUE"""),"PMU")</f>
        <v>PMU</v>
      </c>
      <c r="O317" s="1"/>
      <c r="P317" s="1"/>
      <c r="Q317" s="1"/>
      <c r="R317" s="1"/>
      <c r="S317" s="1"/>
      <c r="T317" s="1"/>
      <c r="U317" s="1"/>
      <c r="V317" s="1"/>
      <c r="W317" s="1"/>
      <c r="X317" s="1"/>
      <c r="Y317" s="1"/>
      <c r="Z317" s="1"/>
    </row>
    <row r="318" spans="1:26" ht="12.75" customHeight="1">
      <c r="A318" s="1"/>
      <c r="B318" s="10" t="str">
        <f ca="1">IFERROR(__xludf.DUMMYFUNCTION("""COMPUTED_VALUE"""),"MEJORAMIENTO PLATABANDA ACERA CALLE COLON, PEDRO DE VALDIVIA Y MATADERO, LOS ALAMOS")</f>
        <v>MEJORAMIENTO PLATABANDA ACERA CALLE COLON, PEDRO DE VALDIVIA Y MATADERO, LOS ALAMOS</v>
      </c>
      <c r="C318" s="10" t="str">
        <f ca="1">IFERROR(__xludf.DUMMYFUNCTION("""COMPUTED_VALUE"""),"1-C-2024-408")</f>
        <v>1-C-2024-408</v>
      </c>
      <c r="D318" s="26" t="str">
        <f t="shared" ca="1" si="0"/>
        <v xml:space="preserve"> LOS ÁLAMOS</v>
      </c>
      <c r="E318" s="10" t="str">
        <f ca="1">IFERROR(__xludf.DUMMYFUNCTION("""COMPUTED_VALUE"""),"Guía Operativa")</f>
        <v>Guía Operativa</v>
      </c>
      <c r="F318" s="10" t="str">
        <f ca="1">IFERROR(__xludf.DUMMYFUNCTION("""COMPUTED_VALUE"""),"MUNICIPALIDAD DE LOS ÁLAMOS")</f>
        <v>MUNICIPALIDAD DE LOS ÁLAMOS</v>
      </c>
      <c r="G318" s="71">
        <f ca="1">IFERROR(__xludf.DUMMYFUNCTION("""COMPUTED_VALUE"""),161622627)</f>
        <v>161622627</v>
      </c>
      <c r="H318" s="10" t="str">
        <f ca="1">IFERROR(__xludf.DUMMYFUNCTION("""COMPUTED_VALUE"""),"Resolución")</f>
        <v>Resolución</v>
      </c>
      <c r="I318" s="10" t="str">
        <f ca="1">IFERROR(__xludf.DUMMYFUNCTION("""COMPUTED_VALUE"""),"OBRA")</f>
        <v>OBRA</v>
      </c>
      <c r="J318" s="10" t="str">
        <f ca="1">IFERROR(__xludf.DUMMYFUNCTION("""COMPUTED_VALUE"""),"Cumplir con normativa y reglamentos internos del programa en base a los objetivos.")</f>
        <v>Cumplir con normativa y reglamentos internos del programa en base a los objetivos.</v>
      </c>
      <c r="K318" s="71">
        <f ca="1">IFERROR(__xludf.DUMMYFUNCTION("""COMPUTED_VALUE"""),161622627)</f>
        <v>161622627</v>
      </c>
      <c r="L318" s="72">
        <f ca="1">IFERROR(__xludf.DUMMYFUNCTION("""COMPUTED_VALUE"""),1)</f>
        <v>1</v>
      </c>
      <c r="M318" s="10">
        <f ca="1">IFERROR(__xludf.DUMMYFUNCTION("""COMPUTED_VALUE"""),3989)</f>
        <v>3989</v>
      </c>
      <c r="N318" s="10" t="str">
        <f ca="1">IFERROR(__xludf.DUMMYFUNCTION("""COMPUTED_VALUE"""),"PMU")</f>
        <v>PMU</v>
      </c>
      <c r="O318" s="1"/>
      <c r="P318" s="1"/>
      <c r="Q318" s="1"/>
      <c r="R318" s="1"/>
      <c r="S318" s="1"/>
      <c r="T318" s="1"/>
      <c r="U318" s="1"/>
      <c r="V318" s="1"/>
      <c r="W318" s="1"/>
      <c r="X318" s="1"/>
      <c r="Y318" s="1"/>
      <c r="Z318" s="1"/>
    </row>
    <row r="319" spans="1:26" ht="12.75" customHeight="1">
      <c r="A319" s="1"/>
      <c r="B319" s="10" t="str">
        <f ca="1">IFERROR(__xludf.DUMMYFUNCTION("""COMPUTED_VALUE"""),"MEJORAMIENTO PLATABANDA ACERA CALLE PILPILCO CERRO ALTO, LOS ÁLAMOS")</f>
        <v>MEJORAMIENTO PLATABANDA ACERA CALLE PILPILCO CERRO ALTO, LOS ÁLAMOS</v>
      </c>
      <c r="C319" s="10" t="str">
        <f ca="1">IFERROR(__xludf.DUMMYFUNCTION("""COMPUTED_VALUE"""),"1-C-2024-409")</f>
        <v>1-C-2024-409</v>
      </c>
      <c r="D319" s="26" t="str">
        <f t="shared" ca="1" si="0"/>
        <v xml:space="preserve"> LOS ÁLAMOS</v>
      </c>
      <c r="E319" s="10" t="str">
        <f ca="1">IFERROR(__xludf.DUMMYFUNCTION("""COMPUTED_VALUE"""),"Guía Operativa")</f>
        <v>Guía Operativa</v>
      </c>
      <c r="F319" s="10" t="str">
        <f ca="1">IFERROR(__xludf.DUMMYFUNCTION("""COMPUTED_VALUE"""),"MUNICIPALIDAD DE LOS ÁLAMOS")</f>
        <v>MUNICIPALIDAD DE LOS ÁLAMOS</v>
      </c>
      <c r="G319" s="71">
        <f ca="1">IFERROR(__xludf.DUMMYFUNCTION("""COMPUTED_VALUE"""),159509991)</f>
        <v>159509991</v>
      </c>
      <c r="H319" s="10" t="str">
        <f ca="1">IFERROR(__xludf.DUMMYFUNCTION("""COMPUTED_VALUE"""),"Resolución")</f>
        <v>Resolución</v>
      </c>
      <c r="I319" s="10" t="str">
        <f ca="1">IFERROR(__xludf.DUMMYFUNCTION("""COMPUTED_VALUE"""),"OBRA")</f>
        <v>OBRA</v>
      </c>
      <c r="J319" s="10" t="str">
        <f ca="1">IFERROR(__xludf.DUMMYFUNCTION("""COMPUTED_VALUE"""),"Cumplir con normativa y reglamentos internos del programa en base a los objetivos.")</f>
        <v>Cumplir con normativa y reglamentos internos del programa en base a los objetivos.</v>
      </c>
      <c r="K319" s="71">
        <f ca="1">IFERROR(__xludf.DUMMYFUNCTION("""COMPUTED_VALUE"""),159509991)</f>
        <v>159509991</v>
      </c>
      <c r="L319" s="72">
        <f ca="1">IFERROR(__xludf.DUMMYFUNCTION("""COMPUTED_VALUE"""),1)</f>
        <v>1</v>
      </c>
      <c r="M319" s="10">
        <f ca="1">IFERROR(__xludf.DUMMYFUNCTION("""COMPUTED_VALUE"""),3986)</f>
        <v>3986</v>
      </c>
      <c r="N319" s="10" t="str">
        <f ca="1">IFERROR(__xludf.DUMMYFUNCTION("""COMPUTED_VALUE"""),"PMU")</f>
        <v>PMU</v>
      </c>
      <c r="O319" s="1"/>
      <c r="P319" s="1"/>
      <c r="Q319" s="1"/>
      <c r="R319" s="1"/>
      <c r="S319" s="1"/>
      <c r="T319" s="1"/>
      <c r="U319" s="1"/>
      <c r="V319" s="1"/>
      <c r="W319" s="1"/>
      <c r="X319" s="1"/>
      <c r="Y319" s="1"/>
      <c r="Z319" s="1"/>
    </row>
    <row r="320" spans="1:26" ht="12.75" customHeight="1">
      <c r="A320" s="1"/>
      <c r="B320" s="10" t="str">
        <f ca="1">IFERROR(__xludf.DUMMYFUNCTION("""COMPUTED_VALUE"""),"RECUPERACIÓN PLAZOLETA E INSTALACIÓN DE MOSAICOS EN MURO CALLE ARAUCO")</f>
        <v>RECUPERACIÓN PLAZOLETA E INSTALACIÓN DE MOSAICOS EN MURO CALLE ARAUCO</v>
      </c>
      <c r="C320" s="10" t="str">
        <f ca="1">IFERROR(__xludf.DUMMYFUNCTION("""COMPUTED_VALUE"""),"1-C-2024-426")</f>
        <v>1-C-2024-426</v>
      </c>
      <c r="D320" s="26" t="str">
        <f t="shared" ca="1" si="0"/>
        <v xml:space="preserve"> CURANILAHUE</v>
      </c>
      <c r="E320" s="10" t="str">
        <f ca="1">IFERROR(__xludf.DUMMYFUNCTION("""COMPUTED_VALUE"""),"Guía Operativa")</f>
        <v>Guía Operativa</v>
      </c>
      <c r="F320" s="10" t="str">
        <f ca="1">IFERROR(__xludf.DUMMYFUNCTION("""COMPUTED_VALUE"""),"MUNICIPALIDAD DE CURANILAHUE")</f>
        <v>MUNICIPALIDAD DE CURANILAHUE</v>
      </c>
      <c r="G320" s="71">
        <f ca="1">IFERROR(__xludf.DUMMYFUNCTION("""COMPUTED_VALUE"""),99110964)</f>
        <v>99110964</v>
      </c>
      <c r="H320" s="10" t="str">
        <f ca="1">IFERROR(__xludf.DUMMYFUNCTION("""COMPUTED_VALUE"""),"Resolución")</f>
        <v>Resolución</v>
      </c>
      <c r="I320" s="10" t="str">
        <f ca="1">IFERROR(__xludf.DUMMYFUNCTION("""COMPUTED_VALUE"""),"OBRA")</f>
        <v>OBRA</v>
      </c>
      <c r="J320" s="10" t="str">
        <f ca="1">IFERROR(__xludf.DUMMYFUNCTION("""COMPUTED_VALUE"""),"Cumplir con normativa y reglamentos internos del programa en base a los objetivos.")</f>
        <v>Cumplir con normativa y reglamentos internos del programa en base a los objetivos.</v>
      </c>
      <c r="K320" s="71">
        <f ca="1">IFERROR(__xludf.DUMMYFUNCTION("""COMPUTED_VALUE"""),99110964)</f>
        <v>99110964</v>
      </c>
      <c r="L320" s="72">
        <f ca="1">IFERROR(__xludf.DUMMYFUNCTION("""COMPUTED_VALUE"""),1)</f>
        <v>1</v>
      </c>
      <c r="M320" s="10">
        <f ca="1">IFERROR(__xludf.DUMMYFUNCTION("""COMPUTED_VALUE"""),3408)</f>
        <v>3408</v>
      </c>
      <c r="N320" s="10" t="str">
        <f ca="1">IFERROR(__xludf.DUMMYFUNCTION("""COMPUTED_VALUE"""),"PMU")</f>
        <v>PMU</v>
      </c>
      <c r="O320" s="1"/>
      <c r="P320" s="1"/>
      <c r="Q320" s="1"/>
      <c r="R320" s="1"/>
      <c r="S320" s="1"/>
      <c r="T320" s="1"/>
      <c r="U320" s="1"/>
      <c r="V320" s="1"/>
      <c r="W320" s="1"/>
      <c r="X320" s="1"/>
      <c r="Y320" s="1"/>
      <c r="Z320" s="1"/>
    </row>
    <row r="321" spans="1:26" ht="12.75" customHeight="1">
      <c r="A321" s="1"/>
      <c r="B321" s="10" t="str">
        <f ca="1">IFERROR(__xludf.DUMMYFUNCTION("""COMPUTED_VALUE"""),"MEJORAMIENTO MURO E INSTALACIÓN DE MOSAICOS EN AV. EDUARDO FREI ENTRE S. ALDEA Y PJE. F. REYES Y MEJORAMIENTO ESP. PUBLICO AV. EDUARDO FREI ALT. 1060")</f>
        <v>MEJORAMIENTO MURO E INSTALACIÓN DE MOSAICOS EN AV. EDUARDO FREI ENTRE S. ALDEA Y PJE. F. REYES Y MEJORAMIENTO ESP. PUBLICO AV. EDUARDO FREI ALT. 1060</v>
      </c>
      <c r="C321" s="10" t="str">
        <f ca="1">IFERROR(__xludf.DUMMYFUNCTION("""COMPUTED_VALUE"""),"1-C-2024-427")</f>
        <v>1-C-2024-427</v>
      </c>
      <c r="D321" s="26" t="str">
        <f t="shared" ca="1" si="0"/>
        <v xml:space="preserve"> CURANILAHUE</v>
      </c>
      <c r="E321" s="10" t="str">
        <f ca="1">IFERROR(__xludf.DUMMYFUNCTION("""COMPUTED_VALUE"""),"Guía Operativa")</f>
        <v>Guía Operativa</v>
      </c>
      <c r="F321" s="10" t="str">
        <f ca="1">IFERROR(__xludf.DUMMYFUNCTION("""COMPUTED_VALUE"""),"MUNICIPALIDAD DE CURANILAHUE")</f>
        <v>MUNICIPALIDAD DE CURANILAHUE</v>
      </c>
      <c r="G321" s="71">
        <f ca="1">IFERROR(__xludf.DUMMYFUNCTION("""COMPUTED_VALUE"""),106661978)</f>
        <v>106661978</v>
      </c>
      <c r="H321" s="10" t="str">
        <f ca="1">IFERROR(__xludf.DUMMYFUNCTION("""COMPUTED_VALUE"""),"Resolución")</f>
        <v>Resolución</v>
      </c>
      <c r="I321" s="10" t="str">
        <f ca="1">IFERROR(__xludf.DUMMYFUNCTION("""COMPUTED_VALUE"""),"OBRA")</f>
        <v>OBRA</v>
      </c>
      <c r="J321" s="10" t="str">
        <f ca="1">IFERROR(__xludf.DUMMYFUNCTION("""COMPUTED_VALUE"""),"Cumplir con normativa y reglamentos internos del programa en base a los objetivos.")</f>
        <v>Cumplir con normativa y reglamentos internos del programa en base a los objetivos.</v>
      </c>
      <c r="K321" s="71">
        <f ca="1">IFERROR(__xludf.DUMMYFUNCTION("""COMPUTED_VALUE"""),106661978)</f>
        <v>106661978</v>
      </c>
      <c r="L321" s="72">
        <f ca="1">IFERROR(__xludf.DUMMYFUNCTION("""COMPUTED_VALUE"""),1)</f>
        <v>1</v>
      </c>
      <c r="M321" s="10">
        <f ca="1">IFERROR(__xludf.DUMMYFUNCTION("""COMPUTED_VALUE"""),3987)</f>
        <v>3987</v>
      </c>
      <c r="N321" s="10" t="str">
        <f ca="1">IFERROR(__xludf.DUMMYFUNCTION("""COMPUTED_VALUE"""),"PMU")</f>
        <v>PMU</v>
      </c>
      <c r="O321" s="1"/>
      <c r="P321" s="1"/>
      <c r="Q321" s="1"/>
      <c r="R321" s="1"/>
      <c r="S321" s="1"/>
      <c r="T321" s="1"/>
      <c r="U321" s="1"/>
      <c r="V321" s="1"/>
      <c r="W321" s="1"/>
      <c r="X321" s="1"/>
      <c r="Y321" s="1"/>
      <c r="Z321" s="1"/>
    </row>
    <row r="322" spans="1:26" ht="12.75" customHeight="1">
      <c r="A322" s="1"/>
      <c r="B322" s="10" t="str">
        <f ca="1">IFERROR(__xludf.DUMMYFUNCTION("""COMPUTED_VALUE"""),"CONSTRUCCIÓN SISTEMA FOTOVOLTAICO ESC. RAMÓN RAMÍREZ DE MALALCAHUELLO, COMUNA CURACAUTÍN")</f>
        <v>CONSTRUCCIÓN SISTEMA FOTOVOLTAICO ESC. RAMÓN RAMÍREZ DE MALALCAHUELLO, COMUNA CURACAUTÍN</v>
      </c>
      <c r="C322" s="10" t="str">
        <f ca="1">IFERROR(__xludf.DUMMYFUNCTION("""COMPUTED_VALUE"""),"1-C-2018-1310")</f>
        <v>1-C-2018-1310</v>
      </c>
      <c r="D322" s="26" t="str">
        <f t="shared" ca="1" si="0"/>
        <v xml:space="preserve"> CURACAUTÍN</v>
      </c>
      <c r="E322" s="10" t="str">
        <f ca="1">IFERROR(__xludf.DUMMYFUNCTION("""COMPUTED_VALUE"""),"Guía Operativa")</f>
        <v>Guía Operativa</v>
      </c>
      <c r="F322" s="10" t="str">
        <f ca="1">IFERROR(__xludf.DUMMYFUNCTION("""COMPUTED_VALUE"""),"MUNICIPALIDAD DE CURACAUTÍN")</f>
        <v>MUNICIPALIDAD DE CURACAUTÍN</v>
      </c>
      <c r="G322" s="71">
        <f ca="1">IFERROR(__xludf.DUMMYFUNCTION("""COMPUTED_VALUE"""),59970000)</f>
        <v>59970000</v>
      </c>
      <c r="H322" s="10" t="str">
        <f ca="1">IFERROR(__xludf.DUMMYFUNCTION("""COMPUTED_VALUE"""),"Resolución")</f>
        <v>Resolución</v>
      </c>
      <c r="I322" s="10" t="str">
        <f ca="1">IFERROR(__xludf.DUMMYFUNCTION("""COMPUTED_VALUE"""),"OBRA")</f>
        <v>OBRA</v>
      </c>
      <c r="J322" s="10" t="str">
        <f ca="1">IFERROR(__xludf.DUMMYFUNCTION("""COMPUTED_VALUE"""),"Cumplir con normativa y reglamentos internos del programa en base a los objetivos.")</f>
        <v>Cumplir con normativa y reglamentos internos del programa en base a los objetivos.</v>
      </c>
      <c r="K322" s="71">
        <f ca="1">IFERROR(__xludf.DUMMYFUNCTION("""COMPUTED_VALUE"""),17987025)</f>
        <v>17987025</v>
      </c>
      <c r="L322" s="72">
        <f ca="1">IFERROR(__xludf.DUMMYFUNCTION("""COMPUTED_VALUE"""),0.999933716858429)</f>
        <v>0.99993371685842902</v>
      </c>
      <c r="M322" s="10">
        <f ca="1">IFERROR(__xludf.DUMMYFUNCTION("""COMPUTED_VALUE"""),9614)</f>
        <v>9614</v>
      </c>
      <c r="N322" s="10" t="str">
        <f ca="1">IFERROR(__xludf.DUMMYFUNCTION("""COMPUTED_VALUE"""),"PMU")</f>
        <v>PMU</v>
      </c>
      <c r="O322" s="1"/>
      <c r="P322" s="1"/>
      <c r="Q322" s="1"/>
      <c r="R322" s="1"/>
      <c r="S322" s="1"/>
      <c r="T322" s="1"/>
      <c r="U322" s="1"/>
      <c r="V322" s="1"/>
      <c r="W322" s="1"/>
      <c r="X322" s="1"/>
      <c r="Y322" s="1"/>
      <c r="Z322" s="1"/>
    </row>
    <row r="323" spans="1:26" ht="12.75" customHeight="1">
      <c r="A323" s="1"/>
      <c r="B323" s="10" t="str">
        <f ca="1">IFERROR(__xludf.DUMMYFUNCTION("""COMPUTED_VALUE"""),"MEJORAMIENTO CEMENTERIO REIGOLIL")</f>
        <v>MEJORAMIENTO CEMENTERIO REIGOLIL</v>
      </c>
      <c r="C323" s="10" t="str">
        <f ca="1">IFERROR(__xludf.DUMMYFUNCTION("""COMPUTED_VALUE"""),"1-C-2019-364")</f>
        <v>1-C-2019-364</v>
      </c>
      <c r="D323" s="26" t="str">
        <f t="shared" ca="1" si="0"/>
        <v xml:space="preserve"> CURARREHUE</v>
      </c>
      <c r="E323" s="10" t="str">
        <f ca="1">IFERROR(__xludf.DUMMYFUNCTION("""COMPUTED_VALUE"""),"Guía Operativa")</f>
        <v>Guía Operativa</v>
      </c>
      <c r="F323" s="10" t="str">
        <f ca="1">IFERROR(__xludf.DUMMYFUNCTION("""COMPUTED_VALUE"""),"MUNICIPALIDAD DE CURARREHUE")</f>
        <v>MUNICIPALIDAD DE CURARREHUE</v>
      </c>
      <c r="G323" s="71">
        <f ca="1">IFERROR(__xludf.DUMMYFUNCTION("""COMPUTED_VALUE"""),59957102)</f>
        <v>59957102</v>
      </c>
      <c r="H323" s="10" t="str">
        <f ca="1">IFERROR(__xludf.DUMMYFUNCTION("""COMPUTED_VALUE"""),"Resolución")</f>
        <v>Resolución</v>
      </c>
      <c r="I323" s="10" t="str">
        <f ca="1">IFERROR(__xludf.DUMMYFUNCTION("""COMPUTED_VALUE"""),"OBRA")</f>
        <v>OBRA</v>
      </c>
      <c r="J323" s="10" t="str">
        <f ca="1">IFERROR(__xludf.DUMMYFUNCTION("""COMPUTED_VALUE"""),"Cumplir con normativa y reglamentos internos del programa en base a los objetivos.")</f>
        <v>Cumplir con normativa y reglamentos internos del programa en base a los objetivos.</v>
      </c>
      <c r="K323" s="71">
        <f ca="1">IFERROR(__xludf.DUMMYFUNCTION("""COMPUTED_VALUE"""),41969966)</f>
        <v>41969966</v>
      </c>
      <c r="L323" s="72">
        <f ca="1">IFERROR(__xludf.DUMMYFUNCTION("""COMPUTED_VALUE"""),0.999999916607043)</f>
        <v>0.99999991660704302</v>
      </c>
      <c r="M323" s="10">
        <f ca="1">IFERROR(__xludf.DUMMYFUNCTION("""COMPUTED_VALUE"""),8302)</f>
        <v>8302</v>
      </c>
      <c r="N323" s="10" t="str">
        <f ca="1">IFERROR(__xludf.DUMMYFUNCTION("""COMPUTED_VALUE"""),"PMU")</f>
        <v>PMU</v>
      </c>
      <c r="O323" s="1"/>
      <c r="P323" s="1"/>
      <c r="Q323" s="1"/>
      <c r="R323" s="1"/>
      <c r="S323" s="1"/>
      <c r="T323" s="1"/>
      <c r="U323" s="1"/>
      <c r="V323" s="1"/>
      <c r="W323" s="1"/>
      <c r="X323" s="1"/>
      <c r="Y323" s="1"/>
      <c r="Z323" s="1"/>
    </row>
    <row r="324" spans="1:26" ht="12.75" customHeight="1">
      <c r="A324" s="1"/>
      <c r="B324" s="10" t="str">
        <f ca="1">IFERROR(__xludf.DUMMYFUNCTION("""COMPUTED_VALUE"""),"MEJORAMIENTO EDIFICIO MUNICIPAL MONTT")</f>
        <v>MEJORAMIENTO EDIFICIO MUNICIPAL MONTT</v>
      </c>
      <c r="C324" s="10" t="str">
        <f ca="1">IFERROR(__xludf.DUMMYFUNCTION("""COMPUTED_VALUE"""),"1-C-2021-303")</f>
        <v>1-C-2021-303</v>
      </c>
      <c r="D324" s="26" t="str">
        <f t="shared" ca="1" si="0"/>
        <v xml:space="preserve"> VILLARRICA</v>
      </c>
      <c r="E324" s="10" t="str">
        <f ca="1">IFERROR(__xludf.DUMMYFUNCTION("""COMPUTED_VALUE"""),"Guía Operativa")</f>
        <v>Guía Operativa</v>
      </c>
      <c r="F324" s="10" t="str">
        <f ca="1">IFERROR(__xludf.DUMMYFUNCTION("""COMPUTED_VALUE"""),"MUNICIPALIDAD DE VILLARRICA")</f>
        <v>MUNICIPALIDAD DE VILLARRICA</v>
      </c>
      <c r="G324" s="71">
        <f ca="1">IFERROR(__xludf.DUMMYFUNCTION("""COMPUTED_VALUE"""),54850524)</f>
        <v>54850524</v>
      </c>
      <c r="H324" s="10" t="str">
        <f ca="1">IFERROR(__xludf.DUMMYFUNCTION("""COMPUTED_VALUE"""),"Resolución")</f>
        <v>Resolución</v>
      </c>
      <c r="I324" s="10" t="str">
        <f ca="1">IFERROR(__xludf.DUMMYFUNCTION("""COMPUTED_VALUE"""),"OBRA")</f>
        <v>OBRA</v>
      </c>
      <c r="J324" s="10" t="str">
        <f ca="1">IFERROR(__xludf.DUMMYFUNCTION("""COMPUTED_VALUE"""),"Cumplir con normativa y reglamentos internos del programa en base a los objetivos.")</f>
        <v>Cumplir con normativa y reglamentos internos del programa en base a los objetivos.</v>
      </c>
      <c r="K324" s="71">
        <f ca="1">IFERROR(__xludf.DUMMYFUNCTION("""COMPUTED_VALUE"""),22719630)</f>
        <v>22719630</v>
      </c>
      <c r="L324" s="72">
        <f ca="1">IFERROR(__xludf.DUMMYFUNCTION("""COMPUTED_VALUE"""),0.914209898888112)</f>
        <v>0.91420989888811199</v>
      </c>
      <c r="M324" s="10">
        <f ca="1">IFERROR(__xludf.DUMMYFUNCTION("""COMPUTED_VALUE"""),6672)</f>
        <v>6672</v>
      </c>
      <c r="N324" s="10" t="str">
        <f ca="1">IFERROR(__xludf.DUMMYFUNCTION("""COMPUTED_VALUE"""),"PMU")</f>
        <v>PMU</v>
      </c>
      <c r="O324" s="1"/>
      <c r="P324" s="1"/>
      <c r="Q324" s="1"/>
      <c r="R324" s="1"/>
      <c r="S324" s="1"/>
      <c r="T324" s="1"/>
      <c r="U324" s="1"/>
      <c r="V324" s="1"/>
      <c r="W324" s="1"/>
      <c r="X324" s="1"/>
      <c r="Y324" s="1"/>
      <c r="Z324" s="1"/>
    </row>
    <row r="325" spans="1:26" ht="12.75" customHeight="1">
      <c r="A325" s="1"/>
      <c r="B325" s="10" t="str">
        <f ca="1">IFERROR(__xludf.DUMMYFUNCTION("""COMPUTED_VALUE"""),"(SATE) CONSTRUCCIÓN SEDE COMUNIDAD JUANITA VIUDA DE MILLAQUEO, LAUTARO")</f>
        <v>(SATE) CONSTRUCCIÓN SEDE COMUNIDAD JUANITA VIUDA DE MILLAQUEO, LAUTARO</v>
      </c>
      <c r="C325" s="10" t="str">
        <f ca="1">IFERROR(__xludf.DUMMYFUNCTION("""COMPUTED_VALUE"""),"1-C-2022-1357")</f>
        <v>1-C-2022-1357</v>
      </c>
      <c r="D325" s="26" t="str">
        <f t="shared" ca="1" si="0"/>
        <v xml:space="preserve"> LAUTARO</v>
      </c>
      <c r="E325" s="10" t="str">
        <f ca="1">IFERROR(__xludf.DUMMYFUNCTION("""COMPUTED_VALUE"""),"Guía Operativa")</f>
        <v>Guía Operativa</v>
      </c>
      <c r="F325" s="10" t="str">
        <f ca="1">IFERROR(__xludf.DUMMYFUNCTION("""COMPUTED_VALUE"""),"MUNICIPALIDAD DE LAUTARO")</f>
        <v>MUNICIPALIDAD DE LAUTARO</v>
      </c>
      <c r="G325" s="71">
        <f ca="1">IFERROR(__xludf.DUMMYFUNCTION("""COMPUTED_VALUE"""),80043116)</f>
        <v>80043116</v>
      </c>
      <c r="H325" s="10" t="str">
        <f ca="1">IFERROR(__xludf.DUMMYFUNCTION("""COMPUTED_VALUE"""),"Resolución")</f>
        <v>Resolución</v>
      </c>
      <c r="I325" s="10" t="str">
        <f ca="1">IFERROR(__xludf.DUMMYFUNCTION("""COMPUTED_VALUE"""),"OBRA")</f>
        <v>OBRA</v>
      </c>
      <c r="J325" s="10" t="str">
        <f ca="1">IFERROR(__xludf.DUMMYFUNCTION("""COMPUTED_VALUE"""),"Cumplir con normativa y reglamentos internos del programa en base a los objetivos.")</f>
        <v>Cumplir con normativa y reglamentos internos del programa en base a los objetivos.</v>
      </c>
      <c r="K325" s="71">
        <f ca="1">IFERROR(__xludf.DUMMYFUNCTION("""COMPUTED_VALUE"""),80043116)</f>
        <v>80043116</v>
      </c>
      <c r="L325" s="72">
        <f ca="1">IFERROR(__xludf.DUMMYFUNCTION("""COMPUTED_VALUE"""),1)</f>
        <v>1</v>
      </c>
      <c r="M325" s="10">
        <f ca="1">IFERROR(__xludf.DUMMYFUNCTION("""COMPUTED_VALUE"""),4331)</f>
        <v>4331</v>
      </c>
      <c r="N325" s="10" t="str">
        <f ca="1">IFERROR(__xludf.DUMMYFUNCTION("""COMPUTED_VALUE"""),"PMU")</f>
        <v>PMU</v>
      </c>
      <c r="O325" s="1"/>
      <c r="P325" s="1"/>
      <c r="Q325" s="1"/>
      <c r="R325" s="1"/>
      <c r="S325" s="1"/>
      <c r="T325" s="1"/>
      <c r="U325" s="1"/>
      <c r="V325" s="1"/>
      <c r="W325" s="1"/>
      <c r="X325" s="1"/>
      <c r="Y325" s="1"/>
      <c r="Z325" s="1"/>
    </row>
    <row r="326" spans="1:26" ht="12.75" customHeight="1">
      <c r="A326" s="1"/>
      <c r="B326" s="10" t="str">
        <f ca="1">IFERROR(__xludf.DUMMYFUNCTION("""COMPUTED_VALUE"""),"REPOSICIÓN DE VEREDAS CALLE ECUADOR, ENTRE RUDECINDO ORTEGA Y CENTENARIO, TEMUCO")</f>
        <v>REPOSICIÓN DE VEREDAS CALLE ECUADOR, ENTRE RUDECINDO ORTEGA Y CENTENARIO, TEMUCO</v>
      </c>
      <c r="C326" s="10" t="str">
        <f ca="1">IFERROR(__xludf.DUMMYFUNCTION("""COMPUTED_VALUE"""),"1-C-2022-1646")</f>
        <v>1-C-2022-1646</v>
      </c>
      <c r="D326" s="26" t="str">
        <f t="shared" ca="1" si="0"/>
        <v xml:space="preserve"> TEMUCO</v>
      </c>
      <c r="E326" s="10" t="str">
        <f ca="1">IFERROR(__xludf.DUMMYFUNCTION("""COMPUTED_VALUE"""),"Guía Operativa")</f>
        <v>Guía Operativa</v>
      </c>
      <c r="F326" s="10" t="str">
        <f ca="1">IFERROR(__xludf.DUMMYFUNCTION("""COMPUTED_VALUE"""),"MUNICIPALIDAD DE TEMUCO")</f>
        <v>MUNICIPALIDAD DE TEMUCO</v>
      </c>
      <c r="G326" s="71">
        <f ca="1">IFERROR(__xludf.DUMMYFUNCTION("""COMPUTED_VALUE"""),90653949)</f>
        <v>90653949</v>
      </c>
      <c r="H326" s="10" t="str">
        <f ca="1">IFERROR(__xludf.DUMMYFUNCTION("""COMPUTED_VALUE"""),"Resolución")</f>
        <v>Resolución</v>
      </c>
      <c r="I326" s="10" t="str">
        <f ca="1">IFERROR(__xludf.DUMMYFUNCTION("""COMPUTED_VALUE"""),"OBRA")</f>
        <v>OBRA</v>
      </c>
      <c r="J326" s="10" t="str">
        <f ca="1">IFERROR(__xludf.DUMMYFUNCTION("""COMPUTED_VALUE"""),"Cumplir con normativa y reglamentos internos del programa en base a los objetivos.")</f>
        <v>Cumplir con normativa y reglamentos internos del programa en base a los objetivos.</v>
      </c>
      <c r="K326" s="71">
        <f ca="1">IFERROR(__xludf.DUMMYFUNCTION("""COMPUTED_VALUE"""),90653949)</f>
        <v>90653949</v>
      </c>
      <c r="L326" s="72">
        <f ca="1">IFERROR(__xludf.DUMMYFUNCTION("""COMPUTED_VALUE"""),1)</f>
        <v>1</v>
      </c>
      <c r="M326" s="10">
        <f ca="1">IFERROR(__xludf.DUMMYFUNCTION("""COMPUTED_VALUE"""),4335)</f>
        <v>4335</v>
      </c>
      <c r="N326" s="10" t="str">
        <f ca="1">IFERROR(__xludf.DUMMYFUNCTION("""COMPUTED_VALUE"""),"PMU")</f>
        <v>PMU</v>
      </c>
      <c r="O326" s="1"/>
      <c r="P326" s="1"/>
      <c r="Q326" s="1"/>
      <c r="R326" s="1"/>
      <c r="S326" s="1"/>
      <c r="T326" s="1"/>
      <c r="U326" s="1"/>
      <c r="V326" s="1"/>
      <c r="W326" s="1"/>
      <c r="X326" s="1"/>
      <c r="Y326" s="1"/>
      <c r="Z326" s="1"/>
    </row>
    <row r="327" spans="1:26" ht="12.75" customHeight="1">
      <c r="A327" s="1"/>
      <c r="B327" s="10" t="str">
        <f ca="1">IFERROR(__xludf.DUMMYFUNCTION("""COMPUTED_VALUE"""),"[SATE] MEJORAMIENTO GIMNASIO 1, VICTORIA")</f>
        <v>[SATE] MEJORAMIENTO GIMNASIO 1, VICTORIA</v>
      </c>
      <c r="C327" s="10" t="str">
        <f ca="1">IFERROR(__xludf.DUMMYFUNCTION("""COMPUTED_VALUE"""),"1-C-2023-123")</f>
        <v>1-C-2023-123</v>
      </c>
      <c r="D327" s="26" t="str">
        <f t="shared" ca="1" si="0"/>
        <v xml:space="preserve"> VICTORIA</v>
      </c>
      <c r="E327" s="10" t="str">
        <f ca="1">IFERROR(__xludf.DUMMYFUNCTION("""COMPUTED_VALUE"""),"Guía Operativa")</f>
        <v>Guía Operativa</v>
      </c>
      <c r="F327" s="10" t="str">
        <f ca="1">IFERROR(__xludf.DUMMYFUNCTION("""COMPUTED_VALUE"""),"MUNICIPALIDAD DE VICTORIA")</f>
        <v>MUNICIPALIDAD DE VICTORIA</v>
      </c>
      <c r="G327" s="71">
        <f ca="1">IFERROR(__xludf.DUMMYFUNCTION("""COMPUTED_VALUE"""),147531666)</f>
        <v>147531666</v>
      </c>
      <c r="H327" s="10" t="str">
        <f ca="1">IFERROR(__xludf.DUMMYFUNCTION("""COMPUTED_VALUE"""),"Resolución")</f>
        <v>Resolución</v>
      </c>
      <c r="I327" s="10" t="str">
        <f ca="1">IFERROR(__xludf.DUMMYFUNCTION("""COMPUTED_VALUE"""),"OBRA")</f>
        <v>OBRA</v>
      </c>
      <c r="J327" s="10" t="str">
        <f ca="1">IFERROR(__xludf.DUMMYFUNCTION("""COMPUTED_VALUE"""),"Cumplir con normativa y reglamentos internos del programa en base a los objetivos.")</f>
        <v>Cumplir con normativa y reglamentos internos del programa en base a los objetivos.</v>
      </c>
      <c r="K327" s="71">
        <f ca="1">IFERROR(__xludf.DUMMYFUNCTION("""COMPUTED_VALUE"""),147531666)</f>
        <v>147531666</v>
      </c>
      <c r="L327" s="72">
        <f ca="1">IFERROR(__xludf.DUMMYFUNCTION("""COMPUTED_VALUE"""),1)</f>
        <v>1</v>
      </c>
      <c r="M327" s="10">
        <f ca="1">IFERROR(__xludf.DUMMYFUNCTION("""COMPUTED_VALUE"""),3696)</f>
        <v>3696</v>
      </c>
      <c r="N327" s="10" t="str">
        <f ca="1">IFERROR(__xludf.DUMMYFUNCTION("""COMPUTED_VALUE"""),"PMU")</f>
        <v>PMU</v>
      </c>
      <c r="O327" s="1"/>
      <c r="P327" s="1"/>
      <c r="Q327" s="1"/>
      <c r="R327" s="1"/>
      <c r="S327" s="1"/>
      <c r="T327" s="1"/>
      <c r="U327" s="1"/>
      <c r="V327" s="1"/>
      <c r="W327" s="1"/>
      <c r="X327" s="1"/>
      <c r="Y327" s="1"/>
      <c r="Z327" s="1"/>
    </row>
    <row r="328" spans="1:26" ht="12.75" customHeight="1">
      <c r="A328" s="1"/>
      <c r="B328" s="10" t="str">
        <f ca="1">IFERROR(__xludf.DUMMYFUNCTION("""COMPUTED_VALUE"""),"MEJORAMIENTO CECOSF MEULIN, COMUNA DE QUINCHAO")</f>
        <v>MEJORAMIENTO CECOSF MEULIN, COMUNA DE QUINCHAO</v>
      </c>
      <c r="C328" s="10" t="str">
        <f ca="1">IFERROR(__xludf.DUMMYFUNCTION("""COMPUTED_VALUE"""),"1-C-2023-2154")</f>
        <v>1-C-2023-2154</v>
      </c>
      <c r="D328" s="26" t="str">
        <f t="shared" ca="1" si="0"/>
        <v xml:space="preserve"> QUINCHAO</v>
      </c>
      <c r="E328" s="10" t="str">
        <f ca="1">IFERROR(__xludf.DUMMYFUNCTION("""COMPUTED_VALUE"""),"Guía Operativa")</f>
        <v>Guía Operativa</v>
      </c>
      <c r="F328" s="10" t="str">
        <f ca="1">IFERROR(__xludf.DUMMYFUNCTION("""COMPUTED_VALUE"""),"MUNICIPALIDAD DE QUINCHAO")</f>
        <v>MUNICIPALIDAD DE QUINCHAO</v>
      </c>
      <c r="G328" s="71">
        <f ca="1">IFERROR(__xludf.DUMMYFUNCTION("""COMPUTED_VALUE"""),154419600)</f>
        <v>154419600</v>
      </c>
      <c r="H328" s="10" t="str">
        <f ca="1">IFERROR(__xludf.DUMMYFUNCTION("""COMPUTED_VALUE"""),"Resolución")</f>
        <v>Resolución</v>
      </c>
      <c r="I328" s="10" t="str">
        <f ca="1">IFERROR(__xludf.DUMMYFUNCTION("""COMPUTED_VALUE"""),"OBRA")</f>
        <v>OBRA</v>
      </c>
      <c r="J328" s="10" t="str">
        <f ca="1">IFERROR(__xludf.DUMMYFUNCTION("""COMPUTED_VALUE"""),"Cumplir con normativa y reglamentos internos del programa en base a los objetivos.")</f>
        <v>Cumplir con normativa y reglamentos internos del programa en base a los objetivos.</v>
      </c>
      <c r="K328" s="71">
        <f ca="1">IFERROR(__xludf.DUMMYFUNCTION("""COMPUTED_VALUE"""),154419600)</f>
        <v>154419600</v>
      </c>
      <c r="L328" s="72">
        <f ca="1">IFERROR(__xludf.DUMMYFUNCTION("""COMPUTED_VALUE"""),1)</f>
        <v>1</v>
      </c>
      <c r="M328" s="10">
        <f ca="1">IFERROR(__xludf.DUMMYFUNCTION("""COMPUTED_VALUE"""),3698)</f>
        <v>3698</v>
      </c>
      <c r="N328" s="10" t="str">
        <f ca="1">IFERROR(__xludf.DUMMYFUNCTION("""COMPUTED_VALUE"""),"PMU")</f>
        <v>PMU</v>
      </c>
      <c r="O328" s="1"/>
      <c r="P328" s="1"/>
      <c r="Q328" s="1"/>
      <c r="R328" s="1"/>
      <c r="S328" s="1"/>
      <c r="T328" s="1"/>
      <c r="U328" s="1"/>
      <c r="V328" s="1"/>
      <c r="W328" s="1"/>
      <c r="X328" s="1"/>
      <c r="Y328" s="1"/>
      <c r="Z328" s="1"/>
    </row>
    <row r="329" spans="1:26" ht="12.75" customHeight="1">
      <c r="A329" s="1"/>
      <c r="B329" s="10" t="str">
        <f ca="1">IFERROR(__xludf.DUMMYFUNCTION("""COMPUTED_VALUE"""),"REPOSICIÓN ACERAS CALLE FLORENTINO CERECEDA PUERTO AYSÉN")</f>
        <v>REPOSICIÓN ACERAS CALLE FLORENTINO CERECEDA PUERTO AYSÉN</v>
      </c>
      <c r="C329" s="10" t="str">
        <f ca="1">IFERROR(__xludf.DUMMYFUNCTION("""COMPUTED_VALUE"""),"1-C-2023-1544")</f>
        <v>1-C-2023-1544</v>
      </c>
      <c r="D329" s="26" t="str">
        <f t="shared" ca="1" si="0"/>
        <v xml:space="preserve"> AYSÉN</v>
      </c>
      <c r="E329" s="10" t="str">
        <f ca="1">IFERROR(__xludf.DUMMYFUNCTION("""COMPUTED_VALUE"""),"Guía Operativa")</f>
        <v>Guía Operativa</v>
      </c>
      <c r="F329" s="10" t="str">
        <f ca="1">IFERROR(__xludf.DUMMYFUNCTION("""COMPUTED_VALUE"""),"MUNICIPALIDAD DE AYSÉN")</f>
        <v>MUNICIPALIDAD DE AYSÉN</v>
      </c>
      <c r="G329" s="71">
        <f ca="1">IFERROR(__xludf.DUMMYFUNCTION("""COMPUTED_VALUE"""),133490251)</f>
        <v>133490251</v>
      </c>
      <c r="H329" s="10" t="str">
        <f ca="1">IFERROR(__xludf.DUMMYFUNCTION("""COMPUTED_VALUE"""),"Resolución")</f>
        <v>Resolución</v>
      </c>
      <c r="I329" s="10" t="str">
        <f ca="1">IFERROR(__xludf.DUMMYFUNCTION("""COMPUTED_VALUE"""),"OBRA")</f>
        <v>OBRA</v>
      </c>
      <c r="J329" s="10" t="str">
        <f ca="1">IFERROR(__xludf.DUMMYFUNCTION("""COMPUTED_VALUE"""),"Cumplir con normativa y reglamentos internos del programa en base a los objetivos.")</f>
        <v>Cumplir con normativa y reglamentos internos del programa en base a los objetivos.</v>
      </c>
      <c r="K329" s="71">
        <f ca="1">IFERROR(__xludf.DUMMYFUNCTION("""COMPUTED_VALUE"""),133490251)</f>
        <v>133490251</v>
      </c>
      <c r="L329" s="72">
        <f ca="1">IFERROR(__xludf.DUMMYFUNCTION("""COMPUTED_VALUE"""),1)</f>
        <v>1</v>
      </c>
      <c r="M329" s="10">
        <f ca="1">IFERROR(__xludf.DUMMYFUNCTION("""COMPUTED_VALUE"""),2278)</f>
        <v>2278</v>
      </c>
      <c r="N329" s="10" t="str">
        <f ca="1">IFERROR(__xludf.DUMMYFUNCTION("""COMPUTED_VALUE"""),"PMU")</f>
        <v>PMU</v>
      </c>
      <c r="O329" s="1"/>
      <c r="P329" s="1"/>
      <c r="Q329" s="1"/>
      <c r="R329" s="1"/>
      <c r="S329" s="1"/>
      <c r="T329" s="1"/>
      <c r="U329" s="1"/>
      <c r="V329" s="1"/>
      <c r="W329" s="1"/>
      <c r="X329" s="1"/>
      <c r="Y329" s="1"/>
      <c r="Z329" s="1"/>
    </row>
    <row r="330" spans="1:26" ht="12.75" customHeight="1">
      <c r="A330" s="1"/>
      <c r="B330" s="10" t="str">
        <f ca="1">IFERROR(__xludf.DUMMYFUNCTION("""COMPUTED_VALUE"""),"REPOSICIÓN ACERAS CALLE JUAN DOUGNAC PUERTO AYSÉN")</f>
        <v>REPOSICIÓN ACERAS CALLE JUAN DOUGNAC PUERTO AYSÉN</v>
      </c>
      <c r="C330" s="10" t="str">
        <f ca="1">IFERROR(__xludf.DUMMYFUNCTION("""COMPUTED_VALUE"""),"1-C-2023-1545")</f>
        <v>1-C-2023-1545</v>
      </c>
      <c r="D330" s="26" t="str">
        <f t="shared" ca="1" si="0"/>
        <v xml:space="preserve"> AYSÉN</v>
      </c>
      <c r="E330" s="10" t="str">
        <f ca="1">IFERROR(__xludf.DUMMYFUNCTION("""COMPUTED_VALUE"""),"Guía Operativa")</f>
        <v>Guía Operativa</v>
      </c>
      <c r="F330" s="10" t="str">
        <f ca="1">IFERROR(__xludf.DUMMYFUNCTION("""COMPUTED_VALUE"""),"MUNICIPALIDAD DE AYSÉN")</f>
        <v>MUNICIPALIDAD DE AYSÉN</v>
      </c>
      <c r="G330" s="71">
        <f ca="1">IFERROR(__xludf.DUMMYFUNCTION("""COMPUTED_VALUE"""),131106000)</f>
        <v>131106000</v>
      </c>
      <c r="H330" s="10" t="str">
        <f ca="1">IFERROR(__xludf.DUMMYFUNCTION("""COMPUTED_VALUE"""),"Resolución")</f>
        <v>Resolución</v>
      </c>
      <c r="I330" s="10" t="str">
        <f ca="1">IFERROR(__xludf.DUMMYFUNCTION("""COMPUTED_VALUE"""),"OBRA")</f>
        <v>OBRA</v>
      </c>
      <c r="J330" s="10" t="str">
        <f ca="1">IFERROR(__xludf.DUMMYFUNCTION("""COMPUTED_VALUE"""),"Cumplir con normativa y reglamentos internos del programa en base a los objetivos.")</f>
        <v>Cumplir con normativa y reglamentos internos del programa en base a los objetivos.</v>
      </c>
      <c r="K330" s="71">
        <f ca="1">IFERROR(__xludf.DUMMYFUNCTION("""COMPUTED_VALUE"""),131106000)</f>
        <v>131106000</v>
      </c>
      <c r="L330" s="72">
        <f ca="1">IFERROR(__xludf.DUMMYFUNCTION("""COMPUTED_VALUE"""),1)</f>
        <v>1</v>
      </c>
      <c r="M330" s="10">
        <f ca="1">IFERROR(__xludf.DUMMYFUNCTION("""COMPUTED_VALUE"""),2278)</f>
        <v>2278</v>
      </c>
      <c r="N330" s="10" t="str">
        <f ca="1">IFERROR(__xludf.DUMMYFUNCTION("""COMPUTED_VALUE"""),"PMU")</f>
        <v>PMU</v>
      </c>
      <c r="O330" s="1"/>
      <c r="P330" s="1"/>
      <c r="Q330" s="1"/>
      <c r="R330" s="1"/>
      <c r="S330" s="1"/>
      <c r="T330" s="1"/>
      <c r="U330" s="1"/>
      <c r="V330" s="1"/>
      <c r="W330" s="1"/>
      <c r="X330" s="1"/>
      <c r="Y330" s="1"/>
      <c r="Z330" s="1"/>
    </row>
    <row r="331" spans="1:26" ht="12.75" customHeight="1">
      <c r="A331" s="1"/>
      <c r="B331" s="10" t="str">
        <f ca="1">IFERROR(__xludf.DUMMYFUNCTION("""COMPUTED_VALUE"""),"REPOSICIÓN DIVERSAS ACERAS CALETA ANDRADE")</f>
        <v>REPOSICIÓN DIVERSAS ACERAS CALETA ANDRADE</v>
      </c>
      <c r="C331" s="10" t="str">
        <f ca="1">IFERROR(__xludf.DUMMYFUNCTION("""COMPUTED_VALUE"""),"1-C-2023-1548")</f>
        <v>1-C-2023-1548</v>
      </c>
      <c r="D331" s="26" t="str">
        <f t="shared" ca="1" si="0"/>
        <v xml:space="preserve"> AYSÉN</v>
      </c>
      <c r="E331" s="10" t="str">
        <f ca="1">IFERROR(__xludf.DUMMYFUNCTION("""COMPUTED_VALUE"""),"Guía Operativa")</f>
        <v>Guía Operativa</v>
      </c>
      <c r="F331" s="10" t="str">
        <f ca="1">IFERROR(__xludf.DUMMYFUNCTION("""COMPUTED_VALUE"""),"MUNICIPALIDAD DE AYSÉN")</f>
        <v>MUNICIPALIDAD DE AYSÉN</v>
      </c>
      <c r="G331" s="71">
        <f ca="1">IFERROR(__xludf.DUMMYFUNCTION("""COMPUTED_VALUE"""),121703556)</f>
        <v>121703556</v>
      </c>
      <c r="H331" s="10" t="str">
        <f ca="1">IFERROR(__xludf.DUMMYFUNCTION("""COMPUTED_VALUE"""),"Resolución")</f>
        <v>Resolución</v>
      </c>
      <c r="I331" s="10" t="str">
        <f ca="1">IFERROR(__xludf.DUMMYFUNCTION("""COMPUTED_VALUE"""),"OBRA")</f>
        <v>OBRA</v>
      </c>
      <c r="J331" s="10" t="str">
        <f ca="1">IFERROR(__xludf.DUMMYFUNCTION("""COMPUTED_VALUE"""),"Cumplir con normativa y reglamentos internos del programa en base a los objetivos.")</f>
        <v>Cumplir con normativa y reglamentos internos del programa en base a los objetivos.</v>
      </c>
      <c r="K331" s="71">
        <f ca="1">IFERROR(__xludf.DUMMYFUNCTION("""COMPUTED_VALUE"""),121703556)</f>
        <v>121703556</v>
      </c>
      <c r="L331" s="72">
        <f ca="1">IFERROR(__xludf.DUMMYFUNCTION("""COMPUTED_VALUE"""),1)</f>
        <v>1</v>
      </c>
      <c r="M331" s="10">
        <f ca="1">IFERROR(__xludf.DUMMYFUNCTION("""COMPUTED_VALUE"""),2278)</f>
        <v>2278</v>
      </c>
      <c r="N331" s="10" t="str">
        <f ca="1">IFERROR(__xludf.DUMMYFUNCTION("""COMPUTED_VALUE"""),"PMU")</f>
        <v>PMU</v>
      </c>
      <c r="O331" s="1"/>
      <c r="P331" s="1"/>
      <c r="Q331" s="1"/>
      <c r="R331" s="1"/>
      <c r="S331" s="1"/>
      <c r="T331" s="1"/>
      <c r="U331" s="1"/>
      <c r="V331" s="1"/>
      <c r="W331" s="1"/>
      <c r="X331" s="1"/>
      <c r="Y331" s="1"/>
      <c r="Z331" s="1"/>
    </row>
    <row r="332" spans="1:26" ht="12.75" customHeight="1">
      <c r="A332" s="1"/>
      <c r="B332" s="10" t="str">
        <f ca="1">IFERROR(__xludf.DUMMYFUNCTION("""COMPUTED_VALUE"""),"MEJORAMIENTO BANDEJÓN CENTRAL PAJARITOS, COMUNA DE MAIPÚ")</f>
        <v>MEJORAMIENTO BANDEJÓN CENTRAL PAJARITOS, COMUNA DE MAIPÚ</v>
      </c>
      <c r="C332" s="10" t="str">
        <f ca="1">IFERROR(__xludf.DUMMYFUNCTION("""COMPUTED_VALUE"""),"1-C-2022-1596")</f>
        <v>1-C-2022-1596</v>
      </c>
      <c r="D332" s="26" t="str">
        <f t="shared" ca="1" si="0"/>
        <v xml:space="preserve"> MAIPÚ</v>
      </c>
      <c r="E332" s="10" t="str">
        <f ca="1">IFERROR(__xludf.DUMMYFUNCTION("""COMPUTED_VALUE"""),"Guía Operativa")</f>
        <v>Guía Operativa</v>
      </c>
      <c r="F332" s="10" t="str">
        <f ca="1">IFERROR(__xludf.DUMMYFUNCTION("""COMPUTED_VALUE"""),"MUNICIPALIDAD DE MAIPÚ")</f>
        <v>MUNICIPALIDAD DE MAIPÚ</v>
      </c>
      <c r="G332" s="71">
        <f ca="1">IFERROR(__xludf.DUMMYFUNCTION("""COMPUTED_VALUE"""),91032661)</f>
        <v>91032661</v>
      </c>
      <c r="H332" s="10" t="str">
        <f ca="1">IFERROR(__xludf.DUMMYFUNCTION("""COMPUTED_VALUE"""),"Resolución")</f>
        <v>Resolución</v>
      </c>
      <c r="I332" s="10" t="str">
        <f ca="1">IFERROR(__xludf.DUMMYFUNCTION("""COMPUTED_VALUE"""),"OBRA")</f>
        <v>OBRA</v>
      </c>
      <c r="J332" s="10" t="str">
        <f ca="1">IFERROR(__xludf.DUMMYFUNCTION("""COMPUTED_VALUE"""),"Cumplir con normativa y reglamentos internos del programa en base a los objetivos.")</f>
        <v>Cumplir con normativa y reglamentos internos del programa en base a los objetivos.</v>
      </c>
      <c r="K332" s="71">
        <f ca="1">IFERROR(__xludf.DUMMYFUNCTION("""COMPUTED_VALUE"""),91032661)</f>
        <v>91032661</v>
      </c>
      <c r="L332" s="72">
        <f ca="1">IFERROR(__xludf.DUMMYFUNCTION("""COMPUTED_VALUE"""),1)</f>
        <v>1</v>
      </c>
      <c r="M332" s="10">
        <f ca="1">IFERROR(__xludf.DUMMYFUNCTION("""COMPUTED_VALUE"""),3215)</f>
        <v>3215</v>
      </c>
      <c r="N332" s="10" t="str">
        <f ca="1">IFERROR(__xludf.DUMMYFUNCTION("""COMPUTED_VALUE"""),"PMU")</f>
        <v>PMU</v>
      </c>
      <c r="O332" s="1"/>
      <c r="P332" s="1"/>
      <c r="Q332" s="1"/>
      <c r="R332" s="1"/>
      <c r="S332" s="1"/>
      <c r="T332" s="1"/>
      <c r="U332" s="1"/>
      <c r="V332" s="1"/>
      <c r="W332" s="1"/>
      <c r="X332" s="1"/>
      <c r="Y332" s="1"/>
      <c r="Z332" s="1"/>
    </row>
    <row r="333" spans="1:26" ht="12.75" customHeight="1">
      <c r="A333" s="1"/>
      <c r="B333" s="10" t="str">
        <f ca="1">IFERROR(__xludf.DUMMYFUNCTION("""COMPUTED_VALUE"""),"HABILITACIÓN CIRCUITO DE CALISTENIA ESTADIO LUCAS PACHECO")</f>
        <v>HABILITACIÓN CIRCUITO DE CALISTENIA ESTADIO LUCAS PACHECO</v>
      </c>
      <c r="C333" s="10" t="str">
        <f ca="1">IFERROR(__xludf.DUMMYFUNCTION("""COMPUTED_VALUE"""),"1-C-2022-2317")</f>
        <v>1-C-2022-2317</v>
      </c>
      <c r="D333" s="26" t="str">
        <f t="shared" ca="1" si="0"/>
        <v xml:space="preserve"> TALAGANTE</v>
      </c>
      <c r="E333" s="10" t="str">
        <f ca="1">IFERROR(__xludf.DUMMYFUNCTION("""COMPUTED_VALUE"""),"Guía Operativa")</f>
        <v>Guía Operativa</v>
      </c>
      <c r="F333" s="10" t="str">
        <f ca="1">IFERROR(__xludf.DUMMYFUNCTION("""COMPUTED_VALUE"""),"MUNICIPALIDAD DE TALAGANTE")</f>
        <v>MUNICIPALIDAD DE TALAGANTE</v>
      </c>
      <c r="G333" s="71">
        <f ca="1">IFERROR(__xludf.DUMMYFUNCTION("""COMPUTED_VALUE"""),109665530)</f>
        <v>109665530</v>
      </c>
      <c r="H333" s="10" t="str">
        <f ca="1">IFERROR(__xludf.DUMMYFUNCTION("""COMPUTED_VALUE"""),"Resolución")</f>
        <v>Resolución</v>
      </c>
      <c r="I333" s="10" t="str">
        <f ca="1">IFERROR(__xludf.DUMMYFUNCTION("""COMPUTED_VALUE"""),"OBRA")</f>
        <v>OBRA</v>
      </c>
      <c r="J333" s="10" t="str">
        <f ca="1">IFERROR(__xludf.DUMMYFUNCTION("""COMPUTED_VALUE"""),"Cumplir con normativa y reglamentos internos del programa en base a los objetivos.")</f>
        <v>Cumplir con normativa y reglamentos internos del programa en base a los objetivos.</v>
      </c>
      <c r="K333" s="71">
        <f ca="1">IFERROR(__xludf.DUMMYFUNCTION("""COMPUTED_VALUE"""),109665530)</f>
        <v>109665530</v>
      </c>
      <c r="L333" s="72">
        <f ca="1">IFERROR(__xludf.DUMMYFUNCTION("""COMPUTED_VALUE"""),1)</f>
        <v>1</v>
      </c>
      <c r="M333" s="10">
        <f ca="1">IFERROR(__xludf.DUMMYFUNCTION("""COMPUTED_VALUE"""),3407)</f>
        <v>3407</v>
      </c>
      <c r="N333" s="10" t="str">
        <f ca="1">IFERROR(__xludf.DUMMYFUNCTION("""COMPUTED_VALUE"""),"PMU")</f>
        <v>PMU</v>
      </c>
      <c r="O333" s="1"/>
      <c r="P333" s="1"/>
      <c r="Q333" s="1"/>
      <c r="R333" s="1"/>
      <c r="S333" s="1"/>
      <c r="T333" s="1"/>
      <c r="U333" s="1"/>
      <c r="V333" s="1"/>
      <c r="W333" s="1"/>
      <c r="X333" s="1"/>
      <c r="Y333" s="1"/>
      <c r="Z333" s="1"/>
    </row>
    <row r="334" spans="1:26" ht="12.75" customHeight="1">
      <c r="A334" s="1"/>
      <c r="B334" s="10" t="str">
        <f ca="1">IFERROR(__xludf.DUMMYFUNCTION("""COMPUTED_VALUE"""),"MEJORAMIENTO DE ESPACIO PÚBLICO SECTOR LO OVALLE")</f>
        <v>MEJORAMIENTO DE ESPACIO PÚBLICO SECTOR LO OVALLE</v>
      </c>
      <c r="C334" s="10" t="str">
        <f ca="1">IFERROR(__xludf.DUMMYFUNCTION("""COMPUTED_VALUE"""),"1-SPD-2022-483")</f>
        <v>1-SPD-2022-483</v>
      </c>
      <c r="D334" s="26" t="str">
        <f t="shared" ca="1" si="0"/>
        <v xml:space="preserve"> SAN MIGUEL</v>
      </c>
      <c r="E334" s="10" t="str">
        <f ca="1">IFERROR(__xludf.DUMMYFUNCTION("""COMPUTED_VALUE"""),"Guía Operativa")</f>
        <v>Guía Operativa</v>
      </c>
      <c r="F334" s="10" t="str">
        <f ca="1">IFERROR(__xludf.DUMMYFUNCTION("""COMPUTED_VALUE"""),"MUNICIPALIDAD DE SAN MIGUEL")</f>
        <v>MUNICIPALIDAD DE SAN MIGUEL</v>
      </c>
      <c r="G334" s="71">
        <f ca="1">IFERROR(__xludf.DUMMYFUNCTION("""COMPUTED_VALUE"""),74996854)</f>
        <v>74996854</v>
      </c>
      <c r="H334" s="10" t="str">
        <f ca="1">IFERROR(__xludf.DUMMYFUNCTION("""COMPUTED_VALUE"""),"Resolución")</f>
        <v>Resolución</v>
      </c>
      <c r="I334" s="10" t="str">
        <f ca="1">IFERROR(__xludf.DUMMYFUNCTION("""COMPUTED_VALUE"""),"OBRA")</f>
        <v>OBRA</v>
      </c>
      <c r="J334" s="10" t="str">
        <f ca="1">IFERROR(__xludf.DUMMYFUNCTION("""COMPUTED_VALUE"""),"Cumplir con normativa y reglamentos internos del programa en base a los objetivos.")</f>
        <v>Cumplir con normativa y reglamentos internos del programa en base a los objetivos.</v>
      </c>
      <c r="K334" s="71">
        <f ca="1">IFERROR(__xludf.DUMMYFUNCTION("""COMPUTED_VALUE"""),74996854)</f>
        <v>74996854</v>
      </c>
      <c r="L334" s="72">
        <f ca="1">IFERROR(__xludf.DUMMYFUNCTION("""COMPUTED_VALUE"""),1)</f>
        <v>1</v>
      </c>
      <c r="M334" s="10">
        <f ca="1">IFERROR(__xludf.DUMMYFUNCTION("""COMPUTED_VALUE"""),3458)</f>
        <v>3458</v>
      </c>
      <c r="N334" s="10" t="str">
        <f ca="1">IFERROR(__xludf.DUMMYFUNCTION("""COMPUTED_VALUE"""),"PMU")</f>
        <v>PMU</v>
      </c>
      <c r="O334" s="1"/>
      <c r="P334" s="1"/>
      <c r="Q334" s="1"/>
      <c r="R334" s="1"/>
      <c r="S334" s="1"/>
      <c r="T334" s="1"/>
      <c r="U334" s="1"/>
      <c r="V334" s="1"/>
      <c r="W334" s="1"/>
      <c r="X334" s="1"/>
      <c r="Y334" s="1"/>
      <c r="Z334" s="1"/>
    </row>
    <row r="335" spans="1:26" ht="12.75" customHeight="1">
      <c r="A335" s="1"/>
      <c r="B335" s="10" t="str">
        <f ca="1">IFERROR(__xludf.DUMMYFUNCTION("""COMPUTED_VALUE"""),"MEJORAMIENTO MULTICANCHAS MICHELLE BACHELET Y MULTICANCHA JUAN ANTONIO RIOS, COMUNA DE TALAGANTE")</f>
        <v>MEJORAMIENTO MULTICANCHAS MICHELLE BACHELET Y MULTICANCHA JUAN ANTONIO RIOS, COMUNA DE TALAGANTE</v>
      </c>
      <c r="C335" s="10" t="str">
        <f ca="1">IFERROR(__xludf.DUMMYFUNCTION("""COMPUTED_VALUE"""),"1-C-2023-712")</f>
        <v>1-C-2023-712</v>
      </c>
      <c r="D335" s="26" t="str">
        <f t="shared" ca="1" si="0"/>
        <v xml:space="preserve"> TALAGANTE</v>
      </c>
      <c r="E335" s="10" t="str">
        <f ca="1">IFERROR(__xludf.DUMMYFUNCTION("""COMPUTED_VALUE"""),"Guía Operativa")</f>
        <v>Guía Operativa</v>
      </c>
      <c r="F335" s="10" t="str">
        <f ca="1">IFERROR(__xludf.DUMMYFUNCTION("""COMPUTED_VALUE"""),"MUNICIPALIDAD DE TALAGANTE")</f>
        <v>MUNICIPALIDAD DE TALAGANTE</v>
      </c>
      <c r="G335" s="71">
        <f ca="1">IFERROR(__xludf.DUMMYFUNCTION("""COMPUTED_VALUE"""),154422498)</f>
        <v>154422498</v>
      </c>
      <c r="H335" s="10" t="str">
        <f ca="1">IFERROR(__xludf.DUMMYFUNCTION("""COMPUTED_VALUE"""),"Resolución")</f>
        <v>Resolución</v>
      </c>
      <c r="I335" s="10" t="str">
        <f ca="1">IFERROR(__xludf.DUMMYFUNCTION("""COMPUTED_VALUE"""),"OBRA")</f>
        <v>OBRA</v>
      </c>
      <c r="J335" s="10" t="str">
        <f ca="1">IFERROR(__xludf.DUMMYFUNCTION("""COMPUTED_VALUE"""),"Cumplir con normativa y reglamentos internos del programa en base a los objetivos.")</f>
        <v>Cumplir con normativa y reglamentos internos del programa en base a los objetivos.</v>
      </c>
      <c r="K335" s="71">
        <f ca="1">IFERROR(__xludf.DUMMYFUNCTION("""COMPUTED_VALUE"""),154422498)</f>
        <v>154422498</v>
      </c>
      <c r="L335" s="72">
        <f ca="1">IFERROR(__xludf.DUMMYFUNCTION("""COMPUTED_VALUE"""),1)</f>
        <v>1</v>
      </c>
      <c r="M335" s="10">
        <f ca="1">IFERROR(__xludf.DUMMYFUNCTION("""COMPUTED_VALUE"""),3691)</f>
        <v>3691</v>
      </c>
      <c r="N335" s="10" t="str">
        <f ca="1">IFERROR(__xludf.DUMMYFUNCTION("""COMPUTED_VALUE"""),"PMU")</f>
        <v>PMU</v>
      </c>
      <c r="O335" s="1"/>
      <c r="P335" s="1"/>
      <c r="Q335" s="1"/>
      <c r="R335" s="1"/>
      <c r="S335" s="1"/>
      <c r="T335" s="1"/>
      <c r="U335" s="1"/>
      <c r="V335" s="1"/>
      <c r="W335" s="1"/>
      <c r="X335" s="1"/>
      <c r="Y335" s="1"/>
      <c r="Z335" s="1"/>
    </row>
    <row r="336" spans="1:26" ht="12.75" customHeight="1">
      <c r="A336" s="1"/>
      <c r="B336" s="10" t="str">
        <f ca="1">IFERROR(__xludf.DUMMYFUNCTION("""COMPUTED_VALUE"""),"MEJORAMIENTO PLAZA LO AMOR, COMUNA QUINTA NORMAL")</f>
        <v>MEJORAMIENTO PLAZA LO AMOR, COMUNA QUINTA NORMAL</v>
      </c>
      <c r="C336" s="10" t="str">
        <f ca="1">IFERROR(__xludf.DUMMYFUNCTION("""COMPUTED_VALUE"""),"1-C-2023-1465")</f>
        <v>1-C-2023-1465</v>
      </c>
      <c r="D336" s="26" t="str">
        <f t="shared" ca="1" si="0"/>
        <v xml:space="preserve"> QUINTA NORMAL</v>
      </c>
      <c r="E336" s="10" t="str">
        <f ca="1">IFERROR(__xludf.DUMMYFUNCTION("""COMPUTED_VALUE"""),"Guía Operativa")</f>
        <v>Guía Operativa</v>
      </c>
      <c r="F336" s="10" t="str">
        <f ca="1">IFERROR(__xludf.DUMMYFUNCTION("""COMPUTED_VALUE"""),"MUNICIPALIDAD DE QUINTA NORMAL")</f>
        <v>MUNICIPALIDAD DE QUINTA NORMAL</v>
      </c>
      <c r="G336" s="71">
        <f ca="1">IFERROR(__xludf.DUMMYFUNCTION("""COMPUTED_VALUE"""),148378919)</f>
        <v>148378919</v>
      </c>
      <c r="H336" s="10" t="str">
        <f ca="1">IFERROR(__xludf.DUMMYFUNCTION("""COMPUTED_VALUE"""),"Resolución")</f>
        <v>Resolución</v>
      </c>
      <c r="I336" s="10" t="str">
        <f ca="1">IFERROR(__xludf.DUMMYFUNCTION("""COMPUTED_VALUE"""),"OBRA")</f>
        <v>OBRA</v>
      </c>
      <c r="J336" s="10" t="str">
        <f ca="1">IFERROR(__xludf.DUMMYFUNCTION("""COMPUTED_VALUE"""),"Cumplir con normativa y reglamentos internos del programa en base a los objetivos.")</f>
        <v>Cumplir con normativa y reglamentos internos del programa en base a los objetivos.</v>
      </c>
      <c r="K336" s="71">
        <f ca="1">IFERROR(__xludf.DUMMYFUNCTION("""COMPUTED_VALUE"""),148378919)</f>
        <v>148378919</v>
      </c>
      <c r="L336" s="72">
        <f ca="1">IFERROR(__xludf.DUMMYFUNCTION("""COMPUTED_VALUE"""),1)</f>
        <v>1</v>
      </c>
      <c r="M336" s="10">
        <f ca="1">IFERROR(__xludf.DUMMYFUNCTION("""COMPUTED_VALUE"""),3694)</f>
        <v>3694</v>
      </c>
      <c r="N336" s="10" t="str">
        <f ca="1">IFERROR(__xludf.DUMMYFUNCTION("""COMPUTED_VALUE"""),"PMU")</f>
        <v>PMU</v>
      </c>
      <c r="O336" s="1"/>
      <c r="P336" s="1"/>
      <c r="Q336" s="1"/>
      <c r="R336" s="1"/>
      <c r="S336" s="1"/>
      <c r="T336" s="1"/>
      <c r="U336" s="1"/>
      <c r="V336" s="1"/>
      <c r="W336" s="1"/>
      <c r="X336" s="1"/>
      <c r="Y336" s="1"/>
      <c r="Z336" s="1"/>
    </row>
    <row r="337" spans="1:26" ht="12.75" customHeight="1">
      <c r="A337" s="1"/>
      <c r="B337" s="10" t="str">
        <f ca="1">IFERROR(__xludf.DUMMYFUNCTION("""COMPUTED_VALUE"""),"MEJORAMIENTO RUTA ACCESIBLE MEHUIN, COMUNA DE PEDRO AGUIRRE CERDA")</f>
        <v>MEJORAMIENTO RUTA ACCESIBLE MEHUIN, COMUNA DE PEDRO AGUIRRE CERDA</v>
      </c>
      <c r="C337" s="10" t="str">
        <f ca="1">IFERROR(__xludf.DUMMYFUNCTION("""COMPUTED_VALUE"""),"1-C-2023-1571")</f>
        <v>1-C-2023-1571</v>
      </c>
      <c r="D337" s="26" t="str">
        <f t="shared" ca="1" si="0"/>
        <v xml:space="preserve"> PEDRO AGUIRRE CERDA</v>
      </c>
      <c r="E337" s="10" t="str">
        <f ca="1">IFERROR(__xludf.DUMMYFUNCTION("""COMPUTED_VALUE"""),"Guía Operativa")</f>
        <v>Guía Operativa</v>
      </c>
      <c r="F337" s="10" t="str">
        <f ca="1">IFERROR(__xludf.DUMMYFUNCTION("""COMPUTED_VALUE"""),"MUNICIPALIDAD DE PEDRO AGUIRRE CERDA")</f>
        <v>MUNICIPALIDAD DE PEDRO AGUIRRE CERDA</v>
      </c>
      <c r="G337" s="71">
        <f ca="1">IFERROR(__xludf.DUMMYFUNCTION("""COMPUTED_VALUE"""),144255639)</f>
        <v>144255639</v>
      </c>
      <c r="H337" s="10" t="str">
        <f ca="1">IFERROR(__xludf.DUMMYFUNCTION("""COMPUTED_VALUE"""),"Resolución")</f>
        <v>Resolución</v>
      </c>
      <c r="I337" s="10" t="str">
        <f ca="1">IFERROR(__xludf.DUMMYFUNCTION("""COMPUTED_VALUE"""),"OBRA")</f>
        <v>OBRA</v>
      </c>
      <c r="J337" s="10" t="str">
        <f ca="1">IFERROR(__xludf.DUMMYFUNCTION("""COMPUTED_VALUE"""),"Cumplir con normativa y reglamentos internos del programa en base a los objetivos.")</f>
        <v>Cumplir con normativa y reglamentos internos del programa en base a los objetivos.</v>
      </c>
      <c r="K337" s="71">
        <f ca="1">IFERROR(__xludf.DUMMYFUNCTION("""COMPUTED_VALUE"""),144255639)</f>
        <v>144255639</v>
      </c>
      <c r="L337" s="72">
        <f ca="1">IFERROR(__xludf.DUMMYFUNCTION("""COMPUTED_VALUE"""),1)</f>
        <v>1</v>
      </c>
      <c r="M337" s="10">
        <f ca="1">IFERROR(__xludf.DUMMYFUNCTION("""COMPUTED_VALUE"""),3219)</f>
        <v>3219</v>
      </c>
      <c r="N337" s="10" t="str">
        <f ca="1">IFERROR(__xludf.DUMMYFUNCTION("""COMPUTED_VALUE"""),"PMU")</f>
        <v>PMU</v>
      </c>
      <c r="O337" s="1"/>
      <c r="P337" s="1"/>
      <c r="Q337" s="1"/>
      <c r="R337" s="1"/>
      <c r="S337" s="1"/>
      <c r="T337" s="1"/>
      <c r="U337" s="1"/>
      <c r="V337" s="1"/>
      <c r="W337" s="1"/>
      <c r="X337" s="1"/>
      <c r="Y337" s="1"/>
      <c r="Z337" s="1"/>
    </row>
    <row r="338" spans="1:26" ht="12.75" customHeight="1">
      <c r="A338" s="1"/>
      <c r="B338" s="10" t="str">
        <f ca="1">IFERROR(__xludf.DUMMYFUNCTION("""COMPUTED_VALUE"""),"CONSTRUCCIÓN REDUCTORES DE VELOCIDAD ETAPA II")</f>
        <v>CONSTRUCCIÓN REDUCTORES DE VELOCIDAD ETAPA II</v>
      </c>
      <c r="C338" s="10" t="str">
        <f ca="1">IFERROR(__xludf.DUMMYFUNCTION("""COMPUTED_VALUE"""),"1-C-2023-1947")</f>
        <v>1-C-2023-1947</v>
      </c>
      <c r="D338" s="26" t="str">
        <f t="shared" ca="1" si="0"/>
        <v xml:space="preserve"> QUINTA NORMAL</v>
      </c>
      <c r="E338" s="10" t="str">
        <f ca="1">IFERROR(__xludf.DUMMYFUNCTION("""COMPUTED_VALUE"""),"Guía Operativa")</f>
        <v>Guía Operativa</v>
      </c>
      <c r="F338" s="10" t="str">
        <f ca="1">IFERROR(__xludf.DUMMYFUNCTION("""COMPUTED_VALUE"""),"MUNICIPALIDAD DE QUINTA NORMAL")</f>
        <v>MUNICIPALIDAD DE QUINTA NORMAL</v>
      </c>
      <c r="G338" s="71">
        <f ca="1">IFERROR(__xludf.DUMMYFUNCTION("""COMPUTED_VALUE"""),139815165)</f>
        <v>139815165</v>
      </c>
      <c r="H338" s="10" t="str">
        <f ca="1">IFERROR(__xludf.DUMMYFUNCTION("""COMPUTED_VALUE"""),"Resolución")</f>
        <v>Resolución</v>
      </c>
      <c r="I338" s="10" t="str">
        <f ca="1">IFERROR(__xludf.DUMMYFUNCTION("""COMPUTED_VALUE"""),"OBRA")</f>
        <v>OBRA</v>
      </c>
      <c r="J338" s="10" t="str">
        <f ca="1">IFERROR(__xludf.DUMMYFUNCTION("""COMPUTED_VALUE"""),"Cumplir con normativa y reglamentos internos del programa en base a los objetivos.")</f>
        <v>Cumplir con normativa y reglamentos internos del programa en base a los objetivos.</v>
      </c>
      <c r="K338" s="71">
        <f ca="1">IFERROR(__xludf.DUMMYFUNCTION("""COMPUTED_VALUE"""),139815165)</f>
        <v>139815165</v>
      </c>
      <c r="L338" s="72">
        <f ca="1">IFERROR(__xludf.DUMMYFUNCTION("""COMPUTED_VALUE"""),1)</f>
        <v>1</v>
      </c>
      <c r="M338" s="10">
        <f ca="1">IFERROR(__xludf.DUMMYFUNCTION("""COMPUTED_VALUE"""),3695)</f>
        <v>3695</v>
      </c>
      <c r="N338" s="10" t="str">
        <f ca="1">IFERROR(__xludf.DUMMYFUNCTION("""COMPUTED_VALUE"""),"PMU")</f>
        <v>PMU</v>
      </c>
      <c r="O338" s="1"/>
      <c r="P338" s="1"/>
      <c r="Q338" s="1"/>
      <c r="R338" s="1"/>
      <c r="S338" s="1"/>
      <c r="T338" s="1"/>
      <c r="U338" s="1"/>
      <c r="V338" s="1"/>
      <c r="W338" s="1"/>
      <c r="X338" s="1"/>
      <c r="Y338" s="1"/>
      <c r="Z338" s="1"/>
    </row>
    <row r="339" spans="1:26" ht="12.75" customHeight="1">
      <c r="A339" s="1"/>
      <c r="B339" s="10" t="str">
        <f ca="1">IFERROR(__xludf.DUMMYFUNCTION("""COMPUTED_VALUE"""),"BACHEOS DE EMERGENCIA, CALLE CURIÑANCA, COMUNA DE SAN MIGUEL")</f>
        <v>BACHEOS DE EMERGENCIA, CALLE CURIÑANCA, COMUNA DE SAN MIGUEL</v>
      </c>
      <c r="C339" s="10" t="str">
        <f ca="1">IFERROR(__xludf.DUMMYFUNCTION("""COMPUTED_VALUE"""),"1-C-2023-2122")</f>
        <v>1-C-2023-2122</v>
      </c>
      <c r="D339" s="26" t="str">
        <f t="shared" ca="1" si="0"/>
        <v xml:space="preserve"> SAN MIGUEL</v>
      </c>
      <c r="E339" s="10" t="str">
        <f ca="1">IFERROR(__xludf.DUMMYFUNCTION("""COMPUTED_VALUE"""),"Guía Operativa")</f>
        <v>Guía Operativa</v>
      </c>
      <c r="F339" s="10" t="str">
        <f ca="1">IFERROR(__xludf.DUMMYFUNCTION("""COMPUTED_VALUE"""),"MUNICIPALIDAD DE SAN MIGUEL")</f>
        <v>MUNICIPALIDAD DE SAN MIGUEL</v>
      </c>
      <c r="G339" s="71">
        <f ca="1">IFERROR(__xludf.DUMMYFUNCTION("""COMPUTED_VALUE"""),73865367)</f>
        <v>73865367</v>
      </c>
      <c r="H339" s="10" t="str">
        <f ca="1">IFERROR(__xludf.DUMMYFUNCTION("""COMPUTED_VALUE"""),"Resolución")</f>
        <v>Resolución</v>
      </c>
      <c r="I339" s="10" t="str">
        <f ca="1">IFERROR(__xludf.DUMMYFUNCTION("""COMPUTED_VALUE"""),"OBRA")</f>
        <v>OBRA</v>
      </c>
      <c r="J339" s="10" t="str">
        <f ca="1">IFERROR(__xludf.DUMMYFUNCTION("""COMPUTED_VALUE"""),"Cumplir con normativa y reglamentos internos del programa en base a los objetivos.")</f>
        <v>Cumplir con normativa y reglamentos internos del programa en base a los objetivos.</v>
      </c>
      <c r="K339" s="71">
        <f ca="1">IFERROR(__xludf.DUMMYFUNCTION("""COMPUTED_VALUE"""),73865367)</f>
        <v>73865367</v>
      </c>
      <c r="L339" s="72">
        <f ca="1">IFERROR(__xludf.DUMMYFUNCTION("""COMPUTED_VALUE"""),1)</f>
        <v>1</v>
      </c>
      <c r="M339" s="10">
        <f ca="1">IFERROR(__xludf.DUMMYFUNCTION("""COMPUTED_VALUE"""),3457)</f>
        <v>3457</v>
      </c>
      <c r="N339" s="10" t="str">
        <f ca="1">IFERROR(__xludf.DUMMYFUNCTION("""COMPUTED_VALUE"""),"PMU")</f>
        <v>PMU</v>
      </c>
      <c r="O339" s="1"/>
      <c r="P339" s="1"/>
      <c r="Q339" s="1"/>
      <c r="R339" s="1"/>
      <c r="S339" s="1"/>
      <c r="T339" s="1"/>
      <c r="U339" s="1"/>
      <c r="V339" s="1"/>
      <c r="W339" s="1"/>
      <c r="X339" s="1"/>
      <c r="Y339" s="1"/>
      <c r="Z339" s="1"/>
    </row>
    <row r="340" spans="1:26" ht="12.75" customHeight="1">
      <c r="A340" s="1"/>
      <c r="B340" s="10" t="str">
        <f ca="1">IFERROR(__xludf.DUMMYFUNCTION("""COMPUTED_VALUE"""),"MEJORAMIENTO PLATABANDA TORO MAZOTE")</f>
        <v>MEJORAMIENTO PLATABANDA TORO MAZOTE</v>
      </c>
      <c r="C340" s="10" t="str">
        <f ca="1">IFERROR(__xludf.DUMMYFUNCTION("""COMPUTED_VALUE"""),"1-C-2023-2438")</f>
        <v>1-C-2023-2438</v>
      </c>
      <c r="D340" s="26" t="str">
        <f t="shared" ca="1" si="0"/>
        <v xml:space="preserve"> ESTACIÓN CENTRAL</v>
      </c>
      <c r="E340" s="10" t="str">
        <f ca="1">IFERROR(__xludf.DUMMYFUNCTION("""COMPUTED_VALUE"""),"Guía Operativa")</f>
        <v>Guía Operativa</v>
      </c>
      <c r="F340" s="10" t="str">
        <f ca="1">IFERROR(__xludf.DUMMYFUNCTION("""COMPUTED_VALUE"""),"MUNICIPALIDAD DE ESTACIÓN CENTRAL")</f>
        <v>MUNICIPALIDAD DE ESTACIÓN CENTRAL</v>
      </c>
      <c r="G340" s="71">
        <f ca="1">IFERROR(__xludf.DUMMYFUNCTION("""COMPUTED_VALUE"""),102315299)</f>
        <v>102315299</v>
      </c>
      <c r="H340" s="10" t="str">
        <f ca="1">IFERROR(__xludf.DUMMYFUNCTION("""COMPUTED_VALUE"""),"Resolución")</f>
        <v>Resolución</v>
      </c>
      <c r="I340" s="10" t="str">
        <f ca="1">IFERROR(__xludf.DUMMYFUNCTION("""COMPUTED_VALUE"""),"OBRA")</f>
        <v>OBRA</v>
      </c>
      <c r="J340" s="10" t="str">
        <f ca="1">IFERROR(__xludf.DUMMYFUNCTION("""COMPUTED_VALUE"""),"Cumplir con normativa y reglamentos internos del programa en base a los objetivos.")</f>
        <v>Cumplir con normativa y reglamentos internos del programa en base a los objetivos.</v>
      </c>
      <c r="K340" s="71">
        <f ca="1">IFERROR(__xludf.DUMMYFUNCTION("""COMPUTED_VALUE"""),102315299)</f>
        <v>102315299</v>
      </c>
      <c r="L340" s="72">
        <f ca="1">IFERROR(__xludf.DUMMYFUNCTION("""COMPUTED_VALUE"""),1)</f>
        <v>1</v>
      </c>
      <c r="M340" s="10">
        <f ca="1">IFERROR(__xludf.DUMMYFUNCTION("""COMPUTED_VALUE"""),3060)</f>
        <v>3060</v>
      </c>
      <c r="N340" s="10" t="str">
        <f ca="1">IFERROR(__xludf.DUMMYFUNCTION("""COMPUTED_VALUE"""),"PMU")</f>
        <v>PMU</v>
      </c>
      <c r="O340" s="1"/>
      <c r="P340" s="1"/>
      <c r="Q340" s="1"/>
      <c r="R340" s="1"/>
      <c r="S340" s="1"/>
      <c r="T340" s="1"/>
      <c r="U340" s="1"/>
      <c r="V340" s="1"/>
      <c r="W340" s="1"/>
      <c r="X340" s="1"/>
      <c r="Y340" s="1"/>
      <c r="Z340" s="1"/>
    </row>
    <row r="341" spans="1:26" ht="12.75" customHeight="1">
      <c r="A341" s="1"/>
      <c r="B341" s="10" t="str">
        <f ca="1">IFERROR(__xludf.DUMMYFUNCTION("""COMPUTED_VALUE"""),"MEJORAMIENTO DE ÁREA VERDE LAS PIRÁMIDES, U.V. N°15, COMUNA DE LA FLORIDA")</f>
        <v>MEJORAMIENTO DE ÁREA VERDE LAS PIRÁMIDES, U.V. N°15, COMUNA DE LA FLORIDA</v>
      </c>
      <c r="C341" s="10" t="str">
        <f ca="1">IFERROR(__xludf.DUMMYFUNCTION("""COMPUTED_VALUE"""),"1-C-2023-2464")</f>
        <v>1-C-2023-2464</v>
      </c>
      <c r="D341" s="26" t="str">
        <f t="shared" ca="1" si="0"/>
        <v xml:space="preserve"> LA FLORIDA</v>
      </c>
      <c r="E341" s="10" t="str">
        <f ca="1">IFERROR(__xludf.DUMMYFUNCTION("""COMPUTED_VALUE"""),"Guía Operativa")</f>
        <v>Guía Operativa</v>
      </c>
      <c r="F341" s="10" t="str">
        <f ca="1">IFERROR(__xludf.DUMMYFUNCTION("""COMPUTED_VALUE"""),"MUNICIPALIDAD DE LA FLORIDA")</f>
        <v>MUNICIPALIDAD DE LA FLORIDA</v>
      </c>
      <c r="G341" s="71">
        <f ca="1">IFERROR(__xludf.DUMMYFUNCTION("""COMPUTED_VALUE"""),119252594)</f>
        <v>119252594</v>
      </c>
      <c r="H341" s="10" t="str">
        <f ca="1">IFERROR(__xludf.DUMMYFUNCTION("""COMPUTED_VALUE"""),"Resolución")</f>
        <v>Resolución</v>
      </c>
      <c r="I341" s="10" t="str">
        <f ca="1">IFERROR(__xludf.DUMMYFUNCTION("""COMPUTED_VALUE"""),"OBRA")</f>
        <v>OBRA</v>
      </c>
      <c r="J341" s="10" t="str">
        <f ca="1">IFERROR(__xludf.DUMMYFUNCTION("""COMPUTED_VALUE"""),"Cumplir con normativa y reglamentos internos del programa en base a los objetivos.")</f>
        <v>Cumplir con normativa y reglamentos internos del programa en base a los objetivos.</v>
      </c>
      <c r="K341" s="71">
        <f ca="1">IFERROR(__xludf.DUMMYFUNCTION("""COMPUTED_VALUE"""),119252594)</f>
        <v>119252594</v>
      </c>
      <c r="L341" s="72">
        <f ca="1">IFERROR(__xludf.DUMMYFUNCTION("""COMPUTED_VALUE"""),1)</f>
        <v>1</v>
      </c>
      <c r="M341" s="10">
        <f ca="1">IFERROR(__xludf.DUMMYFUNCTION("""COMPUTED_VALUE"""),4334)</f>
        <v>4334</v>
      </c>
      <c r="N341" s="10" t="str">
        <f ca="1">IFERROR(__xludf.DUMMYFUNCTION("""COMPUTED_VALUE"""),"PMU")</f>
        <v>PMU</v>
      </c>
      <c r="O341" s="1"/>
      <c r="P341" s="1"/>
      <c r="Q341" s="1"/>
      <c r="R341" s="1"/>
      <c r="S341" s="1"/>
      <c r="T341" s="1"/>
      <c r="U341" s="1"/>
      <c r="V341" s="1"/>
      <c r="W341" s="1"/>
      <c r="X341" s="1"/>
      <c r="Y341" s="1"/>
      <c r="Z341" s="1"/>
    </row>
    <row r="342" spans="1:26" ht="12.75" customHeight="1">
      <c r="A342" s="1"/>
      <c r="B342" s="10" t="str">
        <f ca="1">IFERROR(__xludf.DUMMYFUNCTION("""COMPUTED_VALUE"""),"MEJORAMIENTO ÁREA VERDE VILLA AVANCE Y ESFUERZO U.V. N°32, COMUNA LA FLORIDA")</f>
        <v>MEJORAMIENTO ÁREA VERDE VILLA AVANCE Y ESFUERZO U.V. N°32, COMUNA LA FLORIDA</v>
      </c>
      <c r="C342" s="10" t="str">
        <f ca="1">IFERROR(__xludf.DUMMYFUNCTION("""COMPUTED_VALUE"""),"1-C-2023-2465")</f>
        <v>1-C-2023-2465</v>
      </c>
      <c r="D342" s="26" t="str">
        <f t="shared" ca="1" si="0"/>
        <v xml:space="preserve"> LA FLORIDA</v>
      </c>
      <c r="E342" s="10" t="str">
        <f ca="1">IFERROR(__xludf.DUMMYFUNCTION("""COMPUTED_VALUE"""),"Guía Operativa")</f>
        <v>Guía Operativa</v>
      </c>
      <c r="F342" s="10" t="str">
        <f ca="1">IFERROR(__xludf.DUMMYFUNCTION("""COMPUTED_VALUE"""),"MUNICIPALIDAD DE LA FLORIDA")</f>
        <v>MUNICIPALIDAD DE LA FLORIDA</v>
      </c>
      <c r="G342" s="71">
        <f ca="1">IFERROR(__xludf.DUMMYFUNCTION("""COMPUTED_VALUE"""),148437814)</f>
        <v>148437814</v>
      </c>
      <c r="H342" s="10" t="str">
        <f ca="1">IFERROR(__xludf.DUMMYFUNCTION("""COMPUTED_VALUE"""),"Resolución")</f>
        <v>Resolución</v>
      </c>
      <c r="I342" s="10" t="str">
        <f ca="1">IFERROR(__xludf.DUMMYFUNCTION("""COMPUTED_VALUE"""),"OBRA")</f>
        <v>OBRA</v>
      </c>
      <c r="J342" s="10" t="str">
        <f ca="1">IFERROR(__xludf.DUMMYFUNCTION("""COMPUTED_VALUE"""),"Cumplir con normativa y reglamentos internos del programa en base a los objetivos.")</f>
        <v>Cumplir con normativa y reglamentos internos del programa en base a los objetivos.</v>
      </c>
      <c r="K342" s="71">
        <f ca="1">IFERROR(__xludf.DUMMYFUNCTION("""COMPUTED_VALUE"""),148437814)</f>
        <v>148437814</v>
      </c>
      <c r="L342" s="72">
        <f ca="1">IFERROR(__xludf.DUMMYFUNCTION("""COMPUTED_VALUE"""),1)</f>
        <v>1</v>
      </c>
      <c r="M342" s="10">
        <f ca="1">IFERROR(__xludf.DUMMYFUNCTION("""COMPUTED_VALUE"""),4334)</f>
        <v>4334</v>
      </c>
      <c r="N342" s="10" t="str">
        <f ca="1">IFERROR(__xludf.DUMMYFUNCTION("""COMPUTED_VALUE"""),"PMU")</f>
        <v>PMU</v>
      </c>
      <c r="O342" s="1"/>
      <c r="P342" s="1"/>
      <c r="Q342" s="1"/>
      <c r="R342" s="1"/>
      <c r="S342" s="1"/>
      <c r="T342" s="1"/>
      <c r="U342" s="1"/>
      <c r="V342" s="1"/>
      <c r="W342" s="1"/>
      <c r="X342" s="1"/>
      <c r="Y342" s="1"/>
      <c r="Z342" s="1"/>
    </row>
    <row r="343" spans="1:26" ht="12.75" customHeight="1">
      <c r="A343" s="1"/>
      <c r="B343" s="10" t="str">
        <f ca="1">IFERROR(__xludf.DUMMYFUNCTION("""COMPUTED_VALUE"""),"MEJORAMIENTO DE AREA VERDE LOTEO SAN JOSE DE LA ESTRELLA, U.V N°32, COMUNA DE LA FLORIDA")</f>
        <v>MEJORAMIENTO DE AREA VERDE LOTEO SAN JOSE DE LA ESTRELLA, U.V N°32, COMUNA DE LA FLORIDA</v>
      </c>
      <c r="C343" s="10" t="str">
        <f ca="1">IFERROR(__xludf.DUMMYFUNCTION("""COMPUTED_VALUE"""),"1-C-2023-2502")</f>
        <v>1-C-2023-2502</v>
      </c>
      <c r="D343" s="26" t="str">
        <f t="shared" ca="1" si="0"/>
        <v xml:space="preserve"> LA FLORIDA</v>
      </c>
      <c r="E343" s="10" t="str">
        <f ca="1">IFERROR(__xludf.DUMMYFUNCTION("""COMPUTED_VALUE"""),"Guía Operativa")</f>
        <v>Guía Operativa</v>
      </c>
      <c r="F343" s="10" t="str">
        <f ca="1">IFERROR(__xludf.DUMMYFUNCTION("""COMPUTED_VALUE"""),"MUNICIPALIDAD DE LA FLORIDA")</f>
        <v>MUNICIPALIDAD DE LA FLORIDA</v>
      </c>
      <c r="G343" s="71">
        <f ca="1">IFERROR(__xludf.DUMMYFUNCTION("""COMPUTED_VALUE"""),76889583)</f>
        <v>76889583</v>
      </c>
      <c r="H343" s="10" t="str">
        <f ca="1">IFERROR(__xludf.DUMMYFUNCTION("""COMPUTED_VALUE"""),"Resolución")</f>
        <v>Resolución</v>
      </c>
      <c r="I343" s="10" t="str">
        <f ca="1">IFERROR(__xludf.DUMMYFUNCTION("""COMPUTED_VALUE"""),"OBRA")</f>
        <v>OBRA</v>
      </c>
      <c r="J343" s="10" t="str">
        <f ca="1">IFERROR(__xludf.DUMMYFUNCTION("""COMPUTED_VALUE"""),"Cumplir con normativa y reglamentos internos del programa en base a los objetivos.")</f>
        <v>Cumplir con normativa y reglamentos internos del programa en base a los objetivos.</v>
      </c>
      <c r="K343" s="71">
        <f ca="1">IFERROR(__xludf.DUMMYFUNCTION("""COMPUTED_VALUE"""),76889583)</f>
        <v>76889583</v>
      </c>
      <c r="L343" s="72">
        <f ca="1">IFERROR(__xludf.DUMMYFUNCTION("""COMPUTED_VALUE"""),1)</f>
        <v>1</v>
      </c>
      <c r="M343" s="10">
        <f ca="1">IFERROR(__xludf.DUMMYFUNCTION("""COMPUTED_VALUE"""),4334)</f>
        <v>4334</v>
      </c>
      <c r="N343" s="10" t="str">
        <f ca="1">IFERROR(__xludf.DUMMYFUNCTION("""COMPUTED_VALUE"""),"PMU")</f>
        <v>PMU</v>
      </c>
      <c r="O343" s="1"/>
      <c r="P343" s="1"/>
      <c r="Q343" s="1"/>
      <c r="R343" s="1"/>
      <c r="S343" s="1"/>
      <c r="T343" s="1"/>
      <c r="U343" s="1"/>
      <c r="V343" s="1"/>
      <c r="W343" s="1"/>
      <c r="X343" s="1"/>
      <c r="Y343" s="1"/>
      <c r="Z343" s="1"/>
    </row>
    <row r="344" spans="1:26" ht="12.75" customHeight="1">
      <c r="A344" s="1"/>
      <c r="B344" s="10" t="str">
        <f ca="1">IFERROR(__xludf.DUMMYFUNCTION("""COMPUTED_VALUE"""),"MEJORAMIENTO PLAZA SOLA SIERRA SECTOR NORTE, UNIDAD VECINAL 2, SAN RAMON")</f>
        <v>MEJORAMIENTO PLAZA SOLA SIERRA SECTOR NORTE, UNIDAD VECINAL 2, SAN RAMON</v>
      </c>
      <c r="C344" s="10" t="str">
        <f ca="1">IFERROR(__xludf.DUMMYFUNCTION("""COMPUTED_VALUE"""),"1-C-2023-2503")</f>
        <v>1-C-2023-2503</v>
      </c>
      <c r="D344" s="26" t="str">
        <f t="shared" ca="1" si="0"/>
        <v xml:space="preserve"> SAN RAMÓN</v>
      </c>
      <c r="E344" s="10" t="str">
        <f ca="1">IFERROR(__xludf.DUMMYFUNCTION("""COMPUTED_VALUE"""),"Guía Operativa")</f>
        <v>Guía Operativa</v>
      </c>
      <c r="F344" s="10" t="str">
        <f ca="1">IFERROR(__xludf.DUMMYFUNCTION("""COMPUTED_VALUE"""),"MUNICIPALIDAD DE SAN RAMÓN")</f>
        <v>MUNICIPALIDAD DE SAN RAMÓN</v>
      </c>
      <c r="G344" s="71">
        <f ca="1">IFERROR(__xludf.DUMMYFUNCTION("""COMPUTED_VALUE"""),94480970)</f>
        <v>94480970</v>
      </c>
      <c r="H344" s="10" t="str">
        <f ca="1">IFERROR(__xludf.DUMMYFUNCTION("""COMPUTED_VALUE"""),"Resolución")</f>
        <v>Resolución</v>
      </c>
      <c r="I344" s="10" t="str">
        <f ca="1">IFERROR(__xludf.DUMMYFUNCTION("""COMPUTED_VALUE"""),"OBRA")</f>
        <v>OBRA</v>
      </c>
      <c r="J344" s="10" t="str">
        <f ca="1">IFERROR(__xludf.DUMMYFUNCTION("""COMPUTED_VALUE"""),"Cumplir con normativa y reglamentos internos del programa en base a los objetivos.")</f>
        <v>Cumplir con normativa y reglamentos internos del programa en base a los objetivos.</v>
      </c>
      <c r="K344" s="71">
        <f ca="1">IFERROR(__xludf.DUMMYFUNCTION("""COMPUTED_VALUE"""),94480970)</f>
        <v>94480970</v>
      </c>
      <c r="L344" s="72">
        <f ca="1">IFERROR(__xludf.DUMMYFUNCTION("""COMPUTED_VALUE"""),1)</f>
        <v>1</v>
      </c>
      <c r="M344" s="10">
        <f ca="1">IFERROR(__xludf.DUMMYFUNCTION("""COMPUTED_VALUE"""),3218)</f>
        <v>3218</v>
      </c>
      <c r="N344" s="10" t="str">
        <f ca="1">IFERROR(__xludf.DUMMYFUNCTION("""COMPUTED_VALUE"""),"PMU")</f>
        <v>PMU</v>
      </c>
      <c r="O344" s="1"/>
      <c r="P344" s="1"/>
      <c r="Q344" s="1"/>
      <c r="R344" s="1"/>
      <c r="S344" s="1"/>
      <c r="T344" s="1"/>
      <c r="U344" s="1"/>
      <c r="V344" s="1"/>
      <c r="W344" s="1"/>
      <c r="X344" s="1"/>
      <c r="Y344" s="1"/>
      <c r="Z344" s="1"/>
    </row>
    <row r="345" spans="1:26" ht="12.75" customHeight="1">
      <c r="A345" s="1"/>
      <c r="B345" s="10" t="str">
        <f ca="1">IFERROR(__xludf.DUMMYFUNCTION("""COMPUTED_VALUE"""),"MEJORAMIENTO ZONA DE JUEGOS INFANTILES, PLAZA 12 DE OCTUBRE, COMUNA DE SAN MIGUEL")</f>
        <v>MEJORAMIENTO ZONA DE JUEGOS INFANTILES, PLAZA 12 DE OCTUBRE, COMUNA DE SAN MIGUEL</v>
      </c>
      <c r="C345" s="10" t="str">
        <f ca="1">IFERROR(__xludf.DUMMYFUNCTION("""COMPUTED_VALUE"""),"1-C-2023-2766")</f>
        <v>1-C-2023-2766</v>
      </c>
      <c r="D345" s="26" t="str">
        <f t="shared" ca="1" si="0"/>
        <v xml:space="preserve"> SAN MIGUEL</v>
      </c>
      <c r="E345" s="10" t="str">
        <f ca="1">IFERROR(__xludf.DUMMYFUNCTION("""COMPUTED_VALUE"""),"Guía Operativa")</f>
        <v>Guía Operativa</v>
      </c>
      <c r="F345" s="10" t="str">
        <f ca="1">IFERROR(__xludf.DUMMYFUNCTION("""COMPUTED_VALUE"""),"MUNICIPALIDAD DE SAN MIGUEL")</f>
        <v>MUNICIPALIDAD DE SAN MIGUEL</v>
      </c>
      <c r="G345" s="71">
        <f ca="1">IFERROR(__xludf.DUMMYFUNCTION("""COMPUTED_VALUE"""),148513980)</f>
        <v>148513980</v>
      </c>
      <c r="H345" s="10" t="str">
        <f ca="1">IFERROR(__xludf.DUMMYFUNCTION("""COMPUTED_VALUE"""),"Resolución")</f>
        <v>Resolución</v>
      </c>
      <c r="I345" s="10" t="str">
        <f ca="1">IFERROR(__xludf.DUMMYFUNCTION("""COMPUTED_VALUE"""),"OBRA")</f>
        <v>OBRA</v>
      </c>
      <c r="J345" s="10" t="str">
        <f ca="1">IFERROR(__xludf.DUMMYFUNCTION("""COMPUTED_VALUE"""),"Cumplir con normativa y reglamentos internos del programa en base a los objetivos.")</f>
        <v>Cumplir con normativa y reglamentos internos del programa en base a los objetivos.</v>
      </c>
      <c r="K345" s="71">
        <f ca="1">IFERROR(__xludf.DUMMYFUNCTION("""COMPUTED_VALUE"""),148513980)</f>
        <v>148513980</v>
      </c>
      <c r="L345" s="72">
        <f ca="1">IFERROR(__xludf.DUMMYFUNCTION("""COMPUTED_VALUE"""),1)</f>
        <v>1</v>
      </c>
      <c r="M345" s="10">
        <f ca="1">IFERROR(__xludf.DUMMYFUNCTION("""COMPUTED_VALUE"""),3457)</f>
        <v>3457</v>
      </c>
      <c r="N345" s="10" t="str">
        <f ca="1">IFERROR(__xludf.DUMMYFUNCTION("""COMPUTED_VALUE"""),"PMU")</f>
        <v>PMU</v>
      </c>
      <c r="O345" s="1"/>
      <c r="P345" s="1"/>
      <c r="Q345" s="1"/>
      <c r="R345" s="1"/>
      <c r="S345" s="1"/>
      <c r="T345" s="1"/>
      <c r="U345" s="1"/>
      <c r="V345" s="1"/>
      <c r="W345" s="1"/>
      <c r="X345" s="1"/>
      <c r="Y345" s="1"/>
      <c r="Z345" s="1"/>
    </row>
    <row r="346" spans="1:26" ht="12.75" customHeight="1">
      <c r="A346" s="1"/>
      <c r="B346" s="10" t="str">
        <f ca="1">IFERROR(__xludf.DUMMYFUNCTION("""COMPUTED_VALUE"""),"PLAN CSV - MEJORAMIENTO DE ESPACIO PÚBLICO PLAZA POBLACIÓN RIVERA COMAICO, COMUNA DE COLINA")</f>
        <v>PLAN CSV - MEJORAMIENTO DE ESPACIO PÚBLICO PLAZA POBLACIÓN RIVERA COMAICO, COMUNA DE COLINA</v>
      </c>
      <c r="C346" s="10" t="str">
        <f ca="1">IFERROR(__xludf.DUMMYFUNCTION("""COMPUTED_VALUE"""),"1-C-2023-3024")</f>
        <v>1-C-2023-3024</v>
      </c>
      <c r="D346" s="26" t="str">
        <f t="shared" ca="1" si="0"/>
        <v xml:space="preserve"> COLINA</v>
      </c>
      <c r="E346" s="10" t="str">
        <f ca="1">IFERROR(__xludf.DUMMYFUNCTION("""COMPUTED_VALUE"""),"Guía Operativa")</f>
        <v>Guía Operativa</v>
      </c>
      <c r="F346" s="10" t="str">
        <f ca="1">IFERROR(__xludf.DUMMYFUNCTION("""COMPUTED_VALUE"""),"MUNICIPALIDAD DE COLINA")</f>
        <v>MUNICIPALIDAD DE COLINA</v>
      </c>
      <c r="G346" s="71">
        <f ca="1">IFERROR(__xludf.DUMMYFUNCTION("""COMPUTED_VALUE"""),150000000)</f>
        <v>150000000</v>
      </c>
      <c r="H346" s="10" t="str">
        <f ca="1">IFERROR(__xludf.DUMMYFUNCTION("""COMPUTED_VALUE"""),"Resolución")</f>
        <v>Resolución</v>
      </c>
      <c r="I346" s="10" t="str">
        <f ca="1">IFERROR(__xludf.DUMMYFUNCTION("""COMPUTED_VALUE"""),"OBRA")</f>
        <v>OBRA</v>
      </c>
      <c r="J346" s="10" t="str">
        <f ca="1">IFERROR(__xludf.DUMMYFUNCTION("""COMPUTED_VALUE"""),"Cumplir con normativa y reglamentos internos del programa en base a los objetivos.")</f>
        <v>Cumplir con normativa y reglamentos internos del programa en base a los objetivos.</v>
      </c>
      <c r="K346" s="71">
        <f ca="1">IFERROR(__xludf.DUMMYFUNCTION("""COMPUTED_VALUE"""),150000000)</f>
        <v>150000000</v>
      </c>
      <c r="L346" s="72">
        <f ca="1">IFERROR(__xludf.DUMMYFUNCTION("""COMPUTED_VALUE"""),1)</f>
        <v>1</v>
      </c>
      <c r="M346" s="10">
        <f ca="1">IFERROR(__xludf.DUMMYFUNCTION("""COMPUTED_VALUE"""),3062)</f>
        <v>3062</v>
      </c>
      <c r="N346" s="10" t="str">
        <f ca="1">IFERROR(__xludf.DUMMYFUNCTION("""COMPUTED_VALUE"""),"PMU")</f>
        <v>PMU</v>
      </c>
      <c r="O346" s="1"/>
      <c r="P346" s="1"/>
      <c r="Q346" s="1"/>
      <c r="R346" s="1"/>
      <c r="S346" s="1"/>
      <c r="T346" s="1"/>
      <c r="U346" s="1"/>
      <c r="V346" s="1"/>
      <c r="W346" s="1"/>
      <c r="X346" s="1"/>
      <c r="Y346" s="1"/>
      <c r="Z346" s="1"/>
    </row>
    <row r="347" spans="1:26" ht="12.75" customHeight="1">
      <c r="A347" s="1"/>
      <c r="B347" s="10" t="str">
        <f ca="1">IFERROR(__xludf.DUMMYFUNCTION("""COMPUTED_VALUE"""),"PLAN CSV - MEJORAMIENTO DE ESPACIO PÚBLICO PLAZA POBLACIÓN LUIS CRUZ MARTÍNEZ, COMUNA DE COLINA")</f>
        <v>PLAN CSV - MEJORAMIENTO DE ESPACIO PÚBLICO PLAZA POBLACIÓN LUIS CRUZ MARTÍNEZ, COMUNA DE COLINA</v>
      </c>
      <c r="C347" s="10" t="str">
        <f ca="1">IFERROR(__xludf.DUMMYFUNCTION("""COMPUTED_VALUE"""),"1-C-2023-3025")</f>
        <v>1-C-2023-3025</v>
      </c>
      <c r="D347" s="26" t="str">
        <f t="shared" ca="1" si="0"/>
        <v xml:space="preserve"> COLINA</v>
      </c>
      <c r="E347" s="10" t="str">
        <f ca="1">IFERROR(__xludf.DUMMYFUNCTION("""COMPUTED_VALUE"""),"Guía Operativa")</f>
        <v>Guía Operativa</v>
      </c>
      <c r="F347" s="10" t="str">
        <f ca="1">IFERROR(__xludf.DUMMYFUNCTION("""COMPUTED_VALUE"""),"MUNICIPALIDAD DE COLINA")</f>
        <v>MUNICIPALIDAD DE COLINA</v>
      </c>
      <c r="G347" s="71">
        <f ca="1">IFERROR(__xludf.DUMMYFUNCTION("""COMPUTED_VALUE"""),150000000)</f>
        <v>150000000</v>
      </c>
      <c r="H347" s="10" t="str">
        <f ca="1">IFERROR(__xludf.DUMMYFUNCTION("""COMPUTED_VALUE"""),"Resolución")</f>
        <v>Resolución</v>
      </c>
      <c r="I347" s="10" t="str">
        <f ca="1">IFERROR(__xludf.DUMMYFUNCTION("""COMPUTED_VALUE"""),"OBRA")</f>
        <v>OBRA</v>
      </c>
      <c r="J347" s="10" t="str">
        <f ca="1">IFERROR(__xludf.DUMMYFUNCTION("""COMPUTED_VALUE"""),"Cumplir con normativa y reglamentos internos del programa en base a los objetivos.")</f>
        <v>Cumplir con normativa y reglamentos internos del programa en base a los objetivos.</v>
      </c>
      <c r="K347" s="71">
        <f ca="1">IFERROR(__xludf.DUMMYFUNCTION("""COMPUTED_VALUE"""),150000000)</f>
        <v>150000000</v>
      </c>
      <c r="L347" s="72">
        <f ca="1">IFERROR(__xludf.DUMMYFUNCTION("""COMPUTED_VALUE"""),1)</f>
        <v>1</v>
      </c>
      <c r="M347" s="10">
        <f ca="1">IFERROR(__xludf.DUMMYFUNCTION("""COMPUTED_VALUE"""),3062)</f>
        <v>3062</v>
      </c>
      <c r="N347" s="10" t="str">
        <f ca="1">IFERROR(__xludf.DUMMYFUNCTION("""COMPUTED_VALUE"""),"PMU")</f>
        <v>PMU</v>
      </c>
      <c r="O347" s="1"/>
      <c r="P347" s="1"/>
      <c r="Q347" s="1"/>
      <c r="R347" s="1"/>
      <c r="S347" s="1"/>
      <c r="T347" s="1"/>
      <c r="U347" s="1"/>
      <c r="V347" s="1"/>
      <c r="W347" s="1"/>
      <c r="X347" s="1"/>
      <c r="Y347" s="1"/>
      <c r="Z347" s="1"/>
    </row>
    <row r="348" spans="1:26" ht="12.75" customHeight="1">
      <c r="A348" s="1"/>
      <c r="B348" s="10" t="str">
        <f ca="1">IFERROR(__xludf.DUMMYFUNCTION("""COMPUTED_VALUE"""),"CONSTRUCCIÓN PUNTO DE INFORMACIÓN TURÍSTICA EN POMAIRE")</f>
        <v>CONSTRUCCIÓN PUNTO DE INFORMACIÓN TURÍSTICA EN POMAIRE</v>
      </c>
      <c r="C348" s="10" t="str">
        <f ca="1">IFERROR(__xludf.DUMMYFUNCTION("""COMPUTED_VALUE"""),"1-C-2023-3173")</f>
        <v>1-C-2023-3173</v>
      </c>
      <c r="D348" s="26" t="str">
        <f t="shared" ca="1" si="0"/>
        <v xml:space="preserve"> MELIPILLA</v>
      </c>
      <c r="E348" s="10" t="str">
        <f ca="1">IFERROR(__xludf.DUMMYFUNCTION("""COMPUTED_VALUE"""),"Guía Operativa")</f>
        <v>Guía Operativa</v>
      </c>
      <c r="F348" s="10" t="str">
        <f ca="1">IFERROR(__xludf.DUMMYFUNCTION("""COMPUTED_VALUE"""),"MUNICIPALIDAD DE MELIPILLA")</f>
        <v>MUNICIPALIDAD DE MELIPILLA</v>
      </c>
      <c r="G348" s="71">
        <f ca="1">IFERROR(__xludf.DUMMYFUNCTION("""COMPUTED_VALUE"""),138437781)</f>
        <v>138437781</v>
      </c>
      <c r="H348" s="10" t="str">
        <f ca="1">IFERROR(__xludf.DUMMYFUNCTION("""COMPUTED_VALUE"""),"Resolución")</f>
        <v>Resolución</v>
      </c>
      <c r="I348" s="10" t="str">
        <f ca="1">IFERROR(__xludf.DUMMYFUNCTION("""COMPUTED_VALUE"""),"OBRA")</f>
        <v>OBRA</v>
      </c>
      <c r="J348" s="10" t="str">
        <f ca="1">IFERROR(__xludf.DUMMYFUNCTION("""COMPUTED_VALUE"""),"Cumplir con normativa y reglamentos internos del programa en base a los objetivos.")</f>
        <v>Cumplir con normativa y reglamentos internos del programa en base a los objetivos.</v>
      </c>
      <c r="K348" s="71">
        <f ca="1">IFERROR(__xludf.DUMMYFUNCTION("""COMPUTED_VALUE"""),138437781)</f>
        <v>138437781</v>
      </c>
      <c r="L348" s="72">
        <f ca="1">IFERROR(__xludf.DUMMYFUNCTION("""COMPUTED_VALUE"""),1)</f>
        <v>1</v>
      </c>
      <c r="M348" s="10">
        <f ca="1">IFERROR(__xludf.DUMMYFUNCTION("""COMPUTED_VALUE"""),3112)</f>
        <v>3112</v>
      </c>
      <c r="N348" s="10" t="str">
        <f ca="1">IFERROR(__xludf.DUMMYFUNCTION("""COMPUTED_VALUE"""),"PMU")</f>
        <v>PMU</v>
      </c>
      <c r="O348" s="1"/>
      <c r="P348" s="1"/>
      <c r="Q348" s="1"/>
      <c r="R348" s="1"/>
      <c r="S348" s="1"/>
      <c r="T348" s="1"/>
      <c r="U348" s="1"/>
      <c r="V348" s="1"/>
      <c r="W348" s="1"/>
      <c r="X348" s="1"/>
      <c r="Y348" s="1"/>
      <c r="Z348" s="1"/>
    </row>
    <row r="349" spans="1:26" ht="12.75" customHeight="1">
      <c r="A349" s="1"/>
      <c r="B349" s="10" t="str">
        <f ca="1">IFERROR(__xludf.DUMMYFUNCTION("""COMPUTED_VALUE"""),"MEJORAMIENTO ESPECIO PUBLICO, SECTOR PASARELA ERNESTO RIED, UV N°29, COMUNA DE CONCHALÍ")</f>
        <v>MEJORAMIENTO ESPECIO PUBLICO, SECTOR PASARELA ERNESTO RIED, UV N°29, COMUNA DE CONCHALÍ</v>
      </c>
      <c r="C349" s="10" t="str">
        <f ca="1">IFERROR(__xludf.DUMMYFUNCTION("""COMPUTED_VALUE"""),"1-C-2023-3441")</f>
        <v>1-C-2023-3441</v>
      </c>
      <c r="D349" s="26" t="str">
        <f t="shared" ca="1" si="0"/>
        <v xml:space="preserve"> CONCHALÍ</v>
      </c>
      <c r="E349" s="10" t="str">
        <f ca="1">IFERROR(__xludf.DUMMYFUNCTION("""COMPUTED_VALUE"""),"Guía Operativa")</f>
        <v>Guía Operativa</v>
      </c>
      <c r="F349" s="10" t="str">
        <f ca="1">IFERROR(__xludf.DUMMYFUNCTION("""COMPUTED_VALUE"""),"MUNICIPALIDAD DE CONCHALÍ")</f>
        <v>MUNICIPALIDAD DE CONCHALÍ</v>
      </c>
      <c r="G349" s="71">
        <f ca="1">IFERROR(__xludf.DUMMYFUNCTION("""COMPUTED_VALUE"""),133981605)</f>
        <v>133981605</v>
      </c>
      <c r="H349" s="10" t="str">
        <f ca="1">IFERROR(__xludf.DUMMYFUNCTION("""COMPUTED_VALUE"""),"Resolución")</f>
        <v>Resolución</v>
      </c>
      <c r="I349" s="10" t="str">
        <f ca="1">IFERROR(__xludf.DUMMYFUNCTION("""COMPUTED_VALUE"""),"OBRA")</f>
        <v>OBRA</v>
      </c>
      <c r="J349" s="10" t="str">
        <f ca="1">IFERROR(__xludf.DUMMYFUNCTION("""COMPUTED_VALUE"""),"Cumplir con normativa y reglamentos internos del programa en base a los objetivos.")</f>
        <v>Cumplir con normativa y reglamentos internos del programa en base a los objetivos.</v>
      </c>
      <c r="K349" s="71">
        <f ca="1">IFERROR(__xludf.DUMMYFUNCTION("""COMPUTED_VALUE"""),133981605)</f>
        <v>133981605</v>
      </c>
      <c r="L349" s="72">
        <f ca="1">IFERROR(__xludf.DUMMYFUNCTION("""COMPUTED_VALUE"""),1)</f>
        <v>1</v>
      </c>
      <c r="M349" s="10">
        <f ca="1">IFERROR(__xludf.DUMMYFUNCTION("""COMPUTED_VALUE"""),3700)</f>
        <v>3700</v>
      </c>
      <c r="N349" s="10" t="str">
        <f ca="1">IFERROR(__xludf.DUMMYFUNCTION("""COMPUTED_VALUE"""),"PMU")</f>
        <v>PMU</v>
      </c>
      <c r="O349" s="1"/>
      <c r="P349" s="1"/>
      <c r="Q349" s="1"/>
      <c r="R349" s="1"/>
      <c r="S349" s="1"/>
      <c r="T349" s="1"/>
      <c r="U349" s="1"/>
      <c r="V349" s="1"/>
      <c r="W349" s="1"/>
      <c r="X349" s="1"/>
      <c r="Y349" s="1"/>
      <c r="Z349" s="1"/>
    </row>
    <row r="350" spans="1:26" ht="12.75" customHeight="1">
      <c r="A350" s="1"/>
      <c r="B350" s="10" t="str">
        <f ca="1">IFERROR(__xludf.DUMMYFUNCTION("""COMPUTED_VALUE"""),"CSV ""MEJORAMIENTO PLAZA ABRAHAM LINCOLN - EL PINO, UV N°34, 35, COMUNA DE CONCHALÍ""")</f>
        <v>CSV "MEJORAMIENTO PLAZA ABRAHAM LINCOLN - EL PINO, UV N°34, 35, COMUNA DE CONCHALÍ"</v>
      </c>
      <c r="C350" s="10" t="str">
        <f ca="1">IFERROR(__xludf.DUMMYFUNCTION("""COMPUTED_VALUE"""),"1-C-2024-53")</f>
        <v>1-C-2024-53</v>
      </c>
      <c r="D350" s="26" t="str">
        <f t="shared" ca="1" si="0"/>
        <v xml:space="preserve"> CONCHALÍ</v>
      </c>
      <c r="E350" s="10" t="str">
        <f ca="1">IFERROR(__xludf.DUMMYFUNCTION("""COMPUTED_VALUE"""),"Guía Operativa")</f>
        <v>Guía Operativa</v>
      </c>
      <c r="F350" s="10" t="str">
        <f ca="1">IFERROR(__xludf.DUMMYFUNCTION("""COMPUTED_VALUE"""),"MUNICIPALIDAD DE CONCHALÍ")</f>
        <v>MUNICIPALIDAD DE CONCHALÍ</v>
      </c>
      <c r="G350" s="71">
        <f ca="1">IFERROR(__xludf.DUMMYFUNCTION("""COMPUTED_VALUE"""),122936913)</f>
        <v>122936913</v>
      </c>
      <c r="H350" s="10" t="str">
        <f ca="1">IFERROR(__xludf.DUMMYFUNCTION("""COMPUTED_VALUE"""),"Resolución")</f>
        <v>Resolución</v>
      </c>
      <c r="I350" s="10" t="str">
        <f ca="1">IFERROR(__xludf.DUMMYFUNCTION("""COMPUTED_VALUE"""),"OBRA")</f>
        <v>OBRA</v>
      </c>
      <c r="J350" s="10" t="str">
        <f ca="1">IFERROR(__xludf.DUMMYFUNCTION("""COMPUTED_VALUE"""),"Cumplir con normativa y reglamentos internos del programa en base a los objetivos.")</f>
        <v>Cumplir con normativa y reglamentos internos del programa en base a los objetivos.</v>
      </c>
      <c r="K350" s="71">
        <f ca="1">IFERROR(__xludf.DUMMYFUNCTION("""COMPUTED_VALUE"""),122936913)</f>
        <v>122936913</v>
      </c>
      <c r="L350" s="72">
        <f ca="1">IFERROR(__xludf.DUMMYFUNCTION("""COMPUTED_VALUE"""),1)</f>
        <v>1</v>
      </c>
      <c r="M350" s="10">
        <f ca="1">IFERROR(__xludf.DUMMYFUNCTION("""COMPUTED_VALUE"""),3061)</f>
        <v>3061</v>
      </c>
      <c r="N350" s="10" t="str">
        <f ca="1">IFERROR(__xludf.DUMMYFUNCTION("""COMPUTED_VALUE"""),"PMU")</f>
        <v>PMU</v>
      </c>
      <c r="O350" s="1"/>
      <c r="P350" s="1"/>
      <c r="Q350" s="1"/>
      <c r="R350" s="1"/>
      <c r="S350" s="1"/>
      <c r="T350" s="1"/>
      <c r="U350" s="1"/>
      <c r="V350" s="1"/>
      <c r="W350" s="1"/>
      <c r="X350" s="1"/>
      <c r="Y350" s="1"/>
      <c r="Z350" s="1"/>
    </row>
    <row r="351" spans="1:26" ht="12.75" customHeight="1">
      <c r="A351" s="1"/>
      <c r="B351" s="10" t="str">
        <f ca="1">IFERROR(__xludf.DUMMYFUNCTION("""COMPUTED_VALUE"""),"CSV ""MEJORAMIENTO DE LUMINARIAS PEATONALES, BANDEJON JULIO MONTT SALAMANCA U.V.N°30, CONCHALI.”")</f>
        <v>CSV "MEJORAMIENTO DE LUMINARIAS PEATONALES, BANDEJON JULIO MONTT SALAMANCA U.V.N°30, CONCHALI.”</v>
      </c>
      <c r="C351" s="10" t="str">
        <f ca="1">IFERROR(__xludf.DUMMYFUNCTION("""COMPUTED_VALUE"""),"1-C-2024-54")</f>
        <v>1-C-2024-54</v>
      </c>
      <c r="D351" s="26" t="str">
        <f t="shared" ca="1" si="0"/>
        <v xml:space="preserve"> CONCHALÍ</v>
      </c>
      <c r="E351" s="10" t="str">
        <f ca="1">IFERROR(__xludf.DUMMYFUNCTION("""COMPUTED_VALUE"""),"Guía Operativa")</f>
        <v>Guía Operativa</v>
      </c>
      <c r="F351" s="10" t="str">
        <f ca="1">IFERROR(__xludf.DUMMYFUNCTION("""COMPUTED_VALUE"""),"MUNICIPALIDAD DE CONCHALÍ")</f>
        <v>MUNICIPALIDAD DE CONCHALÍ</v>
      </c>
      <c r="G351" s="71">
        <f ca="1">IFERROR(__xludf.DUMMYFUNCTION("""COMPUTED_VALUE"""),88714032)</f>
        <v>88714032</v>
      </c>
      <c r="H351" s="10" t="str">
        <f ca="1">IFERROR(__xludf.DUMMYFUNCTION("""COMPUTED_VALUE"""),"Resolución")</f>
        <v>Resolución</v>
      </c>
      <c r="I351" s="10" t="str">
        <f ca="1">IFERROR(__xludf.DUMMYFUNCTION("""COMPUTED_VALUE"""),"OBRA")</f>
        <v>OBRA</v>
      </c>
      <c r="J351" s="10" t="str">
        <f ca="1">IFERROR(__xludf.DUMMYFUNCTION("""COMPUTED_VALUE"""),"Cumplir con normativa y reglamentos internos del programa en base a los objetivos.")</f>
        <v>Cumplir con normativa y reglamentos internos del programa en base a los objetivos.</v>
      </c>
      <c r="K351" s="71">
        <f ca="1">IFERROR(__xludf.DUMMYFUNCTION("""COMPUTED_VALUE"""),88714032)</f>
        <v>88714032</v>
      </c>
      <c r="L351" s="72">
        <f ca="1">IFERROR(__xludf.DUMMYFUNCTION("""COMPUTED_VALUE"""),1)</f>
        <v>1</v>
      </c>
      <c r="M351" s="10">
        <f ca="1">IFERROR(__xludf.DUMMYFUNCTION("""COMPUTED_VALUE"""),3701)</f>
        <v>3701</v>
      </c>
      <c r="N351" s="10" t="str">
        <f ca="1">IFERROR(__xludf.DUMMYFUNCTION("""COMPUTED_VALUE"""),"PMU")</f>
        <v>PMU</v>
      </c>
      <c r="O351" s="1"/>
      <c r="P351" s="1"/>
      <c r="Q351" s="1"/>
      <c r="R351" s="1"/>
      <c r="S351" s="1"/>
      <c r="T351" s="1"/>
      <c r="U351" s="1"/>
      <c r="V351" s="1"/>
      <c r="W351" s="1"/>
      <c r="X351" s="1"/>
      <c r="Y351" s="1"/>
      <c r="Z351" s="1"/>
    </row>
    <row r="352" spans="1:26" ht="12.75" customHeight="1">
      <c r="A352" s="1"/>
      <c r="B352" s="10" t="str">
        <f ca="1">IFERROR(__xludf.DUMMYFUNCTION("""COMPUTED_VALUE"""),"CSV MEJORAMIENTO PLAZA SAGITARIO UV 10, COMUNA DE CONCHALÍ")</f>
        <v>CSV MEJORAMIENTO PLAZA SAGITARIO UV 10, COMUNA DE CONCHALÍ</v>
      </c>
      <c r="C352" s="10" t="str">
        <f ca="1">IFERROR(__xludf.DUMMYFUNCTION("""COMPUTED_VALUE"""),"1-C-2024-57")</f>
        <v>1-C-2024-57</v>
      </c>
      <c r="D352" s="26" t="str">
        <f t="shared" ca="1" si="0"/>
        <v xml:space="preserve"> CONCHALÍ</v>
      </c>
      <c r="E352" s="10" t="str">
        <f ca="1">IFERROR(__xludf.DUMMYFUNCTION("""COMPUTED_VALUE"""),"Guía Operativa")</f>
        <v>Guía Operativa</v>
      </c>
      <c r="F352" s="10" t="str">
        <f ca="1">IFERROR(__xludf.DUMMYFUNCTION("""COMPUTED_VALUE"""),"MUNICIPALIDAD DE CONCHALÍ")</f>
        <v>MUNICIPALIDAD DE CONCHALÍ</v>
      </c>
      <c r="G352" s="71">
        <f ca="1">IFERROR(__xludf.DUMMYFUNCTION("""COMPUTED_VALUE"""),154367510)</f>
        <v>154367510</v>
      </c>
      <c r="H352" s="10" t="str">
        <f ca="1">IFERROR(__xludf.DUMMYFUNCTION("""COMPUTED_VALUE"""),"Resolución")</f>
        <v>Resolución</v>
      </c>
      <c r="I352" s="10" t="str">
        <f ca="1">IFERROR(__xludf.DUMMYFUNCTION("""COMPUTED_VALUE"""),"OBRA")</f>
        <v>OBRA</v>
      </c>
      <c r="J352" s="10" t="str">
        <f ca="1">IFERROR(__xludf.DUMMYFUNCTION("""COMPUTED_VALUE"""),"Cumplir con normativa y reglamentos internos del programa en base a los objetivos.")</f>
        <v>Cumplir con normativa y reglamentos internos del programa en base a los objetivos.</v>
      </c>
      <c r="K352" s="71">
        <f ca="1">IFERROR(__xludf.DUMMYFUNCTION("""COMPUTED_VALUE"""),154367510)</f>
        <v>154367510</v>
      </c>
      <c r="L352" s="72">
        <f ca="1">IFERROR(__xludf.DUMMYFUNCTION("""COMPUTED_VALUE"""),1)</f>
        <v>1</v>
      </c>
      <c r="M352" s="10">
        <f ca="1">IFERROR(__xludf.DUMMYFUNCTION("""COMPUTED_VALUE"""),3460)</f>
        <v>3460</v>
      </c>
      <c r="N352" s="10" t="str">
        <f ca="1">IFERROR(__xludf.DUMMYFUNCTION("""COMPUTED_VALUE"""),"PMU")</f>
        <v>PMU</v>
      </c>
      <c r="O352" s="1"/>
      <c r="P352" s="1"/>
      <c r="Q352" s="1"/>
      <c r="R352" s="1"/>
      <c r="S352" s="1"/>
      <c r="T352" s="1"/>
      <c r="U352" s="1"/>
      <c r="V352" s="1"/>
      <c r="W352" s="1"/>
      <c r="X352" s="1"/>
      <c r="Y352" s="1"/>
      <c r="Z352" s="1"/>
    </row>
    <row r="353" spans="1:26" ht="12.75" customHeight="1">
      <c r="A353" s="1"/>
      <c r="B353" s="10" t="str">
        <f ca="1">IFERROR(__xludf.DUMMYFUNCTION("""COMPUTED_VALUE"""),"MEJORAMIENTO MULTICANCHA LOTEROS 99 POBLACION LO VALLEDOR NORTE, COMUNA DE PEDRO AGUIRRE CERDA")</f>
        <v>MEJORAMIENTO MULTICANCHA LOTEROS 99 POBLACION LO VALLEDOR NORTE, COMUNA DE PEDRO AGUIRRE CERDA</v>
      </c>
      <c r="C353" s="10" t="str">
        <f ca="1">IFERROR(__xludf.DUMMYFUNCTION("""COMPUTED_VALUE"""),"1-C-2024-207")</f>
        <v>1-C-2024-207</v>
      </c>
      <c r="D353" s="26" t="str">
        <f t="shared" ca="1" si="0"/>
        <v xml:space="preserve"> PEDRO AGUIRRE CERDA</v>
      </c>
      <c r="E353" s="10" t="str">
        <f ca="1">IFERROR(__xludf.DUMMYFUNCTION("""COMPUTED_VALUE"""),"Guía Operativa")</f>
        <v>Guía Operativa</v>
      </c>
      <c r="F353" s="10" t="str">
        <f ca="1">IFERROR(__xludf.DUMMYFUNCTION("""COMPUTED_VALUE"""),"MUNICIPALIDAD DE PEDRO AGUIRRE CERDA")</f>
        <v>MUNICIPALIDAD DE PEDRO AGUIRRE CERDA</v>
      </c>
      <c r="G353" s="71">
        <f ca="1">IFERROR(__xludf.DUMMYFUNCTION("""COMPUTED_VALUE"""),135797208)</f>
        <v>135797208</v>
      </c>
      <c r="H353" s="10" t="str">
        <f ca="1">IFERROR(__xludf.DUMMYFUNCTION("""COMPUTED_VALUE"""),"Resolución")</f>
        <v>Resolución</v>
      </c>
      <c r="I353" s="10" t="str">
        <f ca="1">IFERROR(__xludf.DUMMYFUNCTION("""COMPUTED_VALUE"""),"OBRA")</f>
        <v>OBRA</v>
      </c>
      <c r="J353" s="10" t="str">
        <f ca="1">IFERROR(__xludf.DUMMYFUNCTION("""COMPUTED_VALUE"""),"Cumplir con normativa y reglamentos internos del programa en base a los objetivos.")</f>
        <v>Cumplir con normativa y reglamentos internos del programa en base a los objetivos.</v>
      </c>
      <c r="K353" s="71">
        <f ca="1">IFERROR(__xludf.DUMMYFUNCTION("""COMPUTED_VALUE"""),135797208)</f>
        <v>135797208</v>
      </c>
      <c r="L353" s="72">
        <f ca="1">IFERROR(__xludf.DUMMYFUNCTION("""COMPUTED_VALUE"""),1)</f>
        <v>1</v>
      </c>
      <c r="M353" s="10">
        <f ca="1">IFERROR(__xludf.DUMMYFUNCTION("""COMPUTED_VALUE"""),3038)</f>
        <v>3038</v>
      </c>
      <c r="N353" s="10" t="str">
        <f ca="1">IFERROR(__xludf.DUMMYFUNCTION("""COMPUTED_VALUE"""),"PMU")</f>
        <v>PMU</v>
      </c>
      <c r="O353" s="1"/>
      <c r="P353" s="1"/>
      <c r="Q353" s="1"/>
      <c r="R353" s="1"/>
      <c r="S353" s="1"/>
      <c r="T353" s="1"/>
      <c r="U353" s="1"/>
      <c r="V353" s="1"/>
      <c r="W353" s="1"/>
      <c r="X353" s="1"/>
      <c r="Y353" s="1"/>
      <c r="Z353" s="1"/>
    </row>
    <row r="354" spans="1:26" ht="12.75" customHeight="1">
      <c r="A354" s="1"/>
      <c r="B354" s="10" t="str">
        <f ca="1">IFERROR(__xludf.DUMMYFUNCTION("""COMPUTED_VALUE"""),"CONSTRUCCION PLAZOLETA CHORRILLOS, TOCOPILLA")</f>
        <v>CONSTRUCCION PLAZOLETA CHORRILLOS, TOCOPILLA</v>
      </c>
      <c r="C354" s="10" t="str">
        <f ca="1">IFERROR(__xludf.DUMMYFUNCTION("""COMPUTED_VALUE"""),"1-C-2022-2802")</f>
        <v>1-C-2022-2802</v>
      </c>
      <c r="D354" s="26" t="str">
        <f t="shared" ca="1" si="0"/>
        <v xml:space="preserve"> TOCOPILLA</v>
      </c>
      <c r="E354" s="10" t="str">
        <f ca="1">IFERROR(__xludf.DUMMYFUNCTION("""COMPUTED_VALUE"""),"Guía Operativa")</f>
        <v>Guía Operativa</v>
      </c>
      <c r="F354" s="10" t="str">
        <f ca="1">IFERROR(__xludf.DUMMYFUNCTION("""COMPUTED_VALUE"""),"MUNICIPALIDAD DE TOCOPILLA")</f>
        <v>MUNICIPALIDAD DE TOCOPILLA</v>
      </c>
      <c r="G354" s="71">
        <f ca="1">IFERROR(__xludf.DUMMYFUNCTION("""COMPUTED_VALUE"""),129378669)</f>
        <v>129378669</v>
      </c>
      <c r="H354" s="10" t="str">
        <f ca="1">IFERROR(__xludf.DUMMYFUNCTION("""COMPUTED_VALUE"""),"Resolución")</f>
        <v>Resolución</v>
      </c>
      <c r="I354" s="10" t="str">
        <f ca="1">IFERROR(__xludf.DUMMYFUNCTION("""COMPUTED_VALUE"""),"OBRA")</f>
        <v>OBRA</v>
      </c>
      <c r="J354" s="10" t="str">
        <f ca="1">IFERROR(__xludf.DUMMYFUNCTION("""COMPUTED_VALUE"""),"Cumplir con normativa y reglamentos internos del programa en base a los objetivos.")</f>
        <v>Cumplir con normativa y reglamentos internos del programa en base a los objetivos.</v>
      </c>
      <c r="K354" s="71">
        <f ca="1">IFERROR(__xludf.DUMMYFUNCTION("""COMPUTED_VALUE"""),129378669)</f>
        <v>129378669</v>
      </c>
      <c r="L354" s="72">
        <f ca="1">IFERROR(__xludf.DUMMYFUNCTION("""COMPUTED_VALUE"""),1)</f>
        <v>1</v>
      </c>
      <c r="M354" s="10">
        <f ca="1">IFERROR(__xludf.DUMMYFUNCTION("""COMPUTED_VALUE"""),4234)</f>
        <v>4234</v>
      </c>
      <c r="N354" s="10" t="str">
        <f ca="1">IFERROR(__xludf.DUMMYFUNCTION("""COMPUTED_VALUE"""),"PMU")</f>
        <v>PMU</v>
      </c>
      <c r="O354" s="1"/>
      <c r="P354" s="1"/>
      <c r="Q354" s="1"/>
      <c r="R354" s="1"/>
      <c r="S354" s="1"/>
      <c r="T354" s="1"/>
      <c r="U354" s="1"/>
      <c r="V354" s="1"/>
      <c r="W354" s="1"/>
      <c r="X354" s="1"/>
      <c r="Y354" s="1"/>
      <c r="Z354" s="1"/>
    </row>
    <row r="355" spans="1:26" ht="12.75" customHeight="1">
      <c r="A355" s="1"/>
      <c r="B355" s="10" t="str">
        <f ca="1">IFERROR(__xludf.DUMMYFUNCTION("""COMPUTED_VALUE"""),"NORMALIZACIÓN ILUMINACIÓN PÚBLICA PEATONAL ENTRE CALLE TTE MERINO Y PAMPA BLANCA, PLAN CALLE SIN VIOLENCIA, COMUNA DE CALAMA")</f>
        <v>NORMALIZACIÓN ILUMINACIÓN PÚBLICA PEATONAL ENTRE CALLE TTE MERINO Y PAMPA BLANCA, PLAN CALLE SIN VIOLENCIA, COMUNA DE CALAMA</v>
      </c>
      <c r="C355" s="10" t="str">
        <f ca="1">IFERROR(__xludf.DUMMYFUNCTION("""COMPUTED_VALUE"""),"1-C-2023-1942")</f>
        <v>1-C-2023-1942</v>
      </c>
      <c r="D355" s="26" t="str">
        <f t="shared" ca="1" si="0"/>
        <v xml:space="preserve"> CALAMA</v>
      </c>
      <c r="E355" s="10" t="str">
        <f ca="1">IFERROR(__xludf.DUMMYFUNCTION("""COMPUTED_VALUE"""),"Guía Operativa")</f>
        <v>Guía Operativa</v>
      </c>
      <c r="F355" s="10" t="str">
        <f ca="1">IFERROR(__xludf.DUMMYFUNCTION("""COMPUTED_VALUE"""),"MUNICIPALIDAD DE CALAMA")</f>
        <v>MUNICIPALIDAD DE CALAMA</v>
      </c>
      <c r="G355" s="71">
        <f ca="1">IFERROR(__xludf.DUMMYFUNCTION("""COMPUTED_VALUE"""),156330174)</f>
        <v>156330174</v>
      </c>
      <c r="H355" s="10" t="str">
        <f ca="1">IFERROR(__xludf.DUMMYFUNCTION("""COMPUTED_VALUE"""),"Resolución")</f>
        <v>Resolución</v>
      </c>
      <c r="I355" s="10" t="str">
        <f ca="1">IFERROR(__xludf.DUMMYFUNCTION("""COMPUTED_VALUE"""),"OBRA")</f>
        <v>OBRA</v>
      </c>
      <c r="J355" s="10" t="str">
        <f ca="1">IFERROR(__xludf.DUMMYFUNCTION("""COMPUTED_VALUE"""),"Cumplir con normativa y reglamentos internos del programa en base a los objetivos.")</f>
        <v>Cumplir con normativa y reglamentos internos del programa en base a los objetivos.</v>
      </c>
      <c r="K355" s="71">
        <f ca="1">IFERROR(__xludf.DUMMYFUNCTION("""COMPUTED_VALUE"""),156330174)</f>
        <v>156330174</v>
      </c>
      <c r="L355" s="72">
        <f ca="1">IFERROR(__xludf.DUMMYFUNCTION("""COMPUTED_VALUE"""),1)</f>
        <v>1</v>
      </c>
      <c r="M355" s="10">
        <f ca="1">IFERROR(__xludf.DUMMYFUNCTION("""COMPUTED_VALUE"""),4378)</f>
        <v>4378</v>
      </c>
      <c r="N355" s="10" t="str">
        <f ca="1">IFERROR(__xludf.DUMMYFUNCTION("""COMPUTED_VALUE"""),"PMU")</f>
        <v>PMU</v>
      </c>
      <c r="O355" s="1"/>
      <c r="P355" s="1"/>
      <c r="Q355" s="1"/>
      <c r="R355" s="1"/>
      <c r="S355" s="1"/>
      <c r="T355" s="1"/>
      <c r="U355" s="1"/>
      <c r="V355" s="1"/>
      <c r="W355" s="1"/>
      <c r="X355" s="1"/>
      <c r="Y355" s="1"/>
      <c r="Z355" s="1"/>
    </row>
    <row r="356" spans="1:26" ht="12.75" customHeight="1">
      <c r="A356" s="1"/>
      <c r="B356" s="10" t="str">
        <f ca="1">IFERROR(__xludf.DUMMYFUNCTION("""COMPUTED_VALUE"""),"MEJORAMIENTO ESPACIO PÚBLICO CALLE RUPANCO ENTRE PSJE. ARAUCO NORTE Y PSJE. ARAUCO SUR, VILLA LOS COPIHUES PLAN CALLE SIN VIOLENCIA COMUNA DE CALAMA")</f>
        <v>MEJORAMIENTO ESPACIO PÚBLICO CALLE RUPANCO ENTRE PSJE. ARAUCO NORTE Y PSJE. ARAUCO SUR, VILLA LOS COPIHUES PLAN CALLE SIN VIOLENCIA COMUNA DE CALAMA</v>
      </c>
      <c r="C356" s="10" t="str">
        <f ca="1">IFERROR(__xludf.DUMMYFUNCTION("""COMPUTED_VALUE"""),"1-C-2023-3298")</f>
        <v>1-C-2023-3298</v>
      </c>
      <c r="D356" s="26" t="str">
        <f t="shared" ca="1" si="0"/>
        <v xml:space="preserve"> CALAMA</v>
      </c>
      <c r="E356" s="10" t="str">
        <f ca="1">IFERROR(__xludf.DUMMYFUNCTION("""COMPUTED_VALUE"""),"Guía Operativa")</f>
        <v>Guía Operativa</v>
      </c>
      <c r="F356" s="10" t="str">
        <f ca="1">IFERROR(__xludf.DUMMYFUNCTION("""COMPUTED_VALUE"""),"MUNICIPALIDAD DE CALAMA")</f>
        <v>MUNICIPALIDAD DE CALAMA</v>
      </c>
      <c r="G356" s="71">
        <f ca="1">IFERROR(__xludf.DUMMYFUNCTION("""COMPUTED_VALUE"""),161664723)</f>
        <v>161664723</v>
      </c>
      <c r="H356" s="10" t="str">
        <f ca="1">IFERROR(__xludf.DUMMYFUNCTION("""COMPUTED_VALUE"""),"Resolución")</f>
        <v>Resolución</v>
      </c>
      <c r="I356" s="10" t="str">
        <f ca="1">IFERROR(__xludf.DUMMYFUNCTION("""COMPUTED_VALUE"""),"OBRA")</f>
        <v>OBRA</v>
      </c>
      <c r="J356" s="10" t="str">
        <f ca="1">IFERROR(__xludf.DUMMYFUNCTION("""COMPUTED_VALUE"""),"Cumplir con normativa y reglamentos internos del programa en base a los objetivos.")</f>
        <v>Cumplir con normativa y reglamentos internos del programa en base a los objetivos.</v>
      </c>
      <c r="K356" s="71">
        <f ca="1">IFERROR(__xludf.DUMMYFUNCTION("""COMPUTED_VALUE"""),161664723)</f>
        <v>161664723</v>
      </c>
      <c r="L356" s="72">
        <f ca="1">IFERROR(__xludf.DUMMYFUNCTION("""COMPUTED_VALUE"""),1)</f>
        <v>1</v>
      </c>
      <c r="M356" s="10">
        <f ca="1">IFERROR(__xludf.DUMMYFUNCTION("""COMPUTED_VALUE"""),5087)</f>
        <v>5087</v>
      </c>
      <c r="N356" s="10" t="str">
        <f ca="1">IFERROR(__xludf.DUMMYFUNCTION("""COMPUTED_VALUE"""),"PMU")</f>
        <v>PMU</v>
      </c>
      <c r="O356" s="1"/>
      <c r="P356" s="1"/>
      <c r="Q356" s="1"/>
      <c r="R356" s="1"/>
      <c r="S356" s="1"/>
      <c r="T356" s="1"/>
      <c r="U356" s="1"/>
      <c r="V356" s="1"/>
      <c r="W356" s="1"/>
      <c r="X356" s="1"/>
      <c r="Y356" s="1"/>
      <c r="Z356" s="1"/>
    </row>
    <row r="357" spans="1:26" ht="12.75" customHeight="1">
      <c r="A357" s="1"/>
      <c r="B357" s="10" t="str">
        <f ca="1">IFERROR(__xludf.DUMMYFUNCTION("""COMPUTED_VALUE"""),"[SATE] ""REPOSICION SEÑALETICA DE TRANSITO Y DEMARCACION SECTOR PACIFICO NORTE Y TRES MARIAS, COMUNA DE TOCOPILLA""")</f>
        <v>[SATE] "REPOSICION SEÑALETICA DE TRANSITO Y DEMARCACION SECTOR PACIFICO NORTE Y TRES MARIAS, COMUNA DE TOCOPILLA"</v>
      </c>
      <c r="C357" s="10" t="str">
        <f ca="1">IFERROR(__xludf.DUMMYFUNCTION("""COMPUTED_VALUE"""),"1-B-2024-117")</f>
        <v>1-B-2024-117</v>
      </c>
      <c r="D357" s="26" t="str">
        <f t="shared" ca="1" si="0"/>
        <v xml:space="preserve"> TOCOPILLA</v>
      </c>
      <c r="E357" s="10" t="str">
        <f ca="1">IFERROR(__xludf.DUMMYFUNCTION("""COMPUTED_VALUE"""),"Guía Operativa")</f>
        <v>Guía Operativa</v>
      </c>
      <c r="F357" s="10" t="str">
        <f ca="1">IFERROR(__xludf.DUMMYFUNCTION("""COMPUTED_VALUE"""),"MUNICIPALIDAD DE TOCOPILLA")</f>
        <v>MUNICIPALIDAD DE TOCOPILLA</v>
      </c>
      <c r="G357" s="71">
        <f ca="1">IFERROR(__xludf.DUMMYFUNCTION("""COMPUTED_VALUE"""),110760009)</f>
        <v>110760009</v>
      </c>
      <c r="H357" s="10" t="str">
        <f ca="1">IFERROR(__xludf.DUMMYFUNCTION("""COMPUTED_VALUE"""),"Resolución")</f>
        <v>Resolución</v>
      </c>
      <c r="I357" s="10" t="str">
        <f ca="1">IFERROR(__xludf.DUMMYFUNCTION("""COMPUTED_VALUE"""),"OBRA")</f>
        <v>OBRA</v>
      </c>
      <c r="J357" s="10" t="str">
        <f ca="1">IFERROR(__xludf.DUMMYFUNCTION("""COMPUTED_VALUE"""),"Cumplir con normativa y reglamentos internos del programa en base a los objetivos.")</f>
        <v>Cumplir con normativa y reglamentos internos del programa en base a los objetivos.</v>
      </c>
      <c r="K357" s="71">
        <f ca="1">IFERROR(__xludf.DUMMYFUNCTION("""COMPUTED_VALUE"""),110760009)</f>
        <v>110760009</v>
      </c>
      <c r="L357" s="72">
        <f ca="1">IFERROR(__xludf.DUMMYFUNCTION("""COMPUTED_VALUE"""),1)</f>
        <v>1</v>
      </c>
      <c r="M357" s="10">
        <f ca="1">IFERROR(__xludf.DUMMYFUNCTION("""COMPUTED_VALUE"""),5092)</f>
        <v>5092</v>
      </c>
      <c r="N357" s="10" t="str">
        <f ca="1">IFERROR(__xludf.DUMMYFUNCTION("""COMPUTED_VALUE"""),"PMU")</f>
        <v>PMU</v>
      </c>
      <c r="O357" s="1"/>
      <c r="P357" s="1"/>
      <c r="Q357" s="1"/>
      <c r="R357" s="1"/>
      <c r="S357" s="1"/>
      <c r="T357" s="1"/>
      <c r="U357" s="1"/>
      <c r="V357" s="1"/>
      <c r="W357" s="1"/>
      <c r="X357" s="1"/>
      <c r="Y357" s="1"/>
      <c r="Z357" s="1"/>
    </row>
    <row r="358" spans="1:26" ht="12.75" customHeight="1">
      <c r="A358" s="1"/>
      <c r="B358" s="10" t="str">
        <f ca="1">IFERROR(__xludf.DUMMYFUNCTION("""COMPUTED_VALUE"""),"REPOSICION SEÑALETICAS Y DEMARCACIONES VIALES VILLA SUR, COMUNA DE TOCOPILLA")</f>
        <v>REPOSICION SEÑALETICAS Y DEMARCACIONES VIALES VILLA SUR, COMUNA DE TOCOPILLA</v>
      </c>
      <c r="C358" s="10" t="str">
        <f ca="1">IFERROR(__xludf.DUMMYFUNCTION("""COMPUTED_VALUE"""),"1-B-2024-120")</f>
        <v>1-B-2024-120</v>
      </c>
      <c r="D358" s="26" t="str">
        <f t="shared" ca="1" si="0"/>
        <v xml:space="preserve"> TOCOPILLA</v>
      </c>
      <c r="E358" s="10" t="str">
        <f ca="1">IFERROR(__xludf.DUMMYFUNCTION("""COMPUTED_VALUE"""),"Guía Operativa")</f>
        <v>Guía Operativa</v>
      </c>
      <c r="F358" s="10" t="str">
        <f ca="1">IFERROR(__xludf.DUMMYFUNCTION("""COMPUTED_VALUE"""),"MUNICIPALIDAD DE TOCOPILLA")</f>
        <v>MUNICIPALIDAD DE TOCOPILLA</v>
      </c>
      <c r="G358" s="71">
        <f ca="1">IFERROR(__xludf.DUMMYFUNCTION("""COMPUTED_VALUE"""),127880659)</f>
        <v>127880659</v>
      </c>
      <c r="H358" s="10" t="str">
        <f ca="1">IFERROR(__xludf.DUMMYFUNCTION("""COMPUTED_VALUE"""),"Resolución")</f>
        <v>Resolución</v>
      </c>
      <c r="I358" s="10" t="str">
        <f ca="1">IFERROR(__xludf.DUMMYFUNCTION("""COMPUTED_VALUE"""),"OBRA")</f>
        <v>OBRA</v>
      </c>
      <c r="J358" s="10" t="str">
        <f ca="1">IFERROR(__xludf.DUMMYFUNCTION("""COMPUTED_VALUE"""),"Cumplir con normativa y reglamentos internos del programa en base a los objetivos.")</f>
        <v>Cumplir con normativa y reglamentos internos del programa en base a los objetivos.</v>
      </c>
      <c r="K358" s="71">
        <f ca="1">IFERROR(__xludf.DUMMYFUNCTION("""COMPUTED_VALUE"""),127880659)</f>
        <v>127880659</v>
      </c>
      <c r="L358" s="72">
        <f ca="1">IFERROR(__xludf.DUMMYFUNCTION("""COMPUTED_VALUE"""),1)</f>
        <v>1</v>
      </c>
      <c r="M358" s="10">
        <f ca="1">IFERROR(__xludf.DUMMYFUNCTION("""COMPUTED_VALUE"""),5092)</f>
        <v>5092</v>
      </c>
      <c r="N358" s="10" t="str">
        <f ca="1">IFERROR(__xludf.DUMMYFUNCTION("""COMPUTED_VALUE"""),"PMU")</f>
        <v>PMU</v>
      </c>
      <c r="O358" s="1"/>
      <c r="P358" s="1"/>
      <c r="Q358" s="1"/>
      <c r="R358" s="1"/>
      <c r="S358" s="1"/>
      <c r="T358" s="1"/>
      <c r="U358" s="1"/>
      <c r="V358" s="1"/>
      <c r="W358" s="1"/>
      <c r="X358" s="1"/>
      <c r="Y358" s="1"/>
      <c r="Z358" s="1"/>
    </row>
    <row r="359" spans="1:26" ht="12.75" customHeight="1">
      <c r="A359" s="1"/>
      <c r="B359" s="10" t="str">
        <f ca="1">IFERROR(__xludf.DUMMYFUNCTION("""COMPUTED_VALUE"""),"CONSTRUCCIÓN SEDE COMUNITARIA VIEJOS ESTANDARTES, COMUNA DE HUASCO")</f>
        <v>CONSTRUCCIÓN SEDE COMUNITARIA VIEJOS ESTANDARTES, COMUNA DE HUASCO</v>
      </c>
      <c r="C359" s="10" t="str">
        <f ca="1">IFERROR(__xludf.DUMMYFUNCTION("""COMPUTED_VALUE"""),"1-C-2023-3187")</f>
        <v>1-C-2023-3187</v>
      </c>
      <c r="D359" s="26" t="str">
        <f t="shared" ca="1" si="0"/>
        <v xml:space="preserve"> HUASCO</v>
      </c>
      <c r="E359" s="10" t="str">
        <f ca="1">IFERROR(__xludf.DUMMYFUNCTION("""COMPUTED_VALUE"""),"Guía Operativa")</f>
        <v>Guía Operativa</v>
      </c>
      <c r="F359" s="10" t="str">
        <f ca="1">IFERROR(__xludf.DUMMYFUNCTION("""COMPUTED_VALUE"""),"MUNICIPALIDAD DE HUASCO")</f>
        <v>MUNICIPALIDAD DE HUASCO</v>
      </c>
      <c r="G359" s="71">
        <f ca="1">IFERROR(__xludf.DUMMYFUNCTION("""COMPUTED_VALUE"""),138961286)</f>
        <v>138961286</v>
      </c>
      <c r="H359" s="10" t="str">
        <f ca="1">IFERROR(__xludf.DUMMYFUNCTION("""COMPUTED_VALUE"""),"Resolución")</f>
        <v>Resolución</v>
      </c>
      <c r="I359" s="10" t="str">
        <f ca="1">IFERROR(__xludf.DUMMYFUNCTION("""COMPUTED_VALUE"""),"OBRA")</f>
        <v>OBRA</v>
      </c>
      <c r="J359" s="10" t="str">
        <f ca="1">IFERROR(__xludf.DUMMYFUNCTION("""COMPUTED_VALUE"""),"Cumplir con normativa y reglamentos internos del programa en base a los objetivos.")</f>
        <v>Cumplir con normativa y reglamentos internos del programa en base a los objetivos.</v>
      </c>
      <c r="K359" s="71">
        <f ca="1">IFERROR(__xludf.DUMMYFUNCTION("""COMPUTED_VALUE"""),138961286)</f>
        <v>138961286</v>
      </c>
      <c r="L359" s="72">
        <f ca="1">IFERROR(__xludf.DUMMYFUNCTION("""COMPUTED_VALUE"""),1)</f>
        <v>1</v>
      </c>
      <c r="M359" s="10">
        <f ca="1">IFERROR(__xludf.DUMMYFUNCTION("""COMPUTED_VALUE"""),5538)</f>
        <v>5538</v>
      </c>
      <c r="N359" s="10" t="str">
        <f ca="1">IFERROR(__xludf.DUMMYFUNCTION("""COMPUTED_VALUE"""),"PMU")</f>
        <v>PMU</v>
      </c>
      <c r="O359" s="1"/>
      <c r="P359" s="1"/>
      <c r="Q359" s="1"/>
      <c r="R359" s="1"/>
      <c r="S359" s="1"/>
      <c r="T359" s="1"/>
      <c r="U359" s="1"/>
      <c r="V359" s="1"/>
      <c r="W359" s="1"/>
      <c r="X359" s="1"/>
      <c r="Y359" s="1"/>
      <c r="Z359" s="1"/>
    </row>
    <row r="360" spans="1:26" ht="12.75" customHeight="1">
      <c r="A360" s="1"/>
      <c r="B360" s="10" t="str">
        <f ca="1">IFERROR(__xludf.DUMMYFUNCTION("""COMPUTED_VALUE"""),"MEJORAMIENTO MULTICANCHA LOS COPIHUES, SECTOR LOTEO PORTUGAL, COQUIMBO")</f>
        <v>MEJORAMIENTO MULTICANCHA LOS COPIHUES, SECTOR LOTEO PORTUGAL, COQUIMBO</v>
      </c>
      <c r="C360" s="10" t="str">
        <f ca="1">IFERROR(__xludf.DUMMYFUNCTION("""COMPUTED_VALUE"""),"1-C-2023-1493")</f>
        <v>1-C-2023-1493</v>
      </c>
      <c r="D360" s="26" t="str">
        <f t="shared" ca="1" si="0"/>
        <v xml:space="preserve"> COQUIMBO</v>
      </c>
      <c r="E360" s="10" t="str">
        <f ca="1">IFERROR(__xludf.DUMMYFUNCTION("""COMPUTED_VALUE"""),"Guía Operativa")</f>
        <v>Guía Operativa</v>
      </c>
      <c r="F360" s="10" t="str">
        <f ca="1">IFERROR(__xludf.DUMMYFUNCTION("""COMPUTED_VALUE"""),"MUNICIPALIDAD DE COQUIMBO")</f>
        <v>MUNICIPALIDAD DE COQUIMBO</v>
      </c>
      <c r="G360" s="71">
        <f ca="1">IFERROR(__xludf.DUMMYFUNCTION("""COMPUTED_VALUE"""),161630487)</f>
        <v>161630487</v>
      </c>
      <c r="H360" s="10" t="str">
        <f ca="1">IFERROR(__xludf.DUMMYFUNCTION("""COMPUTED_VALUE"""),"Resolución")</f>
        <v>Resolución</v>
      </c>
      <c r="I360" s="10" t="str">
        <f ca="1">IFERROR(__xludf.DUMMYFUNCTION("""COMPUTED_VALUE"""),"OBRA")</f>
        <v>OBRA</v>
      </c>
      <c r="J360" s="10" t="str">
        <f ca="1">IFERROR(__xludf.DUMMYFUNCTION("""COMPUTED_VALUE"""),"Cumplir con normativa y reglamentos internos del programa en base a los objetivos.")</f>
        <v>Cumplir con normativa y reglamentos internos del programa en base a los objetivos.</v>
      </c>
      <c r="K360" s="71">
        <f ca="1">IFERROR(__xludf.DUMMYFUNCTION("""COMPUTED_VALUE"""),161630487)</f>
        <v>161630487</v>
      </c>
      <c r="L360" s="72">
        <f ca="1">IFERROR(__xludf.DUMMYFUNCTION("""COMPUTED_VALUE"""),1)</f>
        <v>1</v>
      </c>
      <c r="M360" s="10">
        <f ca="1">IFERROR(__xludf.DUMMYFUNCTION("""COMPUTED_VALUE"""),5089)</f>
        <v>5089</v>
      </c>
      <c r="N360" s="10" t="str">
        <f ca="1">IFERROR(__xludf.DUMMYFUNCTION("""COMPUTED_VALUE"""),"PMU")</f>
        <v>PMU</v>
      </c>
      <c r="O360" s="1"/>
      <c r="P360" s="1"/>
      <c r="Q360" s="1"/>
      <c r="R360" s="1"/>
      <c r="S360" s="1"/>
      <c r="T360" s="1"/>
      <c r="U360" s="1"/>
      <c r="V360" s="1"/>
      <c r="W360" s="1"/>
      <c r="X360" s="1"/>
      <c r="Y360" s="1"/>
      <c r="Z360" s="1"/>
    </row>
    <row r="361" spans="1:26" ht="12.75" customHeight="1">
      <c r="A361" s="1"/>
      <c r="B361" s="10" t="str">
        <f ca="1">IFERROR(__xludf.DUMMYFUNCTION("""COMPUTED_VALUE"""),"[PREAVS] REPOSICION Y MANTENCIÓN MOBILIARIO URBANO, AVDA. FRANCISCO DE AGUIRRE, LA SERENA")</f>
        <v>[PREAVS] REPOSICION Y MANTENCIÓN MOBILIARIO URBANO, AVDA. FRANCISCO DE AGUIRRE, LA SERENA</v>
      </c>
      <c r="C361" s="10" t="str">
        <f ca="1">IFERROR(__xludf.DUMMYFUNCTION("""COMPUTED_VALUE"""),"1-C-2023-1699")</f>
        <v>1-C-2023-1699</v>
      </c>
      <c r="D361" s="26" t="str">
        <f t="shared" ca="1" si="0"/>
        <v xml:space="preserve"> LA SERENA</v>
      </c>
      <c r="E361" s="10" t="str">
        <f ca="1">IFERROR(__xludf.DUMMYFUNCTION("""COMPUTED_VALUE"""),"Guía Operativa")</f>
        <v>Guía Operativa</v>
      </c>
      <c r="F361" s="10" t="str">
        <f ca="1">IFERROR(__xludf.DUMMYFUNCTION("""COMPUTED_VALUE"""),"MUNICIPALIDAD DE LA SERENA")</f>
        <v>MUNICIPALIDAD DE LA SERENA</v>
      </c>
      <c r="G361" s="71">
        <f ca="1">IFERROR(__xludf.DUMMYFUNCTION("""COMPUTED_VALUE"""),84590506)</f>
        <v>84590506</v>
      </c>
      <c r="H361" s="10" t="str">
        <f ca="1">IFERROR(__xludf.DUMMYFUNCTION("""COMPUTED_VALUE"""),"Resolución")</f>
        <v>Resolución</v>
      </c>
      <c r="I361" s="10" t="str">
        <f ca="1">IFERROR(__xludf.DUMMYFUNCTION("""COMPUTED_VALUE"""),"OBRA")</f>
        <v>OBRA</v>
      </c>
      <c r="J361" s="10" t="str">
        <f ca="1">IFERROR(__xludf.DUMMYFUNCTION("""COMPUTED_VALUE"""),"Cumplir con normativa y reglamentos internos del programa en base a los objetivos.")</f>
        <v>Cumplir con normativa y reglamentos internos del programa en base a los objetivos.</v>
      </c>
      <c r="K361" s="71">
        <f ca="1">IFERROR(__xludf.DUMMYFUNCTION("""COMPUTED_VALUE"""),84590506)</f>
        <v>84590506</v>
      </c>
      <c r="L361" s="72">
        <f ca="1">IFERROR(__xludf.DUMMYFUNCTION("""COMPUTED_VALUE"""),1)</f>
        <v>1</v>
      </c>
      <c r="M361" s="10">
        <f ca="1">IFERROR(__xludf.DUMMYFUNCTION("""COMPUTED_VALUE"""),4665)</f>
        <v>4665</v>
      </c>
      <c r="N361" s="10" t="str">
        <f ca="1">IFERROR(__xludf.DUMMYFUNCTION("""COMPUTED_VALUE"""),"PMU")</f>
        <v>PMU</v>
      </c>
      <c r="O361" s="1"/>
      <c r="P361" s="1"/>
      <c r="Q361" s="1"/>
      <c r="R361" s="1"/>
      <c r="S361" s="1"/>
      <c r="T361" s="1"/>
      <c r="U361" s="1"/>
      <c r="V361" s="1"/>
      <c r="W361" s="1"/>
      <c r="X361" s="1"/>
      <c r="Y361" s="1"/>
      <c r="Z361" s="1"/>
    </row>
    <row r="362" spans="1:26" ht="12.75" customHeight="1">
      <c r="A362" s="1"/>
      <c r="B362" s="10" t="str">
        <f ca="1">IFERROR(__xludf.DUMMYFUNCTION("""COMPUTED_VALUE"""),"MEJORAMIENTO ELÉCTRICO SECTOR PLAZA DE ARMAS DE COQUIMBO")</f>
        <v>MEJORAMIENTO ELÉCTRICO SECTOR PLAZA DE ARMAS DE COQUIMBO</v>
      </c>
      <c r="C362" s="10" t="str">
        <f ca="1">IFERROR(__xludf.DUMMYFUNCTION("""COMPUTED_VALUE"""),"1-C-2023-2598")</f>
        <v>1-C-2023-2598</v>
      </c>
      <c r="D362" s="26" t="str">
        <f t="shared" ca="1" si="0"/>
        <v xml:space="preserve"> COQUIMBO</v>
      </c>
      <c r="E362" s="10" t="str">
        <f ca="1">IFERROR(__xludf.DUMMYFUNCTION("""COMPUTED_VALUE"""),"Guía Operativa")</f>
        <v>Guía Operativa</v>
      </c>
      <c r="F362" s="10" t="str">
        <f ca="1">IFERROR(__xludf.DUMMYFUNCTION("""COMPUTED_VALUE"""),"MUNICIPALIDAD DE COQUIMBO")</f>
        <v>MUNICIPALIDAD DE COQUIMBO</v>
      </c>
      <c r="G362" s="71">
        <f ca="1">IFERROR(__xludf.DUMMYFUNCTION("""COMPUTED_VALUE"""),155372814)</f>
        <v>155372814</v>
      </c>
      <c r="H362" s="10" t="str">
        <f ca="1">IFERROR(__xludf.DUMMYFUNCTION("""COMPUTED_VALUE"""),"Resolución")</f>
        <v>Resolución</v>
      </c>
      <c r="I362" s="10" t="str">
        <f ca="1">IFERROR(__xludf.DUMMYFUNCTION("""COMPUTED_VALUE"""),"OBRA")</f>
        <v>OBRA</v>
      </c>
      <c r="J362" s="10" t="str">
        <f ca="1">IFERROR(__xludf.DUMMYFUNCTION("""COMPUTED_VALUE"""),"Cumplir con normativa y reglamentos internos del programa en base a los objetivos.")</f>
        <v>Cumplir con normativa y reglamentos internos del programa en base a los objetivos.</v>
      </c>
      <c r="K362" s="71">
        <f ca="1">IFERROR(__xludf.DUMMYFUNCTION("""COMPUTED_VALUE"""),155372814)</f>
        <v>155372814</v>
      </c>
      <c r="L362" s="72">
        <f ca="1">IFERROR(__xludf.DUMMYFUNCTION("""COMPUTED_VALUE"""),1)</f>
        <v>1</v>
      </c>
      <c r="M362" s="10">
        <f ca="1">IFERROR(__xludf.DUMMYFUNCTION("""COMPUTED_VALUE"""),5088)</f>
        <v>5088</v>
      </c>
      <c r="N362" s="10" t="str">
        <f ca="1">IFERROR(__xludf.DUMMYFUNCTION("""COMPUTED_VALUE"""),"PMU")</f>
        <v>PMU</v>
      </c>
      <c r="O362" s="1"/>
      <c r="P362" s="1"/>
      <c r="Q362" s="1"/>
      <c r="R362" s="1"/>
      <c r="S362" s="1"/>
      <c r="T362" s="1"/>
      <c r="U362" s="1"/>
      <c r="V362" s="1"/>
      <c r="W362" s="1"/>
      <c r="X362" s="1"/>
      <c r="Y362" s="1"/>
      <c r="Z362" s="1"/>
    </row>
    <row r="363" spans="1:26" ht="12.75" customHeight="1">
      <c r="A363" s="1"/>
      <c r="B363" s="10" t="str">
        <f ca="1">IFERROR(__xludf.DUMMYFUNCTION("""COMPUTED_VALUE"""),"[PREAVS] MEJORAMIENTO PLAZA BUENOS AIRES, AVDA. FRANCISCO DE AGUIRRE, LA SERENA.")</f>
        <v>[PREAVS] MEJORAMIENTO PLAZA BUENOS AIRES, AVDA. FRANCISCO DE AGUIRRE, LA SERENA.</v>
      </c>
      <c r="C363" s="10" t="str">
        <f ca="1">IFERROR(__xludf.DUMMYFUNCTION("""COMPUTED_VALUE"""),"1-C-2023-2705")</f>
        <v>1-C-2023-2705</v>
      </c>
      <c r="D363" s="26" t="str">
        <f t="shared" ca="1" si="0"/>
        <v xml:space="preserve"> LA SERENA</v>
      </c>
      <c r="E363" s="10" t="str">
        <f ca="1">IFERROR(__xludf.DUMMYFUNCTION("""COMPUTED_VALUE"""),"Guía Operativa")</f>
        <v>Guía Operativa</v>
      </c>
      <c r="F363" s="10" t="str">
        <f ca="1">IFERROR(__xludf.DUMMYFUNCTION("""COMPUTED_VALUE"""),"MUNICIPALIDAD DE LA SERENA")</f>
        <v>MUNICIPALIDAD DE LA SERENA</v>
      </c>
      <c r="G363" s="71">
        <f ca="1">IFERROR(__xludf.DUMMYFUNCTION("""COMPUTED_VALUE"""),161645495)</f>
        <v>161645495</v>
      </c>
      <c r="H363" s="10" t="str">
        <f ca="1">IFERROR(__xludf.DUMMYFUNCTION("""COMPUTED_VALUE"""),"Resolución")</f>
        <v>Resolución</v>
      </c>
      <c r="I363" s="10" t="str">
        <f ca="1">IFERROR(__xludf.DUMMYFUNCTION("""COMPUTED_VALUE"""),"OBRA")</f>
        <v>OBRA</v>
      </c>
      <c r="J363" s="10" t="str">
        <f ca="1">IFERROR(__xludf.DUMMYFUNCTION("""COMPUTED_VALUE"""),"Cumplir con normativa y reglamentos internos del programa en base a los objetivos.")</f>
        <v>Cumplir con normativa y reglamentos internos del programa en base a los objetivos.</v>
      </c>
      <c r="K363" s="71">
        <f ca="1">IFERROR(__xludf.DUMMYFUNCTION("""COMPUTED_VALUE"""),161645495)</f>
        <v>161645495</v>
      </c>
      <c r="L363" s="72">
        <f ca="1">IFERROR(__xludf.DUMMYFUNCTION("""COMPUTED_VALUE"""),1)</f>
        <v>1</v>
      </c>
      <c r="M363" s="10">
        <f ca="1">IFERROR(__xludf.DUMMYFUNCTION("""COMPUTED_VALUE"""),5307)</f>
        <v>5307</v>
      </c>
      <c r="N363" s="10" t="str">
        <f ca="1">IFERROR(__xludf.DUMMYFUNCTION("""COMPUTED_VALUE"""),"PMU")</f>
        <v>PMU</v>
      </c>
      <c r="O363" s="1"/>
      <c r="P363" s="1"/>
      <c r="Q363" s="1"/>
      <c r="R363" s="1"/>
      <c r="S363" s="1"/>
      <c r="T363" s="1"/>
      <c r="U363" s="1"/>
      <c r="V363" s="1"/>
      <c r="W363" s="1"/>
      <c r="X363" s="1"/>
      <c r="Y363" s="1"/>
      <c r="Z363" s="1"/>
    </row>
    <row r="364" spans="1:26" ht="12.75" customHeight="1">
      <c r="A364" s="1"/>
      <c r="B364" s="10" t="str">
        <f ca="1">IFERROR(__xludf.DUMMYFUNCTION("""COMPUTED_VALUE"""),"[PREAVS] MEJORAMIENTO REFUGIOS PEATONALES, AVDA FRANCISCO DE AGUIRRE, LA SERENA")</f>
        <v>[PREAVS] MEJORAMIENTO REFUGIOS PEATONALES, AVDA FRANCISCO DE AGUIRRE, LA SERENA</v>
      </c>
      <c r="C364" s="10" t="str">
        <f ca="1">IFERROR(__xludf.DUMMYFUNCTION("""COMPUTED_VALUE"""),"1-C-2023-2706")</f>
        <v>1-C-2023-2706</v>
      </c>
      <c r="D364" s="26" t="str">
        <f t="shared" ca="1" si="0"/>
        <v xml:space="preserve"> LA SERENA</v>
      </c>
      <c r="E364" s="10" t="str">
        <f ca="1">IFERROR(__xludf.DUMMYFUNCTION("""COMPUTED_VALUE"""),"Guía Operativa")</f>
        <v>Guía Operativa</v>
      </c>
      <c r="F364" s="10" t="str">
        <f ca="1">IFERROR(__xludf.DUMMYFUNCTION("""COMPUTED_VALUE"""),"MUNICIPALIDAD DE LA SERENA")</f>
        <v>MUNICIPALIDAD DE LA SERENA</v>
      </c>
      <c r="G364" s="71">
        <f ca="1">IFERROR(__xludf.DUMMYFUNCTION("""COMPUTED_VALUE"""),63128975)</f>
        <v>63128975</v>
      </c>
      <c r="H364" s="10" t="str">
        <f ca="1">IFERROR(__xludf.DUMMYFUNCTION("""COMPUTED_VALUE"""),"Resolución")</f>
        <v>Resolución</v>
      </c>
      <c r="I364" s="10" t="str">
        <f ca="1">IFERROR(__xludf.DUMMYFUNCTION("""COMPUTED_VALUE"""),"OBRA")</f>
        <v>OBRA</v>
      </c>
      <c r="J364" s="10" t="str">
        <f ca="1">IFERROR(__xludf.DUMMYFUNCTION("""COMPUTED_VALUE"""),"Cumplir con normativa y reglamentos internos del programa en base a los objetivos.")</f>
        <v>Cumplir con normativa y reglamentos internos del programa en base a los objetivos.</v>
      </c>
      <c r="K364" s="71">
        <f ca="1">IFERROR(__xludf.DUMMYFUNCTION("""COMPUTED_VALUE"""),63128975)</f>
        <v>63128975</v>
      </c>
      <c r="L364" s="72">
        <f ca="1">IFERROR(__xludf.DUMMYFUNCTION("""COMPUTED_VALUE"""),1)</f>
        <v>1</v>
      </c>
      <c r="M364" s="10">
        <f ca="1">IFERROR(__xludf.DUMMYFUNCTION("""COMPUTED_VALUE"""),4665)</f>
        <v>4665</v>
      </c>
      <c r="N364" s="10" t="str">
        <f ca="1">IFERROR(__xludf.DUMMYFUNCTION("""COMPUTED_VALUE"""),"PMU")</f>
        <v>PMU</v>
      </c>
      <c r="O364" s="1"/>
      <c r="P364" s="1"/>
      <c r="Q364" s="1"/>
      <c r="R364" s="1"/>
      <c r="S364" s="1"/>
      <c r="T364" s="1"/>
      <c r="U364" s="1"/>
      <c r="V364" s="1"/>
      <c r="W364" s="1"/>
      <c r="X364" s="1"/>
      <c r="Y364" s="1"/>
      <c r="Z364" s="1"/>
    </row>
    <row r="365" spans="1:26" ht="12.75" customHeight="1">
      <c r="A365" s="1"/>
      <c r="B365" s="10" t="str">
        <f ca="1">IFERROR(__xludf.DUMMYFUNCTION("""COMPUTED_VALUE"""),"INSTALACIÓN DE LUMINARIAS ACCESO NORTE, COMUNA DE ILLAPEL")</f>
        <v>INSTALACIÓN DE LUMINARIAS ACCESO NORTE, COMUNA DE ILLAPEL</v>
      </c>
      <c r="C365" s="10" t="str">
        <f ca="1">IFERROR(__xludf.DUMMYFUNCTION("""COMPUTED_VALUE"""),"1-B-2024-65")</f>
        <v>1-B-2024-65</v>
      </c>
      <c r="D365" s="26" t="str">
        <f t="shared" ca="1" si="0"/>
        <v xml:space="preserve"> ILLAPEL</v>
      </c>
      <c r="E365" s="10" t="str">
        <f ca="1">IFERROR(__xludf.DUMMYFUNCTION("""COMPUTED_VALUE"""),"Guía Operativa")</f>
        <v>Guía Operativa</v>
      </c>
      <c r="F365" s="10" t="str">
        <f ca="1">IFERROR(__xludf.DUMMYFUNCTION("""COMPUTED_VALUE"""),"MUNICIPALIDAD DE ILLAPEL")</f>
        <v>MUNICIPALIDAD DE ILLAPEL</v>
      </c>
      <c r="G365" s="71">
        <f ca="1">IFERROR(__xludf.DUMMYFUNCTION("""COMPUTED_VALUE"""),96847053)</f>
        <v>96847053</v>
      </c>
      <c r="H365" s="10" t="str">
        <f ca="1">IFERROR(__xludf.DUMMYFUNCTION("""COMPUTED_VALUE"""),"Resolución")</f>
        <v>Resolución</v>
      </c>
      <c r="I365" s="10" t="str">
        <f ca="1">IFERROR(__xludf.DUMMYFUNCTION("""COMPUTED_VALUE"""),"OBRA")</f>
        <v>OBRA</v>
      </c>
      <c r="J365" s="10" t="str">
        <f ca="1">IFERROR(__xludf.DUMMYFUNCTION("""COMPUTED_VALUE"""),"Cumplir con normativa y reglamentos internos del programa en base a los objetivos.")</f>
        <v>Cumplir con normativa y reglamentos internos del programa en base a los objetivos.</v>
      </c>
      <c r="K365" s="71">
        <f ca="1">IFERROR(__xludf.DUMMYFUNCTION("""COMPUTED_VALUE"""),96847053)</f>
        <v>96847053</v>
      </c>
      <c r="L365" s="72">
        <f ca="1">IFERROR(__xludf.DUMMYFUNCTION("""COMPUTED_VALUE"""),1)</f>
        <v>1</v>
      </c>
      <c r="M365" s="10">
        <f ca="1">IFERROR(__xludf.DUMMYFUNCTION("""COMPUTED_VALUE"""),5299)</f>
        <v>5299</v>
      </c>
      <c r="N365" s="10" t="str">
        <f ca="1">IFERROR(__xludf.DUMMYFUNCTION("""COMPUTED_VALUE"""),"PMU")</f>
        <v>PMU</v>
      </c>
      <c r="O365" s="1"/>
      <c r="P365" s="1"/>
      <c r="Q365" s="1"/>
      <c r="R365" s="1"/>
      <c r="S365" s="1"/>
      <c r="T365" s="1"/>
      <c r="U365" s="1"/>
      <c r="V365" s="1"/>
      <c r="W365" s="1"/>
      <c r="X365" s="1"/>
      <c r="Y365" s="1"/>
      <c r="Z365" s="1"/>
    </row>
    <row r="366" spans="1:26" ht="12.75" customHeight="1">
      <c r="A366" s="1"/>
      <c r="B366" s="10" t="str">
        <f ca="1">IFERROR(__xludf.DUMMYFUNCTION("""COMPUTED_VALUE"""),"MEJORAMIENTO MULTICANCHA POBLACION LOS COPIHUES")</f>
        <v>MEJORAMIENTO MULTICANCHA POBLACION LOS COPIHUES</v>
      </c>
      <c r="C366" s="10" t="str">
        <f ca="1">IFERROR(__xludf.DUMMYFUNCTION("""COMPUTED_VALUE"""),"1-C-2020-562")</f>
        <v>1-C-2020-562</v>
      </c>
      <c r="D366" s="26" t="str">
        <f t="shared" ca="1" si="0"/>
        <v xml:space="preserve"> LLAILLAY</v>
      </c>
      <c r="E366" s="10" t="str">
        <f ca="1">IFERROR(__xludf.DUMMYFUNCTION("""COMPUTED_VALUE"""),"Guía Operativa")</f>
        <v>Guía Operativa</v>
      </c>
      <c r="F366" s="10" t="str">
        <f ca="1">IFERROR(__xludf.DUMMYFUNCTION("""COMPUTED_VALUE"""),"MUNICIPALIDAD DE LLAILLAY")</f>
        <v>MUNICIPALIDAD DE LLAILLAY</v>
      </c>
      <c r="G366" s="71">
        <f ca="1">IFERROR(__xludf.DUMMYFUNCTION("""COMPUTED_VALUE"""),73988211)</f>
        <v>73988211</v>
      </c>
      <c r="H366" s="10" t="str">
        <f ca="1">IFERROR(__xludf.DUMMYFUNCTION("""COMPUTED_VALUE"""),"Resolución")</f>
        <v>Resolución</v>
      </c>
      <c r="I366" s="10" t="str">
        <f ca="1">IFERROR(__xludf.DUMMYFUNCTION("""COMPUTED_VALUE"""),"OBRA")</f>
        <v>OBRA</v>
      </c>
      <c r="J366" s="10" t="str">
        <f ca="1">IFERROR(__xludf.DUMMYFUNCTION("""COMPUTED_VALUE"""),"Cumplir con normativa y reglamentos internos del programa en base a los objetivos.")</f>
        <v>Cumplir con normativa y reglamentos internos del programa en base a los objetivos.</v>
      </c>
      <c r="K366" s="71">
        <f ca="1">IFERROR(__xludf.DUMMYFUNCTION("""COMPUTED_VALUE"""),16711242)</f>
        <v>16711242</v>
      </c>
      <c r="L366" s="72">
        <f ca="1">IFERROR(__xludf.DUMMYFUNCTION("""COMPUTED_VALUE"""),0.999930164550133)</f>
        <v>0.99993016455013295</v>
      </c>
      <c r="M366" s="10">
        <f ca="1">IFERROR(__xludf.DUMMYFUNCTION("""COMPUTED_VALUE"""),12142)</f>
        <v>12142</v>
      </c>
      <c r="N366" s="10" t="str">
        <f ca="1">IFERROR(__xludf.DUMMYFUNCTION("""COMPUTED_VALUE"""),"PMU")</f>
        <v>PMU</v>
      </c>
      <c r="O366" s="1"/>
      <c r="P366" s="1"/>
      <c r="Q366" s="1"/>
      <c r="R366" s="1"/>
      <c r="S366" s="1"/>
      <c r="T366" s="1"/>
      <c r="U366" s="1"/>
      <c r="V366" s="1"/>
      <c r="W366" s="1"/>
      <c r="X366" s="1"/>
      <c r="Y366" s="1"/>
      <c r="Z366" s="1"/>
    </row>
    <row r="367" spans="1:26" ht="12.75" customHeight="1">
      <c r="A367" s="1"/>
      <c r="B367" s="10" t="str">
        <f ca="1">IFERROR(__xludf.DUMMYFUNCTION("""COMPUTED_VALUE"""),"CONSTRUCCIÓN MULTICANCHA RINCÓN DEL SOL")</f>
        <v>CONSTRUCCIÓN MULTICANCHA RINCÓN DEL SOL</v>
      </c>
      <c r="C367" s="10" t="str">
        <f ca="1">IFERROR(__xludf.DUMMYFUNCTION("""COMPUTED_VALUE"""),"1-C-2020-701")</f>
        <v>1-C-2020-701</v>
      </c>
      <c r="D367" s="26" t="str">
        <f t="shared" ca="1" si="0"/>
        <v xml:space="preserve"> VILLA ALEMANA</v>
      </c>
      <c r="E367" s="10" t="str">
        <f ca="1">IFERROR(__xludf.DUMMYFUNCTION("""COMPUTED_VALUE"""),"Guía Operativa")</f>
        <v>Guía Operativa</v>
      </c>
      <c r="F367" s="10" t="str">
        <f ca="1">IFERROR(__xludf.DUMMYFUNCTION("""COMPUTED_VALUE"""),"MUNICIPALIDAD DE VILLA ALEMANA")</f>
        <v>MUNICIPALIDAD DE VILLA ALEMANA</v>
      </c>
      <c r="G367" s="71">
        <f ca="1">IFERROR(__xludf.DUMMYFUNCTION("""COMPUTED_VALUE"""),74975396)</f>
        <v>74975396</v>
      </c>
      <c r="H367" s="10" t="str">
        <f ca="1">IFERROR(__xludf.DUMMYFUNCTION("""COMPUTED_VALUE"""),"Resolución")</f>
        <v>Resolución</v>
      </c>
      <c r="I367" s="10" t="str">
        <f ca="1">IFERROR(__xludf.DUMMYFUNCTION("""COMPUTED_VALUE"""),"OBRA")</f>
        <v>OBRA</v>
      </c>
      <c r="J367" s="10" t="str">
        <f ca="1">IFERROR(__xludf.DUMMYFUNCTION("""COMPUTED_VALUE"""),"Cumplir con normativa y reglamentos internos del programa en base a los objetivos.")</f>
        <v>Cumplir con normativa y reglamentos internos del programa en base a los objetivos.</v>
      </c>
      <c r="K367" s="71">
        <f ca="1">IFERROR(__xludf.DUMMYFUNCTION("""COMPUTED_VALUE"""),17002871)</f>
        <v>17002871</v>
      </c>
      <c r="L367" s="72">
        <f ca="1">IFERROR(__xludf.DUMMYFUNCTION("""COMPUTED_VALUE"""),0.999741768619668)</f>
        <v>0.99974176861966801</v>
      </c>
      <c r="M367" s="10">
        <f ca="1">IFERROR(__xludf.DUMMYFUNCTION("""COMPUTED_VALUE"""),12161)</f>
        <v>12161</v>
      </c>
      <c r="N367" s="10" t="str">
        <f ca="1">IFERROR(__xludf.DUMMYFUNCTION("""COMPUTED_VALUE"""),"PMU")</f>
        <v>PMU</v>
      </c>
      <c r="O367" s="1"/>
      <c r="P367" s="1"/>
      <c r="Q367" s="1"/>
      <c r="R367" s="1"/>
      <c r="S367" s="1"/>
      <c r="T367" s="1"/>
      <c r="U367" s="1"/>
      <c r="V367" s="1"/>
      <c r="W367" s="1"/>
      <c r="X367" s="1"/>
      <c r="Y367" s="1"/>
      <c r="Z367" s="1"/>
    </row>
    <row r="368" spans="1:26" ht="12.75" customHeight="1">
      <c r="A368" s="1"/>
      <c r="B368" s="10" t="str">
        <f ca="1">IFERROR(__xludf.DUMMYFUNCTION("""COMPUTED_VALUE"""),"MEJORAMIENTO MULTICANCHA POBLACION 21 DE MAYO, COMUNA DE LLAY-LLAY")</f>
        <v>MEJORAMIENTO MULTICANCHA POBLACION 21 DE MAYO, COMUNA DE LLAY-LLAY</v>
      </c>
      <c r="C368" s="10" t="str">
        <f ca="1">IFERROR(__xludf.DUMMYFUNCTION("""COMPUTED_VALUE"""),"1-C-2020-1255")</f>
        <v>1-C-2020-1255</v>
      </c>
      <c r="D368" s="26" t="str">
        <f t="shared" ca="1" si="0"/>
        <v xml:space="preserve"> LLAILLAY</v>
      </c>
      <c r="E368" s="10" t="str">
        <f ca="1">IFERROR(__xludf.DUMMYFUNCTION("""COMPUTED_VALUE"""),"Guía Operativa")</f>
        <v>Guía Operativa</v>
      </c>
      <c r="F368" s="10" t="str">
        <f ca="1">IFERROR(__xludf.DUMMYFUNCTION("""COMPUTED_VALUE"""),"MUNICIPALIDAD DE LLAILLAY")</f>
        <v>MUNICIPALIDAD DE LLAILLAY</v>
      </c>
      <c r="G368" s="71">
        <f ca="1">IFERROR(__xludf.DUMMYFUNCTION("""COMPUTED_VALUE"""),64419720)</f>
        <v>64419720</v>
      </c>
      <c r="H368" s="10" t="str">
        <f ca="1">IFERROR(__xludf.DUMMYFUNCTION("""COMPUTED_VALUE"""),"Resolución")</f>
        <v>Resolución</v>
      </c>
      <c r="I368" s="10" t="str">
        <f ca="1">IFERROR(__xludf.DUMMYFUNCTION("""COMPUTED_VALUE"""),"OBRA")</f>
        <v>OBRA</v>
      </c>
      <c r="J368" s="10" t="str">
        <f ca="1">IFERROR(__xludf.DUMMYFUNCTION("""COMPUTED_VALUE"""),"Cumplir con normativa y reglamentos internos del programa en base a los objetivos.")</f>
        <v>Cumplir con normativa y reglamentos internos del programa en base a los objetivos.</v>
      </c>
      <c r="K368" s="71">
        <f ca="1">IFERROR(__xludf.DUMMYFUNCTION("""COMPUTED_VALUE"""),14464557)</f>
        <v>14464557</v>
      </c>
      <c r="L368" s="72">
        <f ca="1">IFERROR(__xludf.DUMMYFUNCTION("""COMPUTED_VALUE"""),0.999968255062269)</f>
        <v>0.99996825506226905</v>
      </c>
      <c r="M368" s="10">
        <f ca="1">IFERROR(__xludf.DUMMYFUNCTION("""COMPUTED_VALUE"""),12142)</f>
        <v>12142</v>
      </c>
      <c r="N368" s="10" t="str">
        <f ca="1">IFERROR(__xludf.DUMMYFUNCTION("""COMPUTED_VALUE"""),"PMU")</f>
        <v>PMU</v>
      </c>
      <c r="O368" s="1"/>
      <c r="P368" s="1"/>
      <c r="Q368" s="1"/>
      <c r="R368" s="1"/>
      <c r="S368" s="1"/>
      <c r="T368" s="1"/>
      <c r="U368" s="1"/>
      <c r="V368" s="1"/>
      <c r="W368" s="1"/>
      <c r="X368" s="1"/>
      <c r="Y368" s="1"/>
      <c r="Z368" s="1"/>
    </row>
    <row r="369" spans="1:26" ht="12.75" customHeight="1">
      <c r="A369" s="1"/>
      <c r="B369" s="10" t="str">
        <f ca="1">IFERROR(__xludf.DUMMYFUNCTION("""COMPUTED_VALUE"""),"PAVIMENTACIÓN CALLE ALBATROS")</f>
        <v>PAVIMENTACIÓN CALLE ALBATROS</v>
      </c>
      <c r="C369" s="10" t="str">
        <f ca="1">IFERROR(__xludf.DUMMYFUNCTION("""COMPUTED_VALUE"""),"1-C-2022-53 [FET]")</f>
        <v>1-C-2022-53 [FET]</v>
      </c>
      <c r="D369" s="26" t="str">
        <f t="shared" ca="1" si="0"/>
        <v xml:space="preserve"> PUCHUNCAVÍ</v>
      </c>
      <c r="E369" s="10" t="str">
        <f ca="1">IFERROR(__xludf.DUMMYFUNCTION("""COMPUTED_VALUE"""),"Guía Operativa")</f>
        <v>Guía Operativa</v>
      </c>
      <c r="F369" s="10" t="str">
        <f ca="1">IFERROR(__xludf.DUMMYFUNCTION("""COMPUTED_VALUE"""),"MUNICIPALIDAD DE PUCHUNCAVÍ")</f>
        <v>MUNICIPALIDAD DE PUCHUNCAVÍ</v>
      </c>
      <c r="G369" s="71">
        <f ca="1">IFERROR(__xludf.DUMMYFUNCTION("""COMPUTED_VALUE"""),72328044)</f>
        <v>72328044</v>
      </c>
      <c r="H369" s="10" t="str">
        <f ca="1">IFERROR(__xludf.DUMMYFUNCTION("""COMPUTED_VALUE"""),"Resolución")</f>
        <v>Resolución</v>
      </c>
      <c r="I369" s="10" t="str">
        <f ca="1">IFERROR(__xludf.DUMMYFUNCTION("""COMPUTED_VALUE"""),"OBRA")</f>
        <v>OBRA</v>
      </c>
      <c r="J369" s="10" t="str">
        <f ca="1">IFERROR(__xludf.DUMMYFUNCTION("""COMPUTED_VALUE"""),"Cumplir con normativa y reglamentos internos del programa en base a los objetivos.")</f>
        <v>Cumplir con normativa y reglamentos internos del programa en base a los objetivos.</v>
      </c>
      <c r="K369" s="71">
        <f ca="1">IFERROR(__xludf.DUMMYFUNCTION("""COMPUTED_VALUE"""),16588550)</f>
        <v>16588550</v>
      </c>
      <c r="L369" s="72">
        <f ca="1">IFERROR(__xludf.DUMMYFUNCTION("""COMPUTED_VALUE"""),0.999929819752902)</f>
        <v>0.99992981975290196</v>
      </c>
      <c r="M369" s="10">
        <f ca="1">IFERROR(__xludf.DUMMYFUNCTION("""COMPUTED_VALUE"""),7655)</f>
        <v>7655</v>
      </c>
      <c r="N369" s="10" t="str">
        <f ca="1">IFERROR(__xludf.DUMMYFUNCTION("""COMPUTED_VALUE"""),"PMU")</f>
        <v>PMU</v>
      </c>
      <c r="O369" s="1"/>
      <c r="P369" s="1"/>
      <c r="Q369" s="1"/>
      <c r="R369" s="1"/>
      <c r="S369" s="1"/>
      <c r="T369" s="1"/>
      <c r="U369" s="1"/>
      <c r="V369" s="1"/>
      <c r="W369" s="1"/>
      <c r="X369" s="1"/>
      <c r="Y369" s="1"/>
      <c r="Z369" s="1"/>
    </row>
    <row r="370" spans="1:26" ht="12.75" customHeight="1">
      <c r="A370" s="1"/>
      <c r="B370" s="10" t="str">
        <f ca="1">IFERROR(__xludf.DUMMYFUNCTION("""COMPUTED_VALUE"""),"[SATE] REPOSICIÓN CUBIERTA Y VENTANAS GIMNASIO MUNICIPAL")</f>
        <v>[SATE] REPOSICIÓN CUBIERTA Y VENTANAS GIMNASIO MUNICIPAL</v>
      </c>
      <c r="C370" s="10" t="str">
        <f ca="1">IFERROR(__xludf.DUMMYFUNCTION("""COMPUTED_VALUE"""),"1-C-2023-344")</f>
        <v>1-C-2023-344</v>
      </c>
      <c r="D370" s="26" t="str">
        <f t="shared" ca="1" si="0"/>
        <v xml:space="preserve"> PAPUDO</v>
      </c>
      <c r="E370" s="10" t="str">
        <f ca="1">IFERROR(__xludf.DUMMYFUNCTION("""COMPUTED_VALUE"""),"Guía Operativa")</f>
        <v>Guía Operativa</v>
      </c>
      <c r="F370" s="10" t="str">
        <f ca="1">IFERROR(__xludf.DUMMYFUNCTION("""COMPUTED_VALUE"""),"MUNICIPALIDAD DE PAPUDO")</f>
        <v>MUNICIPALIDAD DE PAPUDO</v>
      </c>
      <c r="G370" s="71">
        <f ca="1">IFERROR(__xludf.DUMMYFUNCTION("""COMPUTED_VALUE"""),154422492)</f>
        <v>154422492</v>
      </c>
      <c r="H370" s="10" t="str">
        <f ca="1">IFERROR(__xludf.DUMMYFUNCTION("""COMPUTED_VALUE"""),"Resolución")</f>
        <v>Resolución</v>
      </c>
      <c r="I370" s="10" t="str">
        <f ca="1">IFERROR(__xludf.DUMMYFUNCTION("""COMPUTED_VALUE"""),"OBRA")</f>
        <v>OBRA</v>
      </c>
      <c r="J370" s="10" t="str">
        <f ca="1">IFERROR(__xludf.DUMMYFUNCTION("""COMPUTED_VALUE"""),"Cumplir con normativa y reglamentos internos del programa en base a los objetivos.")</f>
        <v>Cumplir con normativa y reglamentos internos del programa en base a los objetivos.</v>
      </c>
      <c r="K370" s="71">
        <f ca="1">IFERROR(__xludf.DUMMYFUNCTION("""COMPUTED_VALUE"""),154422492)</f>
        <v>154422492</v>
      </c>
      <c r="L370" s="72">
        <f ca="1">IFERROR(__xludf.DUMMYFUNCTION("""COMPUTED_VALUE"""),1)</f>
        <v>1</v>
      </c>
      <c r="M370" s="10">
        <f ca="1">IFERROR(__xludf.DUMMYFUNCTION("""COMPUTED_VALUE"""),5300)</f>
        <v>5300</v>
      </c>
      <c r="N370" s="10" t="str">
        <f ca="1">IFERROR(__xludf.DUMMYFUNCTION("""COMPUTED_VALUE"""),"PMU")</f>
        <v>PMU</v>
      </c>
      <c r="O370" s="1"/>
      <c r="P370" s="1"/>
      <c r="Q370" s="1"/>
      <c r="R370" s="1"/>
      <c r="S370" s="1"/>
      <c r="T370" s="1"/>
      <c r="U370" s="1"/>
      <c r="V370" s="1"/>
      <c r="W370" s="1"/>
      <c r="X370" s="1"/>
      <c r="Y370" s="1"/>
      <c r="Z370" s="1"/>
    </row>
    <row r="371" spans="1:26" ht="12.75" customHeight="1">
      <c r="A371" s="1"/>
      <c r="B371" s="10" t="str">
        <f ca="1">IFERROR(__xludf.DUMMYFUNCTION("""COMPUTED_VALUE"""),"CSV REPOSICIÓN SISTEMA DE ILUMINACIÓN MANUEL GUERRERO")</f>
        <v>CSV REPOSICIÓN SISTEMA DE ILUMINACIÓN MANUEL GUERRERO</v>
      </c>
      <c r="C371" s="10" t="str">
        <f ca="1">IFERROR(__xludf.DUMMYFUNCTION("""COMPUTED_VALUE"""),"1-C-2023-2307")</f>
        <v>1-C-2023-2307</v>
      </c>
      <c r="D371" s="26" t="str">
        <f t="shared" ca="1" si="0"/>
        <v xml:space="preserve"> VALPARAÍSO</v>
      </c>
      <c r="E371" s="10" t="str">
        <f ca="1">IFERROR(__xludf.DUMMYFUNCTION("""COMPUTED_VALUE"""),"Guía Operativa")</f>
        <v>Guía Operativa</v>
      </c>
      <c r="F371" s="10" t="str">
        <f ca="1">IFERROR(__xludf.DUMMYFUNCTION("""COMPUTED_VALUE"""),"MUNICIPALIDAD DE VALPARAÍSO")</f>
        <v>MUNICIPALIDAD DE VALPARAÍSO</v>
      </c>
      <c r="G371" s="71">
        <f ca="1">IFERROR(__xludf.DUMMYFUNCTION("""COMPUTED_VALUE"""),153886944)</f>
        <v>153886944</v>
      </c>
      <c r="H371" s="10" t="str">
        <f ca="1">IFERROR(__xludf.DUMMYFUNCTION("""COMPUTED_VALUE"""),"Resolución")</f>
        <v>Resolución</v>
      </c>
      <c r="I371" s="10" t="str">
        <f ca="1">IFERROR(__xludf.DUMMYFUNCTION("""COMPUTED_VALUE"""),"OBRA")</f>
        <v>OBRA</v>
      </c>
      <c r="J371" s="10" t="str">
        <f ca="1">IFERROR(__xludf.DUMMYFUNCTION("""COMPUTED_VALUE"""),"Cumplir con normativa y reglamentos internos del programa en base a los objetivos.")</f>
        <v>Cumplir con normativa y reglamentos internos del programa en base a los objetivos.</v>
      </c>
      <c r="K371" s="71">
        <f ca="1">IFERROR(__xludf.DUMMYFUNCTION("""COMPUTED_VALUE"""),153886944)</f>
        <v>153886944</v>
      </c>
      <c r="L371" s="72">
        <f ca="1">IFERROR(__xludf.DUMMYFUNCTION("""COMPUTED_VALUE"""),1)</f>
        <v>1</v>
      </c>
      <c r="M371" s="10">
        <f ca="1">IFERROR(__xludf.DUMMYFUNCTION("""COMPUTED_VALUE"""),4543)</f>
        <v>4543</v>
      </c>
      <c r="N371" s="10" t="str">
        <f ca="1">IFERROR(__xludf.DUMMYFUNCTION("""COMPUTED_VALUE"""),"PMU")</f>
        <v>PMU</v>
      </c>
      <c r="O371" s="1"/>
      <c r="P371" s="1"/>
      <c r="Q371" s="1"/>
      <c r="R371" s="1"/>
      <c r="S371" s="1"/>
      <c r="T371" s="1"/>
      <c r="U371" s="1"/>
      <c r="V371" s="1"/>
      <c r="W371" s="1"/>
      <c r="X371" s="1"/>
      <c r="Y371" s="1"/>
      <c r="Z371" s="1"/>
    </row>
    <row r="372" spans="1:26" ht="12.75" customHeight="1">
      <c r="A372" s="1"/>
      <c r="B372" s="10" t="str">
        <f ca="1">IFERROR(__xludf.DUMMYFUNCTION("""COMPUTED_VALUE"""),"SPD AMPLIACIÓN DEL SISTEMA DE TELEPROTECCIÓN, COMUNA DE COINCO")</f>
        <v>SPD AMPLIACIÓN DEL SISTEMA DE TELEPROTECCIÓN, COMUNA DE COINCO</v>
      </c>
      <c r="C372" s="10" t="str">
        <f ca="1">IFERROR(__xludf.DUMMYFUNCTION("""COMPUTED_VALUE"""),"1-SPD-2022-437")</f>
        <v>1-SPD-2022-437</v>
      </c>
      <c r="D372" s="26" t="str">
        <f t="shared" ca="1" si="0"/>
        <v xml:space="preserve"> COINCO</v>
      </c>
      <c r="E372" s="10" t="str">
        <f ca="1">IFERROR(__xludf.DUMMYFUNCTION("""COMPUTED_VALUE"""),"Guía Operativa")</f>
        <v>Guía Operativa</v>
      </c>
      <c r="F372" s="10" t="str">
        <f ca="1">IFERROR(__xludf.DUMMYFUNCTION("""COMPUTED_VALUE"""),"MUNICIPALIDAD DE COINCO")</f>
        <v>MUNICIPALIDAD DE COINCO</v>
      </c>
      <c r="G372" s="71">
        <f ca="1">IFERROR(__xludf.DUMMYFUNCTION("""COMPUTED_VALUE"""),74926119)</f>
        <v>74926119</v>
      </c>
      <c r="H372" s="10" t="str">
        <f ca="1">IFERROR(__xludf.DUMMYFUNCTION("""COMPUTED_VALUE"""),"Resolución")</f>
        <v>Resolución</v>
      </c>
      <c r="I372" s="10" t="str">
        <f ca="1">IFERROR(__xludf.DUMMYFUNCTION("""COMPUTED_VALUE"""),"OBRA")</f>
        <v>OBRA</v>
      </c>
      <c r="J372" s="10" t="str">
        <f ca="1">IFERROR(__xludf.DUMMYFUNCTION("""COMPUTED_VALUE"""),"Cumplir con normativa y reglamentos internos del programa en base a los objetivos.")</f>
        <v>Cumplir con normativa y reglamentos internos del programa en base a los objetivos.</v>
      </c>
      <c r="K372" s="71">
        <f ca="1">IFERROR(__xludf.DUMMYFUNCTION("""COMPUTED_VALUE"""),74926119)</f>
        <v>74926119</v>
      </c>
      <c r="L372" s="72">
        <f ca="1">IFERROR(__xludf.DUMMYFUNCTION("""COMPUTED_VALUE"""),1)</f>
        <v>1</v>
      </c>
      <c r="M372" s="10">
        <f ca="1">IFERROR(__xludf.DUMMYFUNCTION("""COMPUTED_VALUE"""),4129)</f>
        <v>4129</v>
      </c>
      <c r="N372" s="10" t="str">
        <f ca="1">IFERROR(__xludf.DUMMYFUNCTION("""COMPUTED_VALUE"""),"PMU")</f>
        <v>PMU</v>
      </c>
      <c r="O372" s="1"/>
      <c r="P372" s="1"/>
      <c r="Q372" s="1"/>
      <c r="R372" s="1"/>
      <c r="S372" s="1"/>
      <c r="T372" s="1"/>
      <c r="U372" s="1"/>
      <c r="V372" s="1"/>
      <c r="W372" s="1"/>
      <c r="X372" s="1"/>
      <c r="Y372" s="1"/>
      <c r="Z372" s="1"/>
    </row>
    <row r="373" spans="1:26" ht="12.75" customHeight="1">
      <c r="A373" s="1"/>
      <c r="B373" s="10" t="str">
        <f ca="1">IFERROR(__xludf.DUMMYFUNCTION("""COMPUTED_VALUE"""),"SATE, INSTALACIÓN LUMINARIAS SECTORES LA MINA - LAS ARAÑAS - LAS HIJUELAS - UVA BLANCA - LAS CHIRIGUAS - EL ALBA , COMUNA DE CHÉPICA")</f>
        <v>SATE, INSTALACIÓN LUMINARIAS SECTORES LA MINA - LAS ARAÑAS - LAS HIJUELAS - UVA BLANCA - LAS CHIRIGUAS - EL ALBA , COMUNA DE CHÉPICA</v>
      </c>
      <c r="C373" s="10" t="str">
        <f ca="1">IFERROR(__xludf.DUMMYFUNCTION("""COMPUTED_VALUE"""),"1-C-2023-1326")</f>
        <v>1-C-2023-1326</v>
      </c>
      <c r="D373" s="26" t="str">
        <f t="shared" ca="1" si="0"/>
        <v xml:space="preserve"> CHÉPICA</v>
      </c>
      <c r="E373" s="10" t="str">
        <f ca="1">IFERROR(__xludf.DUMMYFUNCTION("""COMPUTED_VALUE"""),"Guía Operativa")</f>
        <v>Guía Operativa</v>
      </c>
      <c r="F373" s="10" t="str">
        <f ca="1">IFERROR(__xludf.DUMMYFUNCTION("""COMPUTED_VALUE"""),"MUNICIPALIDAD DE CHÉPICA")</f>
        <v>MUNICIPALIDAD DE CHÉPICA</v>
      </c>
      <c r="G373" s="71">
        <f ca="1">IFERROR(__xludf.DUMMYFUNCTION("""COMPUTED_VALUE"""),154000000)</f>
        <v>154000000</v>
      </c>
      <c r="H373" s="10" t="str">
        <f ca="1">IFERROR(__xludf.DUMMYFUNCTION("""COMPUTED_VALUE"""),"Resolución")</f>
        <v>Resolución</v>
      </c>
      <c r="I373" s="10" t="str">
        <f ca="1">IFERROR(__xludf.DUMMYFUNCTION("""COMPUTED_VALUE"""),"OBRA")</f>
        <v>OBRA</v>
      </c>
      <c r="J373" s="10" t="str">
        <f ca="1">IFERROR(__xludf.DUMMYFUNCTION("""COMPUTED_VALUE"""),"Cumplir con normativa y reglamentos internos del programa en base a los objetivos.")</f>
        <v>Cumplir con normativa y reglamentos internos del programa en base a los objetivos.</v>
      </c>
      <c r="K373" s="71">
        <f ca="1">IFERROR(__xludf.DUMMYFUNCTION("""COMPUTED_VALUE"""),154000000)</f>
        <v>154000000</v>
      </c>
      <c r="L373" s="72">
        <f ca="1">IFERROR(__xludf.DUMMYFUNCTION("""COMPUTED_VALUE"""),1)</f>
        <v>1</v>
      </c>
      <c r="M373" s="10">
        <f ca="1">IFERROR(__xludf.DUMMYFUNCTION("""COMPUTED_VALUE"""),4795)</f>
        <v>4795</v>
      </c>
      <c r="N373" s="10" t="str">
        <f ca="1">IFERROR(__xludf.DUMMYFUNCTION("""COMPUTED_VALUE"""),"PMU")</f>
        <v>PMU</v>
      </c>
      <c r="O373" s="1"/>
      <c r="P373" s="1"/>
      <c r="Q373" s="1"/>
      <c r="R373" s="1"/>
      <c r="S373" s="1"/>
      <c r="T373" s="1"/>
      <c r="U373" s="1"/>
      <c r="V373" s="1"/>
      <c r="W373" s="1"/>
      <c r="X373" s="1"/>
      <c r="Y373" s="1"/>
      <c r="Z373" s="1"/>
    </row>
    <row r="374" spans="1:26" ht="12.75" customHeight="1">
      <c r="A374" s="1"/>
      <c r="B374" s="10" t="str">
        <f ca="1">IFERROR(__xludf.DUMMYFUNCTION("""COMPUTED_VALUE"""),"CONSTRUCCION CANCHA RECREATIVA CON CIERRO PERIMETRAL, JUNTA DE VECINOS JARDÍN DEL VALLE, TALCA")</f>
        <v>CONSTRUCCION CANCHA RECREATIVA CON CIERRO PERIMETRAL, JUNTA DE VECINOS JARDÍN DEL VALLE, TALCA</v>
      </c>
      <c r="C374" s="10" t="str">
        <f ca="1">IFERROR(__xludf.DUMMYFUNCTION("""COMPUTED_VALUE"""),"1-C-2019-1554")</f>
        <v>1-C-2019-1554</v>
      </c>
      <c r="D374" s="26" t="str">
        <f t="shared" ca="1" si="0"/>
        <v xml:space="preserve"> TALCA</v>
      </c>
      <c r="E374" s="10" t="str">
        <f ca="1">IFERROR(__xludf.DUMMYFUNCTION("""COMPUTED_VALUE"""),"Guía Operativa")</f>
        <v>Guía Operativa</v>
      </c>
      <c r="F374" s="10" t="str">
        <f ca="1">IFERROR(__xludf.DUMMYFUNCTION("""COMPUTED_VALUE"""),"MUNICIPALIDAD DE TALCA")</f>
        <v>MUNICIPALIDAD DE TALCA</v>
      </c>
      <c r="G374" s="71">
        <f ca="1">IFERROR(__xludf.DUMMYFUNCTION("""COMPUTED_VALUE"""),74958017)</f>
        <v>74958017</v>
      </c>
      <c r="H374" s="10" t="str">
        <f ca="1">IFERROR(__xludf.DUMMYFUNCTION("""COMPUTED_VALUE"""),"Resolución")</f>
        <v>Resolución</v>
      </c>
      <c r="I374" s="10" t="str">
        <f ca="1">IFERROR(__xludf.DUMMYFUNCTION("""COMPUTED_VALUE"""),"OBRA")</f>
        <v>OBRA</v>
      </c>
      <c r="J374" s="10" t="str">
        <f ca="1">IFERROR(__xludf.DUMMYFUNCTION("""COMPUTED_VALUE"""),"Cumplir con normativa y reglamentos internos del programa en base a los objetivos.")</f>
        <v>Cumplir con normativa y reglamentos internos del programa en base a los objetivos.</v>
      </c>
      <c r="K374" s="71">
        <f ca="1">IFERROR(__xludf.DUMMYFUNCTION("""COMPUTED_VALUE"""),55166559)</f>
        <v>55166559</v>
      </c>
      <c r="L374" s="72">
        <f ca="1">IFERROR(__xludf.DUMMYFUNCTION("""COMPUTED_VALUE"""),0.971613630067081)</f>
        <v>0.97161363006708101</v>
      </c>
      <c r="M374" s="10">
        <f ca="1">IFERROR(__xludf.DUMMYFUNCTION("""COMPUTED_VALUE"""),7954)</f>
        <v>7954</v>
      </c>
      <c r="N374" s="10" t="str">
        <f ca="1">IFERROR(__xludf.DUMMYFUNCTION("""COMPUTED_VALUE"""),"PMU")</f>
        <v>PMU</v>
      </c>
      <c r="O374" s="1"/>
      <c r="P374" s="1"/>
      <c r="Q374" s="1"/>
      <c r="R374" s="1"/>
      <c r="S374" s="1"/>
      <c r="T374" s="1"/>
      <c r="U374" s="1"/>
      <c r="V374" s="1"/>
      <c r="W374" s="1"/>
      <c r="X374" s="1"/>
      <c r="Y374" s="1"/>
      <c r="Z374" s="1"/>
    </row>
    <row r="375" spans="1:26" ht="12.75" customHeight="1">
      <c r="A375" s="1"/>
      <c r="B375" s="10" t="str">
        <f ca="1">IFERROR(__xludf.DUMMYFUNCTION("""COMPUTED_VALUE"""),"“MEJORAMIENTO ÁREA VERDE EN VILLA SOL DEL MAULE, COMUNA SAN JAVIER”")</f>
        <v>“MEJORAMIENTO ÁREA VERDE EN VILLA SOL DEL MAULE, COMUNA SAN JAVIER”</v>
      </c>
      <c r="C375" s="10" t="str">
        <f ca="1">IFERROR(__xludf.DUMMYFUNCTION("""COMPUTED_VALUE"""),"1-C-2021-267")</f>
        <v>1-C-2021-267</v>
      </c>
      <c r="D375" s="26" t="str">
        <f t="shared" ca="1" si="0"/>
        <v xml:space="preserve"> SAN JAVIER</v>
      </c>
      <c r="E375" s="10" t="str">
        <f ca="1">IFERROR(__xludf.DUMMYFUNCTION("""COMPUTED_VALUE"""),"Guía Operativa")</f>
        <v>Guía Operativa</v>
      </c>
      <c r="F375" s="10" t="str">
        <f ca="1">IFERROR(__xludf.DUMMYFUNCTION("""COMPUTED_VALUE"""),"MUNICIPALIDAD DE SAN JAVIER")</f>
        <v>MUNICIPALIDAD DE SAN JAVIER</v>
      </c>
      <c r="G375" s="71">
        <f ca="1">IFERROR(__xludf.DUMMYFUNCTION("""COMPUTED_VALUE"""),74989126)</f>
        <v>74989126</v>
      </c>
      <c r="H375" s="10" t="str">
        <f ca="1">IFERROR(__xludf.DUMMYFUNCTION("""COMPUTED_VALUE"""),"Resolución")</f>
        <v>Resolución</v>
      </c>
      <c r="I375" s="10" t="str">
        <f ca="1">IFERROR(__xludf.DUMMYFUNCTION("""COMPUTED_VALUE"""),"OBRA")</f>
        <v>OBRA</v>
      </c>
      <c r="J375" s="10" t="str">
        <f ca="1">IFERROR(__xludf.DUMMYFUNCTION("""COMPUTED_VALUE"""),"Cumplir con normativa y reglamentos internos del programa en base a los objetivos.")</f>
        <v>Cumplir con normativa y reglamentos internos del programa en base a los objetivos.</v>
      </c>
      <c r="K375" s="71">
        <f ca="1">IFERROR(__xludf.DUMMYFUNCTION("""COMPUTED_VALUE"""),14997875)</f>
        <v>14997875</v>
      </c>
      <c r="L375" s="72">
        <f ca="1">IFERROR(__xludf.DUMMYFUNCTION("""COMPUTED_VALUE"""),1)</f>
        <v>1</v>
      </c>
      <c r="M375" s="10">
        <f ca="1">IFERROR(__xludf.DUMMYFUNCTION("""COMPUTED_VALUE"""),12281)</f>
        <v>12281</v>
      </c>
      <c r="N375" s="10" t="str">
        <f ca="1">IFERROR(__xludf.DUMMYFUNCTION("""COMPUTED_VALUE"""),"PMU")</f>
        <v>PMU</v>
      </c>
      <c r="O375" s="1"/>
      <c r="P375" s="1"/>
      <c r="Q375" s="1"/>
      <c r="R375" s="1"/>
      <c r="S375" s="1"/>
      <c r="T375" s="1"/>
      <c r="U375" s="1"/>
      <c r="V375" s="1"/>
      <c r="W375" s="1"/>
      <c r="X375" s="1"/>
      <c r="Y375" s="1"/>
      <c r="Z375" s="1"/>
    </row>
    <row r="376" spans="1:26" ht="12.75" customHeight="1">
      <c r="A376" s="1"/>
      <c r="B376" s="10" t="str">
        <f ca="1">IFERROR(__xludf.DUMMYFUNCTION("""COMPUTED_VALUE"""),"REPARACIÓN DE BACHES DIVERSOS SECTORES, COMUNA DE TALCA")</f>
        <v>REPARACIÓN DE BACHES DIVERSOS SECTORES, COMUNA DE TALCA</v>
      </c>
      <c r="C376" s="10" t="str">
        <f ca="1">IFERROR(__xludf.DUMMYFUNCTION("""COMPUTED_VALUE"""),"1-C-2022-284 [CHA]")</f>
        <v>1-C-2022-284 [CHA]</v>
      </c>
      <c r="D376" s="26" t="str">
        <f t="shared" ca="1" si="0"/>
        <v xml:space="preserve"> TALCA</v>
      </c>
      <c r="E376" s="10" t="str">
        <f ca="1">IFERROR(__xludf.DUMMYFUNCTION("""COMPUTED_VALUE"""),"Guía Operativa")</f>
        <v>Guía Operativa</v>
      </c>
      <c r="F376" s="10" t="str">
        <f ca="1">IFERROR(__xludf.DUMMYFUNCTION("""COMPUTED_VALUE"""),"MUNICIPALIDAD DE TALCA")</f>
        <v>MUNICIPALIDAD DE TALCA</v>
      </c>
      <c r="G376" s="71">
        <f ca="1">IFERROR(__xludf.DUMMYFUNCTION("""COMPUTED_VALUE"""),97462582)</f>
        <v>97462582</v>
      </c>
      <c r="H376" s="10" t="str">
        <f ca="1">IFERROR(__xludf.DUMMYFUNCTION("""COMPUTED_VALUE"""),"Resolución")</f>
        <v>Resolución</v>
      </c>
      <c r="I376" s="10" t="str">
        <f ca="1">IFERROR(__xludf.DUMMYFUNCTION("""COMPUTED_VALUE"""),"OBRA")</f>
        <v>OBRA</v>
      </c>
      <c r="J376" s="10" t="str">
        <f ca="1">IFERROR(__xludf.DUMMYFUNCTION("""COMPUTED_VALUE"""),"Cumplir con normativa y reglamentos internos del programa en base a los objetivos.")</f>
        <v>Cumplir con normativa y reglamentos internos del programa en base a los objetivos.</v>
      </c>
      <c r="K376" s="71">
        <f ca="1">IFERROR(__xludf.DUMMYFUNCTION("""COMPUTED_VALUE"""),19014445)</f>
        <v>19014445</v>
      </c>
      <c r="L376" s="72">
        <f ca="1">IFERROR(__xludf.DUMMYFUNCTION("""COMPUTED_VALUE"""),0.96360340627955)</f>
        <v>0.96360340627954999</v>
      </c>
      <c r="M376" s="10">
        <f ca="1">IFERROR(__xludf.DUMMYFUNCTION("""COMPUTED_VALUE"""),7475)</f>
        <v>7475</v>
      </c>
      <c r="N376" s="10" t="str">
        <f ca="1">IFERROR(__xludf.DUMMYFUNCTION("""COMPUTED_VALUE"""),"PMU")</f>
        <v>PMU</v>
      </c>
      <c r="O376" s="1"/>
      <c r="P376" s="1"/>
      <c r="Q376" s="1"/>
      <c r="R376" s="1"/>
      <c r="S376" s="1"/>
      <c r="T376" s="1"/>
      <c r="U376" s="1"/>
      <c r="V376" s="1"/>
      <c r="W376" s="1"/>
      <c r="X376" s="1"/>
      <c r="Y376" s="1"/>
      <c r="Z376" s="1"/>
    </row>
    <row r="377" spans="1:26" ht="12.75" customHeight="1">
      <c r="A377" s="1"/>
      <c r="B377" s="10" t="str">
        <f ca="1">IFERROR(__xludf.DUMMYFUNCTION("""COMPUTED_VALUE"""),"MEJORAMIENTO PARQUE PABLO NERUDA, CLUB DEL ÁRBOL, TALCA.")</f>
        <v>MEJORAMIENTO PARQUE PABLO NERUDA, CLUB DEL ÁRBOL, TALCA.</v>
      </c>
      <c r="C377" s="10" t="str">
        <f ca="1">IFERROR(__xludf.DUMMYFUNCTION("""COMPUTED_VALUE"""),"1-C-2022-474 [CHA]")</f>
        <v>1-C-2022-474 [CHA]</v>
      </c>
      <c r="D377" s="26" t="str">
        <f t="shared" ca="1" si="0"/>
        <v xml:space="preserve"> TALCA</v>
      </c>
      <c r="E377" s="10" t="str">
        <f ca="1">IFERROR(__xludf.DUMMYFUNCTION("""COMPUTED_VALUE"""),"Guía Operativa")</f>
        <v>Guía Operativa</v>
      </c>
      <c r="F377" s="10" t="str">
        <f ca="1">IFERROR(__xludf.DUMMYFUNCTION("""COMPUTED_VALUE"""),"MUNICIPALIDAD DE TALCA")</f>
        <v>MUNICIPALIDAD DE TALCA</v>
      </c>
      <c r="G377" s="71">
        <f ca="1">IFERROR(__xludf.DUMMYFUNCTION("""COMPUTED_VALUE"""),95908706)</f>
        <v>95908706</v>
      </c>
      <c r="H377" s="10" t="str">
        <f ca="1">IFERROR(__xludf.DUMMYFUNCTION("""COMPUTED_VALUE"""),"Resolución")</f>
        <v>Resolución</v>
      </c>
      <c r="I377" s="10" t="str">
        <f ca="1">IFERROR(__xludf.DUMMYFUNCTION("""COMPUTED_VALUE"""),"OBRA")</f>
        <v>OBRA</v>
      </c>
      <c r="J377" s="10" t="str">
        <f ca="1">IFERROR(__xludf.DUMMYFUNCTION("""COMPUTED_VALUE"""),"Cumplir con normativa y reglamentos internos del programa en base a los objetivos.")</f>
        <v>Cumplir con normativa y reglamentos internos del programa en base a los objetivos.</v>
      </c>
      <c r="K377" s="71">
        <f ca="1">IFERROR(__xludf.DUMMYFUNCTION("""COMPUTED_VALUE"""),21861952)</f>
        <v>21861952</v>
      </c>
      <c r="L377" s="72">
        <f ca="1">IFERROR(__xludf.DUMMYFUNCTION("""COMPUTED_VALUE"""),0.999999885307596)</f>
        <v>0.99999988530759598</v>
      </c>
      <c r="M377" s="10">
        <f ca="1">IFERROR(__xludf.DUMMYFUNCTION("""COMPUTED_VALUE"""),7475)</f>
        <v>7475</v>
      </c>
      <c r="N377" s="10" t="str">
        <f ca="1">IFERROR(__xludf.DUMMYFUNCTION("""COMPUTED_VALUE"""),"PMU")</f>
        <v>PMU</v>
      </c>
      <c r="O377" s="1"/>
      <c r="P377" s="1"/>
      <c r="Q377" s="1"/>
      <c r="R377" s="1"/>
      <c r="S377" s="1"/>
      <c r="T377" s="1"/>
      <c r="U377" s="1"/>
      <c r="V377" s="1"/>
      <c r="W377" s="1"/>
      <c r="X377" s="1"/>
      <c r="Y377" s="1"/>
      <c r="Z377" s="1"/>
    </row>
    <row r="378" spans="1:26" ht="12.75" customHeight="1">
      <c r="A378" s="1"/>
      <c r="B378" s="10" t="str">
        <f ca="1">IFERROR(__xludf.DUMMYFUNCTION("""COMPUTED_VALUE"""),"[CATASTROFE] HABILITACION DE CAMINOS Y FOSAS SEPTICAS DE EDIFICIOS MUNICIPALES, COMUNA DE PENCAHUE")</f>
        <v>[CATASTROFE] HABILITACION DE CAMINOS Y FOSAS SEPTICAS DE EDIFICIOS MUNICIPALES, COMUNA DE PENCAHUE</v>
      </c>
      <c r="C378" s="10" t="str">
        <f ca="1">IFERROR(__xludf.DUMMYFUNCTION("""COMPUTED_VALUE"""),"1-C-2023-2810")</f>
        <v>1-C-2023-2810</v>
      </c>
      <c r="D378" s="26" t="str">
        <f t="shared" ca="1" si="0"/>
        <v xml:space="preserve"> PENCAHUE</v>
      </c>
      <c r="E378" s="10" t="str">
        <f ca="1">IFERROR(__xludf.DUMMYFUNCTION("""COMPUTED_VALUE"""),"Guía Operativa")</f>
        <v>Guía Operativa</v>
      </c>
      <c r="F378" s="10" t="str">
        <f ca="1">IFERROR(__xludf.DUMMYFUNCTION("""COMPUTED_VALUE"""),"MUNICIPALIDAD DE PENCAHUE")</f>
        <v>MUNICIPALIDAD DE PENCAHUE</v>
      </c>
      <c r="G378" s="71">
        <f ca="1">IFERROR(__xludf.DUMMYFUNCTION("""COMPUTED_VALUE"""),29996036)</f>
        <v>29996036</v>
      </c>
      <c r="H378" s="10" t="str">
        <f ca="1">IFERROR(__xludf.DUMMYFUNCTION("""COMPUTED_VALUE"""),"Resolución")</f>
        <v>Resolución</v>
      </c>
      <c r="I378" s="10" t="str">
        <f ca="1">IFERROR(__xludf.DUMMYFUNCTION("""COMPUTED_VALUE"""),"OBRA")</f>
        <v>OBRA</v>
      </c>
      <c r="J378" s="10" t="str">
        <f ca="1">IFERROR(__xludf.DUMMYFUNCTION("""COMPUTED_VALUE"""),"Cumplir con normativa y reglamentos internos del programa en base a los objetivos.")</f>
        <v>Cumplir con normativa y reglamentos internos del programa en base a los objetivos.</v>
      </c>
      <c r="K378" s="71">
        <f ca="1">IFERROR(__xludf.DUMMYFUNCTION("""COMPUTED_VALUE"""),29996036)</f>
        <v>29996036</v>
      </c>
      <c r="L378" s="72">
        <f ca="1">IFERROR(__xludf.DUMMYFUNCTION("""COMPUTED_VALUE"""),1)</f>
        <v>1</v>
      </c>
      <c r="M378" s="10">
        <f ca="1">IFERROR(__xludf.DUMMYFUNCTION("""COMPUTED_VALUE"""),5104)</f>
        <v>5104</v>
      </c>
      <c r="N378" s="10" t="str">
        <f ca="1">IFERROR(__xludf.DUMMYFUNCTION("""COMPUTED_VALUE"""),"PMU")</f>
        <v>PMU</v>
      </c>
      <c r="O378" s="1"/>
      <c r="P378" s="1"/>
      <c r="Q378" s="1"/>
      <c r="R378" s="1"/>
      <c r="S378" s="1"/>
      <c r="T378" s="1"/>
      <c r="U378" s="1"/>
      <c r="V378" s="1"/>
      <c r="W378" s="1"/>
      <c r="X378" s="1"/>
      <c r="Y378" s="1"/>
      <c r="Z378" s="1"/>
    </row>
    <row r="379" spans="1:26" ht="12.75" customHeight="1">
      <c r="A379" s="1"/>
      <c r="B379" s="10" t="str">
        <f ca="1">IFERROR(__xludf.DUMMYFUNCTION("""COMPUTED_VALUE"""),"CONSTRUCCIÓN ESPACIO PÚBLICO LOS AROMOS, SECTOR LAS PEÑAS")</f>
        <v>CONSTRUCCIÓN ESPACIO PÚBLICO LOS AROMOS, SECTOR LAS PEÑAS</v>
      </c>
      <c r="C379" s="10" t="str">
        <f ca="1">IFERROR(__xludf.DUMMYFUNCTION("""COMPUTED_VALUE"""),"1-C-2020-838 [FET]")</f>
        <v>1-C-2020-838 [FET]</v>
      </c>
      <c r="D379" s="26" t="str">
        <f t="shared" ca="1" si="0"/>
        <v xml:space="preserve"> MULCHÉN</v>
      </c>
      <c r="E379" s="10" t="str">
        <f ca="1">IFERROR(__xludf.DUMMYFUNCTION("""COMPUTED_VALUE"""),"Guía Operativa")</f>
        <v>Guía Operativa</v>
      </c>
      <c r="F379" s="10" t="str">
        <f ca="1">IFERROR(__xludf.DUMMYFUNCTION("""COMPUTED_VALUE"""),"MUNICIPALIDAD DE MULCHÉN")</f>
        <v>MUNICIPALIDAD DE MULCHÉN</v>
      </c>
      <c r="G379" s="71">
        <f ca="1">IFERROR(__xludf.DUMMYFUNCTION("""COMPUTED_VALUE"""),74920375)</f>
        <v>74920375</v>
      </c>
      <c r="H379" s="10" t="str">
        <f ca="1">IFERROR(__xludf.DUMMYFUNCTION("""COMPUTED_VALUE"""),"Resolución")</f>
        <v>Resolución</v>
      </c>
      <c r="I379" s="10" t="str">
        <f ca="1">IFERROR(__xludf.DUMMYFUNCTION("""COMPUTED_VALUE"""),"OBRA")</f>
        <v>OBRA</v>
      </c>
      <c r="J379" s="10" t="str">
        <f ca="1">IFERROR(__xludf.DUMMYFUNCTION("""COMPUTED_VALUE"""),"Cumplir con normativa y reglamentos internos del programa en base a los objetivos.")</f>
        <v>Cumplir con normativa y reglamentos internos del programa en base a los objetivos.</v>
      </c>
      <c r="K379" s="71">
        <f ca="1">IFERROR(__xludf.DUMMYFUNCTION("""COMPUTED_VALUE"""),14999998)</f>
        <v>14999998</v>
      </c>
      <c r="L379" s="72">
        <f ca="1">IFERROR(__xludf.DUMMYFUNCTION("""COMPUTED_VALUE"""),1)</f>
        <v>1</v>
      </c>
      <c r="M379" s="10">
        <f ca="1">IFERROR(__xludf.DUMMYFUNCTION("""COMPUTED_VALUE"""),12330)</f>
        <v>12330</v>
      </c>
      <c r="N379" s="10" t="str">
        <f ca="1">IFERROR(__xludf.DUMMYFUNCTION("""COMPUTED_VALUE"""),"PMU")</f>
        <v>PMU</v>
      </c>
      <c r="O379" s="1"/>
      <c r="P379" s="1"/>
      <c r="Q379" s="1"/>
      <c r="R379" s="1"/>
      <c r="S379" s="1"/>
      <c r="T379" s="1"/>
      <c r="U379" s="1"/>
      <c r="V379" s="1"/>
      <c r="W379" s="1"/>
      <c r="X379" s="1"/>
      <c r="Y379" s="1"/>
      <c r="Z379" s="1"/>
    </row>
    <row r="380" spans="1:26" ht="12.75" customHeight="1">
      <c r="A380" s="1"/>
      <c r="B380" s="10" t="str">
        <f ca="1">IFERROR(__xludf.DUMMYFUNCTION("""COMPUTED_VALUE"""),"CONSTRUCCIÓN SOMBREADEROS DIVERSAS PLAZOLETAS, CABRERO")</f>
        <v>CONSTRUCCIÓN SOMBREADEROS DIVERSAS PLAZOLETAS, CABRERO</v>
      </c>
      <c r="C380" s="10" t="str">
        <f ca="1">IFERROR(__xludf.DUMMYFUNCTION("""COMPUTED_VALUE"""),"1-C-2021-258 [FET]")</f>
        <v>1-C-2021-258 [FET]</v>
      </c>
      <c r="D380" s="26" t="str">
        <f t="shared" ca="1" si="0"/>
        <v xml:space="preserve"> CABRERO</v>
      </c>
      <c r="E380" s="10" t="str">
        <f ca="1">IFERROR(__xludf.DUMMYFUNCTION("""COMPUTED_VALUE"""),"Guía Operativa")</f>
        <v>Guía Operativa</v>
      </c>
      <c r="F380" s="10" t="str">
        <f ca="1">IFERROR(__xludf.DUMMYFUNCTION("""COMPUTED_VALUE"""),"MUNICIPALIDAD DE CABRERO")</f>
        <v>MUNICIPALIDAD DE CABRERO</v>
      </c>
      <c r="G380" s="71">
        <f ca="1">IFERROR(__xludf.DUMMYFUNCTION("""COMPUTED_VALUE"""),72100006)</f>
        <v>72100006</v>
      </c>
      <c r="H380" s="10" t="str">
        <f ca="1">IFERROR(__xludf.DUMMYFUNCTION("""COMPUTED_VALUE"""),"Resolución")</f>
        <v>Resolución</v>
      </c>
      <c r="I380" s="10" t="str">
        <f ca="1">IFERROR(__xludf.DUMMYFUNCTION("""COMPUTED_VALUE"""),"OBRA")</f>
        <v>OBRA</v>
      </c>
      <c r="J380" s="10" t="str">
        <f ca="1">IFERROR(__xludf.DUMMYFUNCTION("""COMPUTED_VALUE"""),"Cumplir con normativa y reglamentos internos del programa en base a los objetivos.")</f>
        <v>Cumplir con normativa y reglamentos internos del programa en base a los objetivos.</v>
      </c>
      <c r="K380" s="71">
        <f ca="1">IFERROR(__xludf.DUMMYFUNCTION("""COMPUTED_VALUE"""),20219743)</f>
        <v>20219743</v>
      </c>
      <c r="L380" s="72">
        <f ca="1">IFERROR(__xludf.DUMMYFUNCTION("""COMPUTED_VALUE"""),1)</f>
        <v>1</v>
      </c>
      <c r="M380" s="10">
        <f ca="1">IFERROR(__xludf.DUMMYFUNCTION("""COMPUTED_VALUE"""),3500)</f>
        <v>3500</v>
      </c>
      <c r="N380" s="10" t="str">
        <f ca="1">IFERROR(__xludf.DUMMYFUNCTION("""COMPUTED_VALUE"""),"PMU")</f>
        <v>PMU</v>
      </c>
      <c r="O380" s="1"/>
      <c r="P380" s="1"/>
      <c r="Q380" s="1"/>
      <c r="R380" s="1"/>
      <c r="S380" s="1"/>
      <c r="T380" s="1"/>
      <c r="U380" s="1"/>
      <c r="V380" s="1"/>
      <c r="W380" s="1"/>
      <c r="X380" s="1"/>
      <c r="Y380" s="1"/>
      <c r="Z380" s="1"/>
    </row>
    <row r="381" spans="1:26" ht="12.75" customHeight="1">
      <c r="A381" s="1"/>
      <c r="B381" s="10" t="str">
        <f ca="1">IFERROR(__xludf.DUMMYFUNCTION("""COMPUTED_VALUE"""),"MEJORAMIENTO ÁREA VERDE ESTERO MANCO, CORONEL")</f>
        <v>MEJORAMIENTO ÁREA VERDE ESTERO MANCO, CORONEL</v>
      </c>
      <c r="C381" s="10" t="str">
        <f ca="1">IFERROR(__xludf.DUMMYFUNCTION("""COMPUTED_VALUE"""),"1-C-2023-2826")</f>
        <v>1-C-2023-2826</v>
      </c>
      <c r="D381" s="26" t="str">
        <f t="shared" ca="1" si="0"/>
        <v xml:space="preserve"> CORONEL</v>
      </c>
      <c r="E381" s="10" t="str">
        <f ca="1">IFERROR(__xludf.DUMMYFUNCTION("""COMPUTED_VALUE"""),"Guía Operativa")</f>
        <v>Guía Operativa</v>
      </c>
      <c r="F381" s="10" t="str">
        <f ca="1">IFERROR(__xludf.DUMMYFUNCTION("""COMPUTED_VALUE"""),"MUNICIPALIDAD DE CORONEL")</f>
        <v>MUNICIPALIDAD DE CORONEL</v>
      </c>
      <c r="G381" s="71">
        <f ca="1">IFERROR(__xludf.DUMMYFUNCTION("""COMPUTED_VALUE"""),154238632)</f>
        <v>154238632</v>
      </c>
      <c r="H381" s="10" t="str">
        <f ca="1">IFERROR(__xludf.DUMMYFUNCTION("""COMPUTED_VALUE"""),"Resolución")</f>
        <v>Resolución</v>
      </c>
      <c r="I381" s="10" t="str">
        <f ca="1">IFERROR(__xludf.DUMMYFUNCTION("""COMPUTED_VALUE"""),"OBRA")</f>
        <v>OBRA</v>
      </c>
      <c r="J381" s="10" t="str">
        <f ca="1">IFERROR(__xludf.DUMMYFUNCTION("""COMPUTED_VALUE"""),"Cumplir con normativa y reglamentos internos del programa en base a los objetivos.")</f>
        <v>Cumplir con normativa y reglamentos internos del programa en base a los objetivos.</v>
      </c>
      <c r="K381" s="71">
        <f ca="1">IFERROR(__xludf.DUMMYFUNCTION("""COMPUTED_VALUE"""),154238632)</f>
        <v>154238632</v>
      </c>
      <c r="L381" s="72">
        <f ca="1">IFERROR(__xludf.DUMMYFUNCTION("""COMPUTED_VALUE"""),1)</f>
        <v>1</v>
      </c>
      <c r="M381" s="10">
        <f ca="1">IFERROR(__xludf.DUMMYFUNCTION("""COMPUTED_VALUE"""),5086)</f>
        <v>5086</v>
      </c>
      <c r="N381" s="10" t="str">
        <f ca="1">IFERROR(__xludf.DUMMYFUNCTION("""COMPUTED_VALUE"""),"PMU")</f>
        <v>PMU</v>
      </c>
      <c r="O381" s="1"/>
      <c r="P381" s="1"/>
      <c r="Q381" s="1"/>
      <c r="R381" s="1"/>
      <c r="S381" s="1"/>
      <c r="T381" s="1"/>
      <c r="U381" s="1"/>
      <c r="V381" s="1"/>
      <c r="W381" s="1"/>
      <c r="X381" s="1"/>
      <c r="Y381" s="1"/>
      <c r="Z381" s="1"/>
    </row>
    <row r="382" spans="1:26" ht="12.75" customHeight="1">
      <c r="A382" s="1"/>
      <c r="B382" s="10" t="str">
        <f ca="1">IFERROR(__xludf.DUMMYFUNCTION("""COMPUTED_VALUE"""),"CONSTRUCCIÓN AREA VERDE VILLA LOUTA, CORONEL")</f>
        <v>CONSTRUCCIÓN AREA VERDE VILLA LOUTA, CORONEL</v>
      </c>
      <c r="C382" s="10" t="str">
        <f ca="1">IFERROR(__xludf.DUMMYFUNCTION("""COMPUTED_VALUE"""),"1-C-2023-2827")</f>
        <v>1-C-2023-2827</v>
      </c>
      <c r="D382" s="26" t="str">
        <f t="shared" ca="1" si="0"/>
        <v xml:space="preserve"> CORONEL</v>
      </c>
      <c r="E382" s="10" t="str">
        <f ca="1">IFERROR(__xludf.DUMMYFUNCTION("""COMPUTED_VALUE"""),"Guía Operativa")</f>
        <v>Guía Operativa</v>
      </c>
      <c r="F382" s="10" t="str">
        <f ca="1">IFERROR(__xludf.DUMMYFUNCTION("""COMPUTED_VALUE"""),"MUNICIPALIDAD DE CORONEL")</f>
        <v>MUNICIPALIDAD DE CORONEL</v>
      </c>
      <c r="G382" s="71">
        <f ca="1">IFERROR(__xludf.DUMMYFUNCTION("""COMPUTED_VALUE"""),154021609)</f>
        <v>154021609</v>
      </c>
      <c r="H382" s="10" t="str">
        <f ca="1">IFERROR(__xludf.DUMMYFUNCTION("""COMPUTED_VALUE"""),"Resolución")</f>
        <v>Resolución</v>
      </c>
      <c r="I382" s="10" t="str">
        <f ca="1">IFERROR(__xludf.DUMMYFUNCTION("""COMPUTED_VALUE"""),"OBRA")</f>
        <v>OBRA</v>
      </c>
      <c r="J382" s="10" t="str">
        <f ca="1">IFERROR(__xludf.DUMMYFUNCTION("""COMPUTED_VALUE"""),"Cumplir con normativa y reglamentos internos del programa en base a los objetivos.")</f>
        <v>Cumplir con normativa y reglamentos internos del programa en base a los objetivos.</v>
      </c>
      <c r="K382" s="71">
        <f ca="1">IFERROR(__xludf.DUMMYFUNCTION("""COMPUTED_VALUE"""),154021609)</f>
        <v>154021609</v>
      </c>
      <c r="L382" s="72">
        <f ca="1">IFERROR(__xludf.DUMMYFUNCTION("""COMPUTED_VALUE"""),1)</f>
        <v>1</v>
      </c>
      <c r="M382" s="10">
        <f ca="1">IFERROR(__xludf.DUMMYFUNCTION("""COMPUTED_VALUE"""),5086)</f>
        <v>5086</v>
      </c>
      <c r="N382" s="10" t="str">
        <f ca="1">IFERROR(__xludf.DUMMYFUNCTION("""COMPUTED_VALUE"""),"PMU")</f>
        <v>PMU</v>
      </c>
      <c r="O382" s="1"/>
      <c r="P382" s="1"/>
      <c r="Q382" s="1"/>
      <c r="R382" s="1"/>
      <c r="S382" s="1"/>
      <c r="T382" s="1"/>
      <c r="U382" s="1"/>
      <c r="V382" s="1"/>
      <c r="W382" s="1"/>
      <c r="X382" s="1"/>
      <c r="Y382" s="1"/>
      <c r="Z382" s="1"/>
    </row>
    <row r="383" spans="1:26" ht="12.75" customHeight="1">
      <c r="A383" s="1"/>
      <c r="B383" s="10" t="str">
        <f ca="1">IFERROR(__xludf.DUMMYFUNCTION("""COMPUTED_VALUE"""),"MEJORAMIENTO MUROS Y CONSTRUCCION RADIER ESTADIO MUNICIPAL COMUNA DE TOMÉ")</f>
        <v>MEJORAMIENTO MUROS Y CONSTRUCCION RADIER ESTADIO MUNICIPAL COMUNA DE TOMÉ</v>
      </c>
      <c r="C383" s="10" t="str">
        <f ca="1">IFERROR(__xludf.DUMMYFUNCTION("""COMPUTED_VALUE"""),"1-K-2023-163")</f>
        <v>1-K-2023-163</v>
      </c>
      <c r="D383" s="26" t="str">
        <f t="shared" ca="1" si="0"/>
        <v xml:space="preserve"> TOMÉ</v>
      </c>
      <c r="E383" s="10" t="str">
        <f ca="1">IFERROR(__xludf.DUMMYFUNCTION("""COMPUTED_VALUE"""),"Guía Operativa")</f>
        <v>Guía Operativa</v>
      </c>
      <c r="F383" s="10" t="str">
        <f ca="1">IFERROR(__xludf.DUMMYFUNCTION("""COMPUTED_VALUE"""),"MUNICIPALIDAD DE TOMÉ")</f>
        <v>MUNICIPALIDAD DE TOMÉ</v>
      </c>
      <c r="G383" s="71">
        <f ca="1">IFERROR(__xludf.DUMMYFUNCTION("""COMPUTED_VALUE"""),110821472)</f>
        <v>110821472</v>
      </c>
      <c r="H383" s="10" t="str">
        <f ca="1">IFERROR(__xludf.DUMMYFUNCTION("""COMPUTED_VALUE"""),"Resolución")</f>
        <v>Resolución</v>
      </c>
      <c r="I383" s="10" t="str">
        <f ca="1">IFERROR(__xludf.DUMMYFUNCTION("""COMPUTED_VALUE"""),"OBRA")</f>
        <v>OBRA</v>
      </c>
      <c r="J383" s="10" t="str">
        <f ca="1">IFERROR(__xludf.DUMMYFUNCTION("""COMPUTED_VALUE"""),"Cumplir con normativa y reglamentos internos del programa en base a los objetivos.")</f>
        <v>Cumplir con normativa y reglamentos internos del programa en base a los objetivos.</v>
      </c>
      <c r="K383" s="71">
        <f ca="1">IFERROR(__xludf.DUMMYFUNCTION("""COMPUTED_VALUE"""),55410736)</f>
        <v>55410736</v>
      </c>
      <c r="L383" s="72">
        <f ca="1">IFERROR(__xludf.DUMMYFUNCTION("""COMPUTED_VALUE"""),0.5)</f>
        <v>0.5</v>
      </c>
      <c r="M383" s="10">
        <f ca="1">IFERROR(__xludf.DUMMYFUNCTION("""COMPUTED_VALUE"""),1025)</f>
        <v>1025</v>
      </c>
      <c r="N383" s="10" t="str">
        <f ca="1">IFERROR(__xludf.DUMMYFUNCTION("""COMPUTED_VALUE"""),"PMU")</f>
        <v>PMU</v>
      </c>
      <c r="O383" s="1"/>
      <c r="P383" s="1"/>
      <c r="Q383" s="1"/>
      <c r="R383" s="1"/>
      <c r="S383" s="1"/>
      <c r="T383" s="1"/>
      <c r="U383" s="1"/>
      <c r="V383" s="1"/>
      <c r="W383" s="1"/>
      <c r="X383" s="1"/>
      <c r="Y383" s="1"/>
      <c r="Z383" s="1"/>
    </row>
    <row r="384" spans="1:26" ht="12.75" customHeight="1">
      <c r="A384" s="1"/>
      <c r="B384" s="10" t="str">
        <f ca="1">IFERROR(__xludf.DUMMYFUNCTION("""COMPUTED_VALUE"""),"MEJORAMIENTO SEDE SOCIAL CLUB DEPORTIVO CALIFORNIA, COMUNA DE TOME")</f>
        <v>MEJORAMIENTO SEDE SOCIAL CLUB DEPORTIVO CALIFORNIA, COMUNA DE TOME</v>
      </c>
      <c r="C384" s="10" t="str">
        <f ca="1">IFERROR(__xludf.DUMMYFUNCTION("""COMPUTED_VALUE"""),"1-K-2023-164")</f>
        <v>1-K-2023-164</v>
      </c>
      <c r="D384" s="26" t="str">
        <f t="shared" ca="1" si="0"/>
        <v xml:space="preserve"> TOMÉ</v>
      </c>
      <c r="E384" s="10" t="str">
        <f ca="1">IFERROR(__xludf.DUMMYFUNCTION("""COMPUTED_VALUE"""),"Guía Operativa")</f>
        <v>Guía Operativa</v>
      </c>
      <c r="F384" s="10" t="str">
        <f ca="1">IFERROR(__xludf.DUMMYFUNCTION("""COMPUTED_VALUE"""),"MUNICIPALIDAD DE TOMÉ")</f>
        <v>MUNICIPALIDAD DE TOMÉ</v>
      </c>
      <c r="G384" s="71">
        <f ca="1">IFERROR(__xludf.DUMMYFUNCTION("""COMPUTED_VALUE"""),111378085)</f>
        <v>111378085</v>
      </c>
      <c r="H384" s="10" t="str">
        <f ca="1">IFERROR(__xludf.DUMMYFUNCTION("""COMPUTED_VALUE"""),"Resolución")</f>
        <v>Resolución</v>
      </c>
      <c r="I384" s="10" t="str">
        <f ca="1">IFERROR(__xludf.DUMMYFUNCTION("""COMPUTED_VALUE"""),"OBRA")</f>
        <v>OBRA</v>
      </c>
      <c r="J384" s="10" t="str">
        <f ca="1">IFERROR(__xludf.DUMMYFUNCTION("""COMPUTED_VALUE"""),"Cumplir con normativa y reglamentos internos del programa en base a los objetivos.")</f>
        <v>Cumplir con normativa y reglamentos internos del programa en base a los objetivos.</v>
      </c>
      <c r="K384" s="71">
        <f ca="1">IFERROR(__xludf.DUMMYFUNCTION("""COMPUTED_VALUE"""),55689042)</f>
        <v>55689042</v>
      </c>
      <c r="L384" s="72">
        <f ca="1">IFERROR(__xludf.DUMMYFUNCTION("""COMPUTED_VALUE"""),0.499999995510786)</f>
        <v>0.499999995510786</v>
      </c>
      <c r="M384" s="10">
        <f ca="1">IFERROR(__xludf.DUMMYFUNCTION("""COMPUTED_VALUE"""),1022)</f>
        <v>1022</v>
      </c>
      <c r="N384" s="10" t="str">
        <f ca="1">IFERROR(__xludf.DUMMYFUNCTION("""COMPUTED_VALUE"""),"PMU")</f>
        <v>PMU</v>
      </c>
      <c r="O384" s="1"/>
      <c r="P384" s="1"/>
      <c r="Q384" s="1"/>
      <c r="R384" s="1"/>
      <c r="S384" s="1"/>
      <c r="T384" s="1"/>
      <c r="U384" s="1"/>
      <c r="V384" s="1"/>
      <c r="W384" s="1"/>
      <c r="X384" s="1"/>
      <c r="Y384" s="1"/>
      <c r="Z384" s="1"/>
    </row>
    <row r="385" spans="1:26" ht="12.75" customHeight="1">
      <c r="A385" s="1"/>
      <c r="B385" s="10" t="str">
        <f ca="1">IFERROR(__xludf.DUMMYFUNCTION("""COMPUTED_VALUE"""),"MEJORAMIENTO AREA VERDE CALLE BIO BIO Y PUCON TOME ALTO, COMUNA DE TOME")</f>
        <v>MEJORAMIENTO AREA VERDE CALLE BIO BIO Y PUCON TOME ALTO, COMUNA DE TOME</v>
      </c>
      <c r="C385" s="10" t="str">
        <f ca="1">IFERROR(__xludf.DUMMYFUNCTION("""COMPUTED_VALUE"""),"1-K-2023-165")</f>
        <v>1-K-2023-165</v>
      </c>
      <c r="D385" s="26" t="str">
        <f t="shared" ca="1" si="0"/>
        <v xml:space="preserve"> TOMÉ</v>
      </c>
      <c r="E385" s="10" t="str">
        <f ca="1">IFERROR(__xludf.DUMMYFUNCTION("""COMPUTED_VALUE"""),"Guía Operativa")</f>
        <v>Guía Operativa</v>
      </c>
      <c r="F385" s="10" t="str">
        <f ca="1">IFERROR(__xludf.DUMMYFUNCTION("""COMPUTED_VALUE"""),"MUNICIPALIDAD DE TOMÉ")</f>
        <v>MUNICIPALIDAD DE TOMÉ</v>
      </c>
      <c r="G385" s="71">
        <f ca="1">IFERROR(__xludf.DUMMYFUNCTION("""COMPUTED_VALUE"""),79688624)</f>
        <v>79688624</v>
      </c>
      <c r="H385" s="10" t="str">
        <f ca="1">IFERROR(__xludf.DUMMYFUNCTION("""COMPUTED_VALUE"""),"Resolución")</f>
        <v>Resolución</v>
      </c>
      <c r="I385" s="10" t="str">
        <f ca="1">IFERROR(__xludf.DUMMYFUNCTION("""COMPUTED_VALUE"""),"OBRA")</f>
        <v>OBRA</v>
      </c>
      <c r="J385" s="10" t="str">
        <f ca="1">IFERROR(__xludf.DUMMYFUNCTION("""COMPUTED_VALUE"""),"Cumplir con normativa y reglamentos internos del programa en base a los objetivos.")</f>
        <v>Cumplir con normativa y reglamentos internos del programa en base a los objetivos.</v>
      </c>
      <c r="K385" s="71">
        <f ca="1">IFERROR(__xludf.DUMMYFUNCTION("""COMPUTED_VALUE"""),39844312)</f>
        <v>39844312</v>
      </c>
      <c r="L385" s="72">
        <f ca="1">IFERROR(__xludf.DUMMYFUNCTION("""COMPUTED_VALUE"""),0.5)</f>
        <v>0.5</v>
      </c>
      <c r="M385" s="10">
        <f ca="1">IFERROR(__xludf.DUMMYFUNCTION("""COMPUTED_VALUE"""),1022)</f>
        <v>1022</v>
      </c>
      <c r="N385" s="10" t="str">
        <f ca="1">IFERROR(__xludf.DUMMYFUNCTION("""COMPUTED_VALUE"""),"PMU")</f>
        <v>PMU</v>
      </c>
      <c r="O385" s="1"/>
      <c r="P385" s="1"/>
      <c r="Q385" s="1"/>
      <c r="R385" s="1"/>
      <c r="S385" s="1"/>
      <c r="T385" s="1"/>
      <c r="U385" s="1"/>
      <c r="V385" s="1"/>
      <c r="W385" s="1"/>
      <c r="X385" s="1"/>
      <c r="Y385" s="1"/>
      <c r="Z385" s="1"/>
    </row>
    <row r="386" spans="1:26" ht="12.75" customHeight="1">
      <c r="A386" s="1"/>
      <c r="B386" s="10" t="str">
        <f ca="1">IFERROR(__xludf.DUMMYFUNCTION("""COMPUTED_VALUE"""),"CONSTRUCCION RADIER DE ACCESO GIMNASIO MUNICIPAL DE DICHATO, COMUNA DE TOME")</f>
        <v>CONSTRUCCION RADIER DE ACCESO GIMNASIO MUNICIPAL DE DICHATO, COMUNA DE TOME</v>
      </c>
      <c r="C386" s="10" t="str">
        <f ca="1">IFERROR(__xludf.DUMMYFUNCTION("""COMPUTED_VALUE"""),"1-K-2023-166")</f>
        <v>1-K-2023-166</v>
      </c>
      <c r="D386" s="26" t="str">
        <f t="shared" ca="1" si="0"/>
        <v xml:space="preserve"> TOMÉ</v>
      </c>
      <c r="E386" s="10" t="str">
        <f ca="1">IFERROR(__xludf.DUMMYFUNCTION("""COMPUTED_VALUE"""),"Guía Operativa")</f>
        <v>Guía Operativa</v>
      </c>
      <c r="F386" s="10" t="str">
        <f ca="1">IFERROR(__xludf.DUMMYFUNCTION("""COMPUTED_VALUE"""),"MUNICIPALIDAD DE TOMÉ")</f>
        <v>MUNICIPALIDAD DE TOMÉ</v>
      </c>
      <c r="G386" s="71">
        <f ca="1">IFERROR(__xludf.DUMMYFUNCTION("""COMPUTED_VALUE"""),115950382)</f>
        <v>115950382</v>
      </c>
      <c r="H386" s="10" t="str">
        <f ca="1">IFERROR(__xludf.DUMMYFUNCTION("""COMPUTED_VALUE"""),"Resolución")</f>
        <v>Resolución</v>
      </c>
      <c r="I386" s="10" t="str">
        <f ca="1">IFERROR(__xludf.DUMMYFUNCTION("""COMPUTED_VALUE"""),"OBRA")</f>
        <v>OBRA</v>
      </c>
      <c r="J386" s="10" t="str">
        <f ca="1">IFERROR(__xludf.DUMMYFUNCTION("""COMPUTED_VALUE"""),"Cumplir con normativa y reglamentos internos del programa en base a los objetivos.")</f>
        <v>Cumplir con normativa y reglamentos internos del programa en base a los objetivos.</v>
      </c>
      <c r="K386" s="71">
        <f ca="1">IFERROR(__xludf.DUMMYFUNCTION("""COMPUTED_VALUE"""),57975191)</f>
        <v>57975191</v>
      </c>
      <c r="L386" s="72">
        <f ca="1">IFERROR(__xludf.DUMMYFUNCTION("""COMPUTED_VALUE"""),0.5)</f>
        <v>0.5</v>
      </c>
      <c r="M386" s="10">
        <f ca="1">IFERROR(__xludf.DUMMYFUNCTION("""COMPUTED_VALUE"""),1022)</f>
        <v>1022</v>
      </c>
      <c r="N386" s="10" t="str">
        <f ca="1">IFERROR(__xludf.DUMMYFUNCTION("""COMPUTED_VALUE"""),"PMU")</f>
        <v>PMU</v>
      </c>
      <c r="O386" s="1"/>
      <c r="P386" s="1"/>
      <c r="Q386" s="1"/>
      <c r="R386" s="1"/>
      <c r="S386" s="1"/>
      <c r="T386" s="1"/>
      <c r="U386" s="1"/>
      <c r="V386" s="1"/>
      <c r="W386" s="1"/>
      <c r="X386" s="1"/>
      <c r="Y386" s="1"/>
      <c r="Z386" s="1"/>
    </row>
    <row r="387" spans="1:26" ht="12.75" customHeight="1">
      <c r="A387" s="1"/>
      <c r="B387" s="10" t="str">
        <f ca="1">IFERROR(__xludf.DUMMYFUNCTION("""COMPUTED_VALUE"""),"SPD MEJORAMIENTO ÁREA VERDE VILLA RENACER EN CALLE LUCIANO FARIÑA Y PJE. LA PORTADA, TEMUCO")</f>
        <v>SPD MEJORAMIENTO ÁREA VERDE VILLA RENACER EN CALLE LUCIANO FARIÑA Y PJE. LA PORTADA, TEMUCO</v>
      </c>
      <c r="C387" s="10" t="str">
        <f ca="1">IFERROR(__xludf.DUMMYFUNCTION("""COMPUTED_VALUE"""),"1-SPD-2022-195")</f>
        <v>1-SPD-2022-195</v>
      </c>
      <c r="D387" s="26" t="str">
        <f t="shared" ca="1" si="0"/>
        <v xml:space="preserve"> TEMUCO</v>
      </c>
      <c r="E387" s="10" t="str">
        <f ca="1">IFERROR(__xludf.DUMMYFUNCTION("""COMPUTED_VALUE"""),"Guía Operativa")</f>
        <v>Guía Operativa</v>
      </c>
      <c r="F387" s="10" t="str">
        <f ca="1">IFERROR(__xludf.DUMMYFUNCTION("""COMPUTED_VALUE"""),"MUNICIPALIDAD DE TEMUCO")</f>
        <v>MUNICIPALIDAD DE TEMUCO</v>
      </c>
      <c r="G387" s="71">
        <f ca="1">IFERROR(__xludf.DUMMYFUNCTION("""COMPUTED_VALUE"""),74999995)</f>
        <v>74999995</v>
      </c>
      <c r="H387" s="10" t="str">
        <f ca="1">IFERROR(__xludf.DUMMYFUNCTION("""COMPUTED_VALUE"""),"Resolución")</f>
        <v>Resolución</v>
      </c>
      <c r="I387" s="10" t="str">
        <f ca="1">IFERROR(__xludf.DUMMYFUNCTION("""COMPUTED_VALUE"""),"OBRA")</f>
        <v>OBRA</v>
      </c>
      <c r="J387" s="10" t="str">
        <f ca="1">IFERROR(__xludf.DUMMYFUNCTION("""COMPUTED_VALUE"""),"Cumplir con normativa y reglamentos internos del programa en base a los objetivos.")</f>
        <v>Cumplir con normativa y reglamentos internos del programa en base a los objetivos.</v>
      </c>
      <c r="K387" s="71">
        <f ca="1">IFERROR(__xludf.DUMMYFUNCTION("""COMPUTED_VALUE"""),74999995)</f>
        <v>74999995</v>
      </c>
      <c r="L387" s="72">
        <f ca="1">IFERROR(__xludf.DUMMYFUNCTION("""COMPUTED_VALUE"""),1)</f>
        <v>1</v>
      </c>
      <c r="M387" s="10">
        <f ca="1">IFERROR(__xludf.DUMMYFUNCTION("""COMPUTED_VALUE"""),4917)</f>
        <v>4917</v>
      </c>
      <c r="N387" s="10" t="str">
        <f ca="1">IFERROR(__xludf.DUMMYFUNCTION("""COMPUTED_VALUE"""),"PMU")</f>
        <v>PMU</v>
      </c>
      <c r="O387" s="1"/>
      <c r="P387" s="1"/>
      <c r="Q387" s="1"/>
      <c r="R387" s="1"/>
      <c r="S387" s="1"/>
      <c r="T387" s="1"/>
      <c r="U387" s="1"/>
      <c r="V387" s="1"/>
      <c r="W387" s="1"/>
      <c r="X387" s="1"/>
      <c r="Y387" s="1"/>
      <c r="Z387" s="1"/>
    </row>
    <row r="388" spans="1:26" ht="12.75" customHeight="1">
      <c r="A388" s="1"/>
      <c r="B388" s="10" t="str">
        <f ca="1">IFERROR(__xludf.DUMMYFUNCTION("""COMPUTED_VALUE"""),"SPD- AMPLIACIÓN SISTEMA DE TELEPROTECCIÓN PARA LA COMUNA DE PADRE LAS CASAS")</f>
        <v>SPD- AMPLIACIÓN SISTEMA DE TELEPROTECCIÓN PARA LA COMUNA DE PADRE LAS CASAS</v>
      </c>
      <c r="C388" s="10" t="str">
        <f ca="1">IFERROR(__xludf.DUMMYFUNCTION("""COMPUTED_VALUE"""),"1-SPD-2022-605")</f>
        <v>1-SPD-2022-605</v>
      </c>
      <c r="D388" s="26" t="str">
        <f t="shared" ca="1" si="0"/>
        <v xml:space="preserve"> PADRE LAS CASAS</v>
      </c>
      <c r="E388" s="10" t="str">
        <f ca="1">IFERROR(__xludf.DUMMYFUNCTION("""COMPUTED_VALUE"""),"Guía Operativa")</f>
        <v>Guía Operativa</v>
      </c>
      <c r="F388" s="10" t="str">
        <f ca="1">IFERROR(__xludf.DUMMYFUNCTION("""COMPUTED_VALUE"""),"MUNICIPALIDAD DE PADRE LAS CASAS")</f>
        <v>MUNICIPALIDAD DE PADRE LAS CASAS</v>
      </c>
      <c r="G388" s="71">
        <f ca="1">IFERROR(__xludf.DUMMYFUNCTION("""COMPUTED_VALUE"""),74962782)</f>
        <v>74962782</v>
      </c>
      <c r="H388" s="10" t="str">
        <f ca="1">IFERROR(__xludf.DUMMYFUNCTION("""COMPUTED_VALUE"""),"Resolución")</f>
        <v>Resolución</v>
      </c>
      <c r="I388" s="10" t="str">
        <f ca="1">IFERROR(__xludf.DUMMYFUNCTION("""COMPUTED_VALUE"""),"OBRA")</f>
        <v>OBRA</v>
      </c>
      <c r="J388" s="10" t="str">
        <f ca="1">IFERROR(__xludf.DUMMYFUNCTION("""COMPUTED_VALUE"""),"Cumplir con normativa y reglamentos internos del programa en base a los objetivos.")</f>
        <v>Cumplir con normativa y reglamentos internos del programa en base a los objetivos.</v>
      </c>
      <c r="K388" s="71">
        <f ca="1">IFERROR(__xludf.DUMMYFUNCTION("""COMPUTED_VALUE"""),74962782)</f>
        <v>74962782</v>
      </c>
      <c r="L388" s="72">
        <f ca="1">IFERROR(__xludf.DUMMYFUNCTION("""COMPUTED_VALUE"""),1)</f>
        <v>1</v>
      </c>
      <c r="M388" s="10">
        <f ca="1">IFERROR(__xludf.DUMMYFUNCTION("""COMPUTED_VALUE"""),5095)</f>
        <v>5095</v>
      </c>
      <c r="N388" s="10" t="str">
        <f ca="1">IFERROR(__xludf.DUMMYFUNCTION("""COMPUTED_VALUE"""),"PMU")</f>
        <v>PMU</v>
      </c>
      <c r="O388" s="1"/>
      <c r="P388" s="1"/>
      <c r="Q388" s="1"/>
      <c r="R388" s="1"/>
      <c r="S388" s="1"/>
      <c r="T388" s="1"/>
      <c r="U388" s="1"/>
      <c r="V388" s="1"/>
      <c r="W388" s="1"/>
      <c r="X388" s="1"/>
      <c r="Y388" s="1"/>
      <c r="Z388" s="1"/>
    </row>
    <row r="389" spans="1:26" ht="12.75" customHeight="1">
      <c r="A389" s="1"/>
      <c r="B389" s="10" t="str">
        <f ca="1">IFERROR(__xludf.DUMMYFUNCTION("""COMPUTED_VALUE"""),"[SATE] MEJORAMIENTO ÁREA VERDE Y REPOSICIÓN SEDE VILLA LOS AROMOS, LONCOCHE")</f>
        <v>[SATE] MEJORAMIENTO ÁREA VERDE Y REPOSICIÓN SEDE VILLA LOS AROMOS, LONCOCHE</v>
      </c>
      <c r="C389" s="10" t="str">
        <f ca="1">IFERROR(__xludf.DUMMYFUNCTION("""COMPUTED_VALUE"""),"1-C-2023-1185")</f>
        <v>1-C-2023-1185</v>
      </c>
      <c r="D389" s="26" t="str">
        <f t="shared" ca="1" si="0"/>
        <v xml:space="preserve"> LONCOCHE</v>
      </c>
      <c r="E389" s="10" t="str">
        <f ca="1">IFERROR(__xludf.DUMMYFUNCTION("""COMPUTED_VALUE"""),"Guía Operativa")</f>
        <v>Guía Operativa</v>
      </c>
      <c r="F389" s="10" t="str">
        <f ca="1">IFERROR(__xludf.DUMMYFUNCTION("""COMPUTED_VALUE"""),"MUNICIPALIDAD DE LONCOCHE")</f>
        <v>MUNICIPALIDAD DE LONCOCHE</v>
      </c>
      <c r="G389" s="71">
        <f ca="1">IFERROR(__xludf.DUMMYFUNCTION("""COMPUTED_VALUE"""),154422499)</f>
        <v>154422499</v>
      </c>
      <c r="H389" s="10" t="str">
        <f ca="1">IFERROR(__xludf.DUMMYFUNCTION("""COMPUTED_VALUE"""),"Resolución")</f>
        <v>Resolución</v>
      </c>
      <c r="I389" s="10" t="str">
        <f ca="1">IFERROR(__xludf.DUMMYFUNCTION("""COMPUTED_VALUE"""),"OBRA")</f>
        <v>OBRA</v>
      </c>
      <c r="J389" s="10" t="str">
        <f ca="1">IFERROR(__xludf.DUMMYFUNCTION("""COMPUTED_VALUE"""),"Cumplir con normativa y reglamentos internos del programa en base a los objetivos.")</f>
        <v>Cumplir con normativa y reglamentos internos del programa en base a los objetivos.</v>
      </c>
      <c r="K389" s="71">
        <f ca="1">IFERROR(__xludf.DUMMYFUNCTION("""COMPUTED_VALUE"""),154422499)</f>
        <v>154422499</v>
      </c>
      <c r="L389" s="72">
        <f ca="1">IFERROR(__xludf.DUMMYFUNCTION("""COMPUTED_VALUE"""),1)</f>
        <v>1</v>
      </c>
      <c r="M389" s="10">
        <f ca="1">IFERROR(__xludf.DUMMYFUNCTION("""COMPUTED_VALUE"""),4916)</f>
        <v>4916</v>
      </c>
      <c r="N389" s="10" t="str">
        <f ca="1">IFERROR(__xludf.DUMMYFUNCTION("""COMPUTED_VALUE"""),"PMU")</f>
        <v>PMU</v>
      </c>
      <c r="O389" s="1"/>
      <c r="P389" s="1"/>
      <c r="Q389" s="1"/>
      <c r="R389" s="1"/>
      <c r="S389" s="1"/>
      <c r="T389" s="1"/>
      <c r="U389" s="1"/>
      <c r="V389" s="1"/>
      <c r="W389" s="1"/>
      <c r="X389" s="1"/>
      <c r="Y389" s="1"/>
      <c r="Z389" s="1"/>
    </row>
    <row r="390" spans="1:26" ht="12.75" customHeight="1">
      <c r="A390" s="1"/>
      <c r="B390" s="10" t="str">
        <f ca="1">IFERROR(__xludf.DUMMYFUNCTION("""COMPUTED_VALUE"""),"CONSTRUCCIÓN SEMÁFOROS INTERSECCIÓN GABRIELA MISTRAL CON RECREO, TEMUCO")</f>
        <v>CONSTRUCCIÓN SEMÁFOROS INTERSECCIÓN GABRIELA MISTRAL CON RECREO, TEMUCO</v>
      </c>
      <c r="C390" s="10" t="str">
        <f ca="1">IFERROR(__xludf.DUMMYFUNCTION("""COMPUTED_VALUE"""),"1-C-2023-1253")</f>
        <v>1-C-2023-1253</v>
      </c>
      <c r="D390" s="26" t="str">
        <f t="shared" ca="1" si="0"/>
        <v xml:space="preserve"> TEMUCO</v>
      </c>
      <c r="E390" s="10" t="str">
        <f ca="1">IFERROR(__xludf.DUMMYFUNCTION("""COMPUTED_VALUE"""),"Guía Operativa")</f>
        <v>Guía Operativa</v>
      </c>
      <c r="F390" s="10" t="str">
        <f ca="1">IFERROR(__xludf.DUMMYFUNCTION("""COMPUTED_VALUE"""),"MUNICIPALIDAD DE TEMUCO")</f>
        <v>MUNICIPALIDAD DE TEMUCO</v>
      </c>
      <c r="G390" s="71">
        <f ca="1">IFERROR(__xludf.DUMMYFUNCTION("""COMPUTED_VALUE"""),135724567)</f>
        <v>135724567</v>
      </c>
      <c r="H390" s="10" t="str">
        <f ca="1">IFERROR(__xludf.DUMMYFUNCTION("""COMPUTED_VALUE"""),"Resolución")</f>
        <v>Resolución</v>
      </c>
      <c r="I390" s="10" t="str">
        <f ca="1">IFERROR(__xludf.DUMMYFUNCTION("""COMPUTED_VALUE"""),"OBRA")</f>
        <v>OBRA</v>
      </c>
      <c r="J390" s="10" t="str">
        <f ca="1">IFERROR(__xludf.DUMMYFUNCTION("""COMPUTED_VALUE"""),"Cumplir con normativa y reglamentos internos del programa en base a los objetivos.")</f>
        <v>Cumplir con normativa y reglamentos internos del programa en base a los objetivos.</v>
      </c>
      <c r="K390" s="71">
        <f ca="1">IFERROR(__xludf.DUMMYFUNCTION("""COMPUTED_VALUE"""),135724567)</f>
        <v>135724567</v>
      </c>
      <c r="L390" s="72">
        <f ca="1">IFERROR(__xludf.DUMMYFUNCTION("""COMPUTED_VALUE"""),1)</f>
        <v>1</v>
      </c>
      <c r="M390" s="10">
        <f ca="1">IFERROR(__xludf.DUMMYFUNCTION("""COMPUTED_VALUE"""),4912)</f>
        <v>4912</v>
      </c>
      <c r="N390" s="10" t="str">
        <f ca="1">IFERROR(__xludf.DUMMYFUNCTION("""COMPUTED_VALUE"""),"PMU")</f>
        <v>PMU</v>
      </c>
      <c r="O390" s="1"/>
      <c r="P390" s="1"/>
      <c r="Q390" s="1"/>
      <c r="R390" s="1"/>
      <c r="S390" s="1"/>
      <c r="T390" s="1"/>
      <c r="U390" s="1"/>
      <c r="V390" s="1"/>
      <c r="W390" s="1"/>
      <c r="X390" s="1"/>
      <c r="Y390" s="1"/>
      <c r="Z390" s="1"/>
    </row>
    <row r="391" spans="1:26" ht="12.75" customHeight="1">
      <c r="A391" s="1"/>
      <c r="B391" s="10" t="str">
        <f ca="1">IFERROR(__xludf.DUMMYFUNCTION("""COMPUTED_VALUE"""),"CONSTRUCCION DE OBRAS EXTERIORES Y PATIO NORMATIVO, ESCUELA REDUCCION PANGUECO. COMUNA DE GALVARINO")</f>
        <v>CONSTRUCCION DE OBRAS EXTERIORES Y PATIO NORMATIVO, ESCUELA REDUCCION PANGUECO. COMUNA DE GALVARINO</v>
      </c>
      <c r="C391" s="10" t="str">
        <f ca="1">IFERROR(__xludf.DUMMYFUNCTION("""COMPUTED_VALUE"""),"1-C-2024-342")</f>
        <v>1-C-2024-342</v>
      </c>
      <c r="D391" s="26" t="str">
        <f t="shared" ca="1" si="0"/>
        <v xml:space="preserve"> GALVARINO</v>
      </c>
      <c r="E391" s="10" t="str">
        <f ca="1">IFERROR(__xludf.DUMMYFUNCTION("""COMPUTED_VALUE"""),"Guía Operativa")</f>
        <v>Guía Operativa</v>
      </c>
      <c r="F391" s="10" t="str">
        <f ca="1">IFERROR(__xludf.DUMMYFUNCTION("""COMPUTED_VALUE"""),"MUNICIPALIDAD DE GALVARINO")</f>
        <v>MUNICIPALIDAD DE GALVARINO</v>
      </c>
      <c r="G391" s="71">
        <f ca="1">IFERROR(__xludf.DUMMYFUNCTION("""COMPUTED_VALUE"""),161529599)</f>
        <v>161529599</v>
      </c>
      <c r="H391" s="10" t="str">
        <f ca="1">IFERROR(__xludf.DUMMYFUNCTION("""COMPUTED_VALUE"""),"Resolución")</f>
        <v>Resolución</v>
      </c>
      <c r="I391" s="10" t="str">
        <f ca="1">IFERROR(__xludf.DUMMYFUNCTION("""COMPUTED_VALUE"""),"OBRA")</f>
        <v>OBRA</v>
      </c>
      <c r="J391" s="10" t="str">
        <f ca="1">IFERROR(__xludf.DUMMYFUNCTION("""COMPUTED_VALUE"""),"Cumplir con normativa y reglamentos internos del programa en base a los objetivos.")</f>
        <v>Cumplir con normativa y reglamentos internos del programa en base a los objetivos.</v>
      </c>
      <c r="K391" s="71">
        <f ca="1">IFERROR(__xludf.DUMMYFUNCTION("""COMPUTED_VALUE"""),161529599)</f>
        <v>161529599</v>
      </c>
      <c r="L391" s="72">
        <f ca="1">IFERROR(__xludf.DUMMYFUNCTION("""COMPUTED_VALUE"""),1)</f>
        <v>1</v>
      </c>
      <c r="M391" s="10">
        <f ca="1">IFERROR(__xludf.DUMMYFUNCTION("""COMPUTED_VALUE"""),4908)</f>
        <v>4908</v>
      </c>
      <c r="N391" s="10" t="str">
        <f ca="1">IFERROR(__xludf.DUMMYFUNCTION("""COMPUTED_VALUE"""),"PMU")</f>
        <v>PMU</v>
      </c>
      <c r="O391" s="1"/>
      <c r="P391" s="1"/>
      <c r="Q391" s="1"/>
      <c r="R391" s="1"/>
      <c r="S391" s="1"/>
      <c r="T391" s="1"/>
      <c r="U391" s="1"/>
      <c r="V391" s="1"/>
      <c r="W391" s="1"/>
      <c r="X391" s="1"/>
      <c r="Y391" s="1"/>
      <c r="Z391" s="1"/>
    </row>
    <row r="392" spans="1:26" ht="12.75" customHeight="1">
      <c r="A392" s="1"/>
      <c r="B392" s="10" t="str">
        <f ca="1">IFERROR(__xludf.DUMMYFUNCTION("""COMPUTED_VALUE"""),"CONSTRUCCIÓN MULTICANCHA JARDÍN ORIENTE III")</f>
        <v>CONSTRUCCIÓN MULTICANCHA JARDÍN ORIENTE III</v>
      </c>
      <c r="C392" s="10" t="str">
        <f ca="1">IFERROR(__xludf.DUMMYFUNCTION("""COMPUTED_VALUE"""),"1-C-2020-799 [CHA]")</f>
        <v>1-C-2020-799 [CHA]</v>
      </c>
      <c r="D392" s="26" t="str">
        <f t="shared" ca="1" si="0"/>
        <v xml:space="preserve"> PUERTO MONTT</v>
      </c>
      <c r="E392" s="10" t="str">
        <f ca="1">IFERROR(__xludf.DUMMYFUNCTION("""COMPUTED_VALUE"""),"Guía Operativa")</f>
        <v>Guía Operativa</v>
      </c>
      <c r="F392" s="10" t="str">
        <f ca="1">IFERROR(__xludf.DUMMYFUNCTION("""COMPUTED_VALUE"""),"MUNICIPALIDAD DE PUERTO MONTT")</f>
        <v>MUNICIPALIDAD DE PUERTO MONTT</v>
      </c>
      <c r="G392" s="71">
        <f ca="1">IFERROR(__xludf.DUMMYFUNCTION("""COMPUTED_VALUE"""),88455873)</f>
        <v>88455873</v>
      </c>
      <c r="H392" s="10" t="str">
        <f ca="1">IFERROR(__xludf.DUMMYFUNCTION("""COMPUTED_VALUE"""),"Resolución")</f>
        <v>Resolución</v>
      </c>
      <c r="I392" s="10" t="str">
        <f ca="1">IFERROR(__xludf.DUMMYFUNCTION("""COMPUTED_VALUE"""),"OBRA")</f>
        <v>OBRA</v>
      </c>
      <c r="J392" s="10" t="str">
        <f ca="1">IFERROR(__xludf.DUMMYFUNCTION("""COMPUTED_VALUE"""),"Cumplir con normativa y reglamentos internos del programa en base a los objetivos.")</f>
        <v>Cumplir con normativa y reglamentos internos del programa en base a los objetivos.</v>
      </c>
      <c r="K392" s="71">
        <f ca="1">IFERROR(__xludf.DUMMYFUNCTION("""COMPUTED_VALUE"""),13475517)</f>
        <v>13475517</v>
      </c>
      <c r="L392" s="72">
        <f ca="1">IFERROR(__xludf.DUMMYFUNCTION("""COMPUTED_VALUE"""),1)</f>
        <v>1</v>
      </c>
      <c r="M392" s="10">
        <f ca="1">IFERROR(__xludf.DUMMYFUNCTION("""COMPUTED_VALUE"""),6814)</f>
        <v>6814</v>
      </c>
      <c r="N392" s="10" t="str">
        <f ca="1">IFERROR(__xludf.DUMMYFUNCTION("""COMPUTED_VALUE"""),"PMU")</f>
        <v>PMU</v>
      </c>
      <c r="O392" s="1"/>
      <c r="P392" s="1"/>
      <c r="Q392" s="1"/>
      <c r="R392" s="1"/>
      <c r="S392" s="1"/>
      <c r="T392" s="1"/>
      <c r="U392" s="1"/>
      <c r="V392" s="1"/>
      <c r="W392" s="1"/>
      <c r="X392" s="1"/>
      <c r="Y392" s="1"/>
      <c r="Z392" s="1"/>
    </row>
    <row r="393" spans="1:26" ht="12.75" customHeight="1">
      <c r="A393" s="1"/>
      <c r="B393" s="10" t="str">
        <f ca="1">IFERROR(__xludf.DUMMYFUNCTION("""COMPUTED_VALUE"""),"CONSERVACIÓN ESCUELA RURAL DE HUEQUE, COMUNA DE CHAITÉN")</f>
        <v>CONSERVACIÓN ESCUELA RURAL DE HUEQUE, COMUNA DE CHAITÉN</v>
      </c>
      <c r="C393" s="10" t="str">
        <f ca="1">IFERROR(__xludf.DUMMYFUNCTION("""COMPUTED_VALUE"""),"1-C-2023-2854")</f>
        <v>1-C-2023-2854</v>
      </c>
      <c r="D393" s="26" t="str">
        <f t="shared" ca="1" si="0"/>
        <v xml:space="preserve"> CHAITÉN</v>
      </c>
      <c r="E393" s="10" t="str">
        <f ca="1">IFERROR(__xludf.DUMMYFUNCTION("""COMPUTED_VALUE"""),"Guía Operativa")</f>
        <v>Guía Operativa</v>
      </c>
      <c r="F393" s="10" t="str">
        <f ca="1">IFERROR(__xludf.DUMMYFUNCTION("""COMPUTED_VALUE"""),"MUNICIPALIDAD DE CHAITÉN")</f>
        <v>MUNICIPALIDAD DE CHAITÉN</v>
      </c>
      <c r="G393" s="71">
        <f ca="1">IFERROR(__xludf.DUMMYFUNCTION("""COMPUTED_VALUE"""),149999997)</f>
        <v>149999997</v>
      </c>
      <c r="H393" s="10" t="str">
        <f ca="1">IFERROR(__xludf.DUMMYFUNCTION("""COMPUTED_VALUE"""),"Resolución")</f>
        <v>Resolución</v>
      </c>
      <c r="I393" s="10" t="str">
        <f ca="1">IFERROR(__xludf.DUMMYFUNCTION("""COMPUTED_VALUE"""),"OBRA")</f>
        <v>OBRA</v>
      </c>
      <c r="J393" s="10" t="str">
        <f ca="1">IFERROR(__xludf.DUMMYFUNCTION("""COMPUTED_VALUE"""),"Cumplir con normativa y reglamentos internos del programa en base a los objetivos.")</f>
        <v>Cumplir con normativa y reglamentos internos del programa en base a los objetivos.</v>
      </c>
      <c r="K393" s="71">
        <f ca="1">IFERROR(__xludf.DUMMYFUNCTION("""COMPUTED_VALUE"""),149999997)</f>
        <v>149999997</v>
      </c>
      <c r="L393" s="72">
        <f ca="1">IFERROR(__xludf.DUMMYFUNCTION("""COMPUTED_VALUE"""),1)</f>
        <v>1</v>
      </c>
      <c r="M393" s="10">
        <f ca="1">IFERROR(__xludf.DUMMYFUNCTION("""COMPUTED_VALUE"""),5775)</f>
        <v>5775</v>
      </c>
      <c r="N393" s="10" t="str">
        <f ca="1">IFERROR(__xludf.DUMMYFUNCTION("""COMPUTED_VALUE"""),"PMU")</f>
        <v>PMU</v>
      </c>
      <c r="O393" s="1"/>
      <c r="P393" s="1"/>
      <c r="Q393" s="1"/>
      <c r="R393" s="1"/>
      <c r="S393" s="1"/>
      <c r="T393" s="1"/>
      <c r="U393" s="1"/>
      <c r="V393" s="1"/>
      <c r="W393" s="1"/>
      <c r="X393" s="1"/>
      <c r="Y393" s="1"/>
      <c r="Z393" s="1"/>
    </row>
    <row r="394" spans="1:26" ht="12.75" customHeight="1">
      <c r="A394" s="1"/>
      <c r="B394" s="10" t="str">
        <f ca="1">IFERROR(__xludf.DUMMYFUNCTION("""COMPUTED_VALUE"""),"CONSERVACIÓN JUEGOS Y MOBILIARIO URBANO EN PLAZAS DE PUERTO VARAS")</f>
        <v>CONSERVACIÓN JUEGOS Y MOBILIARIO URBANO EN PLAZAS DE PUERTO VARAS</v>
      </c>
      <c r="C394" s="10" t="str">
        <f ca="1">IFERROR(__xludf.DUMMYFUNCTION("""COMPUTED_VALUE"""),"1-C-2023-3193")</f>
        <v>1-C-2023-3193</v>
      </c>
      <c r="D394" s="26" t="str">
        <f t="shared" ca="1" si="0"/>
        <v xml:space="preserve"> PUERTO VARAS</v>
      </c>
      <c r="E394" s="10" t="str">
        <f ca="1">IFERROR(__xludf.DUMMYFUNCTION("""COMPUTED_VALUE"""),"Guía Operativa")</f>
        <v>Guía Operativa</v>
      </c>
      <c r="F394" s="10" t="str">
        <f ca="1">IFERROR(__xludf.DUMMYFUNCTION("""COMPUTED_VALUE"""),"MUNICIPALIDAD DE PUERTO VARAS")</f>
        <v>MUNICIPALIDAD DE PUERTO VARAS</v>
      </c>
      <c r="G394" s="71">
        <f ca="1">IFERROR(__xludf.DUMMYFUNCTION("""COMPUTED_VALUE"""),154000000)</f>
        <v>154000000</v>
      </c>
      <c r="H394" s="10" t="str">
        <f ca="1">IFERROR(__xludf.DUMMYFUNCTION("""COMPUTED_VALUE"""),"Resolución")</f>
        <v>Resolución</v>
      </c>
      <c r="I394" s="10" t="str">
        <f ca="1">IFERROR(__xludf.DUMMYFUNCTION("""COMPUTED_VALUE"""),"OBRA")</f>
        <v>OBRA</v>
      </c>
      <c r="J394" s="10" t="str">
        <f ca="1">IFERROR(__xludf.DUMMYFUNCTION("""COMPUTED_VALUE"""),"Cumplir con normativa y reglamentos internos del programa en base a los objetivos.")</f>
        <v>Cumplir con normativa y reglamentos internos del programa en base a los objetivos.</v>
      </c>
      <c r="K394" s="71">
        <f ca="1">IFERROR(__xludf.DUMMYFUNCTION("""COMPUTED_VALUE"""),154000000)</f>
        <v>154000000</v>
      </c>
      <c r="L394" s="72">
        <f ca="1">IFERROR(__xludf.DUMMYFUNCTION("""COMPUTED_VALUE"""),1)</f>
        <v>1</v>
      </c>
      <c r="M394" s="10">
        <f ca="1">IFERROR(__xludf.DUMMYFUNCTION("""COMPUTED_VALUE"""),5785)</f>
        <v>5785</v>
      </c>
      <c r="N394" s="10" t="str">
        <f ca="1">IFERROR(__xludf.DUMMYFUNCTION("""COMPUTED_VALUE"""),"PMU")</f>
        <v>PMU</v>
      </c>
      <c r="O394" s="1"/>
      <c r="P394" s="1"/>
      <c r="Q394" s="1"/>
      <c r="R394" s="1"/>
      <c r="S394" s="1"/>
      <c r="T394" s="1"/>
      <c r="U394" s="1"/>
      <c r="V394" s="1"/>
      <c r="W394" s="1"/>
      <c r="X394" s="1"/>
      <c r="Y394" s="1"/>
      <c r="Z394" s="1"/>
    </row>
    <row r="395" spans="1:26" ht="12.75" customHeight="1">
      <c r="A395" s="1"/>
      <c r="B395" s="10" t="str">
        <f ca="1">IFERROR(__xludf.DUMMYFUNCTION("""COMPUTED_VALUE"""),"MEJORAMIENTO INTERNADO LICEO INSULAR, COMUNA DE QUINCHAO")</f>
        <v>MEJORAMIENTO INTERNADO LICEO INSULAR, COMUNA DE QUINCHAO</v>
      </c>
      <c r="C395" s="10" t="str">
        <f ca="1">IFERROR(__xludf.DUMMYFUNCTION("""COMPUTED_VALUE"""),"1-C-2023-3235")</f>
        <v>1-C-2023-3235</v>
      </c>
      <c r="D395" s="26" t="str">
        <f t="shared" ca="1" si="0"/>
        <v xml:space="preserve"> QUINCHAO</v>
      </c>
      <c r="E395" s="10" t="str">
        <f ca="1">IFERROR(__xludf.DUMMYFUNCTION("""COMPUTED_VALUE"""),"Guía Operativa")</f>
        <v>Guía Operativa</v>
      </c>
      <c r="F395" s="10" t="str">
        <f ca="1">IFERROR(__xludf.DUMMYFUNCTION("""COMPUTED_VALUE"""),"MUNICIPALIDAD DE QUINCHAO")</f>
        <v>MUNICIPALIDAD DE QUINCHAO</v>
      </c>
      <c r="G395" s="71">
        <f ca="1">IFERROR(__xludf.DUMMYFUNCTION("""COMPUTED_VALUE"""),154481531)</f>
        <v>154481531</v>
      </c>
      <c r="H395" s="10" t="str">
        <f ca="1">IFERROR(__xludf.DUMMYFUNCTION("""COMPUTED_VALUE"""),"Resolución")</f>
        <v>Resolución</v>
      </c>
      <c r="I395" s="10" t="str">
        <f ca="1">IFERROR(__xludf.DUMMYFUNCTION("""COMPUTED_VALUE"""),"OBRA")</f>
        <v>OBRA</v>
      </c>
      <c r="J395" s="10" t="str">
        <f ca="1">IFERROR(__xludf.DUMMYFUNCTION("""COMPUTED_VALUE"""),"Cumplir con normativa y reglamentos internos del programa en base a los objetivos.")</f>
        <v>Cumplir con normativa y reglamentos internos del programa en base a los objetivos.</v>
      </c>
      <c r="K395" s="71">
        <f ca="1">IFERROR(__xludf.DUMMYFUNCTION("""COMPUTED_VALUE"""),154481531)</f>
        <v>154481531</v>
      </c>
      <c r="L395" s="72">
        <f ca="1">IFERROR(__xludf.DUMMYFUNCTION("""COMPUTED_VALUE"""),1)</f>
        <v>1</v>
      </c>
      <c r="M395" s="10">
        <f ca="1">IFERROR(__xludf.DUMMYFUNCTION("""COMPUTED_VALUE"""),4664)</f>
        <v>4664</v>
      </c>
      <c r="N395" s="10" t="str">
        <f ca="1">IFERROR(__xludf.DUMMYFUNCTION("""COMPUTED_VALUE"""),"PMU")</f>
        <v>PMU</v>
      </c>
      <c r="O395" s="1"/>
      <c r="P395" s="1"/>
      <c r="Q395" s="1"/>
      <c r="R395" s="1"/>
      <c r="S395" s="1"/>
      <c r="T395" s="1"/>
      <c r="U395" s="1"/>
      <c r="V395" s="1"/>
      <c r="W395" s="1"/>
      <c r="X395" s="1"/>
      <c r="Y395" s="1"/>
      <c r="Z395" s="1"/>
    </row>
    <row r="396" spans="1:26" ht="12.75" customHeight="1">
      <c r="A396" s="1"/>
      <c r="B396" s="10" t="str">
        <f ca="1">IFERROR(__xludf.DUMMYFUNCTION("""COMPUTED_VALUE"""),"CONSTRUCCIÓN DE SEMÁFORO CAMINO SANTA ADRIANA RUTA G-78, COMUNA DE TALAGANTE.")</f>
        <v>CONSTRUCCIÓN DE SEMÁFORO CAMINO SANTA ADRIANA RUTA G-78, COMUNA DE TALAGANTE.</v>
      </c>
      <c r="C396" s="10" t="str">
        <f ca="1">IFERROR(__xludf.DUMMYFUNCTION("""COMPUTED_VALUE"""),"1-C-2022-2397")</f>
        <v>1-C-2022-2397</v>
      </c>
      <c r="D396" s="26" t="str">
        <f t="shared" ca="1" si="0"/>
        <v xml:space="preserve"> TALAGANTE</v>
      </c>
      <c r="E396" s="10" t="str">
        <f ca="1">IFERROR(__xludf.DUMMYFUNCTION("""COMPUTED_VALUE"""),"Guía Operativa")</f>
        <v>Guía Operativa</v>
      </c>
      <c r="F396" s="10" t="str">
        <f ca="1">IFERROR(__xludf.DUMMYFUNCTION("""COMPUTED_VALUE"""),"MUNICIPALIDAD DE TALAGANTE")</f>
        <v>MUNICIPALIDAD DE TALAGANTE</v>
      </c>
      <c r="G396" s="71">
        <f ca="1">IFERROR(__xludf.DUMMYFUNCTION("""COMPUTED_VALUE"""),80129033)</f>
        <v>80129033</v>
      </c>
      <c r="H396" s="10" t="str">
        <f ca="1">IFERROR(__xludf.DUMMYFUNCTION("""COMPUTED_VALUE"""),"Resolución")</f>
        <v>Resolución</v>
      </c>
      <c r="I396" s="10" t="str">
        <f ca="1">IFERROR(__xludf.DUMMYFUNCTION("""COMPUTED_VALUE"""),"OBRA")</f>
        <v>OBRA</v>
      </c>
      <c r="J396" s="10" t="str">
        <f ca="1">IFERROR(__xludf.DUMMYFUNCTION("""COMPUTED_VALUE"""),"Cumplir con normativa y reglamentos internos del programa en base a los objetivos.")</f>
        <v>Cumplir con normativa y reglamentos internos del programa en base a los objetivos.</v>
      </c>
      <c r="K396" s="71">
        <f ca="1">IFERROR(__xludf.DUMMYFUNCTION("""COMPUTED_VALUE"""),80129033)</f>
        <v>80129033</v>
      </c>
      <c r="L396" s="72">
        <f ca="1">IFERROR(__xludf.DUMMYFUNCTION("""COMPUTED_VALUE"""),1)</f>
        <v>1</v>
      </c>
      <c r="M396" s="10">
        <f ca="1">IFERROR(__xludf.DUMMYFUNCTION("""COMPUTED_VALUE"""),4667)</f>
        <v>4667</v>
      </c>
      <c r="N396" s="10" t="str">
        <f ca="1">IFERROR(__xludf.DUMMYFUNCTION("""COMPUTED_VALUE"""),"PMU")</f>
        <v>PMU</v>
      </c>
      <c r="O396" s="1"/>
      <c r="P396" s="1"/>
      <c r="Q396" s="1"/>
      <c r="R396" s="1"/>
      <c r="S396" s="1"/>
      <c r="T396" s="1"/>
      <c r="U396" s="1"/>
      <c r="V396" s="1"/>
      <c r="W396" s="1"/>
      <c r="X396" s="1"/>
      <c r="Y396" s="1"/>
      <c r="Z396" s="1"/>
    </row>
    <row r="397" spans="1:26" ht="12.75" customHeight="1">
      <c r="A397" s="1"/>
      <c r="B397" s="10" t="str">
        <f ca="1">IFERROR(__xludf.DUMMYFUNCTION("""COMPUTED_VALUE"""),"MEJORAMIENTO SEDE CENTRO DIURNO DEL ADULTO MAYOR 2 C")</f>
        <v>MEJORAMIENTO SEDE CENTRO DIURNO DEL ADULTO MAYOR 2 C</v>
      </c>
      <c r="C397" s="10" t="str">
        <f ca="1">IFERROR(__xludf.DUMMYFUNCTION("""COMPUTED_VALUE"""),"1-C-2023-555")</f>
        <v>1-C-2023-555</v>
      </c>
      <c r="D397" s="26" t="str">
        <f t="shared" ca="1" si="0"/>
        <v xml:space="preserve"> INDEPENDENCIA</v>
      </c>
      <c r="E397" s="10" t="str">
        <f ca="1">IFERROR(__xludf.DUMMYFUNCTION("""COMPUTED_VALUE"""),"Guía Operativa")</f>
        <v>Guía Operativa</v>
      </c>
      <c r="F397" s="10" t="str">
        <f ca="1">IFERROR(__xludf.DUMMYFUNCTION("""COMPUTED_VALUE"""),"MUNICIPALIDAD DE INDEPENDENCIA")</f>
        <v>MUNICIPALIDAD DE INDEPENDENCIA</v>
      </c>
      <c r="G397" s="71">
        <f ca="1">IFERROR(__xludf.DUMMYFUNCTION("""COMPUTED_VALUE"""),147744571)</f>
        <v>147744571</v>
      </c>
      <c r="H397" s="10" t="str">
        <f ca="1">IFERROR(__xludf.DUMMYFUNCTION("""COMPUTED_VALUE"""),"Resolución")</f>
        <v>Resolución</v>
      </c>
      <c r="I397" s="10" t="str">
        <f ca="1">IFERROR(__xludf.DUMMYFUNCTION("""COMPUTED_VALUE"""),"OBRA")</f>
        <v>OBRA</v>
      </c>
      <c r="J397" s="10" t="str">
        <f ca="1">IFERROR(__xludf.DUMMYFUNCTION("""COMPUTED_VALUE"""),"Cumplir con normativa y reglamentos internos del programa en base a los objetivos.")</f>
        <v>Cumplir con normativa y reglamentos internos del programa en base a los objetivos.</v>
      </c>
      <c r="K397" s="71">
        <f ca="1">IFERROR(__xludf.DUMMYFUNCTION("""COMPUTED_VALUE"""),147744571)</f>
        <v>147744571</v>
      </c>
      <c r="L397" s="72">
        <f ca="1">IFERROR(__xludf.DUMMYFUNCTION("""COMPUTED_VALUE"""),1)</f>
        <v>1</v>
      </c>
      <c r="M397" s="10">
        <f ca="1">IFERROR(__xludf.DUMMYFUNCTION("""COMPUTED_VALUE"""),5100)</f>
        <v>5100</v>
      </c>
      <c r="N397" s="10" t="str">
        <f ca="1">IFERROR(__xludf.DUMMYFUNCTION("""COMPUTED_VALUE"""),"PMU")</f>
        <v>PMU</v>
      </c>
      <c r="O397" s="1"/>
      <c r="P397" s="1"/>
      <c r="Q397" s="1"/>
      <c r="R397" s="1"/>
      <c r="S397" s="1"/>
      <c r="T397" s="1"/>
      <c r="U397" s="1"/>
      <c r="V397" s="1"/>
      <c r="W397" s="1"/>
      <c r="X397" s="1"/>
      <c r="Y397" s="1"/>
      <c r="Z397" s="1"/>
    </row>
    <row r="398" spans="1:26" ht="12.75" customHeight="1">
      <c r="A398" s="1"/>
      <c r="B398" s="10" t="str">
        <f ca="1">IFERROR(__xludf.DUMMYFUNCTION("""COMPUTED_VALUE"""),"MEJORAMIENTO PLAZA BUENAVENTURA")</f>
        <v>MEJORAMIENTO PLAZA BUENAVENTURA</v>
      </c>
      <c r="C398" s="10" t="str">
        <f ca="1">IFERROR(__xludf.DUMMYFUNCTION("""COMPUTED_VALUE"""),"1-C-2023-1056")</f>
        <v>1-C-2023-1056</v>
      </c>
      <c r="D398" s="26" t="str">
        <f t="shared" ca="1" si="0"/>
        <v xml:space="preserve"> LO ESPEJO</v>
      </c>
      <c r="E398" s="10" t="str">
        <f ca="1">IFERROR(__xludf.DUMMYFUNCTION("""COMPUTED_VALUE"""),"Guía Operativa")</f>
        <v>Guía Operativa</v>
      </c>
      <c r="F398" s="10" t="str">
        <f ca="1">IFERROR(__xludf.DUMMYFUNCTION("""COMPUTED_VALUE"""),"MUNICIPALIDAD DE LO ESPEJO")</f>
        <v>MUNICIPALIDAD DE LO ESPEJO</v>
      </c>
      <c r="G398" s="71">
        <f ca="1">IFERROR(__xludf.DUMMYFUNCTION("""COMPUTED_VALUE"""),154398601)</f>
        <v>154398601</v>
      </c>
      <c r="H398" s="10" t="str">
        <f ca="1">IFERROR(__xludf.DUMMYFUNCTION("""COMPUTED_VALUE"""),"Resolución")</f>
        <v>Resolución</v>
      </c>
      <c r="I398" s="10" t="str">
        <f ca="1">IFERROR(__xludf.DUMMYFUNCTION("""COMPUTED_VALUE"""),"OBRA")</f>
        <v>OBRA</v>
      </c>
      <c r="J398" s="10" t="str">
        <f ca="1">IFERROR(__xludf.DUMMYFUNCTION("""COMPUTED_VALUE"""),"Cumplir con normativa y reglamentos internos del programa en base a los objetivos.")</f>
        <v>Cumplir con normativa y reglamentos internos del programa en base a los objetivos.</v>
      </c>
      <c r="K398" s="71">
        <f ca="1">IFERROR(__xludf.DUMMYFUNCTION("""COMPUTED_VALUE"""),154398601)</f>
        <v>154398601</v>
      </c>
      <c r="L398" s="72">
        <f ca="1">IFERROR(__xludf.DUMMYFUNCTION("""COMPUTED_VALUE"""),1)</f>
        <v>1</v>
      </c>
      <c r="M398" s="10">
        <f ca="1">IFERROR(__xludf.DUMMYFUNCTION("""COMPUTED_VALUE"""),4807)</f>
        <v>4807</v>
      </c>
      <c r="N398" s="10" t="str">
        <f ca="1">IFERROR(__xludf.DUMMYFUNCTION("""COMPUTED_VALUE"""),"PMU")</f>
        <v>PMU</v>
      </c>
      <c r="O398" s="1"/>
      <c r="P398" s="1"/>
      <c r="Q398" s="1"/>
      <c r="R398" s="1"/>
      <c r="S398" s="1"/>
      <c r="T398" s="1"/>
      <c r="U398" s="1"/>
      <c r="V398" s="1"/>
      <c r="W398" s="1"/>
      <c r="X398" s="1"/>
      <c r="Y398" s="1"/>
      <c r="Z398" s="1"/>
    </row>
    <row r="399" spans="1:26" ht="12.75" customHeight="1">
      <c r="A399" s="1"/>
      <c r="B399" s="10" t="str">
        <f ca="1">IFERROR(__xludf.DUMMYFUNCTION("""COMPUTED_VALUE"""),"PAVIMENTACIÓN Y AGUAS LLUVIAS CALLE RÍO MAIPO, ENTRE AV. MANUEL RODRÍGUEZ Y AV. EL CERRO, COMUNA DE RENCA")</f>
        <v>PAVIMENTACIÓN Y AGUAS LLUVIAS CALLE RÍO MAIPO, ENTRE AV. MANUEL RODRÍGUEZ Y AV. EL CERRO, COMUNA DE RENCA</v>
      </c>
      <c r="C399" s="10" t="str">
        <f ca="1">IFERROR(__xludf.DUMMYFUNCTION("""COMPUTED_VALUE"""),"1-C-2023-1475")</f>
        <v>1-C-2023-1475</v>
      </c>
      <c r="D399" s="26" t="str">
        <f t="shared" ca="1" si="0"/>
        <v xml:space="preserve"> RENCA</v>
      </c>
      <c r="E399" s="10" t="str">
        <f ca="1">IFERROR(__xludf.DUMMYFUNCTION("""COMPUTED_VALUE"""),"Guía Operativa")</f>
        <v>Guía Operativa</v>
      </c>
      <c r="F399" s="10" t="str">
        <f ca="1">IFERROR(__xludf.DUMMYFUNCTION("""COMPUTED_VALUE"""),"MUNICIPALIDAD DE RENCA")</f>
        <v>MUNICIPALIDAD DE RENCA</v>
      </c>
      <c r="G399" s="71">
        <f ca="1">IFERROR(__xludf.DUMMYFUNCTION("""COMPUTED_VALUE"""),154412348)</f>
        <v>154412348</v>
      </c>
      <c r="H399" s="10" t="str">
        <f ca="1">IFERROR(__xludf.DUMMYFUNCTION("""COMPUTED_VALUE"""),"Resolución")</f>
        <v>Resolución</v>
      </c>
      <c r="I399" s="10" t="str">
        <f ca="1">IFERROR(__xludf.DUMMYFUNCTION("""COMPUTED_VALUE"""),"OBRA")</f>
        <v>OBRA</v>
      </c>
      <c r="J399" s="10" t="str">
        <f ca="1">IFERROR(__xludf.DUMMYFUNCTION("""COMPUTED_VALUE"""),"Cumplir con normativa y reglamentos internos del programa en base a los objetivos.")</f>
        <v>Cumplir con normativa y reglamentos internos del programa en base a los objetivos.</v>
      </c>
      <c r="K399" s="71">
        <f ca="1">IFERROR(__xludf.DUMMYFUNCTION("""COMPUTED_VALUE"""),154412348)</f>
        <v>154412348</v>
      </c>
      <c r="L399" s="72">
        <f ca="1">IFERROR(__xludf.DUMMYFUNCTION("""COMPUTED_VALUE"""),1)</f>
        <v>1</v>
      </c>
      <c r="M399" s="10">
        <f ca="1">IFERROR(__xludf.DUMMYFUNCTION("""COMPUTED_VALUE"""),5306)</f>
        <v>5306</v>
      </c>
      <c r="N399" s="10" t="str">
        <f ca="1">IFERROR(__xludf.DUMMYFUNCTION("""COMPUTED_VALUE"""),"PMU")</f>
        <v>PMU</v>
      </c>
      <c r="O399" s="1"/>
      <c r="P399" s="1"/>
      <c r="Q399" s="1"/>
      <c r="R399" s="1"/>
      <c r="S399" s="1"/>
      <c r="T399" s="1"/>
      <c r="U399" s="1"/>
      <c r="V399" s="1"/>
      <c r="W399" s="1"/>
      <c r="X399" s="1"/>
      <c r="Y399" s="1"/>
      <c r="Z399" s="1"/>
    </row>
    <row r="400" spans="1:26" ht="12.75" customHeight="1">
      <c r="A400" s="1"/>
      <c r="B400" s="10" t="str">
        <f ca="1">IFERROR(__xludf.DUMMYFUNCTION("""COMPUTED_VALUE"""),"REPOSICION ILUMINACION CANCHAS E ILUMINACION GRADERIAS ESTADIO ESPARTA")</f>
        <v>REPOSICION ILUMINACION CANCHAS E ILUMINACION GRADERIAS ESTADIO ESPARTA</v>
      </c>
      <c r="C400" s="10" t="str">
        <f ca="1">IFERROR(__xludf.DUMMYFUNCTION("""COMPUTED_VALUE"""),"1-C-2023-1663")</f>
        <v>1-C-2023-1663</v>
      </c>
      <c r="D400" s="26" t="str">
        <f t="shared" ca="1" si="0"/>
        <v xml:space="preserve"> QUINTA NORMAL</v>
      </c>
      <c r="E400" s="10" t="str">
        <f ca="1">IFERROR(__xludf.DUMMYFUNCTION("""COMPUTED_VALUE"""),"Guía Operativa")</f>
        <v>Guía Operativa</v>
      </c>
      <c r="F400" s="10" t="str">
        <f ca="1">IFERROR(__xludf.DUMMYFUNCTION("""COMPUTED_VALUE"""),"MUNICIPALIDAD DE QUINTA NORMAL")</f>
        <v>MUNICIPALIDAD DE QUINTA NORMAL</v>
      </c>
      <c r="G400" s="71">
        <f ca="1">IFERROR(__xludf.DUMMYFUNCTION("""COMPUTED_VALUE"""),151389123)</f>
        <v>151389123</v>
      </c>
      <c r="H400" s="10" t="str">
        <f ca="1">IFERROR(__xludf.DUMMYFUNCTION("""COMPUTED_VALUE"""),"Resolución")</f>
        <v>Resolución</v>
      </c>
      <c r="I400" s="10" t="str">
        <f ca="1">IFERROR(__xludf.DUMMYFUNCTION("""COMPUTED_VALUE"""),"OBRA")</f>
        <v>OBRA</v>
      </c>
      <c r="J400" s="10" t="str">
        <f ca="1">IFERROR(__xludf.DUMMYFUNCTION("""COMPUTED_VALUE"""),"Cumplir con normativa y reglamentos internos del programa en base a los objetivos.")</f>
        <v>Cumplir con normativa y reglamentos internos del programa en base a los objetivos.</v>
      </c>
      <c r="K400" s="71">
        <f ca="1">IFERROR(__xludf.DUMMYFUNCTION("""COMPUTED_VALUE"""),151389123)</f>
        <v>151389123</v>
      </c>
      <c r="L400" s="72">
        <f ca="1">IFERROR(__xludf.DUMMYFUNCTION("""COMPUTED_VALUE"""),1)</f>
        <v>1</v>
      </c>
      <c r="M400" s="10">
        <f ca="1">IFERROR(__xludf.DUMMYFUNCTION("""COMPUTED_VALUE"""),5308)</f>
        <v>5308</v>
      </c>
      <c r="N400" s="10" t="str">
        <f ca="1">IFERROR(__xludf.DUMMYFUNCTION("""COMPUTED_VALUE"""),"PMU")</f>
        <v>PMU</v>
      </c>
      <c r="O400" s="1"/>
      <c r="P400" s="1"/>
      <c r="Q400" s="1"/>
      <c r="R400" s="1"/>
      <c r="S400" s="1"/>
      <c r="T400" s="1"/>
      <c r="U400" s="1"/>
      <c r="V400" s="1"/>
      <c r="W400" s="1"/>
      <c r="X400" s="1"/>
      <c r="Y400" s="1"/>
      <c r="Z400" s="1"/>
    </row>
    <row r="401" spans="1:26" ht="12.75" customHeight="1">
      <c r="A401" s="1"/>
      <c r="B401" s="10" t="str">
        <f ca="1">IFERROR(__xludf.DUMMYFUNCTION("""COMPUTED_VALUE"""),"CSV MEJORAMIENTO ESPACIO PÚBLICO CALLE DAVILA BAEZA")</f>
        <v>CSV MEJORAMIENTO ESPACIO PÚBLICO CALLE DAVILA BAEZA</v>
      </c>
      <c r="C401" s="10" t="str">
        <f ca="1">IFERROR(__xludf.DUMMYFUNCTION("""COMPUTED_VALUE"""),"1-C-2023-1954")</f>
        <v>1-C-2023-1954</v>
      </c>
      <c r="D401" s="26" t="str">
        <f t="shared" ca="1" si="0"/>
        <v xml:space="preserve"> INDEPENDENCIA</v>
      </c>
      <c r="E401" s="10" t="str">
        <f ca="1">IFERROR(__xludf.DUMMYFUNCTION("""COMPUTED_VALUE"""),"Guía Operativa")</f>
        <v>Guía Operativa</v>
      </c>
      <c r="F401" s="10" t="str">
        <f ca="1">IFERROR(__xludf.DUMMYFUNCTION("""COMPUTED_VALUE"""),"MUNICIPALIDAD DE INDEPENDENCIA")</f>
        <v>MUNICIPALIDAD DE INDEPENDENCIA</v>
      </c>
      <c r="G401" s="71">
        <f ca="1">IFERROR(__xludf.DUMMYFUNCTION("""COMPUTED_VALUE"""),154421441)</f>
        <v>154421441</v>
      </c>
      <c r="H401" s="10" t="str">
        <f ca="1">IFERROR(__xludf.DUMMYFUNCTION("""COMPUTED_VALUE"""),"Resolución")</f>
        <v>Resolución</v>
      </c>
      <c r="I401" s="10" t="str">
        <f ca="1">IFERROR(__xludf.DUMMYFUNCTION("""COMPUTED_VALUE"""),"OBRA")</f>
        <v>OBRA</v>
      </c>
      <c r="J401" s="10" t="str">
        <f ca="1">IFERROR(__xludf.DUMMYFUNCTION("""COMPUTED_VALUE"""),"Cumplir con normativa y reglamentos internos del programa en base a los objetivos.")</f>
        <v>Cumplir con normativa y reglamentos internos del programa en base a los objetivos.</v>
      </c>
      <c r="K401" s="71">
        <f ca="1">IFERROR(__xludf.DUMMYFUNCTION("""COMPUTED_VALUE"""),154421441)</f>
        <v>154421441</v>
      </c>
      <c r="L401" s="72">
        <f ca="1">IFERROR(__xludf.DUMMYFUNCTION("""COMPUTED_VALUE"""),1)</f>
        <v>1</v>
      </c>
      <c r="M401" s="10">
        <f ca="1">IFERROR(__xludf.DUMMYFUNCTION("""COMPUTED_VALUE"""),4780)</f>
        <v>4780</v>
      </c>
      <c r="N401" s="10" t="str">
        <f ca="1">IFERROR(__xludf.DUMMYFUNCTION("""COMPUTED_VALUE"""),"PMU")</f>
        <v>PMU</v>
      </c>
      <c r="O401" s="1"/>
      <c r="P401" s="1"/>
      <c r="Q401" s="1"/>
      <c r="R401" s="1"/>
      <c r="S401" s="1"/>
      <c r="T401" s="1"/>
      <c r="U401" s="1"/>
      <c r="V401" s="1"/>
      <c r="W401" s="1"/>
      <c r="X401" s="1"/>
      <c r="Y401" s="1"/>
      <c r="Z401" s="1"/>
    </row>
    <row r="402" spans="1:26" ht="12.75" customHeight="1">
      <c r="A402" s="1"/>
      <c r="B402" s="10" t="str">
        <f ca="1">IFERROR(__xludf.DUMMYFUNCTION("""COMPUTED_VALUE"""),"CSV MEJORAMIENTO ESPACIO PÚBLICO CALLE ECHEVERRIA")</f>
        <v>CSV MEJORAMIENTO ESPACIO PÚBLICO CALLE ECHEVERRIA</v>
      </c>
      <c r="C402" s="10" t="str">
        <f ca="1">IFERROR(__xludf.DUMMYFUNCTION("""COMPUTED_VALUE"""),"1-C-2023-1967")</f>
        <v>1-C-2023-1967</v>
      </c>
      <c r="D402" s="26" t="str">
        <f t="shared" ca="1" si="0"/>
        <v xml:space="preserve"> INDEPENDENCIA</v>
      </c>
      <c r="E402" s="10" t="str">
        <f ca="1">IFERROR(__xludf.DUMMYFUNCTION("""COMPUTED_VALUE"""),"Guía Operativa")</f>
        <v>Guía Operativa</v>
      </c>
      <c r="F402" s="10" t="str">
        <f ca="1">IFERROR(__xludf.DUMMYFUNCTION("""COMPUTED_VALUE"""),"MUNICIPALIDAD DE INDEPENDENCIA")</f>
        <v>MUNICIPALIDAD DE INDEPENDENCIA</v>
      </c>
      <c r="G402" s="71">
        <f ca="1">IFERROR(__xludf.DUMMYFUNCTION("""COMPUTED_VALUE"""),94390771)</f>
        <v>94390771</v>
      </c>
      <c r="H402" s="10" t="str">
        <f ca="1">IFERROR(__xludf.DUMMYFUNCTION("""COMPUTED_VALUE"""),"Resolución")</f>
        <v>Resolución</v>
      </c>
      <c r="I402" s="10" t="str">
        <f ca="1">IFERROR(__xludf.DUMMYFUNCTION("""COMPUTED_VALUE"""),"OBRA")</f>
        <v>OBRA</v>
      </c>
      <c r="J402" s="10" t="str">
        <f ca="1">IFERROR(__xludf.DUMMYFUNCTION("""COMPUTED_VALUE"""),"Cumplir con normativa y reglamentos internos del programa en base a los objetivos.")</f>
        <v>Cumplir con normativa y reglamentos internos del programa en base a los objetivos.</v>
      </c>
      <c r="K402" s="71">
        <f ca="1">IFERROR(__xludf.DUMMYFUNCTION("""COMPUTED_VALUE"""),94390771)</f>
        <v>94390771</v>
      </c>
      <c r="L402" s="72">
        <f ca="1">IFERROR(__xludf.DUMMYFUNCTION("""COMPUTED_VALUE"""),1)</f>
        <v>1</v>
      </c>
      <c r="M402" s="10">
        <f ca="1">IFERROR(__xludf.DUMMYFUNCTION("""COMPUTED_VALUE"""),4780)</f>
        <v>4780</v>
      </c>
      <c r="N402" s="10" t="str">
        <f ca="1">IFERROR(__xludf.DUMMYFUNCTION("""COMPUTED_VALUE"""),"PMU")</f>
        <v>PMU</v>
      </c>
      <c r="O402" s="1"/>
      <c r="P402" s="1"/>
      <c r="Q402" s="1"/>
      <c r="R402" s="1"/>
      <c r="S402" s="1"/>
      <c r="T402" s="1"/>
      <c r="U402" s="1"/>
      <c r="V402" s="1"/>
      <c r="W402" s="1"/>
      <c r="X402" s="1"/>
      <c r="Y402" s="1"/>
      <c r="Z402" s="1"/>
    </row>
    <row r="403" spans="1:26" ht="12.75" customHeight="1">
      <c r="A403" s="1"/>
      <c r="B403" s="10" t="str">
        <f ca="1">IFERROR(__xludf.DUMMYFUNCTION("""COMPUTED_VALUE"""),"REPOSICIÓN DE VEREDAS EN CALLE LOS CARRERA, QUILICURA")</f>
        <v>REPOSICIÓN DE VEREDAS EN CALLE LOS CARRERA, QUILICURA</v>
      </c>
      <c r="C403" s="10" t="str">
        <f ca="1">IFERROR(__xludf.DUMMYFUNCTION("""COMPUTED_VALUE"""),"1-C-2023-2096")</f>
        <v>1-C-2023-2096</v>
      </c>
      <c r="D403" s="26" t="str">
        <f t="shared" ca="1" si="0"/>
        <v xml:space="preserve"> QUILICURA</v>
      </c>
      <c r="E403" s="10" t="str">
        <f ca="1">IFERROR(__xludf.DUMMYFUNCTION("""COMPUTED_VALUE"""),"Guía Operativa")</f>
        <v>Guía Operativa</v>
      </c>
      <c r="F403" s="10" t="str">
        <f ca="1">IFERROR(__xludf.DUMMYFUNCTION("""COMPUTED_VALUE"""),"MUNICIPALIDAD DE QUILICURA")</f>
        <v>MUNICIPALIDAD DE QUILICURA</v>
      </c>
      <c r="G403" s="71">
        <f ca="1">IFERROR(__xludf.DUMMYFUNCTION("""COMPUTED_VALUE"""),114080838)</f>
        <v>114080838</v>
      </c>
      <c r="H403" s="10" t="str">
        <f ca="1">IFERROR(__xludf.DUMMYFUNCTION("""COMPUTED_VALUE"""),"Resolución")</f>
        <v>Resolución</v>
      </c>
      <c r="I403" s="10" t="str">
        <f ca="1">IFERROR(__xludf.DUMMYFUNCTION("""COMPUTED_VALUE"""),"OBRA")</f>
        <v>OBRA</v>
      </c>
      <c r="J403" s="10" t="str">
        <f ca="1">IFERROR(__xludf.DUMMYFUNCTION("""COMPUTED_VALUE"""),"Cumplir con normativa y reglamentos internos del programa en base a los objetivos.")</f>
        <v>Cumplir con normativa y reglamentos internos del programa en base a los objetivos.</v>
      </c>
      <c r="K403" s="71">
        <f ca="1">IFERROR(__xludf.DUMMYFUNCTION("""COMPUTED_VALUE"""),114080838)</f>
        <v>114080838</v>
      </c>
      <c r="L403" s="72">
        <f ca="1">IFERROR(__xludf.DUMMYFUNCTION("""COMPUTED_VALUE"""),1)</f>
        <v>1</v>
      </c>
      <c r="M403" s="10">
        <f ca="1">IFERROR(__xludf.DUMMYFUNCTION("""COMPUTED_VALUE"""),4913)</f>
        <v>4913</v>
      </c>
      <c r="N403" s="10" t="str">
        <f ca="1">IFERROR(__xludf.DUMMYFUNCTION("""COMPUTED_VALUE"""),"PMU")</f>
        <v>PMU</v>
      </c>
      <c r="O403" s="1"/>
      <c r="P403" s="1"/>
      <c r="Q403" s="1"/>
      <c r="R403" s="1"/>
      <c r="S403" s="1"/>
      <c r="T403" s="1"/>
      <c r="U403" s="1"/>
      <c r="V403" s="1"/>
      <c r="W403" s="1"/>
      <c r="X403" s="1"/>
      <c r="Y403" s="1"/>
      <c r="Z403" s="1"/>
    </row>
    <row r="404" spans="1:26" ht="12.75" customHeight="1">
      <c r="A404" s="1"/>
      <c r="B404" s="10" t="str">
        <f ca="1">IFERROR(__xludf.DUMMYFUNCTION("""COMPUTED_VALUE"""),"MEJORAMIENTO PLATABANDA SANTA PETRONILA Y PURISIMA")</f>
        <v>MEJORAMIENTO PLATABANDA SANTA PETRONILA Y PURISIMA</v>
      </c>
      <c r="C404" s="10" t="str">
        <f ca="1">IFERROR(__xludf.DUMMYFUNCTION("""COMPUTED_VALUE"""),"1-C-2023-2435")</f>
        <v>1-C-2023-2435</v>
      </c>
      <c r="D404" s="26" t="str">
        <f t="shared" ca="1" si="0"/>
        <v xml:space="preserve"> ESTACIÓN CENTRAL</v>
      </c>
      <c r="E404" s="10" t="str">
        <f ca="1">IFERROR(__xludf.DUMMYFUNCTION("""COMPUTED_VALUE"""),"Guía Operativa")</f>
        <v>Guía Operativa</v>
      </c>
      <c r="F404" s="10" t="str">
        <f ca="1">IFERROR(__xludf.DUMMYFUNCTION("""COMPUTED_VALUE"""),"MUNICIPALIDAD DE ESTACIÓN CENTRAL")</f>
        <v>MUNICIPALIDAD DE ESTACIÓN CENTRAL</v>
      </c>
      <c r="G404" s="71">
        <f ca="1">IFERROR(__xludf.DUMMYFUNCTION("""COMPUTED_VALUE"""),143898493)</f>
        <v>143898493</v>
      </c>
      <c r="H404" s="10" t="str">
        <f ca="1">IFERROR(__xludf.DUMMYFUNCTION("""COMPUTED_VALUE"""),"Resolución")</f>
        <v>Resolución</v>
      </c>
      <c r="I404" s="10" t="str">
        <f ca="1">IFERROR(__xludf.DUMMYFUNCTION("""COMPUTED_VALUE"""),"OBRA")</f>
        <v>OBRA</v>
      </c>
      <c r="J404" s="10" t="str">
        <f ca="1">IFERROR(__xludf.DUMMYFUNCTION("""COMPUTED_VALUE"""),"Cumplir con normativa y reglamentos internos del programa en base a los objetivos.")</f>
        <v>Cumplir con normativa y reglamentos internos del programa en base a los objetivos.</v>
      </c>
      <c r="K404" s="71">
        <f ca="1">IFERROR(__xludf.DUMMYFUNCTION("""COMPUTED_VALUE"""),143898493)</f>
        <v>143898493</v>
      </c>
      <c r="L404" s="72">
        <f ca="1">IFERROR(__xludf.DUMMYFUNCTION("""COMPUTED_VALUE"""),1)</f>
        <v>1</v>
      </c>
      <c r="M404" s="10">
        <f ca="1">IFERROR(__xludf.DUMMYFUNCTION("""COMPUTED_VALUE"""),4922)</f>
        <v>4922</v>
      </c>
      <c r="N404" s="10" t="str">
        <f ca="1">IFERROR(__xludf.DUMMYFUNCTION("""COMPUTED_VALUE"""),"PMU")</f>
        <v>PMU</v>
      </c>
      <c r="O404" s="1"/>
      <c r="P404" s="1"/>
      <c r="Q404" s="1"/>
      <c r="R404" s="1"/>
      <c r="S404" s="1"/>
      <c r="T404" s="1"/>
      <c r="U404" s="1"/>
      <c r="V404" s="1"/>
      <c r="W404" s="1"/>
      <c r="X404" s="1"/>
      <c r="Y404" s="1"/>
      <c r="Z404" s="1"/>
    </row>
    <row r="405" spans="1:26" ht="12.75" customHeight="1">
      <c r="A405" s="1"/>
      <c r="B405" s="10" t="str">
        <f ca="1">IFERROR(__xludf.DUMMYFUNCTION("""COMPUTED_VALUE"""),"MEJORAMIENTO INTEGRAL DE AREA VERDE Y MULTICANCHA LOS JAZMINES, U.V N°3, COMUNA DE LA FLORIDA")</f>
        <v>MEJORAMIENTO INTEGRAL DE AREA VERDE Y MULTICANCHA LOS JAZMINES, U.V N°3, COMUNA DE LA FLORIDA</v>
      </c>
      <c r="C405" s="10" t="str">
        <f ca="1">IFERROR(__xludf.DUMMYFUNCTION("""COMPUTED_VALUE"""),"1-C-2023-2463")</f>
        <v>1-C-2023-2463</v>
      </c>
      <c r="D405" s="26" t="str">
        <f t="shared" ca="1" si="0"/>
        <v xml:space="preserve"> LA FLORIDA</v>
      </c>
      <c r="E405" s="10" t="str">
        <f ca="1">IFERROR(__xludf.DUMMYFUNCTION("""COMPUTED_VALUE"""),"Guía Operativa")</f>
        <v>Guía Operativa</v>
      </c>
      <c r="F405" s="10" t="str">
        <f ca="1">IFERROR(__xludf.DUMMYFUNCTION("""COMPUTED_VALUE"""),"MUNICIPALIDAD DE LA FLORIDA")</f>
        <v>MUNICIPALIDAD DE LA FLORIDA</v>
      </c>
      <c r="G405" s="71">
        <f ca="1">IFERROR(__xludf.DUMMYFUNCTION("""COMPUTED_VALUE"""),145147716)</f>
        <v>145147716</v>
      </c>
      <c r="H405" s="10" t="str">
        <f ca="1">IFERROR(__xludf.DUMMYFUNCTION("""COMPUTED_VALUE"""),"Resolución")</f>
        <v>Resolución</v>
      </c>
      <c r="I405" s="10" t="str">
        <f ca="1">IFERROR(__xludf.DUMMYFUNCTION("""COMPUTED_VALUE"""),"OBRA")</f>
        <v>OBRA</v>
      </c>
      <c r="J405" s="10" t="str">
        <f ca="1">IFERROR(__xludf.DUMMYFUNCTION("""COMPUTED_VALUE"""),"Cumplir con normativa y reglamentos internos del programa en base a los objetivos.")</f>
        <v>Cumplir con normativa y reglamentos internos del programa en base a los objetivos.</v>
      </c>
      <c r="K405" s="71">
        <f ca="1">IFERROR(__xludf.DUMMYFUNCTION("""COMPUTED_VALUE"""),145147716)</f>
        <v>145147716</v>
      </c>
      <c r="L405" s="72">
        <f ca="1">IFERROR(__xludf.DUMMYFUNCTION("""COMPUTED_VALUE"""),1)</f>
        <v>1</v>
      </c>
      <c r="M405" s="10">
        <f ca="1">IFERROR(__xludf.DUMMYFUNCTION("""COMPUTED_VALUE"""),4662)</f>
        <v>4662</v>
      </c>
      <c r="N405" s="10" t="str">
        <f ca="1">IFERROR(__xludf.DUMMYFUNCTION("""COMPUTED_VALUE"""),"PMU")</f>
        <v>PMU</v>
      </c>
      <c r="O405" s="1"/>
      <c r="P405" s="1"/>
      <c r="Q405" s="1"/>
      <c r="R405" s="1"/>
      <c r="S405" s="1"/>
      <c r="T405" s="1"/>
      <c r="U405" s="1"/>
      <c r="V405" s="1"/>
      <c r="W405" s="1"/>
      <c r="X405" s="1"/>
      <c r="Y405" s="1"/>
      <c r="Z405" s="1"/>
    </row>
    <row r="406" spans="1:26" ht="12.75" customHeight="1">
      <c r="A406" s="1"/>
      <c r="B406" s="10" t="str">
        <f ca="1">IFERROR(__xludf.DUMMYFUNCTION("""COMPUTED_VALUE"""),"MEJORAMIENTO MULTICANCHA CONDOMINIO LOS LEBRELES")</f>
        <v>MEJORAMIENTO MULTICANCHA CONDOMINIO LOS LEBRELES</v>
      </c>
      <c r="C406" s="10" t="str">
        <f ca="1">IFERROR(__xludf.DUMMYFUNCTION("""COMPUTED_VALUE"""),"1-C-2023-2537")</f>
        <v>1-C-2023-2537</v>
      </c>
      <c r="D406" s="26" t="str">
        <f t="shared" ca="1" si="0"/>
        <v xml:space="preserve"> LO ESPEJO</v>
      </c>
      <c r="E406" s="10" t="str">
        <f ca="1">IFERROR(__xludf.DUMMYFUNCTION("""COMPUTED_VALUE"""),"Guía Operativa")</f>
        <v>Guía Operativa</v>
      </c>
      <c r="F406" s="10" t="str">
        <f ca="1">IFERROR(__xludf.DUMMYFUNCTION("""COMPUTED_VALUE"""),"MUNICIPALIDAD DE LO ESPEJO")</f>
        <v>MUNICIPALIDAD DE LO ESPEJO</v>
      </c>
      <c r="G406" s="71">
        <f ca="1">IFERROR(__xludf.DUMMYFUNCTION("""COMPUTED_VALUE"""),154420057)</f>
        <v>154420057</v>
      </c>
      <c r="H406" s="10" t="str">
        <f ca="1">IFERROR(__xludf.DUMMYFUNCTION("""COMPUTED_VALUE"""),"Resolución")</f>
        <v>Resolución</v>
      </c>
      <c r="I406" s="10" t="str">
        <f ca="1">IFERROR(__xludf.DUMMYFUNCTION("""COMPUTED_VALUE"""),"OBRA")</f>
        <v>OBRA</v>
      </c>
      <c r="J406" s="10" t="str">
        <f ca="1">IFERROR(__xludf.DUMMYFUNCTION("""COMPUTED_VALUE"""),"Cumplir con normativa y reglamentos internos del programa en base a los objetivos.")</f>
        <v>Cumplir con normativa y reglamentos internos del programa en base a los objetivos.</v>
      </c>
      <c r="K406" s="71">
        <f ca="1">IFERROR(__xludf.DUMMYFUNCTION("""COMPUTED_VALUE"""),154420057)</f>
        <v>154420057</v>
      </c>
      <c r="L406" s="72">
        <f ca="1">IFERROR(__xludf.DUMMYFUNCTION("""COMPUTED_VALUE"""),1)</f>
        <v>1</v>
      </c>
      <c r="M406" s="10">
        <f ca="1">IFERROR(__xludf.DUMMYFUNCTION("""COMPUTED_VALUE"""),5301)</f>
        <v>5301</v>
      </c>
      <c r="N406" s="10" t="str">
        <f ca="1">IFERROR(__xludf.DUMMYFUNCTION("""COMPUTED_VALUE"""),"PMU")</f>
        <v>PMU</v>
      </c>
      <c r="O406" s="1"/>
      <c r="P406" s="1"/>
      <c r="Q406" s="1"/>
      <c r="R406" s="1"/>
      <c r="S406" s="1"/>
      <c r="T406" s="1"/>
      <c r="U406" s="1"/>
      <c r="V406" s="1"/>
      <c r="W406" s="1"/>
      <c r="X406" s="1"/>
      <c r="Y406" s="1"/>
      <c r="Z406" s="1"/>
    </row>
    <row r="407" spans="1:26" ht="12.75" customHeight="1">
      <c r="A407" s="1"/>
      <c r="B407" s="10" t="str">
        <f ca="1">IFERROR(__xludf.DUMMYFUNCTION("""COMPUTED_VALUE"""),"MEJORAMIENTO ESPACIO PÚBLICO PASAJE NAVIDAD, UV 13, COMUNA DE SAN RAMÓN")</f>
        <v>MEJORAMIENTO ESPACIO PÚBLICO PASAJE NAVIDAD, UV 13, COMUNA DE SAN RAMÓN</v>
      </c>
      <c r="C407" s="10" t="str">
        <f ca="1">IFERROR(__xludf.DUMMYFUNCTION("""COMPUTED_VALUE"""),"1-C-2023-2908")</f>
        <v>1-C-2023-2908</v>
      </c>
      <c r="D407" s="26" t="str">
        <f t="shared" ca="1" si="0"/>
        <v xml:space="preserve"> SAN RAMÓN</v>
      </c>
      <c r="E407" s="10" t="str">
        <f ca="1">IFERROR(__xludf.DUMMYFUNCTION("""COMPUTED_VALUE"""),"Guía Operativa")</f>
        <v>Guía Operativa</v>
      </c>
      <c r="F407" s="10" t="str">
        <f ca="1">IFERROR(__xludf.DUMMYFUNCTION("""COMPUTED_VALUE"""),"MUNICIPALIDAD DE SAN RAMÓN")</f>
        <v>MUNICIPALIDAD DE SAN RAMÓN</v>
      </c>
      <c r="G407" s="71">
        <f ca="1">IFERROR(__xludf.DUMMYFUNCTION("""COMPUTED_VALUE"""),127971991)</f>
        <v>127971991</v>
      </c>
      <c r="H407" s="10" t="str">
        <f ca="1">IFERROR(__xludf.DUMMYFUNCTION("""COMPUTED_VALUE"""),"Resolución")</f>
        <v>Resolución</v>
      </c>
      <c r="I407" s="10" t="str">
        <f ca="1">IFERROR(__xludf.DUMMYFUNCTION("""COMPUTED_VALUE"""),"OBRA")</f>
        <v>OBRA</v>
      </c>
      <c r="J407" s="10" t="str">
        <f ca="1">IFERROR(__xludf.DUMMYFUNCTION("""COMPUTED_VALUE"""),"Cumplir con normativa y reglamentos internos del programa en base a los objetivos.")</f>
        <v>Cumplir con normativa y reglamentos internos del programa en base a los objetivos.</v>
      </c>
      <c r="K407" s="71">
        <f ca="1">IFERROR(__xludf.DUMMYFUNCTION("""COMPUTED_VALUE"""),127971991)</f>
        <v>127971991</v>
      </c>
      <c r="L407" s="72">
        <f ca="1">IFERROR(__xludf.DUMMYFUNCTION("""COMPUTED_VALUE"""),1)</f>
        <v>1</v>
      </c>
      <c r="M407" s="10">
        <f ca="1">IFERROR(__xludf.DUMMYFUNCTION("""COMPUTED_VALUE"""),5391)</f>
        <v>5391</v>
      </c>
      <c r="N407" s="10" t="str">
        <f ca="1">IFERROR(__xludf.DUMMYFUNCTION("""COMPUTED_VALUE"""),"PMU")</f>
        <v>PMU</v>
      </c>
      <c r="O407" s="1"/>
      <c r="P407" s="1"/>
      <c r="Q407" s="1"/>
      <c r="R407" s="1"/>
      <c r="S407" s="1"/>
      <c r="T407" s="1"/>
      <c r="U407" s="1"/>
      <c r="V407" s="1"/>
      <c r="W407" s="1"/>
      <c r="X407" s="1"/>
      <c r="Y407" s="1"/>
      <c r="Z407" s="1"/>
    </row>
    <row r="408" spans="1:26" ht="12.75" customHeight="1">
      <c r="A408" s="1"/>
      <c r="B408" s="10" t="str">
        <f ca="1">IFERROR(__xludf.DUMMYFUNCTION("""COMPUTED_VALUE"""),"MEJORAMIENTO ESPACIO PUBLICO UNIDAD VECINAL 14")</f>
        <v>MEJORAMIENTO ESPACIO PUBLICO UNIDAD VECINAL 14</v>
      </c>
      <c r="C408" s="10" t="str">
        <f ca="1">IFERROR(__xludf.DUMMYFUNCTION("""COMPUTED_VALUE"""),"1-C-2024-206")</f>
        <v>1-C-2024-206</v>
      </c>
      <c r="D408" s="26" t="str">
        <f t="shared" ca="1" si="0"/>
        <v xml:space="preserve"> PEDRO AGUIRRE CERDA</v>
      </c>
      <c r="E408" s="10" t="str">
        <f ca="1">IFERROR(__xludf.DUMMYFUNCTION("""COMPUTED_VALUE"""),"Guía Operativa")</f>
        <v>Guía Operativa</v>
      </c>
      <c r="F408" s="10" t="str">
        <f ca="1">IFERROR(__xludf.DUMMYFUNCTION("""COMPUTED_VALUE"""),"MUNICIPALIDAD DE PEDRO AGUIRRE CERDA")</f>
        <v>MUNICIPALIDAD DE PEDRO AGUIRRE CERDA</v>
      </c>
      <c r="G408" s="71">
        <f ca="1">IFERROR(__xludf.DUMMYFUNCTION("""COMPUTED_VALUE"""),154323976)</f>
        <v>154323976</v>
      </c>
      <c r="H408" s="10" t="str">
        <f ca="1">IFERROR(__xludf.DUMMYFUNCTION("""COMPUTED_VALUE"""),"Resolución")</f>
        <v>Resolución</v>
      </c>
      <c r="I408" s="10" t="str">
        <f ca="1">IFERROR(__xludf.DUMMYFUNCTION("""COMPUTED_VALUE"""),"OBRA")</f>
        <v>OBRA</v>
      </c>
      <c r="J408" s="10" t="str">
        <f ca="1">IFERROR(__xludf.DUMMYFUNCTION("""COMPUTED_VALUE"""),"Cumplir con normativa y reglamentos internos del programa en base a los objetivos.")</f>
        <v>Cumplir con normativa y reglamentos internos del programa en base a los objetivos.</v>
      </c>
      <c r="K408" s="71">
        <f ca="1">IFERROR(__xludf.DUMMYFUNCTION("""COMPUTED_VALUE"""),154323976)</f>
        <v>154323976</v>
      </c>
      <c r="L408" s="72">
        <f ca="1">IFERROR(__xludf.DUMMYFUNCTION("""COMPUTED_VALUE"""),1)</f>
        <v>1</v>
      </c>
      <c r="M408" s="10">
        <f ca="1">IFERROR(__xludf.DUMMYFUNCTION("""COMPUTED_VALUE"""),4925)</f>
        <v>4925</v>
      </c>
      <c r="N408" s="10" t="str">
        <f ca="1">IFERROR(__xludf.DUMMYFUNCTION("""COMPUTED_VALUE"""),"PMU")</f>
        <v>PMU</v>
      </c>
      <c r="O408" s="1"/>
      <c r="P408" s="1"/>
      <c r="Q408" s="1"/>
      <c r="R408" s="1"/>
      <c r="S408" s="1"/>
      <c r="T408" s="1"/>
      <c r="U408" s="1"/>
      <c r="V408" s="1"/>
      <c r="W408" s="1"/>
      <c r="X408" s="1"/>
      <c r="Y408" s="1"/>
      <c r="Z408" s="1"/>
    </row>
    <row r="409" spans="1:26" ht="12.75" customHeight="1">
      <c r="A409" s="1"/>
      <c r="B409" s="10" t="str">
        <f ca="1">IFERROR(__xludf.DUMMYFUNCTION("""COMPUTED_VALUE"""),"CONSTRUCCIÓN REDUCTORES DE VELOCIDAD URBANOS, COMUNA DE LA UNIÓN")</f>
        <v>CONSTRUCCIÓN REDUCTORES DE VELOCIDAD URBANOS, COMUNA DE LA UNIÓN</v>
      </c>
      <c r="C409" s="10" t="str">
        <f ca="1">IFERROR(__xludf.DUMMYFUNCTION("""COMPUTED_VALUE"""),"1-C-2023-1599")</f>
        <v>1-C-2023-1599</v>
      </c>
      <c r="D409" s="26" t="str">
        <f t="shared" ca="1" si="0"/>
        <v xml:space="preserve"> LA UNIÓN</v>
      </c>
      <c r="E409" s="10" t="str">
        <f ca="1">IFERROR(__xludf.DUMMYFUNCTION("""COMPUTED_VALUE"""),"Guía Operativa")</f>
        <v>Guía Operativa</v>
      </c>
      <c r="F409" s="10" t="str">
        <f ca="1">IFERROR(__xludf.DUMMYFUNCTION("""COMPUTED_VALUE"""),"MUNICIPALIDAD DE LA UNIÓN")</f>
        <v>MUNICIPALIDAD DE LA UNIÓN</v>
      </c>
      <c r="G409" s="71">
        <f ca="1">IFERROR(__xludf.DUMMYFUNCTION("""COMPUTED_VALUE"""),97912724)</f>
        <v>97912724</v>
      </c>
      <c r="H409" s="10" t="str">
        <f ca="1">IFERROR(__xludf.DUMMYFUNCTION("""COMPUTED_VALUE"""),"Resolución")</f>
        <v>Resolución</v>
      </c>
      <c r="I409" s="10" t="str">
        <f ca="1">IFERROR(__xludf.DUMMYFUNCTION("""COMPUTED_VALUE"""),"OBRA")</f>
        <v>OBRA</v>
      </c>
      <c r="J409" s="10" t="str">
        <f ca="1">IFERROR(__xludf.DUMMYFUNCTION("""COMPUTED_VALUE"""),"Cumplir con normativa y reglamentos internos del programa en base a los objetivos.")</f>
        <v>Cumplir con normativa y reglamentos internos del programa en base a los objetivos.</v>
      </c>
      <c r="K409" s="71">
        <f ca="1">IFERROR(__xludf.DUMMYFUNCTION("""COMPUTED_VALUE"""),97912724)</f>
        <v>97912724</v>
      </c>
      <c r="L409" s="72">
        <f ca="1">IFERROR(__xludf.DUMMYFUNCTION("""COMPUTED_VALUE"""),1)</f>
        <v>1</v>
      </c>
      <c r="M409" s="10">
        <f ca="1">IFERROR(__xludf.DUMMYFUNCTION("""COMPUTED_VALUE"""),4666)</f>
        <v>4666</v>
      </c>
      <c r="N409" s="10" t="str">
        <f ca="1">IFERROR(__xludf.DUMMYFUNCTION("""COMPUTED_VALUE"""),"PMU")</f>
        <v>PMU</v>
      </c>
      <c r="O409" s="1"/>
      <c r="P409" s="1"/>
      <c r="Q409" s="1"/>
      <c r="R409" s="1"/>
      <c r="S409" s="1"/>
      <c r="T409" s="1"/>
      <c r="U409" s="1"/>
      <c r="V409" s="1"/>
      <c r="W409" s="1"/>
      <c r="X409" s="1"/>
      <c r="Y409" s="1"/>
      <c r="Z409" s="1"/>
    </row>
    <row r="410" spans="1:26" ht="12.75" customHeight="1">
      <c r="A410" s="1"/>
      <c r="B410" s="10" t="str">
        <f ca="1">IFERROR(__xludf.DUMMYFUNCTION("""COMPUTED_VALUE"""),"[SATE] CONSTRUCCION DE CUBIERTA Y MEJORAMIENTO MULTICANCHA LOCALIDAD DE CUYA")</f>
        <v>[SATE] CONSTRUCCION DE CUBIERTA Y MEJORAMIENTO MULTICANCHA LOCALIDAD DE CUYA</v>
      </c>
      <c r="C410" s="10" t="str">
        <f ca="1">IFERROR(__xludf.DUMMYFUNCTION("""COMPUTED_VALUE"""),"1-C-2023-909")</f>
        <v>1-C-2023-909</v>
      </c>
      <c r="D410" s="26" t="str">
        <f t="shared" ca="1" si="0"/>
        <v xml:space="preserve"> CAMARONES</v>
      </c>
      <c r="E410" s="10" t="str">
        <f ca="1">IFERROR(__xludf.DUMMYFUNCTION("""COMPUTED_VALUE"""),"Guía Operativa")</f>
        <v>Guía Operativa</v>
      </c>
      <c r="F410" s="10" t="str">
        <f ca="1">IFERROR(__xludf.DUMMYFUNCTION("""COMPUTED_VALUE"""),"MUNICIPALIDAD DE CAMARONES")</f>
        <v>MUNICIPALIDAD DE CAMARONES</v>
      </c>
      <c r="G410" s="71">
        <f ca="1">IFERROR(__xludf.DUMMYFUNCTION("""COMPUTED_VALUE"""),154000000)</f>
        <v>154000000</v>
      </c>
      <c r="H410" s="10" t="str">
        <f ca="1">IFERROR(__xludf.DUMMYFUNCTION("""COMPUTED_VALUE"""),"Resolución")</f>
        <v>Resolución</v>
      </c>
      <c r="I410" s="10" t="str">
        <f ca="1">IFERROR(__xludf.DUMMYFUNCTION("""COMPUTED_VALUE"""),"OBRA")</f>
        <v>OBRA</v>
      </c>
      <c r="J410" s="10" t="str">
        <f ca="1">IFERROR(__xludf.DUMMYFUNCTION("""COMPUTED_VALUE"""),"Cumplir con normativa y reglamentos internos del programa en base a los objetivos.")</f>
        <v>Cumplir con normativa y reglamentos internos del programa en base a los objetivos.</v>
      </c>
      <c r="K410" s="71">
        <f ca="1">IFERROR(__xludf.DUMMYFUNCTION("""COMPUTED_VALUE"""),154000000)</f>
        <v>154000000</v>
      </c>
      <c r="L410" s="72">
        <f ca="1">IFERROR(__xludf.DUMMYFUNCTION("""COMPUTED_VALUE"""),1)</f>
        <v>1</v>
      </c>
      <c r="M410" s="10">
        <f ca="1">IFERROR(__xludf.DUMMYFUNCTION("""COMPUTED_VALUE"""),4233)</f>
        <v>4233</v>
      </c>
      <c r="N410" s="10" t="str">
        <f ca="1">IFERROR(__xludf.DUMMYFUNCTION("""COMPUTED_VALUE"""),"PMU")</f>
        <v>PMU</v>
      </c>
      <c r="O410" s="1"/>
      <c r="P410" s="1"/>
      <c r="Q410" s="1"/>
      <c r="R410" s="1"/>
      <c r="S410" s="1"/>
      <c r="T410" s="1"/>
      <c r="U410" s="1"/>
      <c r="V410" s="1"/>
      <c r="W410" s="1"/>
      <c r="X410" s="1"/>
      <c r="Y410" s="1"/>
      <c r="Z410" s="1"/>
    </row>
    <row r="411" spans="1:26" ht="12.75" customHeight="1">
      <c r="A411" s="1"/>
      <c r="B411" s="10" t="str">
        <f ca="1">IFERROR(__xludf.DUMMYFUNCTION("""COMPUTED_VALUE"""),"[SATE] CONSTRUCCION DE CUBIERTA Y MEJORAMIENTO MULTICANCHA, LOCALIDAD DE ESQUIÑA")</f>
        <v>[SATE] CONSTRUCCION DE CUBIERTA Y MEJORAMIENTO MULTICANCHA, LOCALIDAD DE ESQUIÑA</v>
      </c>
      <c r="C411" s="10" t="str">
        <f ca="1">IFERROR(__xludf.DUMMYFUNCTION("""COMPUTED_VALUE"""),"1-C-2023-1258")</f>
        <v>1-C-2023-1258</v>
      </c>
      <c r="D411" s="26" t="str">
        <f t="shared" ca="1" si="0"/>
        <v xml:space="preserve"> CAMARONES</v>
      </c>
      <c r="E411" s="10" t="str">
        <f ca="1">IFERROR(__xludf.DUMMYFUNCTION("""COMPUTED_VALUE"""),"Guía Operativa")</f>
        <v>Guía Operativa</v>
      </c>
      <c r="F411" s="10" t="str">
        <f ca="1">IFERROR(__xludf.DUMMYFUNCTION("""COMPUTED_VALUE"""),"MUNICIPALIDAD DE CAMARONES")</f>
        <v>MUNICIPALIDAD DE CAMARONES</v>
      </c>
      <c r="G411" s="71">
        <f ca="1">IFERROR(__xludf.DUMMYFUNCTION("""COMPUTED_VALUE"""),161664999)</f>
        <v>161664999</v>
      </c>
      <c r="H411" s="10" t="str">
        <f ca="1">IFERROR(__xludf.DUMMYFUNCTION("""COMPUTED_VALUE"""),"Resolución")</f>
        <v>Resolución</v>
      </c>
      <c r="I411" s="10" t="str">
        <f ca="1">IFERROR(__xludf.DUMMYFUNCTION("""COMPUTED_VALUE"""),"OBRA")</f>
        <v>OBRA</v>
      </c>
      <c r="J411" s="10" t="str">
        <f ca="1">IFERROR(__xludf.DUMMYFUNCTION("""COMPUTED_VALUE"""),"Cumplir con normativa y reglamentos internos del programa en base a los objetivos.")</f>
        <v>Cumplir con normativa y reglamentos internos del programa en base a los objetivos.</v>
      </c>
      <c r="K411" s="71">
        <f ca="1">IFERROR(__xludf.DUMMYFUNCTION("""COMPUTED_VALUE"""),161664999)</f>
        <v>161664999</v>
      </c>
      <c r="L411" s="72">
        <f ca="1">IFERROR(__xludf.DUMMYFUNCTION("""COMPUTED_VALUE"""),1)</f>
        <v>1</v>
      </c>
      <c r="M411" s="10">
        <f ca="1">IFERROR(__xludf.DUMMYFUNCTION("""COMPUTED_VALUE"""),5099)</f>
        <v>5099</v>
      </c>
      <c r="N411" s="10" t="str">
        <f ca="1">IFERROR(__xludf.DUMMYFUNCTION("""COMPUTED_VALUE"""),"PMU")</f>
        <v>PMU</v>
      </c>
      <c r="O411" s="1"/>
      <c r="P411" s="1"/>
      <c r="Q411" s="1"/>
      <c r="R411" s="1"/>
      <c r="S411" s="1"/>
      <c r="T411" s="1"/>
      <c r="U411" s="1"/>
      <c r="V411" s="1"/>
      <c r="W411" s="1"/>
      <c r="X411" s="1"/>
      <c r="Y411" s="1"/>
      <c r="Z411" s="1"/>
    </row>
    <row r="412" spans="1:26" ht="12.75" customHeight="1">
      <c r="A412" s="1"/>
      <c r="B412" s="10" t="str">
        <f ca="1">IFERROR(__xludf.DUMMYFUNCTION("""COMPUTED_VALUE"""),"CSV MEJORAMIENTO DE VEREDA PEATONAL TERMINAL MARIA TERESA")</f>
        <v>CSV MEJORAMIENTO DE VEREDA PEATONAL TERMINAL MARIA TERESA</v>
      </c>
      <c r="C412" s="10" t="str">
        <f ca="1">IFERROR(__xludf.DUMMYFUNCTION("""COMPUTED_VALUE"""),"1-C-2023-2336")</f>
        <v>1-C-2023-2336</v>
      </c>
      <c r="D412" s="26" t="str">
        <f t="shared" ca="1" si="0"/>
        <v xml:space="preserve"> CHILLÁN</v>
      </c>
      <c r="E412" s="10" t="str">
        <f ca="1">IFERROR(__xludf.DUMMYFUNCTION("""COMPUTED_VALUE"""),"Guía Operativa")</f>
        <v>Guía Operativa</v>
      </c>
      <c r="F412" s="10" t="str">
        <f ca="1">IFERROR(__xludf.DUMMYFUNCTION("""COMPUTED_VALUE"""),"MUNICIPALIDAD DE CHILLÁN")</f>
        <v>MUNICIPALIDAD DE CHILLÁN</v>
      </c>
      <c r="G412" s="71">
        <f ca="1">IFERROR(__xludf.DUMMYFUNCTION("""COMPUTED_VALUE"""),69052884)</f>
        <v>69052884</v>
      </c>
      <c r="H412" s="10" t="str">
        <f ca="1">IFERROR(__xludf.DUMMYFUNCTION("""COMPUTED_VALUE"""),"Resolución")</f>
        <v>Resolución</v>
      </c>
      <c r="I412" s="10" t="str">
        <f ca="1">IFERROR(__xludf.DUMMYFUNCTION("""COMPUTED_VALUE"""),"OBRA")</f>
        <v>OBRA</v>
      </c>
      <c r="J412" s="10" t="str">
        <f ca="1">IFERROR(__xludf.DUMMYFUNCTION("""COMPUTED_VALUE"""),"Cumplir con normativa y reglamentos internos del programa en base a los objetivos.")</f>
        <v>Cumplir con normativa y reglamentos internos del programa en base a los objetivos.</v>
      </c>
      <c r="K412" s="71">
        <f ca="1">IFERROR(__xludf.DUMMYFUNCTION("""COMPUTED_VALUE"""),69052884)</f>
        <v>69052884</v>
      </c>
      <c r="L412" s="72">
        <f ca="1">IFERROR(__xludf.DUMMYFUNCTION("""COMPUTED_VALUE"""),1)</f>
        <v>1</v>
      </c>
      <c r="M412" s="10">
        <f ca="1">IFERROR(__xludf.DUMMYFUNCTION("""COMPUTED_VALUE"""),4382)</f>
        <v>4382</v>
      </c>
      <c r="N412" s="10" t="str">
        <f ca="1">IFERROR(__xludf.DUMMYFUNCTION("""COMPUTED_VALUE"""),"PMU")</f>
        <v>PMU</v>
      </c>
      <c r="O412" s="1"/>
      <c r="P412" s="1"/>
      <c r="Q412" s="1"/>
      <c r="R412" s="1"/>
      <c r="S412" s="1"/>
      <c r="T412" s="1"/>
      <c r="U412" s="1"/>
      <c r="V412" s="1"/>
      <c r="W412" s="1"/>
      <c r="X412" s="1"/>
      <c r="Y412" s="1"/>
      <c r="Z412" s="1"/>
    </row>
    <row r="413" spans="1:26" ht="12.75" customHeight="1">
      <c r="A413" s="1"/>
      <c r="B413" s="10" t="str">
        <f ca="1">IFERROR(__xludf.DUMMYFUNCTION("""COMPUTED_VALUE"""),"[SATE] CONSTRUCCION TECHUMBRE MULTICANCHA DE ALTO CAMIÑA")</f>
        <v>[SATE] CONSTRUCCION TECHUMBRE MULTICANCHA DE ALTO CAMIÑA</v>
      </c>
      <c r="C413" s="10" t="str">
        <f ca="1">IFERROR(__xludf.DUMMYFUNCTION("""COMPUTED_VALUE"""),"1-C-2023-846")</f>
        <v>1-C-2023-846</v>
      </c>
      <c r="D413" s="26" t="str">
        <f t="shared" ca="1" si="0"/>
        <v xml:space="preserve"> CAMIÑA</v>
      </c>
      <c r="E413" s="10" t="str">
        <f ca="1">IFERROR(__xludf.DUMMYFUNCTION("""COMPUTED_VALUE"""),"Guía Operativa")</f>
        <v>Guía Operativa</v>
      </c>
      <c r="F413" s="10" t="str">
        <f ca="1">IFERROR(__xludf.DUMMYFUNCTION("""COMPUTED_VALUE"""),"MUNICIPALIDAD DE CAMIÑA")</f>
        <v>MUNICIPALIDAD DE CAMIÑA</v>
      </c>
      <c r="G413" s="71">
        <f ca="1">IFERROR(__xludf.DUMMYFUNCTION("""COMPUTED_VALUE"""),124077522)</f>
        <v>124077522</v>
      </c>
      <c r="H413" s="10" t="str">
        <f ca="1">IFERROR(__xludf.DUMMYFUNCTION("""COMPUTED_VALUE"""),"Resolución")</f>
        <v>Resolución</v>
      </c>
      <c r="I413" s="10" t="str">
        <f ca="1">IFERROR(__xludf.DUMMYFUNCTION("""COMPUTED_VALUE"""),"OBRA")</f>
        <v>OBRA</v>
      </c>
      <c r="J413" s="10" t="str">
        <f ca="1">IFERROR(__xludf.DUMMYFUNCTION("""COMPUTED_VALUE"""),"Cumplir con normativa y reglamentos internos del programa en base a los objetivos.")</f>
        <v>Cumplir con normativa y reglamentos internos del programa en base a los objetivos.</v>
      </c>
      <c r="K413" s="71">
        <f ca="1">IFERROR(__xludf.DUMMYFUNCTION("""COMPUTED_VALUE"""),124077522)</f>
        <v>124077522</v>
      </c>
      <c r="L413" s="72">
        <f ca="1">IFERROR(__xludf.DUMMYFUNCTION("""COMPUTED_VALUE"""),1)</f>
        <v>1</v>
      </c>
      <c r="M413" s="10">
        <f ca="1">IFERROR(__xludf.DUMMYFUNCTION("""COMPUTED_VALUE"""),6675)</f>
        <v>6675</v>
      </c>
      <c r="N413" s="10" t="str">
        <f ca="1">IFERROR(__xludf.DUMMYFUNCTION("""COMPUTED_VALUE"""),"PMU")</f>
        <v>PMU</v>
      </c>
      <c r="O413" s="1"/>
      <c r="P413" s="1"/>
      <c r="Q413" s="1"/>
      <c r="R413" s="1"/>
      <c r="S413" s="1"/>
      <c r="T413" s="1"/>
      <c r="U413" s="1"/>
      <c r="V413" s="1"/>
      <c r="W413" s="1"/>
      <c r="X413" s="1"/>
      <c r="Y413" s="1"/>
      <c r="Z413" s="1"/>
    </row>
    <row r="414" spans="1:26" ht="12.75" customHeight="1">
      <c r="A414" s="1"/>
      <c r="B414" s="10" t="str">
        <f ca="1">IFERROR(__xludf.DUMMYFUNCTION("""COMPUTED_VALUE"""),"MEJORAMIENTO CONSULTORIO GENERAL RURAL, COMUNA DE COLCHANE")</f>
        <v>MEJORAMIENTO CONSULTORIO GENERAL RURAL, COMUNA DE COLCHANE</v>
      </c>
      <c r="C414" s="10" t="str">
        <f ca="1">IFERROR(__xludf.DUMMYFUNCTION("""COMPUTED_VALUE"""),"1-C-2023-1360")</f>
        <v>1-C-2023-1360</v>
      </c>
      <c r="D414" s="26" t="str">
        <f t="shared" ca="1" si="0"/>
        <v xml:space="preserve"> COLCHANE</v>
      </c>
      <c r="E414" s="10" t="str">
        <f ca="1">IFERROR(__xludf.DUMMYFUNCTION("""COMPUTED_VALUE"""),"Guía Operativa")</f>
        <v>Guía Operativa</v>
      </c>
      <c r="F414" s="10" t="str">
        <f ca="1">IFERROR(__xludf.DUMMYFUNCTION("""COMPUTED_VALUE"""),"MUNICIPALIDAD DE COLCHANE")</f>
        <v>MUNICIPALIDAD DE COLCHANE</v>
      </c>
      <c r="G414" s="71">
        <f ca="1">IFERROR(__xludf.DUMMYFUNCTION("""COMPUTED_VALUE"""),144770801)</f>
        <v>144770801</v>
      </c>
      <c r="H414" s="10" t="str">
        <f ca="1">IFERROR(__xludf.DUMMYFUNCTION("""COMPUTED_VALUE"""),"Resolución")</f>
        <v>Resolución</v>
      </c>
      <c r="I414" s="10" t="str">
        <f ca="1">IFERROR(__xludf.DUMMYFUNCTION("""COMPUTED_VALUE"""),"OBRA")</f>
        <v>OBRA</v>
      </c>
      <c r="J414" s="10" t="str">
        <f ca="1">IFERROR(__xludf.DUMMYFUNCTION("""COMPUTED_VALUE"""),"Cumplir con normativa y reglamentos internos del programa en base a los objetivos.")</f>
        <v>Cumplir con normativa y reglamentos internos del programa en base a los objetivos.</v>
      </c>
      <c r="K414" s="71">
        <f ca="1">IFERROR(__xludf.DUMMYFUNCTION("""COMPUTED_VALUE"""),144770801)</f>
        <v>144770801</v>
      </c>
      <c r="L414" s="72">
        <f ca="1">IFERROR(__xludf.DUMMYFUNCTION("""COMPUTED_VALUE"""),1)</f>
        <v>1</v>
      </c>
      <c r="M414" s="10">
        <f ca="1">IFERROR(__xludf.DUMMYFUNCTION("""COMPUTED_VALUE"""),6674)</f>
        <v>6674</v>
      </c>
      <c r="N414" s="10" t="str">
        <f ca="1">IFERROR(__xludf.DUMMYFUNCTION("""COMPUTED_VALUE"""),"PMU")</f>
        <v>PMU</v>
      </c>
      <c r="O414" s="1"/>
      <c r="P414" s="1"/>
      <c r="Q414" s="1"/>
      <c r="R414" s="1"/>
      <c r="S414" s="1"/>
      <c r="T414" s="1"/>
      <c r="U414" s="1"/>
      <c r="V414" s="1"/>
      <c r="W414" s="1"/>
      <c r="X414" s="1"/>
      <c r="Y414" s="1"/>
      <c r="Z414" s="1"/>
    </row>
    <row r="415" spans="1:26" ht="12.75" customHeight="1">
      <c r="A415" s="1"/>
      <c r="B415" s="10" t="str">
        <f ca="1">IFERROR(__xludf.DUMMYFUNCTION("""COMPUTED_VALUE"""),"[SATE] CONSTRUCCIÓN CANCHA DE FUTBOLITO, LOCALIDAD DE QUEBE")</f>
        <v>[SATE] CONSTRUCCIÓN CANCHA DE FUTBOLITO, LOCALIDAD DE QUEBE</v>
      </c>
      <c r="C415" s="10" t="str">
        <f ca="1">IFERROR(__xludf.DUMMYFUNCTION("""COMPUTED_VALUE"""),"1-C-2023-1428")</f>
        <v>1-C-2023-1428</v>
      </c>
      <c r="D415" s="26" t="str">
        <f t="shared" ca="1" si="0"/>
        <v xml:space="preserve"> COLCHANE</v>
      </c>
      <c r="E415" s="10" t="str">
        <f ca="1">IFERROR(__xludf.DUMMYFUNCTION("""COMPUTED_VALUE"""),"Guía Operativa")</f>
        <v>Guía Operativa</v>
      </c>
      <c r="F415" s="10" t="str">
        <f ca="1">IFERROR(__xludf.DUMMYFUNCTION("""COMPUTED_VALUE"""),"MUNICIPALIDAD DE COLCHANE")</f>
        <v>MUNICIPALIDAD DE COLCHANE</v>
      </c>
      <c r="G415" s="71">
        <f ca="1">IFERROR(__xludf.DUMMYFUNCTION("""COMPUTED_VALUE"""),154246825)</f>
        <v>154246825</v>
      </c>
      <c r="H415" s="10" t="str">
        <f ca="1">IFERROR(__xludf.DUMMYFUNCTION("""COMPUTED_VALUE"""),"Resolución")</f>
        <v>Resolución</v>
      </c>
      <c r="I415" s="10" t="str">
        <f ca="1">IFERROR(__xludf.DUMMYFUNCTION("""COMPUTED_VALUE"""),"OBRA")</f>
        <v>OBRA</v>
      </c>
      <c r="J415" s="10" t="str">
        <f ca="1">IFERROR(__xludf.DUMMYFUNCTION("""COMPUTED_VALUE"""),"Cumplir con normativa y reglamentos internos del programa en base a los objetivos.")</f>
        <v>Cumplir con normativa y reglamentos internos del programa en base a los objetivos.</v>
      </c>
      <c r="K415" s="71">
        <f ca="1">IFERROR(__xludf.DUMMYFUNCTION("""COMPUTED_VALUE"""),154246825)</f>
        <v>154246825</v>
      </c>
      <c r="L415" s="72">
        <f ca="1">IFERROR(__xludf.DUMMYFUNCTION("""COMPUTED_VALUE"""),1)</f>
        <v>1</v>
      </c>
      <c r="M415" s="10">
        <f ca="1">IFERROR(__xludf.DUMMYFUNCTION("""COMPUTED_VALUE"""),6674)</f>
        <v>6674</v>
      </c>
      <c r="N415" s="10" t="str">
        <f ca="1">IFERROR(__xludf.DUMMYFUNCTION("""COMPUTED_VALUE"""),"PMU")</f>
        <v>PMU</v>
      </c>
      <c r="O415" s="1"/>
      <c r="P415" s="1"/>
      <c r="Q415" s="1"/>
      <c r="R415" s="1"/>
      <c r="S415" s="1"/>
      <c r="T415" s="1"/>
      <c r="U415" s="1"/>
      <c r="V415" s="1"/>
      <c r="W415" s="1"/>
      <c r="X415" s="1"/>
      <c r="Y415" s="1"/>
      <c r="Z415" s="1"/>
    </row>
    <row r="416" spans="1:26" ht="12.75" customHeight="1">
      <c r="A416" s="1"/>
      <c r="B416" s="10" t="str">
        <f ca="1">IFERROR(__xludf.DUMMYFUNCTION("""COMPUTED_VALUE"""),"[SATE] REPOSICIÓN ESCALERAS PÚBLICAS LOCALIDAD DE SIBAYA, COMUNA DE HUARA")</f>
        <v>[SATE] REPOSICIÓN ESCALERAS PÚBLICAS LOCALIDAD DE SIBAYA, COMUNA DE HUARA</v>
      </c>
      <c r="C416" s="10" t="str">
        <f ca="1">IFERROR(__xludf.DUMMYFUNCTION("""COMPUTED_VALUE"""),"1-C-2023-1601")</f>
        <v>1-C-2023-1601</v>
      </c>
      <c r="D416" s="26" t="str">
        <f t="shared" ca="1" si="0"/>
        <v xml:space="preserve"> HUARA</v>
      </c>
      <c r="E416" s="10" t="str">
        <f ca="1">IFERROR(__xludf.DUMMYFUNCTION("""COMPUTED_VALUE"""),"Guía Operativa")</f>
        <v>Guía Operativa</v>
      </c>
      <c r="F416" s="10" t="str">
        <f ca="1">IFERROR(__xludf.DUMMYFUNCTION("""COMPUTED_VALUE"""),"MUNICIPALIDAD DE HUARA")</f>
        <v>MUNICIPALIDAD DE HUARA</v>
      </c>
      <c r="G416" s="71">
        <f ca="1">IFERROR(__xludf.DUMMYFUNCTION("""COMPUTED_VALUE"""),137543333)</f>
        <v>137543333</v>
      </c>
      <c r="H416" s="10" t="str">
        <f ca="1">IFERROR(__xludf.DUMMYFUNCTION("""COMPUTED_VALUE"""),"Resolución")</f>
        <v>Resolución</v>
      </c>
      <c r="I416" s="10" t="str">
        <f ca="1">IFERROR(__xludf.DUMMYFUNCTION("""COMPUTED_VALUE"""),"OBRA")</f>
        <v>OBRA</v>
      </c>
      <c r="J416" s="10" t="str">
        <f ca="1">IFERROR(__xludf.DUMMYFUNCTION("""COMPUTED_VALUE"""),"Cumplir con normativa y reglamentos internos del programa en base a los objetivos.")</f>
        <v>Cumplir con normativa y reglamentos internos del programa en base a los objetivos.</v>
      </c>
      <c r="K416" s="71">
        <f ca="1">IFERROR(__xludf.DUMMYFUNCTION("""COMPUTED_VALUE"""),137543333)</f>
        <v>137543333</v>
      </c>
      <c r="L416" s="72">
        <f ca="1">IFERROR(__xludf.DUMMYFUNCTION("""COMPUTED_VALUE"""),1)</f>
        <v>1</v>
      </c>
      <c r="M416" s="10">
        <f ca="1">IFERROR(__xludf.DUMMYFUNCTION("""COMPUTED_VALUE"""),6477)</f>
        <v>6477</v>
      </c>
      <c r="N416" s="10" t="str">
        <f ca="1">IFERROR(__xludf.DUMMYFUNCTION("""COMPUTED_VALUE"""),"PMU")</f>
        <v>PMU</v>
      </c>
      <c r="O416" s="1"/>
      <c r="P416" s="1"/>
      <c r="Q416" s="1"/>
      <c r="R416" s="1"/>
      <c r="S416" s="1"/>
      <c r="T416" s="1"/>
      <c r="U416" s="1"/>
      <c r="V416" s="1"/>
      <c r="W416" s="1"/>
      <c r="X416" s="1"/>
      <c r="Y416" s="1"/>
      <c r="Z416" s="1"/>
    </row>
    <row r="417" spans="1:26" ht="12.75" customHeight="1">
      <c r="A417" s="1"/>
      <c r="B417" s="10" t="str">
        <f ca="1">IFERROR(__xludf.DUMMYFUNCTION("""COMPUTED_VALUE"""),"CONSTRUCCIÓN CANCHAS DE BABY FUTBOL LOCALIDAD DE HUARA")</f>
        <v>CONSTRUCCIÓN CANCHAS DE BABY FUTBOL LOCALIDAD DE HUARA</v>
      </c>
      <c r="C417" s="10" t="str">
        <f ca="1">IFERROR(__xludf.DUMMYFUNCTION("""COMPUTED_VALUE"""),"1-C-2023-3276")</f>
        <v>1-C-2023-3276</v>
      </c>
      <c r="D417" s="26" t="str">
        <f t="shared" ca="1" si="0"/>
        <v xml:space="preserve"> HUARA</v>
      </c>
      <c r="E417" s="10" t="str">
        <f ca="1">IFERROR(__xludf.DUMMYFUNCTION("""COMPUTED_VALUE"""),"Guía Operativa")</f>
        <v>Guía Operativa</v>
      </c>
      <c r="F417" s="10" t="str">
        <f ca="1">IFERROR(__xludf.DUMMYFUNCTION("""COMPUTED_VALUE"""),"MUNICIPALIDAD DE HUARA")</f>
        <v>MUNICIPALIDAD DE HUARA</v>
      </c>
      <c r="G417" s="71">
        <f ca="1">IFERROR(__xludf.DUMMYFUNCTION("""COMPUTED_VALUE"""),154211356)</f>
        <v>154211356</v>
      </c>
      <c r="H417" s="10" t="str">
        <f ca="1">IFERROR(__xludf.DUMMYFUNCTION("""COMPUTED_VALUE"""),"Resolución")</f>
        <v>Resolución</v>
      </c>
      <c r="I417" s="10" t="str">
        <f ca="1">IFERROR(__xludf.DUMMYFUNCTION("""COMPUTED_VALUE"""),"OBRA")</f>
        <v>OBRA</v>
      </c>
      <c r="J417" s="10" t="str">
        <f ca="1">IFERROR(__xludf.DUMMYFUNCTION("""COMPUTED_VALUE"""),"Cumplir con normativa y reglamentos internos del programa en base a los objetivos.")</f>
        <v>Cumplir con normativa y reglamentos internos del programa en base a los objetivos.</v>
      </c>
      <c r="K417" s="71">
        <f ca="1">IFERROR(__xludf.DUMMYFUNCTION("""COMPUTED_VALUE"""),154211356)</f>
        <v>154211356</v>
      </c>
      <c r="L417" s="72">
        <f ca="1">IFERROR(__xludf.DUMMYFUNCTION("""COMPUTED_VALUE"""),1)</f>
        <v>1</v>
      </c>
      <c r="M417" s="10">
        <f ca="1">IFERROR(__xludf.DUMMYFUNCTION("""COMPUTED_VALUE"""),6477)</f>
        <v>6477</v>
      </c>
      <c r="N417" s="10" t="str">
        <f ca="1">IFERROR(__xludf.DUMMYFUNCTION("""COMPUTED_VALUE"""),"PMU")</f>
        <v>PMU</v>
      </c>
      <c r="O417" s="1"/>
      <c r="P417" s="1"/>
      <c r="Q417" s="1"/>
      <c r="R417" s="1"/>
      <c r="S417" s="1"/>
      <c r="T417" s="1"/>
      <c r="U417" s="1"/>
      <c r="V417" s="1"/>
      <c r="W417" s="1"/>
      <c r="X417" s="1"/>
      <c r="Y417" s="1"/>
      <c r="Z417" s="1"/>
    </row>
    <row r="418" spans="1:26" ht="12.75" customHeight="1">
      <c r="A418" s="1"/>
      <c r="B418" s="10" t="str">
        <f ca="1">IFERROR(__xludf.DUMMYFUNCTION("""COMPUTED_VALUE"""),"ADQUISICION E INSTALACION DE ILUMINACION LED Y GANCHOS, EN VARIAS LOCALIDADES DEL NORTE DE LA COMUNA DE COMBARBALA")</f>
        <v>ADQUISICION E INSTALACION DE ILUMINACION LED Y GANCHOS, EN VARIAS LOCALIDADES DEL NORTE DE LA COMUNA DE COMBARBALA</v>
      </c>
      <c r="C418" s="10" t="str">
        <f ca="1">IFERROR(__xludf.DUMMYFUNCTION("""COMPUTED_VALUE"""),"1-B-2024-56")</f>
        <v>1-B-2024-56</v>
      </c>
      <c r="D418" s="26" t="str">
        <f t="shared" ca="1" si="0"/>
        <v xml:space="preserve"> COMBARBALÁ</v>
      </c>
      <c r="E418" s="10" t="str">
        <f ca="1">IFERROR(__xludf.DUMMYFUNCTION("""COMPUTED_VALUE"""),"Guía Operativa")</f>
        <v>Guía Operativa</v>
      </c>
      <c r="F418" s="10" t="str">
        <f ca="1">IFERROR(__xludf.DUMMYFUNCTION("""COMPUTED_VALUE"""),"MUNICIPALIDAD DE COMBARBALÁ")</f>
        <v>MUNICIPALIDAD DE COMBARBALÁ</v>
      </c>
      <c r="G418" s="71">
        <f ca="1">IFERROR(__xludf.DUMMYFUNCTION("""COMPUTED_VALUE"""),135650335)</f>
        <v>135650335</v>
      </c>
      <c r="H418" s="10" t="str">
        <f ca="1">IFERROR(__xludf.DUMMYFUNCTION("""COMPUTED_VALUE"""),"Resolución")</f>
        <v>Resolución</v>
      </c>
      <c r="I418" s="10" t="str">
        <f ca="1">IFERROR(__xludf.DUMMYFUNCTION("""COMPUTED_VALUE"""),"OBRA")</f>
        <v>OBRA</v>
      </c>
      <c r="J418" s="10" t="str">
        <f ca="1">IFERROR(__xludf.DUMMYFUNCTION("""COMPUTED_VALUE"""),"Cumplir con normativa y reglamentos internos del programa en base a los objetivos.")</f>
        <v>Cumplir con normativa y reglamentos internos del programa en base a los objetivos.</v>
      </c>
      <c r="K418" s="71">
        <f ca="1">IFERROR(__xludf.DUMMYFUNCTION("""COMPUTED_VALUE"""),135650335)</f>
        <v>135650335</v>
      </c>
      <c r="L418" s="72">
        <f ca="1">IFERROR(__xludf.DUMMYFUNCTION("""COMPUTED_VALUE"""),1)</f>
        <v>1</v>
      </c>
      <c r="M418" s="10">
        <f ca="1">IFERROR(__xludf.DUMMYFUNCTION("""COMPUTED_VALUE"""),6498)</f>
        <v>6498</v>
      </c>
      <c r="N418" s="10" t="str">
        <f ca="1">IFERROR(__xludf.DUMMYFUNCTION("""COMPUTED_VALUE"""),"PMU")</f>
        <v>PMU</v>
      </c>
      <c r="O418" s="1"/>
      <c r="P418" s="1"/>
      <c r="Q418" s="1"/>
      <c r="R418" s="1"/>
      <c r="S418" s="1"/>
      <c r="T418" s="1"/>
      <c r="U418" s="1"/>
      <c r="V418" s="1"/>
      <c r="W418" s="1"/>
      <c r="X418" s="1"/>
      <c r="Y418" s="1"/>
      <c r="Z418" s="1"/>
    </row>
    <row r="419" spans="1:26" ht="12.75" customHeight="1">
      <c r="A419" s="1"/>
      <c r="B419" s="10" t="str">
        <f ca="1">IFERROR(__xludf.DUMMYFUNCTION("""COMPUTED_VALUE"""),"MEJORAMIENTO PLAZA RINCÓN DEL SOL, VILLA ALEMANA")</f>
        <v>MEJORAMIENTO PLAZA RINCÓN DEL SOL, VILLA ALEMANA</v>
      </c>
      <c r="C419" s="10" t="str">
        <f ca="1">IFERROR(__xludf.DUMMYFUNCTION("""COMPUTED_VALUE"""),"1-C-2020-549")</f>
        <v>1-C-2020-549</v>
      </c>
      <c r="D419" s="26" t="str">
        <f t="shared" ca="1" si="0"/>
        <v xml:space="preserve"> VILLA ALEMANA</v>
      </c>
      <c r="E419" s="10" t="str">
        <f ca="1">IFERROR(__xludf.DUMMYFUNCTION("""COMPUTED_VALUE"""),"Guía Operativa")</f>
        <v>Guía Operativa</v>
      </c>
      <c r="F419" s="10" t="str">
        <f ca="1">IFERROR(__xludf.DUMMYFUNCTION("""COMPUTED_VALUE"""),"MUNICIPALIDAD DE VILLA ALEMANA")</f>
        <v>MUNICIPALIDAD DE VILLA ALEMANA</v>
      </c>
      <c r="G419" s="71">
        <f ca="1">IFERROR(__xludf.DUMMYFUNCTION("""COMPUTED_VALUE"""),68165178)</f>
        <v>68165178</v>
      </c>
      <c r="H419" s="10" t="str">
        <f ca="1">IFERROR(__xludf.DUMMYFUNCTION("""COMPUTED_VALUE"""),"Resolución")</f>
        <v>Resolución</v>
      </c>
      <c r="I419" s="10" t="str">
        <f ca="1">IFERROR(__xludf.DUMMYFUNCTION("""COMPUTED_VALUE"""),"OBRA")</f>
        <v>OBRA</v>
      </c>
      <c r="J419" s="10" t="str">
        <f ca="1">IFERROR(__xludf.DUMMYFUNCTION("""COMPUTED_VALUE"""),"Cumplir con normativa y reglamentos internos del programa en base a los objetivos.")</f>
        <v>Cumplir con normativa y reglamentos internos del programa en base a los objetivos.</v>
      </c>
      <c r="K419" s="71">
        <f ca="1">IFERROR(__xludf.DUMMYFUNCTION("""COMPUTED_VALUE"""),7911048)</f>
        <v>7911048</v>
      </c>
      <c r="L419" s="72">
        <f ca="1">IFERROR(__xludf.DUMMYFUNCTION("""COMPUTED_VALUE"""),0.996166341706024)</f>
        <v>0.99616634170602403</v>
      </c>
      <c r="M419" s="10">
        <f ca="1">IFERROR(__xludf.DUMMYFUNCTION("""COMPUTED_VALUE"""),12161)</f>
        <v>12161</v>
      </c>
      <c r="N419" s="10" t="str">
        <f ca="1">IFERROR(__xludf.DUMMYFUNCTION("""COMPUTED_VALUE"""),"PMU")</f>
        <v>PMU</v>
      </c>
      <c r="O419" s="1"/>
      <c r="P419" s="1"/>
      <c r="Q419" s="1"/>
      <c r="R419" s="1"/>
      <c r="S419" s="1"/>
      <c r="T419" s="1"/>
      <c r="U419" s="1"/>
      <c r="V419" s="1"/>
      <c r="W419" s="1"/>
      <c r="X419" s="1"/>
      <c r="Y419" s="1"/>
      <c r="Z419" s="1"/>
    </row>
    <row r="420" spans="1:26" ht="12.75" customHeight="1">
      <c r="A420" s="1"/>
      <c r="B420" s="10" t="str">
        <f ca="1">IFERROR(__xludf.DUMMYFUNCTION("""COMPUTED_VALUE"""),"CSV INSTALACION SISTEMA DE ALUMBRADO PÚBLICO FOTOVOLTAICO, SECTOR QUILLAYCILLO, COMUNA DE CARTAGENA")</f>
        <v>CSV INSTALACION SISTEMA DE ALUMBRADO PÚBLICO FOTOVOLTAICO, SECTOR QUILLAYCILLO, COMUNA DE CARTAGENA</v>
      </c>
      <c r="C420" s="10" t="str">
        <f ca="1">IFERROR(__xludf.DUMMYFUNCTION("""COMPUTED_VALUE"""),"1-C-2023-3225")</f>
        <v>1-C-2023-3225</v>
      </c>
      <c r="D420" s="26" t="str">
        <f t="shared" ca="1" si="0"/>
        <v xml:space="preserve"> CARTAGENA</v>
      </c>
      <c r="E420" s="10" t="str">
        <f ca="1">IFERROR(__xludf.DUMMYFUNCTION("""COMPUTED_VALUE"""),"Guía Operativa")</f>
        <v>Guía Operativa</v>
      </c>
      <c r="F420" s="10" t="str">
        <f ca="1">IFERROR(__xludf.DUMMYFUNCTION("""COMPUTED_VALUE"""),"MUNICIPALIDAD DE CARTAGENA")</f>
        <v>MUNICIPALIDAD DE CARTAGENA</v>
      </c>
      <c r="G420" s="71">
        <f ca="1">IFERROR(__xludf.DUMMYFUNCTION("""COMPUTED_VALUE"""),38000000)</f>
        <v>38000000</v>
      </c>
      <c r="H420" s="10" t="str">
        <f ca="1">IFERROR(__xludf.DUMMYFUNCTION("""COMPUTED_VALUE"""),"Resolución")</f>
        <v>Resolución</v>
      </c>
      <c r="I420" s="10" t="str">
        <f ca="1">IFERROR(__xludf.DUMMYFUNCTION("""COMPUTED_VALUE"""),"OBRA")</f>
        <v>OBRA</v>
      </c>
      <c r="J420" s="10" t="str">
        <f ca="1">IFERROR(__xludf.DUMMYFUNCTION("""COMPUTED_VALUE"""),"Cumplir con normativa y reglamentos internos del programa en base a los objetivos.")</f>
        <v>Cumplir con normativa y reglamentos internos del programa en base a los objetivos.</v>
      </c>
      <c r="K420" s="71">
        <f ca="1">IFERROR(__xludf.DUMMYFUNCTION("""COMPUTED_VALUE"""),38000000)</f>
        <v>38000000</v>
      </c>
      <c r="L420" s="72">
        <f ca="1">IFERROR(__xludf.DUMMYFUNCTION("""COMPUTED_VALUE"""),1)</f>
        <v>1</v>
      </c>
      <c r="M420" s="10">
        <f ca="1">IFERROR(__xludf.DUMMYFUNCTION("""COMPUTED_VALUE"""),6678)</f>
        <v>6678</v>
      </c>
      <c r="N420" s="10" t="str">
        <f ca="1">IFERROR(__xludf.DUMMYFUNCTION("""COMPUTED_VALUE"""),"PMU")</f>
        <v>PMU</v>
      </c>
      <c r="O420" s="1"/>
      <c r="P420" s="1"/>
      <c r="Q420" s="1"/>
      <c r="R420" s="1"/>
      <c r="S420" s="1"/>
      <c r="T420" s="1"/>
      <c r="U420" s="1"/>
      <c r="V420" s="1"/>
      <c r="W420" s="1"/>
      <c r="X420" s="1"/>
      <c r="Y420" s="1"/>
      <c r="Z420" s="1"/>
    </row>
    <row r="421" spans="1:26" ht="12.75" customHeight="1">
      <c r="A421" s="1"/>
      <c r="B421" s="10" t="str">
        <f ca="1">IFERROR(__xludf.DUMMYFUNCTION("""COMPUTED_VALUE"""),"AMPLIACION Y MEJORAMIENTO POSTA DE SALUD RURAL PUMANQUE")</f>
        <v>AMPLIACION Y MEJORAMIENTO POSTA DE SALUD RURAL PUMANQUE</v>
      </c>
      <c r="C421" s="10" t="str">
        <f ca="1">IFERROR(__xludf.DUMMYFUNCTION("""COMPUTED_VALUE"""),"1-C-2022-1294")</f>
        <v>1-C-2022-1294</v>
      </c>
      <c r="D421" s="26" t="str">
        <f t="shared" ca="1" si="0"/>
        <v xml:space="preserve"> PUMANQUE</v>
      </c>
      <c r="E421" s="10" t="str">
        <f ca="1">IFERROR(__xludf.DUMMYFUNCTION("""COMPUTED_VALUE"""),"Guía Operativa")</f>
        <v>Guía Operativa</v>
      </c>
      <c r="F421" s="10" t="str">
        <f ca="1">IFERROR(__xludf.DUMMYFUNCTION("""COMPUTED_VALUE"""),"MUNICIPALIDAD DE PUMANQUE")</f>
        <v>MUNICIPALIDAD DE PUMANQUE</v>
      </c>
      <c r="G421" s="71">
        <f ca="1">IFERROR(__xludf.DUMMYFUNCTION("""COMPUTED_VALUE"""),153999939)</f>
        <v>153999939</v>
      </c>
      <c r="H421" s="10" t="str">
        <f ca="1">IFERROR(__xludf.DUMMYFUNCTION("""COMPUTED_VALUE"""),"Resolución")</f>
        <v>Resolución</v>
      </c>
      <c r="I421" s="10" t="str">
        <f ca="1">IFERROR(__xludf.DUMMYFUNCTION("""COMPUTED_VALUE"""),"OBRA")</f>
        <v>OBRA</v>
      </c>
      <c r="J421" s="10" t="str">
        <f ca="1">IFERROR(__xludf.DUMMYFUNCTION("""COMPUTED_VALUE"""),"Cumplir con normativa y reglamentos internos del programa en base a los objetivos.")</f>
        <v>Cumplir con normativa y reglamentos internos del programa en base a los objetivos.</v>
      </c>
      <c r="K421" s="71">
        <f ca="1">IFERROR(__xludf.DUMMYFUNCTION("""COMPUTED_VALUE"""),153999939)</f>
        <v>153999939</v>
      </c>
      <c r="L421" s="72">
        <f ca="1">IFERROR(__xludf.DUMMYFUNCTION("""COMPUTED_VALUE"""),1)</f>
        <v>1</v>
      </c>
      <c r="M421" s="10">
        <f ca="1">IFERROR(__xludf.DUMMYFUNCTION("""COMPUTED_VALUE"""),6687)</f>
        <v>6687</v>
      </c>
      <c r="N421" s="10" t="str">
        <f ca="1">IFERROR(__xludf.DUMMYFUNCTION("""COMPUTED_VALUE"""),"PMU")</f>
        <v>PMU</v>
      </c>
      <c r="O421" s="1"/>
      <c r="P421" s="1"/>
      <c r="Q421" s="1"/>
      <c r="R421" s="1"/>
      <c r="S421" s="1"/>
      <c r="T421" s="1"/>
      <c r="U421" s="1"/>
      <c r="V421" s="1"/>
      <c r="W421" s="1"/>
      <c r="X421" s="1"/>
      <c r="Y421" s="1"/>
      <c r="Z421" s="1"/>
    </row>
    <row r="422" spans="1:26" ht="12.75" customHeight="1">
      <c r="A422" s="1"/>
      <c r="B422" s="10" t="str">
        <f ca="1">IFERROR(__xludf.DUMMYFUNCTION("""COMPUTED_VALUE"""),"REPOSICIÓN SALAS DE EMERGENCIA COLEGIO MARIANO LATORRE, COMUNA DE CODEGUA")</f>
        <v>REPOSICIÓN SALAS DE EMERGENCIA COLEGIO MARIANO LATORRE, COMUNA DE CODEGUA</v>
      </c>
      <c r="C422" s="10" t="str">
        <f ca="1">IFERROR(__xludf.DUMMYFUNCTION("""COMPUTED_VALUE"""),"1-C-2023-2884")</f>
        <v>1-C-2023-2884</v>
      </c>
      <c r="D422" s="26" t="str">
        <f t="shared" ca="1" si="0"/>
        <v xml:space="preserve"> CODEGUA</v>
      </c>
      <c r="E422" s="10" t="str">
        <f ca="1">IFERROR(__xludf.DUMMYFUNCTION("""COMPUTED_VALUE"""),"Guía Operativa")</f>
        <v>Guía Operativa</v>
      </c>
      <c r="F422" s="10" t="str">
        <f ca="1">IFERROR(__xludf.DUMMYFUNCTION("""COMPUTED_VALUE"""),"MUNICIPALIDAD DE CODEGUA")</f>
        <v>MUNICIPALIDAD DE CODEGUA</v>
      </c>
      <c r="G422" s="71">
        <f ca="1">IFERROR(__xludf.DUMMYFUNCTION("""COMPUTED_VALUE"""),154162201)</f>
        <v>154162201</v>
      </c>
      <c r="H422" s="10" t="str">
        <f ca="1">IFERROR(__xludf.DUMMYFUNCTION("""COMPUTED_VALUE"""),"Resolución")</f>
        <v>Resolución</v>
      </c>
      <c r="I422" s="10" t="str">
        <f ca="1">IFERROR(__xludf.DUMMYFUNCTION("""COMPUTED_VALUE"""),"OBRA")</f>
        <v>OBRA</v>
      </c>
      <c r="J422" s="10" t="str">
        <f ca="1">IFERROR(__xludf.DUMMYFUNCTION("""COMPUTED_VALUE"""),"Cumplir con normativa y reglamentos internos del programa en base a los objetivos.")</f>
        <v>Cumplir con normativa y reglamentos internos del programa en base a los objetivos.</v>
      </c>
      <c r="K422" s="71">
        <f ca="1">IFERROR(__xludf.DUMMYFUNCTION("""COMPUTED_VALUE"""),154162201)</f>
        <v>154162201</v>
      </c>
      <c r="L422" s="72">
        <f ca="1">IFERROR(__xludf.DUMMYFUNCTION("""COMPUTED_VALUE"""),1)</f>
        <v>1</v>
      </c>
      <c r="M422" s="10">
        <f ca="1">IFERROR(__xludf.DUMMYFUNCTION("""COMPUTED_VALUE"""),6673)</f>
        <v>6673</v>
      </c>
      <c r="N422" s="10" t="str">
        <f ca="1">IFERROR(__xludf.DUMMYFUNCTION("""COMPUTED_VALUE"""),"PMU")</f>
        <v>PMU</v>
      </c>
      <c r="O422" s="1"/>
      <c r="P422" s="1"/>
      <c r="Q422" s="1"/>
      <c r="R422" s="1"/>
      <c r="S422" s="1"/>
      <c r="T422" s="1"/>
      <c r="U422" s="1"/>
      <c r="V422" s="1"/>
      <c r="W422" s="1"/>
      <c r="X422" s="1"/>
      <c r="Y422" s="1"/>
      <c r="Z422" s="1"/>
    </row>
    <row r="423" spans="1:26" ht="12.75" customHeight="1">
      <c r="A423" s="1"/>
      <c r="B423" s="10" t="str">
        <f ca="1">IFERROR(__xludf.DUMMYFUNCTION("""COMPUTED_VALUE"""),"[SATE ]-CONSERVACIÓN DIVERSAS PLAZAS E ILUMINACIÓN ORNAMENTAL MIRADOR CERRO LA CRUZ")</f>
        <v>[SATE ]-CONSERVACIÓN DIVERSAS PLAZAS E ILUMINACIÓN ORNAMENTAL MIRADOR CERRO LA CRUZ</v>
      </c>
      <c r="C423" s="10" t="str">
        <f ca="1">IFERROR(__xludf.DUMMYFUNCTION("""COMPUTED_VALUE"""),"1-C-2022-2505")</f>
        <v>1-C-2022-2505</v>
      </c>
      <c r="D423" s="26" t="str">
        <f t="shared" ca="1" si="0"/>
        <v xml:space="preserve"> LEBU</v>
      </c>
      <c r="E423" s="10" t="str">
        <f ca="1">IFERROR(__xludf.DUMMYFUNCTION("""COMPUTED_VALUE"""),"Guía Operativa")</f>
        <v>Guía Operativa</v>
      </c>
      <c r="F423" s="10" t="str">
        <f ca="1">IFERROR(__xludf.DUMMYFUNCTION("""COMPUTED_VALUE"""),"MUNICIPALIDAD DE LEBU")</f>
        <v>MUNICIPALIDAD DE LEBU</v>
      </c>
      <c r="G423" s="71">
        <f ca="1">IFERROR(__xludf.DUMMYFUNCTION("""COMPUTED_VALUE"""),154786755)</f>
        <v>154786755</v>
      </c>
      <c r="H423" s="10" t="str">
        <f ca="1">IFERROR(__xludf.DUMMYFUNCTION("""COMPUTED_VALUE"""),"Resolución")</f>
        <v>Resolución</v>
      </c>
      <c r="I423" s="10" t="str">
        <f ca="1">IFERROR(__xludf.DUMMYFUNCTION("""COMPUTED_VALUE"""),"OBRA")</f>
        <v>OBRA</v>
      </c>
      <c r="J423" s="10" t="str">
        <f ca="1">IFERROR(__xludf.DUMMYFUNCTION("""COMPUTED_VALUE"""),"Cumplir con normativa y reglamentos internos del programa en base a los objetivos.")</f>
        <v>Cumplir con normativa y reglamentos internos del programa en base a los objetivos.</v>
      </c>
      <c r="K423" s="71">
        <f ca="1">IFERROR(__xludf.DUMMYFUNCTION("""COMPUTED_VALUE"""),154786755)</f>
        <v>154786755</v>
      </c>
      <c r="L423" s="72">
        <f ca="1">IFERROR(__xludf.DUMMYFUNCTION("""COMPUTED_VALUE"""),1)</f>
        <v>1</v>
      </c>
      <c r="M423" s="10">
        <f ca="1">IFERROR(__xludf.DUMMYFUNCTION("""COMPUTED_VALUE"""),5772)</f>
        <v>5772</v>
      </c>
      <c r="N423" s="10" t="str">
        <f ca="1">IFERROR(__xludf.DUMMYFUNCTION("""COMPUTED_VALUE"""),"PMU")</f>
        <v>PMU</v>
      </c>
      <c r="O423" s="1"/>
      <c r="P423" s="1"/>
      <c r="Q423" s="1"/>
      <c r="R423" s="1"/>
      <c r="S423" s="1"/>
      <c r="T423" s="1"/>
      <c r="U423" s="1"/>
      <c r="V423" s="1"/>
      <c r="W423" s="1"/>
      <c r="X423" s="1"/>
      <c r="Y423" s="1"/>
      <c r="Z423" s="1"/>
    </row>
    <row r="424" spans="1:26" ht="12.75" customHeight="1">
      <c r="A424" s="1"/>
      <c r="B424" s="10" t="str">
        <f ca="1">IFERROR(__xludf.DUMMYFUNCTION("""COMPUTED_VALUE"""),"CONSTRUCCIÒN ÁREA VERDE PASAJE FRESIA, CAMILO OLAVARRÍA")</f>
        <v>CONSTRUCCIÒN ÁREA VERDE PASAJE FRESIA, CAMILO OLAVARRÍA</v>
      </c>
      <c r="C424" s="10" t="str">
        <f ca="1">IFERROR(__xludf.DUMMYFUNCTION("""COMPUTED_VALUE"""),"1-C-2023-1320")</f>
        <v>1-C-2023-1320</v>
      </c>
      <c r="D424" s="26" t="str">
        <f t="shared" ca="1" si="0"/>
        <v xml:space="preserve"> CORONEL</v>
      </c>
      <c r="E424" s="10" t="str">
        <f ca="1">IFERROR(__xludf.DUMMYFUNCTION("""COMPUTED_VALUE"""),"Guía Operativa")</f>
        <v>Guía Operativa</v>
      </c>
      <c r="F424" s="10" t="str">
        <f ca="1">IFERROR(__xludf.DUMMYFUNCTION("""COMPUTED_VALUE"""),"MUNICIPALIDAD DE CORONEL")</f>
        <v>MUNICIPALIDAD DE CORONEL</v>
      </c>
      <c r="G424" s="71">
        <f ca="1">IFERROR(__xludf.DUMMYFUNCTION("""COMPUTED_VALUE"""),139935979)</f>
        <v>139935979</v>
      </c>
      <c r="H424" s="10" t="str">
        <f ca="1">IFERROR(__xludf.DUMMYFUNCTION("""COMPUTED_VALUE"""),"Resolución")</f>
        <v>Resolución</v>
      </c>
      <c r="I424" s="10" t="str">
        <f ca="1">IFERROR(__xludf.DUMMYFUNCTION("""COMPUTED_VALUE"""),"OBRA")</f>
        <v>OBRA</v>
      </c>
      <c r="J424" s="10" t="str">
        <f ca="1">IFERROR(__xludf.DUMMYFUNCTION("""COMPUTED_VALUE"""),"Cumplir con normativa y reglamentos internos del programa en base a los objetivos.")</f>
        <v>Cumplir con normativa y reglamentos internos del programa en base a los objetivos.</v>
      </c>
      <c r="K424" s="71">
        <f ca="1">IFERROR(__xludf.DUMMYFUNCTION("""COMPUTED_VALUE"""),139935979)</f>
        <v>139935979</v>
      </c>
      <c r="L424" s="72">
        <f ca="1">IFERROR(__xludf.DUMMYFUNCTION("""COMPUTED_VALUE"""),1)</f>
        <v>1</v>
      </c>
      <c r="M424" s="10">
        <f ca="1">IFERROR(__xludf.DUMMYFUNCTION("""COMPUTED_VALUE"""),5773)</f>
        <v>5773</v>
      </c>
      <c r="N424" s="10" t="str">
        <f ca="1">IFERROR(__xludf.DUMMYFUNCTION("""COMPUTED_VALUE"""),"PMU")</f>
        <v>PMU</v>
      </c>
      <c r="O424" s="1"/>
      <c r="P424" s="1"/>
      <c r="Q424" s="1"/>
      <c r="R424" s="1"/>
      <c r="S424" s="1"/>
      <c r="T424" s="1"/>
      <c r="U424" s="1"/>
      <c r="V424" s="1"/>
      <c r="W424" s="1"/>
      <c r="X424" s="1"/>
      <c r="Y424" s="1"/>
      <c r="Z424" s="1"/>
    </row>
    <row r="425" spans="1:26" ht="12.75" customHeight="1">
      <c r="A425" s="1"/>
      <c r="B425" s="10" t="str">
        <f ca="1">IFERROR(__xludf.DUMMYFUNCTION("""COMPUTED_VALUE"""),"MEJORAMIENTO BAÑOS PÚBLICOS PLAZA, CORONEL")</f>
        <v>MEJORAMIENTO BAÑOS PÚBLICOS PLAZA, CORONEL</v>
      </c>
      <c r="C425" s="10" t="str">
        <f ca="1">IFERROR(__xludf.DUMMYFUNCTION("""COMPUTED_VALUE"""),"1-C-2023-2836")</f>
        <v>1-C-2023-2836</v>
      </c>
      <c r="D425" s="26" t="str">
        <f t="shared" ca="1" si="0"/>
        <v xml:space="preserve"> CORONEL</v>
      </c>
      <c r="E425" s="10" t="str">
        <f ca="1">IFERROR(__xludf.DUMMYFUNCTION("""COMPUTED_VALUE"""),"Guía Operativa")</f>
        <v>Guía Operativa</v>
      </c>
      <c r="F425" s="10" t="str">
        <f ca="1">IFERROR(__xludf.DUMMYFUNCTION("""COMPUTED_VALUE"""),"MUNICIPALIDAD DE CORONEL")</f>
        <v>MUNICIPALIDAD DE CORONEL</v>
      </c>
      <c r="G425" s="71">
        <f ca="1">IFERROR(__xludf.DUMMYFUNCTION("""COMPUTED_VALUE"""),148485577)</f>
        <v>148485577</v>
      </c>
      <c r="H425" s="10" t="str">
        <f ca="1">IFERROR(__xludf.DUMMYFUNCTION("""COMPUTED_VALUE"""),"Resolución")</f>
        <v>Resolución</v>
      </c>
      <c r="I425" s="10" t="str">
        <f ca="1">IFERROR(__xludf.DUMMYFUNCTION("""COMPUTED_VALUE"""),"OBRA")</f>
        <v>OBRA</v>
      </c>
      <c r="J425" s="10" t="str">
        <f ca="1">IFERROR(__xludf.DUMMYFUNCTION("""COMPUTED_VALUE"""),"Cumplir con normativa y reglamentos internos del programa en base a los objetivos.")</f>
        <v>Cumplir con normativa y reglamentos internos del programa en base a los objetivos.</v>
      </c>
      <c r="K425" s="71">
        <f ca="1">IFERROR(__xludf.DUMMYFUNCTION("""COMPUTED_VALUE"""),148485577)</f>
        <v>148485577</v>
      </c>
      <c r="L425" s="72">
        <f ca="1">IFERROR(__xludf.DUMMYFUNCTION("""COMPUTED_VALUE"""),1)</f>
        <v>1</v>
      </c>
      <c r="M425" s="10">
        <f ca="1">IFERROR(__xludf.DUMMYFUNCTION("""COMPUTED_VALUE"""),5784)</f>
        <v>5784</v>
      </c>
      <c r="N425" s="10" t="str">
        <f ca="1">IFERROR(__xludf.DUMMYFUNCTION("""COMPUTED_VALUE"""),"PMU")</f>
        <v>PMU</v>
      </c>
      <c r="O425" s="1"/>
      <c r="P425" s="1"/>
      <c r="Q425" s="1"/>
      <c r="R425" s="1"/>
      <c r="S425" s="1"/>
      <c r="T425" s="1"/>
      <c r="U425" s="1"/>
      <c r="V425" s="1"/>
      <c r="W425" s="1"/>
      <c r="X425" s="1"/>
      <c r="Y425" s="1"/>
      <c r="Z425" s="1"/>
    </row>
    <row r="426" spans="1:26" ht="12.75" customHeight="1">
      <c r="A426" s="1"/>
      <c r="B426" s="10" t="str">
        <f ca="1">IFERROR(__xludf.DUMMYFUNCTION("""COMPUTED_VALUE"""),"[SATE] CONSTRUCCIÓN DE BAÑOS Y MEJORAMIENTO DE CAMARINES E ILUMINACIÓN ESTADIO NEGRETE, COMUNA NEGRETE")</f>
        <v>[SATE] CONSTRUCCIÓN DE BAÑOS Y MEJORAMIENTO DE CAMARINES E ILUMINACIÓN ESTADIO NEGRETE, COMUNA NEGRETE</v>
      </c>
      <c r="C426" s="10" t="str">
        <f ca="1">IFERROR(__xludf.DUMMYFUNCTION("""COMPUTED_VALUE"""),"1-C-2024-442")</f>
        <v>1-C-2024-442</v>
      </c>
      <c r="D426" s="26" t="str">
        <f t="shared" ca="1" si="0"/>
        <v xml:space="preserve"> NEGRETE</v>
      </c>
      <c r="E426" s="10" t="str">
        <f ca="1">IFERROR(__xludf.DUMMYFUNCTION("""COMPUTED_VALUE"""),"Guía Operativa")</f>
        <v>Guía Operativa</v>
      </c>
      <c r="F426" s="10" t="str">
        <f ca="1">IFERROR(__xludf.DUMMYFUNCTION("""COMPUTED_VALUE"""),"MUNICIPALIDAD DE NEGRETE")</f>
        <v>MUNICIPALIDAD DE NEGRETE</v>
      </c>
      <c r="G426" s="71">
        <f ca="1">IFERROR(__xludf.DUMMYFUNCTION("""COMPUTED_VALUE"""),147969022)</f>
        <v>147969022</v>
      </c>
      <c r="H426" s="10" t="str">
        <f ca="1">IFERROR(__xludf.DUMMYFUNCTION("""COMPUTED_VALUE"""),"Resolución")</f>
        <v>Resolución</v>
      </c>
      <c r="I426" s="10" t="str">
        <f ca="1">IFERROR(__xludf.DUMMYFUNCTION("""COMPUTED_VALUE"""),"OBRA")</f>
        <v>OBRA</v>
      </c>
      <c r="J426" s="10" t="str">
        <f ca="1">IFERROR(__xludf.DUMMYFUNCTION("""COMPUTED_VALUE"""),"Cumplir con normativa y reglamentos internos del programa en base a los objetivos.")</f>
        <v>Cumplir con normativa y reglamentos internos del programa en base a los objetivos.</v>
      </c>
      <c r="K426" s="71">
        <f ca="1">IFERROR(__xludf.DUMMYFUNCTION("""COMPUTED_VALUE"""),147969022)</f>
        <v>147969022</v>
      </c>
      <c r="L426" s="72">
        <f ca="1">IFERROR(__xludf.DUMMYFUNCTION("""COMPUTED_VALUE"""),1)</f>
        <v>1</v>
      </c>
      <c r="M426" s="10">
        <f ca="1">IFERROR(__xludf.DUMMYFUNCTION("""COMPUTED_VALUE"""),6694)</f>
        <v>6694</v>
      </c>
      <c r="N426" s="10" t="str">
        <f ca="1">IFERROR(__xludf.DUMMYFUNCTION("""COMPUTED_VALUE"""),"PMU")</f>
        <v>PMU</v>
      </c>
      <c r="O426" s="1"/>
      <c r="P426" s="1"/>
      <c r="Q426" s="1"/>
      <c r="R426" s="1"/>
      <c r="S426" s="1"/>
      <c r="T426" s="1"/>
      <c r="U426" s="1"/>
      <c r="V426" s="1"/>
      <c r="W426" s="1"/>
      <c r="X426" s="1"/>
      <c r="Y426" s="1"/>
      <c r="Z426" s="1"/>
    </row>
    <row r="427" spans="1:26" ht="12.75" customHeight="1">
      <c r="A427" s="1"/>
      <c r="B427" s="10" t="str">
        <f ca="1">IFERROR(__xludf.DUMMYFUNCTION("""COMPUTED_VALUE"""),"[CATÁSTROFE] HABILITACIÓN DE ESPACIOS PUBLICOS SECTOR CARRETERA COMUNA DE ARAUCO")</f>
        <v>[CATÁSTROFE] HABILITACIÓN DE ESPACIOS PUBLICOS SECTOR CARRETERA COMUNA DE ARAUCO</v>
      </c>
      <c r="C427" s="10" t="str">
        <f ca="1">IFERROR(__xludf.DUMMYFUNCTION("""COMPUTED_VALUE"""),"1-C-2024-1069")</f>
        <v>1-C-2024-1069</v>
      </c>
      <c r="D427" s="26" t="str">
        <f t="shared" ca="1" si="0"/>
        <v xml:space="preserve"> ARAUCO</v>
      </c>
      <c r="E427" s="10" t="str">
        <f ca="1">IFERROR(__xludf.DUMMYFUNCTION("""COMPUTED_VALUE"""),"Guía Operativa")</f>
        <v>Guía Operativa</v>
      </c>
      <c r="F427" s="10" t="str">
        <f ca="1">IFERROR(__xludf.DUMMYFUNCTION("""COMPUTED_VALUE"""),"MUNICIPALIDAD DE ARAUCO")</f>
        <v>MUNICIPALIDAD DE ARAUCO</v>
      </c>
      <c r="G427" s="71">
        <f ca="1">IFERROR(__xludf.DUMMYFUNCTION("""COMPUTED_VALUE"""),51413283)</f>
        <v>51413283</v>
      </c>
      <c r="H427" s="10" t="str">
        <f ca="1">IFERROR(__xludf.DUMMYFUNCTION("""COMPUTED_VALUE"""),"Resolución")</f>
        <v>Resolución</v>
      </c>
      <c r="I427" s="10" t="str">
        <f ca="1">IFERROR(__xludf.DUMMYFUNCTION("""COMPUTED_VALUE"""),"OBRA")</f>
        <v>OBRA</v>
      </c>
      <c r="J427" s="10" t="str">
        <f ca="1">IFERROR(__xludf.DUMMYFUNCTION("""COMPUTED_VALUE"""),"Cumplir con normativa y reglamentos internos del programa en base a los objetivos.")</f>
        <v>Cumplir con normativa y reglamentos internos del programa en base a los objetivos.</v>
      </c>
      <c r="K427" s="71">
        <f ca="1">IFERROR(__xludf.DUMMYFUNCTION("""COMPUTED_VALUE"""),51413283)</f>
        <v>51413283</v>
      </c>
      <c r="L427" s="72">
        <f ca="1">IFERROR(__xludf.DUMMYFUNCTION("""COMPUTED_VALUE"""),1)</f>
        <v>1</v>
      </c>
      <c r="M427" s="10">
        <f ca="1">IFERROR(__xludf.DUMMYFUNCTION("""COMPUTED_VALUE"""),6483)</f>
        <v>6483</v>
      </c>
      <c r="N427" s="10" t="str">
        <f ca="1">IFERROR(__xludf.DUMMYFUNCTION("""COMPUTED_VALUE"""),"PMU")</f>
        <v>PMU</v>
      </c>
      <c r="O427" s="1"/>
      <c r="P427" s="1"/>
      <c r="Q427" s="1"/>
      <c r="R427" s="1"/>
      <c r="S427" s="1"/>
      <c r="T427" s="1"/>
      <c r="U427" s="1"/>
      <c r="V427" s="1"/>
      <c r="W427" s="1"/>
      <c r="X427" s="1"/>
      <c r="Y427" s="1"/>
      <c r="Z427" s="1"/>
    </row>
    <row r="428" spans="1:26" ht="12.75" customHeight="1">
      <c r="A428" s="1"/>
      <c r="B428" s="10" t="str">
        <f ca="1">IFERROR(__xludf.DUMMYFUNCTION("""COMPUTED_VALUE"""),"[CATÁSTROFE] HABILITACIÓN DE ESPACIOS PÚBLICOS SECTOR COSTA, COMUNA DE ARAUCO")</f>
        <v>[CATÁSTROFE] HABILITACIÓN DE ESPACIOS PÚBLICOS SECTOR COSTA, COMUNA DE ARAUCO</v>
      </c>
      <c r="C428" s="10" t="str">
        <f ca="1">IFERROR(__xludf.DUMMYFUNCTION("""COMPUTED_VALUE"""),"1-C-2024-1070")</f>
        <v>1-C-2024-1070</v>
      </c>
      <c r="D428" s="26" t="str">
        <f t="shared" ca="1" si="0"/>
        <v xml:space="preserve"> ARAUCO</v>
      </c>
      <c r="E428" s="10" t="str">
        <f ca="1">IFERROR(__xludf.DUMMYFUNCTION("""COMPUTED_VALUE"""),"Guía Operativa")</f>
        <v>Guía Operativa</v>
      </c>
      <c r="F428" s="10" t="str">
        <f ca="1">IFERROR(__xludf.DUMMYFUNCTION("""COMPUTED_VALUE"""),"MUNICIPALIDAD DE ARAUCO")</f>
        <v>MUNICIPALIDAD DE ARAUCO</v>
      </c>
      <c r="G428" s="71">
        <f ca="1">IFERROR(__xludf.DUMMYFUNCTION("""COMPUTED_VALUE"""),51413283)</f>
        <v>51413283</v>
      </c>
      <c r="H428" s="10" t="str">
        <f ca="1">IFERROR(__xludf.DUMMYFUNCTION("""COMPUTED_VALUE"""),"Resolución")</f>
        <v>Resolución</v>
      </c>
      <c r="I428" s="10" t="str">
        <f ca="1">IFERROR(__xludf.DUMMYFUNCTION("""COMPUTED_VALUE"""),"OBRA")</f>
        <v>OBRA</v>
      </c>
      <c r="J428" s="10" t="str">
        <f ca="1">IFERROR(__xludf.DUMMYFUNCTION("""COMPUTED_VALUE"""),"Cumplir con normativa y reglamentos internos del programa en base a los objetivos.")</f>
        <v>Cumplir con normativa y reglamentos internos del programa en base a los objetivos.</v>
      </c>
      <c r="K428" s="71">
        <f ca="1">IFERROR(__xludf.DUMMYFUNCTION("""COMPUTED_VALUE"""),51413283)</f>
        <v>51413283</v>
      </c>
      <c r="L428" s="72">
        <f ca="1">IFERROR(__xludf.DUMMYFUNCTION("""COMPUTED_VALUE"""),1)</f>
        <v>1</v>
      </c>
      <c r="M428" s="10">
        <f ca="1">IFERROR(__xludf.DUMMYFUNCTION("""COMPUTED_VALUE"""),6494)</f>
        <v>6494</v>
      </c>
      <c r="N428" s="10" t="str">
        <f ca="1">IFERROR(__xludf.DUMMYFUNCTION("""COMPUTED_VALUE"""),"PMU")</f>
        <v>PMU</v>
      </c>
      <c r="O428" s="1"/>
      <c r="P428" s="1"/>
      <c r="Q428" s="1"/>
      <c r="R428" s="1"/>
      <c r="S428" s="1"/>
      <c r="T428" s="1"/>
      <c r="U428" s="1"/>
      <c r="V428" s="1"/>
      <c r="W428" s="1"/>
      <c r="X428" s="1"/>
      <c r="Y428" s="1"/>
      <c r="Z428" s="1"/>
    </row>
    <row r="429" spans="1:26" ht="12.75" customHeight="1">
      <c r="A429" s="1"/>
      <c r="B429" s="10" t="str">
        <f ca="1">IFERROR(__xludf.DUMMYFUNCTION("""COMPUTED_VALUE"""),"[CATÁSTROFE] HABILITACION DE ESPACIOS PUBLICOS SECTOR CIUDAD DE ARAUCO")</f>
        <v>[CATÁSTROFE] HABILITACION DE ESPACIOS PUBLICOS SECTOR CIUDAD DE ARAUCO</v>
      </c>
      <c r="C429" s="10" t="str">
        <f ca="1">IFERROR(__xludf.DUMMYFUNCTION("""COMPUTED_VALUE"""),"1-C-2024-1073")</f>
        <v>1-C-2024-1073</v>
      </c>
      <c r="D429" s="26" t="str">
        <f t="shared" ca="1" si="0"/>
        <v xml:space="preserve"> ARAUCO</v>
      </c>
      <c r="E429" s="10" t="str">
        <f ca="1">IFERROR(__xludf.DUMMYFUNCTION("""COMPUTED_VALUE"""),"Guía Operativa")</f>
        <v>Guía Operativa</v>
      </c>
      <c r="F429" s="10" t="str">
        <f ca="1">IFERROR(__xludf.DUMMYFUNCTION("""COMPUTED_VALUE"""),"MUNICIPALIDAD DE ARAUCO")</f>
        <v>MUNICIPALIDAD DE ARAUCO</v>
      </c>
      <c r="G429" s="71">
        <f ca="1">IFERROR(__xludf.DUMMYFUNCTION("""COMPUTED_VALUE"""),51413283)</f>
        <v>51413283</v>
      </c>
      <c r="H429" s="10" t="str">
        <f ca="1">IFERROR(__xludf.DUMMYFUNCTION("""COMPUTED_VALUE"""),"Resolución")</f>
        <v>Resolución</v>
      </c>
      <c r="I429" s="10" t="str">
        <f ca="1">IFERROR(__xludf.DUMMYFUNCTION("""COMPUTED_VALUE"""),"OBRA")</f>
        <v>OBRA</v>
      </c>
      <c r="J429" s="10" t="str">
        <f ca="1">IFERROR(__xludf.DUMMYFUNCTION("""COMPUTED_VALUE"""),"Cumplir con normativa y reglamentos internos del programa en base a los objetivos.")</f>
        <v>Cumplir con normativa y reglamentos internos del programa en base a los objetivos.</v>
      </c>
      <c r="K429" s="71">
        <f ca="1">IFERROR(__xludf.DUMMYFUNCTION("""COMPUTED_VALUE"""),51413283)</f>
        <v>51413283</v>
      </c>
      <c r="L429" s="72">
        <f ca="1">IFERROR(__xludf.DUMMYFUNCTION("""COMPUTED_VALUE"""),1)</f>
        <v>1</v>
      </c>
      <c r="M429" s="10">
        <f ca="1">IFERROR(__xludf.DUMMYFUNCTION("""COMPUTED_VALUE"""),6483)</f>
        <v>6483</v>
      </c>
      <c r="N429" s="10" t="str">
        <f ca="1">IFERROR(__xludf.DUMMYFUNCTION("""COMPUTED_VALUE"""),"PMU")</f>
        <v>PMU</v>
      </c>
      <c r="O429" s="1"/>
      <c r="P429" s="1"/>
      <c r="Q429" s="1"/>
      <c r="R429" s="1"/>
      <c r="S429" s="1"/>
      <c r="T429" s="1"/>
      <c r="U429" s="1"/>
      <c r="V429" s="1"/>
      <c r="W429" s="1"/>
      <c r="X429" s="1"/>
      <c r="Y429" s="1"/>
      <c r="Z429" s="1"/>
    </row>
    <row r="430" spans="1:26" ht="12.75" customHeight="1">
      <c r="A430" s="1"/>
      <c r="B430" s="10" t="str">
        <f ca="1">IFERROR(__xludf.DUMMYFUNCTION("""COMPUTED_VALUE"""),"CATÁSTROFE POR ACCIÓN CLIMÁTICA SANTA JUANA, HABILITACIÓN DE ESPACIOS PÚBLICOS SECTOR CURALÍ")</f>
        <v>CATÁSTROFE POR ACCIÓN CLIMÁTICA SANTA JUANA, HABILITACIÓN DE ESPACIOS PÚBLICOS SECTOR CURALÍ</v>
      </c>
      <c r="C430" s="10" t="str">
        <f ca="1">IFERROR(__xludf.DUMMYFUNCTION("""COMPUTED_VALUE"""),"1-C-2024-1086")</f>
        <v>1-C-2024-1086</v>
      </c>
      <c r="D430" s="26" t="str">
        <f t="shared" ca="1" si="0"/>
        <v xml:space="preserve"> SANTA JUANA</v>
      </c>
      <c r="E430" s="10" t="str">
        <f ca="1">IFERROR(__xludf.DUMMYFUNCTION("""COMPUTED_VALUE"""),"Guía Operativa")</f>
        <v>Guía Operativa</v>
      </c>
      <c r="F430" s="10" t="str">
        <f ca="1">IFERROR(__xludf.DUMMYFUNCTION("""COMPUTED_VALUE"""),"MUNICIPALIDAD DE SANTA JUANA")</f>
        <v>MUNICIPALIDAD DE SANTA JUANA</v>
      </c>
      <c r="G430" s="71">
        <f ca="1">IFERROR(__xludf.DUMMYFUNCTION("""COMPUTED_VALUE"""),50400071)</f>
        <v>50400071</v>
      </c>
      <c r="H430" s="10" t="str">
        <f ca="1">IFERROR(__xludf.DUMMYFUNCTION("""COMPUTED_VALUE"""),"Resolución")</f>
        <v>Resolución</v>
      </c>
      <c r="I430" s="10" t="str">
        <f ca="1">IFERROR(__xludf.DUMMYFUNCTION("""COMPUTED_VALUE"""),"OBRA")</f>
        <v>OBRA</v>
      </c>
      <c r="J430" s="10" t="str">
        <f ca="1">IFERROR(__xludf.DUMMYFUNCTION("""COMPUTED_VALUE"""),"Cumplir con normativa y reglamentos internos del programa en base a los objetivos.")</f>
        <v>Cumplir con normativa y reglamentos internos del programa en base a los objetivos.</v>
      </c>
      <c r="K430" s="71">
        <f ca="1">IFERROR(__xludf.DUMMYFUNCTION("""COMPUTED_VALUE"""),50400071)</f>
        <v>50400071</v>
      </c>
      <c r="L430" s="72">
        <f ca="1">IFERROR(__xludf.DUMMYFUNCTION("""COMPUTED_VALUE"""),1)</f>
        <v>1</v>
      </c>
      <c r="M430" s="10">
        <f ca="1">IFERROR(__xludf.DUMMYFUNCTION("""COMPUTED_VALUE"""),6700)</f>
        <v>6700</v>
      </c>
      <c r="N430" s="10" t="str">
        <f ca="1">IFERROR(__xludf.DUMMYFUNCTION("""COMPUTED_VALUE"""),"PMU")</f>
        <v>PMU</v>
      </c>
      <c r="O430" s="1"/>
      <c r="P430" s="1"/>
      <c r="Q430" s="1"/>
      <c r="R430" s="1"/>
      <c r="S430" s="1"/>
      <c r="T430" s="1"/>
      <c r="U430" s="1"/>
      <c r="V430" s="1"/>
      <c r="W430" s="1"/>
      <c r="X430" s="1"/>
      <c r="Y430" s="1"/>
      <c r="Z430" s="1"/>
    </row>
    <row r="431" spans="1:26" ht="12.75" customHeight="1">
      <c r="A431" s="1"/>
      <c r="B431" s="10" t="str">
        <f ca="1">IFERROR(__xludf.DUMMYFUNCTION("""COMPUTED_VALUE"""),"[CATÁSTROFE] SUMINISTRO DE AGUA POTABLE EN LOCALIDADES RURALES; SAN JOSE DE COLICO, COLICO NORTE, PLEGARIAS Y PICHIARAUCO")</f>
        <v>[CATÁSTROFE] SUMINISTRO DE AGUA POTABLE EN LOCALIDADES RURALES; SAN JOSE DE COLICO, COLICO NORTE, PLEGARIAS Y PICHIARAUCO</v>
      </c>
      <c r="C431" s="10" t="str">
        <f ca="1">IFERROR(__xludf.DUMMYFUNCTION("""COMPUTED_VALUE"""),"1-C-2024-1098")</f>
        <v>1-C-2024-1098</v>
      </c>
      <c r="D431" s="26" t="str">
        <f t="shared" ca="1" si="0"/>
        <v xml:space="preserve"> CURANILAHUE</v>
      </c>
      <c r="E431" s="10" t="str">
        <f ca="1">IFERROR(__xludf.DUMMYFUNCTION("""COMPUTED_VALUE"""),"Guía Operativa")</f>
        <v>Guía Operativa</v>
      </c>
      <c r="F431" s="10" t="str">
        <f ca="1">IFERROR(__xludf.DUMMYFUNCTION("""COMPUTED_VALUE"""),"MUNICIPALIDAD DE CURANILAHUE")</f>
        <v>MUNICIPALIDAD DE CURANILAHUE</v>
      </c>
      <c r="G431" s="71">
        <f ca="1">IFERROR(__xludf.DUMMYFUNCTION("""COMPUTED_VALUE"""),19710208)</f>
        <v>19710208</v>
      </c>
      <c r="H431" s="10" t="str">
        <f ca="1">IFERROR(__xludf.DUMMYFUNCTION("""COMPUTED_VALUE"""),"Resolución")</f>
        <v>Resolución</v>
      </c>
      <c r="I431" s="10" t="str">
        <f ca="1">IFERROR(__xludf.DUMMYFUNCTION("""COMPUTED_VALUE"""),"OBRA")</f>
        <v>OBRA</v>
      </c>
      <c r="J431" s="10" t="str">
        <f ca="1">IFERROR(__xludf.DUMMYFUNCTION("""COMPUTED_VALUE"""),"Cumplir con normativa y reglamentos internos del programa en base a los objetivos.")</f>
        <v>Cumplir con normativa y reglamentos internos del programa en base a los objetivos.</v>
      </c>
      <c r="K431" s="71">
        <f ca="1">IFERROR(__xludf.DUMMYFUNCTION("""COMPUTED_VALUE"""),19710208)</f>
        <v>19710208</v>
      </c>
      <c r="L431" s="72">
        <f ca="1">IFERROR(__xludf.DUMMYFUNCTION("""COMPUTED_VALUE"""),1)</f>
        <v>1</v>
      </c>
      <c r="M431" s="10">
        <f ca="1">IFERROR(__xludf.DUMMYFUNCTION("""COMPUTED_VALUE"""),6653)</f>
        <v>6653</v>
      </c>
      <c r="N431" s="10" t="str">
        <f ca="1">IFERROR(__xludf.DUMMYFUNCTION("""COMPUTED_VALUE"""),"PMU")</f>
        <v>PMU</v>
      </c>
      <c r="O431" s="1"/>
      <c r="P431" s="1"/>
      <c r="Q431" s="1"/>
      <c r="R431" s="1"/>
      <c r="S431" s="1"/>
      <c r="T431" s="1"/>
      <c r="U431" s="1"/>
      <c r="V431" s="1"/>
      <c r="W431" s="1"/>
      <c r="X431" s="1"/>
      <c r="Y431" s="1"/>
      <c r="Z431" s="1"/>
    </row>
    <row r="432" spans="1:26" ht="12.75" customHeight="1">
      <c r="A432" s="1"/>
      <c r="B432" s="10" t="str">
        <f ca="1">IFERROR(__xludf.DUMMYFUNCTION("""COMPUTED_VALUE"""),"[CATÁSTROFE] HABILITACION PASAJE LOMA BAJA, POBLACION RICARDO LAGOS")</f>
        <v>[CATÁSTROFE] HABILITACION PASAJE LOMA BAJA, POBLACION RICARDO LAGOS</v>
      </c>
      <c r="C432" s="10" t="str">
        <f ca="1">IFERROR(__xludf.DUMMYFUNCTION("""COMPUTED_VALUE"""),"1-C-2024-1099")</f>
        <v>1-C-2024-1099</v>
      </c>
      <c r="D432" s="26" t="str">
        <f t="shared" ca="1" si="0"/>
        <v xml:space="preserve"> CURANILAHUE</v>
      </c>
      <c r="E432" s="10" t="str">
        <f ca="1">IFERROR(__xludf.DUMMYFUNCTION("""COMPUTED_VALUE"""),"Guía Operativa")</f>
        <v>Guía Operativa</v>
      </c>
      <c r="F432" s="10" t="str">
        <f ca="1">IFERROR(__xludf.DUMMYFUNCTION("""COMPUTED_VALUE"""),"MUNICIPALIDAD DE CURANILAHUE")</f>
        <v>MUNICIPALIDAD DE CURANILAHUE</v>
      </c>
      <c r="G432" s="71">
        <f ca="1">IFERROR(__xludf.DUMMYFUNCTION("""COMPUTED_VALUE"""),102558960)</f>
        <v>102558960</v>
      </c>
      <c r="H432" s="10" t="str">
        <f ca="1">IFERROR(__xludf.DUMMYFUNCTION("""COMPUTED_VALUE"""),"Resolución")</f>
        <v>Resolución</v>
      </c>
      <c r="I432" s="10" t="str">
        <f ca="1">IFERROR(__xludf.DUMMYFUNCTION("""COMPUTED_VALUE"""),"OBRA")</f>
        <v>OBRA</v>
      </c>
      <c r="J432" s="10" t="str">
        <f ca="1">IFERROR(__xludf.DUMMYFUNCTION("""COMPUTED_VALUE"""),"Cumplir con normativa y reglamentos internos del programa en base a los objetivos.")</f>
        <v>Cumplir con normativa y reglamentos internos del programa en base a los objetivos.</v>
      </c>
      <c r="K432" s="71">
        <f ca="1">IFERROR(__xludf.DUMMYFUNCTION("""COMPUTED_VALUE"""),102558960)</f>
        <v>102558960</v>
      </c>
      <c r="L432" s="72">
        <f ca="1">IFERROR(__xludf.DUMMYFUNCTION("""COMPUTED_VALUE"""),1)</f>
        <v>1</v>
      </c>
      <c r="M432" s="10">
        <f ca="1">IFERROR(__xludf.DUMMYFUNCTION("""COMPUTED_VALUE"""),6653)</f>
        <v>6653</v>
      </c>
      <c r="N432" s="10" t="str">
        <f ca="1">IFERROR(__xludf.DUMMYFUNCTION("""COMPUTED_VALUE"""),"PMU")</f>
        <v>PMU</v>
      </c>
      <c r="O432" s="1"/>
      <c r="P432" s="1"/>
      <c r="Q432" s="1"/>
      <c r="R432" s="1"/>
      <c r="S432" s="1"/>
      <c r="T432" s="1"/>
      <c r="U432" s="1"/>
      <c r="V432" s="1"/>
      <c r="W432" s="1"/>
      <c r="X432" s="1"/>
      <c r="Y432" s="1"/>
      <c r="Z432" s="1"/>
    </row>
    <row r="433" spans="1:26" ht="12.75" customHeight="1">
      <c r="A433" s="1"/>
      <c r="B433" s="10" t="str">
        <f ca="1">IFERROR(__xludf.DUMMYFUNCTION("""COMPUTED_VALUE"""),"[CATÁSTROFE] CONSERVACIÓN DE ZONAS CRITICAS POR LA REMOCIÓN EN MASA DE ALGUNOS SECTORES DE LA COMUNA")</f>
        <v>[CATÁSTROFE] CONSERVACIÓN DE ZONAS CRITICAS POR LA REMOCIÓN EN MASA DE ALGUNOS SECTORES DE LA COMUNA</v>
      </c>
      <c r="C433" s="10" t="str">
        <f ca="1">IFERROR(__xludf.DUMMYFUNCTION("""COMPUTED_VALUE"""),"1-C-2024-1100")</f>
        <v>1-C-2024-1100</v>
      </c>
      <c r="D433" s="26" t="str">
        <f t="shared" ca="1" si="0"/>
        <v xml:space="preserve"> CURANILAHUE</v>
      </c>
      <c r="E433" s="10" t="str">
        <f ca="1">IFERROR(__xludf.DUMMYFUNCTION("""COMPUTED_VALUE"""),"Guía Operativa")</f>
        <v>Guía Operativa</v>
      </c>
      <c r="F433" s="10" t="str">
        <f ca="1">IFERROR(__xludf.DUMMYFUNCTION("""COMPUTED_VALUE"""),"MUNICIPALIDAD DE CURANILAHUE")</f>
        <v>MUNICIPALIDAD DE CURANILAHUE</v>
      </c>
      <c r="G433" s="71">
        <f ca="1">IFERROR(__xludf.DUMMYFUNCTION("""COMPUTED_VALUE"""),25769047)</f>
        <v>25769047</v>
      </c>
      <c r="H433" s="10" t="str">
        <f ca="1">IFERROR(__xludf.DUMMYFUNCTION("""COMPUTED_VALUE"""),"Resolución")</f>
        <v>Resolución</v>
      </c>
      <c r="I433" s="10" t="str">
        <f ca="1">IFERROR(__xludf.DUMMYFUNCTION("""COMPUTED_VALUE"""),"OBRA")</f>
        <v>OBRA</v>
      </c>
      <c r="J433" s="10" t="str">
        <f ca="1">IFERROR(__xludf.DUMMYFUNCTION("""COMPUTED_VALUE"""),"Cumplir con normativa y reglamentos internos del programa en base a los objetivos.")</f>
        <v>Cumplir con normativa y reglamentos internos del programa en base a los objetivos.</v>
      </c>
      <c r="K433" s="71">
        <f ca="1">IFERROR(__xludf.DUMMYFUNCTION("""COMPUTED_VALUE"""),25769047)</f>
        <v>25769047</v>
      </c>
      <c r="L433" s="72">
        <f ca="1">IFERROR(__xludf.DUMMYFUNCTION("""COMPUTED_VALUE"""),1)</f>
        <v>1</v>
      </c>
      <c r="M433" s="10">
        <f ca="1">IFERROR(__xludf.DUMMYFUNCTION("""COMPUTED_VALUE"""),6653)</f>
        <v>6653</v>
      </c>
      <c r="N433" s="10" t="str">
        <f ca="1">IFERROR(__xludf.DUMMYFUNCTION("""COMPUTED_VALUE"""),"PMU")</f>
        <v>PMU</v>
      </c>
      <c r="O433" s="1"/>
      <c r="P433" s="1"/>
      <c r="Q433" s="1"/>
      <c r="R433" s="1"/>
      <c r="S433" s="1"/>
      <c r="T433" s="1"/>
      <c r="U433" s="1"/>
      <c r="V433" s="1"/>
      <c r="W433" s="1"/>
      <c r="X433" s="1"/>
      <c r="Y433" s="1"/>
      <c r="Z433" s="1"/>
    </row>
    <row r="434" spans="1:26" ht="12.75" customHeight="1">
      <c r="A434" s="1"/>
      <c r="B434" s="10" t="str">
        <f ca="1">IFERROR(__xludf.DUMMYFUNCTION("""COMPUTED_VALUE"""),"CATÁSTROFE POR ACCIÓN CLIMÁTICA SANTA JUANA, HABILITACIÓN DE ESPACIOS PÚBLICOS SECTOR HUALLEREHUE")</f>
        <v>CATÁSTROFE POR ACCIÓN CLIMÁTICA SANTA JUANA, HABILITACIÓN DE ESPACIOS PÚBLICOS SECTOR HUALLEREHUE</v>
      </c>
      <c r="C434" s="10" t="str">
        <f ca="1">IFERROR(__xludf.DUMMYFUNCTION("""COMPUTED_VALUE"""),"1-C-2024-1103")</f>
        <v>1-C-2024-1103</v>
      </c>
      <c r="D434" s="26" t="str">
        <f t="shared" ca="1" si="0"/>
        <v xml:space="preserve"> SANTA JUANA</v>
      </c>
      <c r="E434" s="10" t="str">
        <f ca="1">IFERROR(__xludf.DUMMYFUNCTION("""COMPUTED_VALUE"""),"Guía Operativa")</f>
        <v>Guía Operativa</v>
      </c>
      <c r="F434" s="10" t="str">
        <f ca="1">IFERROR(__xludf.DUMMYFUNCTION("""COMPUTED_VALUE"""),"MUNICIPALIDAD DE SANTA JUANA")</f>
        <v>MUNICIPALIDAD DE SANTA JUANA</v>
      </c>
      <c r="G434" s="71">
        <f ca="1">IFERROR(__xludf.DUMMYFUNCTION("""COMPUTED_VALUE"""),50400071)</f>
        <v>50400071</v>
      </c>
      <c r="H434" s="10" t="str">
        <f ca="1">IFERROR(__xludf.DUMMYFUNCTION("""COMPUTED_VALUE"""),"Resolución")</f>
        <v>Resolución</v>
      </c>
      <c r="I434" s="10" t="str">
        <f ca="1">IFERROR(__xludf.DUMMYFUNCTION("""COMPUTED_VALUE"""),"OBRA")</f>
        <v>OBRA</v>
      </c>
      <c r="J434" s="10" t="str">
        <f ca="1">IFERROR(__xludf.DUMMYFUNCTION("""COMPUTED_VALUE"""),"Cumplir con normativa y reglamentos internos del programa en base a los objetivos.")</f>
        <v>Cumplir con normativa y reglamentos internos del programa en base a los objetivos.</v>
      </c>
      <c r="K434" s="71">
        <f ca="1">IFERROR(__xludf.DUMMYFUNCTION("""COMPUTED_VALUE"""),50400071)</f>
        <v>50400071</v>
      </c>
      <c r="L434" s="72">
        <f ca="1">IFERROR(__xludf.DUMMYFUNCTION("""COMPUTED_VALUE"""),1)</f>
        <v>1</v>
      </c>
      <c r="M434" s="10">
        <f ca="1">IFERROR(__xludf.DUMMYFUNCTION("""COMPUTED_VALUE"""),6654)</f>
        <v>6654</v>
      </c>
      <c r="N434" s="10" t="str">
        <f ca="1">IFERROR(__xludf.DUMMYFUNCTION("""COMPUTED_VALUE"""),"PMU")</f>
        <v>PMU</v>
      </c>
      <c r="O434" s="1"/>
      <c r="P434" s="1"/>
      <c r="Q434" s="1"/>
      <c r="R434" s="1"/>
      <c r="S434" s="1"/>
      <c r="T434" s="1"/>
      <c r="U434" s="1"/>
      <c r="V434" s="1"/>
      <c r="W434" s="1"/>
      <c r="X434" s="1"/>
      <c r="Y434" s="1"/>
      <c r="Z434" s="1"/>
    </row>
    <row r="435" spans="1:26" ht="12.75" customHeight="1">
      <c r="A435" s="1"/>
      <c r="B435" s="10" t="str">
        <f ca="1">IFERROR(__xludf.DUMMYFUNCTION("""COMPUTED_VALUE"""),"CATÁSTROFE POR ACCIÓN CLIMÁTICA SANTA JUANA, HABILITACIÓN DE ESPACIOS PÚBLICOS SECTOR CHACAY")</f>
        <v>CATÁSTROFE POR ACCIÓN CLIMÁTICA SANTA JUANA, HABILITACIÓN DE ESPACIOS PÚBLICOS SECTOR CHACAY</v>
      </c>
      <c r="C435" s="10" t="str">
        <f ca="1">IFERROR(__xludf.DUMMYFUNCTION("""COMPUTED_VALUE"""),"1-C-2024-1105")</f>
        <v>1-C-2024-1105</v>
      </c>
      <c r="D435" s="26" t="str">
        <f t="shared" ca="1" si="0"/>
        <v xml:space="preserve"> SANTA JUANA</v>
      </c>
      <c r="E435" s="10" t="str">
        <f ca="1">IFERROR(__xludf.DUMMYFUNCTION("""COMPUTED_VALUE"""),"Guía Operativa")</f>
        <v>Guía Operativa</v>
      </c>
      <c r="F435" s="10" t="str">
        <f ca="1">IFERROR(__xludf.DUMMYFUNCTION("""COMPUTED_VALUE"""),"MUNICIPALIDAD DE SANTA JUANA")</f>
        <v>MUNICIPALIDAD DE SANTA JUANA</v>
      </c>
      <c r="G435" s="71">
        <f ca="1">IFERROR(__xludf.DUMMYFUNCTION("""COMPUTED_VALUE"""),50400071)</f>
        <v>50400071</v>
      </c>
      <c r="H435" s="10" t="str">
        <f ca="1">IFERROR(__xludf.DUMMYFUNCTION("""COMPUTED_VALUE"""),"Resolución")</f>
        <v>Resolución</v>
      </c>
      <c r="I435" s="10" t="str">
        <f ca="1">IFERROR(__xludf.DUMMYFUNCTION("""COMPUTED_VALUE"""),"OBRA")</f>
        <v>OBRA</v>
      </c>
      <c r="J435" s="10" t="str">
        <f ca="1">IFERROR(__xludf.DUMMYFUNCTION("""COMPUTED_VALUE"""),"Cumplir con normativa y reglamentos internos del programa en base a los objetivos.")</f>
        <v>Cumplir con normativa y reglamentos internos del programa en base a los objetivos.</v>
      </c>
      <c r="K435" s="71">
        <f ca="1">IFERROR(__xludf.DUMMYFUNCTION("""COMPUTED_VALUE"""),50400071)</f>
        <v>50400071</v>
      </c>
      <c r="L435" s="72">
        <f ca="1">IFERROR(__xludf.DUMMYFUNCTION("""COMPUTED_VALUE"""),1)</f>
        <v>1</v>
      </c>
      <c r="M435" s="10">
        <f ca="1">IFERROR(__xludf.DUMMYFUNCTION("""COMPUTED_VALUE"""),6654)</f>
        <v>6654</v>
      </c>
      <c r="N435" s="10" t="str">
        <f ca="1">IFERROR(__xludf.DUMMYFUNCTION("""COMPUTED_VALUE"""),"PMU")</f>
        <v>PMU</v>
      </c>
      <c r="O435" s="1"/>
      <c r="P435" s="1"/>
      <c r="Q435" s="1"/>
      <c r="R435" s="1"/>
      <c r="S435" s="1"/>
      <c r="T435" s="1"/>
      <c r="U435" s="1"/>
      <c r="V435" s="1"/>
      <c r="W435" s="1"/>
      <c r="X435" s="1"/>
      <c r="Y435" s="1"/>
      <c r="Z435" s="1"/>
    </row>
    <row r="436" spans="1:26" ht="12.75" customHeight="1">
      <c r="A436" s="1"/>
      <c r="B436" s="10" t="str">
        <f ca="1">IFERROR(__xludf.DUMMYFUNCTION("""COMPUTED_VALUE"""),"CATASTROFE HABILITACION DE ESPAC Y CAMINOS PUBLI LOS SECTORES EL CONSUELO, COIHUE,LAS MARIAS, STA AMELIA, RIHUE, EMERGENCIA, LA CAPILLA Y STA LUISA.")</f>
        <v>CATASTROFE HABILITACION DE ESPAC Y CAMINOS PUBLI LOS SECTORES EL CONSUELO, COIHUE,LAS MARIAS, STA AMELIA, RIHUE, EMERGENCIA, LA CAPILLA Y STA LUISA.</v>
      </c>
      <c r="C436" s="10" t="str">
        <f ca="1">IFERROR(__xludf.DUMMYFUNCTION("""COMPUTED_VALUE"""),"1-C-2024-1112")</f>
        <v>1-C-2024-1112</v>
      </c>
      <c r="D436" s="26" t="str">
        <f t="shared" ca="1" si="0"/>
        <v xml:space="preserve"> NEGRETE</v>
      </c>
      <c r="E436" s="10" t="str">
        <f ca="1">IFERROR(__xludf.DUMMYFUNCTION("""COMPUTED_VALUE"""),"Guía Operativa")</f>
        <v>Guía Operativa</v>
      </c>
      <c r="F436" s="10" t="str">
        <f ca="1">IFERROR(__xludf.DUMMYFUNCTION("""COMPUTED_VALUE"""),"MUNICIPALIDAD DE NEGRETE")</f>
        <v>MUNICIPALIDAD DE NEGRETE</v>
      </c>
      <c r="G436" s="71">
        <f ca="1">IFERROR(__xludf.DUMMYFUNCTION("""COMPUTED_VALUE"""),48534399)</f>
        <v>48534399</v>
      </c>
      <c r="H436" s="10" t="str">
        <f ca="1">IFERROR(__xludf.DUMMYFUNCTION("""COMPUTED_VALUE"""),"Resolución")</f>
        <v>Resolución</v>
      </c>
      <c r="I436" s="10" t="str">
        <f ca="1">IFERROR(__xludf.DUMMYFUNCTION("""COMPUTED_VALUE"""),"OBRA")</f>
        <v>OBRA</v>
      </c>
      <c r="J436" s="10" t="str">
        <f ca="1">IFERROR(__xludf.DUMMYFUNCTION("""COMPUTED_VALUE"""),"Cumplir con normativa y reglamentos internos del programa en base a los objetivos.")</f>
        <v>Cumplir con normativa y reglamentos internos del programa en base a los objetivos.</v>
      </c>
      <c r="K436" s="71">
        <f ca="1">IFERROR(__xludf.DUMMYFUNCTION("""COMPUTED_VALUE"""),48534399)</f>
        <v>48534399</v>
      </c>
      <c r="L436" s="72">
        <f ca="1">IFERROR(__xludf.DUMMYFUNCTION("""COMPUTED_VALUE"""),1)</f>
        <v>1</v>
      </c>
      <c r="M436" s="10">
        <f ca="1">IFERROR(__xludf.DUMMYFUNCTION("""COMPUTED_VALUE"""),6699)</f>
        <v>6699</v>
      </c>
      <c r="N436" s="10" t="str">
        <f ca="1">IFERROR(__xludf.DUMMYFUNCTION("""COMPUTED_VALUE"""),"PMU")</f>
        <v>PMU</v>
      </c>
      <c r="O436" s="1"/>
      <c r="P436" s="1"/>
      <c r="Q436" s="1"/>
      <c r="R436" s="1"/>
      <c r="S436" s="1"/>
      <c r="T436" s="1"/>
      <c r="U436" s="1"/>
      <c r="V436" s="1"/>
      <c r="W436" s="1"/>
      <c r="X436" s="1"/>
      <c r="Y436" s="1"/>
      <c r="Z436" s="1"/>
    </row>
    <row r="437" spans="1:26" ht="12.75" customHeight="1">
      <c r="A437" s="1"/>
      <c r="B437" s="10" t="str">
        <f ca="1">IFERROR(__xludf.DUMMYFUNCTION("""COMPUTED_VALUE"""),"CATASTROFE HABILITACION DE ESPACIOS Y CAMINOS PUBL. DE LOS SECTORES EL AGRO, GRANEROS, ESPIGA DE ORO, ESPERANZA CAMP, STA ROSA Y Q-80, NEGRETE")</f>
        <v>CATASTROFE HABILITACION DE ESPACIOS Y CAMINOS PUBL. DE LOS SECTORES EL AGRO, GRANEROS, ESPIGA DE ORO, ESPERANZA CAMP, STA ROSA Y Q-80, NEGRETE</v>
      </c>
      <c r="C437" s="10" t="str">
        <f ca="1">IFERROR(__xludf.DUMMYFUNCTION("""COMPUTED_VALUE"""),"1-C-2024-1113")</f>
        <v>1-C-2024-1113</v>
      </c>
      <c r="D437" s="26" t="str">
        <f t="shared" ca="1" si="0"/>
        <v xml:space="preserve"> NEGRETE</v>
      </c>
      <c r="E437" s="10" t="str">
        <f ca="1">IFERROR(__xludf.DUMMYFUNCTION("""COMPUTED_VALUE"""),"Guía Operativa")</f>
        <v>Guía Operativa</v>
      </c>
      <c r="F437" s="10" t="str">
        <f ca="1">IFERROR(__xludf.DUMMYFUNCTION("""COMPUTED_VALUE"""),"MUNICIPALIDAD DE NEGRETE")</f>
        <v>MUNICIPALIDAD DE NEGRETE</v>
      </c>
      <c r="G437" s="71">
        <f ca="1">IFERROR(__xludf.DUMMYFUNCTION("""COMPUTED_VALUE"""),51838346)</f>
        <v>51838346</v>
      </c>
      <c r="H437" s="10" t="str">
        <f ca="1">IFERROR(__xludf.DUMMYFUNCTION("""COMPUTED_VALUE"""),"Resolución")</f>
        <v>Resolución</v>
      </c>
      <c r="I437" s="10" t="str">
        <f ca="1">IFERROR(__xludf.DUMMYFUNCTION("""COMPUTED_VALUE"""),"OBRA")</f>
        <v>OBRA</v>
      </c>
      <c r="J437" s="10" t="str">
        <f ca="1">IFERROR(__xludf.DUMMYFUNCTION("""COMPUTED_VALUE"""),"Cumplir con normativa y reglamentos internos del programa en base a los objetivos.")</f>
        <v>Cumplir con normativa y reglamentos internos del programa en base a los objetivos.</v>
      </c>
      <c r="K437" s="71">
        <f ca="1">IFERROR(__xludf.DUMMYFUNCTION("""COMPUTED_VALUE"""),51838346)</f>
        <v>51838346</v>
      </c>
      <c r="L437" s="72">
        <f ca="1">IFERROR(__xludf.DUMMYFUNCTION("""COMPUTED_VALUE"""),1)</f>
        <v>1</v>
      </c>
      <c r="M437" s="10">
        <f ca="1">IFERROR(__xludf.DUMMYFUNCTION("""COMPUTED_VALUE"""),6699)</f>
        <v>6699</v>
      </c>
      <c r="N437" s="10" t="str">
        <f ca="1">IFERROR(__xludf.DUMMYFUNCTION("""COMPUTED_VALUE"""),"PMU")</f>
        <v>PMU</v>
      </c>
      <c r="O437" s="1"/>
      <c r="P437" s="1"/>
      <c r="Q437" s="1"/>
      <c r="R437" s="1"/>
      <c r="S437" s="1"/>
      <c r="T437" s="1"/>
      <c r="U437" s="1"/>
      <c r="V437" s="1"/>
      <c r="W437" s="1"/>
      <c r="X437" s="1"/>
      <c r="Y437" s="1"/>
      <c r="Z437" s="1"/>
    </row>
    <row r="438" spans="1:26" ht="12.75" customHeight="1">
      <c r="A438" s="1"/>
      <c r="B438" s="10" t="str">
        <f ca="1">IFERROR(__xludf.DUMMYFUNCTION("""COMPUTED_VALUE"""),"CATASTROFE CONSERVACION DE ESPACIOS PUBLICOS, CAMINOS Y SISTEMAS DE DRENAJES DE AGUAS LLUVIAS EN DIFERENTES SECTORES DE SAN ROSENDO")</f>
        <v>CATASTROFE CONSERVACION DE ESPACIOS PUBLICOS, CAMINOS Y SISTEMAS DE DRENAJES DE AGUAS LLUVIAS EN DIFERENTES SECTORES DE SAN ROSENDO</v>
      </c>
      <c r="C438" s="10" t="str">
        <f ca="1">IFERROR(__xludf.DUMMYFUNCTION("""COMPUTED_VALUE"""),"1-C-2024-1120")</f>
        <v>1-C-2024-1120</v>
      </c>
      <c r="D438" s="26" t="str">
        <f t="shared" ca="1" si="0"/>
        <v xml:space="preserve"> SAN ROSENDO</v>
      </c>
      <c r="E438" s="10" t="str">
        <f ca="1">IFERROR(__xludf.DUMMYFUNCTION("""COMPUTED_VALUE"""),"Guía Operativa")</f>
        <v>Guía Operativa</v>
      </c>
      <c r="F438" s="10" t="str">
        <f ca="1">IFERROR(__xludf.DUMMYFUNCTION("""COMPUTED_VALUE"""),"MUNICIPALIDAD DE SAN ROSENDO")</f>
        <v>MUNICIPALIDAD DE SAN ROSENDO</v>
      </c>
      <c r="G438" s="71">
        <f ca="1">IFERROR(__xludf.DUMMYFUNCTION("""COMPUTED_VALUE"""),42826613)</f>
        <v>42826613</v>
      </c>
      <c r="H438" s="10" t="str">
        <f ca="1">IFERROR(__xludf.DUMMYFUNCTION("""COMPUTED_VALUE"""),"Resolución")</f>
        <v>Resolución</v>
      </c>
      <c r="I438" s="10" t="str">
        <f ca="1">IFERROR(__xludf.DUMMYFUNCTION("""COMPUTED_VALUE"""),"OBRA")</f>
        <v>OBRA</v>
      </c>
      <c r="J438" s="10" t="str">
        <f ca="1">IFERROR(__xludf.DUMMYFUNCTION("""COMPUTED_VALUE"""),"Cumplir con normativa y reglamentos internos del programa en base a los objetivos.")</f>
        <v>Cumplir con normativa y reglamentos internos del programa en base a los objetivos.</v>
      </c>
      <c r="K438" s="71">
        <f ca="1">IFERROR(__xludf.DUMMYFUNCTION("""COMPUTED_VALUE"""),42826613)</f>
        <v>42826613</v>
      </c>
      <c r="L438" s="72">
        <f ca="1">IFERROR(__xludf.DUMMYFUNCTION("""COMPUTED_VALUE"""),1)</f>
        <v>1</v>
      </c>
      <c r="M438" s="10">
        <f ca="1">IFERROR(__xludf.DUMMYFUNCTION("""COMPUTED_VALUE"""),6672)</f>
        <v>6672</v>
      </c>
      <c r="N438" s="10" t="str">
        <f ca="1">IFERROR(__xludf.DUMMYFUNCTION("""COMPUTED_VALUE"""),"PMU")</f>
        <v>PMU</v>
      </c>
      <c r="O438" s="1"/>
      <c r="P438" s="1"/>
      <c r="Q438" s="1"/>
      <c r="R438" s="1"/>
      <c r="S438" s="1"/>
      <c r="T438" s="1"/>
      <c r="U438" s="1"/>
      <c r="V438" s="1"/>
      <c r="W438" s="1"/>
      <c r="X438" s="1"/>
      <c r="Y438" s="1"/>
      <c r="Z438" s="1"/>
    </row>
    <row r="439" spans="1:26" ht="12.75" customHeight="1">
      <c r="A439" s="1"/>
      <c r="B439" s="10" t="str">
        <f ca="1">IFERROR(__xludf.DUMMYFUNCTION("""COMPUTED_VALUE"""),"MEJORAMIENTO SEDE SOCIAL VILLA LOS CACIQUES SECTOR B, PADRE LAS CASAS")</f>
        <v>MEJORAMIENTO SEDE SOCIAL VILLA LOS CACIQUES SECTOR B, PADRE LAS CASAS</v>
      </c>
      <c r="C439" s="10" t="str">
        <f ca="1">IFERROR(__xludf.DUMMYFUNCTION("""COMPUTED_VALUE"""),"1-C-2023-1648")</f>
        <v>1-C-2023-1648</v>
      </c>
      <c r="D439" s="26" t="str">
        <f t="shared" ca="1" si="0"/>
        <v xml:space="preserve"> PADRE LAS CASAS</v>
      </c>
      <c r="E439" s="10" t="str">
        <f ca="1">IFERROR(__xludf.DUMMYFUNCTION("""COMPUTED_VALUE"""),"Guía Operativa")</f>
        <v>Guía Operativa</v>
      </c>
      <c r="F439" s="10" t="str">
        <f ca="1">IFERROR(__xludf.DUMMYFUNCTION("""COMPUTED_VALUE"""),"MUNICIPALIDAD DE PADRE LAS CASAS")</f>
        <v>MUNICIPALIDAD DE PADRE LAS CASAS</v>
      </c>
      <c r="G439" s="71">
        <f ca="1">IFERROR(__xludf.DUMMYFUNCTION("""COMPUTED_VALUE"""),82018236)</f>
        <v>82018236</v>
      </c>
      <c r="H439" s="10" t="str">
        <f ca="1">IFERROR(__xludf.DUMMYFUNCTION("""COMPUTED_VALUE"""),"Resolución")</f>
        <v>Resolución</v>
      </c>
      <c r="I439" s="10" t="str">
        <f ca="1">IFERROR(__xludf.DUMMYFUNCTION("""COMPUTED_VALUE"""),"OBRA")</f>
        <v>OBRA</v>
      </c>
      <c r="J439" s="10" t="str">
        <f ca="1">IFERROR(__xludf.DUMMYFUNCTION("""COMPUTED_VALUE"""),"Cumplir con normativa y reglamentos internos del programa en base a los objetivos.")</f>
        <v>Cumplir con normativa y reglamentos internos del programa en base a los objetivos.</v>
      </c>
      <c r="K439" s="71">
        <f ca="1">IFERROR(__xludf.DUMMYFUNCTION("""COMPUTED_VALUE"""),82018236)</f>
        <v>82018236</v>
      </c>
      <c r="L439" s="72">
        <f ca="1">IFERROR(__xludf.DUMMYFUNCTION("""COMPUTED_VALUE"""),1)</f>
        <v>1</v>
      </c>
      <c r="M439" s="10">
        <f ca="1">IFERROR(__xludf.DUMMYFUNCTION("""COMPUTED_VALUE"""),6689)</f>
        <v>6689</v>
      </c>
      <c r="N439" s="10" t="str">
        <f ca="1">IFERROR(__xludf.DUMMYFUNCTION("""COMPUTED_VALUE"""),"PMU")</f>
        <v>PMU</v>
      </c>
      <c r="O439" s="1"/>
      <c r="P439" s="1"/>
      <c r="Q439" s="1"/>
      <c r="R439" s="1"/>
      <c r="S439" s="1"/>
      <c r="T439" s="1"/>
      <c r="U439" s="1"/>
      <c r="V439" s="1"/>
      <c r="W439" s="1"/>
      <c r="X439" s="1"/>
      <c r="Y439" s="1"/>
      <c r="Z439" s="1"/>
    </row>
    <row r="440" spans="1:26" ht="12.75" customHeight="1">
      <c r="A440" s="1"/>
      <c r="B440" s="10" t="str">
        <f ca="1">IFERROR(__xludf.DUMMYFUNCTION("""COMPUTED_VALUE"""),"CONSTRUCCIÓN SEMÁFOROS AVENIDA BERNARDO O’HIGGINS INTERSECCIÓN CALLE ARTURO PRAT, COMUNA DE GORBEA")</f>
        <v>CONSTRUCCIÓN SEMÁFOROS AVENIDA BERNARDO O’HIGGINS INTERSECCIÓN CALLE ARTURO PRAT, COMUNA DE GORBEA</v>
      </c>
      <c r="C440" s="10" t="str">
        <f ca="1">IFERROR(__xludf.DUMMYFUNCTION("""COMPUTED_VALUE"""),"1-C-2023-3216")</f>
        <v>1-C-2023-3216</v>
      </c>
      <c r="D440" s="26" t="str">
        <f t="shared" ca="1" si="0"/>
        <v xml:space="preserve"> GORBEA</v>
      </c>
      <c r="E440" s="10" t="str">
        <f ca="1">IFERROR(__xludf.DUMMYFUNCTION("""COMPUTED_VALUE"""),"Guía Operativa")</f>
        <v>Guía Operativa</v>
      </c>
      <c r="F440" s="10" t="str">
        <f ca="1">IFERROR(__xludf.DUMMYFUNCTION("""COMPUTED_VALUE"""),"MUNICIPALIDAD DE GORBEA")</f>
        <v>MUNICIPALIDAD DE GORBEA</v>
      </c>
      <c r="G440" s="71">
        <f ca="1">IFERROR(__xludf.DUMMYFUNCTION("""COMPUTED_VALUE"""),112271768)</f>
        <v>112271768</v>
      </c>
      <c r="H440" s="10" t="str">
        <f ca="1">IFERROR(__xludf.DUMMYFUNCTION("""COMPUTED_VALUE"""),"Resolución")</f>
        <v>Resolución</v>
      </c>
      <c r="I440" s="10" t="str">
        <f ca="1">IFERROR(__xludf.DUMMYFUNCTION("""COMPUTED_VALUE"""),"OBRA")</f>
        <v>OBRA</v>
      </c>
      <c r="J440" s="10" t="str">
        <f ca="1">IFERROR(__xludf.DUMMYFUNCTION("""COMPUTED_VALUE"""),"Cumplir con normativa y reglamentos internos del programa en base a los objetivos.")</f>
        <v>Cumplir con normativa y reglamentos internos del programa en base a los objetivos.</v>
      </c>
      <c r="K440" s="71">
        <f ca="1">IFERROR(__xludf.DUMMYFUNCTION("""COMPUTED_VALUE"""),112271768)</f>
        <v>112271768</v>
      </c>
      <c r="L440" s="72">
        <f ca="1">IFERROR(__xludf.DUMMYFUNCTION("""COMPUTED_VALUE"""),1)</f>
        <v>1</v>
      </c>
      <c r="M440" s="10">
        <f ca="1">IFERROR(__xludf.DUMMYFUNCTION("""COMPUTED_VALUE"""),6479)</f>
        <v>6479</v>
      </c>
      <c r="N440" s="10" t="str">
        <f ca="1">IFERROR(__xludf.DUMMYFUNCTION("""COMPUTED_VALUE"""),"PMU")</f>
        <v>PMU</v>
      </c>
      <c r="O440" s="1"/>
      <c r="P440" s="1"/>
      <c r="Q440" s="1"/>
      <c r="R440" s="1"/>
      <c r="S440" s="1"/>
      <c r="T440" s="1"/>
      <c r="U440" s="1"/>
      <c r="V440" s="1"/>
      <c r="W440" s="1"/>
      <c r="X440" s="1"/>
      <c r="Y440" s="1"/>
      <c r="Z440" s="1"/>
    </row>
    <row r="441" spans="1:26" ht="12.75" customHeight="1">
      <c r="A441" s="1"/>
      <c r="B441" s="10" t="str">
        <f ca="1">IFERROR(__xludf.DUMMYFUNCTION("""COMPUTED_VALUE"""),"RESTAURACIÓN PASARELA PEATONAL COLGANTE PARQUE BELLAVISTA")</f>
        <v>RESTAURACIÓN PASARELA PEATONAL COLGANTE PARQUE BELLAVISTA</v>
      </c>
      <c r="C441" s="10" t="str">
        <f ca="1">IFERROR(__xludf.DUMMYFUNCTION("""COMPUTED_VALUE"""),"1-C-2023-1798")</f>
        <v>1-C-2023-1798</v>
      </c>
      <c r="D441" s="26" t="str">
        <f t="shared" ca="1" si="0"/>
        <v xml:space="preserve"> OSORNO</v>
      </c>
      <c r="E441" s="10" t="str">
        <f ca="1">IFERROR(__xludf.DUMMYFUNCTION("""COMPUTED_VALUE"""),"Guía Operativa")</f>
        <v>Guía Operativa</v>
      </c>
      <c r="F441" s="10" t="str">
        <f ca="1">IFERROR(__xludf.DUMMYFUNCTION("""COMPUTED_VALUE"""),"MUNICIPALIDAD DE OSORNO")</f>
        <v>MUNICIPALIDAD DE OSORNO</v>
      </c>
      <c r="G441" s="71">
        <f ca="1">IFERROR(__xludf.DUMMYFUNCTION("""COMPUTED_VALUE"""),60538385)</f>
        <v>60538385</v>
      </c>
      <c r="H441" s="10" t="str">
        <f ca="1">IFERROR(__xludf.DUMMYFUNCTION("""COMPUTED_VALUE"""),"Resolución")</f>
        <v>Resolución</v>
      </c>
      <c r="I441" s="10" t="str">
        <f ca="1">IFERROR(__xludf.DUMMYFUNCTION("""COMPUTED_VALUE"""),"OBRA")</f>
        <v>OBRA</v>
      </c>
      <c r="J441" s="10" t="str">
        <f ca="1">IFERROR(__xludf.DUMMYFUNCTION("""COMPUTED_VALUE"""),"Cumplir con normativa y reglamentos internos del programa en base a los objetivos.")</f>
        <v>Cumplir con normativa y reglamentos internos del programa en base a los objetivos.</v>
      </c>
      <c r="K441" s="71">
        <f ca="1">IFERROR(__xludf.DUMMYFUNCTION("""COMPUTED_VALUE"""),60538385)</f>
        <v>60538385</v>
      </c>
      <c r="L441" s="72">
        <f ca="1">IFERROR(__xludf.DUMMYFUNCTION("""COMPUTED_VALUE"""),1)</f>
        <v>1</v>
      </c>
      <c r="M441" s="10">
        <f ca="1">IFERROR(__xludf.DUMMYFUNCTION("""COMPUTED_VALUE"""),6693)</f>
        <v>6693</v>
      </c>
      <c r="N441" s="10" t="str">
        <f ca="1">IFERROR(__xludf.DUMMYFUNCTION("""COMPUTED_VALUE"""),"PMU")</f>
        <v>PMU</v>
      </c>
      <c r="O441" s="1"/>
      <c r="P441" s="1"/>
      <c r="Q441" s="1"/>
      <c r="R441" s="1"/>
      <c r="S441" s="1"/>
      <c r="T441" s="1"/>
      <c r="U441" s="1"/>
      <c r="V441" s="1"/>
      <c r="W441" s="1"/>
      <c r="X441" s="1"/>
      <c r="Y441" s="1"/>
      <c r="Z441" s="1"/>
    </row>
    <row r="442" spans="1:26" ht="12.75" customHeight="1">
      <c r="A442" s="1"/>
      <c r="B442" s="10" t="str">
        <f ca="1">IFERROR(__xludf.DUMMYFUNCTION("""COMPUTED_VALUE"""),"MEJORAMIENTO DIVERSOS SECTORES DE FERIA RAHUE")</f>
        <v>MEJORAMIENTO DIVERSOS SECTORES DE FERIA RAHUE</v>
      </c>
      <c r="C442" s="10" t="str">
        <f ca="1">IFERROR(__xludf.DUMMYFUNCTION("""COMPUTED_VALUE"""),"1-C-2023-1821")</f>
        <v>1-C-2023-1821</v>
      </c>
      <c r="D442" s="26" t="str">
        <f t="shared" ca="1" si="0"/>
        <v xml:space="preserve"> OSORNO</v>
      </c>
      <c r="E442" s="10" t="str">
        <f ca="1">IFERROR(__xludf.DUMMYFUNCTION("""COMPUTED_VALUE"""),"Guía Operativa")</f>
        <v>Guía Operativa</v>
      </c>
      <c r="F442" s="10" t="str">
        <f ca="1">IFERROR(__xludf.DUMMYFUNCTION("""COMPUTED_VALUE"""),"MUNICIPALIDAD DE OSORNO")</f>
        <v>MUNICIPALIDAD DE OSORNO</v>
      </c>
      <c r="G442" s="71">
        <f ca="1">IFERROR(__xludf.DUMMYFUNCTION("""COMPUTED_VALUE"""),135727602)</f>
        <v>135727602</v>
      </c>
      <c r="H442" s="10" t="str">
        <f ca="1">IFERROR(__xludf.DUMMYFUNCTION("""COMPUTED_VALUE"""),"Resolución")</f>
        <v>Resolución</v>
      </c>
      <c r="I442" s="10" t="str">
        <f ca="1">IFERROR(__xludf.DUMMYFUNCTION("""COMPUTED_VALUE"""),"OBRA")</f>
        <v>OBRA</v>
      </c>
      <c r="J442" s="10" t="str">
        <f ca="1">IFERROR(__xludf.DUMMYFUNCTION("""COMPUTED_VALUE"""),"Cumplir con normativa y reglamentos internos del programa en base a los objetivos.")</f>
        <v>Cumplir con normativa y reglamentos internos del programa en base a los objetivos.</v>
      </c>
      <c r="K442" s="71">
        <f ca="1">IFERROR(__xludf.DUMMYFUNCTION("""COMPUTED_VALUE"""),135727602)</f>
        <v>135727602</v>
      </c>
      <c r="L442" s="72">
        <f ca="1">IFERROR(__xludf.DUMMYFUNCTION("""COMPUTED_VALUE"""),1)</f>
        <v>1</v>
      </c>
      <c r="M442" s="10">
        <f ca="1">IFERROR(__xludf.DUMMYFUNCTION("""COMPUTED_VALUE"""),6693)</f>
        <v>6693</v>
      </c>
      <c r="N442" s="10" t="str">
        <f ca="1">IFERROR(__xludf.DUMMYFUNCTION("""COMPUTED_VALUE"""),"PMU")</f>
        <v>PMU</v>
      </c>
      <c r="O442" s="1"/>
      <c r="P442" s="1"/>
      <c r="Q442" s="1"/>
      <c r="R442" s="1"/>
      <c r="S442" s="1"/>
      <c r="T442" s="1"/>
      <c r="U442" s="1"/>
      <c r="V442" s="1"/>
      <c r="W442" s="1"/>
      <c r="X442" s="1"/>
      <c r="Y442" s="1"/>
      <c r="Z442" s="1"/>
    </row>
    <row r="443" spans="1:26" ht="12.75" customHeight="1">
      <c r="A443" s="1"/>
      <c r="B443" s="10" t="str">
        <f ca="1">IFERROR(__xludf.DUMMYFUNCTION("""COMPUTED_VALUE"""),"MEJORAMIENTOS FERIA DE LA ESPERANZA POR UN FUTURO MEJOR, OSORNO")</f>
        <v>MEJORAMIENTOS FERIA DE LA ESPERANZA POR UN FUTURO MEJOR, OSORNO</v>
      </c>
      <c r="C443" s="10" t="str">
        <f ca="1">IFERROR(__xludf.DUMMYFUNCTION("""COMPUTED_VALUE"""),"1-C-2023-1857")</f>
        <v>1-C-2023-1857</v>
      </c>
      <c r="D443" s="26" t="str">
        <f t="shared" ca="1" si="0"/>
        <v xml:space="preserve"> OSORNO</v>
      </c>
      <c r="E443" s="10" t="str">
        <f ca="1">IFERROR(__xludf.DUMMYFUNCTION("""COMPUTED_VALUE"""),"Guía Operativa")</f>
        <v>Guía Operativa</v>
      </c>
      <c r="F443" s="10" t="str">
        <f ca="1">IFERROR(__xludf.DUMMYFUNCTION("""COMPUTED_VALUE"""),"MUNICIPALIDAD DE OSORNO")</f>
        <v>MUNICIPALIDAD DE OSORNO</v>
      </c>
      <c r="G443" s="71">
        <f ca="1">IFERROR(__xludf.DUMMYFUNCTION("""COMPUTED_VALUE"""),21862383)</f>
        <v>21862383</v>
      </c>
      <c r="H443" s="10" t="str">
        <f ca="1">IFERROR(__xludf.DUMMYFUNCTION("""COMPUTED_VALUE"""),"Resolución")</f>
        <v>Resolución</v>
      </c>
      <c r="I443" s="10" t="str">
        <f ca="1">IFERROR(__xludf.DUMMYFUNCTION("""COMPUTED_VALUE"""),"OBRA")</f>
        <v>OBRA</v>
      </c>
      <c r="J443" s="10" t="str">
        <f ca="1">IFERROR(__xludf.DUMMYFUNCTION("""COMPUTED_VALUE"""),"Cumplir con normativa y reglamentos internos del programa en base a los objetivos.")</f>
        <v>Cumplir con normativa y reglamentos internos del programa en base a los objetivos.</v>
      </c>
      <c r="K443" s="71">
        <f ca="1">IFERROR(__xludf.DUMMYFUNCTION("""COMPUTED_VALUE"""),21862383)</f>
        <v>21862383</v>
      </c>
      <c r="L443" s="72">
        <f ca="1">IFERROR(__xludf.DUMMYFUNCTION("""COMPUTED_VALUE"""),1)</f>
        <v>1</v>
      </c>
      <c r="M443" s="10">
        <f ca="1">IFERROR(__xludf.DUMMYFUNCTION("""COMPUTED_VALUE"""),6693)</f>
        <v>6693</v>
      </c>
      <c r="N443" s="10" t="str">
        <f ca="1">IFERROR(__xludf.DUMMYFUNCTION("""COMPUTED_VALUE"""),"PMU")</f>
        <v>PMU</v>
      </c>
      <c r="O443" s="1"/>
      <c r="P443" s="1"/>
      <c r="Q443" s="1"/>
      <c r="R443" s="1"/>
      <c r="S443" s="1"/>
      <c r="T443" s="1"/>
      <c r="U443" s="1"/>
      <c r="V443" s="1"/>
      <c r="W443" s="1"/>
      <c r="X443" s="1"/>
      <c r="Y443" s="1"/>
      <c r="Z443" s="1"/>
    </row>
    <row r="444" spans="1:26" ht="12.75" customHeight="1">
      <c r="A444" s="1"/>
      <c r="B444" s="10" t="str">
        <f ca="1">IFERROR(__xludf.DUMMYFUNCTION("""COMPUTED_VALUE"""),"REPOSICIÓN DE ILUMINACIÓN ESTADIO VILLA OCTAY ALTO, COMUNA DE PUERTO OCTAY")</f>
        <v>REPOSICIÓN DE ILUMINACIÓN ESTADIO VILLA OCTAY ALTO, COMUNA DE PUERTO OCTAY</v>
      </c>
      <c r="C444" s="10" t="str">
        <f ca="1">IFERROR(__xludf.DUMMYFUNCTION("""COMPUTED_VALUE"""),"1-C-2023-2815")</f>
        <v>1-C-2023-2815</v>
      </c>
      <c r="D444" s="26" t="str">
        <f t="shared" ca="1" si="0"/>
        <v xml:space="preserve"> PUERTO OCTAY</v>
      </c>
      <c r="E444" s="10" t="str">
        <f ca="1">IFERROR(__xludf.DUMMYFUNCTION("""COMPUTED_VALUE"""),"Guía Operativa")</f>
        <v>Guía Operativa</v>
      </c>
      <c r="F444" s="10" t="str">
        <f ca="1">IFERROR(__xludf.DUMMYFUNCTION("""COMPUTED_VALUE"""),"MUNICIPALIDAD DE PUERTO OCTAY")</f>
        <v>MUNICIPALIDAD DE PUERTO OCTAY</v>
      </c>
      <c r="G444" s="71">
        <f ca="1">IFERROR(__xludf.DUMMYFUNCTION("""COMPUTED_VALUE"""),153999239)</f>
        <v>153999239</v>
      </c>
      <c r="H444" s="10" t="str">
        <f ca="1">IFERROR(__xludf.DUMMYFUNCTION("""COMPUTED_VALUE"""),"Resolución")</f>
        <v>Resolución</v>
      </c>
      <c r="I444" s="10" t="str">
        <f ca="1">IFERROR(__xludf.DUMMYFUNCTION("""COMPUTED_VALUE"""),"OBRA")</f>
        <v>OBRA</v>
      </c>
      <c r="J444" s="10" t="str">
        <f ca="1">IFERROR(__xludf.DUMMYFUNCTION("""COMPUTED_VALUE"""),"Cumplir con normativa y reglamentos internos del programa en base a los objetivos.")</f>
        <v>Cumplir con normativa y reglamentos internos del programa en base a los objetivos.</v>
      </c>
      <c r="K444" s="71">
        <f ca="1">IFERROR(__xludf.DUMMYFUNCTION("""COMPUTED_VALUE"""),153999239)</f>
        <v>153999239</v>
      </c>
      <c r="L444" s="72">
        <f ca="1">IFERROR(__xludf.DUMMYFUNCTION("""COMPUTED_VALUE"""),1)</f>
        <v>1</v>
      </c>
      <c r="M444" s="10">
        <f ca="1">IFERROR(__xludf.DUMMYFUNCTION("""COMPUTED_VALUE"""),6028)</f>
        <v>6028</v>
      </c>
      <c r="N444" s="10" t="str">
        <f ca="1">IFERROR(__xludf.DUMMYFUNCTION("""COMPUTED_VALUE"""),"PMU")</f>
        <v>PMU</v>
      </c>
      <c r="O444" s="1"/>
      <c r="P444" s="1"/>
      <c r="Q444" s="1"/>
      <c r="R444" s="1"/>
      <c r="S444" s="1"/>
      <c r="T444" s="1"/>
      <c r="U444" s="1"/>
      <c r="V444" s="1"/>
      <c r="W444" s="1"/>
      <c r="X444" s="1"/>
      <c r="Y444" s="1"/>
      <c r="Z444" s="1"/>
    </row>
    <row r="445" spans="1:26" ht="12.75" customHeight="1">
      <c r="A445" s="1"/>
      <c r="B445" s="10" t="str">
        <f ca="1">IFERROR(__xludf.DUMMYFUNCTION("""COMPUTED_VALUE"""),"REPARACION POR BACHEO DIVERSAS CALLES, COMUNA DE LLANQUIHUE")</f>
        <v>REPARACION POR BACHEO DIVERSAS CALLES, COMUNA DE LLANQUIHUE</v>
      </c>
      <c r="C445" s="10" t="str">
        <f ca="1">IFERROR(__xludf.DUMMYFUNCTION("""COMPUTED_VALUE"""),"1-C-2023-3437")</f>
        <v>1-C-2023-3437</v>
      </c>
      <c r="D445" s="26" t="str">
        <f t="shared" ca="1" si="0"/>
        <v xml:space="preserve"> LLANQUIHUE</v>
      </c>
      <c r="E445" s="10" t="str">
        <f ca="1">IFERROR(__xludf.DUMMYFUNCTION("""COMPUTED_VALUE"""),"Guía Operativa")</f>
        <v>Guía Operativa</v>
      </c>
      <c r="F445" s="10" t="str">
        <f ca="1">IFERROR(__xludf.DUMMYFUNCTION("""COMPUTED_VALUE"""),"MUNICIPALIDAD DE LLANQUIHUE")</f>
        <v>MUNICIPALIDAD DE LLANQUIHUE</v>
      </c>
      <c r="G445" s="71">
        <f ca="1">IFERROR(__xludf.DUMMYFUNCTION("""COMPUTED_VALUE"""),78331401)</f>
        <v>78331401</v>
      </c>
      <c r="H445" s="10" t="str">
        <f ca="1">IFERROR(__xludf.DUMMYFUNCTION("""COMPUTED_VALUE"""),"Resolución")</f>
        <v>Resolución</v>
      </c>
      <c r="I445" s="10" t="str">
        <f ca="1">IFERROR(__xludf.DUMMYFUNCTION("""COMPUTED_VALUE"""),"OBRA")</f>
        <v>OBRA</v>
      </c>
      <c r="J445" s="10" t="str">
        <f ca="1">IFERROR(__xludf.DUMMYFUNCTION("""COMPUTED_VALUE"""),"Cumplir con normativa y reglamentos internos del programa en base a los objetivos.")</f>
        <v>Cumplir con normativa y reglamentos internos del programa en base a los objetivos.</v>
      </c>
      <c r="K445" s="71">
        <f ca="1">IFERROR(__xludf.DUMMYFUNCTION("""COMPUTED_VALUE"""),78331401)</f>
        <v>78331401</v>
      </c>
      <c r="L445" s="72">
        <f ca="1">IFERROR(__xludf.DUMMYFUNCTION("""COMPUTED_VALUE"""),1)</f>
        <v>1</v>
      </c>
      <c r="M445" s="10">
        <f ca="1">IFERROR(__xludf.DUMMYFUNCTION("""COMPUTED_VALUE"""),6481)</f>
        <v>6481</v>
      </c>
      <c r="N445" s="10" t="str">
        <f ca="1">IFERROR(__xludf.DUMMYFUNCTION("""COMPUTED_VALUE"""),"PMU")</f>
        <v>PMU</v>
      </c>
      <c r="O445" s="1"/>
      <c r="P445" s="1"/>
      <c r="Q445" s="1"/>
      <c r="R445" s="1"/>
      <c r="S445" s="1"/>
      <c r="T445" s="1"/>
      <c r="U445" s="1"/>
      <c r="V445" s="1"/>
      <c r="W445" s="1"/>
      <c r="X445" s="1"/>
      <c r="Y445" s="1"/>
      <c r="Z445" s="1"/>
    </row>
    <row r="446" spans="1:26" ht="12.75" customHeight="1">
      <c r="A446" s="1"/>
      <c r="B446" s="10" t="str">
        <f ca="1">IFERROR(__xludf.DUMMYFUNCTION("""COMPUTED_VALUE"""),"CONSTRUCCION SISTEMA INFILTRACION, MIRADOR DE PUERTO VARAS, COMUNA DE PUERTO VARAS")</f>
        <v>CONSTRUCCION SISTEMA INFILTRACION, MIRADOR DE PUERTO VARAS, COMUNA DE PUERTO VARAS</v>
      </c>
      <c r="C446" s="10" t="str">
        <f ca="1">IFERROR(__xludf.DUMMYFUNCTION("""COMPUTED_VALUE"""),"1-C-2024-153")</f>
        <v>1-C-2024-153</v>
      </c>
      <c r="D446" s="26" t="str">
        <f t="shared" ca="1" si="0"/>
        <v xml:space="preserve"> PUERTO VARAS</v>
      </c>
      <c r="E446" s="10" t="str">
        <f ca="1">IFERROR(__xludf.DUMMYFUNCTION("""COMPUTED_VALUE"""),"Guía Operativa")</f>
        <v>Guía Operativa</v>
      </c>
      <c r="F446" s="10" t="str">
        <f ca="1">IFERROR(__xludf.DUMMYFUNCTION("""COMPUTED_VALUE"""),"MUNICIPALIDAD DE PUERTO VARAS")</f>
        <v>MUNICIPALIDAD DE PUERTO VARAS</v>
      </c>
      <c r="G446" s="71">
        <f ca="1">IFERROR(__xludf.DUMMYFUNCTION("""COMPUTED_VALUE"""),64680415)</f>
        <v>64680415</v>
      </c>
      <c r="H446" s="10" t="str">
        <f ca="1">IFERROR(__xludf.DUMMYFUNCTION("""COMPUTED_VALUE"""),"Resolución")</f>
        <v>Resolución</v>
      </c>
      <c r="I446" s="10" t="str">
        <f ca="1">IFERROR(__xludf.DUMMYFUNCTION("""COMPUTED_VALUE"""),"OBRA")</f>
        <v>OBRA</v>
      </c>
      <c r="J446" s="10" t="str">
        <f ca="1">IFERROR(__xludf.DUMMYFUNCTION("""COMPUTED_VALUE"""),"Cumplir con normativa y reglamentos internos del programa en base a los objetivos.")</f>
        <v>Cumplir con normativa y reglamentos internos del programa en base a los objetivos.</v>
      </c>
      <c r="K446" s="71">
        <f ca="1">IFERROR(__xludf.DUMMYFUNCTION("""COMPUTED_VALUE"""),64680415)</f>
        <v>64680415</v>
      </c>
      <c r="L446" s="72">
        <f ca="1">IFERROR(__xludf.DUMMYFUNCTION("""COMPUTED_VALUE"""),1)</f>
        <v>1</v>
      </c>
      <c r="M446" s="10">
        <f ca="1">IFERROR(__xludf.DUMMYFUNCTION("""COMPUTED_VALUE"""),6695)</f>
        <v>6695</v>
      </c>
      <c r="N446" s="10" t="str">
        <f ca="1">IFERROR(__xludf.DUMMYFUNCTION("""COMPUTED_VALUE"""),"PMU")</f>
        <v>PMU</v>
      </c>
      <c r="O446" s="1"/>
      <c r="P446" s="1"/>
      <c r="Q446" s="1"/>
      <c r="R446" s="1"/>
      <c r="S446" s="1"/>
      <c r="T446" s="1"/>
      <c r="U446" s="1"/>
      <c r="V446" s="1"/>
      <c r="W446" s="1"/>
      <c r="X446" s="1"/>
      <c r="Y446" s="1"/>
      <c r="Z446" s="1"/>
    </row>
    <row r="447" spans="1:26" ht="12.75" customHeight="1">
      <c r="A447" s="1"/>
      <c r="B447" s="10" t="str">
        <f ca="1">IFERROR(__xludf.DUMMYFUNCTION("""COMPUTED_VALUE"""),"HABILITACIÓN DE EQUIPOS DE CLIMATIZACIÓN BIBLIOTECA PÚBLICA COMUNAL PABLO NERUDA, COMUNA DE INDEPENDENCIA")</f>
        <v>HABILITACIÓN DE EQUIPOS DE CLIMATIZACIÓN BIBLIOTECA PÚBLICA COMUNAL PABLO NERUDA, COMUNA DE INDEPENDENCIA</v>
      </c>
      <c r="C447" s="10" t="str">
        <f ca="1">IFERROR(__xludf.DUMMYFUNCTION("""COMPUTED_VALUE"""),"1-C-2022-2051")</f>
        <v>1-C-2022-2051</v>
      </c>
      <c r="D447" s="26" t="str">
        <f t="shared" ca="1" si="0"/>
        <v xml:space="preserve"> INDEPENDENCIA</v>
      </c>
      <c r="E447" s="10" t="str">
        <f ca="1">IFERROR(__xludf.DUMMYFUNCTION("""COMPUTED_VALUE"""),"Guía Operativa")</f>
        <v>Guía Operativa</v>
      </c>
      <c r="F447" s="10" t="str">
        <f ca="1">IFERROR(__xludf.DUMMYFUNCTION("""COMPUTED_VALUE"""),"MUNICIPALIDAD DE INDEPENDENCIA")</f>
        <v>MUNICIPALIDAD DE INDEPENDENCIA</v>
      </c>
      <c r="G447" s="71">
        <f ca="1">IFERROR(__xludf.DUMMYFUNCTION("""COMPUTED_VALUE"""),106643780)</f>
        <v>106643780</v>
      </c>
      <c r="H447" s="10" t="str">
        <f ca="1">IFERROR(__xludf.DUMMYFUNCTION("""COMPUTED_VALUE"""),"Resolución")</f>
        <v>Resolución</v>
      </c>
      <c r="I447" s="10" t="str">
        <f ca="1">IFERROR(__xludf.DUMMYFUNCTION("""COMPUTED_VALUE"""),"OBRA")</f>
        <v>OBRA</v>
      </c>
      <c r="J447" s="10" t="str">
        <f ca="1">IFERROR(__xludf.DUMMYFUNCTION("""COMPUTED_VALUE"""),"Cumplir con normativa y reglamentos internos del programa en base a los objetivos.")</f>
        <v>Cumplir con normativa y reglamentos internos del programa en base a los objetivos.</v>
      </c>
      <c r="K447" s="71">
        <f ca="1">IFERROR(__xludf.DUMMYFUNCTION("""COMPUTED_VALUE"""),106643780)</f>
        <v>106643780</v>
      </c>
      <c r="L447" s="72">
        <f ca="1">IFERROR(__xludf.DUMMYFUNCTION("""COMPUTED_VALUE"""),1)</f>
        <v>1</v>
      </c>
      <c r="M447" s="10">
        <f ca="1">IFERROR(__xludf.DUMMYFUNCTION("""COMPUTED_VALUE"""),9151)</f>
        <v>9151</v>
      </c>
      <c r="N447" s="10" t="str">
        <f ca="1">IFERROR(__xludf.DUMMYFUNCTION("""COMPUTED_VALUE"""),"PMU")</f>
        <v>PMU</v>
      </c>
      <c r="O447" s="1"/>
      <c r="P447" s="1"/>
      <c r="Q447" s="1"/>
      <c r="R447" s="1"/>
      <c r="S447" s="1"/>
      <c r="T447" s="1"/>
      <c r="U447" s="1"/>
      <c r="V447" s="1"/>
      <c r="W447" s="1"/>
      <c r="X447" s="1"/>
      <c r="Y447" s="1"/>
      <c r="Z447" s="1"/>
    </row>
    <row r="448" spans="1:26" ht="12.75" customHeight="1">
      <c r="A448" s="1"/>
      <c r="B448" s="10" t="str">
        <f ca="1">IFERROR(__xludf.DUMMYFUNCTION("""COMPUTED_VALUE"""),"AMPLIACIÓN CENTRO DE CREACIÓN JUVENIL RINCONADA, MAIPÚ")</f>
        <v>AMPLIACIÓN CENTRO DE CREACIÓN JUVENIL RINCONADA, MAIPÚ</v>
      </c>
      <c r="C448" s="10" t="str">
        <f ca="1">IFERROR(__xludf.DUMMYFUNCTION("""COMPUTED_VALUE"""),"1-C-2023-1761")</f>
        <v>1-C-2023-1761</v>
      </c>
      <c r="D448" s="26" t="str">
        <f t="shared" ca="1" si="0"/>
        <v xml:space="preserve"> MAIPÚ</v>
      </c>
      <c r="E448" s="10" t="str">
        <f ca="1">IFERROR(__xludf.DUMMYFUNCTION("""COMPUTED_VALUE"""),"Guía Operativa")</f>
        <v>Guía Operativa</v>
      </c>
      <c r="F448" s="10" t="str">
        <f ca="1">IFERROR(__xludf.DUMMYFUNCTION("""COMPUTED_VALUE"""),"MUNICIPALIDAD DE MAIPÚ")</f>
        <v>MUNICIPALIDAD DE MAIPÚ</v>
      </c>
      <c r="G448" s="71">
        <f ca="1">IFERROR(__xludf.DUMMYFUNCTION("""COMPUTED_VALUE"""),154348235)</f>
        <v>154348235</v>
      </c>
      <c r="H448" s="10" t="str">
        <f ca="1">IFERROR(__xludf.DUMMYFUNCTION("""COMPUTED_VALUE"""),"Resolución")</f>
        <v>Resolución</v>
      </c>
      <c r="I448" s="10" t="str">
        <f ca="1">IFERROR(__xludf.DUMMYFUNCTION("""COMPUTED_VALUE"""),"OBRA")</f>
        <v>OBRA</v>
      </c>
      <c r="J448" s="10" t="str">
        <f ca="1">IFERROR(__xludf.DUMMYFUNCTION("""COMPUTED_VALUE"""),"Cumplir con normativa y reglamentos internos del programa en base a los objetivos.")</f>
        <v>Cumplir con normativa y reglamentos internos del programa en base a los objetivos.</v>
      </c>
      <c r="K448" s="71">
        <f ca="1">IFERROR(__xludf.DUMMYFUNCTION("""COMPUTED_VALUE"""),154348235)</f>
        <v>154348235</v>
      </c>
      <c r="L448" s="72">
        <f ca="1">IFERROR(__xludf.DUMMYFUNCTION("""COMPUTED_VALUE"""),1)</f>
        <v>1</v>
      </c>
      <c r="M448" s="10">
        <f ca="1">IFERROR(__xludf.DUMMYFUNCTION("""COMPUTED_VALUE"""),6691)</f>
        <v>6691</v>
      </c>
      <c r="N448" s="10" t="str">
        <f ca="1">IFERROR(__xludf.DUMMYFUNCTION("""COMPUTED_VALUE"""),"PMU")</f>
        <v>PMU</v>
      </c>
      <c r="O448" s="1"/>
      <c r="P448" s="1"/>
      <c r="Q448" s="1"/>
      <c r="R448" s="1"/>
      <c r="S448" s="1"/>
      <c r="T448" s="1"/>
      <c r="U448" s="1"/>
      <c r="V448" s="1"/>
      <c r="W448" s="1"/>
      <c r="X448" s="1"/>
      <c r="Y448" s="1"/>
      <c r="Z448" s="1"/>
    </row>
    <row r="449" spans="1:26" ht="12.75" customHeight="1">
      <c r="A449" s="1"/>
      <c r="B449" s="10" t="str">
        <f ca="1">IFERROR(__xludf.DUMMYFUNCTION("""COMPUTED_VALUE"""),"INSTALACIÓN MONOPOSTES DE ILUMINACIÓN DIVERSOS SECTORES DE LA COMUNA DE PEDRO AGUIIRE CERDA.")</f>
        <v>INSTALACIÓN MONOPOSTES DE ILUMINACIÓN DIVERSOS SECTORES DE LA COMUNA DE PEDRO AGUIIRE CERDA.</v>
      </c>
      <c r="C449" s="10" t="str">
        <f ca="1">IFERROR(__xludf.DUMMYFUNCTION("""COMPUTED_VALUE"""),"1-C-2024-208")</f>
        <v>1-C-2024-208</v>
      </c>
      <c r="D449" s="26" t="str">
        <f t="shared" ca="1" si="0"/>
        <v xml:space="preserve"> PEDRO AGUIRRE CERDA</v>
      </c>
      <c r="E449" s="10" t="str">
        <f ca="1">IFERROR(__xludf.DUMMYFUNCTION("""COMPUTED_VALUE"""),"Guía Operativa")</f>
        <v>Guía Operativa</v>
      </c>
      <c r="F449" s="10" t="str">
        <f ca="1">IFERROR(__xludf.DUMMYFUNCTION("""COMPUTED_VALUE"""),"MUNICIPALIDAD DE PEDRO AGUIRRE CERDA")</f>
        <v>MUNICIPALIDAD DE PEDRO AGUIRRE CERDA</v>
      </c>
      <c r="G449" s="71">
        <f ca="1">IFERROR(__xludf.DUMMYFUNCTION("""COMPUTED_VALUE"""),83179012)</f>
        <v>83179012</v>
      </c>
      <c r="H449" s="10" t="str">
        <f ca="1">IFERROR(__xludf.DUMMYFUNCTION("""COMPUTED_VALUE"""),"Resolución")</f>
        <v>Resolución</v>
      </c>
      <c r="I449" s="10" t="str">
        <f ca="1">IFERROR(__xludf.DUMMYFUNCTION("""COMPUTED_VALUE"""),"OBRA")</f>
        <v>OBRA</v>
      </c>
      <c r="J449" s="10" t="str">
        <f ca="1">IFERROR(__xludf.DUMMYFUNCTION("""COMPUTED_VALUE"""),"Cumplir con normativa y reglamentos internos del programa en base a los objetivos.")</f>
        <v>Cumplir con normativa y reglamentos internos del programa en base a los objetivos.</v>
      </c>
      <c r="K449" s="71">
        <f ca="1">IFERROR(__xludf.DUMMYFUNCTION("""COMPUTED_VALUE"""),83179012)</f>
        <v>83179012</v>
      </c>
      <c r="L449" s="72">
        <f ca="1">IFERROR(__xludf.DUMMYFUNCTION("""COMPUTED_VALUE"""),1)</f>
        <v>1</v>
      </c>
      <c r="M449" s="10">
        <f ca="1">IFERROR(__xludf.DUMMYFUNCTION("""COMPUTED_VALUE"""),6030)</f>
        <v>6030</v>
      </c>
      <c r="N449" s="10" t="str">
        <f ca="1">IFERROR(__xludf.DUMMYFUNCTION("""COMPUTED_VALUE"""),"PMU")</f>
        <v>PMU</v>
      </c>
      <c r="O449" s="1"/>
      <c r="P449" s="1"/>
      <c r="Q449" s="1"/>
      <c r="R449" s="1"/>
      <c r="S449" s="1"/>
      <c r="T449" s="1"/>
      <c r="U449" s="1"/>
      <c r="V449" s="1"/>
      <c r="W449" s="1"/>
      <c r="X449" s="1"/>
      <c r="Y449" s="1"/>
      <c r="Z449" s="1"/>
    </row>
    <row r="450" spans="1:26" ht="12.75" customHeight="1">
      <c r="A450" s="1"/>
      <c r="B450" s="10" t="str">
        <f ca="1">IFERROR(__xludf.DUMMYFUNCTION("""COMPUTED_VALUE"""),"MEJORAMIENTO MULTICANCHAS ORIENTE Y PONIENTE CALLE ALCADE RAMON JIMENEZ, VILLA BICENTENARIO, COMUNA DE ISLA DE MAIPO.")</f>
        <v>MEJORAMIENTO MULTICANCHAS ORIENTE Y PONIENTE CALLE ALCADE RAMON JIMENEZ, VILLA BICENTENARIO, COMUNA DE ISLA DE MAIPO.</v>
      </c>
      <c r="C450" s="10" t="str">
        <f ca="1">IFERROR(__xludf.DUMMYFUNCTION("""COMPUTED_VALUE"""),"1-B-2024-100")</f>
        <v>1-B-2024-100</v>
      </c>
      <c r="D450" s="26" t="str">
        <f t="shared" ca="1" si="0"/>
        <v xml:space="preserve"> ISLA DE MAIPO</v>
      </c>
      <c r="E450" s="10" t="str">
        <f ca="1">IFERROR(__xludf.DUMMYFUNCTION("""COMPUTED_VALUE"""),"Guía Operativa")</f>
        <v>Guía Operativa</v>
      </c>
      <c r="F450" s="10" t="str">
        <f ca="1">IFERROR(__xludf.DUMMYFUNCTION("""COMPUTED_VALUE"""),"MUNICIPALIDAD DE ISLA DE MAIPO")</f>
        <v>MUNICIPALIDAD DE ISLA DE MAIPO</v>
      </c>
      <c r="G450" s="71">
        <f ca="1">IFERROR(__xludf.DUMMYFUNCTION("""COMPUTED_VALUE"""),130000000)</f>
        <v>130000000</v>
      </c>
      <c r="H450" s="10" t="str">
        <f ca="1">IFERROR(__xludf.DUMMYFUNCTION("""COMPUTED_VALUE"""),"Resolución")</f>
        <v>Resolución</v>
      </c>
      <c r="I450" s="10" t="str">
        <f ca="1">IFERROR(__xludf.DUMMYFUNCTION("""COMPUTED_VALUE"""),"OBRA")</f>
        <v>OBRA</v>
      </c>
      <c r="J450" s="10" t="str">
        <f ca="1">IFERROR(__xludf.DUMMYFUNCTION("""COMPUTED_VALUE"""),"Cumplir con normativa y reglamentos internos del programa en base a los objetivos.")</f>
        <v>Cumplir con normativa y reglamentos internos del programa en base a los objetivos.</v>
      </c>
      <c r="K450" s="71">
        <f ca="1">IFERROR(__xludf.DUMMYFUNCTION("""COMPUTED_VALUE"""),130000000)</f>
        <v>130000000</v>
      </c>
      <c r="L450" s="72">
        <f ca="1">IFERROR(__xludf.DUMMYFUNCTION("""COMPUTED_VALUE"""),1)</f>
        <v>1</v>
      </c>
      <c r="M450" s="10">
        <f ca="1">IFERROR(__xludf.DUMMYFUNCTION("""COMPUTED_VALUE"""),6690)</f>
        <v>6690</v>
      </c>
      <c r="N450" s="10" t="str">
        <f ca="1">IFERROR(__xludf.DUMMYFUNCTION("""COMPUTED_VALUE"""),"PMU")</f>
        <v>PMU</v>
      </c>
      <c r="O450" s="1"/>
      <c r="P450" s="1"/>
      <c r="Q450" s="1"/>
      <c r="R450" s="1"/>
      <c r="S450" s="1"/>
      <c r="T450" s="1"/>
      <c r="U450" s="1"/>
      <c r="V450" s="1"/>
      <c r="W450" s="1"/>
      <c r="X450" s="1"/>
      <c r="Y450" s="1"/>
      <c r="Z450" s="1"/>
    </row>
    <row r="451" spans="1:26" ht="12.75" customHeight="1">
      <c r="A451" s="1"/>
      <c r="B451" s="10" t="str">
        <f ca="1">IFERROR(__xludf.DUMMYFUNCTION("""COMPUTED_VALUE"""),"[SATE] CONSTRUCCION SEDE SOCIAL JJVV10 HUACHOCOPIHUE, VALDIVIA")</f>
        <v>[SATE] CONSTRUCCION SEDE SOCIAL JJVV10 HUACHOCOPIHUE, VALDIVIA</v>
      </c>
      <c r="C451" s="10" t="str">
        <f ca="1">IFERROR(__xludf.DUMMYFUNCTION("""COMPUTED_VALUE"""),"1-C-2023-2015")</f>
        <v>1-C-2023-2015</v>
      </c>
      <c r="D451" s="26" t="str">
        <f t="shared" ca="1" si="0"/>
        <v xml:space="preserve"> VALDIVIA</v>
      </c>
      <c r="E451" s="10" t="str">
        <f ca="1">IFERROR(__xludf.DUMMYFUNCTION("""COMPUTED_VALUE"""),"Guía Operativa")</f>
        <v>Guía Operativa</v>
      </c>
      <c r="F451" s="10" t="str">
        <f ca="1">IFERROR(__xludf.DUMMYFUNCTION("""COMPUTED_VALUE"""),"MUNICIPALIDAD DE VALDIVIA")</f>
        <v>MUNICIPALIDAD DE VALDIVIA</v>
      </c>
      <c r="G451" s="71">
        <f ca="1">IFERROR(__xludf.DUMMYFUNCTION("""COMPUTED_VALUE"""),101804832)</f>
        <v>101804832</v>
      </c>
      <c r="H451" s="10" t="str">
        <f ca="1">IFERROR(__xludf.DUMMYFUNCTION("""COMPUTED_VALUE"""),"Resolución")</f>
        <v>Resolución</v>
      </c>
      <c r="I451" s="10" t="str">
        <f ca="1">IFERROR(__xludf.DUMMYFUNCTION("""COMPUTED_VALUE"""),"OBRA")</f>
        <v>OBRA</v>
      </c>
      <c r="J451" s="10" t="str">
        <f ca="1">IFERROR(__xludf.DUMMYFUNCTION("""COMPUTED_VALUE"""),"Cumplir con normativa y reglamentos internos del programa en base a los objetivos.")</f>
        <v>Cumplir con normativa y reglamentos internos del programa en base a los objetivos.</v>
      </c>
      <c r="K451" s="71">
        <f ca="1">IFERROR(__xludf.DUMMYFUNCTION("""COMPUTED_VALUE"""),101804832)</f>
        <v>101804832</v>
      </c>
      <c r="L451" s="72">
        <f ca="1">IFERROR(__xludf.DUMMYFUNCTION("""COMPUTED_VALUE"""),1)</f>
        <v>1</v>
      </c>
      <c r="M451" s="10">
        <f ca="1">IFERROR(__xludf.DUMMYFUNCTION("""COMPUTED_VALUE"""),6497)</f>
        <v>6497</v>
      </c>
      <c r="N451" s="10" t="str">
        <f ca="1">IFERROR(__xludf.DUMMYFUNCTION("""COMPUTED_VALUE"""),"PMU")</f>
        <v>PMU</v>
      </c>
      <c r="O451" s="1"/>
      <c r="P451" s="1"/>
      <c r="Q451" s="1"/>
      <c r="R451" s="1"/>
      <c r="S451" s="1"/>
      <c r="T451" s="1"/>
      <c r="U451" s="1"/>
      <c r="V451" s="1"/>
      <c r="W451" s="1"/>
      <c r="X451" s="1"/>
      <c r="Y451" s="1"/>
      <c r="Z451" s="1"/>
    </row>
    <row r="452" spans="1:26" ht="12.75" customHeight="1">
      <c r="A452" s="1"/>
      <c r="B452" s="10" t="str">
        <f ca="1">IFERROR(__xludf.DUMMYFUNCTION("""COMPUTED_VALUE"""),"CONSTRUCCIÓN CENTRO COMUNITARIO PUENTE ÑUBLE, SAN NICOLÁS")</f>
        <v>CONSTRUCCIÓN CENTRO COMUNITARIO PUENTE ÑUBLE, SAN NICOLÁS</v>
      </c>
      <c r="C452" s="10" t="str">
        <f ca="1">IFERROR(__xludf.DUMMYFUNCTION("""COMPUTED_VALUE"""),"1-C-2023-2449")</f>
        <v>1-C-2023-2449</v>
      </c>
      <c r="D452" s="26" t="str">
        <f t="shared" ca="1" si="0"/>
        <v xml:space="preserve"> SAN NICOLÁS</v>
      </c>
      <c r="E452" s="10" t="str">
        <f ca="1">IFERROR(__xludf.DUMMYFUNCTION("""COMPUTED_VALUE"""),"Guía Operativa")</f>
        <v>Guía Operativa</v>
      </c>
      <c r="F452" s="10" t="str">
        <f ca="1">IFERROR(__xludf.DUMMYFUNCTION("""COMPUTED_VALUE"""),"MUNICIPALIDAD DE SAN NICOLÁS")</f>
        <v>MUNICIPALIDAD DE SAN NICOLÁS</v>
      </c>
      <c r="G452" s="71">
        <f ca="1">IFERROR(__xludf.DUMMYFUNCTION("""COMPUTED_VALUE"""),161114221)</f>
        <v>161114221</v>
      </c>
      <c r="H452" s="10" t="str">
        <f ca="1">IFERROR(__xludf.DUMMYFUNCTION("""COMPUTED_VALUE"""),"Resolución")</f>
        <v>Resolución</v>
      </c>
      <c r="I452" s="10" t="str">
        <f ca="1">IFERROR(__xludf.DUMMYFUNCTION("""COMPUTED_VALUE"""),"OBRA")</f>
        <v>OBRA</v>
      </c>
      <c r="J452" s="10" t="str">
        <f ca="1">IFERROR(__xludf.DUMMYFUNCTION("""COMPUTED_VALUE"""),"Cumplir con normativa y reglamentos internos del programa en base a los objetivos.")</f>
        <v>Cumplir con normativa y reglamentos internos del programa en base a los objetivos.</v>
      </c>
      <c r="K452" s="71">
        <f ca="1">IFERROR(__xludf.DUMMYFUNCTION("""COMPUTED_VALUE"""),161114221)</f>
        <v>161114221</v>
      </c>
      <c r="L452" s="72">
        <f ca="1">IFERROR(__xludf.DUMMYFUNCTION("""COMPUTED_VALUE"""),1)</f>
        <v>1</v>
      </c>
      <c r="M452" s="10">
        <f ca="1">IFERROR(__xludf.DUMMYFUNCTION("""COMPUTED_VALUE"""),6692)</f>
        <v>6692</v>
      </c>
      <c r="N452" s="10" t="str">
        <f ca="1">IFERROR(__xludf.DUMMYFUNCTION("""COMPUTED_VALUE"""),"PMU")</f>
        <v>PMU</v>
      </c>
      <c r="O452" s="1"/>
      <c r="P452" s="1"/>
      <c r="Q452" s="1"/>
      <c r="R452" s="1"/>
      <c r="S452" s="1"/>
      <c r="T452" s="1"/>
      <c r="U452" s="1"/>
      <c r="V452" s="1"/>
      <c r="W452" s="1"/>
      <c r="X452" s="1"/>
      <c r="Y452" s="1"/>
      <c r="Z452" s="1"/>
    </row>
    <row r="453" spans="1:26" ht="12.75" customHeight="1">
      <c r="A453" s="1"/>
      <c r="B453" s="10" t="str">
        <f ca="1">IFERROR(__xludf.DUMMYFUNCTION("""COMPUTED_VALUE"""),"[SATE] AMPLIACIÓN ALUMBRADO PÚBLICO SUYANA")</f>
        <v>[SATE] AMPLIACIÓN ALUMBRADO PÚBLICO SUYANA</v>
      </c>
      <c r="C453" s="10" t="str">
        <f ca="1">IFERROR(__xludf.DUMMYFUNCTION("""COMPUTED_VALUE"""),"1-C-2023-1080")</f>
        <v>1-C-2023-1080</v>
      </c>
      <c r="D453" s="26" t="str">
        <f t="shared" ca="1" si="0"/>
        <v xml:space="preserve"> PICA</v>
      </c>
      <c r="E453" s="10" t="str">
        <f ca="1">IFERROR(__xludf.DUMMYFUNCTION("""COMPUTED_VALUE"""),"Guía Operativa")</f>
        <v>Guía Operativa</v>
      </c>
      <c r="F453" s="10" t="str">
        <f ca="1">IFERROR(__xludf.DUMMYFUNCTION("""COMPUTED_VALUE"""),"MUNICIPALIDAD DE PICA")</f>
        <v>MUNICIPALIDAD DE PICA</v>
      </c>
      <c r="G453" s="71">
        <f ca="1">IFERROR(__xludf.DUMMYFUNCTION("""COMPUTED_VALUE"""),104489345)</f>
        <v>104489345</v>
      </c>
      <c r="H453" s="10" t="str">
        <f ca="1">IFERROR(__xludf.DUMMYFUNCTION("""COMPUTED_VALUE"""),"Resolución")</f>
        <v>Resolución</v>
      </c>
      <c r="I453" s="10" t="str">
        <f ca="1">IFERROR(__xludf.DUMMYFUNCTION("""COMPUTED_VALUE"""),"OBRA")</f>
        <v>OBRA</v>
      </c>
      <c r="J453" s="10" t="str">
        <f ca="1">IFERROR(__xludf.DUMMYFUNCTION("""COMPUTED_VALUE"""),"Cumplir con normativa y reglamentos internos del programa en base a los objetivos.")</f>
        <v>Cumplir con normativa y reglamentos internos del programa en base a los objetivos.</v>
      </c>
      <c r="K453" s="71">
        <f ca="1">IFERROR(__xludf.DUMMYFUNCTION("""COMPUTED_VALUE"""),104489345)</f>
        <v>104489345</v>
      </c>
      <c r="L453" s="72">
        <f ca="1">IFERROR(__xludf.DUMMYFUNCTION("""COMPUTED_VALUE"""),1)</f>
        <v>1</v>
      </c>
      <c r="M453" s="10">
        <f ca="1">IFERROR(__xludf.DUMMYFUNCTION("""COMPUTED_VALUE"""),7782)</f>
        <v>7782</v>
      </c>
      <c r="N453" s="10" t="str">
        <f ca="1">IFERROR(__xludf.DUMMYFUNCTION("""COMPUTED_VALUE"""),"PMU")</f>
        <v>PMU</v>
      </c>
      <c r="O453" s="1"/>
      <c r="P453" s="1"/>
      <c r="Q453" s="1"/>
      <c r="R453" s="1"/>
      <c r="S453" s="1"/>
      <c r="T453" s="1"/>
      <c r="U453" s="1"/>
      <c r="V453" s="1"/>
      <c r="W453" s="1"/>
      <c r="X453" s="1"/>
      <c r="Y453" s="1"/>
      <c r="Z453" s="1"/>
    </row>
    <row r="454" spans="1:26" ht="12.75" customHeight="1">
      <c r="A454" s="1"/>
      <c r="B454" s="10" t="str">
        <f ca="1">IFERROR(__xludf.DUMMYFUNCTION("""COMPUTED_VALUE"""),"MEJORAMIENTO PLAZA LOS ALGARROBOS I, POZO ALMONTE")</f>
        <v>MEJORAMIENTO PLAZA LOS ALGARROBOS I, POZO ALMONTE</v>
      </c>
      <c r="C454" s="10" t="str">
        <f ca="1">IFERROR(__xludf.DUMMYFUNCTION("""COMPUTED_VALUE"""),"1-C-2023-1163")</f>
        <v>1-C-2023-1163</v>
      </c>
      <c r="D454" s="26" t="str">
        <f t="shared" ca="1" si="0"/>
        <v xml:space="preserve"> POZO ALMONTE</v>
      </c>
      <c r="E454" s="10" t="str">
        <f ca="1">IFERROR(__xludf.DUMMYFUNCTION("""COMPUTED_VALUE"""),"Guía Operativa")</f>
        <v>Guía Operativa</v>
      </c>
      <c r="F454" s="10" t="str">
        <f ca="1">IFERROR(__xludf.DUMMYFUNCTION("""COMPUTED_VALUE"""),"MUNICIPALIDAD DE POZO ALMONTE")</f>
        <v>MUNICIPALIDAD DE POZO ALMONTE</v>
      </c>
      <c r="G454" s="71">
        <f ca="1">IFERROR(__xludf.DUMMYFUNCTION("""COMPUTED_VALUE"""),154432256)</f>
        <v>154432256</v>
      </c>
      <c r="H454" s="10" t="str">
        <f ca="1">IFERROR(__xludf.DUMMYFUNCTION("""COMPUTED_VALUE"""),"Resolución")</f>
        <v>Resolución</v>
      </c>
      <c r="I454" s="10" t="str">
        <f ca="1">IFERROR(__xludf.DUMMYFUNCTION("""COMPUTED_VALUE"""),"OBRA")</f>
        <v>OBRA</v>
      </c>
      <c r="J454" s="10" t="str">
        <f ca="1">IFERROR(__xludf.DUMMYFUNCTION("""COMPUTED_VALUE"""),"Cumplir con normativa y reglamentos internos del programa en base a los objetivos.")</f>
        <v>Cumplir con normativa y reglamentos internos del programa en base a los objetivos.</v>
      </c>
      <c r="K454" s="71">
        <f ca="1">IFERROR(__xludf.DUMMYFUNCTION("""COMPUTED_VALUE"""),154432256)</f>
        <v>154432256</v>
      </c>
      <c r="L454" s="72">
        <f ca="1">IFERROR(__xludf.DUMMYFUNCTION("""COMPUTED_VALUE"""),1)</f>
        <v>1</v>
      </c>
      <c r="M454" s="10">
        <f ca="1">IFERROR(__xludf.DUMMYFUNCTION("""COMPUTED_VALUE"""),7677)</f>
        <v>7677</v>
      </c>
      <c r="N454" s="10" t="str">
        <f ca="1">IFERROR(__xludf.DUMMYFUNCTION("""COMPUTED_VALUE"""),"PMU")</f>
        <v>PMU</v>
      </c>
      <c r="O454" s="1"/>
      <c r="P454" s="1"/>
      <c r="Q454" s="1"/>
      <c r="R454" s="1"/>
      <c r="S454" s="1"/>
      <c r="T454" s="1"/>
      <c r="U454" s="1"/>
      <c r="V454" s="1"/>
      <c r="W454" s="1"/>
      <c r="X454" s="1"/>
      <c r="Y454" s="1"/>
      <c r="Z454" s="1"/>
    </row>
    <row r="455" spans="1:26" ht="12.75" customHeight="1">
      <c r="A455" s="1"/>
      <c r="B455" s="10" t="str">
        <f ca="1">IFERROR(__xludf.DUMMYFUNCTION("""COMPUTED_VALUE"""),"AMPLIACION SEDE LOS TAMARUGOS, POZO ALMONTE")</f>
        <v>AMPLIACION SEDE LOS TAMARUGOS, POZO ALMONTE</v>
      </c>
      <c r="C455" s="10" t="str">
        <f ca="1">IFERROR(__xludf.DUMMYFUNCTION("""COMPUTED_VALUE"""),"1-C-2023-1583")</f>
        <v>1-C-2023-1583</v>
      </c>
      <c r="D455" s="26" t="str">
        <f t="shared" ca="1" si="0"/>
        <v xml:space="preserve"> POZO ALMONTE</v>
      </c>
      <c r="E455" s="10" t="str">
        <f ca="1">IFERROR(__xludf.DUMMYFUNCTION("""COMPUTED_VALUE"""),"Guía Operativa")</f>
        <v>Guía Operativa</v>
      </c>
      <c r="F455" s="10" t="str">
        <f ca="1">IFERROR(__xludf.DUMMYFUNCTION("""COMPUTED_VALUE"""),"MUNICIPALIDAD DE POZO ALMONTE")</f>
        <v>MUNICIPALIDAD DE POZO ALMONTE</v>
      </c>
      <c r="G455" s="71">
        <f ca="1">IFERROR(__xludf.DUMMYFUNCTION("""COMPUTED_VALUE"""),41257901)</f>
        <v>41257901</v>
      </c>
      <c r="H455" s="10" t="str">
        <f ca="1">IFERROR(__xludf.DUMMYFUNCTION("""COMPUTED_VALUE"""),"Resolución")</f>
        <v>Resolución</v>
      </c>
      <c r="I455" s="10" t="str">
        <f ca="1">IFERROR(__xludf.DUMMYFUNCTION("""COMPUTED_VALUE"""),"OBRA")</f>
        <v>OBRA</v>
      </c>
      <c r="J455" s="10" t="str">
        <f ca="1">IFERROR(__xludf.DUMMYFUNCTION("""COMPUTED_VALUE"""),"Cumplir con normativa y reglamentos internos del programa en base a los objetivos.")</f>
        <v>Cumplir con normativa y reglamentos internos del programa en base a los objetivos.</v>
      </c>
      <c r="K455" s="71">
        <f ca="1">IFERROR(__xludf.DUMMYFUNCTION("""COMPUTED_VALUE"""),41257901)</f>
        <v>41257901</v>
      </c>
      <c r="L455" s="72">
        <f ca="1">IFERROR(__xludf.DUMMYFUNCTION("""COMPUTED_VALUE"""),1)</f>
        <v>1</v>
      </c>
      <c r="M455" s="10">
        <f ca="1">IFERROR(__xludf.DUMMYFUNCTION("""COMPUTED_VALUE"""),7677)</f>
        <v>7677</v>
      </c>
      <c r="N455" s="10" t="str">
        <f ca="1">IFERROR(__xludf.DUMMYFUNCTION("""COMPUTED_VALUE"""),"PMU")</f>
        <v>PMU</v>
      </c>
      <c r="O455" s="1"/>
      <c r="P455" s="1"/>
      <c r="Q455" s="1"/>
      <c r="R455" s="1"/>
      <c r="S455" s="1"/>
      <c r="T455" s="1"/>
      <c r="U455" s="1"/>
      <c r="V455" s="1"/>
      <c r="W455" s="1"/>
      <c r="X455" s="1"/>
      <c r="Y455" s="1"/>
      <c r="Z455" s="1"/>
    </row>
    <row r="456" spans="1:26" ht="12.75" customHeight="1">
      <c r="A456" s="1"/>
      <c r="B456" s="10" t="str">
        <f ca="1">IFERROR(__xludf.DUMMYFUNCTION("""COMPUTED_VALUE"""),"CONSTRUCCION PLAZA SOL NACIENTE II, POZO ALMONTE")</f>
        <v>CONSTRUCCION PLAZA SOL NACIENTE II, POZO ALMONTE</v>
      </c>
      <c r="C456" s="10" t="str">
        <f ca="1">IFERROR(__xludf.DUMMYFUNCTION("""COMPUTED_VALUE"""),"1-C-2023-2128")</f>
        <v>1-C-2023-2128</v>
      </c>
      <c r="D456" s="26" t="str">
        <f t="shared" ca="1" si="0"/>
        <v xml:space="preserve"> POZO ALMONTE</v>
      </c>
      <c r="E456" s="10" t="str">
        <f ca="1">IFERROR(__xludf.DUMMYFUNCTION("""COMPUTED_VALUE"""),"Guía Operativa")</f>
        <v>Guía Operativa</v>
      </c>
      <c r="F456" s="10" t="str">
        <f ca="1">IFERROR(__xludf.DUMMYFUNCTION("""COMPUTED_VALUE"""),"MUNICIPALIDAD DE POZO ALMONTE")</f>
        <v>MUNICIPALIDAD DE POZO ALMONTE</v>
      </c>
      <c r="G456" s="71">
        <f ca="1">IFERROR(__xludf.DUMMYFUNCTION("""COMPUTED_VALUE"""),154412676)</f>
        <v>154412676</v>
      </c>
      <c r="H456" s="10" t="str">
        <f ca="1">IFERROR(__xludf.DUMMYFUNCTION("""COMPUTED_VALUE"""),"Resolución")</f>
        <v>Resolución</v>
      </c>
      <c r="I456" s="10" t="str">
        <f ca="1">IFERROR(__xludf.DUMMYFUNCTION("""COMPUTED_VALUE"""),"OBRA")</f>
        <v>OBRA</v>
      </c>
      <c r="J456" s="10" t="str">
        <f ca="1">IFERROR(__xludf.DUMMYFUNCTION("""COMPUTED_VALUE"""),"Cumplir con normativa y reglamentos internos del programa en base a los objetivos.")</f>
        <v>Cumplir con normativa y reglamentos internos del programa en base a los objetivos.</v>
      </c>
      <c r="K456" s="71">
        <f ca="1">IFERROR(__xludf.DUMMYFUNCTION("""COMPUTED_VALUE"""),154412676)</f>
        <v>154412676</v>
      </c>
      <c r="L456" s="72">
        <f ca="1">IFERROR(__xludf.DUMMYFUNCTION("""COMPUTED_VALUE"""),1)</f>
        <v>1</v>
      </c>
      <c r="M456" s="10">
        <f ca="1">IFERROR(__xludf.DUMMYFUNCTION("""COMPUTED_VALUE"""),7677)</f>
        <v>7677</v>
      </c>
      <c r="N456" s="10" t="str">
        <f ca="1">IFERROR(__xludf.DUMMYFUNCTION("""COMPUTED_VALUE"""),"PMU")</f>
        <v>PMU</v>
      </c>
      <c r="O456" s="1"/>
      <c r="P456" s="1"/>
      <c r="Q456" s="1"/>
      <c r="R456" s="1"/>
      <c r="S456" s="1"/>
      <c r="T456" s="1"/>
      <c r="U456" s="1"/>
      <c r="V456" s="1"/>
      <c r="W456" s="1"/>
      <c r="X456" s="1"/>
      <c r="Y456" s="1"/>
      <c r="Z456" s="1"/>
    </row>
    <row r="457" spans="1:26" ht="12.75" customHeight="1">
      <c r="A457" s="1"/>
      <c r="B457" s="10" t="str">
        <f ca="1">IFERROR(__xludf.DUMMYFUNCTION("""COMPUTED_VALUE"""),"MEJORAMIENTO SEDE SOCIAL J.V. N° 11 LAS QUINTAS, POZO ALMONTE.")</f>
        <v>MEJORAMIENTO SEDE SOCIAL J.V. N° 11 LAS QUINTAS, POZO ALMONTE.</v>
      </c>
      <c r="C457" s="10" t="str">
        <f ca="1">IFERROR(__xludf.DUMMYFUNCTION("""COMPUTED_VALUE"""),"1-C-2024-68")</f>
        <v>1-C-2024-68</v>
      </c>
      <c r="D457" s="26" t="str">
        <f t="shared" ca="1" si="0"/>
        <v xml:space="preserve"> POZO ALMONTE</v>
      </c>
      <c r="E457" s="10" t="str">
        <f ca="1">IFERROR(__xludf.DUMMYFUNCTION("""COMPUTED_VALUE"""),"Guía Operativa")</f>
        <v>Guía Operativa</v>
      </c>
      <c r="F457" s="10" t="str">
        <f ca="1">IFERROR(__xludf.DUMMYFUNCTION("""COMPUTED_VALUE"""),"MUNICIPALIDAD DE POZO ALMONTE")</f>
        <v>MUNICIPALIDAD DE POZO ALMONTE</v>
      </c>
      <c r="G457" s="71">
        <f ca="1">IFERROR(__xludf.DUMMYFUNCTION("""COMPUTED_VALUE"""),156829772)</f>
        <v>156829772</v>
      </c>
      <c r="H457" s="10" t="str">
        <f ca="1">IFERROR(__xludf.DUMMYFUNCTION("""COMPUTED_VALUE"""),"Resolución")</f>
        <v>Resolución</v>
      </c>
      <c r="I457" s="10" t="str">
        <f ca="1">IFERROR(__xludf.DUMMYFUNCTION("""COMPUTED_VALUE"""),"OBRA")</f>
        <v>OBRA</v>
      </c>
      <c r="J457" s="10" t="str">
        <f ca="1">IFERROR(__xludf.DUMMYFUNCTION("""COMPUTED_VALUE"""),"Cumplir con normativa y reglamentos internos del programa en base a los objetivos.")</f>
        <v>Cumplir con normativa y reglamentos internos del programa en base a los objetivos.</v>
      </c>
      <c r="K457" s="71">
        <f ca="1">IFERROR(__xludf.DUMMYFUNCTION("""COMPUTED_VALUE"""),156829772)</f>
        <v>156829772</v>
      </c>
      <c r="L457" s="72">
        <f ca="1">IFERROR(__xludf.DUMMYFUNCTION("""COMPUTED_VALUE"""),1)</f>
        <v>1</v>
      </c>
      <c r="M457" s="10">
        <f ca="1">IFERROR(__xludf.DUMMYFUNCTION("""COMPUTED_VALUE"""),7701)</f>
        <v>7701</v>
      </c>
      <c r="N457" s="10" t="str">
        <f ca="1">IFERROR(__xludf.DUMMYFUNCTION("""COMPUTED_VALUE"""),"PMU")</f>
        <v>PMU</v>
      </c>
      <c r="O457" s="1"/>
      <c r="P457" s="1"/>
      <c r="Q457" s="1"/>
      <c r="R457" s="1"/>
      <c r="S457" s="1"/>
      <c r="T457" s="1"/>
      <c r="U457" s="1"/>
      <c r="V457" s="1"/>
      <c r="W457" s="1"/>
      <c r="X457" s="1"/>
      <c r="Y457" s="1"/>
      <c r="Z457" s="1"/>
    </row>
    <row r="458" spans="1:26" ht="12.75" customHeight="1">
      <c r="A458" s="1"/>
      <c r="B458" s="10" t="str">
        <f ca="1">IFERROR(__xludf.DUMMYFUNCTION("""COMPUTED_VALUE"""),"MEJORAMIENTO SEDE SOCIAL JJ.VV. N° 12 LAS DUNAS, POZO ALMONTE..")</f>
        <v>MEJORAMIENTO SEDE SOCIAL JJ.VV. N° 12 LAS DUNAS, POZO ALMONTE..</v>
      </c>
      <c r="C458" s="10" t="str">
        <f ca="1">IFERROR(__xludf.DUMMYFUNCTION("""COMPUTED_VALUE"""),"1-C-2024-148")</f>
        <v>1-C-2024-148</v>
      </c>
      <c r="D458" s="26" t="str">
        <f t="shared" ca="1" si="0"/>
        <v xml:space="preserve"> POZO ALMONTE</v>
      </c>
      <c r="E458" s="10" t="str">
        <f ca="1">IFERROR(__xludf.DUMMYFUNCTION("""COMPUTED_VALUE"""),"Guía Operativa")</f>
        <v>Guía Operativa</v>
      </c>
      <c r="F458" s="10" t="str">
        <f ca="1">IFERROR(__xludf.DUMMYFUNCTION("""COMPUTED_VALUE"""),"MUNICIPALIDAD DE POZO ALMONTE")</f>
        <v>MUNICIPALIDAD DE POZO ALMONTE</v>
      </c>
      <c r="G458" s="71">
        <f ca="1">IFERROR(__xludf.DUMMYFUNCTION("""COMPUTED_VALUE"""),146195398)</f>
        <v>146195398</v>
      </c>
      <c r="H458" s="10" t="str">
        <f ca="1">IFERROR(__xludf.DUMMYFUNCTION("""COMPUTED_VALUE"""),"Resolución")</f>
        <v>Resolución</v>
      </c>
      <c r="I458" s="10" t="str">
        <f ca="1">IFERROR(__xludf.DUMMYFUNCTION("""COMPUTED_VALUE"""),"OBRA")</f>
        <v>OBRA</v>
      </c>
      <c r="J458" s="10" t="str">
        <f ca="1">IFERROR(__xludf.DUMMYFUNCTION("""COMPUTED_VALUE"""),"Cumplir con normativa y reglamentos internos del programa en base a los objetivos.")</f>
        <v>Cumplir con normativa y reglamentos internos del programa en base a los objetivos.</v>
      </c>
      <c r="K458" s="71">
        <f ca="1">IFERROR(__xludf.DUMMYFUNCTION("""COMPUTED_VALUE"""),146195398)</f>
        <v>146195398</v>
      </c>
      <c r="L458" s="72">
        <f ca="1">IFERROR(__xludf.DUMMYFUNCTION("""COMPUTED_VALUE"""),1)</f>
        <v>1</v>
      </c>
      <c r="M458" s="10">
        <f ca="1">IFERROR(__xludf.DUMMYFUNCTION("""COMPUTED_VALUE"""),7702)</f>
        <v>7702</v>
      </c>
      <c r="N458" s="10" t="str">
        <f ca="1">IFERROR(__xludf.DUMMYFUNCTION("""COMPUTED_VALUE"""),"PMU")</f>
        <v>PMU</v>
      </c>
      <c r="O458" s="1"/>
      <c r="P458" s="1"/>
      <c r="Q458" s="1"/>
      <c r="R458" s="1"/>
      <c r="S458" s="1"/>
      <c r="T458" s="1"/>
      <c r="U458" s="1"/>
      <c r="V458" s="1"/>
      <c r="W458" s="1"/>
      <c r="X458" s="1"/>
      <c r="Y458" s="1"/>
      <c r="Z458" s="1"/>
    </row>
    <row r="459" spans="1:26" ht="12.75" customHeight="1">
      <c r="A459" s="1"/>
      <c r="B459" s="10" t="str">
        <f ca="1">IFERROR(__xludf.DUMMYFUNCTION("""COMPUTED_VALUE"""),"REPOSICION VEREDAS AVDA. JUAN MARTINEZ ENTRE CALLE A. PRAT Y CALLE CHAÑARAL, DIEGO DE ALMAGRO")</f>
        <v>REPOSICION VEREDAS AVDA. JUAN MARTINEZ ENTRE CALLE A. PRAT Y CALLE CHAÑARAL, DIEGO DE ALMAGRO</v>
      </c>
      <c r="C459" s="10" t="str">
        <f ca="1">IFERROR(__xludf.DUMMYFUNCTION("""COMPUTED_VALUE"""),"1-C-2023-1023")</f>
        <v>1-C-2023-1023</v>
      </c>
      <c r="D459" s="26" t="str">
        <f t="shared" ca="1" si="0"/>
        <v xml:space="preserve"> DIEGO DE ALMAGRO</v>
      </c>
      <c r="E459" s="10" t="str">
        <f ca="1">IFERROR(__xludf.DUMMYFUNCTION("""COMPUTED_VALUE"""),"Guía Operativa")</f>
        <v>Guía Operativa</v>
      </c>
      <c r="F459" s="10" t="str">
        <f ca="1">IFERROR(__xludf.DUMMYFUNCTION("""COMPUTED_VALUE"""),"MUNICIPALIDAD DE DIEGO DE ALMAGRO")</f>
        <v>MUNICIPALIDAD DE DIEGO DE ALMAGRO</v>
      </c>
      <c r="G459" s="71">
        <f ca="1">IFERROR(__xludf.DUMMYFUNCTION("""COMPUTED_VALUE"""),99678671)</f>
        <v>99678671</v>
      </c>
      <c r="H459" s="10" t="str">
        <f ca="1">IFERROR(__xludf.DUMMYFUNCTION("""COMPUTED_VALUE"""),"Resolución")</f>
        <v>Resolución</v>
      </c>
      <c r="I459" s="10" t="str">
        <f ca="1">IFERROR(__xludf.DUMMYFUNCTION("""COMPUTED_VALUE"""),"OBRA")</f>
        <v>OBRA</v>
      </c>
      <c r="J459" s="10" t="str">
        <f ca="1">IFERROR(__xludf.DUMMYFUNCTION("""COMPUTED_VALUE"""),"Cumplir con normativa y reglamentos internos del programa en base a los objetivos.")</f>
        <v>Cumplir con normativa y reglamentos internos del programa en base a los objetivos.</v>
      </c>
      <c r="K459" s="71">
        <f ca="1">IFERROR(__xludf.DUMMYFUNCTION("""COMPUTED_VALUE"""),99678671)</f>
        <v>99678671</v>
      </c>
      <c r="L459" s="72">
        <f ca="1">IFERROR(__xludf.DUMMYFUNCTION("""COMPUTED_VALUE"""),1)</f>
        <v>1</v>
      </c>
      <c r="M459" s="10">
        <f ca="1">IFERROR(__xludf.DUMMYFUNCTION("""COMPUTED_VALUE"""),7472)</f>
        <v>7472</v>
      </c>
      <c r="N459" s="10" t="str">
        <f ca="1">IFERROR(__xludf.DUMMYFUNCTION("""COMPUTED_VALUE"""),"PMU")</f>
        <v>PMU</v>
      </c>
      <c r="O459" s="1"/>
      <c r="P459" s="1"/>
      <c r="Q459" s="1"/>
      <c r="R459" s="1"/>
      <c r="S459" s="1"/>
      <c r="T459" s="1"/>
      <c r="U459" s="1"/>
      <c r="V459" s="1"/>
      <c r="W459" s="1"/>
      <c r="X459" s="1"/>
      <c r="Y459" s="1"/>
      <c r="Z459" s="1"/>
    </row>
    <row r="460" spans="1:26" ht="12.75" customHeight="1">
      <c r="A460" s="1"/>
      <c r="B460" s="10" t="str">
        <f ca="1">IFERROR(__xludf.DUMMYFUNCTION("""COMPUTED_VALUE"""),"HABILITACION CEMENTERIO MUNICIPAL MONTE PATRIA")</f>
        <v>HABILITACION CEMENTERIO MUNICIPAL MONTE PATRIA</v>
      </c>
      <c r="C460" s="10" t="str">
        <f ca="1">IFERROR(__xludf.DUMMYFUNCTION("""COMPUTED_VALUE"""),"1-C-2023-3015")</f>
        <v>1-C-2023-3015</v>
      </c>
      <c r="D460" s="26" t="str">
        <f t="shared" ca="1" si="0"/>
        <v xml:space="preserve"> MONTE PATRIA</v>
      </c>
      <c r="E460" s="10" t="str">
        <f ca="1">IFERROR(__xludf.DUMMYFUNCTION("""COMPUTED_VALUE"""),"Guía Operativa")</f>
        <v>Guía Operativa</v>
      </c>
      <c r="F460" s="10" t="str">
        <f ca="1">IFERROR(__xludf.DUMMYFUNCTION("""COMPUTED_VALUE"""),"MUNICIPALIDAD DE MONTE PATRIA")</f>
        <v>MUNICIPALIDAD DE MONTE PATRIA</v>
      </c>
      <c r="G460" s="71">
        <f ca="1">IFERROR(__xludf.DUMMYFUNCTION("""COMPUTED_VALUE"""),626955644)</f>
        <v>626955644</v>
      </c>
      <c r="H460" s="10" t="str">
        <f ca="1">IFERROR(__xludf.DUMMYFUNCTION("""COMPUTED_VALUE"""),"Resolución")</f>
        <v>Resolución</v>
      </c>
      <c r="I460" s="10" t="str">
        <f ca="1">IFERROR(__xludf.DUMMYFUNCTION("""COMPUTED_VALUE"""),"OBRA")</f>
        <v>OBRA</v>
      </c>
      <c r="J460" s="10" t="str">
        <f ca="1">IFERROR(__xludf.DUMMYFUNCTION("""COMPUTED_VALUE"""),"Cumplir con normativa y reglamentos internos del programa en base a los objetivos.")</f>
        <v>Cumplir con normativa y reglamentos internos del programa en base a los objetivos.</v>
      </c>
      <c r="K460" s="71">
        <f ca="1">IFERROR(__xludf.DUMMYFUNCTION("""COMPUTED_VALUE"""),62695564)</f>
        <v>62695564</v>
      </c>
      <c r="L460" s="72">
        <f ca="1">IFERROR(__xludf.DUMMYFUNCTION("""COMPUTED_VALUE"""),0.0999999993619963)</f>
        <v>9.99999993619963E-2</v>
      </c>
      <c r="M460" s="10">
        <f ca="1">IFERROR(__xludf.DUMMYFUNCTION("""COMPUTED_VALUE"""),21)</f>
        <v>21</v>
      </c>
      <c r="N460" s="10" t="str">
        <f ca="1">IFERROR(__xludf.DUMMYFUNCTION("""COMPUTED_VALUE"""),"PMU")</f>
        <v>PMU</v>
      </c>
      <c r="O460" s="1"/>
      <c r="P460" s="1"/>
      <c r="Q460" s="1"/>
      <c r="R460" s="1"/>
      <c r="S460" s="1"/>
      <c r="T460" s="1"/>
      <c r="U460" s="1"/>
      <c r="V460" s="1"/>
      <c r="W460" s="1"/>
      <c r="X460" s="1"/>
      <c r="Y460" s="1"/>
      <c r="Z460" s="1"/>
    </row>
    <row r="461" spans="1:26" ht="12.75" customHeight="1">
      <c r="A461" s="1"/>
      <c r="B461" s="10" t="str">
        <f ca="1">IFERROR(__xludf.DUMMYFUNCTION("""COMPUTED_VALUE"""),"MEJORAMIENTO ACCESIBILIDAD UNIVERSAL CENTRO CULTURAL CASABLANCA")</f>
        <v>MEJORAMIENTO ACCESIBILIDAD UNIVERSAL CENTRO CULTURAL CASABLANCA</v>
      </c>
      <c r="C461" s="10" t="str">
        <f ca="1">IFERROR(__xludf.DUMMYFUNCTION("""COMPUTED_VALUE"""),"1-C-2022-2387")</f>
        <v>1-C-2022-2387</v>
      </c>
      <c r="D461" s="26" t="str">
        <f t="shared" ca="1" si="0"/>
        <v xml:space="preserve"> CASABLANCA</v>
      </c>
      <c r="E461" s="10" t="str">
        <f ca="1">IFERROR(__xludf.DUMMYFUNCTION("""COMPUTED_VALUE"""),"Guía Operativa")</f>
        <v>Guía Operativa</v>
      </c>
      <c r="F461" s="10" t="str">
        <f ca="1">IFERROR(__xludf.DUMMYFUNCTION("""COMPUTED_VALUE"""),"MUNICIPALIDAD DE CASABLANCA")</f>
        <v>MUNICIPALIDAD DE CASABLANCA</v>
      </c>
      <c r="G461" s="71">
        <f ca="1">IFERROR(__xludf.DUMMYFUNCTION("""COMPUTED_VALUE"""),80175288)</f>
        <v>80175288</v>
      </c>
      <c r="H461" s="10" t="str">
        <f ca="1">IFERROR(__xludf.DUMMYFUNCTION("""COMPUTED_VALUE"""),"Resolución")</f>
        <v>Resolución</v>
      </c>
      <c r="I461" s="10" t="str">
        <f ca="1">IFERROR(__xludf.DUMMYFUNCTION("""COMPUTED_VALUE"""),"OBRA")</f>
        <v>OBRA</v>
      </c>
      <c r="J461" s="10" t="str">
        <f ca="1">IFERROR(__xludf.DUMMYFUNCTION("""COMPUTED_VALUE"""),"Cumplir con normativa y reglamentos internos del programa en base a los objetivos.")</f>
        <v>Cumplir con normativa y reglamentos internos del programa en base a los objetivos.</v>
      </c>
      <c r="K461" s="71">
        <f ca="1">IFERROR(__xludf.DUMMYFUNCTION("""COMPUTED_VALUE"""),80175288)</f>
        <v>80175288</v>
      </c>
      <c r="L461" s="72">
        <f ca="1">IFERROR(__xludf.DUMMYFUNCTION("""COMPUTED_VALUE"""),1)</f>
        <v>1</v>
      </c>
      <c r="M461" s="10">
        <f ca="1">IFERROR(__xludf.DUMMYFUNCTION("""COMPUTED_VALUE"""),7786)</f>
        <v>7786</v>
      </c>
      <c r="N461" s="10" t="str">
        <f ca="1">IFERROR(__xludf.DUMMYFUNCTION("""COMPUTED_VALUE"""),"PMU")</f>
        <v>PMU</v>
      </c>
      <c r="O461" s="1"/>
      <c r="P461" s="1"/>
      <c r="Q461" s="1"/>
      <c r="R461" s="1"/>
      <c r="S461" s="1"/>
      <c r="T461" s="1"/>
      <c r="U461" s="1"/>
      <c r="V461" s="1"/>
      <c r="W461" s="1"/>
      <c r="X461" s="1"/>
      <c r="Y461" s="1"/>
      <c r="Z461" s="1"/>
    </row>
    <row r="462" spans="1:26" ht="12.75" customHeight="1">
      <c r="A462" s="1"/>
      <c r="B462" s="10" t="str">
        <f ca="1">IFERROR(__xludf.DUMMYFUNCTION("""COMPUTED_VALUE"""),"CSV REPOSICIÓN SISTEMA DE ILUMINACIÓN AUDITORIO OSMAN PEREZ FREIRE")</f>
        <v>CSV REPOSICIÓN SISTEMA DE ILUMINACIÓN AUDITORIO OSMAN PEREZ FREIRE</v>
      </c>
      <c r="C462" s="10" t="str">
        <f ca="1">IFERROR(__xludf.DUMMYFUNCTION("""COMPUTED_VALUE"""),"1-C-2023-2306")</f>
        <v>1-C-2023-2306</v>
      </c>
      <c r="D462" s="26" t="str">
        <f t="shared" ca="1" si="0"/>
        <v xml:space="preserve"> VALPARAÍSO</v>
      </c>
      <c r="E462" s="10" t="str">
        <f ca="1">IFERROR(__xludf.DUMMYFUNCTION("""COMPUTED_VALUE"""),"Guía Operativa")</f>
        <v>Guía Operativa</v>
      </c>
      <c r="F462" s="10" t="str">
        <f ca="1">IFERROR(__xludf.DUMMYFUNCTION("""COMPUTED_VALUE"""),"MUNICIPALIDAD DE VALPARAÍSO")</f>
        <v>MUNICIPALIDAD DE VALPARAÍSO</v>
      </c>
      <c r="G462" s="71">
        <f ca="1">IFERROR(__xludf.DUMMYFUNCTION("""COMPUTED_VALUE"""),150099707)</f>
        <v>150099707</v>
      </c>
      <c r="H462" s="10" t="str">
        <f ca="1">IFERROR(__xludf.DUMMYFUNCTION("""COMPUTED_VALUE"""),"Resolución")</f>
        <v>Resolución</v>
      </c>
      <c r="I462" s="10" t="str">
        <f ca="1">IFERROR(__xludf.DUMMYFUNCTION("""COMPUTED_VALUE"""),"OBRA")</f>
        <v>OBRA</v>
      </c>
      <c r="J462" s="10" t="str">
        <f ca="1">IFERROR(__xludf.DUMMYFUNCTION("""COMPUTED_VALUE"""),"Cumplir con normativa y reglamentos internos del programa en base a los objetivos.")</f>
        <v>Cumplir con normativa y reglamentos internos del programa en base a los objetivos.</v>
      </c>
      <c r="K462" s="71">
        <f ca="1">IFERROR(__xludf.DUMMYFUNCTION("""COMPUTED_VALUE"""),150099707)</f>
        <v>150099707</v>
      </c>
      <c r="L462" s="72">
        <f ca="1">IFERROR(__xludf.DUMMYFUNCTION("""COMPUTED_VALUE"""),1)</f>
        <v>1</v>
      </c>
      <c r="M462" s="10">
        <f ca="1">IFERROR(__xludf.DUMMYFUNCTION("""COMPUTED_VALUE"""),7663)</f>
        <v>7663</v>
      </c>
      <c r="N462" s="10" t="str">
        <f ca="1">IFERROR(__xludf.DUMMYFUNCTION("""COMPUTED_VALUE"""),"PMU")</f>
        <v>PMU</v>
      </c>
      <c r="O462" s="1"/>
      <c r="P462" s="1"/>
      <c r="Q462" s="1"/>
      <c r="R462" s="1"/>
      <c r="S462" s="1"/>
      <c r="T462" s="1"/>
      <c r="U462" s="1"/>
      <c r="V462" s="1"/>
      <c r="W462" s="1"/>
      <c r="X462" s="1"/>
      <c r="Y462" s="1"/>
      <c r="Z462" s="1"/>
    </row>
    <row r="463" spans="1:26" ht="12.75" customHeight="1">
      <c r="A463" s="1"/>
      <c r="B463" s="10" t="str">
        <f ca="1">IFERROR(__xludf.DUMMYFUNCTION("""COMPUTED_VALUE"""),"MEJORAMIENTO ESPACIO PUBLICO RINCONADA DE ALCONES, MARCHIGUE")</f>
        <v>MEJORAMIENTO ESPACIO PUBLICO RINCONADA DE ALCONES, MARCHIGUE</v>
      </c>
      <c r="C463" s="10" t="str">
        <f ca="1">IFERROR(__xludf.DUMMYFUNCTION("""COMPUTED_VALUE"""),"1-C-2021-486")</f>
        <v>1-C-2021-486</v>
      </c>
      <c r="D463" s="26" t="str">
        <f t="shared" ca="1" si="0"/>
        <v xml:space="preserve"> MARCHIHUE</v>
      </c>
      <c r="E463" s="10" t="str">
        <f ca="1">IFERROR(__xludf.DUMMYFUNCTION("""COMPUTED_VALUE"""),"Guía Operativa")</f>
        <v>Guía Operativa</v>
      </c>
      <c r="F463" s="10" t="str">
        <f ca="1">IFERROR(__xludf.DUMMYFUNCTION("""COMPUTED_VALUE"""),"MUNICIPALIDAD DE MARCHIHUE")</f>
        <v>MUNICIPALIDAD DE MARCHIHUE</v>
      </c>
      <c r="G463" s="71">
        <f ca="1">IFERROR(__xludf.DUMMYFUNCTION("""COMPUTED_VALUE"""),74999999)</f>
        <v>74999999</v>
      </c>
      <c r="H463" s="10" t="str">
        <f ca="1">IFERROR(__xludf.DUMMYFUNCTION("""COMPUTED_VALUE"""),"Resolución")</f>
        <v>Resolución</v>
      </c>
      <c r="I463" s="10" t="str">
        <f ca="1">IFERROR(__xludf.DUMMYFUNCTION("""COMPUTED_VALUE"""),"OBRA")</f>
        <v>OBRA</v>
      </c>
      <c r="J463" s="10" t="str">
        <f ca="1">IFERROR(__xludf.DUMMYFUNCTION("""COMPUTED_VALUE"""),"Cumplir con normativa y reglamentos internos del programa en base a los objetivos.")</f>
        <v>Cumplir con normativa y reglamentos internos del programa en base a los objetivos.</v>
      </c>
      <c r="K463" s="71">
        <f ca="1">IFERROR(__xludf.DUMMYFUNCTION("""COMPUTED_VALUE"""),14996577)</f>
        <v>14996577</v>
      </c>
      <c r="L463" s="72">
        <f ca="1">IFERROR(__xludf.DUMMYFUNCTION("""COMPUTED_VALUE"""),0.999954359999391)</f>
        <v>0.99995435999939097</v>
      </c>
      <c r="M463" s="10">
        <f ca="1">IFERROR(__xludf.DUMMYFUNCTION("""COMPUTED_VALUE"""),12160)</f>
        <v>12160</v>
      </c>
      <c r="N463" s="10" t="str">
        <f ca="1">IFERROR(__xludf.DUMMYFUNCTION("""COMPUTED_VALUE"""),"PMU")</f>
        <v>PMU</v>
      </c>
      <c r="O463" s="1"/>
      <c r="P463" s="1"/>
      <c r="Q463" s="1"/>
      <c r="R463" s="1"/>
      <c r="S463" s="1"/>
      <c r="T463" s="1"/>
      <c r="U463" s="1"/>
      <c r="V463" s="1"/>
      <c r="W463" s="1"/>
      <c r="X463" s="1"/>
      <c r="Y463" s="1"/>
      <c r="Z463" s="1"/>
    </row>
    <row r="464" spans="1:26" ht="12.75" customHeight="1">
      <c r="A464" s="1"/>
      <c r="B464" s="10" t="str">
        <f ca="1">IFERROR(__xludf.DUMMYFUNCTION("""COMPUTED_VALUE"""),"CATASTROFE, REPOSICION DE EMERGENCIA , PAVIMENTO CALLES SECTOR SAN PEDRO ALCANTARA, COMUNA DE PAREDONES")</f>
        <v>CATASTROFE, REPOSICION DE EMERGENCIA , PAVIMENTO CALLES SECTOR SAN PEDRO ALCANTARA, COMUNA DE PAREDONES</v>
      </c>
      <c r="C464" s="10" t="str">
        <f ca="1">IFERROR(__xludf.DUMMYFUNCTION("""COMPUTED_VALUE"""),"1-C-2023-2636")</f>
        <v>1-C-2023-2636</v>
      </c>
      <c r="D464" s="26" t="str">
        <f t="shared" ca="1" si="0"/>
        <v xml:space="preserve"> PAREDONES</v>
      </c>
      <c r="E464" s="10" t="str">
        <f ca="1">IFERROR(__xludf.DUMMYFUNCTION("""COMPUTED_VALUE"""),"Guía Operativa")</f>
        <v>Guía Operativa</v>
      </c>
      <c r="F464" s="10" t="str">
        <f ca="1">IFERROR(__xludf.DUMMYFUNCTION("""COMPUTED_VALUE"""),"MUNICIPALIDAD DE PAREDONES")</f>
        <v>MUNICIPALIDAD DE PAREDONES</v>
      </c>
      <c r="G464" s="71">
        <f ca="1">IFERROR(__xludf.DUMMYFUNCTION("""COMPUTED_VALUE"""),148000000)</f>
        <v>148000000</v>
      </c>
      <c r="H464" s="10" t="str">
        <f ca="1">IFERROR(__xludf.DUMMYFUNCTION("""COMPUTED_VALUE"""),"Resolución")</f>
        <v>Resolución</v>
      </c>
      <c r="I464" s="10" t="str">
        <f ca="1">IFERROR(__xludf.DUMMYFUNCTION("""COMPUTED_VALUE"""),"OBRA")</f>
        <v>OBRA</v>
      </c>
      <c r="J464" s="10" t="str">
        <f ca="1">IFERROR(__xludf.DUMMYFUNCTION("""COMPUTED_VALUE"""),"Cumplir con normativa y reglamentos internos del programa en base a los objetivos.")</f>
        <v>Cumplir con normativa y reglamentos internos del programa en base a los objetivos.</v>
      </c>
      <c r="K464" s="71">
        <f ca="1">IFERROR(__xludf.DUMMYFUNCTION("""COMPUTED_VALUE"""),148000000)</f>
        <v>148000000</v>
      </c>
      <c r="L464" s="72">
        <f ca="1">IFERROR(__xludf.DUMMYFUNCTION("""COMPUTED_VALUE"""),1)</f>
        <v>1</v>
      </c>
      <c r="M464" s="10">
        <f ca="1">IFERROR(__xludf.DUMMYFUNCTION("""COMPUTED_VALUE"""),7483)</f>
        <v>7483</v>
      </c>
      <c r="N464" s="10" t="str">
        <f ca="1">IFERROR(__xludf.DUMMYFUNCTION("""COMPUTED_VALUE"""),"PMU")</f>
        <v>PMU</v>
      </c>
      <c r="O464" s="1"/>
      <c r="P464" s="1"/>
      <c r="Q464" s="1"/>
      <c r="R464" s="1"/>
      <c r="S464" s="1"/>
      <c r="T464" s="1"/>
      <c r="U464" s="1"/>
      <c r="V464" s="1"/>
      <c r="W464" s="1"/>
      <c r="X464" s="1"/>
      <c r="Y464" s="1"/>
      <c r="Z464" s="1"/>
    </row>
    <row r="465" spans="1:26" ht="12.75" customHeight="1">
      <c r="A465" s="1"/>
      <c r="B465" s="10" t="str">
        <f ca="1">IFERROR(__xludf.DUMMYFUNCTION("""COMPUTED_VALUE"""),"MEJORAMIENTO MULTICANCHA VILLA MAULE 1, SAN CLEMENTE")</f>
        <v>MEJORAMIENTO MULTICANCHA VILLA MAULE 1, SAN CLEMENTE</v>
      </c>
      <c r="C465" s="10" t="str">
        <f ca="1">IFERROR(__xludf.DUMMYFUNCTION("""COMPUTED_VALUE"""),"1-C-2020-396 [FET]")</f>
        <v>1-C-2020-396 [FET]</v>
      </c>
      <c r="D465" s="26" t="str">
        <f t="shared" ca="1" si="0"/>
        <v xml:space="preserve"> SAN CLEMENTE</v>
      </c>
      <c r="E465" s="10" t="str">
        <f ca="1">IFERROR(__xludf.DUMMYFUNCTION("""COMPUTED_VALUE"""),"Guía Operativa")</f>
        <v>Guía Operativa</v>
      </c>
      <c r="F465" s="10" t="str">
        <f ca="1">IFERROR(__xludf.DUMMYFUNCTION("""COMPUTED_VALUE"""),"MUNICIPALIDAD DE SAN CLEMENTE")</f>
        <v>MUNICIPALIDAD DE SAN CLEMENTE</v>
      </c>
      <c r="G465" s="71">
        <f ca="1">IFERROR(__xludf.DUMMYFUNCTION("""COMPUTED_VALUE"""),74994127)</f>
        <v>74994127</v>
      </c>
      <c r="H465" s="10" t="str">
        <f ca="1">IFERROR(__xludf.DUMMYFUNCTION("""COMPUTED_VALUE"""),"Resolución")</f>
        <v>Resolución</v>
      </c>
      <c r="I465" s="10" t="str">
        <f ca="1">IFERROR(__xludf.DUMMYFUNCTION("""COMPUTED_VALUE"""),"OBRA")</f>
        <v>OBRA</v>
      </c>
      <c r="J465" s="10" t="str">
        <f ca="1">IFERROR(__xludf.DUMMYFUNCTION("""COMPUTED_VALUE"""),"Cumplir con normativa y reglamentos internos del programa en base a los objetivos.")</f>
        <v>Cumplir con normativa y reglamentos internos del programa en base a los objetivos.</v>
      </c>
      <c r="K465" s="71">
        <f ca="1">IFERROR(__xludf.DUMMYFUNCTION("""COMPUTED_VALUE"""),3163014)</f>
        <v>3163014</v>
      </c>
      <c r="L465" s="72">
        <f ca="1">IFERROR(__xludf.DUMMYFUNCTION("""COMPUTED_VALUE"""),0.999962303714796)</f>
        <v>0.999962303714796</v>
      </c>
      <c r="M465" s="10">
        <f ca="1">IFERROR(__xludf.DUMMYFUNCTION("""COMPUTED_VALUE"""),3644)</f>
        <v>3644</v>
      </c>
      <c r="N465" s="10" t="str">
        <f ca="1">IFERROR(__xludf.DUMMYFUNCTION("""COMPUTED_VALUE"""),"PMU")</f>
        <v>PMU</v>
      </c>
      <c r="O465" s="1"/>
      <c r="P465" s="1"/>
      <c r="Q465" s="1"/>
      <c r="R465" s="1"/>
      <c r="S465" s="1"/>
      <c r="T465" s="1"/>
      <c r="U465" s="1"/>
      <c r="V465" s="1"/>
      <c r="W465" s="1"/>
      <c r="X465" s="1"/>
      <c r="Y465" s="1"/>
      <c r="Z465" s="1"/>
    </row>
    <row r="466" spans="1:26" ht="12.75" customHeight="1">
      <c r="A466" s="1"/>
      <c r="B466" s="10" t="str">
        <f ca="1">IFERROR(__xludf.DUMMYFUNCTION("""COMPUTED_VALUE"""),"[SATE] CONSTRUCCIÓN TORRES DE ILUMINACIÓN Y MEJORAMIENTO CIERRE CLUB DEPORTIVO PENCAHUE")</f>
        <v>[SATE] CONSTRUCCIÓN TORRES DE ILUMINACIÓN Y MEJORAMIENTO CIERRE CLUB DEPORTIVO PENCAHUE</v>
      </c>
      <c r="C466" s="10" t="str">
        <f ca="1">IFERROR(__xludf.DUMMYFUNCTION("""COMPUTED_VALUE"""),"1-C-2023-1031")</f>
        <v>1-C-2023-1031</v>
      </c>
      <c r="D466" s="26" t="str">
        <f t="shared" ca="1" si="0"/>
        <v xml:space="preserve"> PENCAHUE</v>
      </c>
      <c r="E466" s="10" t="str">
        <f ca="1">IFERROR(__xludf.DUMMYFUNCTION("""COMPUTED_VALUE"""),"Guía Operativa")</f>
        <v>Guía Operativa</v>
      </c>
      <c r="F466" s="10" t="str">
        <f ca="1">IFERROR(__xludf.DUMMYFUNCTION("""COMPUTED_VALUE"""),"MUNICIPALIDAD DE PENCAHUE")</f>
        <v>MUNICIPALIDAD DE PENCAHUE</v>
      </c>
      <c r="G466" s="71">
        <f ca="1">IFERROR(__xludf.DUMMYFUNCTION("""COMPUTED_VALUE"""),150893665)</f>
        <v>150893665</v>
      </c>
      <c r="H466" s="10" t="str">
        <f ca="1">IFERROR(__xludf.DUMMYFUNCTION("""COMPUTED_VALUE"""),"Resolución")</f>
        <v>Resolución</v>
      </c>
      <c r="I466" s="10" t="str">
        <f ca="1">IFERROR(__xludf.DUMMYFUNCTION("""COMPUTED_VALUE"""),"OBRA")</f>
        <v>OBRA</v>
      </c>
      <c r="J466" s="10" t="str">
        <f ca="1">IFERROR(__xludf.DUMMYFUNCTION("""COMPUTED_VALUE"""),"Cumplir con normativa y reglamentos internos del programa en base a los objetivos.")</f>
        <v>Cumplir con normativa y reglamentos internos del programa en base a los objetivos.</v>
      </c>
      <c r="K466" s="71">
        <f ca="1">IFERROR(__xludf.DUMMYFUNCTION("""COMPUTED_VALUE"""),150893665)</f>
        <v>150893665</v>
      </c>
      <c r="L466" s="72">
        <f ca="1">IFERROR(__xludf.DUMMYFUNCTION("""COMPUTED_VALUE"""),1)</f>
        <v>1</v>
      </c>
      <c r="M466" s="10">
        <f ca="1">IFERROR(__xludf.DUMMYFUNCTION("""COMPUTED_VALUE"""),5770)</f>
        <v>5770</v>
      </c>
      <c r="N466" s="10" t="str">
        <f ca="1">IFERROR(__xludf.DUMMYFUNCTION("""COMPUTED_VALUE"""),"PMU")</f>
        <v>PMU</v>
      </c>
      <c r="O466" s="1"/>
      <c r="P466" s="1"/>
      <c r="Q466" s="1"/>
      <c r="R466" s="1"/>
      <c r="S466" s="1"/>
      <c r="T466" s="1"/>
      <c r="U466" s="1"/>
      <c r="V466" s="1"/>
      <c r="W466" s="1"/>
      <c r="X466" s="1"/>
      <c r="Y466" s="1"/>
      <c r="Z466" s="1"/>
    </row>
    <row r="467" spans="1:26" ht="12.75" customHeight="1">
      <c r="A467" s="1"/>
      <c r="B467" s="10" t="str">
        <f ca="1">IFERROR(__xludf.DUMMYFUNCTION("""COMPUTED_VALUE"""),"CONSTRUCCIÓN SERVICIOS HIGIÉNICOS, CAMARINES Y OFICINA DE TURISMO PLAZA DE ARMAS CAUQUENES")</f>
        <v>CONSTRUCCIÓN SERVICIOS HIGIÉNICOS, CAMARINES Y OFICINA DE TURISMO PLAZA DE ARMAS CAUQUENES</v>
      </c>
      <c r="C467" s="10" t="str">
        <f ca="1">IFERROR(__xludf.DUMMYFUNCTION("""COMPUTED_VALUE"""),"1-C-2023-1905")</f>
        <v>1-C-2023-1905</v>
      </c>
      <c r="D467" s="26" t="str">
        <f t="shared" ca="1" si="0"/>
        <v xml:space="preserve"> CAUQUENES</v>
      </c>
      <c r="E467" s="10" t="str">
        <f ca="1">IFERROR(__xludf.DUMMYFUNCTION("""COMPUTED_VALUE"""),"Guía Operativa")</f>
        <v>Guía Operativa</v>
      </c>
      <c r="F467" s="10" t="str">
        <f ca="1">IFERROR(__xludf.DUMMYFUNCTION("""COMPUTED_VALUE"""),"MUNICIPALIDAD DE CAUQUENES")</f>
        <v>MUNICIPALIDAD DE CAUQUENES</v>
      </c>
      <c r="G467" s="71">
        <f ca="1">IFERROR(__xludf.DUMMYFUNCTION("""COMPUTED_VALUE"""),149998141)</f>
        <v>149998141</v>
      </c>
      <c r="H467" s="10" t="str">
        <f ca="1">IFERROR(__xludf.DUMMYFUNCTION("""COMPUTED_VALUE"""),"Resolución")</f>
        <v>Resolución</v>
      </c>
      <c r="I467" s="10" t="str">
        <f ca="1">IFERROR(__xludf.DUMMYFUNCTION("""COMPUTED_VALUE"""),"OBRA")</f>
        <v>OBRA</v>
      </c>
      <c r="J467" s="10" t="str">
        <f ca="1">IFERROR(__xludf.DUMMYFUNCTION("""COMPUTED_VALUE"""),"Cumplir con normativa y reglamentos internos del programa en base a los objetivos.")</f>
        <v>Cumplir con normativa y reglamentos internos del programa en base a los objetivos.</v>
      </c>
      <c r="K467" s="71">
        <f ca="1">IFERROR(__xludf.DUMMYFUNCTION("""COMPUTED_VALUE"""),149998141)</f>
        <v>149998141</v>
      </c>
      <c r="L467" s="72">
        <f ca="1">IFERROR(__xludf.DUMMYFUNCTION("""COMPUTED_VALUE"""),1)</f>
        <v>1</v>
      </c>
      <c r="M467" s="10">
        <f ca="1">IFERROR(__xludf.DUMMYFUNCTION("""COMPUTED_VALUE"""),5378)</f>
        <v>5378</v>
      </c>
      <c r="N467" s="10" t="str">
        <f ca="1">IFERROR(__xludf.DUMMYFUNCTION("""COMPUTED_VALUE"""),"PMU")</f>
        <v>PMU</v>
      </c>
      <c r="O467" s="1"/>
      <c r="P467" s="1"/>
      <c r="Q467" s="1"/>
      <c r="R467" s="1"/>
      <c r="S467" s="1"/>
      <c r="T467" s="1"/>
      <c r="U467" s="1"/>
      <c r="V467" s="1"/>
      <c r="W467" s="1"/>
      <c r="X467" s="1"/>
      <c r="Y467" s="1"/>
      <c r="Z467" s="1"/>
    </row>
    <row r="468" spans="1:26" ht="12.75" customHeight="1">
      <c r="A468" s="1"/>
      <c r="B468" s="10" t="str">
        <f ca="1">IFERROR(__xludf.DUMMYFUNCTION("""COMPUTED_VALUE"""),"CONSTRUCCION CIERRE PERIMETRAL Y GRADERIAS CUB DEPORTIVO LINARES DE PERALES, COMUNA DE MAULE")</f>
        <v>CONSTRUCCION CIERRE PERIMETRAL Y GRADERIAS CUB DEPORTIVO LINARES DE PERALES, COMUNA DE MAULE</v>
      </c>
      <c r="C468" s="10" t="str">
        <f ca="1">IFERROR(__xludf.DUMMYFUNCTION("""COMPUTED_VALUE"""),"1-C-2023-2771")</f>
        <v>1-C-2023-2771</v>
      </c>
      <c r="D468" s="26" t="str">
        <f t="shared" ca="1" si="0"/>
        <v xml:space="preserve"> MAULE</v>
      </c>
      <c r="E468" s="10" t="str">
        <f ca="1">IFERROR(__xludf.DUMMYFUNCTION("""COMPUTED_VALUE"""),"Guía Operativa")</f>
        <v>Guía Operativa</v>
      </c>
      <c r="F468" s="10" t="str">
        <f ca="1">IFERROR(__xludf.DUMMYFUNCTION("""COMPUTED_VALUE"""),"MUNICIPALIDAD DE MAULE")</f>
        <v>MUNICIPALIDAD DE MAULE</v>
      </c>
      <c r="G468" s="71">
        <f ca="1">IFERROR(__xludf.DUMMYFUNCTION("""COMPUTED_VALUE"""),153787969)</f>
        <v>153787969</v>
      </c>
      <c r="H468" s="10" t="str">
        <f ca="1">IFERROR(__xludf.DUMMYFUNCTION("""COMPUTED_VALUE"""),"Resolución")</f>
        <v>Resolución</v>
      </c>
      <c r="I468" s="10" t="str">
        <f ca="1">IFERROR(__xludf.DUMMYFUNCTION("""COMPUTED_VALUE"""),"OBRA")</f>
        <v>OBRA</v>
      </c>
      <c r="J468" s="10" t="str">
        <f ca="1">IFERROR(__xludf.DUMMYFUNCTION("""COMPUTED_VALUE"""),"Cumplir con normativa y reglamentos internos del programa en base a los objetivos.")</f>
        <v>Cumplir con normativa y reglamentos internos del programa en base a los objetivos.</v>
      </c>
      <c r="K468" s="71">
        <f ca="1">IFERROR(__xludf.DUMMYFUNCTION("""COMPUTED_VALUE"""),153787969)</f>
        <v>153787969</v>
      </c>
      <c r="L468" s="72">
        <f ca="1">IFERROR(__xludf.DUMMYFUNCTION("""COMPUTED_VALUE"""),1)</f>
        <v>1</v>
      </c>
      <c r="M468" s="10">
        <f ca="1">IFERROR(__xludf.DUMMYFUNCTION("""COMPUTED_VALUE"""),6677)</f>
        <v>6677</v>
      </c>
      <c r="N468" s="10" t="str">
        <f ca="1">IFERROR(__xludf.DUMMYFUNCTION("""COMPUTED_VALUE"""),"PMU")</f>
        <v>PMU</v>
      </c>
      <c r="O468" s="1"/>
      <c r="P468" s="1"/>
      <c r="Q468" s="1"/>
      <c r="R468" s="1"/>
      <c r="S468" s="1"/>
      <c r="T468" s="1"/>
      <c r="U468" s="1"/>
      <c r="V468" s="1"/>
      <c r="W468" s="1"/>
      <c r="X468" s="1"/>
      <c r="Y468" s="1"/>
      <c r="Z468" s="1"/>
    </row>
    <row r="469" spans="1:26" ht="12.75" customHeight="1">
      <c r="A469" s="1"/>
      <c r="B469" s="10" t="str">
        <f ca="1">IFERROR(__xludf.DUMMYFUNCTION("""COMPUTED_VALUE"""),"[CATÁSTROFE] HABILITACIÓN ESPACIO PÚBLICO CANAL LA FLOR SECTOR URBANO, SAN CLEMENTE")</f>
        <v>[CATÁSTROFE] HABILITACIÓN ESPACIO PÚBLICO CANAL LA FLOR SECTOR URBANO, SAN CLEMENTE</v>
      </c>
      <c r="C469" s="10" t="str">
        <f ca="1">IFERROR(__xludf.DUMMYFUNCTION("""COMPUTED_VALUE"""),"1-C-2023-2960")</f>
        <v>1-C-2023-2960</v>
      </c>
      <c r="D469" s="26" t="str">
        <f t="shared" ca="1" si="0"/>
        <v xml:space="preserve"> SAN CLEMENTE</v>
      </c>
      <c r="E469" s="10" t="str">
        <f ca="1">IFERROR(__xludf.DUMMYFUNCTION("""COMPUTED_VALUE"""),"Guía Operativa")</f>
        <v>Guía Operativa</v>
      </c>
      <c r="F469" s="10" t="str">
        <f ca="1">IFERROR(__xludf.DUMMYFUNCTION("""COMPUTED_VALUE"""),"MUNICIPALIDAD DE SAN CLEMENTE")</f>
        <v>MUNICIPALIDAD DE SAN CLEMENTE</v>
      </c>
      <c r="G469" s="71">
        <f ca="1">IFERROR(__xludf.DUMMYFUNCTION("""COMPUTED_VALUE"""),26886504)</f>
        <v>26886504</v>
      </c>
      <c r="H469" s="10" t="str">
        <f ca="1">IFERROR(__xludf.DUMMYFUNCTION("""COMPUTED_VALUE"""),"Resolución")</f>
        <v>Resolución</v>
      </c>
      <c r="I469" s="10" t="str">
        <f ca="1">IFERROR(__xludf.DUMMYFUNCTION("""COMPUTED_VALUE"""),"OBRA")</f>
        <v>OBRA</v>
      </c>
      <c r="J469" s="10" t="str">
        <f ca="1">IFERROR(__xludf.DUMMYFUNCTION("""COMPUTED_VALUE"""),"Cumplir con normativa y reglamentos internos del programa en base a los objetivos.")</f>
        <v>Cumplir con normativa y reglamentos internos del programa en base a los objetivos.</v>
      </c>
      <c r="K469" s="71">
        <f ca="1">IFERROR(__xludf.DUMMYFUNCTION("""COMPUTED_VALUE"""),26886504)</f>
        <v>26886504</v>
      </c>
      <c r="L469" s="72">
        <f ca="1">IFERROR(__xludf.DUMMYFUNCTION("""COMPUTED_VALUE"""),1)</f>
        <v>1</v>
      </c>
      <c r="M469" s="10">
        <f ca="1">IFERROR(__xludf.DUMMYFUNCTION("""COMPUTED_VALUE"""),6676)</f>
        <v>6676</v>
      </c>
      <c r="N469" s="10" t="str">
        <f ca="1">IFERROR(__xludf.DUMMYFUNCTION("""COMPUTED_VALUE"""),"PMU")</f>
        <v>PMU</v>
      </c>
      <c r="O469" s="1"/>
      <c r="P469" s="1"/>
      <c r="Q469" s="1"/>
      <c r="R469" s="1"/>
      <c r="S469" s="1"/>
      <c r="T469" s="1"/>
      <c r="U469" s="1"/>
      <c r="V469" s="1"/>
      <c r="W469" s="1"/>
      <c r="X469" s="1"/>
      <c r="Y469" s="1"/>
      <c r="Z469" s="1"/>
    </row>
    <row r="470" spans="1:26" ht="12.75" customHeight="1">
      <c r="A470" s="1"/>
      <c r="B470" s="10" t="str">
        <f ca="1">IFERROR(__xludf.DUMMYFUNCTION("""COMPUTED_VALUE"""),"REPOSICION DE VEREDAS CALLES COVADONGA Y O´HIGGINS, LINARES")</f>
        <v>REPOSICION DE VEREDAS CALLES COVADONGA Y O´HIGGINS, LINARES</v>
      </c>
      <c r="C470" s="10" t="str">
        <f ca="1">IFERROR(__xludf.DUMMYFUNCTION("""COMPUTED_VALUE"""),"1-B-2024-140")</f>
        <v>1-B-2024-140</v>
      </c>
      <c r="D470" s="26" t="str">
        <f t="shared" ca="1" si="0"/>
        <v xml:space="preserve"> LINARES</v>
      </c>
      <c r="E470" s="10" t="str">
        <f ca="1">IFERROR(__xludf.DUMMYFUNCTION("""COMPUTED_VALUE"""),"Guía Operativa")</f>
        <v>Guía Operativa</v>
      </c>
      <c r="F470" s="10" t="str">
        <f ca="1">IFERROR(__xludf.DUMMYFUNCTION("""COMPUTED_VALUE"""),"MUNICIPALIDAD DE LINARES")</f>
        <v>MUNICIPALIDAD DE LINARES</v>
      </c>
      <c r="G470" s="71">
        <f ca="1">IFERROR(__xludf.DUMMYFUNCTION("""COMPUTED_VALUE"""),97212597)</f>
        <v>97212597</v>
      </c>
      <c r="H470" s="10" t="str">
        <f ca="1">IFERROR(__xludf.DUMMYFUNCTION("""COMPUTED_VALUE"""),"Resolución")</f>
        <v>Resolución</v>
      </c>
      <c r="I470" s="10" t="str">
        <f ca="1">IFERROR(__xludf.DUMMYFUNCTION("""COMPUTED_VALUE"""),"OBRA")</f>
        <v>OBRA</v>
      </c>
      <c r="J470" s="10" t="str">
        <f ca="1">IFERROR(__xludf.DUMMYFUNCTION("""COMPUTED_VALUE"""),"Cumplir con normativa y reglamentos internos del programa en base a los objetivos.")</f>
        <v>Cumplir con normativa y reglamentos internos del programa en base a los objetivos.</v>
      </c>
      <c r="K470" s="71">
        <f ca="1">IFERROR(__xludf.DUMMYFUNCTION("""COMPUTED_VALUE"""),97212597)</f>
        <v>97212597</v>
      </c>
      <c r="L470" s="72">
        <f ca="1">IFERROR(__xludf.DUMMYFUNCTION("""COMPUTED_VALUE"""),1)</f>
        <v>1</v>
      </c>
      <c r="M470" s="10">
        <f ca="1">IFERROR(__xludf.DUMMYFUNCTION("""COMPUTED_VALUE"""),7476)</f>
        <v>7476</v>
      </c>
      <c r="N470" s="10" t="str">
        <f ca="1">IFERROR(__xludf.DUMMYFUNCTION("""COMPUTED_VALUE"""),"PMU")</f>
        <v>PMU</v>
      </c>
      <c r="O470" s="1"/>
      <c r="P470" s="1"/>
      <c r="Q470" s="1"/>
      <c r="R470" s="1"/>
      <c r="S470" s="1"/>
      <c r="T470" s="1"/>
      <c r="U470" s="1"/>
      <c r="V470" s="1"/>
      <c r="W470" s="1"/>
      <c r="X470" s="1"/>
      <c r="Y470" s="1"/>
      <c r="Z470" s="1"/>
    </row>
    <row r="471" spans="1:26" ht="12.75" customHeight="1">
      <c r="A471" s="1"/>
      <c r="B471" s="10" t="str">
        <f ca="1">IFERROR(__xludf.DUMMYFUNCTION("""COMPUTED_VALUE"""),"REPOSICIÓN DE VEREDAS Y MEJORAMIENTO DE ENTORNO DE LA LOCALIDAD DE PUTAGÁN, COMUNA DE VILLA ALEGRE")</f>
        <v>REPOSICIÓN DE VEREDAS Y MEJORAMIENTO DE ENTORNO DE LA LOCALIDAD DE PUTAGÁN, COMUNA DE VILLA ALEGRE</v>
      </c>
      <c r="C471" s="10" t="str">
        <f ca="1">IFERROR(__xludf.DUMMYFUNCTION("""COMPUTED_VALUE"""),"1-B-2024-146")</f>
        <v>1-B-2024-146</v>
      </c>
      <c r="D471" s="26" t="str">
        <f t="shared" ca="1" si="0"/>
        <v xml:space="preserve"> VILLA ALEGRE</v>
      </c>
      <c r="E471" s="10" t="str">
        <f ca="1">IFERROR(__xludf.DUMMYFUNCTION("""COMPUTED_VALUE"""),"Guía Operativa")</f>
        <v>Guía Operativa</v>
      </c>
      <c r="F471" s="10" t="str">
        <f ca="1">IFERROR(__xludf.DUMMYFUNCTION("""COMPUTED_VALUE"""),"MUNICIPALIDAD DE VILLA ALEGRE")</f>
        <v>MUNICIPALIDAD DE VILLA ALEGRE</v>
      </c>
      <c r="G471" s="71">
        <f ca="1">IFERROR(__xludf.DUMMYFUNCTION("""COMPUTED_VALUE"""),99345690)</f>
        <v>99345690</v>
      </c>
      <c r="H471" s="10" t="str">
        <f ca="1">IFERROR(__xludf.DUMMYFUNCTION("""COMPUTED_VALUE"""),"Resolución")</f>
        <v>Resolución</v>
      </c>
      <c r="I471" s="10" t="str">
        <f ca="1">IFERROR(__xludf.DUMMYFUNCTION("""COMPUTED_VALUE"""),"OBRA")</f>
        <v>OBRA</v>
      </c>
      <c r="J471" s="10" t="str">
        <f ca="1">IFERROR(__xludf.DUMMYFUNCTION("""COMPUTED_VALUE"""),"Cumplir con normativa y reglamentos internos del programa en base a los objetivos.")</f>
        <v>Cumplir con normativa y reglamentos internos del programa en base a los objetivos.</v>
      </c>
      <c r="K471" s="71">
        <f ca="1">IFERROR(__xludf.DUMMYFUNCTION("""COMPUTED_VALUE"""),99345690)</f>
        <v>99345690</v>
      </c>
      <c r="L471" s="72">
        <f ca="1">IFERROR(__xludf.DUMMYFUNCTION("""COMPUTED_VALUE"""),1)</f>
        <v>1</v>
      </c>
      <c r="M471" s="10">
        <f ca="1">IFERROR(__xludf.DUMMYFUNCTION("""COMPUTED_VALUE"""),7473)</f>
        <v>7473</v>
      </c>
      <c r="N471" s="10" t="str">
        <f ca="1">IFERROR(__xludf.DUMMYFUNCTION("""COMPUTED_VALUE"""),"PMU")</f>
        <v>PMU</v>
      </c>
      <c r="O471" s="1"/>
      <c r="P471" s="1"/>
      <c r="Q471" s="1"/>
      <c r="R471" s="1"/>
      <c r="S471" s="1"/>
      <c r="T471" s="1"/>
      <c r="U471" s="1"/>
      <c r="V471" s="1"/>
      <c r="W471" s="1"/>
      <c r="X471" s="1"/>
      <c r="Y471" s="1"/>
      <c r="Z471" s="1"/>
    </row>
    <row r="472" spans="1:26" ht="12.75" customHeight="1">
      <c r="A472" s="1"/>
      <c r="B472" s="10" t="str">
        <f ca="1">IFERROR(__xludf.DUMMYFUNCTION("""COMPUTED_VALUE"""),"REPOSICIÓN SEDE SOCIAL JUVENTUD UNIDA, CAÑETE")</f>
        <v>REPOSICIÓN SEDE SOCIAL JUVENTUD UNIDA, CAÑETE</v>
      </c>
      <c r="C472" s="10" t="str">
        <f ca="1">IFERROR(__xludf.DUMMYFUNCTION("""COMPUTED_VALUE"""),"1-C-2018-1198")</f>
        <v>1-C-2018-1198</v>
      </c>
      <c r="D472" s="26" t="str">
        <f t="shared" ca="1" si="0"/>
        <v xml:space="preserve"> CAÑETE</v>
      </c>
      <c r="E472" s="10" t="str">
        <f ca="1">IFERROR(__xludf.DUMMYFUNCTION("""COMPUTED_VALUE"""),"Guía Operativa")</f>
        <v>Guía Operativa</v>
      </c>
      <c r="F472" s="10" t="str">
        <f ca="1">IFERROR(__xludf.DUMMYFUNCTION("""COMPUTED_VALUE"""),"MUNICIPALIDAD DE CAÑETE")</f>
        <v>MUNICIPALIDAD DE CAÑETE</v>
      </c>
      <c r="G472" s="71">
        <f ca="1">IFERROR(__xludf.DUMMYFUNCTION("""COMPUTED_VALUE"""),69009373)</f>
        <v>69009373</v>
      </c>
      <c r="H472" s="10" t="str">
        <f ca="1">IFERROR(__xludf.DUMMYFUNCTION("""COMPUTED_VALUE"""),"Resolución")</f>
        <v>Resolución</v>
      </c>
      <c r="I472" s="10" t="str">
        <f ca="1">IFERROR(__xludf.DUMMYFUNCTION("""COMPUTED_VALUE"""),"OBRA")</f>
        <v>OBRA</v>
      </c>
      <c r="J472" s="10" t="str">
        <f ca="1">IFERROR(__xludf.DUMMYFUNCTION("""COMPUTED_VALUE"""),"Cumplir con normativa y reglamentos internos del programa en base a los objetivos.")</f>
        <v>Cumplir con normativa y reglamentos internos del programa en base a los objetivos.</v>
      </c>
      <c r="K472" s="71">
        <f ca="1">IFERROR(__xludf.DUMMYFUNCTION("""COMPUTED_VALUE"""),27009374)</f>
        <v>27009374</v>
      </c>
      <c r="L472" s="72">
        <f ca="1">IFERROR(__xludf.DUMMYFUNCTION("""COMPUTED_VALUE"""),1)</f>
        <v>1</v>
      </c>
      <c r="M472" s="10">
        <f ca="1">IFERROR(__xludf.DUMMYFUNCTION("""COMPUTED_VALUE"""),9381)</f>
        <v>9381</v>
      </c>
      <c r="N472" s="10" t="str">
        <f ca="1">IFERROR(__xludf.DUMMYFUNCTION("""COMPUTED_VALUE"""),"PMU")</f>
        <v>PMU</v>
      </c>
      <c r="O472" s="1"/>
      <c r="P472" s="1"/>
      <c r="Q472" s="1"/>
      <c r="R472" s="1"/>
      <c r="S472" s="1"/>
      <c r="T472" s="1"/>
      <c r="U472" s="1"/>
      <c r="V472" s="1"/>
      <c r="W472" s="1"/>
      <c r="X472" s="1"/>
      <c r="Y472" s="1"/>
      <c r="Z472" s="1"/>
    </row>
    <row r="473" spans="1:26" ht="12.75" customHeight="1">
      <c r="A473" s="1"/>
      <c r="B473" s="10" t="str">
        <f ca="1">IFERROR(__xludf.DUMMYFUNCTION("""COMPUTED_VALUE"""),"REPOSICIÓN VEREDAS CALLE LA CONCEPCIÓN Y PASAJES BAQUEDANO Y 5 DE ABRIL")</f>
        <v>REPOSICIÓN VEREDAS CALLE LA CONCEPCIÓN Y PASAJES BAQUEDANO Y 5 DE ABRIL</v>
      </c>
      <c r="C473" s="10" t="str">
        <f ca="1">IFERROR(__xludf.DUMMYFUNCTION("""COMPUTED_VALUE"""),"1-B-2024-194")</f>
        <v>1-B-2024-194</v>
      </c>
      <c r="D473" s="26" t="str">
        <f t="shared" ca="1" si="0"/>
        <v xml:space="preserve"> CURANILAHUE</v>
      </c>
      <c r="E473" s="10" t="str">
        <f ca="1">IFERROR(__xludf.DUMMYFUNCTION("""COMPUTED_VALUE"""),"Guía Operativa")</f>
        <v>Guía Operativa</v>
      </c>
      <c r="F473" s="10" t="str">
        <f ca="1">IFERROR(__xludf.DUMMYFUNCTION("""COMPUTED_VALUE"""),"MUNICIPALIDAD DE CURANILAHUE")</f>
        <v>MUNICIPALIDAD DE CURANILAHUE</v>
      </c>
      <c r="G473" s="71">
        <f ca="1">IFERROR(__xludf.DUMMYFUNCTION("""COMPUTED_VALUE"""),157456264)</f>
        <v>157456264</v>
      </c>
      <c r="H473" s="10" t="str">
        <f ca="1">IFERROR(__xludf.DUMMYFUNCTION("""COMPUTED_VALUE"""),"Resolución")</f>
        <v>Resolución</v>
      </c>
      <c r="I473" s="10" t="str">
        <f ca="1">IFERROR(__xludf.DUMMYFUNCTION("""COMPUTED_VALUE"""),"OBRA")</f>
        <v>OBRA</v>
      </c>
      <c r="J473" s="10" t="str">
        <f ca="1">IFERROR(__xludf.DUMMYFUNCTION("""COMPUTED_VALUE"""),"Cumplir con normativa y reglamentos internos del programa en base a los objetivos.")</f>
        <v>Cumplir con normativa y reglamentos internos del programa en base a los objetivos.</v>
      </c>
      <c r="K473" s="71">
        <f ca="1">IFERROR(__xludf.DUMMYFUNCTION("""COMPUTED_VALUE"""),157456264)</f>
        <v>157456264</v>
      </c>
      <c r="L473" s="72">
        <f ca="1">IFERROR(__xludf.DUMMYFUNCTION("""COMPUTED_VALUE"""),1)</f>
        <v>1</v>
      </c>
      <c r="M473" s="10">
        <f ca="1">IFERROR(__xludf.DUMMYFUNCTION("""COMPUTED_VALUE"""),8048)</f>
        <v>8048</v>
      </c>
      <c r="N473" s="10" t="str">
        <f ca="1">IFERROR(__xludf.DUMMYFUNCTION("""COMPUTED_VALUE"""),"PMU")</f>
        <v>PMU</v>
      </c>
      <c r="O473" s="1"/>
      <c r="P473" s="1"/>
      <c r="Q473" s="1"/>
      <c r="R473" s="1"/>
      <c r="S473" s="1"/>
      <c r="T473" s="1"/>
      <c r="U473" s="1"/>
      <c r="V473" s="1"/>
      <c r="W473" s="1"/>
      <c r="X473" s="1"/>
      <c r="Y473" s="1"/>
      <c r="Z473" s="1"/>
    </row>
    <row r="474" spans="1:26" ht="12.75" customHeight="1">
      <c r="A474" s="1"/>
      <c r="B474" s="10" t="str">
        <f ca="1">IFERROR(__xludf.DUMMYFUNCTION("""COMPUTED_VALUE"""),"REPOSICION VEREDAS PASAJE ONGOLMO DESDE BAQUEDANO A RÍO RANAS")</f>
        <v>REPOSICION VEREDAS PASAJE ONGOLMO DESDE BAQUEDANO A RÍO RANAS</v>
      </c>
      <c r="C474" s="10" t="str">
        <f ca="1">IFERROR(__xludf.DUMMYFUNCTION("""COMPUTED_VALUE"""),"1-B-2024-195")</f>
        <v>1-B-2024-195</v>
      </c>
      <c r="D474" s="26" t="str">
        <f t="shared" ca="1" si="0"/>
        <v xml:space="preserve"> CURANILAHUE</v>
      </c>
      <c r="E474" s="10" t="str">
        <f ca="1">IFERROR(__xludf.DUMMYFUNCTION("""COMPUTED_VALUE"""),"Guía Operativa")</f>
        <v>Guía Operativa</v>
      </c>
      <c r="F474" s="10" t="str">
        <f ca="1">IFERROR(__xludf.DUMMYFUNCTION("""COMPUTED_VALUE"""),"MUNICIPALIDAD DE CURANILAHUE")</f>
        <v>MUNICIPALIDAD DE CURANILAHUE</v>
      </c>
      <c r="G474" s="71">
        <f ca="1">IFERROR(__xludf.DUMMYFUNCTION("""COMPUTED_VALUE"""),156982264)</f>
        <v>156982264</v>
      </c>
      <c r="H474" s="10" t="str">
        <f ca="1">IFERROR(__xludf.DUMMYFUNCTION("""COMPUTED_VALUE"""),"Resolución")</f>
        <v>Resolución</v>
      </c>
      <c r="I474" s="10" t="str">
        <f ca="1">IFERROR(__xludf.DUMMYFUNCTION("""COMPUTED_VALUE"""),"OBRA")</f>
        <v>OBRA</v>
      </c>
      <c r="J474" s="10" t="str">
        <f ca="1">IFERROR(__xludf.DUMMYFUNCTION("""COMPUTED_VALUE"""),"Cumplir con normativa y reglamentos internos del programa en base a los objetivos.")</f>
        <v>Cumplir con normativa y reglamentos internos del programa en base a los objetivos.</v>
      </c>
      <c r="K474" s="71">
        <f ca="1">IFERROR(__xludf.DUMMYFUNCTION("""COMPUTED_VALUE"""),156982264)</f>
        <v>156982264</v>
      </c>
      <c r="L474" s="72">
        <f ca="1">IFERROR(__xludf.DUMMYFUNCTION("""COMPUTED_VALUE"""),1)</f>
        <v>1</v>
      </c>
      <c r="M474" s="10">
        <f ca="1">IFERROR(__xludf.DUMMYFUNCTION("""COMPUTED_VALUE"""),8044)</f>
        <v>8044</v>
      </c>
      <c r="N474" s="10" t="str">
        <f ca="1">IFERROR(__xludf.DUMMYFUNCTION("""COMPUTED_VALUE"""),"PMU")</f>
        <v>PMU</v>
      </c>
      <c r="O474" s="1"/>
      <c r="P474" s="1"/>
      <c r="Q474" s="1"/>
      <c r="R474" s="1"/>
      <c r="S474" s="1"/>
      <c r="T474" s="1"/>
      <c r="U474" s="1"/>
      <c r="V474" s="1"/>
      <c r="W474" s="1"/>
      <c r="X474" s="1"/>
      <c r="Y474" s="1"/>
      <c r="Z474" s="1"/>
    </row>
    <row r="475" spans="1:26" ht="12.75" customHeight="1">
      <c r="A475" s="1"/>
      <c r="B475" s="10" t="str">
        <f ca="1">IFERROR(__xludf.DUMMYFUNCTION("""COMPUTED_VALUE"""),"REPOSICIÓN VEREDAS PASAJES LOS CASTAÑOS Y LOS AROMOS CHILLANCITO")</f>
        <v>REPOSICIÓN VEREDAS PASAJES LOS CASTAÑOS Y LOS AROMOS CHILLANCITO</v>
      </c>
      <c r="C475" s="10" t="str">
        <f ca="1">IFERROR(__xludf.DUMMYFUNCTION("""COMPUTED_VALUE"""),"1-B-2024-196")</f>
        <v>1-B-2024-196</v>
      </c>
      <c r="D475" s="26" t="str">
        <f t="shared" ca="1" si="0"/>
        <v xml:space="preserve"> CURANILAHUE</v>
      </c>
      <c r="E475" s="10" t="str">
        <f ca="1">IFERROR(__xludf.DUMMYFUNCTION("""COMPUTED_VALUE"""),"Guía Operativa")</f>
        <v>Guía Operativa</v>
      </c>
      <c r="F475" s="10" t="str">
        <f ca="1">IFERROR(__xludf.DUMMYFUNCTION("""COMPUTED_VALUE"""),"MUNICIPALIDAD DE CURANILAHUE")</f>
        <v>MUNICIPALIDAD DE CURANILAHUE</v>
      </c>
      <c r="G475" s="71">
        <f ca="1">IFERROR(__xludf.DUMMYFUNCTION("""COMPUTED_VALUE"""),156842264)</f>
        <v>156842264</v>
      </c>
      <c r="H475" s="10" t="str">
        <f ca="1">IFERROR(__xludf.DUMMYFUNCTION("""COMPUTED_VALUE"""),"Resolución")</f>
        <v>Resolución</v>
      </c>
      <c r="I475" s="10" t="str">
        <f ca="1">IFERROR(__xludf.DUMMYFUNCTION("""COMPUTED_VALUE"""),"OBRA")</f>
        <v>OBRA</v>
      </c>
      <c r="J475" s="10" t="str">
        <f ca="1">IFERROR(__xludf.DUMMYFUNCTION("""COMPUTED_VALUE"""),"Cumplir con normativa y reglamentos internos del programa en base a los objetivos.")</f>
        <v>Cumplir con normativa y reglamentos internos del programa en base a los objetivos.</v>
      </c>
      <c r="K475" s="71">
        <f ca="1">IFERROR(__xludf.DUMMYFUNCTION("""COMPUTED_VALUE"""),156842264)</f>
        <v>156842264</v>
      </c>
      <c r="L475" s="72">
        <f ca="1">IFERROR(__xludf.DUMMYFUNCTION("""COMPUTED_VALUE"""),1)</f>
        <v>1</v>
      </c>
      <c r="M475" s="10">
        <f ca="1">IFERROR(__xludf.DUMMYFUNCTION("""COMPUTED_VALUE"""),8046)</f>
        <v>8046</v>
      </c>
      <c r="N475" s="10" t="str">
        <f ca="1">IFERROR(__xludf.DUMMYFUNCTION("""COMPUTED_VALUE"""),"PMU")</f>
        <v>PMU</v>
      </c>
      <c r="O475" s="1"/>
      <c r="P475" s="1"/>
      <c r="Q475" s="1"/>
      <c r="R475" s="1"/>
      <c r="S475" s="1"/>
      <c r="T475" s="1"/>
      <c r="U475" s="1"/>
      <c r="V475" s="1"/>
      <c r="W475" s="1"/>
      <c r="X475" s="1"/>
      <c r="Y475" s="1"/>
      <c r="Z475" s="1"/>
    </row>
    <row r="476" spans="1:26" ht="12.75" customHeight="1">
      <c r="A476" s="1"/>
      <c r="B476" s="10" t="str">
        <f ca="1">IFERROR(__xludf.DUMMYFUNCTION("""COMPUTED_VALUE"""),"REPOSICIÓN VEREDAS CALLE GENERAL BONILLA Y PASAJE 5 DE ABRIL")</f>
        <v>REPOSICIÓN VEREDAS CALLE GENERAL BONILLA Y PASAJE 5 DE ABRIL</v>
      </c>
      <c r="C476" s="10" t="str">
        <f ca="1">IFERROR(__xludf.DUMMYFUNCTION("""COMPUTED_VALUE"""),"1-B-2024-197")</f>
        <v>1-B-2024-197</v>
      </c>
      <c r="D476" s="26" t="str">
        <f t="shared" ca="1" si="0"/>
        <v xml:space="preserve"> CURANILAHUE</v>
      </c>
      <c r="E476" s="10" t="str">
        <f ca="1">IFERROR(__xludf.DUMMYFUNCTION("""COMPUTED_VALUE"""),"Guía Operativa")</f>
        <v>Guía Operativa</v>
      </c>
      <c r="F476" s="10" t="str">
        <f ca="1">IFERROR(__xludf.DUMMYFUNCTION("""COMPUTED_VALUE"""),"MUNICIPALIDAD DE CURANILAHUE")</f>
        <v>MUNICIPALIDAD DE CURANILAHUE</v>
      </c>
      <c r="G476" s="71">
        <f ca="1">IFERROR(__xludf.DUMMYFUNCTION("""COMPUTED_VALUE"""),153567760)</f>
        <v>153567760</v>
      </c>
      <c r="H476" s="10" t="str">
        <f ca="1">IFERROR(__xludf.DUMMYFUNCTION("""COMPUTED_VALUE"""),"Resolución")</f>
        <v>Resolución</v>
      </c>
      <c r="I476" s="10" t="str">
        <f ca="1">IFERROR(__xludf.DUMMYFUNCTION("""COMPUTED_VALUE"""),"OBRA")</f>
        <v>OBRA</v>
      </c>
      <c r="J476" s="10" t="str">
        <f ca="1">IFERROR(__xludf.DUMMYFUNCTION("""COMPUTED_VALUE"""),"Cumplir con normativa y reglamentos internos del programa en base a los objetivos.")</f>
        <v>Cumplir con normativa y reglamentos internos del programa en base a los objetivos.</v>
      </c>
      <c r="K476" s="71">
        <f ca="1">IFERROR(__xludf.DUMMYFUNCTION("""COMPUTED_VALUE"""),153567760)</f>
        <v>153567760</v>
      </c>
      <c r="L476" s="72">
        <f ca="1">IFERROR(__xludf.DUMMYFUNCTION("""COMPUTED_VALUE"""),1)</f>
        <v>1</v>
      </c>
      <c r="M476" s="10">
        <f ca="1">IFERROR(__xludf.DUMMYFUNCTION("""COMPUTED_VALUE"""),8046)</f>
        <v>8046</v>
      </c>
      <c r="N476" s="10" t="str">
        <f ca="1">IFERROR(__xludf.DUMMYFUNCTION("""COMPUTED_VALUE"""),"PMU")</f>
        <v>PMU</v>
      </c>
      <c r="O476" s="1"/>
      <c r="P476" s="1"/>
      <c r="Q476" s="1"/>
      <c r="R476" s="1"/>
      <c r="S476" s="1"/>
      <c r="T476" s="1"/>
      <c r="U476" s="1"/>
      <c r="V476" s="1"/>
      <c r="W476" s="1"/>
      <c r="X476" s="1"/>
      <c r="Y476" s="1"/>
      <c r="Z476" s="1"/>
    </row>
    <row r="477" spans="1:26" ht="12.75" customHeight="1">
      <c r="A477" s="1"/>
      <c r="B477" s="10" t="str">
        <f ca="1">IFERROR(__xludf.DUMMYFUNCTION("""COMPUTED_VALUE"""),"REPOSICIÓN VEREDAS Y BARANDAS Y CONSTRUCCIÓN MUROS DE CONTENCIÓN PASAJE ARAUCO ALTO")</f>
        <v>REPOSICIÓN VEREDAS Y BARANDAS Y CONSTRUCCIÓN MUROS DE CONTENCIÓN PASAJE ARAUCO ALTO</v>
      </c>
      <c r="C477" s="10" t="str">
        <f ca="1">IFERROR(__xludf.DUMMYFUNCTION("""COMPUTED_VALUE"""),"1-B-2024-198")</f>
        <v>1-B-2024-198</v>
      </c>
      <c r="D477" s="26" t="str">
        <f t="shared" ca="1" si="0"/>
        <v xml:space="preserve"> CURANILAHUE</v>
      </c>
      <c r="E477" s="10" t="str">
        <f ca="1">IFERROR(__xludf.DUMMYFUNCTION("""COMPUTED_VALUE"""),"Guía Operativa")</f>
        <v>Guía Operativa</v>
      </c>
      <c r="F477" s="10" t="str">
        <f ca="1">IFERROR(__xludf.DUMMYFUNCTION("""COMPUTED_VALUE"""),"MUNICIPALIDAD DE CURANILAHUE")</f>
        <v>MUNICIPALIDAD DE CURANILAHUE</v>
      </c>
      <c r="G477" s="71">
        <f ca="1">IFERROR(__xludf.DUMMYFUNCTION("""COMPUTED_VALUE"""),151554260)</f>
        <v>151554260</v>
      </c>
      <c r="H477" s="10" t="str">
        <f ca="1">IFERROR(__xludf.DUMMYFUNCTION("""COMPUTED_VALUE"""),"Resolución")</f>
        <v>Resolución</v>
      </c>
      <c r="I477" s="10" t="str">
        <f ca="1">IFERROR(__xludf.DUMMYFUNCTION("""COMPUTED_VALUE"""),"OBRA")</f>
        <v>OBRA</v>
      </c>
      <c r="J477" s="10" t="str">
        <f ca="1">IFERROR(__xludf.DUMMYFUNCTION("""COMPUTED_VALUE"""),"Cumplir con normativa y reglamentos internos del programa en base a los objetivos.")</f>
        <v>Cumplir con normativa y reglamentos internos del programa en base a los objetivos.</v>
      </c>
      <c r="K477" s="71">
        <f ca="1">IFERROR(__xludf.DUMMYFUNCTION("""COMPUTED_VALUE"""),151554260)</f>
        <v>151554260</v>
      </c>
      <c r="L477" s="72">
        <f ca="1">IFERROR(__xludf.DUMMYFUNCTION("""COMPUTED_VALUE"""),1)</f>
        <v>1</v>
      </c>
      <c r="M477" s="10">
        <f ca="1">IFERROR(__xludf.DUMMYFUNCTION("""COMPUTED_VALUE"""),8048)</f>
        <v>8048</v>
      </c>
      <c r="N477" s="10" t="str">
        <f ca="1">IFERROR(__xludf.DUMMYFUNCTION("""COMPUTED_VALUE"""),"PMU")</f>
        <v>PMU</v>
      </c>
      <c r="O477" s="1"/>
      <c r="P477" s="1"/>
      <c r="Q477" s="1"/>
      <c r="R477" s="1"/>
      <c r="S477" s="1"/>
      <c r="T477" s="1"/>
      <c r="U477" s="1"/>
      <c r="V477" s="1"/>
      <c r="W477" s="1"/>
      <c r="X477" s="1"/>
      <c r="Y477" s="1"/>
      <c r="Z477" s="1"/>
    </row>
    <row r="478" spans="1:26" ht="12.75" customHeight="1">
      <c r="A478" s="1"/>
      <c r="B478" s="10" t="str">
        <f ca="1">IFERROR(__xludf.DUMMYFUNCTION("""COMPUTED_VALUE"""),"CONSTRUCCIÓN Y REPOSICIÓN FOSOS DE HORMIGÓN TUCAPEL, PASAJE COSTANERA LOS AMARILLOS Y VEREDAS PASAJE 2 CERRO VERDE")</f>
        <v>CONSTRUCCIÓN Y REPOSICIÓN FOSOS DE HORMIGÓN TUCAPEL, PASAJE COSTANERA LOS AMARILLOS Y VEREDAS PASAJE 2 CERRO VERDE</v>
      </c>
      <c r="C478" s="10" t="str">
        <f ca="1">IFERROR(__xludf.DUMMYFUNCTION("""COMPUTED_VALUE"""),"1-B-2024-199")</f>
        <v>1-B-2024-199</v>
      </c>
      <c r="D478" s="26" t="str">
        <f t="shared" ca="1" si="0"/>
        <v xml:space="preserve"> CURANILAHUE</v>
      </c>
      <c r="E478" s="10" t="str">
        <f ca="1">IFERROR(__xludf.DUMMYFUNCTION("""COMPUTED_VALUE"""),"Guía Operativa")</f>
        <v>Guía Operativa</v>
      </c>
      <c r="F478" s="10" t="str">
        <f ca="1">IFERROR(__xludf.DUMMYFUNCTION("""COMPUTED_VALUE"""),"MUNICIPALIDAD DE CURANILAHUE")</f>
        <v>MUNICIPALIDAD DE CURANILAHUE</v>
      </c>
      <c r="G478" s="71">
        <f ca="1">IFERROR(__xludf.DUMMYFUNCTION("""COMPUTED_VALUE"""),151144760)</f>
        <v>151144760</v>
      </c>
      <c r="H478" s="10" t="str">
        <f ca="1">IFERROR(__xludf.DUMMYFUNCTION("""COMPUTED_VALUE"""),"Resolución")</f>
        <v>Resolución</v>
      </c>
      <c r="I478" s="10" t="str">
        <f ca="1">IFERROR(__xludf.DUMMYFUNCTION("""COMPUTED_VALUE"""),"OBRA")</f>
        <v>OBRA</v>
      </c>
      <c r="J478" s="10" t="str">
        <f ca="1">IFERROR(__xludf.DUMMYFUNCTION("""COMPUTED_VALUE"""),"Cumplir con normativa y reglamentos internos del programa en base a los objetivos.")</f>
        <v>Cumplir con normativa y reglamentos internos del programa en base a los objetivos.</v>
      </c>
      <c r="K478" s="71">
        <f ca="1">IFERROR(__xludf.DUMMYFUNCTION("""COMPUTED_VALUE"""),151144760)</f>
        <v>151144760</v>
      </c>
      <c r="L478" s="72">
        <f ca="1">IFERROR(__xludf.DUMMYFUNCTION("""COMPUTED_VALUE"""),1)</f>
        <v>1</v>
      </c>
      <c r="M478" s="10">
        <f ca="1">IFERROR(__xludf.DUMMYFUNCTION("""COMPUTED_VALUE"""),8045)</f>
        <v>8045</v>
      </c>
      <c r="N478" s="10" t="str">
        <f ca="1">IFERROR(__xludf.DUMMYFUNCTION("""COMPUTED_VALUE"""),"PMU")</f>
        <v>PMU</v>
      </c>
      <c r="O478" s="1"/>
      <c r="P478" s="1"/>
      <c r="Q478" s="1"/>
      <c r="R478" s="1"/>
      <c r="S478" s="1"/>
      <c r="T478" s="1"/>
      <c r="U478" s="1"/>
      <c r="V478" s="1"/>
      <c r="W478" s="1"/>
      <c r="X478" s="1"/>
      <c r="Y478" s="1"/>
      <c r="Z478" s="1"/>
    </row>
    <row r="479" spans="1:26" ht="12.75" customHeight="1">
      <c r="A479" s="1"/>
      <c r="B479" s="10" t="str">
        <f ca="1">IFERROR(__xludf.DUMMYFUNCTION("""COMPUTED_VALUE"""),"BACHEOS DE CALLES Y PASAJES; CERRO LA PERDIZ, 21 DE MAYO, E. RIQUELME Y LA QUILA, E INSTALACIÓN DE BARANDA PEATONAL EN AV. BERNARDO O""HIGGINS")</f>
        <v>BACHEOS DE CALLES Y PASAJES; CERRO LA PERDIZ, 21 DE MAYO, E. RIQUELME Y LA QUILA, E INSTALACIÓN DE BARANDA PEATONAL EN AV. BERNARDO O"HIGGINS</v>
      </c>
      <c r="C479" s="10" t="str">
        <f ca="1">IFERROR(__xludf.DUMMYFUNCTION("""COMPUTED_VALUE"""),"1-B-2024-200")</f>
        <v>1-B-2024-200</v>
      </c>
      <c r="D479" s="26" t="str">
        <f t="shared" ca="1" si="0"/>
        <v xml:space="preserve"> CURANILAHUE</v>
      </c>
      <c r="E479" s="10" t="str">
        <f ca="1">IFERROR(__xludf.DUMMYFUNCTION("""COMPUTED_VALUE"""),"Guía Operativa")</f>
        <v>Guía Operativa</v>
      </c>
      <c r="F479" s="10" t="str">
        <f ca="1">IFERROR(__xludf.DUMMYFUNCTION("""COMPUTED_VALUE"""),"MUNICIPALIDAD DE CURANILAHUE")</f>
        <v>MUNICIPALIDAD DE CURANILAHUE</v>
      </c>
      <c r="G479" s="71">
        <f ca="1">IFERROR(__xludf.DUMMYFUNCTION("""COMPUTED_VALUE"""),152004278)</f>
        <v>152004278</v>
      </c>
      <c r="H479" s="10" t="str">
        <f ca="1">IFERROR(__xludf.DUMMYFUNCTION("""COMPUTED_VALUE"""),"Resolución")</f>
        <v>Resolución</v>
      </c>
      <c r="I479" s="10" t="str">
        <f ca="1">IFERROR(__xludf.DUMMYFUNCTION("""COMPUTED_VALUE"""),"OBRA")</f>
        <v>OBRA</v>
      </c>
      <c r="J479" s="10" t="str">
        <f ca="1">IFERROR(__xludf.DUMMYFUNCTION("""COMPUTED_VALUE"""),"Cumplir con normativa y reglamentos internos del programa en base a los objetivos.")</f>
        <v>Cumplir con normativa y reglamentos internos del programa en base a los objetivos.</v>
      </c>
      <c r="K479" s="71">
        <f ca="1">IFERROR(__xludf.DUMMYFUNCTION("""COMPUTED_VALUE"""),152004278)</f>
        <v>152004278</v>
      </c>
      <c r="L479" s="72">
        <f ca="1">IFERROR(__xludf.DUMMYFUNCTION("""COMPUTED_VALUE"""),1)</f>
        <v>1</v>
      </c>
      <c r="M479" s="10">
        <f ca="1">IFERROR(__xludf.DUMMYFUNCTION("""COMPUTED_VALUE"""),8048)</f>
        <v>8048</v>
      </c>
      <c r="N479" s="10" t="str">
        <f ca="1">IFERROR(__xludf.DUMMYFUNCTION("""COMPUTED_VALUE"""),"PMU")</f>
        <v>PMU</v>
      </c>
      <c r="O479" s="1"/>
      <c r="P479" s="1"/>
      <c r="Q479" s="1"/>
      <c r="R479" s="1"/>
      <c r="S479" s="1"/>
      <c r="T479" s="1"/>
      <c r="U479" s="1"/>
      <c r="V479" s="1"/>
      <c r="W479" s="1"/>
      <c r="X479" s="1"/>
      <c r="Y479" s="1"/>
      <c r="Z479" s="1"/>
    </row>
    <row r="480" spans="1:26" ht="12.75" customHeight="1">
      <c r="A480" s="1"/>
      <c r="B480" s="10" t="str">
        <f ca="1">IFERROR(__xludf.DUMMYFUNCTION("""COMPUTED_VALUE"""),"DEMARCACIÓN VIAL E INSTALACIÓN REDUCTORES DE VELOCIDAD CALLE ALAMEDA Y BACHEO EN CALLE GALVARINO")</f>
        <v>DEMARCACIÓN VIAL E INSTALACIÓN REDUCTORES DE VELOCIDAD CALLE ALAMEDA Y BACHEO EN CALLE GALVARINO</v>
      </c>
      <c r="C480" s="10" t="str">
        <f ca="1">IFERROR(__xludf.DUMMYFUNCTION("""COMPUTED_VALUE"""),"1-B-2024-201")</f>
        <v>1-B-2024-201</v>
      </c>
      <c r="D480" s="26" t="str">
        <f t="shared" ca="1" si="0"/>
        <v xml:space="preserve"> CURANILAHUE</v>
      </c>
      <c r="E480" s="10" t="str">
        <f ca="1">IFERROR(__xludf.DUMMYFUNCTION("""COMPUTED_VALUE"""),"Guía Operativa")</f>
        <v>Guía Operativa</v>
      </c>
      <c r="F480" s="10" t="str">
        <f ca="1">IFERROR(__xludf.DUMMYFUNCTION("""COMPUTED_VALUE"""),"MUNICIPALIDAD DE CURANILAHUE")</f>
        <v>MUNICIPALIDAD DE CURANILAHUE</v>
      </c>
      <c r="G480" s="71">
        <f ca="1">IFERROR(__xludf.DUMMYFUNCTION("""COMPUTED_VALUE"""),151984360)</f>
        <v>151984360</v>
      </c>
      <c r="H480" s="10" t="str">
        <f ca="1">IFERROR(__xludf.DUMMYFUNCTION("""COMPUTED_VALUE"""),"Resolución")</f>
        <v>Resolución</v>
      </c>
      <c r="I480" s="10" t="str">
        <f ca="1">IFERROR(__xludf.DUMMYFUNCTION("""COMPUTED_VALUE"""),"OBRA")</f>
        <v>OBRA</v>
      </c>
      <c r="J480" s="10" t="str">
        <f ca="1">IFERROR(__xludf.DUMMYFUNCTION("""COMPUTED_VALUE"""),"Cumplir con normativa y reglamentos internos del programa en base a los objetivos.")</f>
        <v>Cumplir con normativa y reglamentos internos del programa en base a los objetivos.</v>
      </c>
      <c r="K480" s="71">
        <f ca="1">IFERROR(__xludf.DUMMYFUNCTION("""COMPUTED_VALUE"""),151984360)</f>
        <v>151984360</v>
      </c>
      <c r="L480" s="72">
        <f ca="1">IFERROR(__xludf.DUMMYFUNCTION("""COMPUTED_VALUE"""),1)</f>
        <v>1</v>
      </c>
      <c r="M480" s="10">
        <f ca="1">IFERROR(__xludf.DUMMYFUNCTION("""COMPUTED_VALUE"""),8046)</f>
        <v>8046</v>
      </c>
      <c r="N480" s="10" t="str">
        <f ca="1">IFERROR(__xludf.DUMMYFUNCTION("""COMPUTED_VALUE"""),"PMU")</f>
        <v>PMU</v>
      </c>
      <c r="O480" s="1"/>
      <c r="P480" s="1"/>
      <c r="Q480" s="1"/>
      <c r="R480" s="1"/>
      <c r="S480" s="1"/>
      <c r="T480" s="1"/>
      <c r="U480" s="1"/>
      <c r="V480" s="1"/>
      <c r="W480" s="1"/>
      <c r="X480" s="1"/>
      <c r="Y480" s="1"/>
      <c r="Z480" s="1"/>
    </row>
    <row r="481" spans="1:26" ht="12.75" customHeight="1">
      <c r="A481" s="1"/>
      <c r="B481" s="10" t="str">
        <f ca="1">IFERROR(__xludf.DUMMYFUNCTION("""COMPUTED_VALUE"""),"MEJORAMIENTO PLAZOLETA CALLE 3 DE MAYO LADO NORTE, ENTRE FUNDO EL DESCABEZADO Y FUNDO QUILLAY")</f>
        <v>MEJORAMIENTO PLAZOLETA CALLE 3 DE MAYO LADO NORTE, ENTRE FUNDO EL DESCABEZADO Y FUNDO QUILLAY</v>
      </c>
      <c r="C481" s="10" t="str">
        <f ca="1">IFERROR(__xludf.DUMMYFUNCTION("""COMPUTED_VALUE"""),"1-B-2024-204")</f>
        <v>1-B-2024-204</v>
      </c>
      <c r="D481" s="26" t="str">
        <f t="shared" ca="1" si="0"/>
        <v xml:space="preserve"> CURANILAHUE</v>
      </c>
      <c r="E481" s="10" t="str">
        <f ca="1">IFERROR(__xludf.DUMMYFUNCTION("""COMPUTED_VALUE"""),"Guía Operativa")</f>
        <v>Guía Operativa</v>
      </c>
      <c r="F481" s="10" t="str">
        <f ca="1">IFERROR(__xludf.DUMMYFUNCTION("""COMPUTED_VALUE"""),"MUNICIPALIDAD DE CURANILAHUE")</f>
        <v>MUNICIPALIDAD DE CURANILAHUE</v>
      </c>
      <c r="G481" s="71">
        <f ca="1">IFERROR(__xludf.DUMMYFUNCTION("""COMPUTED_VALUE"""),151983760)</f>
        <v>151983760</v>
      </c>
      <c r="H481" s="10" t="str">
        <f ca="1">IFERROR(__xludf.DUMMYFUNCTION("""COMPUTED_VALUE"""),"Resolución")</f>
        <v>Resolución</v>
      </c>
      <c r="I481" s="10" t="str">
        <f ca="1">IFERROR(__xludf.DUMMYFUNCTION("""COMPUTED_VALUE"""),"OBRA")</f>
        <v>OBRA</v>
      </c>
      <c r="J481" s="10" t="str">
        <f ca="1">IFERROR(__xludf.DUMMYFUNCTION("""COMPUTED_VALUE"""),"Cumplir con normativa y reglamentos internos del programa en base a los objetivos.")</f>
        <v>Cumplir con normativa y reglamentos internos del programa en base a los objetivos.</v>
      </c>
      <c r="K481" s="71">
        <f ca="1">IFERROR(__xludf.DUMMYFUNCTION("""COMPUTED_VALUE"""),151983760)</f>
        <v>151983760</v>
      </c>
      <c r="L481" s="72">
        <f ca="1">IFERROR(__xludf.DUMMYFUNCTION("""COMPUTED_VALUE"""),1)</f>
        <v>1</v>
      </c>
      <c r="M481" s="10">
        <f ca="1">IFERROR(__xludf.DUMMYFUNCTION("""COMPUTED_VALUE"""),8027)</f>
        <v>8027</v>
      </c>
      <c r="N481" s="10" t="str">
        <f ca="1">IFERROR(__xludf.DUMMYFUNCTION("""COMPUTED_VALUE"""),"PMU")</f>
        <v>PMU</v>
      </c>
      <c r="O481" s="1"/>
      <c r="P481" s="1"/>
      <c r="Q481" s="1"/>
      <c r="R481" s="1"/>
      <c r="S481" s="1"/>
      <c r="T481" s="1"/>
      <c r="U481" s="1"/>
      <c r="V481" s="1"/>
      <c r="W481" s="1"/>
      <c r="X481" s="1"/>
      <c r="Y481" s="1"/>
      <c r="Z481" s="1"/>
    </row>
    <row r="482" spans="1:26" ht="12.75" customHeight="1">
      <c r="A482" s="1"/>
      <c r="B482" s="10" t="str">
        <f ca="1">IFERROR(__xludf.DUMMYFUNCTION("""COMPUTED_VALUE"""),"CONSTRUCCIÓN MURO DE CONTENCIÓN AVENIDA B. O""HIGGINS FRENTE AL N°1.540")</f>
        <v>CONSTRUCCIÓN MURO DE CONTENCIÓN AVENIDA B. O"HIGGINS FRENTE AL N°1.540</v>
      </c>
      <c r="C482" s="10" t="str">
        <f ca="1">IFERROR(__xludf.DUMMYFUNCTION("""COMPUTED_VALUE"""),"1-B-2024-205")</f>
        <v>1-B-2024-205</v>
      </c>
      <c r="D482" s="26" t="str">
        <f t="shared" ca="1" si="0"/>
        <v xml:space="preserve"> CURANILAHUE</v>
      </c>
      <c r="E482" s="10" t="str">
        <f ca="1">IFERROR(__xludf.DUMMYFUNCTION("""COMPUTED_VALUE"""),"Guía Operativa")</f>
        <v>Guía Operativa</v>
      </c>
      <c r="F482" s="10" t="str">
        <f ca="1">IFERROR(__xludf.DUMMYFUNCTION("""COMPUTED_VALUE"""),"MUNICIPALIDAD DE CURANILAHUE")</f>
        <v>MUNICIPALIDAD DE CURANILAHUE</v>
      </c>
      <c r="G482" s="71">
        <f ca="1">IFERROR(__xludf.DUMMYFUNCTION("""COMPUTED_VALUE"""),152975760)</f>
        <v>152975760</v>
      </c>
      <c r="H482" s="10" t="str">
        <f ca="1">IFERROR(__xludf.DUMMYFUNCTION("""COMPUTED_VALUE"""),"Resolución")</f>
        <v>Resolución</v>
      </c>
      <c r="I482" s="10" t="str">
        <f ca="1">IFERROR(__xludf.DUMMYFUNCTION("""COMPUTED_VALUE"""),"OBRA")</f>
        <v>OBRA</v>
      </c>
      <c r="J482" s="10" t="str">
        <f ca="1">IFERROR(__xludf.DUMMYFUNCTION("""COMPUTED_VALUE"""),"Cumplir con normativa y reglamentos internos del programa en base a los objetivos.")</f>
        <v>Cumplir con normativa y reglamentos internos del programa en base a los objetivos.</v>
      </c>
      <c r="K482" s="71">
        <f ca="1">IFERROR(__xludf.DUMMYFUNCTION("""COMPUTED_VALUE"""),152975760)</f>
        <v>152975760</v>
      </c>
      <c r="L482" s="72">
        <f ca="1">IFERROR(__xludf.DUMMYFUNCTION("""COMPUTED_VALUE"""),1)</f>
        <v>1</v>
      </c>
      <c r="M482" s="10">
        <f ca="1">IFERROR(__xludf.DUMMYFUNCTION("""COMPUTED_VALUE"""),8045)</f>
        <v>8045</v>
      </c>
      <c r="N482" s="10" t="str">
        <f ca="1">IFERROR(__xludf.DUMMYFUNCTION("""COMPUTED_VALUE"""),"PMU")</f>
        <v>PMU</v>
      </c>
      <c r="O482" s="1"/>
      <c r="P482" s="1"/>
      <c r="Q482" s="1"/>
      <c r="R482" s="1"/>
      <c r="S482" s="1"/>
      <c r="T482" s="1"/>
      <c r="U482" s="1"/>
      <c r="V482" s="1"/>
      <c r="W482" s="1"/>
      <c r="X482" s="1"/>
      <c r="Y482" s="1"/>
      <c r="Z482" s="1"/>
    </row>
    <row r="483" spans="1:26" ht="12.75" customHeight="1">
      <c r="A483" s="1"/>
      <c r="B483" s="10" t="str">
        <f ca="1">IFERROR(__xludf.DUMMYFUNCTION("""COMPUTED_VALUE"""),"MEJORAMIENTO ÁREA VERDE AV. O”HIGGINS FRENTE A SOLUCENTER")</f>
        <v>MEJORAMIENTO ÁREA VERDE AV. O”HIGGINS FRENTE A SOLUCENTER</v>
      </c>
      <c r="C483" s="10" t="str">
        <f ca="1">IFERROR(__xludf.DUMMYFUNCTION("""COMPUTED_VALUE"""),"1-B-2024-206")</f>
        <v>1-B-2024-206</v>
      </c>
      <c r="D483" s="26" t="str">
        <f t="shared" ca="1" si="0"/>
        <v xml:space="preserve"> CURANILAHUE</v>
      </c>
      <c r="E483" s="10" t="str">
        <f ca="1">IFERROR(__xludf.DUMMYFUNCTION("""COMPUTED_VALUE"""),"Guía Operativa")</f>
        <v>Guía Operativa</v>
      </c>
      <c r="F483" s="10" t="str">
        <f ca="1">IFERROR(__xludf.DUMMYFUNCTION("""COMPUTED_VALUE"""),"MUNICIPALIDAD DE CURANILAHUE")</f>
        <v>MUNICIPALIDAD DE CURANILAHUE</v>
      </c>
      <c r="G483" s="71">
        <f ca="1">IFERROR(__xludf.DUMMYFUNCTION("""COMPUTED_VALUE"""),151922925)</f>
        <v>151922925</v>
      </c>
      <c r="H483" s="10" t="str">
        <f ca="1">IFERROR(__xludf.DUMMYFUNCTION("""COMPUTED_VALUE"""),"Resolución")</f>
        <v>Resolución</v>
      </c>
      <c r="I483" s="10" t="str">
        <f ca="1">IFERROR(__xludf.DUMMYFUNCTION("""COMPUTED_VALUE"""),"OBRA")</f>
        <v>OBRA</v>
      </c>
      <c r="J483" s="10" t="str">
        <f ca="1">IFERROR(__xludf.DUMMYFUNCTION("""COMPUTED_VALUE"""),"Cumplir con normativa y reglamentos internos del programa en base a los objetivos.")</f>
        <v>Cumplir con normativa y reglamentos internos del programa en base a los objetivos.</v>
      </c>
      <c r="K483" s="71">
        <f ca="1">IFERROR(__xludf.DUMMYFUNCTION("""COMPUTED_VALUE"""),151922925)</f>
        <v>151922925</v>
      </c>
      <c r="L483" s="72">
        <f ca="1">IFERROR(__xludf.DUMMYFUNCTION("""COMPUTED_VALUE"""),1)</f>
        <v>1</v>
      </c>
      <c r="M483" s="10">
        <f ca="1">IFERROR(__xludf.DUMMYFUNCTION("""COMPUTED_VALUE"""),8027)</f>
        <v>8027</v>
      </c>
      <c r="N483" s="10" t="str">
        <f ca="1">IFERROR(__xludf.DUMMYFUNCTION("""COMPUTED_VALUE"""),"PMU")</f>
        <v>PMU</v>
      </c>
      <c r="O483" s="1"/>
      <c r="P483" s="1"/>
      <c r="Q483" s="1"/>
      <c r="R483" s="1"/>
      <c r="S483" s="1"/>
      <c r="T483" s="1"/>
      <c r="U483" s="1"/>
      <c r="V483" s="1"/>
      <c r="W483" s="1"/>
      <c r="X483" s="1"/>
      <c r="Y483" s="1"/>
      <c r="Z483" s="1"/>
    </row>
    <row r="484" spans="1:26" ht="12.75" customHeight="1">
      <c r="A484" s="1"/>
      <c r="B484" s="10" t="str">
        <f ca="1">IFERROR(__xludf.DUMMYFUNCTION("""COMPUTED_VALUE"""),"INSTALACIÓN SEÑALÉTICAS VIALES Y ZONAS DE RIESGO Y DEMARCACIÓN VIAL EN DISTINTOS PUNTOS DE LA COMUNA")</f>
        <v>INSTALACIÓN SEÑALÉTICAS VIALES Y ZONAS DE RIESGO Y DEMARCACIÓN VIAL EN DISTINTOS PUNTOS DE LA COMUNA</v>
      </c>
      <c r="C484" s="10" t="str">
        <f ca="1">IFERROR(__xludf.DUMMYFUNCTION("""COMPUTED_VALUE"""),"1-B-2024-207")</f>
        <v>1-B-2024-207</v>
      </c>
      <c r="D484" s="26" t="str">
        <f t="shared" ca="1" si="0"/>
        <v xml:space="preserve"> CURANILAHUE</v>
      </c>
      <c r="E484" s="10" t="str">
        <f ca="1">IFERROR(__xludf.DUMMYFUNCTION("""COMPUTED_VALUE"""),"Guía Operativa")</f>
        <v>Guía Operativa</v>
      </c>
      <c r="F484" s="10" t="str">
        <f ca="1">IFERROR(__xludf.DUMMYFUNCTION("""COMPUTED_VALUE"""),"MUNICIPALIDAD DE CURANILAHUE")</f>
        <v>MUNICIPALIDAD DE CURANILAHUE</v>
      </c>
      <c r="G484" s="71">
        <f ca="1">IFERROR(__xludf.DUMMYFUNCTION("""COMPUTED_VALUE"""),148537260)</f>
        <v>148537260</v>
      </c>
      <c r="H484" s="10" t="str">
        <f ca="1">IFERROR(__xludf.DUMMYFUNCTION("""COMPUTED_VALUE"""),"Resolución")</f>
        <v>Resolución</v>
      </c>
      <c r="I484" s="10" t="str">
        <f ca="1">IFERROR(__xludf.DUMMYFUNCTION("""COMPUTED_VALUE"""),"OBRA")</f>
        <v>OBRA</v>
      </c>
      <c r="J484" s="10" t="str">
        <f ca="1">IFERROR(__xludf.DUMMYFUNCTION("""COMPUTED_VALUE"""),"Cumplir con normativa y reglamentos internos del programa en base a los objetivos.")</f>
        <v>Cumplir con normativa y reglamentos internos del programa en base a los objetivos.</v>
      </c>
      <c r="K484" s="71">
        <f ca="1">IFERROR(__xludf.DUMMYFUNCTION("""COMPUTED_VALUE"""),148537260)</f>
        <v>148537260</v>
      </c>
      <c r="L484" s="72">
        <f ca="1">IFERROR(__xludf.DUMMYFUNCTION("""COMPUTED_VALUE"""),1)</f>
        <v>1</v>
      </c>
      <c r="M484" s="10">
        <f ca="1">IFERROR(__xludf.DUMMYFUNCTION("""COMPUTED_VALUE"""),8048)</f>
        <v>8048</v>
      </c>
      <c r="N484" s="10" t="str">
        <f ca="1">IFERROR(__xludf.DUMMYFUNCTION("""COMPUTED_VALUE"""),"PMU")</f>
        <v>PMU</v>
      </c>
      <c r="O484" s="1"/>
      <c r="P484" s="1"/>
      <c r="Q484" s="1"/>
      <c r="R484" s="1"/>
      <c r="S484" s="1"/>
      <c r="T484" s="1"/>
      <c r="U484" s="1"/>
      <c r="V484" s="1"/>
      <c r="W484" s="1"/>
      <c r="X484" s="1"/>
      <c r="Y484" s="1"/>
      <c r="Z484" s="1"/>
    </row>
    <row r="485" spans="1:26" ht="12.75" customHeight="1">
      <c r="A485" s="1"/>
      <c r="B485" s="10" t="str">
        <f ca="1">IFERROR(__xludf.DUMMYFUNCTION("""COMPUTED_VALUE"""),"INSTALACIÓN DE SEÑALÉTICAS CALLES Y PASAJES CARLOS CONDELL; ERNESTO RIQUELME, GASPAR INOSTROZA, MARTINEZ DE ROZAS, ANDRES BELLO, MAIPU, ENTRE OTROS.")</f>
        <v>INSTALACIÓN DE SEÑALÉTICAS CALLES Y PASAJES CARLOS CONDELL; ERNESTO RIQUELME, GASPAR INOSTROZA, MARTINEZ DE ROZAS, ANDRES BELLO, MAIPU, ENTRE OTROS.</v>
      </c>
      <c r="C485" s="10" t="str">
        <f ca="1">IFERROR(__xludf.DUMMYFUNCTION("""COMPUTED_VALUE"""),"1-B-2024-208")</f>
        <v>1-B-2024-208</v>
      </c>
      <c r="D485" s="26" t="str">
        <f t="shared" ca="1" si="0"/>
        <v xml:space="preserve"> CURANILAHUE</v>
      </c>
      <c r="E485" s="10" t="str">
        <f ca="1">IFERROR(__xludf.DUMMYFUNCTION("""COMPUTED_VALUE"""),"Guía Operativa")</f>
        <v>Guía Operativa</v>
      </c>
      <c r="F485" s="10" t="str">
        <f ca="1">IFERROR(__xludf.DUMMYFUNCTION("""COMPUTED_VALUE"""),"MUNICIPALIDAD DE CURANILAHUE")</f>
        <v>MUNICIPALIDAD DE CURANILAHUE</v>
      </c>
      <c r="G485" s="71">
        <f ca="1">IFERROR(__xludf.DUMMYFUNCTION("""COMPUTED_VALUE"""),151998160)</f>
        <v>151998160</v>
      </c>
      <c r="H485" s="10" t="str">
        <f ca="1">IFERROR(__xludf.DUMMYFUNCTION("""COMPUTED_VALUE"""),"Resolución")</f>
        <v>Resolución</v>
      </c>
      <c r="I485" s="10" t="str">
        <f ca="1">IFERROR(__xludf.DUMMYFUNCTION("""COMPUTED_VALUE"""),"OBRA")</f>
        <v>OBRA</v>
      </c>
      <c r="J485" s="10" t="str">
        <f ca="1">IFERROR(__xludf.DUMMYFUNCTION("""COMPUTED_VALUE"""),"Cumplir con normativa y reglamentos internos del programa en base a los objetivos.")</f>
        <v>Cumplir con normativa y reglamentos internos del programa en base a los objetivos.</v>
      </c>
      <c r="K485" s="71">
        <f ca="1">IFERROR(__xludf.DUMMYFUNCTION("""COMPUTED_VALUE"""),151998160)</f>
        <v>151998160</v>
      </c>
      <c r="L485" s="72">
        <f ca="1">IFERROR(__xludf.DUMMYFUNCTION("""COMPUTED_VALUE"""),1)</f>
        <v>1</v>
      </c>
      <c r="M485" s="10">
        <f ca="1">IFERROR(__xludf.DUMMYFUNCTION("""COMPUTED_VALUE"""),8048)</f>
        <v>8048</v>
      </c>
      <c r="N485" s="10" t="str">
        <f ca="1">IFERROR(__xludf.DUMMYFUNCTION("""COMPUTED_VALUE"""),"PMU")</f>
        <v>PMU</v>
      </c>
      <c r="O485" s="1"/>
      <c r="P485" s="1"/>
      <c r="Q485" s="1"/>
      <c r="R485" s="1"/>
      <c r="S485" s="1"/>
      <c r="T485" s="1"/>
      <c r="U485" s="1"/>
      <c r="V485" s="1"/>
      <c r="W485" s="1"/>
      <c r="X485" s="1"/>
      <c r="Y485" s="1"/>
      <c r="Z485" s="1"/>
    </row>
    <row r="486" spans="1:26" ht="12.75" customHeight="1">
      <c r="A486" s="1"/>
      <c r="B486" s="10" t="str">
        <f ca="1">IFERROR(__xludf.DUMMYFUNCTION("""COMPUTED_VALUE"""),"INSTALACIÓN DE SEÑALÉTICAS CALLES Y PASAJES POBLACIÓN EL PORTAL DE CURANILAHUE")</f>
        <v>INSTALACIÓN DE SEÑALÉTICAS CALLES Y PASAJES POBLACIÓN EL PORTAL DE CURANILAHUE</v>
      </c>
      <c r="C486" s="10" t="str">
        <f ca="1">IFERROR(__xludf.DUMMYFUNCTION("""COMPUTED_VALUE"""),"1-B-2024-209")</f>
        <v>1-B-2024-209</v>
      </c>
      <c r="D486" s="26" t="str">
        <f t="shared" ca="1" si="0"/>
        <v xml:space="preserve"> CURANILAHUE</v>
      </c>
      <c r="E486" s="10" t="str">
        <f ca="1">IFERROR(__xludf.DUMMYFUNCTION("""COMPUTED_VALUE"""),"Guía Operativa")</f>
        <v>Guía Operativa</v>
      </c>
      <c r="F486" s="10" t="str">
        <f ca="1">IFERROR(__xludf.DUMMYFUNCTION("""COMPUTED_VALUE"""),"MUNICIPALIDAD DE CURANILAHUE")</f>
        <v>MUNICIPALIDAD DE CURANILAHUE</v>
      </c>
      <c r="G486" s="71">
        <f ca="1">IFERROR(__xludf.DUMMYFUNCTION("""COMPUTED_VALUE"""),152747850)</f>
        <v>152747850</v>
      </c>
      <c r="H486" s="10" t="str">
        <f ca="1">IFERROR(__xludf.DUMMYFUNCTION("""COMPUTED_VALUE"""),"Resolución")</f>
        <v>Resolución</v>
      </c>
      <c r="I486" s="10" t="str">
        <f ca="1">IFERROR(__xludf.DUMMYFUNCTION("""COMPUTED_VALUE"""),"OBRA")</f>
        <v>OBRA</v>
      </c>
      <c r="J486" s="10" t="str">
        <f ca="1">IFERROR(__xludf.DUMMYFUNCTION("""COMPUTED_VALUE"""),"Cumplir con normativa y reglamentos internos del programa en base a los objetivos.")</f>
        <v>Cumplir con normativa y reglamentos internos del programa en base a los objetivos.</v>
      </c>
      <c r="K486" s="71">
        <f ca="1">IFERROR(__xludf.DUMMYFUNCTION("""COMPUTED_VALUE"""),152747850)</f>
        <v>152747850</v>
      </c>
      <c r="L486" s="72">
        <f ca="1">IFERROR(__xludf.DUMMYFUNCTION("""COMPUTED_VALUE"""),1)</f>
        <v>1</v>
      </c>
      <c r="M486" s="10">
        <f ca="1">IFERROR(__xludf.DUMMYFUNCTION("""COMPUTED_VALUE"""),8048)</f>
        <v>8048</v>
      </c>
      <c r="N486" s="10" t="str">
        <f ca="1">IFERROR(__xludf.DUMMYFUNCTION("""COMPUTED_VALUE"""),"PMU")</f>
        <v>PMU</v>
      </c>
      <c r="O486" s="1"/>
      <c r="P486" s="1"/>
      <c r="Q486" s="1"/>
      <c r="R486" s="1"/>
      <c r="S486" s="1"/>
      <c r="T486" s="1"/>
      <c r="U486" s="1"/>
      <c r="V486" s="1"/>
      <c r="W486" s="1"/>
      <c r="X486" s="1"/>
      <c r="Y486" s="1"/>
      <c r="Z486" s="1"/>
    </row>
    <row r="487" spans="1:26" ht="12.75" customHeight="1">
      <c r="A487" s="1"/>
      <c r="B487" s="10" t="str">
        <f ca="1">IFERROR(__xludf.DUMMYFUNCTION("""COMPUTED_VALUE"""),"INSTALACIÓN BALIZAS PEATONALES, TACHAS LED Y DEMARCACIÓN VIAL CALLES INÉS DE SUÁREZ Y PEDRO A. CERDA")</f>
        <v>INSTALACIÓN BALIZAS PEATONALES, TACHAS LED Y DEMARCACIÓN VIAL CALLES INÉS DE SUÁREZ Y PEDRO A. CERDA</v>
      </c>
      <c r="C487" s="10" t="str">
        <f ca="1">IFERROR(__xludf.DUMMYFUNCTION("""COMPUTED_VALUE"""),"1-B-2024-210")</f>
        <v>1-B-2024-210</v>
      </c>
      <c r="D487" s="26" t="str">
        <f t="shared" ca="1" si="0"/>
        <v xml:space="preserve"> CURANILAHUE</v>
      </c>
      <c r="E487" s="10" t="str">
        <f ca="1">IFERROR(__xludf.DUMMYFUNCTION("""COMPUTED_VALUE"""),"Guía Operativa")</f>
        <v>Guía Operativa</v>
      </c>
      <c r="F487" s="10" t="str">
        <f ca="1">IFERROR(__xludf.DUMMYFUNCTION("""COMPUTED_VALUE"""),"MUNICIPALIDAD DE CURANILAHUE")</f>
        <v>MUNICIPALIDAD DE CURANILAHUE</v>
      </c>
      <c r="G487" s="71">
        <f ca="1">IFERROR(__xludf.DUMMYFUNCTION("""COMPUTED_VALUE"""),152547050)</f>
        <v>152547050</v>
      </c>
      <c r="H487" s="10" t="str">
        <f ca="1">IFERROR(__xludf.DUMMYFUNCTION("""COMPUTED_VALUE"""),"Resolución")</f>
        <v>Resolución</v>
      </c>
      <c r="I487" s="10" t="str">
        <f ca="1">IFERROR(__xludf.DUMMYFUNCTION("""COMPUTED_VALUE"""),"OBRA")</f>
        <v>OBRA</v>
      </c>
      <c r="J487" s="10" t="str">
        <f ca="1">IFERROR(__xludf.DUMMYFUNCTION("""COMPUTED_VALUE"""),"Cumplir con normativa y reglamentos internos del programa en base a los objetivos.")</f>
        <v>Cumplir con normativa y reglamentos internos del programa en base a los objetivos.</v>
      </c>
      <c r="K487" s="71">
        <f ca="1">IFERROR(__xludf.DUMMYFUNCTION("""COMPUTED_VALUE"""),152547050)</f>
        <v>152547050</v>
      </c>
      <c r="L487" s="72">
        <f ca="1">IFERROR(__xludf.DUMMYFUNCTION("""COMPUTED_VALUE"""),1)</f>
        <v>1</v>
      </c>
      <c r="M487" s="10">
        <f ca="1">IFERROR(__xludf.DUMMYFUNCTION("""COMPUTED_VALUE"""),8044)</f>
        <v>8044</v>
      </c>
      <c r="N487" s="10" t="str">
        <f ca="1">IFERROR(__xludf.DUMMYFUNCTION("""COMPUTED_VALUE"""),"PMU")</f>
        <v>PMU</v>
      </c>
      <c r="O487" s="1"/>
      <c r="P487" s="1"/>
      <c r="Q487" s="1"/>
      <c r="R487" s="1"/>
      <c r="S487" s="1"/>
      <c r="T487" s="1"/>
      <c r="U487" s="1"/>
      <c r="V487" s="1"/>
      <c r="W487" s="1"/>
      <c r="X487" s="1"/>
      <c r="Y487" s="1"/>
      <c r="Z487" s="1"/>
    </row>
    <row r="488" spans="1:26" ht="12.75" customHeight="1">
      <c r="A488" s="1"/>
      <c r="B488" s="10" t="str">
        <f ca="1">IFERROR(__xludf.DUMMYFUNCTION("""COMPUTED_VALUE"""),"REPOSICIÓN REFUGIOS PEATONALES CALLES ARAUCO, PAULA JARAQUEMADA Y OTROS")</f>
        <v>REPOSICIÓN REFUGIOS PEATONALES CALLES ARAUCO, PAULA JARAQUEMADA Y OTROS</v>
      </c>
      <c r="C488" s="10" t="str">
        <f ca="1">IFERROR(__xludf.DUMMYFUNCTION("""COMPUTED_VALUE"""),"1-B-2024-211")</f>
        <v>1-B-2024-211</v>
      </c>
      <c r="D488" s="26" t="str">
        <f t="shared" ca="1" si="0"/>
        <v xml:space="preserve"> CURANILAHUE</v>
      </c>
      <c r="E488" s="10" t="str">
        <f ca="1">IFERROR(__xludf.DUMMYFUNCTION("""COMPUTED_VALUE"""),"Guía Operativa")</f>
        <v>Guía Operativa</v>
      </c>
      <c r="F488" s="10" t="str">
        <f ca="1">IFERROR(__xludf.DUMMYFUNCTION("""COMPUTED_VALUE"""),"MUNICIPALIDAD DE CURANILAHUE")</f>
        <v>MUNICIPALIDAD DE CURANILAHUE</v>
      </c>
      <c r="G488" s="71">
        <f ca="1">IFERROR(__xludf.DUMMYFUNCTION("""COMPUTED_VALUE"""),152547150)</f>
        <v>152547150</v>
      </c>
      <c r="H488" s="10" t="str">
        <f ca="1">IFERROR(__xludf.DUMMYFUNCTION("""COMPUTED_VALUE"""),"Resolución")</f>
        <v>Resolución</v>
      </c>
      <c r="I488" s="10" t="str">
        <f ca="1">IFERROR(__xludf.DUMMYFUNCTION("""COMPUTED_VALUE"""),"OBRA")</f>
        <v>OBRA</v>
      </c>
      <c r="J488" s="10" t="str">
        <f ca="1">IFERROR(__xludf.DUMMYFUNCTION("""COMPUTED_VALUE"""),"Cumplir con normativa y reglamentos internos del programa en base a los objetivos.")</f>
        <v>Cumplir con normativa y reglamentos internos del programa en base a los objetivos.</v>
      </c>
      <c r="K488" s="71">
        <f ca="1">IFERROR(__xludf.DUMMYFUNCTION("""COMPUTED_VALUE"""),152547150)</f>
        <v>152547150</v>
      </c>
      <c r="L488" s="72">
        <f ca="1">IFERROR(__xludf.DUMMYFUNCTION("""COMPUTED_VALUE"""),1)</f>
        <v>1</v>
      </c>
      <c r="M488" s="10">
        <f ca="1">IFERROR(__xludf.DUMMYFUNCTION("""COMPUTED_VALUE"""),8044)</f>
        <v>8044</v>
      </c>
      <c r="N488" s="10" t="str">
        <f ca="1">IFERROR(__xludf.DUMMYFUNCTION("""COMPUTED_VALUE"""),"PMU")</f>
        <v>PMU</v>
      </c>
      <c r="O488" s="1"/>
      <c r="P488" s="1"/>
      <c r="Q488" s="1"/>
      <c r="R488" s="1"/>
      <c r="S488" s="1"/>
      <c r="T488" s="1"/>
      <c r="U488" s="1"/>
      <c r="V488" s="1"/>
      <c r="W488" s="1"/>
      <c r="X488" s="1"/>
      <c r="Y488" s="1"/>
      <c r="Z488" s="1"/>
    </row>
    <row r="489" spans="1:26" ht="12.75" customHeight="1">
      <c r="A489" s="1"/>
      <c r="B489" s="10" t="str">
        <f ca="1">IFERROR(__xludf.DUMMYFUNCTION("""COMPUTED_VALUE"""),"REPOSICIÓN VEREDAS CALLES COLIPÍ Y PASAJE LIBERTAD")</f>
        <v>REPOSICIÓN VEREDAS CALLES COLIPÍ Y PASAJE LIBERTAD</v>
      </c>
      <c r="C489" s="10" t="str">
        <f ca="1">IFERROR(__xludf.DUMMYFUNCTION("""COMPUTED_VALUE"""),"1-B-2024-212")</f>
        <v>1-B-2024-212</v>
      </c>
      <c r="D489" s="26" t="str">
        <f t="shared" ca="1" si="0"/>
        <v xml:space="preserve"> CURANILAHUE</v>
      </c>
      <c r="E489" s="10" t="str">
        <f ca="1">IFERROR(__xludf.DUMMYFUNCTION("""COMPUTED_VALUE"""),"Guía Operativa")</f>
        <v>Guía Operativa</v>
      </c>
      <c r="F489" s="10" t="str">
        <f ca="1">IFERROR(__xludf.DUMMYFUNCTION("""COMPUTED_VALUE"""),"MUNICIPALIDAD DE CURANILAHUE")</f>
        <v>MUNICIPALIDAD DE CURANILAHUE</v>
      </c>
      <c r="G489" s="71">
        <f ca="1">IFERROR(__xludf.DUMMYFUNCTION("""COMPUTED_VALUE"""),153676250)</f>
        <v>153676250</v>
      </c>
      <c r="H489" s="10" t="str">
        <f ca="1">IFERROR(__xludf.DUMMYFUNCTION("""COMPUTED_VALUE"""),"Resolución")</f>
        <v>Resolución</v>
      </c>
      <c r="I489" s="10" t="str">
        <f ca="1">IFERROR(__xludf.DUMMYFUNCTION("""COMPUTED_VALUE"""),"OBRA")</f>
        <v>OBRA</v>
      </c>
      <c r="J489" s="10" t="str">
        <f ca="1">IFERROR(__xludf.DUMMYFUNCTION("""COMPUTED_VALUE"""),"Cumplir con normativa y reglamentos internos del programa en base a los objetivos.")</f>
        <v>Cumplir con normativa y reglamentos internos del programa en base a los objetivos.</v>
      </c>
      <c r="K489" s="71">
        <f ca="1">IFERROR(__xludf.DUMMYFUNCTION("""COMPUTED_VALUE"""),153676250)</f>
        <v>153676250</v>
      </c>
      <c r="L489" s="72">
        <f ca="1">IFERROR(__xludf.DUMMYFUNCTION("""COMPUTED_VALUE"""),1)</f>
        <v>1</v>
      </c>
      <c r="M489" s="10">
        <f ca="1">IFERROR(__xludf.DUMMYFUNCTION("""COMPUTED_VALUE"""),8045)</f>
        <v>8045</v>
      </c>
      <c r="N489" s="10" t="str">
        <f ca="1">IFERROR(__xludf.DUMMYFUNCTION("""COMPUTED_VALUE"""),"PMU")</f>
        <v>PMU</v>
      </c>
      <c r="O489" s="1"/>
      <c r="P489" s="1"/>
      <c r="Q489" s="1"/>
      <c r="R489" s="1"/>
      <c r="S489" s="1"/>
      <c r="T489" s="1"/>
      <c r="U489" s="1"/>
      <c r="V489" s="1"/>
      <c r="W489" s="1"/>
      <c r="X489" s="1"/>
      <c r="Y489" s="1"/>
      <c r="Z489" s="1"/>
    </row>
    <row r="490" spans="1:26" ht="12.75" customHeight="1">
      <c r="A490" s="1"/>
      <c r="B490" s="10" t="str">
        <f ca="1">IFERROR(__xludf.DUMMYFUNCTION("""COMPUTED_VALUE"""),"1. REPOSICIÓN ACERAS EN CALLE LOS DIAGUITAS ENTRE CALLES VOLCÁN PUYEHUE Y VOLCÁN ISLUGA, POB. JORGE ALESSANDRI.")</f>
        <v>1. REPOSICIÓN ACERAS EN CALLE LOS DIAGUITAS ENTRE CALLES VOLCÁN PUYEHUE Y VOLCÁN ISLUGA, POB. JORGE ALESSANDRI.</v>
      </c>
      <c r="C490" s="10" t="str">
        <f ca="1">IFERROR(__xludf.DUMMYFUNCTION("""COMPUTED_VALUE"""),"1-K-2024-3")</f>
        <v>1-K-2024-3</v>
      </c>
      <c r="D490" s="26" t="str">
        <f t="shared" ca="1" si="0"/>
        <v xml:space="preserve"> CORONEL</v>
      </c>
      <c r="E490" s="10" t="str">
        <f ca="1">IFERROR(__xludf.DUMMYFUNCTION("""COMPUTED_VALUE"""),"Guía Operativa")</f>
        <v>Guía Operativa</v>
      </c>
      <c r="F490" s="10" t="str">
        <f ca="1">IFERROR(__xludf.DUMMYFUNCTION("""COMPUTED_VALUE"""),"MUNICIPALIDAD DE CORONEL")</f>
        <v>MUNICIPALIDAD DE CORONEL</v>
      </c>
      <c r="G490" s="71">
        <f ca="1">IFERROR(__xludf.DUMMYFUNCTION("""COMPUTED_VALUE"""),54785895)</f>
        <v>54785895</v>
      </c>
      <c r="H490" s="10" t="str">
        <f ca="1">IFERROR(__xludf.DUMMYFUNCTION("""COMPUTED_VALUE"""),"Resolución")</f>
        <v>Resolución</v>
      </c>
      <c r="I490" s="10" t="str">
        <f ca="1">IFERROR(__xludf.DUMMYFUNCTION("""COMPUTED_VALUE"""),"OBRA")</f>
        <v>OBRA</v>
      </c>
      <c r="J490" s="10" t="str">
        <f ca="1">IFERROR(__xludf.DUMMYFUNCTION("""COMPUTED_VALUE"""),"Cumplir con normativa y reglamentos internos del programa en base a los objetivos.")</f>
        <v>Cumplir con normativa y reglamentos internos del programa en base a los objetivos.</v>
      </c>
      <c r="K490" s="71">
        <f ca="1">IFERROR(__xludf.DUMMYFUNCTION("""COMPUTED_VALUE"""),27392948)</f>
        <v>27392948</v>
      </c>
      <c r="L490" s="72">
        <f ca="1">IFERROR(__xludf.DUMMYFUNCTION("""COMPUTED_VALUE"""),0.500000009126436)</f>
        <v>0.50000000912643605</v>
      </c>
      <c r="M490" s="10">
        <f ca="1">IFERROR(__xludf.DUMMYFUNCTION("""COMPUTED_VALUE"""),7703)</f>
        <v>7703</v>
      </c>
      <c r="N490" s="10" t="str">
        <f ca="1">IFERROR(__xludf.DUMMYFUNCTION("""COMPUTED_VALUE"""),"PMU")</f>
        <v>PMU</v>
      </c>
      <c r="O490" s="1"/>
      <c r="P490" s="1"/>
      <c r="Q490" s="1"/>
      <c r="R490" s="1"/>
      <c r="S490" s="1"/>
      <c r="T490" s="1"/>
      <c r="U490" s="1"/>
      <c r="V490" s="1"/>
      <c r="W490" s="1"/>
      <c r="X490" s="1"/>
      <c r="Y490" s="1"/>
      <c r="Z490" s="1"/>
    </row>
    <row r="491" spans="1:26" ht="12.75" customHeight="1">
      <c r="A491" s="1"/>
      <c r="B491" s="10" t="str">
        <f ca="1">IFERROR(__xludf.DUMMYFUNCTION("""COMPUTED_VALUE"""),"2. REPOSICIÓN ACERAS EN CALLE VOLCÁN VILLARRICA ENTRE CALLES LOS DIAGUITAS Y VOLCÁN TAKORA, POB. JORGE ALESSANDRI.")</f>
        <v>2. REPOSICIÓN ACERAS EN CALLE VOLCÁN VILLARRICA ENTRE CALLES LOS DIAGUITAS Y VOLCÁN TAKORA, POB. JORGE ALESSANDRI.</v>
      </c>
      <c r="C491" s="10" t="str">
        <f ca="1">IFERROR(__xludf.DUMMYFUNCTION("""COMPUTED_VALUE"""),"1-K-2024-4")</f>
        <v>1-K-2024-4</v>
      </c>
      <c r="D491" s="26" t="str">
        <f t="shared" ca="1" si="0"/>
        <v xml:space="preserve"> CORONEL</v>
      </c>
      <c r="E491" s="10" t="str">
        <f ca="1">IFERROR(__xludf.DUMMYFUNCTION("""COMPUTED_VALUE"""),"Guía Operativa")</f>
        <v>Guía Operativa</v>
      </c>
      <c r="F491" s="10" t="str">
        <f ca="1">IFERROR(__xludf.DUMMYFUNCTION("""COMPUTED_VALUE"""),"MUNICIPALIDAD DE CORONEL")</f>
        <v>MUNICIPALIDAD DE CORONEL</v>
      </c>
      <c r="G491" s="71">
        <f ca="1">IFERROR(__xludf.DUMMYFUNCTION("""COMPUTED_VALUE"""),88219323)</f>
        <v>88219323</v>
      </c>
      <c r="H491" s="10" t="str">
        <f ca="1">IFERROR(__xludf.DUMMYFUNCTION("""COMPUTED_VALUE"""),"Resolución")</f>
        <v>Resolución</v>
      </c>
      <c r="I491" s="10" t="str">
        <f ca="1">IFERROR(__xludf.DUMMYFUNCTION("""COMPUTED_VALUE"""),"OBRA")</f>
        <v>OBRA</v>
      </c>
      <c r="J491" s="10" t="str">
        <f ca="1">IFERROR(__xludf.DUMMYFUNCTION("""COMPUTED_VALUE"""),"Cumplir con normativa y reglamentos internos del programa en base a los objetivos.")</f>
        <v>Cumplir con normativa y reglamentos internos del programa en base a los objetivos.</v>
      </c>
      <c r="K491" s="71">
        <f ca="1">IFERROR(__xludf.DUMMYFUNCTION("""COMPUTED_VALUE"""),44109662)</f>
        <v>44109662</v>
      </c>
      <c r="L491" s="72">
        <f ca="1">IFERROR(__xludf.DUMMYFUNCTION("""COMPUTED_VALUE"""),0.500000005667692)</f>
        <v>0.50000000566769198</v>
      </c>
      <c r="M491" s="10">
        <f ca="1">IFERROR(__xludf.DUMMYFUNCTION("""COMPUTED_VALUE"""),7785)</f>
        <v>7785</v>
      </c>
      <c r="N491" s="10" t="str">
        <f ca="1">IFERROR(__xludf.DUMMYFUNCTION("""COMPUTED_VALUE"""),"PMU")</f>
        <v>PMU</v>
      </c>
      <c r="O491" s="1"/>
      <c r="P491" s="1"/>
      <c r="Q491" s="1"/>
      <c r="R491" s="1"/>
      <c r="S491" s="1"/>
      <c r="T491" s="1"/>
      <c r="U491" s="1"/>
      <c r="V491" s="1"/>
      <c r="W491" s="1"/>
      <c r="X491" s="1"/>
      <c r="Y491" s="1"/>
      <c r="Z491" s="1"/>
    </row>
    <row r="492" spans="1:26" ht="12.75" customHeight="1">
      <c r="A492" s="1"/>
      <c r="B492" s="10" t="str">
        <f ca="1">IFERROR(__xludf.DUMMYFUNCTION("""COMPUTED_VALUE"""),"3. REPOSICIÓN ACERAS EN CALLE LOS DIAGUITAS ENTRE CALLES VOLCÁN LLULLAILLACO Y VOLCÁN VILLARRICA, POB. JORGE ALESSANDRI.")</f>
        <v>3. REPOSICIÓN ACERAS EN CALLE LOS DIAGUITAS ENTRE CALLES VOLCÁN LLULLAILLACO Y VOLCÁN VILLARRICA, POB. JORGE ALESSANDRI.</v>
      </c>
      <c r="C492" s="10" t="str">
        <f ca="1">IFERROR(__xludf.DUMMYFUNCTION("""COMPUTED_VALUE"""),"1-K-2024-5")</f>
        <v>1-K-2024-5</v>
      </c>
      <c r="D492" s="26" t="str">
        <f t="shared" ca="1" si="0"/>
        <v xml:space="preserve"> CORONEL</v>
      </c>
      <c r="E492" s="10" t="str">
        <f ca="1">IFERROR(__xludf.DUMMYFUNCTION("""COMPUTED_VALUE"""),"Guía Operativa")</f>
        <v>Guía Operativa</v>
      </c>
      <c r="F492" s="10" t="str">
        <f ca="1">IFERROR(__xludf.DUMMYFUNCTION("""COMPUTED_VALUE"""),"MUNICIPALIDAD DE CORONEL")</f>
        <v>MUNICIPALIDAD DE CORONEL</v>
      </c>
      <c r="G492" s="71">
        <f ca="1">IFERROR(__xludf.DUMMYFUNCTION("""COMPUTED_VALUE"""),161211965)</f>
        <v>161211965</v>
      </c>
      <c r="H492" s="10" t="str">
        <f ca="1">IFERROR(__xludf.DUMMYFUNCTION("""COMPUTED_VALUE"""),"Resolución")</f>
        <v>Resolución</v>
      </c>
      <c r="I492" s="10" t="str">
        <f ca="1">IFERROR(__xludf.DUMMYFUNCTION("""COMPUTED_VALUE"""),"OBRA")</f>
        <v>OBRA</v>
      </c>
      <c r="J492" s="10" t="str">
        <f ca="1">IFERROR(__xludf.DUMMYFUNCTION("""COMPUTED_VALUE"""),"Cumplir con normativa y reglamentos internos del programa en base a los objetivos.")</f>
        <v>Cumplir con normativa y reglamentos internos del programa en base a los objetivos.</v>
      </c>
      <c r="K492" s="71">
        <f ca="1">IFERROR(__xludf.DUMMYFUNCTION("""COMPUTED_VALUE"""),80605983)</f>
        <v>80605983</v>
      </c>
      <c r="L492" s="72">
        <f ca="1">IFERROR(__xludf.DUMMYFUNCTION("""COMPUTED_VALUE"""),0.500000003101506)</f>
        <v>0.50000000310150605</v>
      </c>
      <c r="M492" s="10">
        <f ca="1">IFERROR(__xludf.DUMMYFUNCTION("""COMPUTED_VALUE"""),7784)</f>
        <v>7784</v>
      </c>
      <c r="N492" s="10" t="str">
        <f ca="1">IFERROR(__xludf.DUMMYFUNCTION("""COMPUTED_VALUE"""),"PMU")</f>
        <v>PMU</v>
      </c>
      <c r="O492" s="1"/>
      <c r="P492" s="1"/>
      <c r="Q492" s="1"/>
      <c r="R492" s="1"/>
      <c r="S492" s="1"/>
      <c r="T492" s="1"/>
      <c r="U492" s="1"/>
      <c r="V492" s="1"/>
      <c r="W492" s="1"/>
      <c r="X492" s="1"/>
      <c r="Y492" s="1"/>
      <c r="Z492" s="1"/>
    </row>
    <row r="493" spans="1:26" ht="12.75" customHeight="1">
      <c r="A493" s="1"/>
      <c r="B493" s="10" t="str">
        <f ca="1">IFERROR(__xludf.DUMMYFUNCTION("""COMPUTED_VALUE"""),"4. REPOSICIÓN ACERAS EN CALLE VOLCÁN VILLARRICA ENTRE CALLES LOS DIAGUITAS Y VOLCÁN SAN PEDRO, POB. JORGE ALESSANDRI.")</f>
        <v>4. REPOSICIÓN ACERAS EN CALLE VOLCÁN VILLARRICA ENTRE CALLES LOS DIAGUITAS Y VOLCÁN SAN PEDRO, POB. JORGE ALESSANDRI.</v>
      </c>
      <c r="C493" s="10" t="str">
        <f ca="1">IFERROR(__xludf.DUMMYFUNCTION("""COMPUTED_VALUE"""),"1-K-2024-6")</f>
        <v>1-K-2024-6</v>
      </c>
      <c r="D493" s="26" t="str">
        <f t="shared" ca="1" si="0"/>
        <v xml:space="preserve"> CORONEL</v>
      </c>
      <c r="E493" s="10" t="str">
        <f ca="1">IFERROR(__xludf.DUMMYFUNCTION("""COMPUTED_VALUE"""),"Guía Operativa")</f>
        <v>Guía Operativa</v>
      </c>
      <c r="F493" s="10" t="str">
        <f ca="1">IFERROR(__xludf.DUMMYFUNCTION("""COMPUTED_VALUE"""),"MUNICIPALIDAD DE CORONEL")</f>
        <v>MUNICIPALIDAD DE CORONEL</v>
      </c>
      <c r="G493" s="71">
        <f ca="1">IFERROR(__xludf.DUMMYFUNCTION("""COMPUTED_VALUE"""),161294974)</f>
        <v>161294974</v>
      </c>
      <c r="H493" s="10" t="str">
        <f ca="1">IFERROR(__xludf.DUMMYFUNCTION("""COMPUTED_VALUE"""),"Resolución")</f>
        <v>Resolución</v>
      </c>
      <c r="I493" s="10" t="str">
        <f ca="1">IFERROR(__xludf.DUMMYFUNCTION("""COMPUTED_VALUE"""),"OBRA")</f>
        <v>OBRA</v>
      </c>
      <c r="J493" s="10" t="str">
        <f ca="1">IFERROR(__xludf.DUMMYFUNCTION("""COMPUTED_VALUE"""),"Cumplir con normativa y reglamentos internos del programa en base a los objetivos.")</f>
        <v>Cumplir con normativa y reglamentos internos del programa en base a los objetivos.</v>
      </c>
      <c r="K493" s="71">
        <f ca="1">IFERROR(__xludf.DUMMYFUNCTION("""COMPUTED_VALUE"""),80647487)</f>
        <v>80647487</v>
      </c>
      <c r="L493" s="72">
        <f ca="1">IFERROR(__xludf.DUMMYFUNCTION("""COMPUTED_VALUE"""),0.5)</f>
        <v>0.5</v>
      </c>
      <c r="M493" s="10">
        <f ca="1">IFERROR(__xludf.DUMMYFUNCTION("""COMPUTED_VALUE"""),8020)</f>
        <v>8020</v>
      </c>
      <c r="N493" s="10" t="str">
        <f ca="1">IFERROR(__xludf.DUMMYFUNCTION("""COMPUTED_VALUE"""),"PMU")</f>
        <v>PMU</v>
      </c>
      <c r="O493" s="1"/>
      <c r="P493" s="1"/>
      <c r="Q493" s="1"/>
      <c r="R493" s="1"/>
      <c r="S493" s="1"/>
      <c r="T493" s="1"/>
      <c r="U493" s="1"/>
      <c r="V493" s="1"/>
      <c r="W493" s="1"/>
      <c r="X493" s="1"/>
      <c r="Y493" s="1"/>
      <c r="Z493" s="1"/>
    </row>
    <row r="494" spans="1:26" ht="12.75" customHeight="1">
      <c r="A494" s="1"/>
      <c r="B494" s="10" t="str">
        <f ca="1">IFERROR(__xludf.DUMMYFUNCTION("""COMPUTED_VALUE"""),"5. REPOSICIÓN ACERAS EN CALLE LOS DIAGUITAS ENTRE CALLES VOLCÁN ISLUGA Y VOLCÁN LLULLAILLACO, POB. JORGE ALESSANDRI.")</f>
        <v>5. REPOSICIÓN ACERAS EN CALLE LOS DIAGUITAS ENTRE CALLES VOLCÁN ISLUGA Y VOLCÁN LLULLAILLACO, POB. JORGE ALESSANDRI.</v>
      </c>
      <c r="C494" s="10" t="str">
        <f ca="1">IFERROR(__xludf.DUMMYFUNCTION("""COMPUTED_VALUE"""),"1-K-2024-7")</f>
        <v>1-K-2024-7</v>
      </c>
      <c r="D494" s="26" t="str">
        <f t="shared" ca="1" si="0"/>
        <v xml:space="preserve"> CORONEL</v>
      </c>
      <c r="E494" s="10" t="str">
        <f ca="1">IFERROR(__xludf.DUMMYFUNCTION("""COMPUTED_VALUE"""),"Guía Operativa")</f>
        <v>Guía Operativa</v>
      </c>
      <c r="F494" s="10" t="str">
        <f ca="1">IFERROR(__xludf.DUMMYFUNCTION("""COMPUTED_VALUE"""),"MUNICIPALIDAD DE CORONEL")</f>
        <v>MUNICIPALIDAD DE CORONEL</v>
      </c>
      <c r="G494" s="71">
        <f ca="1">IFERROR(__xludf.DUMMYFUNCTION("""COMPUTED_VALUE"""),91952595)</f>
        <v>91952595</v>
      </c>
      <c r="H494" s="10" t="str">
        <f ca="1">IFERROR(__xludf.DUMMYFUNCTION("""COMPUTED_VALUE"""),"Resolución")</f>
        <v>Resolución</v>
      </c>
      <c r="I494" s="10" t="str">
        <f ca="1">IFERROR(__xludf.DUMMYFUNCTION("""COMPUTED_VALUE"""),"OBRA")</f>
        <v>OBRA</v>
      </c>
      <c r="J494" s="10" t="str">
        <f ca="1">IFERROR(__xludf.DUMMYFUNCTION("""COMPUTED_VALUE"""),"Cumplir con normativa y reglamentos internos del programa en base a los objetivos.")</f>
        <v>Cumplir con normativa y reglamentos internos del programa en base a los objetivos.</v>
      </c>
      <c r="K494" s="71">
        <f ca="1">IFERROR(__xludf.DUMMYFUNCTION("""COMPUTED_VALUE"""),45976298)</f>
        <v>45976298</v>
      </c>
      <c r="L494" s="72">
        <f ca="1">IFERROR(__xludf.DUMMYFUNCTION("""COMPUTED_VALUE"""),0.500000005437584)</f>
        <v>0.50000000543758405</v>
      </c>
      <c r="M494" s="10">
        <f ca="1">IFERROR(__xludf.DUMMYFUNCTION("""COMPUTED_VALUE"""),7710)</f>
        <v>7710</v>
      </c>
      <c r="N494" s="10" t="str">
        <f ca="1">IFERROR(__xludf.DUMMYFUNCTION("""COMPUTED_VALUE"""),"PMU")</f>
        <v>PMU</v>
      </c>
      <c r="O494" s="1"/>
      <c r="P494" s="1"/>
      <c r="Q494" s="1"/>
      <c r="R494" s="1"/>
      <c r="S494" s="1"/>
      <c r="T494" s="1"/>
      <c r="U494" s="1"/>
      <c r="V494" s="1"/>
      <c r="W494" s="1"/>
      <c r="X494" s="1"/>
      <c r="Y494" s="1"/>
      <c r="Z494" s="1"/>
    </row>
    <row r="495" spans="1:26" ht="12.75" customHeight="1">
      <c r="A495" s="1"/>
      <c r="B495" s="10" t="str">
        <f ca="1">IFERROR(__xludf.DUMMYFUNCTION("""COMPUTED_VALUE"""),"6. MEJORAMIENTO GRADERÍAS EN MULTICANCHA DE CALLE LOS ALERCES, POB. LAGUNILLAS")</f>
        <v>6. MEJORAMIENTO GRADERÍAS EN MULTICANCHA DE CALLE LOS ALERCES, POB. LAGUNILLAS</v>
      </c>
      <c r="C495" s="10" t="str">
        <f ca="1">IFERROR(__xludf.DUMMYFUNCTION("""COMPUTED_VALUE"""),"1-K-2024-8")</f>
        <v>1-K-2024-8</v>
      </c>
      <c r="D495" s="26" t="str">
        <f t="shared" ca="1" si="0"/>
        <v xml:space="preserve"> CORONEL</v>
      </c>
      <c r="E495" s="10" t="str">
        <f ca="1">IFERROR(__xludf.DUMMYFUNCTION("""COMPUTED_VALUE"""),"Guía Operativa")</f>
        <v>Guía Operativa</v>
      </c>
      <c r="F495" s="10" t="str">
        <f ca="1">IFERROR(__xludf.DUMMYFUNCTION("""COMPUTED_VALUE"""),"MUNICIPALIDAD DE CORONEL")</f>
        <v>MUNICIPALIDAD DE CORONEL</v>
      </c>
      <c r="G495" s="71">
        <f ca="1">IFERROR(__xludf.DUMMYFUNCTION("""COMPUTED_VALUE"""),161206146)</f>
        <v>161206146</v>
      </c>
      <c r="H495" s="10" t="str">
        <f ca="1">IFERROR(__xludf.DUMMYFUNCTION("""COMPUTED_VALUE"""),"Resolución")</f>
        <v>Resolución</v>
      </c>
      <c r="I495" s="10" t="str">
        <f ca="1">IFERROR(__xludf.DUMMYFUNCTION("""COMPUTED_VALUE"""),"OBRA")</f>
        <v>OBRA</v>
      </c>
      <c r="J495" s="10" t="str">
        <f ca="1">IFERROR(__xludf.DUMMYFUNCTION("""COMPUTED_VALUE"""),"Cumplir con normativa y reglamentos internos del programa en base a los objetivos.")</f>
        <v>Cumplir con normativa y reglamentos internos del programa en base a los objetivos.</v>
      </c>
      <c r="K495" s="71">
        <f ca="1">IFERROR(__xludf.DUMMYFUNCTION("""COMPUTED_VALUE"""),80603073)</f>
        <v>80603073</v>
      </c>
      <c r="L495" s="72">
        <f ca="1">IFERROR(__xludf.DUMMYFUNCTION("""COMPUTED_VALUE"""),0.5)</f>
        <v>0.5</v>
      </c>
      <c r="M495" s="10">
        <f ca="1">IFERROR(__xludf.DUMMYFUNCTION("""COMPUTED_VALUE"""),7703)</f>
        <v>7703</v>
      </c>
      <c r="N495" s="10" t="str">
        <f ca="1">IFERROR(__xludf.DUMMYFUNCTION("""COMPUTED_VALUE"""),"PMU")</f>
        <v>PMU</v>
      </c>
      <c r="O495" s="1"/>
      <c r="P495" s="1"/>
      <c r="Q495" s="1"/>
      <c r="R495" s="1"/>
      <c r="S495" s="1"/>
      <c r="T495" s="1"/>
      <c r="U495" s="1"/>
      <c r="V495" s="1"/>
      <c r="W495" s="1"/>
      <c r="X495" s="1"/>
      <c r="Y495" s="1"/>
      <c r="Z495" s="1"/>
    </row>
    <row r="496" spans="1:26" ht="12.75" customHeight="1">
      <c r="A496" s="1"/>
      <c r="B496" s="10" t="str">
        <f ca="1">IFERROR(__xludf.DUMMYFUNCTION("""COMPUTED_VALUE"""),"7. REPOSICIÓN ACERAS EN CALLE LOS NOGALES ENTRE CALLES LOS SAUCES Y LOS GUAYACANES, POB. LAGUNILLAS.")</f>
        <v>7. REPOSICIÓN ACERAS EN CALLE LOS NOGALES ENTRE CALLES LOS SAUCES Y LOS GUAYACANES, POB. LAGUNILLAS.</v>
      </c>
      <c r="C496" s="10" t="str">
        <f ca="1">IFERROR(__xludf.DUMMYFUNCTION("""COMPUTED_VALUE"""),"1-K-2024-9")</f>
        <v>1-K-2024-9</v>
      </c>
      <c r="D496" s="26" t="str">
        <f t="shared" ca="1" si="0"/>
        <v xml:space="preserve"> CORONEL</v>
      </c>
      <c r="E496" s="10" t="str">
        <f ca="1">IFERROR(__xludf.DUMMYFUNCTION("""COMPUTED_VALUE"""),"Guía Operativa")</f>
        <v>Guía Operativa</v>
      </c>
      <c r="F496" s="10" t="str">
        <f ca="1">IFERROR(__xludf.DUMMYFUNCTION("""COMPUTED_VALUE"""),"MUNICIPALIDAD DE CORONEL")</f>
        <v>MUNICIPALIDAD DE CORONEL</v>
      </c>
      <c r="G496" s="71">
        <f ca="1">IFERROR(__xludf.DUMMYFUNCTION("""COMPUTED_VALUE"""),92454638)</f>
        <v>92454638</v>
      </c>
      <c r="H496" s="10" t="str">
        <f ca="1">IFERROR(__xludf.DUMMYFUNCTION("""COMPUTED_VALUE"""),"Resolución")</f>
        <v>Resolución</v>
      </c>
      <c r="I496" s="10" t="str">
        <f ca="1">IFERROR(__xludf.DUMMYFUNCTION("""COMPUTED_VALUE"""),"OBRA")</f>
        <v>OBRA</v>
      </c>
      <c r="J496" s="10" t="str">
        <f ca="1">IFERROR(__xludf.DUMMYFUNCTION("""COMPUTED_VALUE"""),"Cumplir con normativa y reglamentos internos del programa en base a los objetivos.")</f>
        <v>Cumplir con normativa y reglamentos internos del programa en base a los objetivos.</v>
      </c>
      <c r="K496" s="71">
        <f ca="1">IFERROR(__xludf.DUMMYFUNCTION("""COMPUTED_VALUE"""),46227319)</f>
        <v>46227319</v>
      </c>
      <c r="L496" s="72">
        <f ca="1">IFERROR(__xludf.DUMMYFUNCTION("""COMPUTED_VALUE"""),0.5)</f>
        <v>0.5</v>
      </c>
      <c r="M496" s="10">
        <f ca="1">IFERROR(__xludf.DUMMYFUNCTION("""COMPUTED_VALUE"""),7703)</f>
        <v>7703</v>
      </c>
      <c r="N496" s="10" t="str">
        <f ca="1">IFERROR(__xludf.DUMMYFUNCTION("""COMPUTED_VALUE"""),"PMU")</f>
        <v>PMU</v>
      </c>
      <c r="O496" s="1"/>
      <c r="P496" s="1"/>
      <c r="Q496" s="1"/>
      <c r="R496" s="1"/>
      <c r="S496" s="1"/>
      <c r="T496" s="1"/>
      <c r="U496" s="1"/>
      <c r="V496" s="1"/>
      <c r="W496" s="1"/>
      <c r="X496" s="1"/>
      <c r="Y496" s="1"/>
      <c r="Z496" s="1"/>
    </row>
    <row r="497" spans="1:26" ht="12.75" customHeight="1">
      <c r="A497" s="1"/>
      <c r="B497" s="10" t="str">
        <f ca="1">IFERROR(__xludf.DUMMYFUNCTION("""COMPUTED_VALUE"""),"8. REPOSICIÓN ACERAS EN CALLE LOS NOGALES ENTRE CALLES LAS QUILAS Y LOS RADALES, POB. LAGUNILLAS.")</f>
        <v>8. REPOSICIÓN ACERAS EN CALLE LOS NOGALES ENTRE CALLES LAS QUILAS Y LOS RADALES, POB. LAGUNILLAS.</v>
      </c>
      <c r="C497" s="10" t="str">
        <f ca="1">IFERROR(__xludf.DUMMYFUNCTION("""COMPUTED_VALUE"""),"1-K-2024-10")</f>
        <v>1-K-2024-10</v>
      </c>
      <c r="D497" s="26" t="str">
        <f t="shared" ca="1" si="0"/>
        <v xml:space="preserve"> CORONEL</v>
      </c>
      <c r="E497" s="10" t="str">
        <f ca="1">IFERROR(__xludf.DUMMYFUNCTION("""COMPUTED_VALUE"""),"Guía Operativa")</f>
        <v>Guía Operativa</v>
      </c>
      <c r="F497" s="10" t="str">
        <f ca="1">IFERROR(__xludf.DUMMYFUNCTION("""COMPUTED_VALUE"""),"MUNICIPALIDAD DE CORONEL")</f>
        <v>MUNICIPALIDAD DE CORONEL</v>
      </c>
      <c r="G497" s="71">
        <f ca="1">IFERROR(__xludf.DUMMYFUNCTION("""COMPUTED_VALUE"""),87997983)</f>
        <v>87997983</v>
      </c>
      <c r="H497" s="10" t="str">
        <f ca="1">IFERROR(__xludf.DUMMYFUNCTION("""COMPUTED_VALUE"""),"Resolución")</f>
        <v>Resolución</v>
      </c>
      <c r="I497" s="10" t="str">
        <f ca="1">IFERROR(__xludf.DUMMYFUNCTION("""COMPUTED_VALUE"""),"OBRA")</f>
        <v>OBRA</v>
      </c>
      <c r="J497" s="10" t="str">
        <f ca="1">IFERROR(__xludf.DUMMYFUNCTION("""COMPUTED_VALUE"""),"Cumplir con normativa y reglamentos internos del programa en base a los objetivos.")</f>
        <v>Cumplir con normativa y reglamentos internos del programa en base a los objetivos.</v>
      </c>
      <c r="K497" s="71">
        <f ca="1">IFERROR(__xludf.DUMMYFUNCTION("""COMPUTED_VALUE"""),43998992)</f>
        <v>43998992</v>
      </c>
      <c r="L497" s="72">
        <f ca="1">IFERROR(__xludf.DUMMYFUNCTION("""COMPUTED_VALUE"""),0.500000005681948)</f>
        <v>0.50000000568194802</v>
      </c>
      <c r="M497" s="10">
        <f ca="1">IFERROR(__xludf.DUMMYFUNCTION("""COMPUTED_VALUE"""),7785)</f>
        <v>7785</v>
      </c>
      <c r="N497" s="10" t="str">
        <f ca="1">IFERROR(__xludf.DUMMYFUNCTION("""COMPUTED_VALUE"""),"PMU")</f>
        <v>PMU</v>
      </c>
      <c r="O497" s="1"/>
      <c r="P497" s="1"/>
      <c r="Q497" s="1"/>
      <c r="R497" s="1"/>
      <c r="S497" s="1"/>
      <c r="T497" s="1"/>
      <c r="U497" s="1"/>
      <c r="V497" s="1"/>
      <c r="W497" s="1"/>
      <c r="X497" s="1"/>
      <c r="Y497" s="1"/>
      <c r="Z497" s="1"/>
    </row>
    <row r="498" spans="1:26" ht="12.75" customHeight="1">
      <c r="A498" s="1"/>
      <c r="B498" s="10" t="str">
        <f ca="1">IFERROR(__xludf.DUMMYFUNCTION("""COMPUTED_VALUE"""),"9. REPOSICIÓN ACERAS EN CALLE LOS PALOMARES ENTRE CALLES LOS GUINDOS Y LOS NARANJOS, POB. LAGUNILLAS")</f>
        <v>9. REPOSICIÓN ACERAS EN CALLE LOS PALOMARES ENTRE CALLES LOS GUINDOS Y LOS NARANJOS, POB. LAGUNILLAS</v>
      </c>
      <c r="C498" s="10" t="str">
        <f ca="1">IFERROR(__xludf.DUMMYFUNCTION("""COMPUTED_VALUE"""),"1-K-2024-11")</f>
        <v>1-K-2024-11</v>
      </c>
      <c r="D498" s="26" t="str">
        <f t="shared" ca="1" si="0"/>
        <v xml:space="preserve"> CORONEL</v>
      </c>
      <c r="E498" s="10" t="str">
        <f ca="1">IFERROR(__xludf.DUMMYFUNCTION("""COMPUTED_VALUE"""),"Guía Operativa")</f>
        <v>Guía Operativa</v>
      </c>
      <c r="F498" s="10" t="str">
        <f ca="1">IFERROR(__xludf.DUMMYFUNCTION("""COMPUTED_VALUE"""),"MUNICIPALIDAD DE CORONEL")</f>
        <v>MUNICIPALIDAD DE CORONEL</v>
      </c>
      <c r="G498" s="71">
        <f ca="1">IFERROR(__xludf.DUMMYFUNCTION("""COMPUTED_VALUE"""),91696715)</f>
        <v>91696715</v>
      </c>
      <c r="H498" s="10" t="str">
        <f ca="1">IFERROR(__xludf.DUMMYFUNCTION("""COMPUTED_VALUE"""),"Resolución")</f>
        <v>Resolución</v>
      </c>
      <c r="I498" s="10" t="str">
        <f ca="1">IFERROR(__xludf.DUMMYFUNCTION("""COMPUTED_VALUE"""),"OBRA")</f>
        <v>OBRA</v>
      </c>
      <c r="J498" s="10" t="str">
        <f ca="1">IFERROR(__xludf.DUMMYFUNCTION("""COMPUTED_VALUE"""),"Cumplir con normativa y reglamentos internos del programa en base a los objetivos.")</f>
        <v>Cumplir con normativa y reglamentos internos del programa en base a los objetivos.</v>
      </c>
      <c r="K498" s="71">
        <f ca="1">IFERROR(__xludf.DUMMYFUNCTION("""COMPUTED_VALUE"""),45848358)</f>
        <v>45848358</v>
      </c>
      <c r="L498" s="72">
        <f ca="1">IFERROR(__xludf.DUMMYFUNCTION("""COMPUTED_VALUE"""),0.500000005452758)</f>
        <v>0.50000000545275802</v>
      </c>
      <c r="M498" s="10">
        <f ca="1">IFERROR(__xludf.DUMMYFUNCTION("""COMPUTED_VALUE"""),7703)</f>
        <v>7703</v>
      </c>
      <c r="N498" s="10" t="str">
        <f ca="1">IFERROR(__xludf.DUMMYFUNCTION("""COMPUTED_VALUE"""),"PMU")</f>
        <v>PMU</v>
      </c>
      <c r="O498" s="1"/>
      <c r="P498" s="1"/>
      <c r="Q498" s="1"/>
      <c r="R498" s="1"/>
      <c r="S498" s="1"/>
      <c r="T498" s="1"/>
      <c r="U498" s="1"/>
      <c r="V498" s="1"/>
      <c r="W498" s="1"/>
      <c r="X498" s="1"/>
      <c r="Y498" s="1"/>
      <c r="Z498" s="1"/>
    </row>
    <row r="499" spans="1:26" ht="12.75" customHeight="1">
      <c r="A499" s="1"/>
      <c r="B499" s="10" t="str">
        <f ca="1">IFERROR(__xludf.DUMMYFUNCTION("""COMPUTED_VALUE"""),"11. REPOSICIÓN CIERRE PERIMETRAL MULTICANCHA DE CALLE LOS NOTROS, POB. LAGUNILLAS.")</f>
        <v>11. REPOSICIÓN CIERRE PERIMETRAL MULTICANCHA DE CALLE LOS NOTROS, POB. LAGUNILLAS.</v>
      </c>
      <c r="C499" s="10" t="str">
        <f ca="1">IFERROR(__xludf.DUMMYFUNCTION("""COMPUTED_VALUE"""),"1-K-2024-13")</f>
        <v>1-K-2024-13</v>
      </c>
      <c r="D499" s="26" t="str">
        <f t="shared" ca="1" si="0"/>
        <v xml:space="preserve"> CORONEL</v>
      </c>
      <c r="E499" s="10" t="str">
        <f ca="1">IFERROR(__xludf.DUMMYFUNCTION("""COMPUTED_VALUE"""),"Guía Operativa")</f>
        <v>Guía Operativa</v>
      </c>
      <c r="F499" s="10" t="str">
        <f ca="1">IFERROR(__xludf.DUMMYFUNCTION("""COMPUTED_VALUE"""),"MUNICIPALIDAD DE CORONEL")</f>
        <v>MUNICIPALIDAD DE CORONEL</v>
      </c>
      <c r="G499" s="71">
        <f ca="1">IFERROR(__xludf.DUMMYFUNCTION("""COMPUTED_VALUE"""),160524191)</f>
        <v>160524191</v>
      </c>
      <c r="H499" s="10" t="str">
        <f ca="1">IFERROR(__xludf.DUMMYFUNCTION("""COMPUTED_VALUE"""),"Resolución")</f>
        <v>Resolución</v>
      </c>
      <c r="I499" s="10" t="str">
        <f ca="1">IFERROR(__xludf.DUMMYFUNCTION("""COMPUTED_VALUE"""),"OBRA")</f>
        <v>OBRA</v>
      </c>
      <c r="J499" s="10" t="str">
        <f ca="1">IFERROR(__xludf.DUMMYFUNCTION("""COMPUTED_VALUE"""),"Cumplir con normativa y reglamentos internos del programa en base a los objetivos.")</f>
        <v>Cumplir con normativa y reglamentos internos del programa en base a los objetivos.</v>
      </c>
      <c r="K499" s="71">
        <f ca="1">IFERROR(__xludf.DUMMYFUNCTION("""COMPUTED_VALUE"""),80262096)</f>
        <v>80262096</v>
      </c>
      <c r="L499" s="72">
        <f ca="1">IFERROR(__xludf.DUMMYFUNCTION("""COMPUTED_VALUE"""),0.500000003114795)</f>
        <v>0.50000000311479498</v>
      </c>
      <c r="M499" s="10">
        <f ca="1">IFERROR(__xludf.DUMMYFUNCTION("""COMPUTED_VALUE"""),7703)</f>
        <v>7703</v>
      </c>
      <c r="N499" s="10" t="str">
        <f ca="1">IFERROR(__xludf.DUMMYFUNCTION("""COMPUTED_VALUE"""),"PMU")</f>
        <v>PMU</v>
      </c>
      <c r="O499" s="1"/>
      <c r="P499" s="1"/>
      <c r="Q499" s="1"/>
      <c r="R499" s="1"/>
      <c r="S499" s="1"/>
      <c r="T499" s="1"/>
      <c r="U499" s="1"/>
      <c r="V499" s="1"/>
      <c r="W499" s="1"/>
      <c r="X499" s="1"/>
      <c r="Y499" s="1"/>
      <c r="Z499" s="1"/>
    </row>
    <row r="500" spans="1:26" ht="12.75" customHeight="1">
      <c r="A500" s="1"/>
      <c r="B500" s="10" t="str">
        <f ca="1">IFERROR(__xludf.DUMMYFUNCTION("""COMPUTED_VALUE"""),"13. REPOSICIÓN ACERAS EN CALLE MANUEL MONTT ENTRE CALLES LA CENTRAL Y UNO NORTE, POB. PEDRO AGUIRRE CERDA.")</f>
        <v>13. REPOSICIÓN ACERAS EN CALLE MANUEL MONTT ENTRE CALLES LA CENTRAL Y UNO NORTE, POB. PEDRO AGUIRRE CERDA.</v>
      </c>
      <c r="C500" s="10" t="str">
        <f ca="1">IFERROR(__xludf.DUMMYFUNCTION("""COMPUTED_VALUE"""),"1-K-2024-15")</f>
        <v>1-K-2024-15</v>
      </c>
      <c r="D500" s="26" t="str">
        <f t="shared" ca="1" si="0"/>
        <v xml:space="preserve"> CORONEL</v>
      </c>
      <c r="E500" s="10" t="str">
        <f ca="1">IFERROR(__xludf.DUMMYFUNCTION("""COMPUTED_VALUE"""),"Guía Operativa")</f>
        <v>Guía Operativa</v>
      </c>
      <c r="F500" s="10" t="str">
        <f ca="1">IFERROR(__xludf.DUMMYFUNCTION("""COMPUTED_VALUE"""),"MUNICIPALIDAD DE CORONEL")</f>
        <v>MUNICIPALIDAD DE CORONEL</v>
      </c>
      <c r="G500" s="71">
        <f ca="1">IFERROR(__xludf.DUMMYFUNCTION("""COMPUTED_VALUE"""),159562764)</f>
        <v>159562764</v>
      </c>
      <c r="H500" s="10" t="str">
        <f ca="1">IFERROR(__xludf.DUMMYFUNCTION("""COMPUTED_VALUE"""),"Resolución")</f>
        <v>Resolución</v>
      </c>
      <c r="I500" s="10" t="str">
        <f ca="1">IFERROR(__xludf.DUMMYFUNCTION("""COMPUTED_VALUE"""),"OBRA")</f>
        <v>OBRA</v>
      </c>
      <c r="J500" s="10" t="str">
        <f ca="1">IFERROR(__xludf.DUMMYFUNCTION("""COMPUTED_VALUE"""),"Cumplir con normativa y reglamentos internos del programa en base a los objetivos.")</f>
        <v>Cumplir con normativa y reglamentos internos del programa en base a los objetivos.</v>
      </c>
      <c r="K500" s="71">
        <f ca="1">IFERROR(__xludf.DUMMYFUNCTION("""COMPUTED_VALUE"""),79781382)</f>
        <v>79781382</v>
      </c>
      <c r="L500" s="72">
        <f ca="1">IFERROR(__xludf.DUMMYFUNCTION("""COMPUTED_VALUE"""),0.5)</f>
        <v>0.5</v>
      </c>
      <c r="M500" s="10">
        <f ca="1">IFERROR(__xludf.DUMMYFUNCTION("""COMPUTED_VALUE"""),7785)</f>
        <v>7785</v>
      </c>
      <c r="N500" s="10" t="str">
        <f ca="1">IFERROR(__xludf.DUMMYFUNCTION("""COMPUTED_VALUE"""),"PMU")</f>
        <v>PMU</v>
      </c>
      <c r="O500" s="1"/>
      <c r="P500" s="1"/>
      <c r="Q500" s="1"/>
      <c r="R500" s="1"/>
      <c r="S500" s="1"/>
      <c r="T500" s="1"/>
      <c r="U500" s="1"/>
      <c r="V500" s="1"/>
      <c r="W500" s="1"/>
      <c r="X500" s="1"/>
      <c r="Y500" s="1"/>
      <c r="Z500" s="1"/>
    </row>
    <row r="501" spans="1:26" ht="12.75" customHeight="1">
      <c r="A501" s="1"/>
      <c r="B501" s="10" t="str">
        <f ca="1">IFERROR(__xludf.DUMMYFUNCTION("""COMPUTED_VALUE"""),"14. REPOSICIÓN ACERAS EN CALLE LOS NOGALES ENTRE CALLES LOS RADALES Y LAS ARAUCARIAS, POB. LAGUNILLAS.")</f>
        <v>14. REPOSICIÓN ACERAS EN CALLE LOS NOGALES ENTRE CALLES LOS RADALES Y LAS ARAUCARIAS, POB. LAGUNILLAS.</v>
      </c>
      <c r="C501" s="10" t="str">
        <f ca="1">IFERROR(__xludf.DUMMYFUNCTION("""COMPUTED_VALUE"""),"1-K-2024-16")</f>
        <v>1-K-2024-16</v>
      </c>
      <c r="D501" s="26" t="str">
        <f t="shared" ca="1" si="0"/>
        <v xml:space="preserve"> CORONEL</v>
      </c>
      <c r="E501" s="10" t="str">
        <f ca="1">IFERROR(__xludf.DUMMYFUNCTION("""COMPUTED_VALUE"""),"Guía Operativa")</f>
        <v>Guía Operativa</v>
      </c>
      <c r="F501" s="10" t="str">
        <f ca="1">IFERROR(__xludf.DUMMYFUNCTION("""COMPUTED_VALUE"""),"MUNICIPALIDAD DE CORONEL")</f>
        <v>MUNICIPALIDAD DE CORONEL</v>
      </c>
      <c r="G501" s="71">
        <f ca="1">IFERROR(__xludf.DUMMYFUNCTION("""COMPUTED_VALUE"""),88150243)</f>
        <v>88150243</v>
      </c>
      <c r="H501" s="10" t="str">
        <f ca="1">IFERROR(__xludf.DUMMYFUNCTION("""COMPUTED_VALUE"""),"Resolución")</f>
        <v>Resolución</v>
      </c>
      <c r="I501" s="10" t="str">
        <f ca="1">IFERROR(__xludf.DUMMYFUNCTION("""COMPUTED_VALUE"""),"OBRA")</f>
        <v>OBRA</v>
      </c>
      <c r="J501" s="10" t="str">
        <f ca="1">IFERROR(__xludf.DUMMYFUNCTION("""COMPUTED_VALUE"""),"Cumplir con normativa y reglamentos internos del programa en base a los objetivos.")</f>
        <v>Cumplir con normativa y reglamentos internos del programa en base a los objetivos.</v>
      </c>
      <c r="K501" s="71">
        <f ca="1">IFERROR(__xludf.DUMMYFUNCTION("""COMPUTED_VALUE"""),44075122)</f>
        <v>44075122</v>
      </c>
      <c r="L501" s="72">
        <f ca="1">IFERROR(__xludf.DUMMYFUNCTION("""COMPUTED_VALUE"""),0.500000005672134)</f>
        <v>0.50000000567213398</v>
      </c>
      <c r="M501" s="10">
        <f ca="1">IFERROR(__xludf.DUMMYFUNCTION("""COMPUTED_VALUE"""),7784)</f>
        <v>7784</v>
      </c>
      <c r="N501" s="10" t="str">
        <f ca="1">IFERROR(__xludf.DUMMYFUNCTION("""COMPUTED_VALUE"""),"PMU")</f>
        <v>PMU</v>
      </c>
      <c r="O501" s="1"/>
      <c r="P501" s="1"/>
      <c r="Q501" s="1"/>
      <c r="R501" s="1"/>
      <c r="S501" s="1"/>
      <c r="T501" s="1"/>
      <c r="U501" s="1"/>
      <c r="V501" s="1"/>
      <c r="W501" s="1"/>
      <c r="X501" s="1"/>
      <c r="Y501" s="1"/>
      <c r="Z501" s="1"/>
    </row>
    <row r="502" spans="1:26" ht="12.75" customHeight="1">
      <c r="A502" s="1"/>
      <c r="B502" s="10" t="str">
        <f ca="1">IFERROR(__xludf.DUMMYFUNCTION("""COMPUTED_VALUE"""),"CONSTRUCCIÓN MURO DE CONTENCIÓN PJE. O´HIGGINS 2 POBL. LIBERTAD, LOTA.")</f>
        <v>CONSTRUCCIÓN MURO DE CONTENCIÓN PJE. O´HIGGINS 2 POBL. LIBERTAD, LOTA.</v>
      </c>
      <c r="C502" s="10" t="str">
        <f ca="1">IFERROR(__xludf.DUMMYFUNCTION("""COMPUTED_VALUE"""),"1-K-2024-32")</f>
        <v>1-K-2024-32</v>
      </c>
      <c r="D502" s="26" t="str">
        <f t="shared" ca="1" si="0"/>
        <v xml:space="preserve"> LOTA</v>
      </c>
      <c r="E502" s="10" t="str">
        <f ca="1">IFERROR(__xludf.DUMMYFUNCTION("""COMPUTED_VALUE"""),"Guía Operativa")</f>
        <v>Guía Operativa</v>
      </c>
      <c r="F502" s="10" t="str">
        <f ca="1">IFERROR(__xludf.DUMMYFUNCTION("""COMPUTED_VALUE"""),"MUNICIPALIDAD DE LOTA")</f>
        <v>MUNICIPALIDAD DE LOTA</v>
      </c>
      <c r="G502" s="71">
        <f ca="1">IFERROR(__xludf.DUMMYFUNCTION("""COMPUTED_VALUE"""),155591417)</f>
        <v>155591417</v>
      </c>
      <c r="H502" s="10" t="str">
        <f ca="1">IFERROR(__xludf.DUMMYFUNCTION("""COMPUTED_VALUE"""),"Resolución")</f>
        <v>Resolución</v>
      </c>
      <c r="I502" s="10" t="str">
        <f ca="1">IFERROR(__xludf.DUMMYFUNCTION("""COMPUTED_VALUE"""),"OBRA")</f>
        <v>OBRA</v>
      </c>
      <c r="J502" s="10" t="str">
        <f ca="1">IFERROR(__xludf.DUMMYFUNCTION("""COMPUTED_VALUE"""),"Cumplir con normativa y reglamentos internos del programa en base a los objetivos.")</f>
        <v>Cumplir con normativa y reglamentos internos del programa en base a los objetivos.</v>
      </c>
      <c r="K502" s="71">
        <f ca="1">IFERROR(__xludf.DUMMYFUNCTION("""COMPUTED_VALUE"""),77795709)</f>
        <v>77795709</v>
      </c>
      <c r="L502" s="72">
        <f ca="1">IFERROR(__xludf.DUMMYFUNCTION("""COMPUTED_VALUE"""),0.500000003213544)</f>
        <v>0.50000000321354399</v>
      </c>
      <c r="M502" s="10">
        <f ca="1">IFERROR(__xludf.DUMMYFUNCTION("""COMPUTED_VALUE"""),8026)</f>
        <v>8026</v>
      </c>
      <c r="N502" s="10" t="str">
        <f ca="1">IFERROR(__xludf.DUMMYFUNCTION("""COMPUTED_VALUE"""),"PMU")</f>
        <v>PMU</v>
      </c>
      <c r="O502" s="1"/>
      <c r="P502" s="1"/>
      <c r="Q502" s="1"/>
      <c r="R502" s="1"/>
      <c r="S502" s="1"/>
      <c r="T502" s="1"/>
      <c r="U502" s="1"/>
      <c r="V502" s="1"/>
      <c r="W502" s="1"/>
      <c r="X502" s="1"/>
      <c r="Y502" s="1"/>
      <c r="Z502" s="1"/>
    </row>
    <row r="503" spans="1:26" ht="12.75" customHeight="1">
      <c r="A503" s="1"/>
      <c r="B503" s="10" t="str">
        <f ca="1">IFERROR(__xludf.DUMMYFUNCTION("""COMPUTED_VALUE"""),"CONSTRUCCIÓN REDUCTOR DE VELOCIDAD CALLE LAUTARO SECTOR SAN MARTIN, LOTA.")</f>
        <v>CONSTRUCCIÓN REDUCTOR DE VELOCIDAD CALLE LAUTARO SECTOR SAN MARTIN, LOTA.</v>
      </c>
      <c r="C503" s="10" t="str">
        <f ca="1">IFERROR(__xludf.DUMMYFUNCTION("""COMPUTED_VALUE"""),"1-K-2024-45")</f>
        <v>1-K-2024-45</v>
      </c>
      <c r="D503" s="26" t="str">
        <f t="shared" ca="1" si="0"/>
        <v xml:space="preserve"> LOTA</v>
      </c>
      <c r="E503" s="10" t="str">
        <f ca="1">IFERROR(__xludf.DUMMYFUNCTION("""COMPUTED_VALUE"""),"Guía Operativa")</f>
        <v>Guía Operativa</v>
      </c>
      <c r="F503" s="10" t="str">
        <f ca="1">IFERROR(__xludf.DUMMYFUNCTION("""COMPUTED_VALUE"""),"MUNICIPALIDAD DE LOTA")</f>
        <v>MUNICIPALIDAD DE LOTA</v>
      </c>
      <c r="G503" s="71">
        <f ca="1">IFERROR(__xludf.DUMMYFUNCTION("""COMPUTED_VALUE"""),153723735)</f>
        <v>153723735</v>
      </c>
      <c r="H503" s="10" t="str">
        <f ca="1">IFERROR(__xludf.DUMMYFUNCTION("""COMPUTED_VALUE"""),"Resolución")</f>
        <v>Resolución</v>
      </c>
      <c r="I503" s="10" t="str">
        <f ca="1">IFERROR(__xludf.DUMMYFUNCTION("""COMPUTED_VALUE"""),"OBRA")</f>
        <v>OBRA</v>
      </c>
      <c r="J503" s="10" t="str">
        <f ca="1">IFERROR(__xludf.DUMMYFUNCTION("""COMPUTED_VALUE"""),"Cumplir con normativa y reglamentos internos del programa en base a los objetivos.")</f>
        <v>Cumplir con normativa y reglamentos internos del programa en base a los objetivos.</v>
      </c>
      <c r="K503" s="71">
        <f ca="1">IFERROR(__xludf.DUMMYFUNCTION("""COMPUTED_VALUE"""),76861868)</f>
        <v>76861868</v>
      </c>
      <c r="L503" s="72">
        <f ca="1">IFERROR(__xludf.DUMMYFUNCTION("""COMPUTED_VALUE"""),0.500000003252588)</f>
        <v>0.50000000325258798</v>
      </c>
      <c r="M503" s="10">
        <f ca="1">IFERROR(__xludf.DUMMYFUNCTION("""COMPUTED_VALUE"""),8022)</f>
        <v>8022</v>
      </c>
      <c r="N503" s="10" t="str">
        <f ca="1">IFERROR(__xludf.DUMMYFUNCTION("""COMPUTED_VALUE"""),"PMU")</f>
        <v>PMU</v>
      </c>
      <c r="O503" s="1"/>
      <c r="P503" s="1"/>
      <c r="Q503" s="1"/>
      <c r="R503" s="1"/>
      <c r="S503" s="1"/>
      <c r="T503" s="1"/>
      <c r="U503" s="1"/>
      <c r="V503" s="1"/>
      <c r="W503" s="1"/>
      <c r="X503" s="1"/>
      <c r="Y503" s="1"/>
      <c r="Z503" s="1"/>
    </row>
    <row r="504" spans="1:26" ht="12.75" customHeight="1">
      <c r="A504" s="1"/>
      <c r="B504" s="10" t="str">
        <f ca="1">IFERROR(__xludf.DUMMYFUNCTION("""COMPUTED_VALUE"""),"10. REPOSICIÓN ACERAS EN CALLE LOS NOGALES ENTRE CALLES LOS GUAYACANES Y LOS NOTROS, POB. LAGUNILLAS.")</f>
        <v>10. REPOSICIÓN ACERAS EN CALLE LOS NOGALES ENTRE CALLES LOS GUAYACANES Y LOS NOTROS, POB. LAGUNILLAS.</v>
      </c>
      <c r="C504" s="10" t="str">
        <f ca="1">IFERROR(__xludf.DUMMYFUNCTION("""COMPUTED_VALUE"""),"1-K-2024-52")</f>
        <v>1-K-2024-52</v>
      </c>
      <c r="D504" s="26" t="str">
        <f t="shared" ca="1" si="0"/>
        <v xml:space="preserve"> CORONEL</v>
      </c>
      <c r="E504" s="10" t="str">
        <f ca="1">IFERROR(__xludf.DUMMYFUNCTION("""COMPUTED_VALUE"""),"Guía Operativa")</f>
        <v>Guía Operativa</v>
      </c>
      <c r="F504" s="10" t="str">
        <f ca="1">IFERROR(__xludf.DUMMYFUNCTION("""COMPUTED_VALUE"""),"MUNICIPALIDAD DE CORONEL")</f>
        <v>MUNICIPALIDAD DE CORONEL</v>
      </c>
      <c r="G504" s="71">
        <f ca="1">IFERROR(__xludf.DUMMYFUNCTION("""COMPUTED_VALUE"""),157750572)</f>
        <v>157750572</v>
      </c>
      <c r="H504" s="10" t="str">
        <f ca="1">IFERROR(__xludf.DUMMYFUNCTION("""COMPUTED_VALUE"""),"Resolución")</f>
        <v>Resolución</v>
      </c>
      <c r="I504" s="10" t="str">
        <f ca="1">IFERROR(__xludf.DUMMYFUNCTION("""COMPUTED_VALUE"""),"OBRA")</f>
        <v>OBRA</v>
      </c>
      <c r="J504" s="10" t="str">
        <f ca="1">IFERROR(__xludf.DUMMYFUNCTION("""COMPUTED_VALUE"""),"Cumplir con normativa y reglamentos internos del programa en base a los objetivos.")</f>
        <v>Cumplir con normativa y reglamentos internos del programa en base a los objetivos.</v>
      </c>
      <c r="K504" s="71">
        <f ca="1">IFERROR(__xludf.DUMMYFUNCTION("""COMPUTED_VALUE"""),78875286)</f>
        <v>78875286</v>
      </c>
      <c r="L504" s="72">
        <f ca="1">IFERROR(__xludf.DUMMYFUNCTION("""COMPUTED_VALUE"""),0.5)</f>
        <v>0.5</v>
      </c>
      <c r="M504" s="10">
        <f ca="1">IFERROR(__xludf.DUMMYFUNCTION("""COMPUTED_VALUE"""),8020)</f>
        <v>8020</v>
      </c>
      <c r="N504" s="10" t="str">
        <f ca="1">IFERROR(__xludf.DUMMYFUNCTION("""COMPUTED_VALUE"""),"PMU")</f>
        <v>PMU</v>
      </c>
      <c r="O504" s="1"/>
      <c r="P504" s="1"/>
      <c r="Q504" s="1"/>
      <c r="R504" s="1"/>
      <c r="S504" s="1"/>
      <c r="T504" s="1"/>
      <c r="U504" s="1"/>
      <c r="V504" s="1"/>
      <c r="W504" s="1"/>
      <c r="X504" s="1"/>
      <c r="Y504" s="1"/>
      <c r="Z504" s="1"/>
    </row>
    <row r="505" spans="1:26" ht="12.75" customHeight="1">
      <c r="A505" s="1"/>
      <c r="B505" s="10" t="str">
        <f ca="1">IFERROR(__xludf.DUMMYFUNCTION("""COMPUTED_VALUE"""),"INSTALACIÓN JUEGOS PLAZA TRES PINOS, LOS ÁLAMOS")</f>
        <v>INSTALACIÓN JUEGOS PLAZA TRES PINOS, LOS ÁLAMOS</v>
      </c>
      <c r="C505" s="10" t="str">
        <f ca="1">IFERROR(__xludf.DUMMYFUNCTION("""COMPUTED_VALUE"""),"1-K-2024-56")</f>
        <v>1-K-2024-56</v>
      </c>
      <c r="D505" s="26" t="str">
        <f t="shared" ca="1" si="0"/>
        <v xml:space="preserve"> LOS ÁLAMOS</v>
      </c>
      <c r="E505" s="10" t="str">
        <f ca="1">IFERROR(__xludf.DUMMYFUNCTION("""COMPUTED_VALUE"""),"Guía Operativa")</f>
        <v>Guía Operativa</v>
      </c>
      <c r="F505" s="10" t="str">
        <f ca="1">IFERROR(__xludf.DUMMYFUNCTION("""COMPUTED_VALUE"""),"MUNICIPALIDAD DE LOS ÁLAMOS")</f>
        <v>MUNICIPALIDAD DE LOS ÁLAMOS</v>
      </c>
      <c r="G505" s="71">
        <f ca="1">IFERROR(__xludf.DUMMYFUNCTION("""COMPUTED_VALUE"""),107176032)</f>
        <v>107176032</v>
      </c>
      <c r="H505" s="10" t="str">
        <f ca="1">IFERROR(__xludf.DUMMYFUNCTION("""COMPUTED_VALUE"""),"Resolución")</f>
        <v>Resolución</v>
      </c>
      <c r="I505" s="10" t="str">
        <f ca="1">IFERROR(__xludf.DUMMYFUNCTION("""COMPUTED_VALUE"""),"OBRA")</f>
        <v>OBRA</v>
      </c>
      <c r="J505" s="10" t="str">
        <f ca="1">IFERROR(__xludf.DUMMYFUNCTION("""COMPUTED_VALUE"""),"Cumplir con normativa y reglamentos internos del programa en base a los objetivos.")</f>
        <v>Cumplir con normativa y reglamentos internos del programa en base a los objetivos.</v>
      </c>
      <c r="K505" s="71">
        <f ca="1">IFERROR(__xludf.DUMMYFUNCTION("""COMPUTED_VALUE"""),53588016)</f>
        <v>53588016</v>
      </c>
      <c r="L505" s="72">
        <f ca="1">IFERROR(__xludf.DUMMYFUNCTION("""COMPUTED_VALUE"""),0.5)</f>
        <v>0.5</v>
      </c>
      <c r="M505" s="10">
        <f ca="1">IFERROR(__xludf.DUMMYFUNCTION("""COMPUTED_VALUE"""),8023)</f>
        <v>8023</v>
      </c>
      <c r="N505" s="10" t="str">
        <f ca="1">IFERROR(__xludf.DUMMYFUNCTION("""COMPUTED_VALUE"""),"PMU")</f>
        <v>PMU</v>
      </c>
      <c r="O505" s="1"/>
      <c r="P505" s="1"/>
      <c r="Q505" s="1"/>
      <c r="R505" s="1"/>
      <c r="S505" s="1"/>
      <c r="T505" s="1"/>
      <c r="U505" s="1"/>
      <c r="V505" s="1"/>
      <c r="W505" s="1"/>
      <c r="X505" s="1"/>
      <c r="Y505" s="1"/>
      <c r="Z505" s="1"/>
    </row>
    <row r="506" spans="1:26" ht="12.75" customHeight="1">
      <c r="A506" s="1"/>
      <c r="B506" s="10" t="str">
        <f ca="1">IFERROR(__xludf.DUMMYFUNCTION("""COMPUTED_VALUE"""),"REPOSICIÓN VEREDA AVDA. DIEGO DE ALMAGRO, ENTRE CALLE BOCAHUE Y CALLE NAHUELBUTA ANTIHUALA, LOS ÁLAMOS")</f>
        <v>REPOSICIÓN VEREDA AVDA. DIEGO DE ALMAGRO, ENTRE CALLE BOCAHUE Y CALLE NAHUELBUTA ANTIHUALA, LOS ÁLAMOS</v>
      </c>
      <c r="C506" s="10" t="str">
        <f ca="1">IFERROR(__xludf.DUMMYFUNCTION("""COMPUTED_VALUE"""),"1-K-2024-59")</f>
        <v>1-K-2024-59</v>
      </c>
      <c r="D506" s="26" t="str">
        <f t="shared" ca="1" si="0"/>
        <v xml:space="preserve"> LOS ÁLAMOS</v>
      </c>
      <c r="E506" s="10" t="str">
        <f ca="1">IFERROR(__xludf.DUMMYFUNCTION("""COMPUTED_VALUE"""),"Guía Operativa")</f>
        <v>Guía Operativa</v>
      </c>
      <c r="F506" s="10" t="str">
        <f ca="1">IFERROR(__xludf.DUMMYFUNCTION("""COMPUTED_VALUE"""),"MUNICIPALIDAD DE LOS ÁLAMOS")</f>
        <v>MUNICIPALIDAD DE LOS ÁLAMOS</v>
      </c>
      <c r="G506" s="71">
        <f ca="1">IFERROR(__xludf.DUMMYFUNCTION("""COMPUTED_VALUE"""),110977193)</f>
        <v>110977193</v>
      </c>
      <c r="H506" s="10" t="str">
        <f ca="1">IFERROR(__xludf.DUMMYFUNCTION("""COMPUTED_VALUE"""),"Resolución")</f>
        <v>Resolución</v>
      </c>
      <c r="I506" s="10" t="str">
        <f ca="1">IFERROR(__xludf.DUMMYFUNCTION("""COMPUTED_VALUE"""),"OBRA")</f>
        <v>OBRA</v>
      </c>
      <c r="J506" s="10" t="str">
        <f ca="1">IFERROR(__xludf.DUMMYFUNCTION("""COMPUTED_VALUE"""),"Cumplir con normativa y reglamentos internos del programa en base a los objetivos.")</f>
        <v>Cumplir con normativa y reglamentos internos del programa en base a los objetivos.</v>
      </c>
      <c r="K506" s="71">
        <f ca="1">IFERROR(__xludf.DUMMYFUNCTION("""COMPUTED_VALUE"""),55488597)</f>
        <v>55488597</v>
      </c>
      <c r="L506" s="72">
        <f ca="1">IFERROR(__xludf.DUMMYFUNCTION("""COMPUTED_VALUE"""),0.50000000450543)</f>
        <v>0.50000000450543003</v>
      </c>
      <c r="M506" s="10">
        <f ca="1">IFERROR(__xludf.DUMMYFUNCTION("""COMPUTED_VALUE"""),8025)</f>
        <v>8025</v>
      </c>
      <c r="N506" s="10" t="str">
        <f ca="1">IFERROR(__xludf.DUMMYFUNCTION("""COMPUTED_VALUE"""),"PMU")</f>
        <v>PMU</v>
      </c>
      <c r="O506" s="1"/>
      <c r="P506" s="1"/>
      <c r="Q506" s="1"/>
      <c r="R506" s="1"/>
      <c r="S506" s="1"/>
      <c r="T506" s="1"/>
      <c r="U506" s="1"/>
      <c r="V506" s="1"/>
      <c r="W506" s="1"/>
      <c r="X506" s="1"/>
      <c r="Y506" s="1"/>
      <c r="Z506" s="1"/>
    </row>
    <row r="507" spans="1:26" ht="12.75" customHeight="1">
      <c r="A507" s="1"/>
      <c r="B507" s="10" t="str">
        <f ca="1">IFERROR(__xludf.DUMMYFUNCTION("""COMPUTED_VALUE"""),"REPOSICIÓN VEREDA AVDA. DIEGO DE ALMAGRO ENTRE CALLE PORTALES Y PASAJE S/N ANTIHUALA, LOS ÁLAMOS")</f>
        <v>REPOSICIÓN VEREDA AVDA. DIEGO DE ALMAGRO ENTRE CALLE PORTALES Y PASAJE S/N ANTIHUALA, LOS ÁLAMOS</v>
      </c>
      <c r="C507" s="10" t="str">
        <f ca="1">IFERROR(__xludf.DUMMYFUNCTION("""COMPUTED_VALUE"""),"1-K-2024-60")</f>
        <v>1-K-2024-60</v>
      </c>
      <c r="D507" s="26" t="str">
        <f t="shared" ca="1" si="0"/>
        <v xml:space="preserve"> LOS ÁLAMOS</v>
      </c>
      <c r="E507" s="10" t="str">
        <f ca="1">IFERROR(__xludf.DUMMYFUNCTION("""COMPUTED_VALUE"""),"Guía Operativa")</f>
        <v>Guía Operativa</v>
      </c>
      <c r="F507" s="10" t="str">
        <f ca="1">IFERROR(__xludf.DUMMYFUNCTION("""COMPUTED_VALUE"""),"MUNICIPALIDAD DE LOS ÁLAMOS")</f>
        <v>MUNICIPALIDAD DE LOS ÁLAMOS</v>
      </c>
      <c r="G507" s="71">
        <f ca="1">IFERROR(__xludf.DUMMYFUNCTION("""COMPUTED_VALUE"""),115092789)</f>
        <v>115092789</v>
      </c>
      <c r="H507" s="10" t="str">
        <f ca="1">IFERROR(__xludf.DUMMYFUNCTION("""COMPUTED_VALUE"""),"Resolución")</f>
        <v>Resolución</v>
      </c>
      <c r="I507" s="10" t="str">
        <f ca="1">IFERROR(__xludf.DUMMYFUNCTION("""COMPUTED_VALUE"""),"OBRA")</f>
        <v>OBRA</v>
      </c>
      <c r="J507" s="10" t="str">
        <f ca="1">IFERROR(__xludf.DUMMYFUNCTION("""COMPUTED_VALUE"""),"Cumplir con normativa y reglamentos internos del programa en base a los objetivos.")</f>
        <v>Cumplir con normativa y reglamentos internos del programa en base a los objetivos.</v>
      </c>
      <c r="K507" s="71">
        <f ca="1">IFERROR(__xludf.DUMMYFUNCTION("""COMPUTED_VALUE"""),57546395)</f>
        <v>57546395</v>
      </c>
      <c r="L507" s="72">
        <f ca="1">IFERROR(__xludf.DUMMYFUNCTION("""COMPUTED_VALUE"""),0.50000000434432)</f>
        <v>0.50000000434432001</v>
      </c>
      <c r="M507" s="10">
        <f ca="1">IFERROR(__xludf.DUMMYFUNCTION("""COMPUTED_VALUE"""),8025)</f>
        <v>8025</v>
      </c>
      <c r="N507" s="10" t="str">
        <f ca="1">IFERROR(__xludf.DUMMYFUNCTION("""COMPUTED_VALUE"""),"PMU")</f>
        <v>PMU</v>
      </c>
      <c r="O507" s="1"/>
      <c r="P507" s="1"/>
      <c r="Q507" s="1"/>
      <c r="R507" s="1"/>
      <c r="S507" s="1"/>
      <c r="T507" s="1"/>
      <c r="U507" s="1"/>
      <c r="V507" s="1"/>
      <c r="W507" s="1"/>
      <c r="X507" s="1"/>
      <c r="Y507" s="1"/>
      <c r="Z507" s="1"/>
    </row>
    <row r="508" spans="1:26" ht="12.75" customHeight="1">
      <c r="A508" s="1"/>
      <c r="B508" s="10" t="str">
        <f ca="1">IFERROR(__xludf.DUMMYFUNCTION("""COMPUTED_VALUE"""),"REPOSICIÓN VEREDA AVDA. LAS ARAUCARIAS ENTRE CALLE LAS GOLONDRINAS Y CALLE BARROS ARANA TRES PINOS, LOS ÁLAMOS")</f>
        <v>REPOSICIÓN VEREDA AVDA. LAS ARAUCARIAS ENTRE CALLE LAS GOLONDRINAS Y CALLE BARROS ARANA TRES PINOS, LOS ÁLAMOS</v>
      </c>
      <c r="C508" s="10" t="str">
        <f ca="1">IFERROR(__xludf.DUMMYFUNCTION("""COMPUTED_VALUE"""),"1-K-2024-61")</f>
        <v>1-K-2024-61</v>
      </c>
      <c r="D508" s="26" t="str">
        <f t="shared" ca="1" si="0"/>
        <v xml:space="preserve"> LOS ÁLAMOS</v>
      </c>
      <c r="E508" s="10" t="str">
        <f ca="1">IFERROR(__xludf.DUMMYFUNCTION("""COMPUTED_VALUE"""),"Guía Operativa")</f>
        <v>Guía Operativa</v>
      </c>
      <c r="F508" s="10" t="str">
        <f ca="1">IFERROR(__xludf.DUMMYFUNCTION("""COMPUTED_VALUE"""),"MUNICIPALIDAD DE LOS ÁLAMOS")</f>
        <v>MUNICIPALIDAD DE LOS ÁLAMOS</v>
      </c>
      <c r="G508" s="71">
        <f ca="1">IFERROR(__xludf.DUMMYFUNCTION("""COMPUTED_VALUE"""),111140807)</f>
        <v>111140807</v>
      </c>
      <c r="H508" s="10" t="str">
        <f ca="1">IFERROR(__xludf.DUMMYFUNCTION("""COMPUTED_VALUE"""),"Resolución")</f>
        <v>Resolución</v>
      </c>
      <c r="I508" s="10" t="str">
        <f ca="1">IFERROR(__xludf.DUMMYFUNCTION("""COMPUTED_VALUE"""),"OBRA")</f>
        <v>OBRA</v>
      </c>
      <c r="J508" s="10" t="str">
        <f ca="1">IFERROR(__xludf.DUMMYFUNCTION("""COMPUTED_VALUE"""),"Cumplir con normativa y reglamentos internos del programa en base a los objetivos.")</f>
        <v>Cumplir con normativa y reglamentos internos del programa en base a los objetivos.</v>
      </c>
      <c r="K508" s="71">
        <f ca="1">IFERROR(__xludf.DUMMYFUNCTION("""COMPUTED_VALUE"""),55570404)</f>
        <v>55570404</v>
      </c>
      <c r="L508" s="72">
        <f ca="1">IFERROR(__xludf.DUMMYFUNCTION("""COMPUTED_VALUE"""),0.500000004498797)</f>
        <v>0.500000004498797</v>
      </c>
      <c r="M508" s="10">
        <f ca="1">IFERROR(__xludf.DUMMYFUNCTION("""COMPUTED_VALUE"""),8025)</f>
        <v>8025</v>
      </c>
      <c r="N508" s="10" t="str">
        <f ca="1">IFERROR(__xludf.DUMMYFUNCTION("""COMPUTED_VALUE"""),"PMU")</f>
        <v>PMU</v>
      </c>
      <c r="O508" s="1"/>
      <c r="P508" s="1"/>
      <c r="Q508" s="1"/>
      <c r="R508" s="1"/>
      <c r="S508" s="1"/>
      <c r="T508" s="1"/>
      <c r="U508" s="1"/>
      <c r="V508" s="1"/>
      <c r="W508" s="1"/>
      <c r="X508" s="1"/>
      <c r="Y508" s="1"/>
      <c r="Z508" s="1"/>
    </row>
    <row r="509" spans="1:26" ht="12.75" customHeight="1">
      <c r="A509" s="1"/>
      <c r="B509" s="10" t="str">
        <f ca="1">IFERROR(__xludf.DUMMYFUNCTION("""COMPUTED_VALUE"""),"REPOSICIÓN VEREDA AVDA. PEDRO DE VALDIVIA ENTRE CALLE MANUEL MONTT Y PASAJE S/N TEMUCO CHICO, LOS ÁLAMOS")</f>
        <v>REPOSICIÓN VEREDA AVDA. PEDRO DE VALDIVIA ENTRE CALLE MANUEL MONTT Y PASAJE S/N TEMUCO CHICO, LOS ÁLAMOS</v>
      </c>
      <c r="C509" s="10" t="str">
        <f ca="1">IFERROR(__xludf.DUMMYFUNCTION("""COMPUTED_VALUE"""),"1-K-2024-62")</f>
        <v>1-K-2024-62</v>
      </c>
      <c r="D509" s="26" t="str">
        <f t="shared" ca="1" si="0"/>
        <v xml:space="preserve"> LOS ÁLAMOS</v>
      </c>
      <c r="E509" s="10" t="str">
        <f ca="1">IFERROR(__xludf.DUMMYFUNCTION("""COMPUTED_VALUE"""),"Guía Operativa")</f>
        <v>Guía Operativa</v>
      </c>
      <c r="F509" s="10" t="str">
        <f ca="1">IFERROR(__xludf.DUMMYFUNCTION("""COMPUTED_VALUE"""),"MUNICIPALIDAD DE LOS ÁLAMOS")</f>
        <v>MUNICIPALIDAD DE LOS ÁLAMOS</v>
      </c>
      <c r="G509" s="71">
        <f ca="1">IFERROR(__xludf.DUMMYFUNCTION("""COMPUTED_VALUE"""),113460939)</f>
        <v>113460939</v>
      </c>
      <c r="H509" s="10" t="str">
        <f ca="1">IFERROR(__xludf.DUMMYFUNCTION("""COMPUTED_VALUE"""),"Resolución")</f>
        <v>Resolución</v>
      </c>
      <c r="I509" s="10" t="str">
        <f ca="1">IFERROR(__xludf.DUMMYFUNCTION("""COMPUTED_VALUE"""),"OBRA")</f>
        <v>OBRA</v>
      </c>
      <c r="J509" s="10" t="str">
        <f ca="1">IFERROR(__xludf.DUMMYFUNCTION("""COMPUTED_VALUE"""),"Cumplir con normativa y reglamentos internos del programa en base a los objetivos.")</f>
        <v>Cumplir con normativa y reglamentos internos del programa en base a los objetivos.</v>
      </c>
      <c r="K509" s="71">
        <f ca="1">IFERROR(__xludf.DUMMYFUNCTION("""COMPUTED_VALUE"""),56730470)</f>
        <v>56730470</v>
      </c>
      <c r="L509" s="72">
        <f ca="1">IFERROR(__xludf.DUMMYFUNCTION("""COMPUTED_VALUE"""),0.500000004406802)</f>
        <v>0.50000000440680203</v>
      </c>
      <c r="M509" s="10">
        <f ca="1">IFERROR(__xludf.DUMMYFUNCTION("""COMPUTED_VALUE"""),8025)</f>
        <v>8025</v>
      </c>
      <c r="N509" s="10" t="str">
        <f ca="1">IFERROR(__xludf.DUMMYFUNCTION("""COMPUTED_VALUE"""),"PMU")</f>
        <v>PMU</v>
      </c>
      <c r="O509" s="1"/>
      <c r="P509" s="1"/>
      <c r="Q509" s="1"/>
      <c r="R509" s="1"/>
      <c r="S509" s="1"/>
      <c r="T509" s="1"/>
      <c r="U509" s="1"/>
      <c r="V509" s="1"/>
      <c r="W509" s="1"/>
      <c r="X509" s="1"/>
      <c r="Y509" s="1"/>
      <c r="Z509" s="1"/>
    </row>
    <row r="510" spans="1:26" ht="12.75" customHeight="1">
      <c r="A510" s="1"/>
      <c r="B510" s="10" t="str">
        <f ca="1">IFERROR(__xludf.DUMMYFUNCTION("""COMPUTED_VALUE"""),"REPOSICIÓN VEREDA CALLE LOS FRUTILLARES ENTRE CALLE ARTURO PRAT Y AVDA DIEGO PORTALES, CERRO ALTO, LOS ÁLAMOS")</f>
        <v>REPOSICIÓN VEREDA CALLE LOS FRUTILLARES ENTRE CALLE ARTURO PRAT Y AVDA DIEGO PORTALES, CERRO ALTO, LOS ÁLAMOS</v>
      </c>
      <c r="C510" s="10" t="str">
        <f ca="1">IFERROR(__xludf.DUMMYFUNCTION("""COMPUTED_VALUE"""),"1-K-2024-63")</f>
        <v>1-K-2024-63</v>
      </c>
      <c r="D510" s="26" t="str">
        <f t="shared" ca="1" si="0"/>
        <v xml:space="preserve"> LOS ÁLAMOS</v>
      </c>
      <c r="E510" s="10" t="str">
        <f ca="1">IFERROR(__xludf.DUMMYFUNCTION("""COMPUTED_VALUE"""),"Guía Operativa")</f>
        <v>Guía Operativa</v>
      </c>
      <c r="F510" s="10" t="str">
        <f ca="1">IFERROR(__xludf.DUMMYFUNCTION("""COMPUTED_VALUE"""),"MUNICIPALIDAD DE LOS ÁLAMOS")</f>
        <v>MUNICIPALIDAD DE LOS ÁLAMOS</v>
      </c>
      <c r="G510" s="71">
        <f ca="1">IFERROR(__xludf.DUMMYFUNCTION("""COMPUTED_VALUE"""),113080307)</f>
        <v>113080307</v>
      </c>
      <c r="H510" s="10" t="str">
        <f ca="1">IFERROR(__xludf.DUMMYFUNCTION("""COMPUTED_VALUE"""),"Resolución")</f>
        <v>Resolución</v>
      </c>
      <c r="I510" s="10" t="str">
        <f ca="1">IFERROR(__xludf.DUMMYFUNCTION("""COMPUTED_VALUE"""),"OBRA")</f>
        <v>OBRA</v>
      </c>
      <c r="J510" s="10" t="str">
        <f ca="1">IFERROR(__xludf.DUMMYFUNCTION("""COMPUTED_VALUE"""),"Cumplir con normativa y reglamentos internos del programa en base a los objetivos.")</f>
        <v>Cumplir con normativa y reglamentos internos del programa en base a los objetivos.</v>
      </c>
      <c r="K510" s="71">
        <f ca="1">IFERROR(__xludf.DUMMYFUNCTION("""COMPUTED_VALUE"""),56540154)</f>
        <v>56540154</v>
      </c>
      <c r="L510" s="72">
        <f ca="1">IFERROR(__xludf.DUMMYFUNCTION("""COMPUTED_VALUE"""),0.500000004421636)</f>
        <v>0.50000000442163595</v>
      </c>
      <c r="M510" s="10">
        <f ca="1">IFERROR(__xludf.DUMMYFUNCTION("""COMPUTED_VALUE"""),8021)</f>
        <v>8021</v>
      </c>
      <c r="N510" s="10" t="str">
        <f ca="1">IFERROR(__xludf.DUMMYFUNCTION("""COMPUTED_VALUE"""),"PMU")</f>
        <v>PMU</v>
      </c>
      <c r="O510" s="1"/>
      <c r="P510" s="1"/>
      <c r="Q510" s="1"/>
      <c r="R510" s="1"/>
      <c r="S510" s="1"/>
      <c r="T510" s="1"/>
      <c r="U510" s="1"/>
      <c r="V510" s="1"/>
      <c r="W510" s="1"/>
      <c r="X510" s="1"/>
      <c r="Y510" s="1"/>
      <c r="Z510" s="1"/>
    </row>
    <row r="511" spans="1:26" ht="12.75" customHeight="1">
      <c r="A511" s="1"/>
      <c r="B511" s="10" t="str">
        <f ca="1">IFERROR(__xludf.DUMMYFUNCTION("""COMPUTED_VALUE"""),"REPOSICIÓN VEREDA CALLE 18 DE SEPTIEMBRE ENTRE CALLE ANDALIO VIGUERAS Y CALLE PEDRO EYHERAMENDY, JJVV LOS ALAMOS CENTRO, LOS ÁLAMOS")</f>
        <v>REPOSICIÓN VEREDA CALLE 18 DE SEPTIEMBRE ENTRE CALLE ANDALIO VIGUERAS Y CALLE PEDRO EYHERAMENDY, JJVV LOS ALAMOS CENTRO, LOS ÁLAMOS</v>
      </c>
      <c r="C511" s="10" t="str">
        <f ca="1">IFERROR(__xludf.DUMMYFUNCTION("""COMPUTED_VALUE"""),"1-K-2024-64")</f>
        <v>1-K-2024-64</v>
      </c>
      <c r="D511" s="26" t="str">
        <f t="shared" ca="1" si="0"/>
        <v xml:space="preserve"> LOS ÁLAMOS</v>
      </c>
      <c r="E511" s="10" t="str">
        <f ca="1">IFERROR(__xludf.DUMMYFUNCTION("""COMPUTED_VALUE"""),"Guía Operativa")</f>
        <v>Guía Operativa</v>
      </c>
      <c r="F511" s="10" t="str">
        <f ca="1">IFERROR(__xludf.DUMMYFUNCTION("""COMPUTED_VALUE"""),"MUNICIPALIDAD DE LOS ÁLAMOS")</f>
        <v>MUNICIPALIDAD DE LOS ÁLAMOS</v>
      </c>
      <c r="G511" s="71">
        <f ca="1">IFERROR(__xludf.DUMMYFUNCTION("""COMPUTED_VALUE"""),110845303)</f>
        <v>110845303</v>
      </c>
      <c r="H511" s="10" t="str">
        <f ca="1">IFERROR(__xludf.DUMMYFUNCTION("""COMPUTED_VALUE"""),"Resolución")</f>
        <v>Resolución</v>
      </c>
      <c r="I511" s="10" t="str">
        <f ca="1">IFERROR(__xludf.DUMMYFUNCTION("""COMPUTED_VALUE"""),"OBRA")</f>
        <v>OBRA</v>
      </c>
      <c r="J511" s="10" t="str">
        <f ca="1">IFERROR(__xludf.DUMMYFUNCTION("""COMPUTED_VALUE"""),"Cumplir con normativa y reglamentos internos del programa en base a los objetivos.")</f>
        <v>Cumplir con normativa y reglamentos internos del programa en base a los objetivos.</v>
      </c>
      <c r="K511" s="71">
        <f ca="1">IFERROR(__xludf.DUMMYFUNCTION("""COMPUTED_VALUE"""),55422652)</f>
        <v>55422652</v>
      </c>
      <c r="L511" s="72">
        <f ca="1">IFERROR(__xludf.DUMMYFUNCTION("""COMPUTED_VALUE"""),0.500000004510791)</f>
        <v>0.50000000451079096</v>
      </c>
      <c r="M511" s="10">
        <f ca="1">IFERROR(__xludf.DUMMYFUNCTION("""COMPUTED_VALUE"""),8021)</f>
        <v>8021</v>
      </c>
      <c r="N511" s="10" t="str">
        <f ca="1">IFERROR(__xludf.DUMMYFUNCTION("""COMPUTED_VALUE"""),"PMU")</f>
        <v>PMU</v>
      </c>
      <c r="O511" s="1"/>
      <c r="P511" s="1"/>
      <c r="Q511" s="1"/>
      <c r="R511" s="1"/>
      <c r="S511" s="1"/>
      <c r="T511" s="1"/>
      <c r="U511" s="1"/>
      <c r="V511" s="1"/>
      <c r="W511" s="1"/>
      <c r="X511" s="1"/>
      <c r="Y511" s="1"/>
      <c r="Z511" s="1"/>
    </row>
    <row r="512" spans="1:26" ht="12.75" customHeight="1">
      <c r="A512" s="1"/>
      <c r="B512" s="10" t="str">
        <f ca="1">IFERROR(__xludf.DUMMYFUNCTION("""COMPUTED_VALUE"""),"REPOSICIÓN VEREDA CALLE LA VIRGEN ENTRE CALLE ARTURO PRAT Y AVDA DIEGO PORTALES CERRO ALTO, LOS ÁLAMOS")</f>
        <v>REPOSICIÓN VEREDA CALLE LA VIRGEN ENTRE CALLE ARTURO PRAT Y AVDA DIEGO PORTALES CERRO ALTO, LOS ÁLAMOS</v>
      </c>
      <c r="C512" s="10" t="str">
        <f ca="1">IFERROR(__xludf.DUMMYFUNCTION("""COMPUTED_VALUE"""),"1-K-2024-66")</f>
        <v>1-K-2024-66</v>
      </c>
      <c r="D512" s="26" t="str">
        <f t="shared" ca="1" si="0"/>
        <v xml:space="preserve"> LOS ÁLAMOS</v>
      </c>
      <c r="E512" s="10" t="str">
        <f ca="1">IFERROR(__xludf.DUMMYFUNCTION("""COMPUTED_VALUE"""),"Guía Operativa")</f>
        <v>Guía Operativa</v>
      </c>
      <c r="F512" s="10" t="str">
        <f ca="1">IFERROR(__xludf.DUMMYFUNCTION("""COMPUTED_VALUE"""),"MUNICIPALIDAD DE LOS ÁLAMOS")</f>
        <v>MUNICIPALIDAD DE LOS ÁLAMOS</v>
      </c>
      <c r="G512" s="71">
        <f ca="1">IFERROR(__xludf.DUMMYFUNCTION("""COMPUTED_VALUE"""),112139137)</f>
        <v>112139137</v>
      </c>
      <c r="H512" s="10" t="str">
        <f ca="1">IFERROR(__xludf.DUMMYFUNCTION("""COMPUTED_VALUE"""),"Resolución")</f>
        <v>Resolución</v>
      </c>
      <c r="I512" s="10" t="str">
        <f ca="1">IFERROR(__xludf.DUMMYFUNCTION("""COMPUTED_VALUE"""),"OBRA")</f>
        <v>OBRA</v>
      </c>
      <c r="J512" s="10" t="str">
        <f ca="1">IFERROR(__xludf.DUMMYFUNCTION("""COMPUTED_VALUE"""),"Cumplir con normativa y reglamentos internos del programa en base a los objetivos.")</f>
        <v>Cumplir con normativa y reglamentos internos del programa en base a los objetivos.</v>
      </c>
      <c r="K512" s="71">
        <f ca="1">IFERROR(__xludf.DUMMYFUNCTION("""COMPUTED_VALUE"""),56069569)</f>
        <v>56069569</v>
      </c>
      <c r="L512" s="72">
        <f ca="1">IFERROR(__xludf.DUMMYFUNCTION("""COMPUTED_VALUE"""),0.500000004458746)</f>
        <v>0.50000000445874604</v>
      </c>
      <c r="M512" s="10">
        <f ca="1">IFERROR(__xludf.DUMMYFUNCTION("""COMPUTED_VALUE"""),8023)</f>
        <v>8023</v>
      </c>
      <c r="N512" s="10" t="str">
        <f ca="1">IFERROR(__xludf.DUMMYFUNCTION("""COMPUTED_VALUE"""),"PMU")</f>
        <v>PMU</v>
      </c>
      <c r="O512" s="1"/>
      <c r="P512" s="1"/>
      <c r="Q512" s="1"/>
      <c r="R512" s="1"/>
      <c r="S512" s="1"/>
      <c r="T512" s="1"/>
      <c r="U512" s="1"/>
      <c r="V512" s="1"/>
      <c r="W512" s="1"/>
      <c r="X512" s="1"/>
      <c r="Y512" s="1"/>
      <c r="Z512" s="1"/>
    </row>
    <row r="513" spans="1:26" ht="12.75" customHeight="1">
      <c r="A513" s="1"/>
      <c r="B513" s="10" t="str">
        <f ca="1">IFERROR(__xludf.DUMMYFUNCTION("""COMPUTED_VALUE"""),"REPOSICIÓN VEREDA CALLE LAS ROSAS ENTRE AREA VERDE Y PASAJE LOS JAZMINES TRES PINOS, LOS ÁLAMOS")</f>
        <v>REPOSICIÓN VEREDA CALLE LAS ROSAS ENTRE AREA VERDE Y PASAJE LOS JAZMINES TRES PINOS, LOS ÁLAMOS</v>
      </c>
      <c r="C513" s="10" t="str">
        <f ca="1">IFERROR(__xludf.DUMMYFUNCTION("""COMPUTED_VALUE"""),"1-K-2024-67")</f>
        <v>1-K-2024-67</v>
      </c>
      <c r="D513" s="26" t="str">
        <f t="shared" ca="1" si="0"/>
        <v xml:space="preserve"> LOS ÁLAMOS</v>
      </c>
      <c r="E513" s="10" t="str">
        <f ca="1">IFERROR(__xludf.DUMMYFUNCTION("""COMPUTED_VALUE"""),"Guía Operativa")</f>
        <v>Guía Operativa</v>
      </c>
      <c r="F513" s="10" t="str">
        <f ca="1">IFERROR(__xludf.DUMMYFUNCTION("""COMPUTED_VALUE"""),"MUNICIPALIDAD DE LOS ÁLAMOS")</f>
        <v>MUNICIPALIDAD DE LOS ÁLAMOS</v>
      </c>
      <c r="G513" s="71">
        <f ca="1">IFERROR(__xludf.DUMMYFUNCTION("""COMPUTED_VALUE"""),110611172)</f>
        <v>110611172</v>
      </c>
      <c r="H513" s="10" t="str">
        <f ca="1">IFERROR(__xludf.DUMMYFUNCTION("""COMPUTED_VALUE"""),"Resolución")</f>
        <v>Resolución</v>
      </c>
      <c r="I513" s="10" t="str">
        <f ca="1">IFERROR(__xludf.DUMMYFUNCTION("""COMPUTED_VALUE"""),"OBRA")</f>
        <v>OBRA</v>
      </c>
      <c r="J513" s="10" t="str">
        <f ca="1">IFERROR(__xludf.DUMMYFUNCTION("""COMPUTED_VALUE"""),"Cumplir con normativa y reglamentos internos del programa en base a los objetivos.")</f>
        <v>Cumplir con normativa y reglamentos internos del programa en base a los objetivos.</v>
      </c>
      <c r="K513" s="71">
        <f ca="1">IFERROR(__xludf.DUMMYFUNCTION("""COMPUTED_VALUE"""),55305586)</f>
        <v>55305586</v>
      </c>
      <c r="L513" s="72">
        <f ca="1">IFERROR(__xludf.DUMMYFUNCTION("""COMPUTED_VALUE"""),0.5)</f>
        <v>0.5</v>
      </c>
      <c r="M513" s="10">
        <f ca="1">IFERROR(__xludf.DUMMYFUNCTION("""COMPUTED_VALUE"""),8025)</f>
        <v>8025</v>
      </c>
      <c r="N513" s="10" t="str">
        <f ca="1">IFERROR(__xludf.DUMMYFUNCTION("""COMPUTED_VALUE"""),"PMU")</f>
        <v>PMU</v>
      </c>
      <c r="O513" s="1"/>
      <c r="P513" s="1"/>
      <c r="Q513" s="1"/>
      <c r="R513" s="1"/>
      <c r="S513" s="1"/>
      <c r="T513" s="1"/>
      <c r="U513" s="1"/>
      <c r="V513" s="1"/>
      <c r="W513" s="1"/>
      <c r="X513" s="1"/>
      <c r="Y513" s="1"/>
      <c r="Z513" s="1"/>
    </row>
    <row r="514" spans="1:26" ht="12.75" customHeight="1">
      <c r="A514" s="1"/>
      <c r="B514" s="10" t="str">
        <f ca="1">IFERROR(__xludf.DUMMYFUNCTION("""COMPUTED_VALUE"""),"REPOSICIÓN VEREDA CALLE BERNARDO O´HIGGINS ENTRE CALLE TENIENTE MERINO Y CALLE MANUEL RODRIGUEZ, JJVV GABRIELA MISTRAL, LOS ÁLAMOS")</f>
        <v>REPOSICIÓN VEREDA CALLE BERNARDO O´HIGGINS ENTRE CALLE TENIENTE MERINO Y CALLE MANUEL RODRIGUEZ, JJVV GABRIELA MISTRAL, LOS ÁLAMOS</v>
      </c>
      <c r="C514" s="10" t="str">
        <f ca="1">IFERROR(__xludf.DUMMYFUNCTION("""COMPUTED_VALUE"""),"1-K-2024-69")</f>
        <v>1-K-2024-69</v>
      </c>
      <c r="D514" s="26" t="str">
        <f t="shared" ca="1" si="0"/>
        <v xml:space="preserve"> LOS ÁLAMOS</v>
      </c>
      <c r="E514" s="10" t="str">
        <f ca="1">IFERROR(__xludf.DUMMYFUNCTION("""COMPUTED_VALUE"""),"Guía Operativa")</f>
        <v>Guía Operativa</v>
      </c>
      <c r="F514" s="10" t="str">
        <f ca="1">IFERROR(__xludf.DUMMYFUNCTION("""COMPUTED_VALUE"""),"MUNICIPALIDAD DE LOS ÁLAMOS")</f>
        <v>MUNICIPALIDAD DE LOS ÁLAMOS</v>
      </c>
      <c r="G514" s="71">
        <f ca="1">IFERROR(__xludf.DUMMYFUNCTION("""COMPUTED_VALUE"""),115043788)</f>
        <v>115043788</v>
      </c>
      <c r="H514" s="10" t="str">
        <f ca="1">IFERROR(__xludf.DUMMYFUNCTION("""COMPUTED_VALUE"""),"Resolución")</f>
        <v>Resolución</v>
      </c>
      <c r="I514" s="10" t="str">
        <f ca="1">IFERROR(__xludf.DUMMYFUNCTION("""COMPUTED_VALUE"""),"OBRA")</f>
        <v>OBRA</v>
      </c>
      <c r="J514" s="10" t="str">
        <f ca="1">IFERROR(__xludf.DUMMYFUNCTION("""COMPUTED_VALUE"""),"Cumplir con normativa y reglamentos internos del programa en base a los objetivos.")</f>
        <v>Cumplir con normativa y reglamentos internos del programa en base a los objetivos.</v>
      </c>
      <c r="K514" s="71">
        <f ca="1">IFERROR(__xludf.DUMMYFUNCTION("""COMPUTED_VALUE"""),57521894)</f>
        <v>57521894</v>
      </c>
      <c r="L514" s="72">
        <f ca="1">IFERROR(__xludf.DUMMYFUNCTION("""COMPUTED_VALUE"""),0.5)</f>
        <v>0.5</v>
      </c>
      <c r="M514" s="10">
        <f ca="1">IFERROR(__xludf.DUMMYFUNCTION("""COMPUTED_VALUE"""),8021)</f>
        <v>8021</v>
      </c>
      <c r="N514" s="10" t="str">
        <f ca="1">IFERROR(__xludf.DUMMYFUNCTION("""COMPUTED_VALUE"""),"PMU")</f>
        <v>PMU</v>
      </c>
      <c r="O514" s="1"/>
      <c r="P514" s="1"/>
      <c r="Q514" s="1"/>
      <c r="R514" s="1"/>
      <c r="S514" s="1"/>
      <c r="T514" s="1"/>
      <c r="U514" s="1"/>
      <c r="V514" s="1"/>
      <c r="W514" s="1"/>
      <c r="X514" s="1"/>
      <c r="Y514" s="1"/>
      <c r="Z514" s="1"/>
    </row>
    <row r="515" spans="1:26" ht="12.75" customHeight="1">
      <c r="A515" s="1"/>
      <c r="B515" s="10" t="str">
        <f ca="1">IFERROR(__xludf.DUMMYFUNCTION("""COMPUTED_VALUE"""),"REPOSICIÓN VEREDA CALLE BERNARDO O´HIGGINS ENTRE PASAJE S/N Y PASAJE LOS COIGUES ANTIHUALA, LOS ÁLAMOS")</f>
        <v>REPOSICIÓN VEREDA CALLE BERNARDO O´HIGGINS ENTRE PASAJE S/N Y PASAJE LOS COIGUES ANTIHUALA, LOS ÁLAMOS</v>
      </c>
      <c r="C515" s="10" t="str">
        <f ca="1">IFERROR(__xludf.DUMMYFUNCTION("""COMPUTED_VALUE"""),"1-K-2024-70")</f>
        <v>1-K-2024-70</v>
      </c>
      <c r="D515" s="26" t="str">
        <f t="shared" ca="1" si="0"/>
        <v xml:space="preserve"> LOS ÁLAMOS</v>
      </c>
      <c r="E515" s="10" t="str">
        <f ca="1">IFERROR(__xludf.DUMMYFUNCTION("""COMPUTED_VALUE"""),"Guía Operativa")</f>
        <v>Guía Operativa</v>
      </c>
      <c r="F515" s="10" t="str">
        <f ca="1">IFERROR(__xludf.DUMMYFUNCTION("""COMPUTED_VALUE"""),"MUNICIPALIDAD DE LOS ÁLAMOS")</f>
        <v>MUNICIPALIDAD DE LOS ÁLAMOS</v>
      </c>
      <c r="G515" s="71">
        <f ca="1">IFERROR(__xludf.DUMMYFUNCTION("""COMPUTED_VALUE"""),108555331)</f>
        <v>108555331</v>
      </c>
      <c r="H515" s="10" t="str">
        <f ca="1">IFERROR(__xludf.DUMMYFUNCTION("""COMPUTED_VALUE"""),"Resolución")</f>
        <v>Resolución</v>
      </c>
      <c r="I515" s="10" t="str">
        <f ca="1">IFERROR(__xludf.DUMMYFUNCTION("""COMPUTED_VALUE"""),"OBRA")</f>
        <v>OBRA</v>
      </c>
      <c r="J515" s="10" t="str">
        <f ca="1">IFERROR(__xludf.DUMMYFUNCTION("""COMPUTED_VALUE"""),"Cumplir con normativa y reglamentos internos del programa en base a los objetivos.")</f>
        <v>Cumplir con normativa y reglamentos internos del programa en base a los objetivos.</v>
      </c>
      <c r="K515" s="71">
        <f ca="1">IFERROR(__xludf.DUMMYFUNCTION("""COMPUTED_VALUE"""),54277666)</f>
        <v>54277666</v>
      </c>
      <c r="L515" s="72">
        <f ca="1">IFERROR(__xludf.DUMMYFUNCTION("""COMPUTED_VALUE"""),0.500000004605946)</f>
        <v>0.50000000460594596</v>
      </c>
      <c r="M515" s="10">
        <f ca="1">IFERROR(__xludf.DUMMYFUNCTION("""COMPUTED_VALUE"""),8025)</f>
        <v>8025</v>
      </c>
      <c r="N515" s="10" t="str">
        <f ca="1">IFERROR(__xludf.DUMMYFUNCTION("""COMPUTED_VALUE"""),"PMU")</f>
        <v>PMU</v>
      </c>
      <c r="O515" s="1"/>
      <c r="P515" s="1"/>
      <c r="Q515" s="1"/>
      <c r="R515" s="1"/>
      <c r="S515" s="1"/>
      <c r="T515" s="1"/>
      <c r="U515" s="1"/>
      <c r="V515" s="1"/>
      <c r="W515" s="1"/>
      <c r="X515" s="1"/>
      <c r="Y515" s="1"/>
      <c r="Z515" s="1"/>
    </row>
    <row r="516" spans="1:26" ht="12.75" customHeight="1">
      <c r="A516" s="1"/>
      <c r="B516" s="10" t="str">
        <f ca="1">IFERROR(__xludf.DUMMYFUNCTION("""COMPUTED_VALUE"""),"12. REPOSICIÓN ACERAS EN CALLE DEMOCRACIA ENTRE CALLES LAUTARO Y BALMACEDA, SECTOR CORONEL CENTRO.")</f>
        <v>12. REPOSICIÓN ACERAS EN CALLE DEMOCRACIA ENTRE CALLES LAUTARO Y BALMACEDA, SECTOR CORONEL CENTRO.</v>
      </c>
      <c r="C516" s="10" t="str">
        <f ca="1">IFERROR(__xludf.DUMMYFUNCTION("""COMPUTED_VALUE"""),"1-K-2024-71")</f>
        <v>1-K-2024-71</v>
      </c>
      <c r="D516" s="26" t="str">
        <f t="shared" ca="1" si="0"/>
        <v xml:space="preserve"> CORONEL</v>
      </c>
      <c r="E516" s="10" t="str">
        <f ca="1">IFERROR(__xludf.DUMMYFUNCTION("""COMPUTED_VALUE"""),"Guía Operativa")</f>
        <v>Guía Operativa</v>
      </c>
      <c r="F516" s="10" t="str">
        <f ca="1">IFERROR(__xludf.DUMMYFUNCTION("""COMPUTED_VALUE"""),"MUNICIPALIDAD DE CORONEL")</f>
        <v>MUNICIPALIDAD DE CORONEL</v>
      </c>
      <c r="G516" s="71">
        <f ca="1">IFERROR(__xludf.DUMMYFUNCTION("""COMPUTED_VALUE"""),161593777)</f>
        <v>161593777</v>
      </c>
      <c r="H516" s="10" t="str">
        <f ca="1">IFERROR(__xludf.DUMMYFUNCTION("""COMPUTED_VALUE"""),"Resolución")</f>
        <v>Resolución</v>
      </c>
      <c r="I516" s="10" t="str">
        <f ca="1">IFERROR(__xludf.DUMMYFUNCTION("""COMPUTED_VALUE"""),"OBRA")</f>
        <v>OBRA</v>
      </c>
      <c r="J516" s="10" t="str">
        <f ca="1">IFERROR(__xludf.DUMMYFUNCTION("""COMPUTED_VALUE"""),"Cumplir con normativa y reglamentos internos del programa en base a los objetivos.")</f>
        <v>Cumplir con normativa y reglamentos internos del programa en base a los objetivos.</v>
      </c>
      <c r="K516" s="71">
        <f ca="1">IFERROR(__xludf.DUMMYFUNCTION("""COMPUTED_VALUE"""),80796889)</f>
        <v>80796889</v>
      </c>
      <c r="L516" s="72">
        <f ca="1">IFERROR(__xludf.DUMMYFUNCTION("""COMPUTED_VALUE"""),0.500000003094178)</f>
        <v>0.50000000309417802</v>
      </c>
      <c r="M516" s="10">
        <f ca="1">IFERROR(__xludf.DUMMYFUNCTION("""COMPUTED_VALUE"""),7710)</f>
        <v>7710</v>
      </c>
      <c r="N516" s="10" t="str">
        <f ca="1">IFERROR(__xludf.DUMMYFUNCTION("""COMPUTED_VALUE"""),"PMU")</f>
        <v>PMU</v>
      </c>
      <c r="O516" s="1"/>
      <c r="P516" s="1"/>
      <c r="Q516" s="1"/>
      <c r="R516" s="1"/>
      <c r="S516" s="1"/>
      <c r="T516" s="1"/>
      <c r="U516" s="1"/>
      <c r="V516" s="1"/>
      <c r="W516" s="1"/>
      <c r="X516" s="1"/>
      <c r="Y516" s="1"/>
      <c r="Z516" s="1"/>
    </row>
    <row r="517" spans="1:26" ht="12.75" customHeight="1">
      <c r="A517" s="1"/>
      <c r="B517" s="10" t="str">
        <f ca="1">IFERROR(__xludf.DUMMYFUNCTION("""COMPUTED_VALUE"""),"CONSTRUCCION ILUMINACION ORNAMENTAL PLAZA LOS AROMOS")</f>
        <v>CONSTRUCCION ILUMINACION ORNAMENTAL PLAZA LOS AROMOS</v>
      </c>
      <c r="C517" s="10" t="str">
        <f ca="1">IFERROR(__xludf.DUMMYFUNCTION("""COMPUTED_VALUE"""),"1-K-2024-72")</f>
        <v>1-K-2024-72</v>
      </c>
      <c r="D517" s="26" t="str">
        <f t="shared" ca="1" si="0"/>
        <v xml:space="preserve"> LEBU</v>
      </c>
      <c r="E517" s="10" t="str">
        <f ca="1">IFERROR(__xludf.DUMMYFUNCTION("""COMPUTED_VALUE"""),"Guía Operativa")</f>
        <v>Guía Operativa</v>
      </c>
      <c r="F517" s="10" t="str">
        <f ca="1">IFERROR(__xludf.DUMMYFUNCTION("""COMPUTED_VALUE"""),"MUNICIPALIDAD DE LEBU")</f>
        <v>MUNICIPALIDAD DE LEBU</v>
      </c>
      <c r="G517" s="71">
        <f ca="1">IFERROR(__xludf.DUMMYFUNCTION("""COMPUTED_VALUE"""),71669107)</f>
        <v>71669107</v>
      </c>
      <c r="H517" s="10" t="str">
        <f ca="1">IFERROR(__xludf.DUMMYFUNCTION("""COMPUTED_VALUE"""),"Resolución")</f>
        <v>Resolución</v>
      </c>
      <c r="I517" s="10" t="str">
        <f ca="1">IFERROR(__xludf.DUMMYFUNCTION("""COMPUTED_VALUE"""),"OBRA")</f>
        <v>OBRA</v>
      </c>
      <c r="J517" s="10" t="str">
        <f ca="1">IFERROR(__xludf.DUMMYFUNCTION("""COMPUTED_VALUE"""),"Cumplir con normativa y reglamentos internos del programa en base a los objetivos.")</f>
        <v>Cumplir con normativa y reglamentos internos del programa en base a los objetivos.</v>
      </c>
      <c r="K517" s="71">
        <f ca="1">IFERROR(__xludf.DUMMYFUNCTION("""COMPUTED_VALUE"""),35834554)</f>
        <v>35834554</v>
      </c>
      <c r="L517" s="72">
        <f ca="1">IFERROR(__xludf.DUMMYFUNCTION("""COMPUTED_VALUE"""),0.500000006976506)</f>
        <v>0.50000000697650604</v>
      </c>
      <c r="M517" s="10">
        <f ca="1">IFERROR(__xludf.DUMMYFUNCTION("""COMPUTED_VALUE"""),8024)</f>
        <v>8024</v>
      </c>
      <c r="N517" s="10" t="str">
        <f ca="1">IFERROR(__xludf.DUMMYFUNCTION("""COMPUTED_VALUE"""),"PMU")</f>
        <v>PMU</v>
      </c>
      <c r="O517" s="1"/>
      <c r="P517" s="1"/>
      <c r="Q517" s="1"/>
      <c r="R517" s="1"/>
      <c r="S517" s="1"/>
      <c r="T517" s="1"/>
      <c r="U517" s="1"/>
      <c r="V517" s="1"/>
      <c r="W517" s="1"/>
      <c r="X517" s="1"/>
      <c r="Y517" s="1"/>
      <c r="Z517" s="1"/>
    </row>
    <row r="518" spans="1:26" ht="12.75" customHeight="1">
      <c r="A518" s="1"/>
      <c r="B518" s="10" t="str">
        <f ca="1">IFERROR(__xludf.DUMMYFUNCTION("""COMPUTED_VALUE"""),"CONSTRUCCIÓN DE ALUMBRADO PÚBLICO SANTA ROSA, LEBU")</f>
        <v>CONSTRUCCIÓN DE ALUMBRADO PÚBLICO SANTA ROSA, LEBU</v>
      </c>
      <c r="C518" s="10" t="str">
        <f ca="1">IFERROR(__xludf.DUMMYFUNCTION("""COMPUTED_VALUE"""),"1-K-2024-73")</f>
        <v>1-K-2024-73</v>
      </c>
      <c r="D518" s="26" t="str">
        <f t="shared" ca="1" si="0"/>
        <v xml:space="preserve"> LEBU</v>
      </c>
      <c r="E518" s="10" t="str">
        <f ca="1">IFERROR(__xludf.DUMMYFUNCTION("""COMPUTED_VALUE"""),"Guía Operativa")</f>
        <v>Guía Operativa</v>
      </c>
      <c r="F518" s="10" t="str">
        <f ca="1">IFERROR(__xludf.DUMMYFUNCTION("""COMPUTED_VALUE"""),"MUNICIPALIDAD DE LEBU")</f>
        <v>MUNICIPALIDAD DE LEBU</v>
      </c>
      <c r="G518" s="71">
        <f ca="1">IFERROR(__xludf.DUMMYFUNCTION("""COMPUTED_VALUE"""),71669107)</f>
        <v>71669107</v>
      </c>
      <c r="H518" s="10" t="str">
        <f ca="1">IFERROR(__xludf.DUMMYFUNCTION("""COMPUTED_VALUE"""),"Resolución")</f>
        <v>Resolución</v>
      </c>
      <c r="I518" s="10" t="str">
        <f ca="1">IFERROR(__xludf.DUMMYFUNCTION("""COMPUTED_VALUE"""),"OBRA")</f>
        <v>OBRA</v>
      </c>
      <c r="J518" s="10" t="str">
        <f ca="1">IFERROR(__xludf.DUMMYFUNCTION("""COMPUTED_VALUE"""),"Cumplir con normativa y reglamentos internos del programa en base a los objetivos.")</f>
        <v>Cumplir con normativa y reglamentos internos del programa en base a los objetivos.</v>
      </c>
      <c r="K518" s="71">
        <f ca="1">IFERROR(__xludf.DUMMYFUNCTION("""COMPUTED_VALUE"""),35834554)</f>
        <v>35834554</v>
      </c>
      <c r="L518" s="72">
        <f ca="1">IFERROR(__xludf.DUMMYFUNCTION("""COMPUTED_VALUE"""),0.500000006976506)</f>
        <v>0.50000000697650604</v>
      </c>
      <c r="M518" s="10">
        <f ca="1">IFERROR(__xludf.DUMMYFUNCTION("""COMPUTED_VALUE"""),8024)</f>
        <v>8024</v>
      </c>
      <c r="N518" s="10" t="str">
        <f ca="1">IFERROR(__xludf.DUMMYFUNCTION("""COMPUTED_VALUE"""),"PMU")</f>
        <v>PMU</v>
      </c>
      <c r="O518" s="1"/>
      <c r="P518" s="1"/>
      <c r="Q518" s="1"/>
      <c r="R518" s="1"/>
      <c r="S518" s="1"/>
      <c r="T518" s="1"/>
      <c r="U518" s="1"/>
      <c r="V518" s="1"/>
      <c r="W518" s="1"/>
      <c r="X518" s="1"/>
      <c r="Y518" s="1"/>
      <c r="Z518" s="1"/>
    </row>
    <row r="519" spans="1:26" ht="12.75" customHeight="1">
      <c r="A519" s="1"/>
      <c r="B519" s="10" t="str">
        <f ca="1">IFERROR(__xludf.DUMMYFUNCTION("""COMPUTED_VALUE"""),"MEJORAMIENTO DE ALUMBRADO PÚBLICO EN CARLOS IBÁÑEZ DEL CAMPO, LEBU")</f>
        <v>MEJORAMIENTO DE ALUMBRADO PÚBLICO EN CARLOS IBÁÑEZ DEL CAMPO, LEBU</v>
      </c>
      <c r="C519" s="10" t="str">
        <f ca="1">IFERROR(__xludf.DUMMYFUNCTION("""COMPUTED_VALUE"""),"1-K-2024-74")</f>
        <v>1-K-2024-74</v>
      </c>
      <c r="D519" s="26" t="str">
        <f t="shared" ca="1" si="0"/>
        <v xml:space="preserve"> LEBU</v>
      </c>
      <c r="E519" s="10" t="str">
        <f ca="1">IFERROR(__xludf.DUMMYFUNCTION("""COMPUTED_VALUE"""),"Guía Operativa")</f>
        <v>Guía Operativa</v>
      </c>
      <c r="F519" s="10" t="str">
        <f ca="1">IFERROR(__xludf.DUMMYFUNCTION("""COMPUTED_VALUE"""),"MUNICIPALIDAD DE LEBU")</f>
        <v>MUNICIPALIDAD DE LEBU</v>
      </c>
      <c r="G519" s="71">
        <f ca="1">IFERROR(__xludf.DUMMYFUNCTION("""COMPUTED_VALUE"""),75243127)</f>
        <v>75243127</v>
      </c>
      <c r="H519" s="10" t="str">
        <f ca="1">IFERROR(__xludf.DUMMYFUNCTION("""COMPUTED_VALUE"""),"Resolución")</f>
        <v>Resolución</v>
      </c>
      <c r="I519" s="10" t="str">
        <f ca="1">IFERROR(__xludf.DUMMYFUNCTION("""COMPUTED_VALUE"""),"OBRA")</f>
        <v>OBRA</v>
      </c>
      <c r="J519" s="10" t="str">
        <f ca="1">IFERROR(__xludf.DUMMYFUNCTION("""COMPUTED_VALUE"""),"Cumplir con normativa y reglamentos internos del programa en base a los objetivos.")</f>
        <v>Cumplir con normativa y reglamentos internos del programa en base a los objetivos.</v>
      </c>
      <c r="K519" s="71">
        <f ca="1">IFERROR(__xludf.DUMMYFUNCTION("""COMPUTED_VALUE"""),37621564)</f>
        <v>37621564</v>
      </c>
      <c r="L519" s="72">
        <f ca="1">IFERROR(__xludf.DUMMYFUNCTION("""COMPUTED_VALUE"""),0.500000006645125)</f>
        <v>0.50000000664512501</v>
      </c>
      <c r="M519" s="10">
        <f ca="1">IFERROR(__xludf.DUMMYFUNCTION("""COMPUTED_VALUE"""),8019)</f>
        <v>8019</v>
      </c>
      <c r="N519" s="10" t="str">
        <f ca="1">IFERROR(__xludf.DUMMYFUNCTION("""COMPUTED_VALUE"""),"PMU")</f>
        <v>PMU</v>
      </c>
      <c r="O519" s="1"/>
      <c r="P519" s="1"/>
      <c r="Q519" s="1"/>
      <c r="R519" s="1"/>
      <c r="S519" s="1"/>
      <c r="T519" s="1"/>
      <c r="U519" s="1"/>
      <c r="V519" s="1"/>
      <c r="W519" s="1"/>
      <c r="X519" s="1"/>
      <c r="Y519" s="1"/>
      <c r="Z519" s="1"/>
    </row>
    <row r="520" spans="1:26" ht="12.75" customHeight="1">
      <c r="A520" s="1"/>
      <c r="B520" s="10" t="str">
        <f ca="1">IFERROR(__xludf.DUMMYFUNCTION("""COMPUTED_VALUE"""),"CONSTRUCCIÓN DE ALUMBRADO PÚBLICO SECTOR TRANCALCO, COMUNA DE LEBU")</f>
        <v>CONSTRUCCIÓN DE ALUMBRADO PÚBLICO SECTOR TRANCALCO, COMUNA DE LEBU</v>
      </c>
      <c r="C520" s="10" t="str">
        <f ca="1">IFERROR(__xludf.DUMMYFUNCTION("""COMPUTED_VALUE"""),"1-K-2024-75")</f>
        <v>1-K-2024-75</v>
      </c>
      <c r="D520" s="26" t="str">
        <f t="shared" ca="1" si="0"/>
        <v xml:space="preserve"> LEBU</v>
      </c>
      <c r="E520" s="10" t="str">
        <f ca="1">IFERROR(__xludf.DUMMYFUNCTION("""COMPUTED_VALUE"""),"Guía Operativa")</f>
        <v>Guía Operativa</v>
      </c>
      <c r="F520" s="10" t="str">
        <f ca="1">IFERROR(__xludf.DUMMYFUNCTION("""COMPUTED_VALUE"""),"MUNICIPALIDAD DE LEBU")</f>
        <v>MUNICIPALIDAD DE LEBU</v>
      </c>
      <c r="G520" s="71">
        <f ca="1">IFERROR(__xludf.DUMMYFUNCTION("""COMPUTED_VALUE"""),75236211)</f>
        <v>75236211</v>
      </c>
      <c r="H520" s="10" t="str">
        <f ca="1">IFERROR(__xludf.DUMMYFUNCTION("""COMPUTED_VALUE"""),"Resolución")</f>
        <v>Resolución</v>
      </c>
      <c r="I520" s="10" t="str">
        <f ca="1">IFERROR(__xludf.DUMMYFUNCTION("""COMPUTED_VALUE"""),"OBRA")</f>
        <v>OBRA</v>
      </c>
      <c r="J520" s="10" t="str">
        <f ca="1">IFERROR(__xludf.DUMMYFUNCTION("""COMPUTED_VALUE"""),"Cumplir con normativa y reglamentos internos del programa en base a los objetivos.")</f>
        <v>Cumplir con normativa y reglamentos internos del programa en base a los objetivos.</v>
      </c>
      <c r="K520" s="71">
        <f ca="1">IFERROR(__xludf.DUMMYFUNCTION("""COMPUTED_VALUE"""),37618106)</f>
        <v>37618106</v>
      </c>
      <c r="L520" s="72">
        <f ca="1">IFERROR(__xludf.DUMMYFUNCTION("""COMPUTED_VALUE"""),0.500000006645736)</f>
        <v>0.50000000664573596</v>
      </c>
      <c r="M520" s="10">
        <f ca="1">IFERROR(__xludf.DUMMYFUNCTION("""COMPUTED_VALUE"""),8019)</f>
        <v>8019</v>
      </c>
      <c r="N520" s="10" t="str">
        <f ca="1">IFERROR(__xludf.DUMMYFUNCTION("""COMPUTED_VALUE"""),"PMU")</f>
        <v>PMU</v>
      </c>
      <c r="O520" s="1"/>
      <c r="P520" s="1"/>
      <c r="Q520" s="1"/>
      <c r="R520" s="1"/>
      <c r="S520" s="1"/>
      <c r="T520" s="1"/>
      <c r="U520" s="1"/>
      <c r="V520" s="1"/>
      <c r="W520" s="1"/>
      <c r="X520" s="1"/>
      <c r="Y520" s="1"/>
      <c r="Z520" s="1"/>
    </row>
    <row r="521" spans="1:26" ht="12.75" customHeight="1">
      <c r="A521" s="1"/>
      <c r="B521" s="10" t="str">
        <f ca="1">IFERROR(__xludf.DUMMYFUNCTION("""COMPUTED_VALUE"""),"CONSTRUCCIÓN PLAZA POBLACIÓN CARRASCO, COMUNA DE PURRANQUE")</f>
        <v>CONSTRUCCIÓN PLAZA POBLACIÓN CARRASCO, COMUNA DE PURRANQUE</v>
      </c>
      <c r="C521" s="10" t="str">
        <f ca="1">IFERROR(__xludf.DUMMYFUNCTION("""COMPUTED_VALUE"""),"1-C-2023-2345")</f>
        <v>1-C-2023-2345</v>
      </c>
      <c r="D521" s="26" t="str">
        <f t="shared" ca="1" si="0"/>
        <v xml:space="preserve"> PURRANQUE</v>
      </c>
      <c r="E521" s="10" t="str">
        <f ca="1">IFERROR(__xludf.DUMMYFUNCTION("""COMPUTED_VALUE"""),"Guía Operativa")</f>
        <v>Guía Operativa</v>
      </c>
      <c r="F521" s="10" t="str">
        <f ca="1">IFERROR(__xludf.DUMMYFUNCTION("""COMPUTED_VALUE"""),"MUNICIPALIDAD DE PURRANQUE")</f>
        <v>MUNICIPALIDAD DE PURRANQUE</v>
      </c>
      <c r="G521" s="71">
        <f ca="1">IFERROR(__xludf.DUMMYFUNCTION("""COMPUTED_VALUE"""),147795251)</f>
        <v>147795251</v>
      </c>
      <c r="H521" s="10" t="str">
        <f ca="1">IFERROR(__xludf.DUMMYFUNCTION("""COMPUTED_VALUE"""),"Resolución")</f>
        <v>Resolución</v>
      </c>
      <c r="I521" s="10" t="str">
        <f ca="1">IFERROR(__xludf.DUMMYFUNCTION("""COMPUTED_VALUE"""),"OBRA")</f>
        <v>OBRA</v>
      </c>
      <c r="J521" s="10" t="str">
        <f ca="1">IFERROR(__xludf.DUMMYFUNCTION("""COMPUTED_VALUE"""),"Cumplir con normativa y reglamentos internos del programa en base a los objetivos.")</f>
        <v>Cumplir con normativa y reglamentos internos del programa en base a los objetivos.</v>
      </c>
      <c r="K521" s="71">
        <f ca="1">IFERROR(__xludf.DUMMYFUNCTION("""COMPUTED_VALUE"""),147795251)</f>
        <v>147795251</v>
      </c>
      <c r="L521" s="72">
        <f ca="1">IFERROR(__xludf.DUMMYFUNCTION("""COMPUTED_VALUE"""),1)</f>
        <v>1</v>
      </c>
      <c r="M521" s="10">
        <f ca="1">IFERROR(__xludf.DUMMYFUNCTION("""COMPUTED_VALUE"""),7725)</f>
        <v>7725</v>
      </c>
      <c r="N521" s="10" t="str">
        <f ca="1">IFERROR(__xludf.DUMMYFUNCTION("""COMPUTED_VALUE"""),"PMU")</f>
        <v>PMU</v>
      </c>
      <c r="O521" s="1"/>
      <c r="P521" s="1"/>
      <c r="Q521" s="1"/>
      <c r="R521" s="1"/>
      <c r="S521" s="1"/>
      <c r="T521" s="1"/>
      <c r="U521" s="1"/>
      <c r="V521" s="1"/>
      <c r="W521" s="1"/>
      <c r="X521" s="1"/>
      <c r="Y521" s="1"/>
      <c r="Z521" s="1"/>
    </row>
    <row r="522" spans="1:26" ht="12.75" customHeight="1">
      <c r="A522" s="1"/>
      <c r="B522" s="10" t="str">
        <f ca="1">IFERROR(__xludf.DUMMYFUNCTION("""COMPUTED_VALUE"""),"MEJORAMIENTO RECINTO DEPORTIVO MUNICIPAL SECTOR ICHUAC Y OTROS - COMUNA DE PUQUELDON")</f>
        <v>MEJORAMIENTO RECINTO DEPORTIVO MUNICIPAL SECTOR ICHUAC Y OTROS - COMUNA DE PUQUELDON</v>
      </c>
      <c r="C522" s="10" t="str">
        <f ca="1">IFERROR(__xludf.DUMMYFUNCTION("""COMPUTED_VALUE"""),"1-B-2024-90")</f>
        <v>1-B-2024-90</v>
      </c>
      <c r="D522" s="26" t="str">
        <f t="shared" ca="1" si="0"/>
        <v xml:space="preserve"> PUQUELDÓN</v>
      </c>
      <c r="E522" s="10" t="str">
        <f ca="1">IFERROR(__xludf.DUMMYFUNCTION("""COMPUTED_VALUE"""),"Guía Operativa")</f>
        <v>Guía Operativa</v>
      </c>
      <c r="F522" s="10" t="str">
        <f ca="1">IFERROR(__xludf.DUMMYFUNCTION("""COMPUTED_VALUE"""),"MUNICIPALIDAD DE PUQUELDÓN")</f>
        <v>MUNICIPALIDAD DE PUQUELDÓN</v>
      </c>
      <c r="G522" s="71">
        <f ca="1">IFERROR(__xludf.DUMMYFUNCTION("""COMPUTED_VALUE"""),83148629)</f>
        <v>83148629</v>
      </c>
      <c r="H522" s="10" t="str">
        <f ca="1">IFERROR(__xludf.DUMMYFUNCTION("""COMPUTED_VALUE"""),"Resolución")</f>
        <v>Resolución</v>
      </c>
      <c r="I522" s="10" t="str">
        <f ca="1">IFERROR(__xludf.DUMMYFUNCTION("""COMPUTED_VALUE"""),"OBRA")</f>
        <v>OBRA</v>
      </c>
      <c r="J522" s="10" t="str">
        <f ca="1">IFERROR(__xludf.DUMMYFUNCTION("""COMPUTED_VALUE"""),"Cumplir con normativa y reglamentos internos del programa en base a los objetivos.")</f>
        <v>Cumplir con normativa y reglamentos internos del programa en base a los objetivos.</v>
      </c>
      <c r="K522" s="71">
        <f ca="1">IFERROR(__xludf.DUMMYFUNCTION("""COMPUTED_VALUE"""),83148629)</f>
        <v>83148629</v>
      </c>
      <c r="L522" s="72">
        <f ca="1">IFERROR(__xludf.DUMMYFUNCTION("""COMPUTED_VALUE"""),1)</f>
        <v>1</v>
      </c>
      <c r="M522" s="10">
        <f ca="1">IFERROR(__xludf.DUMMYFUNCTION("""COMPUTED_VALUE"""),7625)</f>
        <v>7625</v>
      </c>
      <c r="N522" s="10" t="str">
        <f ca="1">IFERROR(__xludf.DUMMYFUNCTION("""COMPUTED_VALUE"""),"PMU")</f>
        <v>PMU</v>
      </c>
      <c r="O522" s="1"/>
      <c r="P522" s="1"/>
      <c r="Q522" s="1"/>
      <c r="R522" s="1"/>
      <c r="S522" s="1"/>
      <c r="T522" s="1"/>
      <c r="U522" s="1"/>
      <c r="V522" s="1"/>
      <c r="W522" s="1"/>
      <c r="X522" s="1"/>
      <c r="Y522" s="1"/>
      <c r="Z522" s="1"/>
    </row>
    <row r="523" spans="1:26" ht="12.75" customHeight="1">
      <c r="A523" s="1"/>
      <c r="B523" s="10" t="str">
        <f ca="1">IFERROR(__xludf.DUMMYFUNCTION("""COMPUTED_VALUE"""),"REPOSICIÓN DE VEREDAS Y CALZADAS, CALLE GALVARINO RIVEROS Y OTRAS.")</f>
        <v>REPOSICIÓN DE VEREDAS Y CALZADAS, CALLE GALVARINO RIVEROS Y OTRAS.</v>
      </c>
      <c r="C523" s="10" t="str">
        <f ca="1">IFERROR(__xludf.DUMMYFUNCTION("""COMPUTED_VALUE"""),"1-B-2024-126")</f>
        <v>1-B-2024-126</v>
      </c>
      <c r="D523" s="26" t="str">
        <f t="shared" ca="1" si="0"/>
        <v xml:space="preserve"> ANCUD</v>
      </c>
      <c r="E523" s="10" t="str">
        <f ca="1">IFERROR(__xludf.DUMMYFUNCTION("""COMPUTED_VALUE"""),"Guía Operativa")</f>
        <v>Guía Operativa</v>
      </c>
      <c r="F523" s="10" t="str">
        <f ca="1">IFERROR(__xludf.DUMMYFUNCTION("""COMPUTED_VALUE"""),"MUNICIPALIDAD DE ANCUD")</f>
        <v>MUNICIPALIDAD DE ANCUD</v>
      </c>
      <c r="G523" s="71">
        <f ca="1">IFERROR(__xludf.DUMMYFUNCTION("""COMPUTED_VALUE"""),83148629)</f>
        <v>83148629</v>
      </c>
      <c r="H523" s="10" t="str">
        <f ca="1">IFERROR(__xludf.DUMMYFUNCTION("""COMPUTED_VALUE"""),"Resolución")</f>
        <v>Resolución</v>
      </c>
      <c r="I523" s="10" t="str">
        <f ca="1">IFERROR(__xludf.DUMMYFUNCTION("""COMPUTED_VALUE"""),"OBRA")</f>
        <v>OBRA</v>
      </c>
      <c r="J523" s="10" t="str">
        <f ca="1">IFERROR(__xludf.DUMMYFUNCTION("""COMPUTED_VALUE"""),"Cumplir con normativa y reglamentos internos del programa en base a los objetivos.")</f>
        <v>Cumplir con normativa y reglamentos internos del programa en base a los objetivos.</v>
      </c>
      <c r="K523" s="71">
        <f ca="1">IFERROR(__xludf.DUMMYFUNCTION("""COMPUTED_VALUE"""),83148629)</f>
        <v>83148629</v>
      </c>
      <c r="L523" s="72">
        <f ca="1">IFERROR(__xludf.DUMMYFUNCTION("""COMPUTED_VALUE"""),1)</f>
        <v>1</v>
      </c>
      <c r="M523" s="10">
        <f ca="1">IFERROR(__xludf.DUMMYFUNCTION("""COMPUTED_VALUE"""),7905)</f>
        <v>7905</v>
      </c>
      <c r="N523" s="10" t="str">
        <f ca="1">IFERROR(__xludf.DUMMYFUNCTION("""COMPUTED_VALUE"""),"PMU")</f>
        <v>PMU</v>
      </c>
      <c r="O523" s="1"/>
      <c r="P523" s="1"/>
      <c r="Q523" s="1"/>
      <c r="R523" s="1"/>
      <c r="S523" s="1"/>
      <c r="T523" s="1"/>
      <c r="U523" s="1"/>
      <c r="V523" s="1"/>
      <c r="W523" s="1"/>
      <c r="X523" s="1"/>
      <c r="Y523" s="1"/>
      <c r="Z523" s="1"/>
    </row>
    <row r="524" spans="1:26" ht="12.75" customHeight="1">
      <c r="A524" s="1"/>
      <c r="B524" s="10" t="str">
        <f ca="1">IFERROR(__xludf.DUMMYFUNCTION("""COMPUTED_VALUE"""),"CONSTRUCCIÓN BAÑOS PÚBLICOS ESTADIO MUNICIPAL, FUTALEUFÚ")</f>
        <v>CONSTRUCCIÓN BAÑOS PÚBLICOS ESTADIO MUNICIPAL, FUTALEUFÚ</v>
      </c>
      <c r="C524" s="10" t="str">
        <f ca="1">IFERROR(__xludf.DUMMYFUNCTION("""COMPUTED_VALUE"""),"1-B-2024-128")</f>
        <v>1-B-2024-128</v>
      </c>
      <c r="D524" s="26" t="str">
        <f t="shared" ca="1" si="0"/>
        <v xml:space="preserve"> FUTALEUFÚ</v>
      </c>
      <c r="E524" s="10" t="str">
        <f ca="1">IFERROR(__xludf.DUMMYFUNCTION("""COMPUTED_VALUE"""),"Guía Operativa")</f>
        <v>Guía Operativa</v>
      </c>
      <c r="F524" s="10" t="str">
        <f ca="1">IFERROR(__xludf.DUMMYFUNCTION("""COMPUTED_VALUE"""),"MUNICIPALIDAD DE FUTALEUFÚ")</f>
        <v>MUNICIPALIDAD DE FUTALEUFÚ</v>
      </c>
      <c r="G524" s="71">
        <f ca="1">IFERROR(__xludf.DUMMYFUNCTION("""COMPUTED_VALUE"""),83148629)</f>
        <v>83148629</v>
      </c>
      <c r="H524" s="10" t="str">
        <f ca="1">IFERROR(__xludf.DUMMYFUNCTION("""COMPUTED_VALUE"""),"Resolución")</f>
        <v>Resolución</v>
      </c>
      <c r="I524" s="10" t="str">
        <f ca="1">IFERROR(__xludf.DUMMYFUNCTION("""COMPUTED_VALUE"""),"OBRA")</f>
        <v>OBRA</v>
      </c>
      <c r="J524" s="10" t="str">
        <f ca="1">IFERROR(__xludf.DUMMYFUNCTION("""COMPUTED_VALUE"""),"Cumplir con normativa y reglamentos internos del programa en base a los objetivos.")</f>
        <v>Cumplir con normativa y reglamentos internos del programa en base a los objetivos.</v>
      </c>
      <c r="K524" s="71">
        <f ca="1">IFERROR(__xludf.DUMMYFUNCTION("""COMPUTED_VALUE"""),83148629)</f>
        <v>83148629</v>
      </c>
      <c r="L524" s="72">
        <f ca="1">IFERROR(__xludf.DUMMYFUNCTION("""COMPUTED_VALUE"""),1)</f>
        <v>1</v>
      </c>
      <c r="M524" s="10">
        <f ca="1">IFERROR(__xludf.DUMMYFUNCTION("""COMPUTED_VALUE"""),7726)</f>
        <v>7726</v>
      </c>
      <c r="N524" s="10" t="str">
        <f ca="1">IFERROR(__xludf.DUMMYFUNCTION("""COMPUTED_VALUE"""),"PMU")</f>
        <v>PMU</v>
      </c>
      <c r="O524" s="1"/>
      <c r="P524" s="1"/>
      <c r="Q524" s="1"/>
      <c r="R524" s="1"/>
      <c r="S524" s="1"/>
      <c r="T524" s="1"/>
      <c r="U524" s="1"/>
      <c r="V524" s="1"/>
      <c r="W524" s="1"/>
      <c r="X524" s="1"/>
      <c r="Y524" s="1"/>
      <c r="Z524" s="1"/>
    </row>
    <row r="525" spans="1:26" ht="12.75" customHeight="1">
      <c r="A525" s="1"/>
      <c r="B525" s="10" t="str">
        <f ca="1">IFERROR(__xludf.DUMMYFUNCTION("""COMPUTED_VALUE"""),"SPD REPOSICION DE PUNTOS DE CÁMARAS DE TELEVIGILANCIA Y FORTALECIMIENTO DE SALA DE MONITOREO Y VIGILANCIA DE TERMINAL DE BUSES, COYHAIQUE")</f>
        <v>SPD REPOSICION DE PUNTOS DE CÁMARAS DE TELEVIGILANCIA Y FORTALECIMIENTO DE SALA DE MONITOREO Y VIGILANCIA DE TERMINAL DE BUSES, COYHAIQUE</v>
      </c>
      <c r="C525" s="10" t="str">
        <f ca="1">IFERROR(__xludf.DUMMYFUNCTION("""COMPUTED_VALUE"""),"1-SPD-2022-387")</f>
        <v>1-SPD-2022-387</v>
      </c>
      <c r="D525" s="26" t="str">
        <f t="shared" ca="1" si="0"/>
        <v xml:space="preserve"> COYHAIQUE</v>
      </c>
      <c r="E525" s="10" t="str">
        <f ca="1">IFERROR(__xludf.DUMMYFUNCTION("""COMPUTED_VALUE"""),"Guía Operativa")</f>
        <v>Guía Operativa</v>
      </c>
      <c r="F525" s="10" t="str">
        <f ca="1">IFERROR(__xludf.DUMMYFUNCTION("""COMPUTED_VALUE"""),"MUNICIPALIDAD DE COYHAIQUE")</f>
        <v>MUNICIPALIDAD DE COYHAIQUE</v>
      </c>
      <c r="G525" s="71">
        <f ca="1">IFERROR(__xludf.DUMMYFUNCTION("""COMPUTED_VALUE"""),9621299)</f>
        <v>9621299</v>
      </c>
      <c r="H525" s="10" t="str">
        <f ca="1">IFERROR(__xludf.DUMMYFUNCTION("""COMPUTED_VALUE"""),"Resolución")</f>
        <v>Resolución</v>
      </c>
      <c r="I525" s="10" t="str">
        <f ca="1">IFERROR(__xludf.DUMMYFUNCTION("""COMPUTED_VALUE"""),"OBRA")</f>
        <v>OBRA</v>
      </c>
      <c r="J525" s="10" t="str">
        <f ca="1">IFERROR(__xludf.DUMMYFUNCTION("""COMPUTED_VALUE"""),"Cumplir con normativa y reglamentos internos del programa en base a los objetivos.")</f>
        <v>Cumplir con normativa y reglamentos internos del programa en base a los objetivos.</v>
      </c>
      <c r="K525" s="71">
        <f ca="1">IFERROR(__xludf.DUMMYFUNCTION("""COMPUTED_VALUE"""),9621299)</f>
        <v>9621299</v>
      </c>
      <c r="L525" s="72">
        <f ca="1">IFERROR(__xludf.DUMMYFUNCTION("""COMPUTED_VALUE"""),1)</f>
        <v>1</v>
      </c>
      <c r="M525" s="10">
        <f ca="1">IFERROR(__xludf.DUMMYFUNCTION("""COMPUTED_VALUE"""),6688)</f>
        <v>6688</v>
      </c>
      <c r="N525" s="10" t="str">
        <f ca="1">IFERROR(__xludf.DUMMYFUNCTION("""COMPUTED_VALUE"""),"PMU")</f>
        <v>PMU</v>
      </c>
      <c r="O525" s="1"/>
      <c r="P525" s="1"/>
      <c r="Q525" s="1"/>
      <c r="R525" s="1"/>
      <c r="S525" s="1"/>
      <c r="T525" s="1"/>
      <c r="U525" s="1"/>
      <c r="V525" s="1"/>
      <c r="W525" s="1"/>
      <c r="X525" s="1"/>
      <c r="Y525" s="1"/>
      <c r="Z525" s="1"/>
    </row>
    <row r="526" spans="1:26" ht="12.75" customHeight="1">
      <c r="A526" s="1"/>
      <c r="B526" s="10" t="str">
        <f ca="1">IFERROR(__xludf.DUMMYFUNCTION("""COMPUTED_VALUE"""),"[SATE] CONSTRUCCIÓN PORTADA VILLA PUNTA DELGADA, SAN GREGORIO.")</f>
        <v>[SATE] CONSTRUCCIÓN PORTADA VILLA PUNTA DELGADA, SAN GREGORIO.</v>
      </c>
      <c r="C526" s="10" t="str">
        <f ca="1">IFERROR(__xludf.DUMMYFUNCTION("""COMPUTED_VALUE"""),"1-C-2023-996")</f>
        <v>1-C-2023-996</v>
      </c>
      <c r="D526" s="26" t="str">
        <f t="shared" ca="1" si="0"/>
        <v xml:space="preserve"> SAN GREGORIO</v>
      </c>
      <c r="E526" s="10" t="str">
        <f ca="1">IFERROR(__xludf.DUMMYFUNCTION("""COMPUTED_VALUE"""),"Guía Operativa")</f>
        <v>Guía Operativa</v>
      </c>
      <c r="F526" s="10" t="str">
        <f ca="1">IFERROR(__xludf.DUMMYFUNCTION("""COMPUTED_VALUE"""),"MUNICIPALIDAD DE SAN GREGORIO")</f>
        <v>MUNICIPALIDAD DE SAN GREGORIO</v>
      </c>
      <c r="G526" s="71">
        <f ca="1">IFERROR(__xludf.DUMMYFUNCTION("""COMPUTED_VALUE"""),154422495)</f>
        <v>154422495</v>
      </c>
      <c r="H526" s="10" t="str">
        <f ca="1">IFERROR(__xludf.DUMMYFUNCTION("""COMPUTED_VALUE"""),"Resolución")</f>
        <v>Resolución</v>
      </c>
      <c r="I526" s="10" t="str">
        <f ca="1">IFERROR(__xludf.DUMMYFUNCTION("""COMPUTED_VALUE"""),"OBRA")</f>
        <v>OBRA</v>
      </c>
      <c r="J526" s="10" t="str">
        <f ca="1">IFERROR(__xludf.DUMMYFUNCTION("""COMPUTED_VALUE"""),"Cumplir con normativa y reglamentos internos del programa en base a los objetivos.")</f>
        <v>Cumplir con normativa y reglamentos internos del programa en base a los objetivos.</v>
      </c>
      <c r="K526" s="71">
        <f ca="1">IFERROR(__xludf.DUMMYFUNCTION("""COMPUTED_VALUE"""),154422495)</f>
        <v>154422495</v>
      </c>
      <c r="L526" s="72">
        <f ca="1">IFERROR(__xludf.DUMMYFUNCTION("""COMPUTED_VALUE"""),1)</f>
        <v>1</v>
      </c>
      <c r="M526" s="10">
        <f ca="1">IFERROR(__xludf.DUMMYFUNCTION("""COMPUTED_VALUE"""),7720)</f>
        <v>7720</v>
      </c>
      <c r="N526" s="10" t="str">
        <f ca="1">IFERROR(__xludf.DUMMYFUNCTION("""COMPUTED_VALUE"""),"PMU")</f>
        <v>PMU</v>
      </c>
      <c r="O526" s="1"/>
      <c r="P526" s="1"/>
      <c r="Q526" s="1"/>
      <c r="R526" s="1"/>
      <c r="S526" s="1"/>
      <c r="T526" s="1"/>
      <c r="U526" s="1"/>
      <c r="V526" s="1"/>
      <c r="W526" s="1"/>
      <c r="X526" s="1"/>
      <c r="Y526" s="1"/>
      <c r="Z526" s="1"/>
    </row>
    <row r="527" spans="1:26" ht="12.75" customHeight="1">
      <c r="A527" s="1"/>
      <c r="B527" s="10" t="str">
        <f ca="1">IFERROR(__xludf.DUMMYFUNCTION("""COMPUTED_VALUE"""),"MEJORAMIENTO PLAZA DE RAMON CRUZ, ESQUINA RODRIGO DE ARAYA")</f>
        <v>MEJORAMIENTO PLAZA DE RAMON CRUZ, ESQUINA RODRIGO DE ARAYA</v>
      </c>
      <c r="C527" s="10" t="str">
        <f ca="1">IFERROR(__xludf.DUMMYFUNCTION("""COMPUTED_VALUE"""),"1-C-2016-1414")</f>
        <v>1-C-2016-1414</v>
      </c>
      <c r="D527" s="26" t="str">
        <f t="shared" ca="1" si="0"/>
        <v xml:space="preserve"> MACUL</v>
      </c>
      <c r="E527" s="10" t="str">
        <f ca="1">IFERROR(__xludf.DUMMYFUNCTION("""COMPUTED_VALUE"""),"Guía Operativa")</f>
        <v>Guía Operativa</v>
      </c>
      <c r="F527" s="10" t="str">
        <f ca="1">IFERROR(__xludf.DUMMYFUNCTION("""COMPUTED_VALUE"""),"MUNICIPALIDAD DE MACUL")</f>
        <v>MUNICIPALIDAD DE MACUL</v>
      </c>
      <c r="G527" s="71">
        <f ca="1">IFERROR(__xludf.DUMMYFUNCTION("""COMPUTED_VALUE"""),74995810)</f>
        <v>74995810</v>
      </c>
      <c r="H527" s="10" t="str">
        <f ca="1">IFERROR(__xludf.DUMMYFUNCTION("""COMPUTED_VALUE"""),"Resolución")</f>
        <v>Resolución</v>
      </c>
      <c r="I527" s="10" t="str">
        <f ca="1">IFERROR(__xludf.DUMMYFUNCTION("""COMPUTED_VALUE"""),"OBRA")</f>
        <v>OBRA</v>
      </c>
      <c r="J527" s="10" t="str">
        <f ca="1">IFERROR(__xludf.DUMMYFUNCTION("""COMPUTED_VALUE"""),"Cumplir con normativa y reglamentos internos del programa en base a los objetivos.")</f>
        <v>Cumplir con normativa y reglamentos internos del programa en base a los objetivos.</v>
      </c>
      <c r="K527" s="71">
        <f ca="1">IFERROR(__xludf.DUMMYFUNCTION("""COMPUTED_VALUE"""),13350043)</f>
        <v>13350043</v>
      </c>
      <c r="L527" s="72">
        <f ca="1">IFERROR(__xludf.DUMMYFUNCTION("""COMPUTED_VALUE"""),0.978010518187616)</f>
        <v>0.97801051818761597</v>
      </c>
      <c r="M527" s="10">
        <f ca="1">IFERROR(__xludf.DUMMYFUNCTION("""COMPUTED_VALUE"""),8412)</f>
        <v>8412</v>
      </c>
      <c r="N527" s="10" t="str">
        <f ca="1">IFERROR(__xludf.DUMMYFUNCTION("""COMPUTED_VALUE"""),"PMU")</f>
        <v>PMU</v>
      </c>
      <c r="O527" s="1"/>
      <c r="P527" s="1"/>
      <c r="Q527" s="1"/>
      <c r="R527" s="1"/>
      <c r="S527" s="1"/>
      <c r="T527" s="1"/>
      <c r="U527" s="1"/>
      <c r="V527" s="1"/>
      <c r="W527" s="1"/>
      <c r="X527" s="1"/>
      <c r="Y527" s="1"/>
      <c r="Z527" s="1"/>
    </row>
    <row r="528" spans="1:26" ht="12.75" customHeight="1">
      <c r="A528" s="1"/>
      <c r="B528" s="10" t="str">
        <f ca="1">IFERROR(__xludf.DUMMYFUNCTION("""COMPUTED_VALUE"""),"CONSTRUCCION DE MULTICANCHA LICAN RAY, UV 19, MACUL")</f>
        <v>CONSTRUCCION DE MULTICANCHA LICAN RAY, UV 19, MACUL</v>
      </c>
      <c r="C528" s="10" t="str">
        <f ca="1">IFERROR(__xludf.DUMMYFUNCTION("""COMPUTED_VALUE"""),"1-C-2017-1679")</f>
        <v>1-C-2017-1679</v>
      </c>
      <c r="D528" s="26" t="str">
        <f t="shared" ca="1" si="0"/>
        <v xml:space="preserve"> MACUL</v>
      </c>
      <c r="E528" s="10" t="str">
        <f ca="1">IFERROR(__xludf.DUMMYFUNCTION("""COMPUTED_VALUE"""),"Guía Operativa")</f>
        <v>Guía Operativa</v>
      </c>
      <c r="F528" s="10" t="str">
        <f ca="1">IFERROR(__xludf.DUMMYFUNCTION("""COMPUTED_VALUE"""),"MUNICIPALIDAD DE MACUL")</f>
        <v>MUNICIPALIDAD DE MACUL</v>
      </c>
      <c r="G528" s="71">
        <f ca="1">IFERROR(__xludf.DUMMYFUNCTION("""COMPUTED_VALUE"""),74999859)</f>
        <v>74999859</v>
      </c>
      <c r="H528" s="10" t="str">
        <f ca="1">IFERROR(__xludf.DUMMYFUNCTION("""COMPUTED_VALUE"""),"Resolución")</f>
        <v>Resolución</v>
      </c>
      <c r="I528" s="10" t="str">
        <f ca="1">IFERROR(__xludf.DUMMYFUNCTION("""COMPUTED_VALUE"""),"OBRA")</f>
        <v>OBRA</v>
      </c>
      <c r="J528" s="10" t="str">
        <f ca="1">IFERROR(__xludf.DUMMYFUNCTION("""COMPUTED_VALUE"""),"Cumplir con normativa y reglamentos internos del programa en base a los objetivos.")</f>
        <v>Cumplir con normativa y reglamentos internos del programa en base a los objetivos.</v>
      </c>
      <c r="K528" s="71">
        <f ca="1">IFERROR(__xludf.DUMMYFUNCTION("""COMPUTED_VALUE"""),14989679)</f>
        <v>14989679</v>
      </c>
      <c r="L528" s="72">
        <f ca="1">IFERROR(__xludf.DUMMYFUNCTION("""COMPUTED_VALUE"""),0.999862759741988)</f>
        <v>0.99986275974198802</v>
      </c>
      <c r="M528" s="10">
        <f ca="1">IFERROR(__xludf.DUMMYFUNCTION("""COMPUTED_VALUE"""),8412)</f>
        <v>8412</v>
      </c>
      <c r="N528" s="10" t="str">
        <f ca="1">IFERROR(__xludf.DUMMYFUNCTION("""COMPUTED_VALUE"""),"PMU")</f>
        <v>PMU</v>
      </c>
      <c r="O528" s="1"/>
      <c r="P528" s="1"/>
      <c r="Q528" s="1"/>
      <c r="R528" s="1"/>
      <c r="S528" s="1"/>
      <c r="T528" s="1"/>
      <c r="U528" s="1"/>
      <c r="V528" s="1"/>
      <c r="W528" s="1"/>
      <c r="X528" s="1"/>
      <c r="Y528" s="1"/>
      <c r="Z528" s="1"/>
    </row>
    <row r="529" spans="1:26" ht="12.75" customHeight="1">
      <c r="A529" s="1"/>
      <c r="B529" s="10" t="str">
        <f ca="1">IFERROR(__xludf.DUMMYFUNCTION("""COMPUTED_VALUE"""),"MEJORAMIENTO DE PLAZA CIUDAD DE MÉXICO, COMUNA DE CERRILLOS")</f>
        <v>MEJORAMIENTO DE PLAZA CIUDAD DE MÉXICO, COMUNA DE CERRILLOS</v>
      </c>
      <c r="C529" s="10" t="str">
        <f ca="1">IFERROR(__xludf.DUMMYFUNCTION("""COMPUTED_VALUE"""),"1-C-2020-139")</f>
        <v>1-C-2020-139</v>
      </c>
      <c r="D529" s="26" t="str">
        <f t="shared" ca="1" si="0"/>
        <v xml:space="preserve"> CERRILLOS</v>
      </c>
      <c r="E529" s="10" t="str">
        <f ca="1">IFERROR(__xludf.DUMMYFUNCTION("""COMPUTED_VALUE"""),"Guía Operativa")</f>
        <v>Guía Operativa</v>
      </c>
      <c r="F529" s="10" t="str">
        <f ca="1">IFERROR(__xludf.DUMMYFUNCTION("""COMPUTED_VALUE"""),"MUNICIPALIDAD DE CERRILLOS")</f>
        <v>MUNICIPALIDAD DE CERRILLOS</v>
      </c>
      <c r="G529" s="71">
        <f ca="1">IFERROR(__xludf.DUMMYFUNCTION("""COMPUTED_VALUE"""),63292380)</f>
        <v>63292380</v>
      </c>
      <c r="H529" s="10" t="str">
        <f ca="1">IFERROR(__xludf.DUMMYFUNCTION("""COMPUTED_VALUE"""),"Resolución")</f>
        <v>Resolución</v>
      </c>
      <c r="I529" s="10" t="str">
        <f ca="1">IFERROR(__xludf.DUMMYFUNCTION("""COMPUTED_VALUE"""),"OBRA")</f>
        <v>OBRA</v>
      </c>
      <c r="J529" s="10" t="str">
        <f ca="1">IFERROR(__xludf.DUMMYFUNCTION("""COMPUTED_VALUE"""),"Cumplir con normativa y reglamentos internos del programa en base a los objetivos.")</f>
        <v>Cumplir con normativa y reglamentos internos del programa en base a los objetivos.</v>
      </c>
      <c r="K529" s="71">
        <f ca="1">IFERROR(__xludf.DUMMYFUNCTION("""COMPUTED_VALUE"""),1051926)</f>
        <v>1051926</v>
      </c>
      <c r="L529" s="72">
        <f ca="1">IFERROR(__xludf.DUMMYFUNCTION("""COMPUTED_VALUE"""),0.964601489152406)</f>
        <v>0.96460148915240596</v>
      </c>
      <c r="M529" s="10">
        <f ca="1">IFERROR(__xludf.DUMMYFUNCTION("""COMPUTED_VALUE"""),5103)</f>
        <v>5103</v>
      </c>
      <c r="N529" s="10" t="str">
        <f ca="1">IFERROR(__xludf.DUMMYFUNCTION("""COMPUTED_VALUE"""),"PMU")</f>
        <v>PMU</v>
      </c>
      <c r="O529" s="1"/>
      <c r="P529" s="1"/>
      <c r="Q529" s="1"/>
      <c r="R529" s="1"/>
      <c r="S529" s="1"/>
      <c r="T529" s="1"/>
      <c r="U529" s="1"/>
      <c r="V529" s="1"/>
      <c r="W529" s="1"/>
      <c r="X529" s="1"/>
      <c r="Y529" s="1"/>
      <c r="Z529" s="1"/>
    </row>
    <row r="530" spans="1:26" ht="12.75" customHeight="1">
      <c r="A530" s="1"/>
      <c r="B530" s="10" t="str">
        <f ca="1">IFERROR(__xludf.DUMMYFUNCTION("""COMPUTED_VALUE"""),"REPOSICIÓN DE VEREDAS CALLE LOS MATRICEROS Y CALLE JORGE PRIETO LETELIER")</f>
        <v>REPOSICIÓN DE VEREDAS CALLE LOS MATRICEROS Y CALLE JORGE PRIETO LETELIER</v>
      </c>
      <c r="C530" s="10" t="str">
        <f ca="1">IFERROR(__xludf.DUMMYFUNCTION("""COMPUTED_VALUE"""),"1-C-2023-921")</f>
        <v>1-C-2023-921</v>
      </c>
      <c r="D530" s="26" t="str">
        <f t="shared" ca="1" si="0"/>
        <v xml:space="preserve"> PEÑALOLÉN</v>
      </c>
      <c r="E530" s="10" t="str">
        <f ca="1">IFERROR(__xludf.DUMMYFUNCTION("""COMPUTED_VALUE"""),"Guía Operativa")</f>
        <v>Guía Operativa</v>
      </c>
      <c r="F530" s="10" t="str">
        <f ca="1">IFERROR(__xludf.DUMMYFUNCTION("""COMPUTED_VALUE"""),"MUNICIPALIDAD DE PEÑALOLÉN")</f>
        <v>MUNICIPALIDAD DE PEÑALOLÉN</v>
      </c>
      <c r="G530" s="71">
        <f ca="1">IFERROR(__xludf.DUMMYFUNCTION("""COMPUTED_VALUE"""),151967474)</f>
        <v>151967474</v>
      </c>
      <c r="H530" s="10" t="str">
        <f ca="1">IFERROR(__xludf.DUMMYFUNCTION("""COMPUTED_VALUE"""),"Resolución")</f>
        <v>Resolución</v>
      </c>
      <c r="I530" s="10" t="str">
        <f ca="1">IFERROR(__xludf.DUMMYFUNCTION("""COMPUTED_VALUE"""),"OBRA")</f>
        <v>OBRA</v>
      </c>
      <c r="J530" s="10" t="str">
        <f ca="1">IFERROR(__xludf.DUMMYFUNCTION("""COMPUTED_VALUE"""),"Cumplir con normativa y reglamentos internos del programa en base a los objetivos.")</f>
        <v>Cumplir con normativa y reglamentos internos del programa en base a los objetivos.</v>
      </c>
      <c r="K530" s="71">
        <f ca="1">IFERROR(__xludf.DUMMYFUNCTION("""COMPUTED_VALUE"""),151967474)</f>
        <v>151967474</v>
      </c>
      <c r="L530" s="72">
        <f ca="1">IFERROR(__xludf.DUMMYFUNCTION("""COMPUTED_VALUE"""),1)</f>
        <v>1</v>
      </c>
      <c r="M530" s="10">
        <f ca="1">IFERROR(__xludf.DUMMYFUNCTION("""COMPUTED_VALUE"""),7469)</f>
        <v>7469</v>
      </c>
      <c r="N530" s="10" t="str">
        <f ca="1">IFERROR(__xludf.DUMMYFUNCTION("""COMPUTED_VALUE"""),"PMU")</f>
        <v>PMU</v>
      </c>
      <c r="O530" s="1"/>
      <c r="P530" s="1"/>
      <c r="Q530" s="1"/>
      <c r="R530" s="1"/>
      <c r="S530" s="1"/>
      <c r="T530" s="1"/>
      <c r="U530" s="1"/>
      <c r="V530" s="1"/>
      <c r="W530" s="1"/>
      <c r="X530" s="1"/>
      <c r="Y530" s="1"/>
      <c r="Z530" s="1"/>
    </row>
    <row r="531" spans="1:26" ht="12.75" customHeight="1">
      <c r="A531" s="1"/>
      <c r="B531" s="10" t="str">
        <f ca="1">IFERROR(__xludf.DUMMYFUNCTION("""COMPUTED_VALUE"""),"MEJORAMIENTO DE LUMINARIAS PARQUE BUSTAMANTE ENTRE AV. MATTA Y MALAQUÍAS CONCHA, COMUNA DE ÑUÑOA")</f>
        <v>MEJORAMIENTO DE LUMINARIAS PARQUE BUSTAMANTE ENTRE AV. MATTA Y MALAQUÍAS CONCHA, COMUNA DE ÑUÑOA</v>
      </c>
      <c r="C531" s="10" t="str">
        <f ca="1">IFERROR(__xludf.DUMMYFUNCTION("""COMPUTED_VALUE"""),"1-C-2023-1559")</f>
        <v>1-C-2023-1559</v>
      </c>
      <c r="D531" s="26" t="str">
        <f t="shared" ca="1" si="0"/>
        <v xml:space="preserve"> ÑUÑOA</v>
      </c>
      <c r="E531" s="10" t="str">
        <f ca="1">IFERROR(__xludf.DUMMYFUNCTION("""COMPUTED_VALUE"""),"Guía Operativa")</f>
        <v>Guía Operativa</v>
      </c>
      <c r="F531" s="10" t="str">
        <f ca="1">IFERROR(__xludf.DUMMYFUNCTION("""COMPUTED_VALUE"""),"MUNICIPALIDAD DE ÑUÑOA")</f>
        <v>MUNICIPALIDAD DE ÑUÑOA</v>
      </c>
      <c r="G531" s="71">
        <f ca="1">IFERROR(__xludf.DUMMYFUNCTION("""COMPUTED_VALUE"""),150007492)</f>
        <v>150007492</v>
      </c>
      <c r="H531" s="10" t="str">
        <f ca="1">IFERROR(__xludf.DUMMYFUNCTION("""COMPUTED_VALUE"""),"Resolución")</f>
        <v>Resolución</v>
      </c>
      <c r="I531" s="10" t="str">
        <f ca="1">IFERROR(__xludf.DUMMYFUNCTION("""COMPUTED_VALUE"""),"OBRA")</f>
        <v>OBRA</v>
      </c>
      <c r="J531" s="10" t="str">
        <f ca="1">IFERROR(__xludf.DUMMYFUNCTION("""COMPUTED_VALUE"""),"Cumplir con normativa y reglamentos internos del programa en base a los objetivos.")</f>
        <v>Cumplir con normativa y reglamentos internos del programa en base a los objetivos.</v>
      </c>
      <c r="K531" s="71">
        <f ca="1">IFERROR(__xludf.DUMMYFUNCTION("""COMPUTED_VALUE"""),150007492)</f>
        <v>150007492</v>
      </c>
      <c r="L531" s="72">
        <f ca="1">IFERROR(__xludf.DUMMYFUNCTION("""COMPUTED_VALUE"""),1)</f>
        <v>1</v>
      </c>
      <c r="M531" s="10">
        <f ca="1">IFERROR(__xludf.DUMMYFUNCTION("""COMPUTED_VALUE"""),7660)</f>
        <v>7660</v>
      </c>
      <c r="N531" s="10" t="str">
        <f ca="1">IFERROR(__xludf.DUMMYFUNCTION("""COMPUTED_VALUE"""),"PMU")</f>
        <v>PMU</v>
      </c>
      <c r="O531" s="1"/>
      <c r="P531" s="1"/>
      <c r="Q531" s="1"/>
      <c r="R531" s="1"/>
      <c r="S531" s="1"/>
      <c r="T531" s="1"/>
      <c r="U531" s="1"/>
      <c r="V531" s="1"/>
      <c r="W531" s="1"/>
      <c r="X531" s="1"/>
      <c r="Y531" s="1"/>
      <c r="Z531" s="1"/>
    </row>
    <row r="532" spans="1:26" ht="12.75" customHeight="1">
      <c r="A532" s="1"/>
      <c r="B532" s="10" t="str">
        <f ca="1">IFERROR(__xludf.DUMMYFUNCTION("""COMPUTED_VALUE"""),"REPOSICIÓN DE VEREDAS CALLE LAS CEPAS")</f>
        <v>REPOSICIÓN DE VEREDAS CALLE LAS CEPAS</v>
      </c>
      <c r="C532" s="10" t="str">
        <f ca="1">IFERROR(__xludf.DUMMYFUNCTION("""COMPUTED_VALUE"""),"1-C-2023-1786")</f>
        <v>1-C-2023-1786</v>
      </c>
      <c r="D532" s="26" t="str">
        <f t="shared" ca="1" si="0"/>
        <v xml:space="preserve"> PEÑALOLÉN</v>
      </c>
      <c r="E532" s="10" t="str">
        <f ca="1">IFERROR(__xludf.DUMMYFUNCTION("""COMPUTED_VALUE"""),"Guía Operativa")</f>
        <v>Guía Operativa</v>
      </c>
      <c r="F532" s="10" t="str">
        <f ca="1">IFERROR(__xludf.DUMMYFUNCTION("""COMPUTED_VALUE"""),"MUNICIPALIDAD DE PEÑALOLÉN")</f>
        <v>MUNICIPALIDAD DE PEÑALOLÉN</v>
      </c>
      <c r="G532" s="71">
        <f ca="1">IFERROR(__xludf.DUMMYFUNCTION("""COMPUTED_VALUE"""),130604717)</f>
        <v>130604717</v>
      </c>
      <c r="H532" s="10" t="str">
        <f ca="1">IFERROR(__xludf.DUMMYFUNCTION("""COMPUTED_VALUE"""),"Resolución")</f>
        <v>Resolución</v>
      </c>
      <c r="I532" s="10" t="str">
        <f ca="1">IFERROR(__xludf.DUMMYFUNCTION("""COMPUTED_VALUE"""),"OBRA")</f>
        <v>OBRA</v>
      </c>
      <c r="J532" s="10" t="str">
        <f ca="1">IFERROR(__xludf.DUMMYFUNCTION("""COMPUTED_VALUE"""),"Cumplir con normativa y reglamentos internos del programa en base a los objetivos.")</f>
        <v>Cumplir con normativa y reglamentos internos del programa en base a los objetivos.</v>
      </c>
      <c r="K532" s="71">
        <f ca="1">IFERROR(__xludf.DUMMYFUNCTION("""COMPUTED_VALUE"""),130604717)</f>
        <v>130604717</v>
      </c>
      <c r="L532" s="72">
        <f ca="1">IFERROR(__xludf.DUMMYFUNCTION("""COMPUTED_VALUE"""),1)</f>
        <v>1</v>
      </c>
      <c r="M532" s="10">
        <f ca="1">IFERROR(__xludf.DUMMYFUNCTION("""COMPUTED_VALUE"""),7469)</f>
        <v>7469</v>
      </c>
      <c r="N532" s="10" t="str">
        <f ca="1">IFERROR(__xludf.DUMMYFUNCTION("""COMPUTED_VALUE"""),"PMU")</f>
        <v>PMU</v>
      </c>
      <c r="O532" s="1"/>
      <c r="P532" s="1"/>
      <c r="Q532" s="1"/>
      <c r="R532" s="1"/>
      <c r="S532" s="1"/>
      <c r="T532" s="1"/>
      <c r="U532" s="1"/>
      <c r="V532" s="1"/>
      <c r="W532" s="1"/>
      <c r="X532" s="1"/>
      <c r="Y532" s="1"/>
      <c r="Z532" s="1"/>
    </row>
    <row r="533" spans="1:26" ht="12.75" customHeight="1">
      <c r="A533" s="1"/>
      <c r="B533" s="10" t="str">
        <f ca="1">IFERROR(__xludf.DUMMYFUNCTION("""COMPUTED_VALUE"""),"MEJORAMIENTO DE ESPACIOS, RUNGUE, COMUNA DE TILTIL")</f>
        <v>MEJORAMIENTO DE ESPACIOS, RUNGUE, COMUNA DE TILTIL</v>
      </c>
      <c r="C533" s="10" t="str">
        <f ca="1">IFERROR(__xludf.DUMMYFUNCTION("""COMPUTED_VALUE"""),"1-C-2023-2037")</f>
        <v>1-C-2023-2037</v>
      </c>
      <c r="D533" s="26" t="str">
        <f t="shared" ca="1" si="0"/>
        <v xml:space="preserve"> TILTIL</v>
      </c>
      <c r="E533" s="10" t="str">
        <f ca="1">IFERROR(__xludf.DUMMYFUNCTION("""COMPUTED_VALUE"""),"Guía Operativa")</f>
        <v>Guía Operativa</v>
      </c>
      <c r="F533" s="10" t="str">
        <f ca="1">IFERROR(__xludf.DUMMYFUNCTION("""COMPUTED_VALUE"""),"MUNICIPALIDAD DE TILTIL")</f>
        <v>MUNICIPALIDAD DE TILTIL</v>
      </c>
      <c r="G533" s="71">
        <f ca="1">IFERROR(__xludf.DUMMYFUNCTION("""COMPUTED_VALUE"""),86540302)</f>
        <v>86540302</v>
      </c>
      <c r="H533" s="10" t="str">
        <f ca="1">IFERROR(__xludf.DUMMYFUNCTION("""COMPUTED_VALUE"""),"Resolución")</f>
        <v>Resolución</v>
      </c>
      <c r="I533" s="10" t="str">
        <f ca="1">IFERROR(__xludf.DUMMYFUNCTION("""COMPUTED_VALUE"""),"OBRA")</f>
        <v>OBRA</v>
      </c>
      <c r="J533" s="10" t="str">
        <f ca="1">IFERROR(__xludf.DUMMYFUNCTION("""COMPUTED_VALUE"""),"Cumplir con normativa y reglamentos internos del programa en base a los objetivos.")</f>
        <v>Cumplir con normativa y reglamentos internos del programa en base a los objetivos.</v>
      </c>
      <c r="K533" s="71">
        <f ca="1">IFERROR(__xludf.DUMMYFUNCTION("""COMPUTED_VALUE"""),86540302)</f>
        <v>86540302</v>
      </c>
      <c r="L533" s="72">
        <f ca="1">IFERROR(__xludf.DUMMYFUNCTION("""COMPUTED_VALUE"""),1)</f>
        <v>1</v>
      </c>
      <c r="M533" s="10">
        <f ca="1">IFERROR(__xludf.DUMMYFUNCTION("""COMPUTED_VALUE"""),7783)</f>
        <v>7783</v>
      </c>
      <c r="N533" s="10" t="str">
        <f ca="1">IFERROR(__xludf.DUMMYFUNCTION("""COMPUTED_VALUE"""),"PMU")</f>
        <v>PMU</v>
      </c>
      <c r="O533" s="1"/>
      <c r="P533" s="1"/>
      <c r="Q533" s="1"/>
      <c r="R533" s="1"/>
      <c r="S533" s="1"/>
      <c r="T533" s="1"/>
      <c r="U533" s="1"/>
      <c r="V533" s="1"/>
      <c r="W533" s="1"/>
      <c r="X533" s="1"/>
      <c r="Y533" s="1"/>
      <c r="Z533" s="1"/>
    </row>
    <row r="534" spans="1:26" ht="12.75" customHeight="1">
      <c r="A534" s="1"/>
      <c r="B534" s="10" t="str">
        <f ca="1">IFERROR(__xludf.DUMMYFUNCTION("""COMPUTED_VALUE"""),"MEJORAMIENTO ESPACIOS PÚBLICOS UV 35")</f>
        <v>MEJORAMIENTO ESPACIOS PÚBLICOS UV 35</v>
      </c>
      <c r="C534" s="10" t="str">
        <f ca="1">IFERROR(__xludf.DUMMYFUNCTION("""COMPUTED_VALUE"""),"1-C-2023-2190")</f>
        <v>1-C-2023-2190</v>
      </c>
      <c r="D534" s="26" t="str">
        <f t="shared" ca="1" si="0"/>
        <v xml:space="preserve"> LO ESPEJO</v>
      </c>
      <c r="E534" s="10" t="str">
        <f ca="1">IFERROR(__xludf.DUMMYFUNCTION("""COMPUTED_VALUE"""),"Guía Operativa")</f>
        <v>Guía Operativa</v>
      </c>
      <c r="F534" s="10" t="str">
        <f ca="1">IFERROR(__xludf.DUMMYFUNCTION("""COMPUTED_VALUE"""),"MUNICIPALIDAD DE LO ESPEJO")</f>
        <v>MUNICIPALIDAD DE LO ESPEJO</v>
      </c>
      <c r="G534" s="71">
        <f ca="1">IFERROR(__xludf.DUMMYFUNCTION("""COMPUTED_VALUE"""),154248718)</f>
        <v>154248718</v>
      </c>
      <c r="H534" s="10" t="str">
        <f ca="1">IFERROR(__xludf.DUMMYFUNCTION("""COMPUTED_VALUE"""),"Resolución")</f>
        <v>Resolución</v>
      </c>
      <c r="I534" s="10" t="str">
        <f ca="1">IFERROR(__xludf.DUMMYFUNCTION("""COMPUTED_VALUE"""),"OBRA")</f>
        <v>OBRA</v>
      </c>
      <c r="J534" s="10" t="str">
        <f ca="1">IFERROR(__xludf.DUMMYFUNCTION("""COMPUTED_VALUE"""),"Cumplir con normativa y reglamentos internos del programa en base a los objetivos.")</f>
        <v>Cumplir con normativa y reglamentos internos del programa en base a los objetivos.</v>
      </c>
      <c r="K534" s="71">
        <f ca="1">IFERROR(__xludf.DUMMYFUNCTION("""COMPUTED_VALUE"""),154248718)</f>
        <v>154248718</v>
      </c>
      <c r="L534" s="72">
        <f ca="1">IFERROR(__xludf.DUMMYFUNCTION("""COMPUTED_VALUE"""),1)</f>
        <v>1</v>
      </c>
      <c r="M534" s="10">
        <f ca="1">IFERROR(__xludf.DUMMYFUNCTION("""COMPUTED_VALUE"""),7468)</f>
        <v>7468</v>
      </c>
      <c r="N534" s="10" t="str">
        <f ca="1">IFERROR(__xludf.DUMMYFUNCTION("""COMPUTED_VALUE"""),"PMU")</f>
        <v>PMU</v>
      </c>
      <c r="O534" s="1"/>
      <c r="P534" s="1"/>
      <c r="Q534" s="1"/>
      <c r="R534" s="1"/>
      <c r="S534" s="1"/>
      <c r="T534" s="1"/>
      <c r="U534" s="1"/>
      <c r="V534" s="1"/>
      <c r="W534" s="1"/>
      <c r="X534" s="1"/>
      <c r="Y534" s="1"/>
      <c r="Z534" s="1"/>
    </row>
    <row r="535" spans="1:26" ht="12.75" customHeight="1">
      <c r="A535" s="1"/>
      <c r="B535" s="10" t="str">
        <f ca="1">IFERROR(__xludf.DUMMYFUNCTION("""COMPUTED_VALUE"""),"REPOSICIÓN DE CALZADA PASAJE LOS COPIHUES")</f>
        <v>REPOSICIÓN DE CALZADA PASAJE LOS COPIHUES</v>
      </c>
      <c r="C535" s="10" t="str">
        <f ca="1">IFERROR(__xludf.DUMMYFUNCTION("""COMPUTED_VALUE"""),"1-C-2023-2298")</f>
        <v>1-C-2023-2298</v>
      </c>
      <c r="D535" s="26" t="str">
        <f t="shared" ca="1" si="0"/>
        <v xml:space="preserve"> PEÑALOLÉN</v>
      </c>
      <c r="E535" s="10" t="str">
        <f ca="1">IFERROR(__xludf.DUMMYFUNCTION("""COMPUTED_VALUE"""),"Guía Operativa")</f>
        <v>Guía Operativa</v>
      </c>
      <c r="F535" s="10" t="str">
        <f ca="1">IFERROR(__xludf.DUMMYFUNCTION("""COMPUTED_VALUE"""),"MUNICIPALIDAD DE PEÑALOLÉN")</f>
        <v>MUNICIPALIDAD DE PEÑALOLÉN</v>
      </c>
      <c r="G535" s="71">
        <f ca="1">IFERROR(__xludf.DUMMYFUNCTION("""COMPUTED_VALUE"""),130560921)</f>
        <v>130560921</v>
      </c>
      <c r="H535" s="10" t="str">
        <f ca="1">IFERROR(__xludf.DUMMYFUNCTION("""COMPUTED_VALUE"""),"Resolución")</f>
        <v>Resolución</v>
      </c>
      <c r="I535" s="10" t="str">
        <f ca="1">IFERROR(__xludf.DUMMYFUNCTION("""COMPUTED_VALUE"""),"OBRA")</f>
        <v>OBRA</v>
      </c>
      <c r="J535" s="10" t="str">
        <f ca="1">IFERROR(__xludf.DUMMYFUNCTION("""COMPUTED_VALUE"""),"Cumplir con normativa y reglamentos internos del programa en base a los objetivos.")</f>
        <v>Cumplir con normativa y reglamentos internos del programa en base a los objetivos.</v>
      </c>
      <c r="K535" s="71">
        <f ca="1">IFERROR(__xludf.DUMMYFUNCTION("""COMPUTED_VALUE"""),130560921)</f>
        <v>130560921</v>
      </c>
      <c r="L535" s="72">
        <f ca="1">IFERROR(__xludf.DUMMYFUNCTION("""COMPUTED_VALUE"""),1)</f>
        <v>1</v>
      </c>
      <c r="M535" s="10">
        <f ca="1">IFERROR(__xludf.DUMMYFUNCTION("""COMPUTED_VALUE"""),7469)</f>
        <v>7469</v>
      </c>
      <c r="N535" s="10" t="str">
        <f ca="1">IFERROR(__xludf.DUMMYFUNCTION("""COMPUTED_VALUE"""),"PMU")</f>
        <v>PMU</v>
      </c>
      <c r="O535" s="1"/>
      <c r="P535" s="1"/>
      <c r="Q535" s="1"/>
      <c r="R535" s="1"/>
      <c r="S535" s="1"/>
      <c r="T535" s="1"/>
      <c r="U535" s="1"/>
      <c r="V535" s="1"/>
      <c r="W535" s="1"/>
      <c r="X535" s="1"/>
      <c r="Y535" s="1"/>
      <c r="Z535" s="1"/>
    </row>
    <row r="536" spans="1:26" ht="12.75" customHeight="1">
      <c r="A536" s="1"/>
      <c r="B536" s="10" t="str">
        <f ca="1">IFERROR(__xludf.DUMMYFUNCTION("""COMPUTED_VALUE"""),"MEJORAMIENTO DE PLAZA ENRIQUE BUNSTER, ÑUÑOA")</f>
        <v>MEJORAMIENTO DE PLAZA ENRIQUE BUNSTER, ÑUÑOA</v>
      </c>
      <c r="C536" s="10" t="str">
        <f ca="1">IFERROR(__xludf.DUMMYFUNCTION("""COMPUTED_VALUE"""),"1-C-2023-2805")</f>
        <v>1-C-2023-2805</v>
      </c>
      <c r="D536" s="26" t="str">
        <f t="shared" ca="1" si="0"/>
        <v xml:space="preserve"> ÑUÑOA</v>
      </c>
      <c r="E536" s="10" t="str">
        <f ca="1">IFERROR(__xludf.DUMMYFUNCTION("""COMPUTED_VALUE"""),"Guía Operativa")</f>
        <v>Guía Operativa</v>
      </c>
      <c r="F536" s="10" t="str">
        <f ca="1">IFERROR(__xludf.DUMMYFUNCTION("""COMPUTED_VALUE"""),"MUNICIPALIDAD DE ÑUÑOA")</f>
        <v>MUNICIPALIDAD DE ÑUÑOA</v>
      </c>
      <c r="G536" s="71">
        <f ca="1">IFERROR(__xludf.DUMMYFUNCTION("""COMPUTED_VALUE"""),129656622)</f>
        <v>129656622</v>
      </c>
      <c r="H536" s="10" t="str">
        <f ca="1">IFERROR(__xludf.DUMMYFUNCTION("""COMPUTED_VALUE"""),"Resolución")</f>
        <v>Resolución</v>
      </c>
      <c r="I536" s="10" t="str">
        <f ca="1">IFERROR(__xludf.DUMMYFUNCTION("""COMPUTED_VALUE"""),"OBRA")</f>
        <v>OBRA</v>
      </c>
      <c r="J536" s="10" t="str">
        <f ca="1">IFERROR(__xludf.DUMMYFUNCTION("""COMPUTED_VALUE"""),"Cumplir con normativa y reglamentos internos del programa en base a los objetivos.")</f>
        <v>Cumplir con normativa y reglamentos internos del programa en base a los objetivos.</v>
      </c>
      <c r="K536" s="71">
        <f ca="1">IFERROR(__xludf.DUMMYFUNCTION("""COMPUTED_VALUE"""),129656622)</f>
        <v>129656622</v>
      </c>
      <c r="L536" s="72">
        <f ca="1">IFERROR(__xludf.DUMMYFUNCTION("""COMPUTED_VALUE"""),1)</f>
        <v>1</v>
      </c>
      <c r="M536" s="10">
        <f ca="1">IFERROR(__xludf.DUMMYFUNCTION("""COMPUTED_VALUE"""),7608)</f>
        <v>7608</v>
      </c>
      <c r="N536" s="10" t="str">
        <f ca="1">IFERROR(__xludf.DUMMYFUNCTION("""COMPUTED_VALUE"""),"PMU")</f>
        <v>PMU</v>
      </c>
      <c r="O536" s="1"/>
      <c r="P536" s="1"/>
      <c r="Q536" s="1"/>
      <c r="R536" s="1"/>
      <c r="S536" s="1"/>
      <c r="T536" s="1"/>
      <c r="U536" s="1"/>
      <c r="V536" s="1"/>
      <c r="W536" s="1"/>
      <c r="X536" s="1"/>
      <c r="Y536" s="1"/>
      <c r="Z536" s="1"/>
    </row>
    <row r="537" spans="1:26" ht="12.75" customHeight="1">
      <c r="A537" s="1"/>
      <c r="B537" s="10" t="str">
        <f ca="1">IFERROR(__xludf.DUMMYFUNCTION("""COMPUTED_VALUE"""),"CONSTRUCCIÓN VETERINARIA MUNICIPAL DE ATENCIÓN PRIMARIA, COMUNA DE QUINTA NORMAL")</f>
        <v>CONSTRUCCIÓN VETERINARIA MUNICIPAL DE ATENCIÓN PRIMARIA, COMUNA DE QUINTA NORMAL</v>
      </c>
      <c r="C537" s="10" t="str">
        <f ca="1">IFERROR(__xludf.DUMMYFUNCTION("""COMPUTED_VALUE"""),"1-C-2023-3358")</f>
        <v>1-C-2023-3358</v>
      </c>
      <c r="D537" s="26" t="str">
        <f t="shared" ca="1" si="0"/>
        <v xml:space="preserve"> QUINTA NORMAL</v>
      </c>
      <c r="E537" s="10" t="str">
        <f ca="1">IFERROR(__xludf.DUMMYFUNCTION("""COMPUTED_VALUE"""),"Guía Operativa")</f>
        <v>Guía Operativa</v>
      </c>
      <c r="F537" s="10" t="str">
        <f ca="1">IFERROR(__xludf.DUMMYFUNCTION("""COMPUTED_VALUE"""),"MUNICIPALIDAD DE QUINTA NORMAL")</f>
        <v>MUNICIPALIDAD DE QUINTA NORMAL</v>
      </c>
      <c r="G537" s="71">
        <f ca="1">IFERROR(__xludf.DUMMYFUNCTION("""COMPUTED_VALUE"""),151516360)</f>
        <v>151516360</v>
      </c>
      <c r="H537" s="10" t="str">
        <f ca="1">IFERROR(__xludf.DUMMYFUNCTION("""COMPUTED_VALUE"""),"Resolución")</f>
        <v>Resolución</v>
      </c>
      <c r="I537" s="10" t="str">
        <f ca="1">IFERROR(__xludf.DUMMYFUNCTION("""COMPUTED_VALUE"""),"OBRA")</f>
        <v>OBRA</v>
      </c>
      <c r="J537" s="10" t="str">
        <f ca="1">IFERROR(__xludf.DUMMYFUNCTION("""COMPUTED_VALUE"""),"Cumplir con normativa y reglamentos internos del programa en base a los objetivos.")</f>
        <v>Cumplir con normativa y reglamentos internos del programa en base a los objetivos.</v>
      </c>
      <c r="K537" s="71">
        <f ca="1">IFERROR(__xludf.DUMMYFUNCTION("""COMPUTED_VALUE"""),151516360)</f>
        <v>151516360</v>
      </c>
      <c r="L537" s="72">
        <f ca="1">IFERROR(__xludf.DUMMYFUNCTION("""COMPUTED_VALUE"""),1)</f>
        <v>1</v>
      </c>
      <c r="M537" s="10">
        <f ca="1">IFERROR(__xludf.DUMMYFUNCTION("""COMPUTED_VALUE"""),7619)</f>
        <v>7619</v>
      </c>
      <c r="N537" s="10" t="str">
        <f ca="1">IFERROR(__xludf.DUMMYFUNCTION("""COMPUTED_VALUE"""),"PMU")</f>
        <v>PMU</v>
      </c>
      <c r="O537" s="1"/>
      <c r="P537" s="1"/>
      <c r="Q537" s="1"/>
      <c r="R537" s="1"/>
      <c r="S537" s="1"/>
      <c r="T537" s="1"/>
      <c r="U537" s="1"/>
      <c r="V537" s="1"/>
      <c r="W537" s="1"/>
      <c r="X537" s="1"/>
      <c r="Y537" s="1"/>
      <c r="Z537" s="1"/>
    </row>
    <row r="538" spans="1:26" ht="12.75" customHeight="1">
      <c r="A538" s="1"/>
      <c r="B538" s="10" t="str">
        <f ca="1">IFERROR(__xludf.DUMMYFUNCTION("""COMPUTED_VALUE"""),"REPOSICIÓN MULTICANCHA VILLA JUAN FRANCISCO GONZALEZ, COMUNA DE QUILICURA.")</f>
        <v>REPOSICIÓN MULTICANCHA VILLA JUAN FRANCISCO GONZALEZ, COMUNA DE QUILICURA.</v>
      </c>
      <c r="C538" s="10" t="str">
        <f ca="1">IFERROR(__xludf.DUMMYFUNCTION("""COMPUTED_VALUE"""),"1-B-2024-94")</f>
        <v>1-B-2024-94</v>
      </c>
      <c r="D538" s="26" t="str">
        <f t="shared" ca="1" si="0"/>
        <v xml:space="preserve"> QUILICURA</v>
      </c>
      <c r="E538" s="10" t="str">
        <f ca="1">IFERROR(__xludf.DUMMYFUNCTION("""COMPUTED_VALUE"""),"Guía Operativa")</f>
        <v>Guía Operativa</v>
      </c>
      <c r="F538" s="10" t="str">
        <f ca="1">IFERROR(__xludf.DUMMYFUNCTION("""COMPUTED_VALUE"""),"MUNICIPALIDAD DE QUILICURA")</f>
        <v>MUNICIPALIDAD DE QUILICURA</v>
      </c>
      <c r="G538" s="71">
        <f ca="1">IFERROR(__xludf.DUMMYFUNCTION("""COMPUTED_VALUE"""),161664999)</f>
        <v>161664999</v>
      </c>
      <c r="H538" s="10" t="str">
        <f ca="1">IFERROR(__xludf.DUMMYFUNCTION("""COMPUTED_VALUE"""),"Resolución")</f>
        <v>Resolución</v>
      </c>
      <c r="I538" s="10" t="str">
        <f ca="1">IFERROR(__xludf.DUMMYFUNCTION("""COMPUTED_VALUE"""),"OBRA")</f>
        <v>OBRA</v>
      </c>
      <c r="J538" s="10" t="str">
        <f ca="1">IFERROR(__xludf.DUMMYFUNCTION("""COMPUTED_VALUE"""),"Cumplir con normativa y reglamentos internos del programa en base a los objetivos.")</f>
        <v>Cumplir con normativa y reglamentos internos del programa en base a los objetivos.</v>
      </c>
      <c r="K538" s="71">
        <f ca="1">IFERROR(__xludf.DUMMYFUNCTION("""COMPUTED_VALUE"""),161664999)</f>
        <v>161664999</v>
      </c>
      <c r="L538" s="72">
        <f ca="1">IFERROR(__xludf.DUMMYFUNCTION("""COMPUTED_VALUE"""),1)</f>
        <v>1</v>
      </c>
      <c r="M538" s="10">
        <f ca="1">IFERROR(__xludf.DUMMYFUNCTION("""COMPUTED_VALUE"""),7484)</f>
        <v>7484</v>
      </c>
      <c r="N538" s="10" t="str">
        <f ca="1">IFERROR(__xludf.DUMMYFUNCTION("""COMPUTED_VALUE"""),"PMU")</f>
        <v>PMU</v>
      </c>
      <c r="O538" s="1"/>
      <c r="P538" s="1"/>
      <c r="Q538" s="1"/>
      <c r="R538" s="1"/>
      <c r="S538" s="1"/>
      <c r="T538" s="1"/>
      <c r="U538" s="1"/>
      <c r="V538" s="1"/>
      <c r="W538" s="1"/>
      <c r="X538" s="1"/>
      <c r="Y538" s="1"/>
      <c r="Z538" s="1"/>
    </row>
    <row r="539" spans="1:26" ht="12.75" customHeight="1">
      <c r="A539" s="1"/>
      <c r="B539" s="10" t="str">
        <f ca="1">IFERROR(__xludf.DUMMYFUNCTION("""COMPUTED_VALUE"""),"CONSTRUCCIÓN CICLORECREOVIA EDUCATIVA, BARRIO CLOTARIO BLEST, MAIPÚ")</f>
        <v>CONSTRUCCIÓN CICLORECREOVIA EDUCATIVA, BARRIO CLOTARIO BLEST, MAIPÚ</v>
      </c>
      <c r="C539" s="10" t="str">
        <f ca="1">IFERROR(__xludf.DUMMYFUNCTION("""COMPUTED_VALUE"""),"1-B-2024-190")</f>
        <v>1-B-2024-190</v>
      </c>
      <c r="D539" s="26" t="str">
        <f t="shared" ca="1" si="0"/>
        <v xml:space="preserve"> MAIPÚ</v>
      </c>
      <c r="E539" s="10" t="str">
        <f ca="1">IFERROR(__xludf.DUMMYFUNCTION("""COMPUTED_VALUE"""),"Guía Operativa")</f>
        <v>Guía Operativa</v>
      </c>
      <c r="F539" s="10" t="str">
        <f ca="1">IFERROR(__xludf.DUMMYFUNCTION("""COMPUTED_VALUE"""),"MUNICIPALIDAD DE MAIPÚ")</f>
        <v>MUNICIPALIDAD DE MAIPÚ</v>
      </c>
      <c r="G539" s="71">
        <f ca="1">IFERROR(__xludf.DUMMYFUNCTION("""COMPUTED_VALUE"""),123311946)</f>
        <v>123311946</v>
      </c>
      <c r="H539" s="10" t="str">
        <f ca="1">IFERROR(__xludf.DUMMYFUNCTION("""COMPUTED_VALUE"""),"Resolución")</f>
        <v>Resolución</v>
      </c>
      <c r="I539" s="10" t="str">
        <f ca="1">IFERROR(__xludf.DUMMYFUNCTION("""COMPUTED_VALUE"""),"OBRA")</f>
        <v>OBRA</v>
      </c>
      <c r="J539" s="10" t="str">
        <f ca="1">IFERROR(__xludf.DUMMYFUNCTION("""COMPUTED_VALUE"""),"Cumplir con normativa y reglamentos internos del programa en base a los objetivos.")</f>
        <v>Cumplir con normativa y reglamentos internos del programa en base a los objetivos.</v>
      </c>
      <c r="K539" s="71">
        <f ca="1">IFERROR(__xludf.DUMMYFUNCTION("""COMPUTED_VALUE"""),123311946)</f>
        <v>123311946</v>
      </c>
      <c r="L539" s="72">
        <f ca="1">IFERROR(__xludf.DUMMYFUNCTION("""COMPUTED_VALUE"""),1)</f>
        <v>1</v>
      </c>
      <c r="M539" s="10">
        <f ca="1">IFERROR(__xludf.DUMMYFUNCTION("""COMPUTED_VALUE"""),7667)</f>
        <v>7667</v>
      </c>
      <c r="N539" s="10" t="str">
        <f ca="1">IFERROR(__xludf.DUMMYFUNCTION("""COMPUTED_VALUE"""),"PMU")</f>
        <v>PMU</v>
      </c>
      <c r="O539" s="1"/>
      <c r="P539" s="1"/>
      <c r="Q539" s="1"/>
      <c r="R539" s="1"/>
      <c r="S539" s="1"/>
      <c r="T539" s="1"/>
      <c r="U539" s="1"/>
      <c r="V539" s="1"/>
      <c r="W539" s="1"/>
      <c r="X539" s="1"/>
      <c r="Y539" s="1"/>
      <c r="Z539" s="1"/>
    </row>
    <row r="540" spans="1:26" ht="12.75" customHeight="1">
      <c r="A540" s="1"/>
      <c r="B540" s="10" t="str">
        <f ca="1">IFERROR(__xludf.DUMMYFUNCTION("""COMPUTED_VALUE"""),"[CSV] REPOSICION MULTICANCHA Y AREA VERDE ALBERTO BLEST GANA, VALDIVIA")</f>
        <v>[CSV] REPOSICION MULTICANCHA Y AREA VERDE ALBERTO BLEST GANA, VALDIVIA</v>
      </c>
      <c r="C540" s="10" t="str">
        <f ca="1">IFERROR(__xludf.DUMMYFUNCTION("""COMPUTED_VALUE"""),"1-C-2024-333")</f>
        <v>1-C-2024-333</v>
      </c>
      <c r="D540" s="26" t="str">
        <f t="shared" ca="1" si="0"/>
        <v xml:space="preserve"> VALDIVIA</v>
      </c>
      <c r="E540" s="10" t="str">
        <f ca="1">IFERROR(__xludf.DUMMYFUNCTION("""COMPUTED_VALUE"""),"Guía Operativa")</f>
        <v>Guía Operativa</v>
      </c>
      <c r="F540" s="10" t="str">
        <f ca="1">IFERROR(__xludf.DUMMYFUNCTION("""COMPUTED_VALUE"""),"MUNICIPALIDAD DE VALDIVIA")</f>
        <v>MUNICIPALIDAD DE VALDIVIA</v>
      </c>
      <c r="G540" s="71">
        <f ca="1">IFERROR(__xludf.DUMMYFUNCTION("""COMPUTED_VALUE"""),93142653)</f>
        <v>93142653</v>
      </c>
      <c r="H540" s="10" t="str">
        <f ca="1">IFERROR(__xludf.DUMMYFUNCTION("""COMPUTED_VALUE"""),"Resolución")</f>
        <v>Resolución</v>
      </c>
      <c r="I540" s="10" t="str">
        <f ca="1">IFERROR(__xludf.DUMMYFUNCTION("""COMPUTED_VALUE"""),"OBRA")</f>
        <v>OBRA</v>
      </c>
      <c r="J540" s="10" t="str">
        <f ca="1">IFERROR(__xludf.DUMMYFUNCTION("""COMPUTED_VALUE"""),"Cumplir con normativa y reglamentos internos del programa en base a los objetivos.")</f>
        <v>Cumplir con normativa y reglamentos internos del programa en base a los objetivos.</v>
      </c>
      <c r="K540" s="71">
        <f ca="1">IFERROR(__xludf.DUMMYFUNCTION("""COMPUTED_VALUE"""),93142653)</f>
        <v>93142653</v>
      </c>
      <c r="L540" s="72">
        <f ca="1">IFERROR(__xludf.DUMMYFUNCTION("""COMPUTED_VALUE"""),1)</f>
        <v>1</v>
      </c>
      <c r="M540" s="10">
        <f ca="1">IFERROR(__xludf.DUMMYFUNCTION("""COMPUTED_VALUE"""),7471)</f>
        <v>7471</v>
      </c>
      <c r="N540" s="10" t="str">
        <f ca="1">IFERROR(__xludf.DUMMYFUNCTION("""COMPUTED_VALUE"""),"PMU")</f>
        <v>PMU</v>
      </c>
      <c r="O540" s="1"/>
      <c r="P540" s="1"/>
      <c r="Q540" s="1"/>
      <c r="R540" s="1"/>
      <c r="S540" s="1"/>
      <c r="T540" s="1"/>
      <c r="U540" s="1"/>
      <c r="V540" s="1"/>
      <c r="W540" s="1"/>
      <c r="X540" s="1"/>
      <c r="Y540" s="1"/>
      <c r="Z540" s="1"/>
    </row>
    <row r="541" spans="1:26" ht="12.75" customHeight="1">
      <c r="A541" s="1"/>
      <c r="B541" s="10" t="str">
        <f ca="1">IFERROR(__xludf.DUMMYFUNCTION("""COMPUTED_VALUE"""),"CONSTRUCCIÓN CIERRE PERIMETRAL SEDE SOCIAL LOS AROMOS Y TERRENOS MUNICIPALES SECTOR HOSPITAL")</f>
        <v>CONSTRUCCIÓN CIERRE PERIMETRAL SEDE SOCIAL LOS AROMOS Y TERRENOS MUNICIPALES SECTOR HOSPITAL</v>
      </c>
      <c r="C541" s="10" t="str">
        <f ca="1">IFERROR(__xludf.DUMMYFUNCTION("""COMPUTED_VALUE"""),"1-B-2024-165")</f>
        <v>1-B-2024-165</v>
      </c>
      <c r="D541" s="26" t="str">
        <f t="shared" ca="1" si="0"/>
        <v xml:space="preserve"> LOS LAGOS</v>
      </c>
      <c r="E541" s="10" t="str">
        <f ca="1">IFERROR(__xludf.DUMMYFUNCTION("""COMPUTED_VALUE"""),"Guía Operativa")</f>
        <v>Guía Operativa</v>
      </c>
      <c r="F541" s="10" t="str">
        <f ca="1">IFERROR(__xludf.DUMMYFUNCTION("""COMPUTED_VALUE"""),"MUNICIPALIDAD DE LOS LAGOS")</f>
        <v>MUNICIPALIDAD DE LOS LAGOS</v>
      </c>
      <c r="G541" s="71">
        <f ca="1">IFERROR(__xludf.DUMMYFUNCTION("""COMPUTED_VALUE"""),101415013)</f>
        <v>101415013</v>
      </c>
      <c r="H541" s="10" t="str">
        <f ca="1">IFERROR(__xludf.DUMMYFUNCTION("""COMPUTED_VALUE"""),"Resolución")</f>
        <v>Resolución</v>
      </c>
      <c r="I541" s="10" t="str">
        <f ca="1">IFERROR(__xludf.DUMMYFUNCTION("""COMPUTED_VALUE"""),"OBRA")</f>
        <v>OBRA</v>
      </c>
      <c r="J541" s="10" t="str">
        <f ca="1">IFERROR(__xludf.DUMMYFUNCTION("""COMPUTED_VALUE"""),"Cumplir con normativa y reglamentos internos del programa en base a los objetivos.")</f>
        <v>Cumplir con normativa y reglamentos internos del programa en base a los objetivos.</v>
      </c>
      <c r="K541" s="71">
        <f ca="1">IFERROR(__xludf.DUMMYFUNCTION("""COMPUTED_VALUE"""),101415013)</f>
        <v>101415013</v>
      </c>
      <c r="L541" s="72">
        <f ca="1">IFERROR(__xludf.DUMMYFUNCTION("""COMPUTED_VALUE"""),1)</f>
        <v>1</v>
      </c>
      <c r="M541" s="10">
        <f ca="1">IFERROR(__xludf.DUMMYFUNCTION("""COMPUTED_VALUE"""),7722)</f>
        <v>7722</v>
      </c>
      <c r="N541" s="10" t="str">
        <f ca="1">IFERROR(__xludf.DUMMYFUNCTION("""COMPUTED_VALUE"""),"PMU")</f>
        <v>PMU</v>
      </c>
      <c r="O541" s="1"/>
      <c r="P541" s="1"/>
      <c r="Q541" s="1"/>
      <c r="R541" s="1"/>
      <c r="S541" s="1"/>
      <c r="T541" s="1"/>
      <c r="U541" s="1"/>
      <c r="V541" s="1"/>
      <c r="W541" s="1"/>
      <c r="X541" s="1"/>
      <c r="Y541" s="1"/>
      <c r="Z541" s="1"/>
    </row>
    <row r="542" spans="1:26" ht="12.75" customHeight="1">
      <c r="A542" s="1"/>
      <c r="B542" s="10" t="str">
        <f ca="1">IFERROR(__xludf.DUMMYFUNCTION("""COMPUTED_VALUE"""),"CONSTRUCCIÓN ÁREA DE CIRCULACIÓN TECHADA Y MEJORAMIENTO LICEO TOMÁS LAGO, CHILLÁN VIEJO")</f>
        <v>CONSTRUCCIÓN ÁREA DE CIRCULACIÓN TECHADA Y MEJORAMIENTO LICEO TOMÁS LAGO, CHILLÁN VIEJO</v>
      </c>
      <c r="C542" s="10" t="str">
        <f ca="1">IFERROR(__xludf.DUMMYFUNCTION("""COMPUTED_VALUE"""),"1-C-2023-2999")</f>
        <v>1-C-2023-2999</v>
      </c>
      <c r="D542" s="26" t="str">
        <f t="shared" ca="1" si="0"/>
        <v xml:space="preserve"> CHILLÁN VIEJO</v>
      </c>
      <c r="E542" s="10" t="str">
        <f ca="1">IFERROR(__xludf.DUMMYFUNCTION("""COMPUTED_VALUE"""),"Guía Operativa")</f>
        <v>Guía Operativa</v>
      </c>
      <c r="F542" s="10" t="str">
        <f ca="1">IFERROR(__xludf.DUMMYFUNCTION("""COMPUTED_VALUE"""),"MUNICIPALIDAD DE CHILLÁN VIEJO")</f>
        <v>MUNICIPALIDAD DE CHILLÁN VIEJO</v>
      </c>
      <c r="G542" s="71">
        <f ca="1">IFERROR(__xludf.DUMMYFUNCTION("""COMPUTED_VALUE"""),102457520)</f>
        <v>102457520</v>
      </c>
      <c r="H542" s="10" t="str">
        <f ca="1">IFERROR(__xludf.DUMMYFUNCTION("""COMPUTED_VALUE"""),"Resolución")</f>
        <v>Resolución</v>
      </c>
      <c r="I542" s="10" t="str">
        <f ca="1">IFERROR(__xludf.DUMMYFUNCTION("""COMPUTED_VALUE"""),"OBRA")</f>
        <v>OBRA</v>
      </c>
      <c r="J542" s="10" t="str">
        <f ca="1">IFERROR(__xludf.DUMMYFUNCTION("""COMPUTED_VALUE"""),"Cumplir con normativa y reglamentos internos del programa en base a los objetivos.")</f>
        <v>Cumplir con normativa y reglamentos internos del programa en base a los objetivos.</v>
      </c>
      <c r="K542" s="71">
        <f ca="1">IFERROR(__xludf.DUMMYFUNCTION("""COMPUTED_VALUE"""),102457520)</f>
        <v>102457520</v>
      </c>
      <c r="L542" s="72">
        <f ca="1">IFERROR(__xludf.DUMMYFUNCTION("""COMPUTED_VALUE"""),1)</f>
        <v>1</v>
      </c>
      <c r="M542" s="10">
        <f ca="1">IFERROR(__xludf.DUMMYFUNCTION("""COMPUTED_VALUE"""),7724)</f>
        <v>7724</v>
      </c>
      <c r="N542" s="10" t="str">
        <f ca="1">IFERROR(__xludf.DUMMYFUNCTION("""COMPUTED_VALUE"""),"PMU")</f>
        <v>PMU</v>
      </c>
      <c r="O542" s="1"/>
      <c r="P542" s="1"/>
      <c r="Q542" s="1"/>
      <c r="R542" s="1"/>
      <c r="S542" s="1"/>
      <c r="T542" s="1"/>
      <c r="U542" s="1"/>
      <c r="V542" s="1"/>
      <c r="W542" s="1"/>
      <c r="X542" s="1"/>
      <c r="Y542" s="1"/>
      <c r="Z542" s="1"/>
    </row>
    <row r="543" spans="1:26" ht="12.75" customHeight="1">
      <c r="A543" s="1"/>
      <c r="B543" s="10" t="str">
        <f ca="1">IFERROR(__xludf.DUMMYFUNCTION("""COMPUTED_VALUE"""),"CONSTRUCCION POZO PROFUNDO SECTOR LOS MAQUIS, COMUNA DE COBQUECURA")</f>
        <v>CONSTRUCCION POZO PROFUNDO SECTOR LOS MAQUIS, COMUNA DE COBQUECURA</v>
      </c>
      <c r="C543" s="10" t="str">
        <f ca="1">IFERROR(__xludf.DUMMYFUNCTION("""COMPUTED_VALUE"""),"1-C-2023-3375")</f>
        <v>1-C-2023-3375</v>
      </c>
      <c r="D543" s="26" t="str">
        <f t="shared" ca="1" si="0"/>
        <v xml:space="preserve"> COBQUECURA</v>
      </c>
      <c r="E543" s="10" t="str">
        <f ca="1">IFERROR(__xludf.DUMMYFUNCTION("""COMPUTED_VALUE"""),"Guía Operativa")</f>
        <v>Guía Operativa</v>
      </c>
      <c r="F543" s="10" t="str">
        <f ca="1">IFERROR(__xludf.DUMMYFUNCTION("""COMPUTED_VALUE"""),"MUNICIPALIDAD DE COBQUECURA")</f>
        <v>MUNICIPALIDAD DE COBQUECURA</v>
      </c>
      <c r="G543" s="71">
        <f ca="1">IFERROR(__xludf.DUMMYFUNCTION("""COMPUTED_VALUE"""),135787231)</f>
        <v>135787231</v>
      </c>
      <c r="H543" s="10" t="str">
        <f ca="1">IFERROR(__xludf.DUMMYFUNCTION("""COMPUTED_VALUE"""),"Resolución")</f>
        <v>Resolución</v>
      </c>
      <c r="I543" s="10" t="str">
        <f ca="1">IFERROR(__xludf.DUMMYFUNCTION("""COMPUTED_VALUE"""),"OBRA")</f>
        <v>OBRA</v>
      </c>
      <c r="J543" s="10" t="str">
        <f ca="1">IFERROR(__xludf.DUMMYFUNCTION("""COMPUTED_VALUE"""),"Cumplir con normativa y reglamentos internos del programa en base a los objetivos.")</f>
        <v>Cumplir con normativa y reglamentos internos del programa en base a los objetivos.</v>
      </c>
      <c r="K543" s="71">
        <f ca="1">IFERROR(__xludf.DUMMYFUNCTION("""COMPUTED_VALUE"""),135787231)</f>
        <v>135787231</v>
      </c>
      <c r="L543" s="72">
        <f ca="1">IFERROR(__xludf.DUMMYFUNCTION("""COMPUTED_VALUE"""),1)</f>
        <v>1</v>
      </c>
      <c r="M543" s="10">
        <f ca="1">IFERROR(__xludf.DUMMYFUNCTION("""COMPUTED_VALUE"""),7464)</f>
        <v>7464</v>
      </c>
      <c r="N543" s="10" t="str">
        <f ca="1">IFERROR(__xludf.DUMMYFUNCTION("""COMPUTED_VALUE"""),"PMU")</f>
        <v>PMU</v>
      </c>
      <c r="O543" s="1"/>
      <c r="P543" s="1"/>
      <c r="Q543" s="1"/>
      <c r="R543" s="1"/>
      <c r="S543" s="1"/>
      <c r="T543" s="1"/>
      <c r="U543" s="1"/>
      <c r="V543" s="1"/>
      <c r="W543" s="1"/>
      <c r="X543" s="1"/>
      <c r="Y543" s="1"/>
      <c r="Z543" s="1"/>
    </row>
    <row r="544" spans="1:26" ht="12.75" customHeight="1">
      <c r="A544" s="1"/>
      <c r="B544" s="10" t="str">
        <f ca="1">IFERROR(__xludf.DUMMYFUNCTION("""COMPUTED_VALUE"""),"HABILITACIÓN OFICINAS MODULARES , MUNICIPALIDAD DE COLTAUCO")</f>
        <v>HABILITACIÓN OFICINAS MODULARES , MUNICIPALIDAD DE COLTAUCO</v>
      </c>
      <c r="C544" s="10" t="str">
        <f ca="1">IFERROR(__xludf.DUMMYFUNCTION("""COMPUTED_VALUE"""),"1-C-2021-1704")</f>
        <v>1-C-2021-1704</v>
      </c>
      <c r="D544" s="26" t="str">
        <f t="shared" ca="1" si="0"/>
        <v xml:space="preserve"> COLTAUCO</v>
      </c>
      <c r="E544" s="10" t="str">
        <f ca="1">IFERROR(__xludf.DUMMYFUNCTION("""COMPUTED_VALUE"""),"Guía Operativa")</f>
        <v>Guía Operativa</v>
      </c>
      <c r="F544" s="10" t="str">
        <f ca="1">IFERROR(__xludf.DUMMYFUNCTION("""COMPUTED_VALUE"""),"MUNICIPALIDAD DE COLTAUCO")</f>
        <v>MUNICIPALIDAD DE COLTAUCO</v>
      </c>
      <c r="G544" s="71">
        <f ca="1">IFERROR(__xludf.DUMMYFUNCTION("""COMPUTED_VALUE"""),89809129)</f>
        <v>89809129</v>
      </c>
      <c r="H544" s="10" t="str">
        <f ca="1">IFERROR(__xludf.DUMMYFUNCTION("""COMPUTED_VALUE"""),"Resolución")</f>
        <v>Resolución</v>
      </c>
      <c r="I544" s="10" t="str">
        <f ca="1">IFERROR(__xludf.DUMMYFUNCTION("""COMPUTED_VALUE"""),"OBRA")</f>
        <v>OBRA</v>
      </c>
      <c r="J544" s="10" t="str">
        <f ca="1">IFERROR(__xludf.DUMMYFUNCTION("""COMPUTED_VALUE"""),"Cumplir con normativa y reglamentos internos del programa en base a los objetivos.")</f>
        <v>Cumplir con normativa y reglamentos internos del programa en base a los objetivos.</v>
      </c>
      <c r="K544" s="71">
        <f ca="1">IFERROR(__xludf.DUMMYFUNCTION("""COMPUTED_VALUE"""),13167768)</f>
        <v>13167768</v>
      </c>
      <c r="L544" s="72">
        <f ca="1">IFERROR(__xludf.DUMMYFUNCTION("""COMPUTED_VALUE"""),0.981721735660079)</f>
        <v>0.98172173566007903</v>
      </c>
      <c r="M544" s="10">
        <f ca="1">IFERROR(__xludf.DUMMYFUNCTION("""COMPUTED_VALUE"""),2107)</f>
        <v>2107</v>
      </c>
      <c r="N544" s="10" t="str">
        <f ca="1">IFERROR(__xludf.DUMMYFUNCTION("""COMPUTED_VALUE"""),"PMU")</f>
        <v>PMU</v>
      </c>
      <c r="O544" s="1"/>
      <c r="P544" s="1"/>
      <c r="Q544" s="1"/>
      <c r="R544" s="1"/>
      <c r="S544" s="1"/>
      <c r="T544" s="1"/>
      <c r="U544" s="1"/>
      <c r="V544" s="1"/>
      <c r="W544" s="1"/>
      <c r="X544" s="1"/>
      <c r="Y544" s="1"/>
      <c r="Z544" s="1"/>
    </row>
    <row r="545" spans="1:26" ht="12.75" customHeight="1">
      <c r="A545" s="1"/>
      <c r="B545" s="10" t="str">
        <f ca="1">IFERROR(__xludf.DUMMYFUNCTION("""COMPUTED_VALUE"""),"SPI CONSTRUCCIÓN SALA DE PROCESOS COMUNA DE COLTAUCO")</f>
        <v>SPI CONSTRUCCIÓN SALA DE PROCESOS COMUNA DE COLTAUCO</v>
      </c>
      <c r="C545" s="10" t="str">
        <f ca="1">IFERROR(__xludf.DUMMYFUNCTION("""COMPUTED_VALUE"""),"1-C-2021-1978")</f>
        <v>1-C-2021-1978</v>
      </c>
      <c r="D545" s="26" t="str">
        <f t="shared" ca="1" si="0"/>
        <v xml:space="preserve"> COLTAUCO</v>
      </c>
      <c r="E545" s="10" t="str">
        <f ca="1">IFERROR(__xludf.DUMMYFUNCTION("""COMPUTED_VALUE"""),"Guía Operativa")</f>
        <v>Guía Operativa</v>
      </c>
      <c r="F545" s="10" t="str">
        <f ca="1">IFERROR(__xludf.DUMMYFUNCTION("""COMPUTED_VALUE"""),"MUNICIPALIDAD DE COLTAUCO")</f>
        <v>MUNICIPALIDAD DE COLTAUCO</v>
      </c>
      <c r="G545" s="71">
        <f ca="1">IFERROR(__xludf.DUMMYFUNCTION("""COMPUTED_VALUE"""),106196741)</f>
        <v>106196741</v>
      </c>
      <c r="H545" s="10" t="str">
        <f ca="1">IFERROR(__xludf.DUMMYFUNCTION("""COMPUTED_VALUE"""),"Resolución")</f>
        <v>Resolución</v>
      </c>
      <c r="I545" s="10" t="str">
        <f ca="1">IFERROR(__xludf.DUMMYFUNCTION("""COMPUTED_VALUE"""),"OBRA")</f>
        <v>OBRA</v>
      </c>
      <c r="J545" s="10" t="str">
        <f ca="1">IFERROR(__xludf.DUMMYFUNCTION("""COMPUTED_VALUE"""),"Cumplir con normativa y reglamentos internos del programa en base a los objetivos.")</f>
        <v>Cumplir con normativa y reglamentos internos del programa en base a los objetivos.</v>
      </c>
      <c r="K545" s="71">
        <f ca="1">IFERROR(__xludf.DUMMYFUNCTION("""COMPUTED_VALUE"""),31155846)</f>
        <v>31155846</v>
      </c>
      <c r="L545" s="72">
        <f ca="1">IFERROR(__xludf.DUMMYFUNCTION("""COMPUTED_VALUE"""),0.999614357280512)</f>
        <v>0.99961435728051196</v>
      </c>
      <c r="M545" s="10">
        <f ca="1">IFERROR(__xludf.DUMMYFUNCTION("""COMPUTED_VALUE"""),819)</f>
        <v>819</v>
      </c>
      <c r="N545" s="10" t="str">
        <f ca="1">IFERROR(__xludf.DUMMYFUNCTION("""COMPUTED_VALUE"""),"PMU")</f>
        <v>PMU</v>
      </c>
      <c r="O545" s="1"/>
      <c r="P545" s="1"/>
      <c r="Q545" s="1"/>
      <c r="R545" s="1"/>
      <c r="S545" s="1"/>
      <c r="T545" s="1"/>
      <c r="U545" s="1"/>
      <c r="V545" s="1"/>
      <c r="W545" s="1"/>
      <c r="X545" s="1"/>
      <c r="Y545" s="1"/>
      <c r="Z545" s="1"/>
    </row>
    <row r="546" spans="1:26" ht="12.75" customHeight="1">
      <c r="A546" s="1"/>
      <c r="B546" s="10" t="str">
        <f ca="1">IFERROR(__xludf.DUMMYFUNCTION("""COMPUTED_VALUE"""),"MEJORAMIENTO MULTICANCHA J.V. VILLA VISTA AL MAR, COMUNA DE ALTO HOSPICIO")</f>
        <v>MEJORAMIENTO MULTICANCHA J.V. VILLA VISTA AL MAR, COMUNA DE ALTO HOSPICIO</v>
      </c>
      <c r="C546" s="10" t="str">
        <f ca="1">IFERROR(__xludf.DUMMYFUNCTION("""COMPUTED_VALUE"""),"1-C-2023-2753")</f>
        <v>1-C-2023-2753</v>
      </c>
      <c r="D546" s="26" t="str">
        <f t="shared" ca="1" si="0"/>
        <v xml:space="preserve"> ALTO HOSPICIO</v>
      </c>
      <c r="E546" s="10" t="str">
        <f ca="1">IFERROR(__xludf.DUMMYFUNCTION("""COMPUTED_VALUE"""),"Guía Operativa")</f>
        <v>Guía Operativa</v>
      </c>
      <c r="F546" s="10" t="str">
        <f ca="1">IFERROR(__xludf.DUMMYFUNCTION("""COMPUTED_VALUE"""),"MUNICIPALIDAD DE ALTO HOSPICIO")</f>
        <v>MUNICIPALIDAD DE ALTO HOSPICIO</v>
      </c>
      <c r="G546" s="71">
        <f ca="1">IFERROR(__xludf.DUMMYFUNCTION("""COMPUTED_VALUE"""),154221314)</f>
        <v>154221314</v>
      </c>
      <c r="H546" s="10" t="str">
        <f ca="1">IFERROR(__xludf.DUMMYFUNCTION("""COMPUTED_VALUE"""),"Resolución")</f>
        <v>Resolución</v>
      </c>
      <c r="I546" s="10" t="str">
        <f ca="1">IFERROR(__xludf.DUMMYFUNCTION("""COMPUTED_VALUE"""),"OBRA")</f>
        <v>OBRA</v>
      </c>
      <c r="J546" s="10" t="str">
        <f ca="1">IFERROR(__xludf.DUMMYFUNCTION("""COMPUTED_VALUE"""),"Cumplir con normativa y reglamentos internos del programa en base a los objetivos.")</f>
        <v>Cumplir con normativa y reglamentos internos del programa en base a los objetivos.</v>
      </c>
      <c r="K546" s="71">
        <f ca="1">IFERROR(__xludf.DUMMYFUNCTION("""COMPUTED_VALUE"""),154221314)</f>
        <v>154221314</v>
      </c>
      <c r="L546" s="72">
        <f ca="1">IFERROR(__xludf.DUMMYFUNCTION("""COMPUTED_VALUE"""),1)</f>
        <v>1</v>
      </c>
      <c r="M546" s="10">
        <f ca="1">IFERROR(__xludf.DUMMYFUNCTION("""COMPUTED_VALUE"""),8316)</f>
        <v>8316</v>
      </c>
      <c r="N546" s="10" t="str">
        <f ca="1">IFERROR(__xludf.DUMMYFUNCTION("""COMPUTED_VALUE"""),"PMU")</f>
        <v>PMU</v>
      </c>
      <c r="O546" s="1"/>
      <c r="P546" s="1"/>
      <c r="Q546" s="1"/>
      <c r="R546" s="1"/>
      <c r="S546" s="1"/>
      <c r="T546" s="1"/>
      <c r="U546" s="1"/>
      <c r="V546" s="1"/>
      <c r="W546" s="1"/>
      <c r="X546" s="1"/>
      <c r="Y546" s="1"/>
      <c r="Z546" s="1"/>
    </row>
    <row r="547" spans="1:26" ht="12.75" customHeight="1">
      <c r="A547" s="1"/>
      <c r="B547" s="10" t="str">
        <f ca="1">IFERROR(__xludf.DUMMYFUNCTION("""COMPUTED_VALUE"""),"CONSERVACION DE ACERA NORTE CALLE RANCAGUA")</f>
        <v>CONSERVACION DE ACERA NORTE CALLE RANCAGUA</v>
      </c>
      <c r="C547" s="10" t="str">
        <f ca="1">IFERROR(__xludf.DUMMYFUNCTION("""COMPUTED_VALUE"""),"1-B-2024-114")</f>
        <v>1-B-2024-114</v>
      </c>
      <c r="D547" s="26" t="str">
        <f t="shared" ca="1" si="0"/>
        <v xml:space="preserve"> TOCOPILLA</v>
      </c>
      <c r="E547" s="10" t="str">
        <f ca="1">IFERROR(__xludf.DUMMYFUNCTION("""COMPUTED_VALUE"""),"Guía Operativa")</f>
        <v>Guía Operativa</v>
      </c>
      <c r="F547" s="10" t="str">
        <f ca="1">IFERROR(__xludf.DUMMYFUNCTION("""COMPUTED_VALUE"""),"MUNICIPALIDAD DE TOCOPILLA")</f>
        <v>MUNICIPALIDAD DE TOCOPILLA</v>
      </c>
      <c r="G547" s="71">
        <f ca="1">IFERROR(__xludf.DUMMYFUNCTION("""COMPUTED_VALUE"""),75128145)</f>
        <v>75128145</v>
      </c>
      <c r="H547" s="10" t="str">
        <f ca="1">IFERROR(__xludf.DUMMYFUNCTION("""COMPUTED_VALUE"""),"Resolución")</f>
        <v>Resolución</v>
      </c>
      <c r="I547" s="10" t="str">
        <f ca="1">IFERROR(__xludf.DUMMYFUNCTION("""COMPUTED_VALUE"""),"OBRA")</f>
        <v>OBRA</v>
      </c>
      <c r="J547" s="10" t="str">
        <f ca="1">IFERROR(__xludf.DUMMYFUNCTION("""COMPUTED_VALUE"""),"Cumplir con normativa y reglamentos internos del programa en base a los objetivos.")</f>
        <v>Cumplir con normativa y reglamentos internos del programa en base a los objetivos.</v>
      </c>
      <c r="K547" s="71">
        <f ca="1">IFERROR(__xludf.DUMMYFUNCTION("""COMPUTED_VALUE"""),75128145)</f>
        <v>75128145</v>
      </c>
      <c r="L547" s="72">
        <f ca="1">IFERROR(__xludf.DUMMYFUNCTION("""COMPUTED_VALUE"""),1)</f>
        <v>1</v>
      </c>
      <c r="M547" s="10">
        <f ca="1">IFERROR(__xludf.DUMMYFUNCTION("""COMPUTED_VALUE"""),7403)</f>
        <v>7403</v>
      </c>
      <c r="N547" s="10" t="str">
        <f ca="1">IFERROR(__xludf.DUMMYFUNCTION("""COMPUTED_VALUE"""),"PMU")</f>
        <v>PMU</v>
      </c>
      <c r="O547" s="1"/>
      <c r="P547" s="1"/>
      <c r="Q547" s="1"/>
      <c r="R547" s="1"/>
      <c r="S547" s="1"/>
      <c r="T547" s="1"/>
      <c r="U547" s="1"/>
      <c r="V547" s="1"/>
      <c r="W547" s="1"/>
      <c r="X547" s="1"/>
      <c r="Y547" s="1"/>
      <c r="Z547" s="1"/>
    </row>
    <row r="548" spans="1:26" ht="12.75" customHeight="1">
      <c r="A548" s="1"/>
      <c r="B548" s="10" t="str">
        <f ca="1">IFERROR(__xludf.DUMMYFUNCTION("""COMPUTED_VALUE"""),"REPOSICION SALON MULTIUSO SEDE CAROL URZUA")</f>
        <v>REPOSICION SALON MULTIUSO SEDE CAROL URZUA</v>
      </c>
      <c r="C548" s="10" t="str">
        <f ca="1">IFERROR(__xludf.DUMMYFUNCTION("""COMPUTED_VALUE"""),"1-B-2024-350")</f>
        <v>1-B-2024-350</v>
      </c>
      <c r="D548" s="26" t="str">
        <f t="shared" ca="1" si="0"/>
        <v xml:space="preserve"> MEJILLONES</v>
      </c>
      <c r="E548" s="10" t="str">
        <f ca="1">IFERROR(__xludf.DUMMYFUNCTION("""COMPUTED_VALUE"""),"Guía Operativa")</f>
        <v>Guía Operativa</v>
      </c>
      <c r="F548" s="10" t="str">
        <f ca="1">IFERROR(__xludf.DUMMYFUNCTION("""COMPUTED_VALUE"""),"MUNICIPALIDAD DE MEJILLONES")</f>
        <v>MUNICIPALIDAD DE MEJILLONES</v>
      </c>
      <c r="G548" s="71">
        <f ca="1">IFERROR(__xludf.DUMMYFUNCTION("""COMPUTED_VALUE"""),153584307)</f>
        <v>153584307</v>
      </c>
      <c r="H548" s="10" t="str">
        <f ca="1">IFERROR(__xludf.DUMMYFUNCTION("""COMPUTED_VALUE"""),"Resolución")</f>
        <v>Resolución</v>
      </c>
      <c r="I548" s="10" t="str">
        <f ca="1">IFERROR(__xludf.DUMMYFUNCTION("""COMPUTED_VALUE"""),"OBRA")</f>
        <v>OBRA</v>
      </c>
      <c r="J548" s="10" t="str">
        <f ca="1">IFERROR(__xludf.DUMMYFUNCTION("""COMPUTED_VALUE"""),"Cumplir con normativa y reglamentos internos del programa en base a los objetivos.")</f>
        <v>Cumplir con normativa y reglamentos internos del programa en base a los objetivos.</v>
      </c>
      <c r="K548" s="71">
        <f ca="1">IFERROR(__xludf.DUMMYFUNCTION("""COMPUTED_VALUE"""),153584307)</f>
        <v>153584307</v>
      </c>
      <c r="L548" s="72">
        <f ca="1">IFERROR(__xludf.DUMMYFUNCTION("""COMPUTED_VALUE"""),1)</f>
        <v>1</v>
      </c>
      <c r="M548" s="10">
        <f ca="1">IFERROR(__xludf.DUMMYFUNCTION("""COMPUTED_VALUE"""),8039)</f>
        <v>8039</v>
      </c>
      <c r="N548" s="10" t="str">
        <f ca="1">IFERROR(__xludf.DUMMYFUNCTION("""COMPUTED_VALUE"""),"PMU")</f>
        <v>PMU</v>
      </c>
      <c r="O548" s="1"/>
      <c r="P548" s="1"/>
      <c r="Q548" s="1"/>
      <c r="R548" s="1"/>
      <c r="S548" s="1"/>
      <c r="T548" s="1"/>
      <c r="U548" s="1"/>
      <c r="V548" s="1"/>
      <c r="W548" s="1"/>
      <c r="X548" s="1"/>
      <c r="Y548" s="1"/>
      <c r="Z548" s="1"/>
    </row>
    <row r="549" spans="1:26" ht="12.75" customHeight="1">
      <c r="A549" s="1"/>
      <c r="B549" s="10" t="str">
        <f ca="1">IFERROR(__xludf.DUMMYFUNCTION("""COMPUTED_VALUE"""),"MEJORAMIENTO PLAZA EL ROMERAL")</f>
        <v>MEJORAMIENTO PLAZA EL ROMERAL</v>
      </c>
      <c r="C549" s="10" t="str">
        <f ca="1">IFERROR(__xludf.DUMMYFUNCTION("""COMPUTED_VALUE"""),"1-B-2024-47")</f>
        <v>1-B-2024-47</v>
      </c>
      <c r="D549" s="26" t="str">
        <f t="shared" ca="1" si="0"/>
        <v xml:space="preserve"> RÍO HURTADO</v>
      </c>
      <c r="E549" s="10" t="str">
        <f ca="1">IFERROR(__xludf.DUMMYFUNCTION("""COMPUTED_VALUE"""),"Guía Operativa")</f>
        <v>Guía Operativa</v>
      </c>
      <c r="F549" s="10" t="str">
        <f ca="1">IFERROR(__xludf.DUMMYFUNCTION("""COMPUTED_VALUE"""),"MUNICIPALIDAD DE RÍO HURTADO")</f>
        <v>MUNICIPALIDAD DE RÍO HURTADO</v>
      </c>
      <c r="G549" s="71">
        <f ca="1">IFERROR(__xludf.DUMMYFUNCTION("""COMPUTED_VALUE"""),153087978)</f>
        <v>153087978</v>
      </c>
      <c r="H549" s="10" t="str">
        <f ca="1">IFERROR(__xludf.DUMMYFUNCTION("""COMPUTED_VALUE"""),"Resolución")</f>
        <v>Resolución</v>
      </c>
      <c r="I549" s="10" t="str">
        <f ca="1">IFERROR(__xludf.DUMMYFUNCTION("""COMPUTED_VALUE"""),"OBRA")</f>
        <v>OBRA</v>
      </c>
      <c r="J549" s="10" t="str">
        <f ca="1">IFERROR(__xludf.DUMMYFUNCTION("""COMPUTED_VALUE"""),"Cumplir con normativa y reglamentos internos del programa en base a los objetivos.")</f>
        <v>Cumplir con normativa y reglamentos internos del programa en base a los objetivos.</v>
      </c>
      <c r="K549" s="71">
        <f ca="1">IFERROR(__xludf.DUMMYFUNCTION("""COMPUTED_VALUE"""),153087978)</f>
        <v>153087978</v>
      </c>
      <c r="L549" s="72">
        <f ca="1">IFERROR(__xludf.DUMMYFUNCTION("""COMPUTED_VALUE"""),1)</f>
        <v>1</v>
      </c>
      <c r="M549" s="10">
        <f ca="1">IFERROR(__xludf.DUMMYFUNCTION("""COMPUTED_VALUE"""),8569)</f>
        <v>8569</v>
      </c>
      <c r="N549" s="10" t="str">
        <f ca="1">IFERROR(__xludf.DUMMYFUNCTION("""COMPUTED_VALUE"""),"PMU")</f>
        <v>PMU</v>
      </c>
      <c r="O549" s="1"/>
      <c r="P549" s="1"/>
      <c r="Q549" s="1"/>
      <c r="R549" s="1"/>
      <c r="S549" s="1"/>
      <c r="T549" s="1"/>
      <c r="U549" s="1"/>
      <c r="V549" s="1"/>
      <c r="W549" s="1"/>
      <c r="X549" s="1"/>
      <c r="Y549" s="1"/>
      <c r="Z549" s="1"/>
    </row>
    <row r="550" spans="1:26" ht="12.75" customHeight="1">
      <c r="A550" s="1"/>
      <c r="B550" s="10" t="str">
        <f ca="1">IFERROR(__xludf.DUMMYFUNCTION("""COMPUTED_VALUE"""),"CONSTRUCCIÓN DE PAVIMENTACIÓN CALLE RIO HURTADO , LOS LEICES,COMUNA DE OVALLE")</f>
        <v>CONSTRUCCIÓN DE PAVIMENTACIÓN CALLE RIO HURTADO , LOS LEICES,COMUNA DE OVALLE</v>
      </c>
      <c r="C550" s="10" t="str">
        <f ca="1">IFERROR(__xludf.DUMMYFUNCTION("""COMPUTED_VALUE"""),"1-B-2024-71")</f>
        <v>1-B-2024-71</v>
      </c>
      <c r="D550" s="26" t="str">
        <f t="shared" ca="1" si="0"/>
        <v xml:space="preserve"> OVALLE</v>
      </c>
      <c r="E550" s="10" t="str">
        <f ca="1">IFERROR(__xludf.DUMMYFUNCTION("""COMPUTED_VALUE"""),"Guía Operativa")</f>
        <v>Guía Operativa</v>
      </c>
      <c r="F550" s="10" t="str">
        <f ca="1">IFERROR(__xludf.DUMMYFUNCTION("""COMPUTED_VALUE"""),"MUNICIPALIDAD DE OVALLE")</f>
        <v>MUNICIPALIDAD DE OVALLE</v>
      </c>
      <c r="G550" s="71">
        <f ca="1">IFERROR(__xludf.DUMMYFUNCTION("""COMPUTED_VALUE"""),138157594)</f>
        <v>138157594</v>
      </c>
      <c r="H550" s="10" t="str">
        <f ca="1">IFERROR(__xludf.DUMMYFUNCTION("""COMPUTED_VALUE"""),"Resolución")</f>
        <v>Resolución</v>
      </c>
      <c r="I550" s="10" t="str">
        <f ca="1">IFERROR(__xludf.DUMMYFUNCTION("""COMPUTED_VALUE"""),"OBRA")</f>
        <v>OBRA</v>
      </c>
      <c r="J550" s="10" t="str">
        <f ca="1">IFERROR(__xludf.DUMMYFUNCTION("""COMPUTED_VALUE"""),"Cumplir con normativa y reglamentos internos del programa en base a los objetivos.")</f>
        <v>Cumplir con normativa y reglamentos internos del programa en base a los objetivos.</v>
      </c>
      <c r="K550" s="71">
        <f ca="1">IFERROR(__xludf.DUMMYFUNCTION("""COMPUTED_VALUE"""),138157594)</f>
        <v>138157594</v>
      </c>
      <c r="L550" s="72">
        <f ca="1">IFERROR(__xludf.DUMMYFUNCTION("""COMPUTED_VALUE"""),1)</f>
        <v>1</v>
      </c>
      <c r="M550" s="10">
        <f ca="1">IFERROR(__xludf.DUMMYFUNCTION("""COMPUTED_VALUE"""),8458)</f>
        <v>8458</v>
      </c>
      <c r="N550" s="10" t="str">
        <f ca="1">IFERROR(__xludf.DUMMYFUNCTION("""COMPUTED_VALUE"""),"PMU")</f>
        <v>PMU</v>
      </c>
      <c r="O550" s="1"/>
      <c r="P550" s="1"/>
      <c r="Q550" s="1"/>
      <c r="R550" s="1"/>
      <c r="S550" s="1"/>
      <c r="T550" s="1"/>
      <c r="U550" s="1"/>
      <c r="V550" s="1"/>
      <c r="W550" s="1"/>
      <c r="X550" s="1"/>
      <c r="Y550" s="1"/>
      <c r="Z550" s="1"/>
    </row>
    <row r="551" spans="1:26" ht="12.75" customHeight="1">
      <c r="A551" s="1"/>
      <c r="B551" s="10" t="str">
        <f ca="1">IFERROR(__xludf.DUMMYFUNCTION("""COMPUTED_VALUE"""),"CONSTRUCCIÓN PAVIMENTOS DE CALLE MAIPÚ, CALLE PÚBLICA Y PSJE. RIO MALLECO, COMUNA MONTE PATRIA")</f>
        <v>CONSTRUCCIÓN PAVIMENTOS DE CALLE MAIPÚ, CALLE PÚBLICA Y PSJE. RIO MALLECO, COMUNA MONTE PATRIA</v>
      </c>
      <c r="C551" s="10" t="str">
        <f ca="1">IFERROR(__xludf.DUMMYFUNCTION("""COMPUTED_VALUE"""),"1-B-2024-80")</f>
        <v>1-B-2024-80</v>
      </c>
      <c r="D551" s="26" t="str">
        <f t="shared" ca="1" si="0"/>
        <v xml:space="preserve"> MONTE PATRIA</v>
      </c>
      <c r="E551" s="10" t="str">
        <f ca="1">IFERROR(__xludf.DUMMYFUNCTION("""COMPUTED_VALUE"""),"Guía Operativa")</f>
        <v>Guía Operativa</v>
      </c>
      <c r="F551" s="10" t="str">
        <f ca="1">IFERROR(__xludf.DUMMYFUNCTION("""COMPUTED_VALUE"""),"MUNICIPALIDAD DE MONTE PATRIA")</f>
        <v>MUNICIPALIDAD DE MONTE PATRIA</v>
      </c>
      <c r="G551" s="71">
        <f ca="1">IFERROR(__xludf.DUMMYFUNCTION("""COMPUTED_VALUE"""),124185226)</f>
        <v>124185226</v>
      </c>
      <c r="H551" s="10" t="str">
        <f ca="1">IFERROR(__xludf.DUMMYFUNCTION("""COMPUTED_VALUE"""),"Resolución")</f>
        <v>Resolución</v>
      </c>
      <c r="I551" s="10" t="str">
        <f ca="1">IFERROR(__xludf.DUMMYFUNCTION("""COMPUTED_VALUE"""),"OBRA")</f>
        <v>OBRA</v>
      </c>
      <c r="J551" s="10" t="str">
        <f ca="1">IFERROR(__xludf.DUMMYFUNCTION("""COMPUTED_VALUE"""),"Cumplir con normativa y reglamentos internos del programa en base a los objetivos.")</f>
        <v>Cumplir con normativa y reglamentos internos del programa en base a los objetivos.</v>
      </c>
      <c r="K551" s="71">
        <f ca="1">IFERROR(__xludf.DUMMYFUNCTION("""COMPUTED_VALUE"""),124185226)</f>
        <v>124185226</v>
      </c>
      <c r="L551" s="72">
        <f ca="1">IFERROR(__xludf.DUMMYFUNCTION("""COMPUTED_VALUE"""),1)</f>
        <v>1</v>
      </c>
      <c r="M551" s="10">
        <f ca="1">IFERROR(__xludf.DUMMYFUNCTION("""COMPUTED_VALUE"""),8034)</f>
        <v>8034</v>
      </c>
      <c r="N551" s="10" t="str">
        <f ca="1">IFERROR(__xludf.DUMMYFUNCTION("""COMPUTED_VALUE"""),"PMU")</f>
        <v>PMU</v>
      </c>
      <c r="O551" s="1"/>
      <c r="P551" s="1"/>
      <c r="Q551" s="1"/>
      <c r="R551" s="1"/>
      <c r="S551" s="1"/>
      <c r="T551" s="1"/>
      <c r="U551" s="1"/>
      <c r="V551" s="1"/>
      <c r="W551" s="1"/>
      <c r="X551" s="1"/>
      <c r="Y551" s="1"/>
      <c r="Z551" s="1"/>
    </row>
    <row r="552" spans="1:26" ht="12.75" customHeight="1">
      <c r="A552" s="1"/>
      <c r="B552" s="10" t="str">
        <f ca="1">IFERROR(__xludf.DUMMYFUNCTION("""COMPUTED_VALUE"""),"CONSTRUCCION Y REPOSICION SISTEMA DE ALUMBRADO PUBLICO PARQUE MOLINARE, COMUNA DE QUILLOTA")</f>
        <v>CONSTRUCCION Y REPOSICION SISTEMA DE ALUMBRADO PUBLICO PARQUE MOLINARE, COMUNA DE QUILLOTA</v>
      </c>
      <c r="C552" s="10" t="str">
        <f ca="1">IFERROR(__xludf.DUMMYFUNCTION("""COMPUTED_VALUE"""),"1-C-2021-1647 [CHA]")</f>
        <v>1-C-2021-1647 [CHA]</v>
      </c>
      <c r="D552" s="26" t="str">
        <f t="shared" ca="1" si="0"/>
        <v xml:space="preserve"> QUILLOTA</v>
      </c>
      <c r="E552" s="10" t="str">
        <f ca="1">IFERROR(__xludf.DUMMYFUNCTION("""COMPUTED_VALUE"""),"Guía Operativa")</f>
        <v>Guía Operativa</v>
      </c>
      <c r="F552" s="10" t="str">
        <f ca="1">IFERROR(__xludf.DUMMYFUNCTION("""COMPUTED_VALUE"""),"MUNICIPALIDAD DE QUILLOTA")</f>
        <v>MUNICIPALIDAD DE QUILLOTA</v>
      </c>
      <c r="G552" s="71">
        <f ca="1">IFERROR(__xludf.DUMMYFUNCTION("""COMPUTED_VALUE"""),48438295)</f>
        <v>48438295</v>
      </c>
      <c r="H552" s="10" t="str">
        <f ca="1">IFERROR(__xludf.DUMMYFUNCTION("""COMPUTED_VALUE"""),"Resolución")</f>
        <v>Resolución</v>
      </c>
      <c r="I552" s="10" t="str">
        <f ca="1">IFERROR(__xludf.DUMMYFUNCTION("""COMPUTED_VALUE"""),"OBRA")</f>
        <v>OBRA</v>
      </c>
      <c r="J552" s="10" t="str">
        <f ca="1">IFERROR(__xludf.DUMMYFUNCTION("""COMPUTED_VALUE"""),"Cumplir con normativa y reglamentos internos del programa en base a los objetivos.")</f>
        <v>Cumplir con normativa y reglamentos internos del programa en base a los objetivos.</v>
      </c>
      <c r="K552" s="71">
        <f ca="1">IFERROR(__xludf.DUMMYFUNCTION("""COMPUTED_VALUE"""),10652891)</f>
        <v>10652891</v>
      </c>
      <c r="L552" s="72">
        <f ca="1">IFERROR(__xludf.DUMMYFUNCTION("""COMPUTED_VALUE"""),0.989157834725602)</f>
        <v>0.98915783472560204</v>
      </c>
      <c r="M552" s="10">
        <f ca="1">IFERROR(__xludf.DUMMYFUNCTION("""COMPUTED_VALUE"""),7178)</f>
        <v>7178</v>
      </c>
      <c r="N552" s="10" t="str">
        <f ca="1">IFERROR(__xludf.DUMMYFUNCTION("""COMPUTED_VALUE"""),"PMU")</f>
        <v>PMU</v>
      </c>
      <c r="O552" s="1"/>
      <c r="P552" s="1"/>
      <c r="Q552" s="1"/>
      <c r="R552" s="1"/>
      <c r="S552" s="1"/>
      <c r="T552" s="1"/>
      <c r="U552" s="1"/>
      <c r="V552" s="1"/>
      <c r="W552" s="1"/>
      <c r="X552" s="1"/>
      <c r="Y552" s="1"/>
      <c r="Z552" s="1"/>
    </row>
    <row r="553" spans="1:26" ht="12.75" customHeight="1">
      <c r="A553" s="1"/>
      <c r="B553" s="10" t="str">
        <f ca="1">IFERROR(__xludf.DUMMYFUNCTION("""COMPUTED_VALUE"""),"PAVIMENTACIÓN PASAJE SAN CAMILO Y A. BLEST GANA, POBLACIÓN DON SERGIO, PUCHUNCAVÍ")</f>
        <v>PAVIMENTACIÓN PASAJE SAN CAMILO Y A. BLEST GANA, POBLACIÓN DON SERGIO, PUCHUNCAVÍ</v>
      </c>
      <c r="C553" s="10" t="str">
        <f ca="1">IFERROR(__xludf.DUMMYFUNCTION("""COMPUTED_VALUE"""),"1-C-2022-49 [CHA]")</f>
        <v>1-C-2022-49 [CHA]</v>
      </c>
      <c r="D553" s="26" t="str">
        <f t="shared" ca="1" si="0"/>
        <v xml:space="preserve"> PUCHUNCAVÍ</v>
      </c>
      <c r="E553" s="10" t="str">
        <f ca="1">IFERROR(__xludf.DUMMYFUNCTION("""COMPUTED_VALUE"""),"Guía Operativa")</f>
        <v>Guía Operativa</v>
      </c>
      <c r="F553" s="10" t="str">
        <f ca="1">IFERROR(__xludf.DUMMYFUNCTION("""COMPUTED_VALUE"""),"MUNICIPALIDAD DE PUCHUNCAVÍ")</f>
        <v>MUNICIPALIDAD DE PUCHUNCAVÍ</v>
      </c>
      <c r="G553" s="71">
        <f ca="1">IFERROR(__xludf.DUMMYFUNCTION("""COMPUTED_VALUE"""),79367513)</f>
        <v>79367513</v>
      </c>
      <c r="H553" s="10" t="str">
        <f ca="1">IFERROR(__xludf.DUMMYFUNCTION("""COMPUTED_VALUE"""),"Resolución")</f>
        <v>Resolución</v>
      </c>
      <c r="I553" s="10" t="str">
        <f ca="1">IFERROR(__xludf.DUMMYFUNCTION("""COMPUTED_VALUE"""),"OBRA")</f>
        <v>OBRA</v>
      </c>
      <c r="J553" s="10" t="str">
        <f ca="1">IFERROR(__xludf.DUMMYFUNCTION("""COMPUTED_VALUE"""),"Cumplir con normativa y reglamentos internos del programa en base a los objetivos.")</f>
        <v>Cumplir con normativa y reglamentos internos del programa en base a los objetivos.</v>
      </c>
      <c r="K553" s="71">
        <f ca="1">IFERROR(__xludf.DUMMYFUNCTION("""COMPUTED_VALUE"""),18076015)</f>
        <v>18076015</v>
      </c>
      <c r="L553" s="72">
        <f ca="1">IFERROR(__xludf.DUMMYFUNCTION("""COMPUTED_VALUE"""),0.999503348429224)</f>
        <v>0.99950334842922395</v>
      </c>
      <c r="M553" s="10">
        <f ca="1">IFERROR(__xludf.DUMMYFUNCTION("""COMPUTED_VALUE"""),7231)</f>
        <v>7231</v>
      </c>
      <c r="N553" s="10" t="str">
        <f ca="1">IFERROR(__xludf.DUMMYFUNCTION("""COMPUTED_VALUE"""),"PMU")</f>
        <v>PMU</v>
      </c>
      <c r="O553" s="1"/>
      <c r="P553" s="1"/>
      <c r="Q553" s="1"/>
      <c r="R553" s="1"/>
      <c r="S553" s="1"/>
      <c r="T553" s="1"/>
      <c r="U553" s="1"/>
      <c r="V553" s="1"/>
      <c r="W553" s="1"/>
      <c r="X553" s="1"/>
      <c r="Y553" s="1"/>
      <c r="Z553" s="1"/>
    </row>
    <row r="554" spans="1:26" ht="12.75" customHeight="1">
      <c r="A554" s="1"/>
      <c r="B554" s="10" t="str">
        <f ca="1">IFERROR(__xludf.DUMMYFUNCTION("""COMPUTED_VALUE"""),"MEJORAMIENTO ZONA DE JUEGOS PLAZA ARTURO PRAT, QUILPUÉ")</f>
        <v>MEJORAMIENTO ZONA DE JUEGOS PLAZA ARTURO PRAT, QUILPUÉ</v>
      </c>
      <c r="C554" s="10" t="str">
        <f ca="1">IFERROR(__xludf.DUMMYFUNCTION("""COMPUTED_VALUE"""),"1-C-2023-1636")</f>
        <v>1-C-2023-1636</v>
      </c>
      <c r="D554" s="26" t="str">
        <f t="shared" ca="1" si="0"/>
        <v xml:space="preserve"> QUILPUÉ</v>
      </c>
      <c r="E554" s="10" t="str">
        <f ca="1">IFERROR(__xludf.DUMMYFUNCTION("""COMPUTED_VALUE"""),"Guía Operativa")</f>
        <v>Guía Operativa</v>
      </c>
      <c r="F554" s="10" t="str">
        <f ca="1">IFERROR(__xludf.DUMMYFUNCTION("""COMPUTED_VALUE"""),"MUNICIPALIDAD DE QUILPUÉ")</f>
        <v>MUNICIPALIDAD DE QUILPUÉ</v>
      </c>
      <c r="G554" s="71">
        <f ca="1">IFERROR(__xludf.DUMMYFUNCTION("""COMPUTED_VALUE"""),154422208)</f>
        <v>154422208</v>
      </c>
      <c r="H554" s="10" t="str">
        <f ca="1">IFERROR(__xludf.DUMMYFUNCTION("""COMPUTED_VALUE"""),"Resolución")</f>
        <v>Resolución</v>
      </c>
      <c r="I554" s="10" t="str">
        <f ca="1">IFERROR(__xludf.DUMMYFUNCTION("""COMPUTED_VALUE"""),"OBRA")</f>
        <v>OBRA</v>
      </c>
      <c r="J554" s="10" t="str">
        <f ca="1">IFERROR(__xludf.DUMMYFUNCTION("""COMPUTED_VALUE"""),"Cumplir con normativa y reglamentos internos del programa en base a los objetivos.")</f>
        <v>Cumplir con normativa y reglamentos internos del programa en base a los objetivos.</v>
      </c>
      <c r="K554" s="71">
        <f ca="1">IFERROR(__xludf.DUMMYFUNCTION("""COMPUTED_VALUE"""),77211104)</f>
        <v>77211104</v>
      </c>
      <c r="L554" s="72">
        <f ca="1">IFERROR(__xludf.DUMMYFUNCTION("""COMPUTED_VALUE"""),0.5)</f>
        <v>0.5</v>
      </c>
      <c r="M554" s="10">
        <f ca="1">IFERROR(__xludf.DUMMYFUNCTION("""COMPUTED_VALUE"""),8650)</f>
        <v>8650</v>
      </c>
      <c r="N554" s="10" t="str">
        <f ca="1">IFERROR(__xludf.DUMMYFUNCTION("""COMPUTED_VALUE"""),"PMU")</f>
        <v>PMU</v>
      </c>
      <c r="O554" s="1"/>
      <c r="P554" s="1"/>
      <c r="Q554" s="1"/>
      <c r="R554" s="1"/>
      <c r="S554" s="1"/>
      <c r="T554" s="1"/>
      <c r="U554" s="1"/>
      <c r="V554" s="1"/>
      <c r="W554" s="1"/>
      <c r="X554" s="1"/>
      <c r="Y554" s="1"/>
      <c r="Z554" s="1"/>
    </row>
    <row r="555" spans="1:26" ht="12.75" customHeight="1">
      <c r="A555" s="1"/>
      <c r="B555" s="10" t="str">
        <f ca="1">IFERROR(__xludf.DUMMYFUNCTION("""COMPUTED_VALUE"""),"CONSTRUCCION DE VEREDAS SECTOR LOS ALBATROS")</f>
        <v>CONSTRUCCION DE VEREDAS SECTOR LOS ALBATROS</v>
      </c>
      <c r="C555" s="10" t="str">
        <f ca="1">IFERROR(__xludf.DUMMYFUNCTION("""COMPUTED_VALUE"""),"1-C-2023-3124")</f>
        <v>1-C-2023-3124</v>
      </c>
      <c r="D555" s="26" t="str">
        <f t="shared" ca="1" si="0"/>
        <v xml:space="preserve"> ALGARROBO</v>
      </c>
      <c r="E555" s="10" t="str">
        <f ca="1">IFERROR(__xludf.DUMMYFUNCTION("""COMPUTED_VALUE"""),"Guía Operativa")</f>
        <v>Guía Operativa</v>
      </c>
      <c r="F555" s="10" t="str">
        <f ca="1">IFERROR(__xludf.DUMMYFUNCTION("""COMPUTED_VALUE"""),"MUNICIPALIDAD DE ALGARROBO")</f>
        <v>MUNICIPALIDAD DE ALGARROBO</v>
      </c>
      <c r="G555" s="71">
        <f ca="1">IFERROR(__xludf.DUMMYFUNCTION("""COMPUTED_VALUE"""),154421847)</f>
        <v>154421847</v>
      </c>
      <c r="H555" s="10" t="str">
        <f ca="1">IFERROR(__xludf.DUMMYFUNCTION("""COMPUTED_VALUE"""),"Resolución")</f>
        <v>Resolución</v>
      </c>
      <c r="I555" s="10" t="str">
        <f ca="1">IFERROR(__xludf.DUMMYFUNCTION("""COMPUTED_VALUE"""),"OBRA")</f>
        <v>OBRA</v>
      </c>
      <c r="J555" s="10" t="str">
        <f ca="1">IFERROR(__xludf.DUMMYFUNCTION("""COMPUTED_VALUE"""),"Cumplir con normativa y reglamentos internos del programa en base a los objetivos.")</f>
        <v>Cumplir con normativa y reglamentos internos del programa en base a los objetivos.</v>
      </c>
      <c r="K555" s="71">
        <f ca="1">IFERROR(__xludf.DUMMYFUNCTION("""COMPUTED_VALUE"""),77210924)</f>
        <v>77210924</v>
      </c>
      <c r="L555" s="72">
        <f ca="1">IFERROR(__xludf.DUMMYFUNCTION("""COMPUTED_VALUE"""),0.500000003237883)</f>
        <v>0.50000000323788296</v>
      </c>
      <c r="M555" s="10">
        <f ca="1">IFERROR(__xludf.DUMMYFUNCTION("""COMPUTED_VALUE"""),8568)</f>
        <v>8568</v>
      </c>
      <c r="N555" s="10" t="str">
        <f ca="1">IFERROR(__xludf.DUMMYFUNCTION("""COMPUTED_VALUE"""),"PMU")</f>
        <v>PMU</v>
      </c>
      <c r="O555" s="1"/>
      <c r="P555" s="1"/>
      <c r="Q555" s="1"/>
      <c r="R555" s="1"/>
      <c r="S555" s="1"/>
      <c r="T555" s="1"/>
      <c r="U555" s="1"/>
      <c r="V555" s="1"/>
      <c r="W555" s="1"/>
      <c r="X555" s="1"/>
      <c r="Y555" s="1"/>
      <c r="Z555" s="1"/>
    </row>
    <row r="556" spans="1:26" ht="12.75" customHeight="1">
      <c r="A556" s="1"/>
      <c r="B556" s="10" t="str">
        <f ca="1">IFERROR(__xludf.DUMMYFUNCTION("""COMPUTED_VALUE"""),"REPOSICION ACERAS CALLE MARIANO CASANOVA, ENTRE JOSEFINA NIETO Y CARLOS CORSI, COMUNA DE CARTAGENA")</f>
        <v>REPOSICION ACERAS CALLE MARIANO CASANOVA, ENTRE JOSEFINA NIETO Y CARLOS CORSI, COMUNA DE CARTAGENA</v>
      </c>
      <c r="C556" s="10" t="str">
        <f ca="1">IFERROR(__xludf.DUMMYFUNCTION("""COMPUTED_VALUE"""),"1-B-2024-91")</f>
        <v>1-B-2024-91</v>
      </c>
      <c r="D556" s="26" t="str">
        <f t="shared" ca="1" si="0"/>
        <v xml:space="preserve"> CARTAGENA</v>
      </c>
      <c r="E556" s="10" t="str">
        <f ca="1">IFERROR(__xludf.DUMMYFUNCTION("""COMPUTED_VALUE"""),"Guía Operativa")</f>
        <v>Guía Operativa</v>
      </c>
      <c r="F556" s="10" t="str">
        <f ca="1">IFERROR(__xludf.DUMMYFUNCTION("""COMPUTED_VALUE"""),"MUNICIPALIDAD DE CARTAGENA")</f>
        <v>MUNICIPALIDAD DE CARTAGENA</v>
      </c>
      <c r="G556" s="71">
        <f ca="1">IFERROR(__xludf.DUMMYFUNCTION("""COMPUTED_VALUE"""),116231479)</f>
        <v>116231479</v>
      </c>
      <c r="H556" s="10" t="str">
        <f ca="1">IFERROR(__xludf.DUMMYFUNCTION("""COMPUTED_VALUE"""),"Resolución")</f>
        <v>Resolución</v>
      </c>
      <c r="I556" s="10" t="str">
        <f ca="1">IFERROR(__xludf.DUMMYFUNCTION("""COMPUTED_VALUE"""),"OBRA")</f>
        <v>OBRA</v>
      </c>
      <c r="J556" s="10" t="str">
        <f ca="1">IFERROR(__xludf.DUMMYFUNCTION("""COMPUTED_VALUE"""),"Cumplir con normativa y reglamentos internos del programa en base a los objetivos.")</f>
        <v>Cumplir con normativa y reglamentos internos del programa en base a los objetivos.</v>
      </c>
      <c r="K556" s="71">
        <f ca="1">IFERROR(__xludf.DUMMYFUNCTION("""COMPUTED_VALUE"""),116231479)</f>
        <v>116231479</v>
      </c>
      <c r="L556" s="72">
        <f ca="1">IFERROR(__xludf.DUMMYFUNCTION("""COMPUTED_VALUE"""),1)</f>
        <v>1</v>
      </c>
      <c r="M556" s="10">
        <f ca="1">IFERROR(__xludf.DUMMYFUNCTION("""COMPUTED_VALUE"""),8643)</f>
        <v>8643</v>
      </c>
      <c r="N556" s="10" t="str">
        <f ca="1">IFERROR(__xludf.DUMMYFUNCTION("""COMPUTED_VALUE"""),"PMU")</f>
        <v>PMU</v>
      </c>
      <c r="O556" s="1"/>
      <c r="P556" s="1"/>
      <c r="Q556" s="1"/>
      <c r="R556" s="1"/>
      <c r="S556" s="1"/>
      <c r="T556" s="1"/>
      <c r="U556" s="1"/>
      <c r="V556" s="1"/>
      <c r="W556" s="1"/>
      <c r="X556" s="1"/>
      <c r="Y556" s="1"/>
      <c r="Z556" s="1"/>
    </row>
    <row r="557" spans="1:26" ht="12.75" customHeight="1">
      <c r="A557" s="1"/>
      <c r="B557" s="10" t="str">
        <f ca="1">IFERROR(__xludf.DUMMYFUNCTION("""COMPUTED_VALUE"""),"REPOSICIÓN SISTEMA DE ILUMINACIÓN Y RECAMBIO DE CIERRE PERIMETRAL ESTADIO EL LITRE")</f>
        <v>REPOSICIÓN SISTEMA DE ILUMINACIÓN Y RECAMBIO DE CIERRE PERIMETRAL ESTADIO EL LITRE</v>
      </c>
      <c r="C557" s="10" t="str">
        <f ca="1">IFERROR(__xludf.DUMMYFUNCTION("""COMPUTED_VALUE"""),"1-B-2024-220")</f>
        <v>1-B-2024-220</v>
      </c>
      <c r="D557" s="26" t="str">
        <f t="shared" ca="1" si="0"/>
        <v xml:space="preserve"> ALGARROBO</v>
      </c>
      <c r="E557" s="10" t="str">
        <f ca="1">IFERROR(__xludf.DUMMYFUNCTION("""COMPUTED_VALUE"""),"Guía Operativa")</f>
        <v>Guía Operativa</v>
      </c>
      <c r="F557" s="10" t="str">
        <f ca="1">IFERROR(__xludf.DUMMYFUNCTION("""COMPUTED_VALUE"""),"MUNICIPALIDAD DE ALGARROBO")</f>
        <v>MUNICIPALIDAD DE ALGARROBO</v>
      </c>
      <c r="G557" s="71">
        <f ca="1">IFERROR(__xludf.DUMMYFUNCTION("""COMPUTED_VALUE"""),107338418)</f>
        <v>107338418</v>
      </c>
      <c r="H557" s="10" t="str">
        <f ca="1">IFERROR(__xludf.DUMMYFUNCTION("""COMPUTED_VALUE"""),"Resolución")</f>
        <v>Resolución</v>
      </c>
      <c r="I557" s="10" t="str">
        <f ca="1">IFERROR(__xludf.DUMMYFUNCTION("""COMPUTED_VALUE"""),"OBRA")</f>
        <v>OBRA</v>
      </c>
      <c r="J557" s="10" t="str">
        <f ca="1">IFERROR(__xludf.DUMMYFUNCTION("""COMPUTED_VALUE"""),"Cumplir con normativa y reglamentos internos del programa en base a los objetivos.")</f>
        <v>Cumplir con normativa y reglamentos internos del programa en base a los objetivos.</v>
      </c>
      <c r="K557" s="71">
        <f ca="1">IFERROR(__xludf.DUMMYFUNCTION("""COMPUTED_VALUE"""),107338418)</f>
        <v>107338418</v>
      </c>
      <c r="L557" s="72">
        <f ca="1">IFERROR(__xludf.DUMMYFUNCTION("""COMPUTED_VALUE"""),1)</f>
        <v>1</v>
      </c>
      <c r="M557" s="10">
        <f ca="1">IFERROR(__xludf.DUMMYFUNCTION("""COMPUTED_VALUE"""),8647)</f>
        <v>8647</v>
      </c>
      <c r="N557" s="10" t="str">
        <f ca="1">IFERROR(__xludf.DUMMYFUNCTION("""COMPUTED_VALUE"""),"PMU")</f>
        <v>PMU</v>
      </c>
      <c r="O557" s="1"/>
      <c r="P557" s="1"/>
      <c r="Q557" s="1"/>
      <c r="R557" s="1"/>
      <c r="S557" s="1"/>
      <c r="T557" s="1"/>
      <c r="U557" s="1"/>
      <c r="V557" s="1"/>
      <c r="W557" s="1"/>
      <c r="X557" s="1"/>
      <c r="Y557" s="1"/>
      <c r="Z557" s="1"/>
    </row>
    <row r="558" spans="1:26" ht="12.75" customHeight="1">
      <c r="A558" s="1"/>
      <c r="B558" s="10" t="str">
        <f ca="1">IFERROR(__xludf.DUMMYFUNCTION("""COMPUTED_VALUE"""),"CONSTRUCCION ESPACIO RECREATIVO VILLA LICAN RAY, CATEMU")</f>
        <v>CONSTRUCCION ESPACIO RECREATIVO VILLA LICAN RAY, CATEMU</v>
      </c>
      <c r="C558" s="10" t="str">
        <f ca="1">IFERROR(__xludf.DUMMYFUNCTION("""COMPUTED_VALUE"""),"1-B-2024-273")</f>
        <v>1-B-2024-273</v>
      </c>
      <c r="D558" s="26" t="str">
        <f t="shared" ca="1" si="0"/>
        <v xml:space="preserve"> CATEMU</v>
      </c>
      <c r="E558" s="10" t="str">
        <f ca="1">IFERROR(__xludf.DUMMYFUNCTION("""COMPUTED_VALUE"""),"Guía Operativa")</f>
        <v>Guía Operativa</v>
      </c>
      <c r="F558" s="10" t="str">
        <f ca="1">IFERROR(__xludf.DUMMYFUNCTION("""COMPUTED_VALUE"""),"MUNICIPALIDAD DE CATEMU")</f>
        <v>MUNICIPALIDAD DE CATEMU</v>
      </c>
      <c r="G558" s="71">
        <f ca="1">IFERROR(__xludf.DUMMYFUNCTION("""COMPUTED_VALUE"""),61772513)</f>
        <v>61772513</v>
      </c>
      <c r="H558" s="10" t="str">
        <f ca="1">IFERROR(__xludf.DUMMYFUNCTION("""COMPUTED_VALUE"""),"Resolución")</f>
        <v>Resolución</v>
      </c>
      <c r="I558" s="10" t="str">
        <f ca="1">IFERROR(__xludf.DUMMYFUNCTION("""COMPUTED_VALUE"""),"OBRA")</f>
        <v>OBRA</v>
      </c>
      <c r="J558" s="10" t="str">
        <f ca="1">IFERROR(__xludf.DUMMYFUNCTION("""COMPUTED_VALUE"""),"Cumplir con normativa y reglamentos internos del programa en base a los objetivos.")</f>
        <v>Cumplir con normativa y reglamentos internos del programa en base a los objetivos.</v>
      </c>
      <c r="K558" s="71">
        <f ca="1">IFERROR(__xludf.DUMMYFUNCTION("""COMPUTED_VALUE"""),61772513)</f>
        <v>61772513</v>
      </c>
      <c r="L558" s="72">
        <f ca="1">IFERROR(__xludf.DUMMYFUNCTION("""COMPUTED_VALUE"""),1)</f>
        <v>1</v>
      </c>
      <c r="M558" s="10">
        <f ca="1">IFERROR(__xludf.DUMMYFUNCTION("""COMPUTED_VALUE"""),8006)</f>
        <v>8006</v>
      </c>
      <c r="N558" s="10" t="str">
        <f ca="1">IFERROR(__xludf.DUMMYFUNCTION("""COMPUTED_VALUE"""),"PMU")</f>
        <v>PMU</v>
      </c>
      <c r="O558" s="1"/>
      <c r="P558" s="1"/>
      <c r="Q558" s="1"/>
      <c r="R558" s="1"/>
      <c r="S558" s="1"/>
      <c r="T558" s="1"/>
      <c r="U558" s="1"/>
      <c r="V558" s="1"/>
      <c r="W558" s="1"/>
      <c r="X558" s="1"/>
      <c r="Y558" s="1"/>
      <c r="Z558" s="1"/>
    </row>
    <row r="559" spans="1:26" ht="12.75" customHeight="1">
      <c r="A559" s="1"/>
      <c r="B559" s="10" t="str">
        <f ca="1">IFERROR(__xludf.DUMMYFUNCTION("""COMPUTED_VALUE"""),"CONSERVACIÓN CALLES EL ALGARROBO, TTE. JULIO MONTT Y LOS OLMOS, COMUNA DE SAN ESTEBAN")</f>
        <v>CONSERVACIÓN CALLES EL ALGARROBO, TTE. JULIO MONTT Y LOS OLMOS, COMUNA DE SAN ESTEBAN</v>
      </c>
      <c r="C559" s="10" t="str">
        <f ca="1">IFERROR(__xludf.DUMMYFUNCTION("""COMPUTED_VALUE"""),"1-B-2024-276")</f>
        <v>1-B-2024-276</v>
      </c>
      <c r="D559" s="26" t="str">
        <f t="shared" ca="1" si="0"/>
        <v xml:space="preserve"> SAN ESTEBAN</v>
      </c>
      <c r="E559" s="10" t="str">
        <f ca="1">IFERROR(__xludf.DUMMYFUNCTION("""COMPUTED_VALUE"""),"Guía Operativa")</f>
        <v>Guía Operativa</v>
      </c>
      <c r="F559" s="10" t="str">
        <f ca="1">IFERROR(__xludf.DUMMYFUNCTION("""COMPUTED_VALUE"""),"MUNICIPALIDAD DE SAN ESTEBAN")</f>
        <v>MUNICIPALIDAD DE SAN ESTEBAN</v>
      </c>
      <c r="G559" s="71">
        <f ca="1">IFERROR(__xludf.DUMMYFUNCTION("""COMPUTED_VALUE"""),109831171)</f>
        <v>109831171</v>
      </c>
      <c r="H559" s="10" t="str">
        <f ca="1">IFERROR(__xludf.DUMMYFUNCTION("""COMPUTED_VALUE"""),"Resolución")</f>
        <v>Resolución</v>
      </c>
      <c r="I559" s="10" t="str">
        <f ca="1">IFERROR(__xludf.DUMMYFUNCTION("""COMPUTED_VALUE"""),"OBRA")</f>
        <v>OBRA</v>
      </c>
      <c r="J559" s="10" t="str">
        <f ca="1">IFERROR(__xludf.DUMMYFUNCTION("""COMPUTED_VALUE"""),"Cumplir con normativa y reglamentos internos del programa en base a los objetivos.")</f>
        <v>Cumplir con normativa y reglamentos internos del programa en base a los objetivos.</v>
      </c>
      <c r="K559" s="71">
        <f ca="1">IFERROR(__xludf.DUMMYFUNCTION("""COMPUTED_VALUE"""),109831171)</f>
        <v>109831171</v>
      </c>
      <c r="L559" s="72">
        <f ca="1">IFERROR(__xludf.DUMMYFUNCTION("""COMPUTED_VALUE"""),1)</f>
        <v>1</v>
      </c>
      <c r="M559" s="10">
        <f ca="1">IFERROR(__xludf.DUMMYFUNCTION("""COMPUTED_VALUE"""),8007)</f>
        <v>8007</v>
      </c>
      <c r="N559" s="10" t="str">
        <f ca="1">IFERROR(__xludf.DUMMYFUNCTION("""COMPUTED_VALUE"""),"PMU")</f>
        <v>PMU</v>
      </c>
      <c r="O559" s="1"/>
      <c r="P559" s="1"/>
      <c r="Q559" s="1"/>
      <c r="R559" s="1"/>
      <c r="S559" s="1"/>
      <c r="T559" s="1"/>
      <c r="U559" s="1"/>
      <c r="V559" s="1"/>
      <c r="W559" s="1"/>
      <c r="X559" s="1"/>
      <c r="Y559" s="1"/>
      <c r="Z559" s="1"/>
    </row>
    <row r="560" spans="1:26" ht="12.75" customHeight="1">
      <c r="A560" s="1"/>
      <c r="B560" s="10" t="str">
        <f ca="1">IFERROR(__xludf.DUMMYFUNCTION("""COMPUTED_VALUE"""),"[SATE] REPOSICIÓN CARPETA ASFÁLTICA CALLE ISMAEL RUBIO COMUNA DE NAVIDAD")</f>
        <v>[SATE] REPOSICIÓN CARPETA ASFÁLTICA CALLE ISMAEL RUBIO COMUNA DE NAVIDAD</v>
      </c>
      <c r="C560" s="10" t="str">
        <f ca="1">IFERROR(__xludf.DUMMYFUNCTION("""COMPUTED_VALUE"""),"1-C-2023-1287")</f>
        <v>1-C-2023-1287</v>
      </c>
      <c r="D560" s="26" t="str">
        <f t="shared" ca="1" si="0"/>
        <v xml:space="preserve"> NAVIDAD</v>
      </c>
      <c r="E560" s="10" t="str">
        <f ca="1">IFERROR(__xludf.DUMMYFUNCTION("""COMPUTED_VALUE"""),"Guía Operativa")</f>
        <v>Guía Operativa</v>
      </c>
      <c r="F560" s="10" t="str">
        <f ca="1">IFERROR(__xludf.DUMMYFUNCTION("""COMPUTED_VALUE"""),"MUNICIPALIDAD DE NAVIDAD")</f>
        <v>MUNICIPALIDAD DE NAVIDAD</v>
      </c>
      <c r="G560" s="71">
        <f ca="1">IFERROR(__xludf.DUMMYFUNCTION("""COMPUTED_VALUE"""),151827704)</f>
        <v>151827704</v>
      </c>
      <c r="H560" s="10" t="str">
        <f ca="1">IFERROR(__xludf.DUMMYFUNCTION("""COMPUTED_VALUE"""),"Resolución")</f>
        <v>Resolución</v>
      </c>
      <c r="I560" s="10" t="str">
        <f ca="1">IFERROR(__xludf.DUMMYFUNCTION("""COMPUTED_VALUE"""),"OBRA")</f>
        <v>OBRA</v>
      </c>
      <c r="J560" s="10" t="str">
        <f ca="1">IFERROR(__xludf.DUMMYFUNCTION("""COMPUTED_VALUE"""),"Cumplir con normativa y reglamentos internos del programa en base a los objetivos.")</f>
        <v>Cumplir con normativa y reglamentos internos del programa en base a los objetivos.</v>
      </c>
      <c r="K560" s="71">
        <f ca="1">IFERROR(__xludf.DUMMYFUNCTION("""COMPUTED_VALUE"""),151827704)</f>
        <v>151827704</v>
      </c>
      <c r="L560" s="72">
        <f ca="1">IFERROR(__xludf.DUMMYFUNCTION("""COMPUTED_VALUE"""),1)</f>
        <v>1</v>
      </c>
      <c r="M560" s="10">
        <f ca="1">IFERROR(__xludf.DUMMYFUNCTION("""COMPUTED_VALUE"""),8457)</f>
        <v>8457</v>
      </c>
      <c r="N560" s="10" t="str">
        <f ca="1">IFERROR(__xludf.DUMMYFUNCTION("""COMPUTED_VALUE"""),"PMU")</f>
        <v>PMU</v>
      </c>
      <c r="O560" s="1"/>
      <c r="P560" s="1"/>
      <c r="Q560" s="1"/>
      <c r="R560" s="1"/>
      <c r="S560" s="1"/>
      <c r="T560" s="1"/>
      <c r="U560" s="1"/>
      <c r="V560" s="1"/>
      <c r="W560" s="1"/>
      <c r="X560" s="1"/>
      <c r="Y560" s="1"/>
      <c r="Z560" s="1"/>
    </row>
    <row r="561" spans="1:26" ht="12.75" customHeight="1">
      <c r="A561" s="1"/>
      <c r="B561" s="10" t="str">
        <f ca="1">IFERROR(__xludf.DUMMYFUNCTION("""COMPUTED_VALUE"""),"CONSTRUCCION Y REPOSICIÓN VEREDAS SECTOR CARDONAL, COMUNA DE PELLUHUE")</f>
        <v>CONSTRUCCION Y REPOSICIÓN VEREDAS SECTOR CARDONAL, COMUNA DE PELLUHUE</v>
      </c>
      <c r="C561" s="10" t="str">
        <f ca="1">IFERROR(__xludf.DUMMYFUNCTION("""COMPUTED_VALUE"""),"1-B-2024-54")</f>
        <v>1-B-2024-54</v>
      </c>
      <c r="D561" s="26" t="str">
        <f t="shared" ca="1" si="0"/>
        <v xml:space="preserve"> PELLUHUE</v>
      </c>
      <c r="E561" s="10" t="str">
        <f ca="1">IFERROR(__xludf.DUMMYFUNCTION("""COMPUTED_VALUE"""),"Guía Operativa")</f>
        <v>Guía Operativa</v>
      </c>
      <c r="F561" s="10" t="str">
        <f ca="1">IFERROR(__xludf.DUMMYFUNCTION("""COMPUTED_VALUE"""),"MUNICIPALIDAD DE PELLUHUE")</f>
        <v>MUNICIPALIDAD DE PELLUHUE</v>
      </c>
      <c r="G561" s="71">
        <f ca="1">IFERROR(__xludf.DUMMYFUNCTION("""COMPUTED_VALUE"""),105326610)</f>
        <v>105326610</v>
      </c>
      <c r="H561" s="10" t="str">
        <f ca="1">IFERROR(__xludf.DUMMYFUNCTION("""COMPUTED_VALUE"""),"Resolución")</f>
        <v>Resolución</v>
      </c>
      <c r="I561" s="10" t="str">
        <f ca="1">IFERROR(__xludf.DUMMYFUNCTION("""COMPUTED_VALUE"""),"OBRA")</f>
        <v>OBRA</v>
      </c>
      <c r="J561" s="10" t="str">
        <f ca="1">IFERROR(__xludf.DUMMYFUNCTION("""COMPUTED_VALUE"""),"Cumplir con normativa y reglamentos internos del programa en base a los objetivos.")</f>
        <v>Cumplir con normativa y reglamentos internos del programa en base a los objetivos.</v>
      </c>
      <c r="K561" s="71">
        <f ca="1">IFERROR(__xludf.DUMMYFUNCTION("""COMPUTED_VALUE"""),105326610)</f>
        <v>105326610</v>
      </c>
      <c r="L561" s="72">
        <f ca="1">IFERROR(__xludf.DUMMYFUNCTION("""COMPUTED_VALUE"""),1)</f>
        <v>1</v>
      </c>
      <c r="M561" s="10">
        <f ca="1">IFERROR(__xludf.DUMMYFUNCTION("""COMPUTED_VALUE"""),8028)</f>
        <v>8028</v>
      </c>
      <c r="N561" s="10" t="str">
        <f ca="1">IFERROR(__xludf.DUMMYFUNCTION("""COMPUTED_VALUE"""),"PMU")</f>
        <v>PMU</v>
      </c>
      <c r="O561" s="1"/>
      <c r="P561" s="1"/>
      <c r="Q561" s="1"/>
      <c r="R561" s="1"/>
      <c r="S561" s="1"/>
      <c r="T561" s="1"/>
      <c r="U561" s="1"/>
      <c r="V561" s="1"/>
      <c r="W561" s="1"/>
      <c r="X561" s="1"/>
      <c r="Y561" s="1"/>
      <c r="Z561" s="1"/>
    </row>
    <row r="562" spans="1:26" ht="12.75" customHeight="1">
      <c r="A562" s="1"/>
      <c r="B562" s="10" t="str">
        <f ca="1">IFERROR(__xludf.DUMMYFUNCTION("""COMPUTED_VALUE"""),"REPOSICION DE VEREDAS SECTOR ABRANQUIL COMUNA DE YERBAS BUENAS")</f>
        <v>REPOSICION DE VEREDAS SECTOR ABRANQUIL COMUNA DE YERBAS BUENAS</v>
      </c>
      <c r="C562" s="10" t="str">
        <f ca="1">IFERROR(__xludf.DUMMYFUNCTION("""COMPUTED_VALUE"""),"1-B-2024-88")</f>
        <v>1-B-2024-88</v>
      </c>
      <c r="D562" s="26" t="str">
        <f t="shared" ca="1" si="0"/>
        <v xml:space="preserve"> YERBAS BUENAS</v>
      </c>
      <c r="E562" s="10" t="str">
        <f ca="1">IFERROR(__xludf.DUMMYFUNCTION("""COMPUTED_VALUE"""),"Guía Operativa")</f>
        <v>Guía Operativa</v>
      </c>
      <c r="F562" s="10" t="str">
        <f ca="1">IFERROR(__xludf.DUMMYFUNCTION("""COMPUTED_VALUE"""),"MUNICIPALIDAD DE YERBAS BUENAS")</f>
        <v>MUNICIPALIDAD DE YERBAS BUENAS</v>
      </c>
      <c r="G562" s="71">
        <f ca="1">IFERROR(__xludf.DUMMYFUNCTION("""COMPUTED_VALUE"""),125929728)</f>
        <v>125929728</v>
      </c>
      <c r="H562" s="10" t="str">
        <f ca="1">IFERROR(__xludf.DUMMYFUNCTION("""COMPUTED_VALUE"""),"Resolución")</f>
        <v>Resolución</v>
      </c>
      <c r="I562" s="10" t="str">
        <f ca="1">IFERROR(__xludf.DUMMYFUNCTION("""COMPUTED_VALUE"""),"OBRA")</f>
        <v>OBRA</v>
      </c>
      <c r="J562" s="10" t="str">
        <f ca="1">IFERROR(__xludf.DUMMYFUNCTION("""COMPUTED_VALUE"""),"Cumplir con normativa y reglamentos internos del programa en base a los objetivos.")</f>
        <v>Cumplir con normativa y reglamentos internos del programa en base a los objetivos.</v>
      </c>
      <c r="K562" s="71">
        <f ca="1">IFERROR(__xludf.DUMMYFUNCTION("""COMPUTED_VALUE"""),125929728)</f>
        <v>125929728</v>
      </c>
      <c r="L562" s="72">
        <f ca="1">IFERROR(__xludf.DUMMYFUNCTION("""COMPUTED_VALUE"""),1)</f>
        <v>1</v>
      </c>
      <c r="M562" s="10">
        <f ca="1">IFERROR(__xludf.DUMMYFUNCTION("""COMPUTED_VALUE"""),8564)</f>
        <v>8564</v>
      </c>
      <c r="N562" s="10" t="str">
        <f ca="1">IFERROR(__xludf.DUMMYFUNCTION("""COMPUTED_VALUE"""),"PMU")</f>
        <v>PMU</v>
      </c>
      <c r="O562" s="1"/>
      <c r="P562" s="1"/>
      <c r="Q562" s="1"/>
      <c r="R562" s="1"/>
      <c r="S562" s="1"/>
      <c r="T562" s="1"/>
      <c r="U562" s="1"/>
      <c r="V562" s="1"/>
      <c r="W562" s="1"/>
      <c r="X562" s="1"/>
      <c r="Y562" s="1"/>
      <c r="Z562" s="1"/>
    </row>
    <row r="563" spans="1:26" ht="12.75" customHeight="1">
      <c r="A563" s="1"/>
      <c r="B563" s="10" t="str">
        <f ca="1">IFERROR(__xludf.DUMMYFUNCTION("""COMPUTED_VALUE"""),"CONSTRUCCIÓN CERCO PERIMETRAL TERRENO MUNICIPAL PROBOSTE COLMENARES, EMPEDRADO")</f>
        <v>CONSTRUCCIÓN CERCO PERIMETRAL TERRENO MUNICIPAL PROBOSTE COLMENARES, EMPEDRADO</v>
      </c>
      <c r="C563" s="10" t="str">
        <f ca="1">IFERROR(__xludf.DUMMYFUNCTION("""COMPUTED_VALUE"""),"1-B-2024-395")</f>
        <v>1-B-2024-395</v>
      </c>
      <c r="D563" s="26" t="str">
        <f t="shared" ca="1" si="0"/>
        <v xml:space="preserve"> EMPEDRADO</v>
      </c>
      <c r="E563" s="10" t="str">
        <f ca="1">IFERROR(__xludf.DUMMYFUNCTION("""COMPUTED_VALUE"""),"Guía Operativa")</f>
        <v>Guía Operativa</v>
      </c>
      <c r="F563" s="10" t="str">
        <f ca="1">IFERROR(__xludf.DUMMYFUNCTION("""COMPUTED_VALUE"""),"MUNICIPALIDAD DE EMPEDRADO")</f>
        <v>MUNICIPALIDAD DE EMPEDRADO</v>
      </c>
      <c r="G563" s="71">
        <f ca="1">IFERROR(__xludf.DUMMYFUNCTION("""COMPUTED_VALUE"""),125929730)</f>
        <v>125929730</v>
      </c>
      <c r="H563" s="10" t="str">
        <f ca="1">IFERROR(__xludf.DUMMYFUNCTION("""COMPUTED_VALUE"""),"Resolución")</f>
        <v>Resolución</v>
      </c>
      <c r="I563" s="10" t="str">
        <f ca="1">IFERROR(__xludf.DUMMYFUNCTION("""COMPUTED_VALUE"""),"OBRA")</f>
        <v>OBRA</v>
      </c>
      <c r="J563" s="10" t="str">
        <f ca="1">IFERROR(__xludf.DUMMYFUNCTION("""COMPUTED_VALUE"""),"Cumplir con normativa y reglamentos internos del programa en base a los objetivos.")</f>
        <v>Cumplir con normativa y reglamentos internos del programa en base a los objetivos.</v>
      </c>
      <c r="K563" s="71">
        <f ca="1">IFERROR(__xludf.DUMMYFUNCTION("""COMPUTED_VALUE"""),125929730)</f>
        <v>125929730</v>
      </c>
      <c r="L563" s="72">
        <f ca="1">IFERROR(__xludf.DUMMYFUNCTION("""COMPUTED_VALUE"""),1)</f>
        <v>1</v>
      </c>
      <c r="M563" s="10">
        <f ca="1">IFERROR(__xludf.DUMMYFUNCTION("""COMPUTED_VALUE"""),8043)</f>
        <v>8043</v>
      </c>
      <c r="N563" s="10" t="str">
        <f ca="1">IFERROR(__xludf.DUMMYFUNCTION("""COMPUTED_VALUE"""),"PMU")</f>
        <v>PMU</v>
      </c>
      <c r="O563" s="1"/>
      <c r="P563" s="1"/>
      <c r="Q563" s="1"/>
      <c r="R563" s="1"/>
      <c r="S563" s="1"/>
      <c r="T563" s="1"/>
      <c r="U563" s="1"/>
      <c r="V563" s="1"/>
      <c r="W563" s="1"/>
      <c r="X563" s="1"/>
      <c r="Y563" s="1"/>
      <c r="Z563" s="1"/>
    </row>
    <row r="564" spans="1:26" ht="12.75" customHeight="1">
      <c r="A564" s="1"/>
      <c r="B564" s="10" t="str">
        <f ca="1">IFERROR(__xludf.DUMMYFUNCTION("""COMPUTED_VALUE"""),"REPOSICION PUENTE COMUNIDAD MALLA MALLA ALTO BIOBIO")</f>
        <v>REPOSICION PUENTE COMUNIDAD MALLA MALLA ALTO BIOBIO</v>
      </c>
      <c r="C564" s="10" t="str">
        <f ca="1">IFERROR(__xludf.DUMMYFUNCTION("""COMPUTED_VALUE"""),"1-C-2023-2076")</f>
        <v>1-C-2023-2076</v>
      </c>
      <c r="D564" s="26" t="str">
        <f t="shared" ca="1" si="0"/>
        <v xml:space="preserve"> ALTO BIOBÍO</v>
      </c>
      <c r="E564" s="10" t="str">
        <f ca="1">IFERROR(__xludf.DUMMYFUNCTION("""COMPUTED_VALUE"""),"Guía Operativa")</f>
        <v>Guía Operativa</v>
      </c>
      <c r="F564" s="10" t="str">
        <f ca="1">IFERROR(__xludf.DUMMYFUNCTION("""COMPUTED_VALUE"""),"MUNICIPALIDAD DE ALTO BIOBÍO")</f>
        <v>MUNICIPALIDAD DE ALTO BIOBÍO</v>
      </c>
      <c r="G564" s="71">
        <f ca="1">IFERROR(__xludf.DUMMYFUNCTION("""COMPUTED_VALUE"""),160786547)</f>
        <v>160786547</v>
      </c>
      <c r="H564" s="10" t="str">
        <f ca="1">IFERROR(__xludf.DUMMYFUNCTION("""COMPUTED_VALUE"""),"Resolución")</f>
        <v>Resolución</v>
      </c>
      <c r="I564" s="10" t="str">
        <f ca="1">IFERROR(__xludf.DUMMYFUNCTION("""COMPUTED_VALUE"""),"OBRA")</f>
        <v>OBRA</v>
      </c>
      <c r="J564" s="10" t="str">
        <f ca="1">IFERROR(__xludf.DUMMYFUNCTION("""COMPUTED_VALUE"""),"Cumplir con normativa y reglamentos internos del programa en base a los objetivos.")</f>
        <v>Cumplir con normativa y reglamentos internos del programa en base a los objetivos.</v>
      </c>
      <c r="K564" s="71">
        <f ca="1">IFERROR(__xludf.DUMMYFUNCTION("""COMPUTED_VALUE"""),80393274)</f>
        <v>80393274</v>
      </c>
      <c r="L564" s="72">
        <f ca="1">IFERROR(__xludf.DUMMYFUNCTION("""COMPUTED_VALUE"""),0.500000003109712)</f>
        <v>0.50000000310971204</v>
      </c>
      <c r="M564" s="10">
        <f ca="1">IFERROR(__xludf.DUMMYFUNCTION("""COMPUTED_VALUE"""),8488)</f>
        <v>8488</v>
      </c>
      <c r="N564" s="10" t="str">
        <f ca="1">IFERROR(__xludf.DUMMYFUNCTION("""COMPUTED_VALUE"""),"PMU")</f>
        <v>PMU</v>
      </c>
      <c r="O564" s="1"/>
      <c r="P564" s="1"/>
      <c r="Q564" s="1"/>
      <c r="R564" s="1"/>
      <c r="S564" s="1"/>
      <c r="T564" s="1"/>
      <c r="U564" s="1"/>
      <c r="V564" s="1"/>
      <c r="W564" s="1"/>
      <c r="X564" s="1"/>
      <c r="Y564" s="1"/>
      <c r="Z564" s="1"/>
    </row>
    <row r="565" spans="1:26" ht="12.75" customHeight="1">
      <c r="A565" s="1"/>
      <c r="B565" s="10" t="str">
        <f ca="1">IFERROR(__xludf.DUMMYFUNCTION("""COMPUTED_VALUE"""),"CONSTRUCCION PASARELA CAUÑICU ALTO BIOBIO")</f>
        <v>CONSTRUCCION PASARELA CAUÑICU ALTO BIOBIO</v>
      </c>
      <c r="C565" s="10" t="str">
        <f ca="1">IFERROR(__xludf.DUMMYFUNCTION("""COMPUTED_VALUE"""),"1-C-2023-2077")</f>
        <v>1-C-2023-2077</v>
      </c>
      <c r="D565" s="26" t="str">
        <f t="shared" ca="1" si="0"/>
        <v xml:space="preserve"> ALTO BIOBÍO</v>
      </c>
      <c r="E565" s="10" t="str">
        <f ca="1">IFERROR(__xludf.DUMMYFUNCTION("""COMPUTED_VALUE"""),"Guía Operativa")</f>
        <v>Guía Operativa</v>
      </c>
      <c r="F565" s="10" t="str">
        <f ca="1">IFERROR(__xludf.DUMMYFUNCTION("""COMPUTED_VALUE"""),"MUNICIPALIDAD DE ALTO BIOBÍO")</f>
        <v>MUNICIPALIDAD DE ALTO BIOBÍO</v>
      </c>
      <c r="G565" s="71">
        <f ca="1">IFERROR(__xludf.DUMMYFUNCTION("""COMPUTED_VALUE"""),160404346)</f>
        <v>160404346</v>
      </c>
      <c r="H565" s="10" t="str">
        <f ca="1">IFERROR(__xludf.DUMMYFUNCTION("""COMPUTED_VALUE"""),"Resolución")</f>
        <v>Resolución</v>
      </c>
      <c r="I565" s="10" t="str">
        <f ca="1">IFERROR(__xludf.DUMMYFUNCTION("""COMPUTED_VALUE"""),"OBRA")</f>
        <v>OBRA</v>
      </c>
      <c r="J565" s="10" t="str">
        <f ca="1">IFERROR(__xludf.DUMMYFUNCTION("""COMPUTED_VALUE"""),"Cumplir con normativa y reglamentos internos del programa en base a los objetivos.")</f>
        <v>Cumplir con normativa y reglamentos internos del programa en base a los objetivos.</v>
      </c>
      <c r="K565" s="71">
        <f ca="1">IFERROR(__xludf.DUMMYFUNCTION("""COMPUTED_VALUE"""),80202173)</f>
        <v>80202173</v>
      </c>
      <c r="L565" s="72">
        <f ca="1">IFERROR(__xludf.DUMMYFUNCTION("""COMPUTED_VALUE"""),0.5)</f>
        <v>0.5</v>
      </c>
      <c r="M565" s="10">
        <f ca="1">IFERROR(__xludf.DUMMYFUNCTION("""COMPUTED_VALUE"""),8488)</f>
        <v>8488</v>
      </c>
      <c r="N565" s="10" t="str">
        <f ca="1">IFERROR(__xludf.DUMMYFUNCTION("""COMPUTED_VALUE"""),"PMU")</f>
        <v>PMU</v>
      </c>
      <c r="O565" s="1"/>
      <c r="P565" s="1"/>
      <c r="Q565" s="1"/>
      <c r="R565" s="1"/>
      <c r="S565" s="1"/>
      <c r="T565" s="1"/>
      <c r="U565" s="1"/>
      <c r="V565" s="1"/>
      <c r="W565" s="1"/>
      <c r="X565" s="1"/>
      <c r="Y565" s="1"/>
      <c r="Z565" s="1"/>
    </row>
    <row r="566" spans="1:26" ht="12.75" customHeight="1">
      <c r="A566" s="1"/>
      <c r="B566" s="10" t="str">
        <f ca="1">IFERROR(__xludf.DUMMYFUNCTION("""COMPUTED_VALUE"""),"MEJORAMIENTO RECINTO DEPORTIVO CHAIMÁVIDA")</f>
        <v>MEJORAMIENTO RECINTO DEPORTIVO CHAIMÁVIDA</v>
      </c>
      <c r="C566" s="10" t="str">
        <f ca="1">IFERROR(__xludf.DUMMYFUNCTION("""COMPUTED_VALUE"""),"1-C-2023-2782")</f>
        <v>1-C-2023-2782</v>
      </c>
      <c r="D566" s="26" t="str">
        <f t="shared" ca="1" si="0"/>
        <v xml:space="preserve"> CONCEPCIÓN</v>
      </c>
      <c r="E566" s="10" t="str">
        <f ca="1">IFERROR(__xludf.DUMMYFUNCTION("""COMPUTED_VALUE"""),"Guía Operativa")</f>
        <v>Guía Operativa</v>
      </c>
      <c r="F566" s="10" t="str">
        <f ca="1">IFERROR(__xludf.DUMMYFUNCTION("""COMPUTED_VALUE"""),"MUNICIPALIDAD DE CONCEPCIÓN")</f>
        <v>MUNICIPALIDAD DE CONCEPCIÓN</v>
      </c>
      <c r="G566" s="71">
        <f ca="1">IFERROR(__xludf.DUMMYFUNCTION("""COMPUTED_VALUE"""),153619196)</f>
        <v>153619196</v>
      </c>
      <c r="H566" s="10" t="str">
        <f ca="1">IFERROR(__xludf.DUMMYFUNCTION("""COMPUTED_VALUE"""),"Resolución")</f>
        <v>Resolución</v>
      </c>
      <c r="I566" s="10" t="str">
        <f ca="1">IFERROR(__xludf.DUMMYFUNCTION("""COMPUTED_VALUE"""),"OBRA")</f>
        <v>OBRA</v>
      </c>
      <c r="J566" s="10" t="str">
        <f ca="1">IFERROR(__xludf.DUMMYFUNCTION("""COMPUTED_VALUE"""),"Cumplir con normativa y reglamentos internos del programa en base a los objetivos.")</f>
        <v>Cumplir con normativa y reglamentos internos del programa en base a los objetivos.</v>
      </c>
      <c r="K566" s="71">
        <f ca="1">IFERROR(__xludf.DUMMYFUNCTION("""COMPUTED_VALUE"""),153619196)</f>
        <v>153619196</v>
      </c>
      <c r="L566" s="72">
        <f ca="1">IFERROR(__xludf.DUMMYFUNCTION("""COMPUTED_VALUE"""),1)</f>
        <v>1</v>
      </c>
      <c r="M566" s="10">
        <f ca="1">IFERROR(__xludf.DUMMYFUNCTION("""COMPUTED_VALUE"""),8037)</f>
        <v>8037</v>
      </c>
      <c r="N566" s="10" t="str">
        <f ca="1">IFERROR(__xludf.DUMMYFUNCTION("""COMPUTED_VALUE"""),"PMU")</f>
        <v>PMU</v>
      </c>
      <c r="O566" s="1"/>
      <c r="P566" s="1"/>
      <c r="Q566" s="1"/>
      <c r="R566" s="1"/>
      <c r="S566" s="1"/>
      <c r="T566" s="1"/>
      <c r="U566" s="1"/>
      <c r="V566" s="1"/>
      <c r="W566" s="1"/>
      <c r="X566" s="1"/>
      <c r="Y566" s="1"/>
      <c r="Z566" s="1"/>
    </row>
    <row r="567" spans="1:26" ht="12.75" customHeight="1">
      <c r="A567" s="1"/>
      <c r="B567" s="10" t="str">
        <f ca="1">IFERROR(__xludf.DUMMYFUNCTION("""COMPUTED_VALUE"""),"CONSTRUCCION PUENTE Y MEJORAMIENTO PASARELA COMUNIDAD DE BUTALELBUN")</f>
        <v>CONSTRUCCION PUENTE Y MEJORAMIENTO PASARELA COMUNIDAD DE BUTALELBUN</v>
      </c>
      <c r="C567" s="10" t="str">
        <f ca="1">IFERROR(__xludf.DUMMYFUNCTION("""COMPUTED_VALUE"""),"1-C-2023-3162")</f>
        <v>1-C-2023-3162</v>
      </c>
      <c r="D567" s="26" t="str">
        <f t="shared" ca="1" si="0"/>
        <v xml:space="preserve"> ALTO BIOBÍO</v>
      </c>
      <c r="E567" s="10" t="str">
        <f ca="1">IFERROR(__xludf.DUMMYFUNCTION("""COMPUTED_VALUE"""),"Guía Operativa")</f>
        <v>Guía Operativa</v>
      </c>
      <c r="F567" s="10" t="str">
        <f ca="1">IFERROR(__xludf.DUMMYFUNCTION("""COMPUTED_VALUE"""),"MUNICIPALIDAD DE ALTO BIOBÍO")</f>
        <v>MUNICIPALIDAD DE ALTO BIOBÍO</v>
      </c>
      <c r="G567" s="71">
        <f ca="1">IFERROR(__xludf.DUMMYFUNCTION("""COMPUTED_VALUE"""),90030509)</f>
        <v>90030509</v>
      </c>
      <c r="H567" s="10" t="str">
        <f ca="1">IFERROR(__xludf.DUMMYFUNCTION("""COMPUTED_VALUE"""),"Resolución")</f>
        <v>Resolución</v>
      </c>
      <c r="I567" s="10" t="str">
        <f ca="1">IFERROR(__xludf.DUMMYFUNCTION("""COMPUTED_VALUE"""),"OBRA")</f>
        <v>OBRA</v>
      </c>
      <c r="J567" s="10" t="str">
        <f ca="1">IFERROR(__xludf.DUMMYFUNCTION("""COMPUTED_VALUE"""),"Cumplir con normativa y reglamentos internos del programa en base a los objetivos.")</f>
        <v>Cumplir con normativa y reglamentos internos del programa en base a los objetivos.</v>
      </c>
      <c r="K567" s="71">
        <f ca="1">IFERROR(__xludf.DUMMYFUNCTION("""COMPUTED_VALUE"""),90030509)</f>
        <v>90030509</v>
      </c>
      <c r="L567" s="72">
        <f ca="1">IFERROR(__xludf.DUMMYFUNCTION("""COMPUTED_VALUE"""),1)</f>
        <v>1</v>
      </c>
      <c r="M567" s="10">
        <f ca="1">IFERROR(__xludf.DUMMYFUNCTION("""COMPUTED_VALUE"""),8003)</f>
        <v>8003</v>
      </c>
      <c r="N567" s="10" t="str">
        <f ca="1">IFERROR(__xludf.DUMMYFUNCTION("""COMPUTED_VALUE"""),"PMU")</f>
        <v>PMU</v>
      </c>
      <c r="O567" s="1"/>
      <c r="P567" s="1"/>
      <c r="Q567" s="1"/>
      <c r="R567" s="1"/>
      <c r="S567" s="1"/>
      <c r="T567" s="1"/>
      <c r="U567" s="1"/>
      <c r="V567" s="1"/>
      <c r="W567" s="1"/>
      <c r="X567" s="1"/>
      <c r="Y567" s="1"/>
      <c r="Z567" s="1"/>
    </row>
    <row r="568" spans="1:26" ht="12.75" customHeight="1">
      <c r="A568" s="1"/>
      <c r="B568" s="10" t="str">
        <f ca="1">IFERROR(__xludf.DUMMYFUNCTION("""COMPUTED_VALUE"""),"MEJORAMIENTO ENTORNO ESCALERA MARTÍNEZ DE ROZAS ENTRE CALLE SARGENTO ALDEA Y PASAJE CRUZ BAJA")</f>
        <v>MEJORAMIENTO ENTORNO ESCALERA MARTÍNEZ DE ROZAS ENTRE CALLE SARGENTO ALDEA Y PASAJE CRUZ BAJA</v>
      </c>
      <c r="C568" s="10" t="str">
        <f ca="1">IFERROR(__xludf.DUMMYFUNCTION("""COMPUTED_VALUE"""),"1-B-2024-193")</f>
        <v>1-B-2024-193</v>
      </c>
      <c r="D568" s="26" t="str">
        <f t="shared" ca="1" si="0"/>
        <v xml:space="preserve"> CURANILAHUE</v>
      </c>
      <c r="E568" s="10" t="str">
        <f ca="1">IFERROR(__xludf.DUMMYFUNCTION("""COMPUTED_VALUE"""),"Guía Operativa")</f>
        <v>Guía Operativa</v>
      </c>
      <c r="F568" s="10" t="str">
        <f ca="1">IFERROR(__xludf.DUMMYFUNCTION("""COMPUTED_VALUE"""),"MUNICIPALIDAD DE CURANILAHUE")</f>
        <v>MUNICIPALIDAD DE CURANILAHUE</v>
      </c>
      <c r="G568" s="71">
        <f ca="1">IFERROR(__xludf.DUMMYFUNCTION("""COMPUTED_VALUE"""),156756518)</f>
        <v>156756518</v>
      </c>
      <c r="H568" s="10" t="str">
        <f ca="1">IFERROR(__xludf.DUMMYFUNCTION("""COMPUTED_VALUE"""),"Resolución")</f>
        <v>Resolución</v>
      </c>
      <c r="I568" s="10" t="str">
        <f ca="1">IFERROR(__xludf.DUMMYFUNCTION("""COMPUTED_VALUE"""),"OBRA")</f>
        <v>OBRA</v>
      </c>
      <c r="J568" s="10" t="str">
        <f ca="1">IFERROR(__xludf.DUMMYFUNCTION("""COMPUTED_VALUE"""),"Cumplir con normativa y reglamentos internos del programa en base a los objetivos.")</f>
        <v>Cumplir con normativa y reglamentos internos del programa en base a los objetivos.</v>
      </c>
      <c r="K568" s="71">
        <f ca="1">IFERROR(__xludf.DUMMYFUNCTION("""COMPUTED_VALUE"""),156756518)</f>
        <v>156756518</v>
      </c>
      <c r="L568" s="72">
        <f ca="1">IFERROR(__xludf.DUMMYFUNCTION("""COMPUTED_VALUE"""),1)</f>
        <v>1</v>
      </c>
      <c r="M568" s="10">
        <f ca="1">IFERROR(__xludf.DUMMYFUNCTION("""COMPUTED_VALUE"""),8054)</f>
        <v>8054</v>
      </c>
      <c r="N568" s="10" t="str">
        <f ca="1">IFERROR(__xludf.DUMMYFUNCTION("""COMPUTED_VALUE"""),"PMU")</f>
        <v>PMU</v>
      </c>
      <c r="O568" s="1"/>
      <c r="P568" s="1"/>
      <c r="Q568" s="1"/>
      <c r="R568" s="1"/>
      <c r="S568" s="1"/>
      <c r="T568" s="1"/>
      <c r="U568" s="1"/>
      <c r="V568" s="1"/>
      <c r="W568" s="1"/>
      <c r="X568" s="1"/>
      <c r="Y568" s="1"/>
      <c r="Z568" s="1"/>
    </row>
    <row r="569" spans="1:26" ht="12.75" customHeight="1">
      <c r="A569" s="1"/>
      <c r="B569" s="10" t="str">
        <f ca="1">IFERROR(__xludf.DUMMYFUNCTION("""COMPUTED_VALUE"""),"REPOSICIÓN VEREDAS E INSTALACIÓN DE VALLAS PEATONALES PASAJE PEDRO LAGOS")</f>
        <v>REPOSICIÓN VEREDAS E INSTALACIÓN DE VALLAS PEATONALES PASAJE PEDRO LAGOS</v>
      </c>
      <c r="C569" s="10" t="str">
        <f ca="1">IFERROR(__xludf.DUMMYFUNCTION("""COMPUTED_VALUE"""),"1-B-2024-202")</f>
        <v>1-B-2024-202</v>
      </c>
      <c r="D569" s="26" t="str">
        <f t="shared" ca="1" si="0"/>
        <v xml:space="preserve"> CURANILAHUE</v>
      </c>
      <c r="E569" s="10" t="str">
        <f ca="1">IFERROR(__xludf.DUMMYFUNCTION("""COMPUTED_VALUE"""),"Guía Operativa")</f>
        <v>Guía Operativa</v>
      </c>
      <c r="F569" s="10" t="str">
        <f ca="1">IFERROR(__xludf.DUMMYFUNCTION("""COMPUTED_VALUE"""),"MUNICIPALIDAD DE CURANILAHUE")</f>
        <v>MUNICIPALIDAD DE CURANILAHUE</v>
      </c>
      <c r="G569" s="71">
        <f ca="1">IFERROR(__xludf.DUMMYFUNCTION("""COMPUTED_VALUE"""),151983560)</f>
        <v>151983560</v>
      </c>
      <c r="H569" s="10" t="str">
        <f ca="1">IFERROR(__xludf.DUMMYFUNCTION("""COMPUTED_VALUE"""),"Resolución")</f>
        <v>Resolución</v>
      </c>
      <c r="I569" s="10" t="str">
        <f ca="1">IFERROR(__xludf.DUMMYFUNCTION("""COMPUTED_VALUE"""),"OBRA")</f>
        <v>OBRA</v>
      </c>
      <c r="J569" s="10" t="str">
        <f ca="1">IFERROR(__xludf.DUMMYFUNCTION("""COMPUTED_VALUE"""),"Cumplir con normativa y reglamentos internos del programa en base a los objetivos.")</f>
        <v>Cumplir con normativa y reglamentos internos del programa en base a los objetivos.</v>
      </c>
      <c r="K569" s="71">
        <f ca="1">IFERROR(__xludf.DUMMYFUNCTION("""COMPUTED_VALUE"""),151983560)</f>
        <v>151983560</v>
      </c>
      <c r="L569" s="72">
        <f ca="1">IFERROR(__xludf.DUMMYFUNCTION("""COMPUTED_VALUE"""),1)</f>
        <v>1</v>
      </c>
      <c r="M569" s="10">
        <f ca="1">IFERROR(__xludf.DUMMYFUNCTION("""COMPUTED_VALUE"""),8052)</f>
        <v>8052</v>
      </c>
      <c r="N569" s="10" t="str">
        <f ca="1">IFERROR(__xludf.DUMMYFUNCTION("""COMPUTED_VALUE"""),"PMU")</f>
        <v>PMU</v>
      </c>
      <c r="O569" s="1"/>
      <c r="P569" s="1"/>
      <c r="Q569" s="1"/>
      <c r="R569" s="1"/>
      <c r="S569" s="1"/>
      <c r="T569" s="1"/>
      <c r="U569" s="1"/>
      <c r="V569" s="1"/>
      <c r="W569" s="1"/>
      <c r="X569" s="1"/>
      <c r="Y569" s="1"/>
      <c r="Z569" s="1"/>
    </row>
    <row r="570" spans="1:26" ht="12.75" customHeight="1">
      <c r="A570" s="1"/>
      <c r="B570" s="10" t="str">
        <f ca="1">IFERROR(__xludf.DUMMYFUNCTION("""COMPUTED_VALUE"""),"MEJORAMIENTO ZONA DE JUEGOS INFANTILES FRENTE A ESCUELA GABRIELA MISTRAL")</f>
        <v>MEJORAMIENTO ZONA DE JUEGOS INFANTILES FRENTE A ESCUELA GABRIELA MISTRAL</v>
      </c>
      <c r="C570" s="10" t="str">
        <f ca="1">IFERROR(__xludf.DUMMYFUNCTION("""COMPUTED_VALUE"""),"1-B-2024-203")</f>
        <v>1-B-2024-203</v>
      </c>
      <c r="D570" s="26" t="str">
        <f t="shared" ca="1" si="0"/>
        <v xml:space="preserve"> CURANILAHUE</v>
      </c>
      <c r="E570" s="10" t="str">
        <f ca="1">IFERROR(__xludf.DUMMYFUNCTION("""COMPUTED_VALUE"""),"Guía Operativa")</f>
        <v>Guía Operativa</v>
      </c>
      <c r="F570" s="10" t="str">
        <f ca="1">IFERROR(__xludf.DUMMYFUNCTION("""COMPUTED_VALUE"""),"MUNICIPALIDAD DE CURANILAHUE")</f>
        <v>MUNICIPALIDAD DE CURANILAHUE</v>
      </c>
      <c r="G570" s="71">
        <f ca="1">IFERROR(__xludf.DUMMYFUNCTION("""COMPUTED_VALUE"""),152167260)</f>
        <v>152167260</v>
      </c>
      <c r="H570" s="10" t="str">
        <f ca="1">IFERROR(__xludf.DUMMYFUNCTION("""COMPUTED_VALUE"""),"Resolución")</f>
        <v>Resolución</v>
      </c>
      <c r="I570" s="10" t="str">
        <f ca="1">IFERROR(__xludf.DUMMYFUNCTION("""COMPUTED_VALUE"""),"OBRA")</f>
        <v>OBRA</v>
      </c>
      <c r="J570" s="10" t="str">
        <f ca="1">IFERROR(__xludf.DUMMYFUNCTION("""COMPUTED_VALUE"""),"Cumplir con normativa y reglamentos internos del programa en base a los objetivos.")</f>
        <v>Cumplir con normativa y reglamentos internos del programa en base a los objetivos.</v>
      </c>
      <c r="K570" s="71">
        <f ca="1">IFERROR(__xludf.DUMMYFUNCTION("""COMPUTED_VALUE"""),152167260)</f>
        <v>152167260</v>
      </c>
      <c r="L570" s="72">
        <f ca="1">IFERROR(__xludf.DUMMYFUNCTION("""COMPUTED_VALUE"""),1)</f>
        <v>1</v>
      </c>
      <c r="M570" s="10">
        <f ca="1">IFERROR(__xludf.DUMMYFUNCTION("""COMPUTED_VALUE"""),8057)</f>
        <v>8057</v>
      </c>
      <c r="N570" s="10" t="str">
        <f ca="1">IFERROR(__xludf.DUMMYFUNCTION("""COMPUTED_VALUE"""),"PMU")</f>
        <v>PMU</v>
      </c>
      <c r="O570" s="1"/>
      <c r="P570" s="1"/>
      <c r="Q570" s="1"/>
      <c r="R570" s="1"/>
      <c r="S570" s="1"/>
      <c r="T570" s="1"/>
      <c r="U570" s="1"/>
      <c r="V570" s="1"/>
      <c r="W570" s="1"/>
      <c r="X570" s="1"/>
      <c r="Y570" s="1"/>
      <c r="Z570" s="1"/>
    </row>
    <row r="571" spans="1:26" ht="12.75" customHeight="1">
      <c r="A571" s="1"/>
      <c r="B571" s="10" t="str">
        <f ca="1">IFERROR(__xludf.DUMMYFUNCTION("""COMPUTED_VALUE"""),"CONSTRUCCION MURO DE CONTENCION,CALLE LOS SAUCES ESQUINA R.SCHNEIDER, POBLACION SANTA ROSA")</f>
        <v>CONSTRUCCION MURO DE CONTENCION,CALLE LOS SAUCES ESQUINA R.SCHNEIDER, POBLACION SANTA ROSA</v>
      </c>
      <c r="C571" s="10" t="str">
        <f ca="1">IFERROR(__xludf.DUMMYFUNCTION("""COMPUTED_VALUE"""),"1-K-2024-17")</f>
        <v>1-K-2024-17</v>
      </c>
      <c r="D571" s="26" t="str">
        <f t="shared" ca="1" si="0"/>
        <v xml:space="preserve"> PENCO</v>
      </c>
      <c r="E571" s="10" t="str">
        <f ca="1">IFERROR(__xludf.DUMMYFUNCTION("""COMPUTED_VALUE"""),"Guía Operativa")</f>
        <v>Guía Operativa</v>
      </c>
      <c r="F571" s="10" t="str">
        <f ca="1">IFERROR(__xludf.DUMMYFUNCTION("""COMPUTED_VALUE"""),"MUNICIPALIDAD DE PENCO")</f>
        <v>MUNICIPALIDAD DE PENCO</v>
      </c>
      <c r="G571" s="71">
        <f ca="1">IFERROR(__xludf.DUMMYFUNCTION("""COMPUTED_VALUE"""),92148134)</f>
        <v>92148134</v>
      </c>
      <c r="H571" s="10" t="str">
        <f ca="1">IFERROR(__xludf.DUMMYFUNCTION("""COMPUTED_VALUE"""),"Resolución")</f>
        <v>Resolución</v>
      </c>
      <c r="I571" s="10" t="str">
        <f ca="1">IFERROR(__xludf.DUMMYFUNCTION("""COMPUTED_VALUE"""),"OBRA")</f>
        <v>OBRA</v>
      </c>
      <c r="J571" s="10" t="str">
        <f ca="1">IFERROR(__xludf.DUMMYFUNCTION("""COMPUTED_VALUE"""),"Cumplir con normativa y reglamentos internos del programa en base a los objetivos.")</f>
        <v>Cumplir con normativa y reglamentos internos del programa en base a los objetivos.</v>
      </c>
      <c r="K571" s="71">
        <f ca="1">IFERROR(__xludf.DUMMYFUNCTION("""COMPUTED_VALUE"""),46074067)</f>
        <v>46074067</v>
      </c>
      <c r="L571" s="72">
        <f ca="1">IFERROR(__xludf.DUMMYFUNCTION("""COMPUTED_VALUE"""),0.5)</f>
        <v>0.5</v>
      </c>
      <c r="M571" s="10">
        <f ca="1">IFERROR(__xludf.DUMMYFUNCTION("""COMPUTED_VALUE"""),8059)</f>
        <v>8059</v>
      </c>
      <c r="N571" s="10" t="str">
        <f ca="1">IFERROR(__xludf.DUMMYFUNCTION("""COMPUTED_VALUE"""),"PMU")</f>
        <v>PMU</v>
      </c>
      <c r="O571" s="1"/>
      <c r="P571" s="1"/>
      <c r="Q571" s="1"/>
      <c r="R571" s="1"/>
      <c r="S571" s="1"/>
      <c r="T571" s="1"/>
      <c r="U571" s="1"/>
      <c r="V571" s="1"/>
      <c r="W571" s="1"/>
      <c r="X571" s="1"/>
      <c r="Y571" s="1"/>
      <c r="Z571" s="1"/>
    </row>
    <row r="572" spans="1:26" ht="12.75" customHeight="1">
      <c r="A572" s="1"/>
      <c r="B572" s="10" t="str">
        <f ca="1">IFERROR(__xludf.DUMMYFUNCTION("""COMPUTED_VALUE"""),"REPOSICION DE ACERAS, CALLE ROBLES ENTRE OHIGGINS Y CARRERA (ACERA NORTE)")</f>
        <v>REPOSICION DE ACERAS, CALLE ROBLES ENTRE OHIGGINS Y CARRERA (ACERA NORTE)</v>
      </c>
      <c r="C572" s="10" t="str">
        <f ca="1">IFERROR(__xludf.DUMMYFUNCTION("""COMPUTED_VALUE"""),"1-K-2024-18")</f>
        <v>1-K-2024-18</v>
      </c>
      <c r="D572" s="26" t="str">
        <f t="shared" ca="1" si="0"/>
        <v xml:space="preserve"> PENCO</v>
      </c>
      <c r="E572" s="10" t="str">
        <f ca="1">IFERROR(__xludf.DUMMYFUNCTION("""COMPUTED_VALUE"""),"Guía Operativa")</f>
        <v>Guía Operativa</v>
      </c>
      <c r="F572" s="10" t="str">
        <f ca="1">IFERROR(__xludf.DUMMYFUNCTION("""COMPUTED_VALUE"""),"MUNICIPALIDAD DE PENCO")</f>
        <v>MUNICIPALIDAD DE PENCO</v>
      </c>
      <c r="G572" s="71">
        <f ca="1">IFERROR(__xludf.DUMMYFUNCTION("""COMPUTED_VALUE"""),80988635)</f>
        <v>80988635</v>
      </c>
      <c r="H572" s="10" t="str">
        <f ca="1">IFERROR(__xludf.DUMMYFUNCTION("""COMPUTED_VALUE"""),"Resolución")</f>
        <v>Resolución</v>
      </c>
      <c r="I572" s="10" t="str">
        <f ca="1">IFERROR(__xludf.DUMMYFUNCTION("""COMPUTED_VALUE"""),"OBRA")</f>
        <v>OBRA</v>
      </c>
      <c r="J572" s="10" t="str">
        <f ca="1">IFERROR(__xludf.DUMMYFUNCTION("""COMPUTED_VALUE"""),"Cumplir con normativa y reglamentos internos del programa en base a los objetivos.")</f>
        <v>Cumplir con normativa y reglamentos internos del programa en base a los objetivos.</v>
      </c>
      <c r="K572" s="71">
        <f ca="1">IFERROR(__xludf.DUMMYFUNCTION("""COMPUTED_VALUE"""),40494318)</f>
        <v>40494318</v>
      </c>
      <c r="L572" s="72">
        <f ca="1">IFERROR(__xludf.DUMMYFUNCTION("""COMPUTED_VALUE"""),0.500000006173705)</f>
        <v>0.50000000617370499</v>
      </c>
      <c r="M572" s="10">
        <f ca="1">IFERROR(__xludf.DUMMYFUNCTION("""COMPUTED_VALUE"""),8059)</f>
        <v>8059</v>
      </c>
      <c r="N572" s="10" t="str">
        <f ca="1">IFERROR(__xludf.DUMMYFUNCTION("""COMPUTED_VALUE"""),"PMU")</f>
        <v>PMU</v>
      </c>
      <c r="O572" s="1"/>
      <c r="P572" s="1"/>
      <c r="Q572" s="1"/>
      <c r="R572" s="1"/>
      <c r="S572" s="1"/>
      <c r="T572" s="1"/>
      <c r="U572" s="1"/>
      <c r="V572" s="1"/>
      <c r="W572" s="1"/>
      <c r="X572" s="1"/>
      <c r="Y572" s="1"/>
      <c r="Z572" s="1"/>
    </row>
    <row r="573" spans="1:26" ht="12.75" customHeight="1">
      <c r="A573" s="1"/>
      <c r="B573" s="10" t="str">
        <f ca="1">IFERROR(__xludf.DUMMYFUNCTION("""COMPUTED_VALUE"""),"RECUPERACION DE AREA VERDE,DESDE PASARELA A PSJE.SAN ANDRES, POBLACION SAN JORGE")</f>
        <v>RECUPERACION DE AREA VERDE,DESDE PASARELA A PSJE.SAN ANDRES, POBLACION SAN JORGE</v>
      </c>
      <c r="C573" s="10" t="str">
        <f ca="1">IFERROR(__xludf.DUMMYFUNCTION("""COMPUTED_VALUE"""),"1-K-2024-19")</f>
        <v>1-K-2024-19</v>
      </c>
      <c r="D573" s="26" t="str">
        <f t="shared" ca="1" si="0"/>
        <v xml:space="preserve"> PENCO</v>
      </c>
      <c r="E573" s="10" t="str">
        <f ca="1">IFERROR(__xludf.DUMMYFUNCTION("""COMPUTED_VALUE"""),"Guía Operativa")</f>
        <v>Guía Operativa</v>
      </c>
      <c r="F573" s="10" t="str">
        <f ca="1">IFERROR(__xludf.DUMMYFUNCTION("""COMPUTED_VALUE"""),"MUNICIPALIDAD DE PENCO")</f>
        <v>MUNICIPALIDAD DE PENCO</v>
      </c>
      <c r="G573" s="71">
        <f ca="1">IFERROR(__xludf.DUMMYFUNCTION("""COMPUTED_VALUE"""),62395730)</f>
        <v>62395730</v>
      </c>
      <c r="H573" s="10" t="str">
        <f ca="1">IFERROR(__xludf.DUMMYFUNCTION("""COMPUTED_VALUE"""),"Resolución")</f>
        <v>Resolución</v>
      </c>
      <c r="I573" s="10" t="str">
        <f ca="1">IFERROR(__xludf.DUMMYFUNCTION("""COMPUTED_VALUE"""),"OBRA")</f>
        <v>OBRA</v>
      </c>
      <c r="J573" s="10" t="str">
        <f ca="1">IFERROR(__xludf.DUMMYFUNCTION("""COMPUTED_VALUE"""),"Cumplir con normativa y reglamentos internos del programa en base a los objetivos.")</f>
        <v>Cumplir con normativa y reglamentos internos del programa en base a los objetivos.</v>
      </c>
      <c r="K573" s="71">
        <f ca="1">IFERROR(__xludf.DUMMYFUNCTION("""COMPUTED_VALUE"""),31197865)</f>
        <v>31197865</v>
      </c>
      <c r="L573" s="72">
        <f ca="1">IFERROR(__xludf.DUMMYFUNCTION("""COMPUTED_VALUE"""),0.5)</f>
        <v>0.5</v>
      </c>
      <c r="M573" s="10">
        <f ca="1">IFERROR(__xludf.DUMMYFUNCTION("""COMPUTED_VALUE"""),8059)</f>
        <v>8059</v>
      </c>
      <c r="N573" s="10" t="str">
        <f ca="1">IFERROR(__xludf.DUMMYFUNCTION("""COMPUTED_VALUE"""),"PMU")</f>
        <v>PMU</v>
      </c>
      <c r="O573" s="1"/>
      <c r="P573" s="1"/>
      <c r="Q573" s="1"/>
      <c r="R573" s="1"/>
      <c r="S573" s="1"/>
      <c r="T573" s="1"/>
      <c r="U573" s="1"/>
      <c r="V573" s="1"/>
      <c r="W573" s="1"/>
      <c r="X573" s="1"/>
      <c r="Y573" s="1"/>
      <c r="Z573" s="1"/>
    </row>
    <row r="574" spans="1:26" ht="12.75" customHeight="1">
      <c r="A574" s="1"/>
      <c r="B574" s="10" t="str">
        <f ca="1">IFERROR(__xludf.DUMMYFUNCTION("""COMPUTED_VALUE"""),"CONSTRUCCION DE AREA VERDE, PROLONGACION CALLE 4, ACCESO VILLA BELEN")</f>
        <v>CONSTRUCCION DE AREA VERDE, PROLONGACION CALLE 4, ACCESO VILLA BELEN</v>
      </c>
      <c r="C574" s="10" t="str">
        <f ca="1">IFERROR(__xludf.DUMMYFUNCTION("""COMPUTED_VALUE"""),"1-K-2024-20")</f>
        <v>1-K-2024-20</v>
      </c>
      <c r="D574" s="26" t="str">
        <f t="shared" ca="1" si="0"/>
        <v xml:space="preserve"> PENCO</v>
      </c>
      <c r="E574" s="10" t="str">
        <f ca="1">IFERROR(__xludf.DUMMYFUNCTION("""COMPUTED_VALUE"""),"Guía Operativa")</f>
        <v>Guía Operativa</v>
      </c>
      <c r="F574" s="10" t="str">
        <f ca="1">IFERROR(__xludf.DUMMYFUNCTION("""COMPUTED_VALUE"""),"MUNICIPALIDAD DE PENCO")</f>
        <v>MUNICIPALIDAD DE PENCO</v>
      </c>
      <c r="G574" s="71">
        <f ca="1">IFERROR(__xludf.DUMMYFUNCTION("""COMPUTED_VALUE"""),73967506)</f>
        <v>73967506</v>
      </c>
      <c r="H574" s="10" t="str">
        <f ca="1">IFERROR(__xludf.DUMMYFUNCTION("""COMPUTED_VALUE"""),"Resolución")</f>
        <v>Resolución</v>
      </c>
      <c r="I574" s="10" t="str">
        <f ca="1">IFERROR(__xludf.DUMMYFUNCTION("""COMPUTED_VALUE"""),"OBRA")</f>
        <v>OBRA</v>
      </c>
      <c r="J574" s="10" t="str">
        <f ca="1">IFERROR(__xludf.DUMMYFUNCTION("""COMPUTED_VALUE"""),"Cumplir con normativa y reglamentos internos del programa en base a los objetivos.")</f>
        <v>Cumplir con normativa y reglamentos internos del programa en base a los objetivos.</v>
      </c>
      <c r="K574" s="71">
        <f ca="1">IFERROR(__xludf.DUMMYFUNCTION("""COMPUTED_VALUE"""),36983753)</f>
        <v>36983753</v>
      </c>
      <c r="L574" s="72">
        <f ca="1">IFERROR(__xludf.DUMMYFUNCTION("""COMPUTED_VALUE"""),0.5)</f>
        <v>0.5</v>
      </c>
      <c r="M574" s="10">
        <f ca="1">IFERROR(__xludf.DUMMYFUNCTION("""COMPUTED_VALUE"""),8059)</f>
        <v>8059</v>
      </c>
      <c r="N574" s="10" t="str">
        <f ca="1">IFERROR(__xludf.DUMMYFUNCTION("""COMPUTED_VALUE"""),"PMU")</f>
        <v>PMU</v>
      </c>
      <c r="O574" s="1"/>
      <c r="P574" s="1"/>
      <c r="Q574" s="1"/>
      <c r="R574" s="1"/>
      <c r="S574" s="1"/>
      <c r="T574" s="1"/>
      <c r="U574" s="1"/>
      <c r="V574" s="1"/>
      <c r="W574" s="1"/>
      <c r="X574" s="1"/>
      <c r="Y574" s="1"/>
      <c r="Z574" s="1"/>
    </row>
    <row r="575" spans="1:26" ht="12.75" customHeight="1">
      <c r="A575" s="1"/>
      <c r="B575" s="10" t="str">
        <f ca="1">IFERROR(__xludf.DUMMYFUNCTION("""COMPUTED_VALUE"""),"RECUPERACION DE AREA VERDE, ACERA CALLE FRESIA, ENTRE RENE MENDOZA Y DAVID QUIROGA")</f>
        <v>RECUPERACION DE AREA VERDE, ACERA CALLE FRESIA, ENTRE RENE MENDOZA Y DAVID QUIROGA</v>
      </c>
      <c r="C575" s="10" t="str">
        <f ca="1">IFERROR(__xludf.DUMMYFUNCTION("""COMPUTED_VALUE"""),"1-K-2024-21")</f>
        <v>1-K-2024-21</v>
      </c>
      <c r="D575" s="26" t="str">
        <f t="shared" ca="1" si="0"/>
        <v xml:space="preserve"> PENCO</v>
      </c>
      <c r="E575" s="10" t="str">
        <f ca="1">IFERROR(__xludf.DUMMYFUNCTION("""COMPUTED_VALUE"""),"Guía Operativa")</f>
        <v>Guía Operativa</v>
      </c>
      <c r="F575" s="10" t="str">
        <f ca="1">IFERROR(__xludf.DUMMYFUNCTION("""COMPUTED_VALUE"""),"MUNICIPALIDAD DE PENCO")</f>
        <v>MUNICIPALIDAD DE PENCO</v>
      </c>
      <c r="G575" s="71">
        <f ca="1">IFERROR(__xludf.DUMMYFUNCTION("""COMPUTED_VALUE"""),86660350)</f>
        <v>86660350</v>
      </c>
      <c r="H575" s="10" t="str">
        <f ca="1">IFERROR(__xludf.DUMMYFUNCTION("""COMPUTED_VALUE"""),"Resolución")</f>
        <v>Resolución</v>
      </c>
      <c r="I575" s="10" t="str">
        <f ca="1">IFERROR(__xludf.DUMMYFUNCTION("""COMPUTED_VALUE"""),"OBRA")</f>
        <v>OBRA</v>
      </c>
      <c r="J575" s="10" t="str">
        <f ca="1">IFERROR(__xludf.DUMMYFUNCTION("""COMPUTED_VALUE"""),"Cumplir con normativa y reglamentos internos del programa en base a los objetivos.")</f>
        <v>Cumplir con normativa y reglamentos internos del programa en base a los objetivos.</v>
      </c>
      <c r="K575" s="71">
        <f ca="1">IFERROR(__xludf.DUMMYFUNCTION("""COMPUTED_VALUE"""),43330175)</f>
        <v>43330175</v>
      </c>
      <c r="L575" s="72">
        <f ca="1">IFERROR(__xludf.DUMMYFUNCTION("""COMPUTED_VALUE"""),0.5)</f>
        <v>0.5</v>
      </c>
      <c r="M575" s="10">
        <f ca="1">IFERROR(__xludf.DUMMYFUNCTION("""COMPUTED_VALUE"""),8061)</f>
        <v>8061</v>
      </c>
      <c r="N575" s="10" t="str">
        <f ca="1">IFERROR(__xludf.DUMMYFUNCTION("""COMPUTED_VALUE"""),"PMU")</f>
        <v>PMU</v>
      </c>
      <c r="O575" s="1"/>
      <c r="P575" s="1"/>
      <c r="Q575" s="1"/>
      <c r="R575" s="1"/>
      <c r="S575" s="1"/>
      <c r="T575" s="1"/>
      <c r="U575" s="1"/>
      <c r="V575" s="1"/>
      <c r="W575" s="1"/>
      <c r="X575" s="1"/>
      <c r="Y575" s="1"/>
      <c r="Z575" s="1"/>
    </row>
    <row r="576" spans="1:26" ht="12.75" customHeight="1">
      <c r="A576" s="1"/>
      <c r="B576" s="10" t="str">
        <f ca="1">IFERROR(__xludf.DUMMYFUNCTION("""COMPUTED_VALUE"""),"MEJORAMIENTO ACERA, PABELLÓN CLODOMIRO VELOSO, LOTA.")</f>
        <v>MEJORAMIENTO ACERA, PABELLÓN CLODOMIRO VELOSO, LOTA.</v>
      </c>
      <c r="C576" s="10" t="str">
        <f ca="1">IFERROR(__xludf.DUMMYFUNCTION("""COMPUTED_VALUE"""),"1-K-2024-24")</f>
        <v>1-K-2024-24</v>
      </c>
      <c r="D576" s="26" t="str">
        <f t="shared" ca="1" si="0"/>
        <v xml:space="preserve"> LOTA</v>
      </c>
      <c r="E576" s="10" t="str">
        <f ca="1">IFERROR(__xludf.DUMMYFUNCTION("""COMPUTED_VALUE"""),"Guía Operativa")</f>
        <v>Guía Operativa</v>
      </c>
      <c r="F576" s="10" t="str">
        <f ca="1">IFERROR(__xludf.DUMMYFUNCTION("""COMPUTED_VALUE"""),"MUNICIPALIDAD DE LOTA")</f>
        <v>MUNICIPALIDAD DE LOTA</v>
      </c>
      <c r="G576" s="71">
        <f ca="1">IFERROR(__xludf.DUMMYFUNCTION("""COMPUTED_VALUE"""),158182521)</f>
        <v>158182521</v>
      </c>
      <c r="H576" s="10" t="str">
        <f ca="1">IFERROR(__xludf.DUMMYFUNCTION("""COMPUTED_VALUE"""),"Resolución")</f>
        <v>Resolución</v>
      </c>
      <c r="I576" s="10" t="str">
        <f ca="1">IFERROR(__xludf.DUMMYFUNCTION("""COMPUTED_VALUE"""),"OBRA")</f>
        <v>OBRA</v>
      </c>
      <c r="J576" s="10" t="str">
        <f ca="1">IFERROR(__xludf.DUMMYFUNCTION("""COMPUTED_VALUE"""),"Cumplir con normativa y reglamentos internos del programa en base a los objetivos.")</f>
        <v>Cumplir con normativa y reglamentos internos del programa en base a los objetivos.</v>
      </c>
      <c r="K576" s="71">
        <f ca="1">IFERROR(__xludf.DUMMYFUNCTION("""COMPUTED_VALUE"""),79091261)</f>
        <v>79091261</v>
      </c>
      <c r="L576" s="72">
        <f ca="1">IFERROR(__xludf.DUMMYFUNCTION("""COMPUTED_VALUE"""),0.500000003160905)</f>
        <v>0.50000000316090498</v>
      </c>
      <c r="M576" s="10">
        <f ca="1">IFERROR(__xludf.DUMMYFUNCTION("""COMPUTED_VALUE"""),8060)</f>
        <v>8060</v>
      </c>
      <c r="N576" s="10" t="str">
        <f ca="1">IFERROR(__xludf.DUMMYFUNCTION("""COMPUTED_VALUE"""),"PMU")</f>
        <v>PMU</v>
      </c>
      <c r="O576" s="1"/>
      <c r="P576" s="1"/>
      <c r="Q576" s="1"/>
      <c r="R576" s="1"/>
      <c r="S576" s="1"/>
      <c r="T576" s="1"/>
      <c r="U576" s="1"/>
      <c r="V576" s="1"/>
      <c r="W576" s="1"/>
      <c r="X576" s="1"/>
      <c r="Y576" s="1"/>
      <c r="Z576" s="1"/>
    </row>
    <row r="577" spans="1:26" ht="12.75" customHeight="1">
      <c r="A577" s="1"/>
      <c r="B577" s="10" t="str">
        <f ca="1">IFERROR(__xludf.DUMMYFUNCTION("""COMPUTED_VALUE"""),"REPARACIÓN BACHE PJE. D. GODOY Y CALLE CHILOÉ; PBL. VILLA ISIDORA, LOTA.")</f>
        <v>REPARACIÓN BACHE PJE. D. GODOY Y CALLE CHILOÉ; PBL. VILLA ISIDORA, LOTA.</v>
      </c>
      <c r="C577" s="10" t="str">
        <f ca="1">IFERROR(__xludf.DUMMYFUNCTION("""COMPUTED_VALUE"""),"1-K-2024-25")</f>
        <v>1-K-2024-25</v>
      </c>
      <c r="D577" s="26" t="str">
        <f t="shared" ca="1" si="0"/>
        <v xml:space="preserve"> LOTA</v>
      </c>
      <c r="E577" s="10" t="str">
        <f ca="1">IFERROR(__xludf.DUMMYFUNCTION("""COMPUTED_VALUE"""),"Guía Operativa")</f>
        <v>Guía Operativa</v>
      </c>
      <c r="F577" s="10" t="str">
        <f ca="1">IFERROR(__xludf.DUMMYFUNCTION("""COMPUTED_VALUE"""),"MUNICIPALIDAD DE LOTA")</f>
        <v>MUNICIPALIDAD DE LOTA</v>
      </c>
      <c r="G577" s="71">
        <f ca="1">IFERROR(__xludf.DUMMYFUNCTION("""COMPUTED_VALUE"""),149786438)</f>
        <v>149786438</v>
      </c>
      <c r="H577" s="10" t="str">
        <f ca="1">IFERROR(__xludf.DUMMYFUNCTION("""COMPUTED_VALUE"""),"Resolución")</f>
        <v>Resolución</v>
      </c>
      <c r="I577" s="10" t="str">
        <f ca="1">IFERROR(__xludf.DUMMYFUNCTION("""COMPUTED_VALUE"""),"OBRA")</f>
        <v>OBRA</v>
      </c>
      <c r="J577" s="10" t="str">
        <f ca="1">IFERROR(__xludf.DUMMYFUNCTION("""COMPUTED_VALUE"""),"Cumplir con normativa y reglamentos internos del programa en base a los objetivos.")</f>
        <v>Cumplir con normativa y reglamentos internos del programa en base a los objetivos.</v>
      </c>
      <c r="K577" s="71">
        <f ca="1">IFERROR(__xludf.DUMMYFUNCTION("""COMPUTED_VALUE"""),74893219)</f>
        <v>74893219</v>
      </c>
      <c r="L577" s="72">
        <f ca="1">IFERROR(__xludf.DUMMYFUNCTION("""COMPUTED_VALUE"""),0.5)</f>
        <v>0.5</v>
      </c>
      <c r="M577" s="10">
        <f ca="1">IFERROR(__xludf.DUMMYFUNCTION("""COMPUTED_VALUE"""),8055)</f>
        <v>8055</v>
      </c>
      <c r="N577" s="10" t="str">
        <f ca="1">IFERROR(__xludf.DUMMYFUNCTION("""COMPUTED_VALUE"""),"PMU")</f>
        <v>PMU</v>
      </c>
      <c r="O577" s="1"/>
      <c r="P577" s="1"/>
      <c r="Q577" s="1"/>
      <c r="R577" s="1"/>
      <c r="S577" s="1"/>
      <c r="T577" s="1"/>
      <c r="U577" s="1"/>
      <c r="V577" s="1"/>
      <c r="W577" s="1"/>
      <c r="X577" s="1"/>
      <c r="Y577" s="1"/>
      <c r="Z577" s="1"/>
    </row>
    <row r="578" spans="1:26" ht="12.75" customHeight="1">
      <c r="A578" s="1"/>
      <c r="B578" s="10" t="str">
        <f ca="1">IFERROR(__xludf.DUMMYFUNCTION("""COMPUTED_VALUE"""),"CONSTRUCIÓN DE RESALTOS REUDCTORES DE VELOCIDAD EN: AVDA. DEL PARQUE, LOTA")</f>
        <v>CONSTRUCIÓN DE RESALTOS REUDCTORES DE VELOCIDAD EN: AVDA. DEL PARQUE, LOTA</v>
      </c>
      <c r="C578" s="10" t="str">
        <f ca="1">IFERROR(__xludf.DUMMYFUNCTION("""COMPUTED_VALUE"""),"1-K-2024-26")</f>
        <v>1-K-2024-26</v>
      </c>
      <c r="D578" s="26" t="str">
        <f t="shared" ca="1" si="0"/>
        <v xml:space="preserve"> LOTA</v>
      </c>
      <c r="E578" s="10" t="str">
        <f ca="1">IFERROR(__xludf.DUMMYFUNCTION("""COMPUTED_VALUE"""),"Guía Operativa")</f>
        <v>Guía Operativa</v>
      </c>
      <c r="F578" s="10" t="str">
        <f ca="1">IFERROR(__xludf.DUMMYFUNCTION("""COMPUTED_VALUE"""),"MUNICIPALIDAD DE LOTA")</f>
        <v>MUNICIPALIDAD DE LOTA</v>
      </c>
      <c r="G578" s="71">
        <f ca="1">IFERROR(__xludf.DUMMYFUNCTION("""COMPUTED_VALUE"""),155237469)</f>
        <v>155237469</v>
      </c>
      <c r="H578" s="10" t="str">
        <f ca="1">IFERROR(__xludf.DUMMYFUNCTION("""COMPUTED_VALUE"""),"Resolución")</f>
        <v>Resolución</v>
      </c>
      <c r="I578" s="10" t="str">
        <f ca="1">IFERROR(__xludf.DUMMYFUNCTION("""COMPUTED_VALUE"""),"OBRA")</f>
        <v>OBRA</v>
      </c>
      <c r="J578" s="10" t="str">
        <f ca="1">IFERROR(__xludf.DUMMYFUNCTION("""COMPUTED_VALUE"""),"Cumplir con normativa y reglamentos internos del programa en base a los objetivos.")</f>
        <v>Cumplir con normativa y reglamentos internos del programa en base a los objetivos.</v>
      </c>
      <c r="K578" s="71">
        <f ca="1">IFERROR(__xludf.DUMMYFUNCTION("""COMPUTED_VALUE"""),77618735)</f>
        <v>77618735</v>
      </c>
      <c r="L578" s="72">
        <f ca="1">IFERROR(__xludf.DUMMYFUNCTION("""COMPUTED_VALUE"""),0.500000003220871)</f>
        <v>0.50000000322087101</v>
      </c>
      <c r="M578" s="10">
        <f ca="1">IFERROR(__xludf.DUMMYFUNCTION("""COMPUTED_VALUE"""),8055)</f>
        <v>8055</v>
      </c>
      <c r="N578" s="10" t="str">
        <f ca="1">IFERROR(__xludf.DUMMYFUNCTION("""COMPUTED_VALUE"""),"PMU")</f>
        <v>PMU</v>
      </c>
      <c r="O578" s="1"/>
      <c r="P578" s="1"/>
      <c r="Q578" s="1"/>
      <c r="R578" s="1"/>
      <c r="S578" s="1"/>
      <c r="T578" s="1"/>
      <c r="U578" s="1"/>
      <c r="V578" s="1"/>
      <c r="W578" s="1"/>
      <c r="X578" s="1"/>
      <c r="Y578" s="1"/>
      <c r="Z578" s="1"/>
    </row>
    <row r="579" spans="1:26" ht="12.75" customHeight="1">
      <c r="A579" s="1"/>
      <c r="B579" s="10" t="str">
        <f ca="1">IFERROR(__xludf.DUMMYFUNCTION("""COMPUTED_VALUE"""),"COLOCACIÓN CIERRE DE PROTECCIÓN, CALLE LOS AVELLANOS POBL. G. MISTRAL, LOTA.")</f>
        <v>COLOCACIÓN CIERRE DE PROTECCIÓN, CALLE LOS AVELLANOS POBL. G. MISTRAL, LOTA.</v>
      </c>
      <c r="C579" s="10" t="str">
        <f ca="1">IFERROR(__xludf.DUMMYFUNCTION("""COMPUTED_VALUE"""),"1-K-2024-27")</f>
        <v>1-K-2024-27</v>
      </c>
      <c r="D579" s="26" t="str">
        <f t="shared" ca="1" si="0"/>
        <v xml:space="preserve"> LOTA</v>
      </c>
      <c r="E579" s="10" t="str">
        <f ca="1">IFERROR(__xludf.DUMMYFUNCTION("""COMPUTED_VALUE"""),"Guía Operativa")</f>
        <v>Guía Operativa</v>
      </c>
      <c r="F579" s="10" t="str">
        <f ca="1">IFERROR(__xludf.DUMMYFUNCTION("""COMPUTED_VALUE"""),"MUNICIPALIDAD DE LOTA")</f>
        <v>MUNICIPALIDAD DE LOTA</v>
      </c>
      <c r="G579" s="71">
        <f ca="1">IFERROR(__xludf.DUMMYFUNCTION("""COMPUTED_VALUE"""),153941467)</f>
        <v>153941467</v>
      </c>
      <c r="H579" s="10" t="str">
        <f ca="1">IFERROR(__xludf.DUMMYFUNCTION("""COMPUTED_VALUE"""),"Resolución")</f>
        <v>Resolución</v>
      </c>
      <c r="I579" s="10" t="str">
        <f ca="1">IFERROR(__xludf.DUMMYFUNCTION("""COMPUTED_VALUE"""),"OBRA")</f>
        <v>OBRA</v>
      </c>
      <c r="J579" s="10" t="str">
        <f ca="1">IFERROR(__xludf.DUMMYFUNCTION("""COMPUTED_VALUE"""),"Cumplir con normativa y reglamentos internos del programa en base a los objetivos.")</f>
        <v>Cumplir con normativa y reglamentos internos del programa en base a los objetivos.</v>
      </c>
      <c r="K579" s="71">
        <f ca="1">IFERROR(__xludf.DUMMYFUNCTION("""COMPUTED_VALUE"""),38485367)</f>
        <v>38485367</v>
      </c>
      <c r="L579" s="72">
        <f ca="1">IFERROR(__xludf.DUMMYFUNCTION("""COMPUTED_VALUE"""),0.250000001623993)</f>
        <v>0.250000001623993</v>
      </c>
      <c r="M579" s="10">
        <f ca="1">IFERROR(__xludf.DUMMYFUNCTION("""COMPUTED_VALUE"""),8060)</f>
        <v>8060</v>
      </c>
      <c r="N579" s="10" t="str">
        <f ca="1">IFERROR(__xludf.DUMMYFUNCTION("""COMPUTED_VALUE"""),"PMU")</f>
        <v>PMU</v>
      </c>
      <c r="O579" s="1"/>
      <c r="P579" s="1"/>
      <c r="Q579" s="1"/>
      <c r="R579" s="1"/>
      <c r="S579" s="1"/>
      <c r="T579" s="1"/>
      <c r="U579" s="1"/>
      <c r="V579" s="1"/>
      <c r="W579" s="1"/>
      <c r="X579" s="1"/>
      <c r="Y579" s="1"/>
      <c r="Z579" s="1"/>
    </row>
    <row r="580" spans="1:26" ht="12.75" customHeight="1">
      <c r="A580" s="1"/>
      <c r="B580" s="10" t="str">
        <f ca="1">IFERROR(__xludf.DUMMYFUNCTION("""COMPUTED_VALUE"""),"COLOCACIÓN CIERRE DE PROTECCIÓN, CALLE LOS AVELLANOS POBL. G. MISTRAL, LOTA.")</f>
        <v>COLOCACIÓN CIERRE DE PROTECCIÓN, CALLE LOS AVELLANOS POBL. G. MISTRAL, LOTA.</v>
      </c>
      <c r="C580" s="10" t="str">
        <f ca="1">IFERROR(__xludf.DUMMYFUNCTION("""COMPUTED_VALUE"""),"1-K-2024-27")</f>
        <v>1-K-2024-27</v>
      </c>
      <c r="D580" s="26" t="str">
        <f t="shared" ca="1" si="0"/>
        <v xml:space="preserve"> LOTA</v>
      </c>
      <c r="E580" s="10" t="str">
        <f ca="1">IFERROR(__xludf.DUMMYFUNCTION("""COMPUTED_VALUE"""),"Guía Operativa")</f>
        <v>Guía Operativa</v>
      </c>
      <c r="F580" s="10" t="str">
        <f ca="1">IFERROR(__xludf.DUMMYFUNCTION("""COMPUTED_VALUE"""),"MUNICIPALIDAD DE LOTA")</f>
        <v>MUNICIPALIDAD DE LOTA</v>
      </c>
      <c r="G580" s="71">
        <f ca="1">IFERROR(__xludf.DUMMYFUNCTION("""COMPUTED_VALUE"""),153941467)</f>
        <v>153941467</v>
      </c>
      <c r="H580" s="10" t="str">
        <f ca="1">IFERROR(__xludf.DUMMYFUNCTION("""COMPUTED_VALUE"""),"Resolución")</f>
        <v>Resolución</v>
      </c>
      <c r="I580" s="10" t="str">
        <f ca="1">IFERROR(__xludf.DUMMYFUNCTION("""COMPUTED_VALUE"""),"OBRA")</f>
        <v>OBRA</v>
      </c>
      <c r="J580" s="10" t="str">
        <f ca="1">IFERROR(__xludf.DUMMYFUNCTION("""COMPUTED_VALUE"""),"Cumplir con normativa y reglamentos internos del programa en base a los objetivos.")</f>
        <v>Cumplir con normativa y reglamentos internos del programa en base a los objetivos.</v>
      </c>
      <c r="K580" s="71">
        <f ca="1">IFERROR(__xludf.DUMMYFUNCTION("""COMPUTED_VALUE"""),38485366)</f>
        <v>38485366</v>
      </c>
      <c r="L580" s="72">
        <f ca="1">IFERROR(__xludf.DUMMYFUNCTION("""COMPUTED_VALUE"""),0.249999995128018)</f>
        <v>0.24999999512801799</v>
      </c>
      <c r="M580" s="10">
        <f ca="1">IFERROR(__xludf.DUMMYFUNCTION("""COMPUTED_VALUE"""),8060)</f>
        <v>8060</v>
      </c>
      <c r="N580" s="10" t="str">
        <f ca="1">IFERROR(__xludf.DUMMYFUNCTION("""COMPUTED_VALUE"""),"PMU")</f>
        <v>PMU</v>
      </c>
      <c r="O580" s="1"/>
      <c r="P580" s="1"/>
      <c r="Q580" s="1"/>
      <c r="R580" s="1"/>
      <c r="S580" s="1"/>
      <c r="T580" s="1"/>
      <c r="U580" s="1"/>
      <c r="V580" s="1"/>
      <c r="W580" s="1"/>
      <c r="X580" s="1"/>
      <c r="Y580" s="1"/>
      <c r="Z580" s="1"/>
    </row>
    <row r="581" spans="1:26" ht="12.75" customHeight="1">
      <c r="A581" s="1"/>
      <c r="B581" s="10" t="str">
        <f ca="1">IFERROR(__xludf.DUMMYFUNCTION("""COMPUTED_VALUE"""),"MEJORAMIENTO VIAL ENTRE: CALLE PIQUE ALBERTO Y PJE. VICTORIA POBL. VILLA LOS HÉROES, LOTA.")</f>
        <v>MEJORAMIENTO VIAL ENTRE: CALLE PIQUE ALBERTO Y PJE. VICTORIA POBL. VILLA LOS HÉROES, LOTA.</v>
      </c>
      <c r="C581" s="10" t="str">
        <f ca="1">IFERROR(__xludf.DUMMYFUNCTION("""COMPUTED_VALUE"""),"1-K-2024-28")</f>
        <v>1-K-2024-28</v>
      </c>
      <c r="D581" s="26" t="str">
        <f t="shared" ca="1" si="0"/>
        <v xml:space="preserve"> LOTA</v>
      </c>
      <c r="E581" s="10" t="str">
        <f ca="1">IFERROR(__xludf.DUMMYFUNCTION("""COMPUTED_VALUE"""),"Guía Operativa")</f>
        <v>Guía Operativa</v>
      </c>
      <c r="F581" s="10" t="str">
        <f ca="1">IFERROR(__xludf.DUMMYFUNCTION("""COMPUTED_VALUE"""),"MUNICIPALIDAD DE LOTA")</f>
        <v>MUNICIPALIDAD DE LOTA</v>
      </c>
      <c r="G581" s="71">
        <f ca="1">IFERROR(__xludf.DUMMYFUNCTION("""COMPUTED_VALUE"""),159710160)</f>
        <v>159710160</v>
      </c>
      <c r="H581" s="10" t="str">
        <f ca="1">IFERROR(__xludf.DUMMYFUNCTION("""COMPUTED_VALUE"""),"Resolución")</f>
        <v>Resolución</v>
      </c>
      <c r="I581" s="10" t="str">
        <f ca="1">IFERROR(__xludf.DUMMYFUNCTION("""COMPUTED_VALUE"""),"OBRA")</f>
        <v>OBRA</v>
      </c>
      <c r="J581" s="10" t="str">
        <f ca="1">IFERROR(__xludf.DUMMYFUNCTION("""COMPUTED_VALUE"""),"Cumplir con normativa y reglamentos internos del programa en base a los objetivos.")</f>
        <v>Cumplir con normativa y reglamentos internos del programa en base a los objetivos.</v>
      </c>
      <c r="K581" s="71">
        <f ca="1">IFERROR(__xludf.DUMMYFUNCTION("""COMPUTED_VALUE"""),79855080)</f>
        <v>79855080</v>
      </c>
      <c r="L581" s="72">
        <f ca="1">IFERROR(__xludf.DUMMYFUNCTION("""COMPUTED_VALUE"""),0.5)</f>
        <v>0.5</v>
      </c>
      <c r="M581" s="10">
        <f ca="1">IFERROR(__xludf.DUMMYFUNCTION("""COMPUTED_VALUE"""),8055)</f>
        <v>8055</v>
      </c>
      <c r="N581" s="10" t="str">
        <f ca="1">IFERROR(__xludf.DUMMYFUNCTION("""COMPUTED_VALUE"""),"PMU")</f>
        <v>PMU</v>
      </c>
      <c r="O581" s="1"/>
      <c r="P581" s="1"/>
      <c r="Q581" s="1"/>
      <c r="R581" s="1"/>
      <c r="S581" s="1"/>
      <c r="T581" s="1"/>
      <c r="U581" s="1"/>
      <c r="V581" s="1"/>
      <c r="W581" s="1"/>
      <c r="X581" s="1"/>
      <c r="Y581" s="1"/>
      <c r="Z581" s="1"/>
    </row>
    <row r="582" spans="1:26" ht="12.75" customHeight="1">
      <c r="A582" s="1"/>
      <c r="B582" s="10" t="str">
        <f ca="1">IFERROR(__xludf.DUMMYFUNCTION("""COMPUTED_VALUE"""),"COLOCACIÓN BARRERA DE CONTENCIÓN Y PASAMANOS PJE. SAN MARTÍN Y SENDA BIO-BIO POBL. SOTOMAYOR, LOTA.")</f>
        <v>COLOCACIÓN BARRERA DE CONTENCIÓN Y PASAMANOS PJE. SAN MARTÍN Y SENDA BIO-BIO POBL. SOTOMAYOR, LOTA.</v>
      </c>
      <c r="C582" s="10" t="str">
        <f ca="1">IFERROR(__xludf.DUMMYFUNCTION("""COMPUTED_VALUE"""),"1-K-2024-34")</f>
        <v>1-K-2024-34</v>
      </c>
      <c r="D582" s="26" t="str">
        <f t="shared" ca="1" si="0"/>
        <v xml:space="preserve"> LOTA</v>
      </c>
      <c r="E582" s="10" t="str">
        <f ca="1">IFERROR(__xludf.DUMMYFUNCTION("""COMPUTED_VALUE"""),"Guía Operativa")</f>
        <v>Guía Operativa</v>
      </c>
      <c r="F582" s="10" t="str">
        <f ca="1">IFERROR(__xludf.DUMMYFUNCTION("""COMPUTED_VALUE"""),"MUNICIPALIDAD DE LOTA")</f>
        <v>MUNICIPALIDAD DE LOTA</v>
      </c>
      <c r="G582" s="71">
        <f ca="1">IFERROR(__xludf.DUMMYFUNCTION("""COMPUTED_VALUE"""),150959737)</f>
        <v>150959737</v>
      </c>
      <c r="H582" s="10" t="str">
        <f ca="1">IFERROR(__xludf.DUMMYFUNCTION("""COMPUTED_VALUE"""),"Resolución")</f>
        <v>Resolución</v>
      </c>
      <c r="I582" s="10" t="str">
        <f ca="1">IFERROR(__xludf.DUMMYFUNCTION("""COMPUTED_VALUE"""),"OBRA")</f>
        <v>OBRA</v>
      </c>
      <c r="J582" s="10" t="str">
        <f ca="1">IFERROR(__xludf.DUMMYFUNCTION("""COMPUTED_VALUE"""),"Cumplir con normativa y reglamentos internos del programa en base a los objetivos.")</f>
        <v>Cumplir con normativa y reglamentos internos del programa en base a los objetivos.</v>
      </c>
      <c r="K582" s="71">
        <f ca="1">IFERROR(__xludf.DUMMYFUNCTION("""COMPUTED_VALUE"""),75479869)</f>
        <v>75479869</v>
      </c>
      <c r="L582" s="72">
        <f ca="1">IFERROR(__xludf.DUMMYFUNCTION("""COMPUTED_VALUE"""),0.500000003312141)</f>
        <v>0.50000000331214101</v>
      </c>
      <c r="M582" s="10">
        <f ca="1">IFERROR(__xludf.DUMMYFUNCTION("""COMPUTED_VALUE"""),8053)</f>
        <v>8053</v>
      </c>
      <c r="N582" s="10" t="str">
        <f ca="1">IFERROR(__xludf.DUMMYFUNCTION("""COMPUTED_VALUE"""),"PMU")</f>
        <v>PMU</v>
      </c>
      <c r="O582" s="1"/>
      <c r="P582" s="1"/>
      <c r="Q582" s="1"/>
      <c r="R582" s="1"/>
      <c r="S582" s="1"/>
      <c r="T582" s="1"/>
      <c r="U582" s="1"/>
      <c r="V582" s="1"/>
      <c r="W582" s="1"/>
      <c r="X582" s="1"/>
      <c r="Y582" s="1"/>
      <c r="Z582" s="1"/>
    </row>
    <row r="583" spans="1:26" ht="12.75" customHeight="1">
      <c r="A583" s="1"/>
      <c r="B583" s="10" t="str">
        <f ca="1">IFERROR(__xludf.DUMMYFUNCTION("""COMPUTED_VALUE"""),"REPARACIÓN BACHE PJE. AVDA. EL MORRO, POBL. EL MORRO, LOTA.")</f>
        <v>REPARACIÓN BACHE PJE. AVDA. EL MORRO, POBL. EL MORRO, LOTA.</v>
      </c>
      <c r="C583" s="10" t="str">
        <f ca="1">IFERROR(__xludf.DUMMYFUNCTION("""COMPUTED_VALUE"""),"1-K-2024-35")</f>
        <v>1-K-2024-35</v>
      </c>
      <c r="D583" s="26" t="str">
        <f t="shared" ca="1" si="0"/>
        <v xml:space="preserve"> LOTA</v>
      </c>
      <c r="E583" s="10" t="str">
        <f ca="1">IFERROR(__xludf.DUMMYFUNCTION("""COMPUTED_VALUE"""),"Guía Operativa")</f>
        <v>Guía Operativa</v>
      </c>
      <c r="F583" s="10" t="str">
        <f ca="1">IFERROR(__xludf.DUMMYFUNCTION("""COMPUTED_VALUE"""),"MUNICIPALIDAD DE LOTA")</f>
        <v>MUNICIPALIDAD DE LOTA</v>
      </c>
      <c r="G583" s="71">
        <f ca="1">IFERROR(__xludf.DUMMYFUNCTION("""COMPUTED_VALUE"""),150846943)</f>
        <v>150846943</v>
      </c>
      <c r="H583" s="10" t="str">
        <f ca="1">IFERROR(__xludf.DUMMYFUNCTION("""COMPUTED_VALUE"""),"Resolución")</f>
        <v>Resolución</v>
      </c>
      <c r="I583" s="10" t="str">
        <f ca="1">IFERROR(__xludf.DUMMYFUNCTION("""COMPUTED_VALUE"""),"OBRA")</f>
        <v>OBRA</v>
      </c>
      <c r="J583" s="10" t="str">
        <f ca="1">IFERROR(__xludf.DUMMYFUNCTION("""COMPUTED_VALUE"""),"Cumplir con normativa y reglamentos internos del programa en base a los objetivos.")</f>
        <v>Cumplir con normativa y reglamentos internos del programa en base a los objetivos.</v>
      </c>
      <c r="K583" s="71">
        <f ca="1">IFERROR(__xludf.DUMMYFUNCTION("""COMPUTED_VALUE"""),75423472)</f>
        <v>75423472</v>
      </c>
      <c r="L583" s="72">
        <f ca="1">IFERROR(__xludf.DUMMYFUNCTION("""COMPUTED_VALUE"""),0.500000003314618)</f>
        <v>0.50000000331461802</v>
      </c>
      <c r="M583" s="10">
        <f ca="1">IFERROR(__xludf.DUMMYFUNCTION("""COMPUTED_VALUE"""),8060)</f>
        <v>8060</v>
      </c>
      <c r="N583" s="10" t="str">
        <f ca="1">IFERROR(__xludf.DUMMYFUNCTION("""COMPUTED_VALUE"""),"PMU")</f>
        <v>PMU</v>
      </c>
      <c r="O583" s="1"/>
      <c r="P583" s="1"/>
      <c r="Q583" s="1"/>
      <c r="R583" s="1"/>
      <c r="S583" s="1"/>
      <c r="T583" s="1"/>
      <c r="U583" s="1"/>
      <c r="V583" s="1"/>
      <c r="W583" s="1"/>
      <c r="X583" s="1"/>
      <c r="Y583" s="1"/>
      <c r="Z583" s="1"/>
    </row>
    <row r="584" spans="1:26" ht="12.75" customHeight="1">
      <c r="A584" s="1"/>
      <c r="B584" s="10" t="str">
        <f ca="1">IFERROR(__xludf.DUMMYFUNCTION("""COMPUTED_VALUE"""),"CONSTRUCCIÓN DE REFUGIO PEATONAL CALLE BALDOMERO LILLO SECTOR CESFAM SAR LOTA ALTO, LOTA.")</f>
        <v>CONSTRUCCIÓN DE REFUGIO PEATONAL CALLE BALDOMERO LILLO SECTOR CESFAM SAR LOTA ALTO, LOTA.</v>
      </c>
      <c r="C584" s="10" t="str">
        <f ca="1">IFERROR(__xludf.DUMMYFUNCTION("""COMPUTED_VALUE"""),"1-K-2024-39")</f>
        <v>1-K-2024-39</v>
      </c>
      <c r="D584" s="26" t="str">
        <f t="shared" ca="1" si="0"/>
        <v xml:space="preserve"> LOTA</v>
      </c>
      <c r="E584" s="10" t="str">
        <f ca="1">IFERROR(__xludf.DUMMYFUNCTION("""COMPUTED_VALUE"""),"Guía Operativa")</f>
        <v>Guía Operativa</v>
      </c>
      <c r="F584" s="10" t="str">
        <f ca="1">IFERROR(__xludf.DUMMYFUNCTION("""COMPUTED_VALUE"""),"MUNICIPALIDAD DE LOTA")</f>
        <v>MUNICIPALIDAD DE LOTA</v>
      </c>
      <c r="G584" s="71">
        <f ca="1">IFERROR(__xludf.DUMMYFUNCTION("""COMPUTED_VALUE"""),159799961)</f>
        <v>159799961</v>
      </c>
      <c r="H584" s="10" t="str">
        <f ca="1">IFERROR(__xludf.DUMMYFUNCTION("""COMPUTED_VALUE"""),"Resolución")</f>
        <v>Resolución</v>
      </c>
      <c r="I584" s="10" t="str">
        <f ca="1">IFERROR(__xludf.DUMMYFUNCTION("""COMPUTED_VALUE"""),"OBRA")</f>
        <v>OBRA</v>
      </c>
      <c r="J584" s="10" t="str">
        <f ca="1">IFERROR(__xludf.DUMMYFUNCTION("""COMPUTED_VALUE"""),"Cumplir con normativa y reglamentos internos del programa en base a los objetivos.")</f>
        <v>Cumplir con normativa y reglamentos internos del programa en base a los objetivos.</v>
      </c>
      <c r="K584" s="71">
        <f ca="1">IFERROR(__xludf.DUMMYFUNCTION("""COMPUTED_VALUE"""),79899981)</f>
        <v>79899981</v>
      </c>
      <c r="L584" s="72">
        <f ca="1">IFERROR(__xludf.DUMMYFUNCTION("""COMPUTED_VALUE"""),0.500000003128911)</f>
        <v>0.50000000312891102</v>
      </c>
      <c r="M584" s="10">
        <f ca="1">IFERROR(__xludf.DUMMYFUNCTION("""COMPUTED_VALUE"""),8060)</f>
        <v>8060</v>
      </c>
      <c r="N584" s="10" t="str">
        <f ca="1">IFERROR(__xludf.DUMMYFUNCTION("""COMPUTED_VALUE"""),"PMU")</f>
        <v>PMU</v>
      </c>
      <c r="O584" s="1"/>
      <c r="P584" s="1"/>
      <c r="Q584" s="1"/>
      <c r="R584" s="1"/>
      <c r="S584" s="1"/>
      <c r="T584" s="1"/>
      <c r="U584" s="1"/>
      <c r="V584" s="1"/>
      <c r="W584" s="1"/>
      <c r="X584" s="1"/>
      <c r="Y584" s="1"/>
      <c r="Z584" s="1"/>
    </row>
    <row r="585" spans="1:26" ht="12.75" customHeight="1">
      <c r="A585" s="1"/>
      <c r="B585" s="10" t="str">
        <f ca="1">IFERROR(__xludf.DUMMYFUNCTION("""COMPUTED_VALUE"""),"MEJORAMIENTO DE PASAMANOS PJE. O´HIGGINS SECTOR CALERO SUR, LOTA.")</f>
        <v>MEJORAMIENTO DE PASAMANOS PJE. O´HIGGINS SECTOR CALERO SUR, LOTA.</v>
      </c>
      <c r="C585" s="10" t="str">
        <f ca="1">IFERROR(__xludf.DUMMYFUNCTION("""COMPUTED_VALUE"""),"1-K-2024-40")</f>
        <v>1-K-2024-40</v>
      </c>
      <c r="D585" s="26" t="str">
        <f t="shared" ca="1" si="0"/>
        <v xml:space="preserve"> LOTA</v>
      </c>
      <c r="E585" s="10" t="str">
        <f ca="1">IFERROR(__xludf.DUMMYFUNCTION("""COMPUTED_VALUE"""),"Guía Operativa")</f>
        <v>Guía Operativa</v>
      </c>
      <c r="F585" s="10" t="str">
        <f ca="1">IFERROR(__xludf.DUMMYFUNCTION("""COMPUTED_VALUE"""),"MUNICIPALIDAD DE LOTA")</f>
        <v>MUNICIPALIDAD DE LOTA</v>
      </c>
      <c r="G585" s="71">
        <f ca="1">IFERROR(__xludf.DUMMYFUNCTION("""COMPUTED_VALUE"""),154350494)</f>
        <v>154350494</v>
      </c>
      <c r="H585" s="10" t="str">
        <f ca="1">IFERROR(__xludf.DUMMYFUNCTION("""COMPUTED_VALUE"""),"Resolución")</f>
        <v>Resolución</v>
      </c>
      <c r="I585" s="10" t="str">
        <f ca="1">IFERROR(__xludf.DUMMYFUNCTION("""COMPUTED_VALUE"""),"OBRA")</f>
        <v>OBRA</v>
      </c>
      <c r="J585" s="10" t="str">
        <f ca="1">IFERROR(__xludf.DUMMYFUNCTION("""COMPUTED_VALUE"""),"Cumplir con normativa y reglamentos internos del programa en base a los objetivos.")</f>
        <v>Cumplir con normativa y reglamentos internos del programa en base a los objetivos.</v>
      </c>
      <c r="K585" s="71">
        <f ca="1">IFERROR(__xludf.DUMMYFUNCTION("""COMPUTED_VALUE"""),77175247)</f>
        <v>77175247</v>
      </c>
      <c r="L585" s="72">
        <f ca="1">IFERROR(__xludf.DUMMYFUNCTION("""COMPUTED_VALUE"""),0.5)</f>
        <v>0.5</v>
      </c>
      <c r="M585" s="10">
        <f ca="1">IFERROR(__xludf.DUMMYFUNCTION("""COMPUTED_VALUE"""),8053)</f>
        <v>8053</v>
      </c>
      <c r="N585" s="10" t="str">
        <f ca="1">IFERROR(__xludf.DUMMYFUNCTION("""COMPUTED_VALUE"""),"PMU")</f>
        <v>PMU</v>
      </c>
      <c r="O585" s="1"/>
      <c r="P585" s="1"/>
      <c r="Q585" s="1"/>
      <c r="R585" s="1"/>
      <c r="S585" s="1"/>
      <c r="T585" s="1"/>
      <c r="U585" s="1"/>
      <c r="V585" s="1"/>
      <c r="W585" s="1"/>
      <c r="X585" s="1"/>
      <c r="Y585" s="1"/>
      <c r="Z585" s="1"/>
    </row>
    <row r="586" spans="1:26" ht="12.75" customHeight="1">
      <c r="A586" s="1"/>
      <c r="B586" s="10" t="str">
        <f ca="1">IFERROR(__xludf.DUMMYFUNCTION("""COMPUTED_VALUE"""),"MEJORAMIENTO DEFENSA CAMINERA SECTOR SAN MARTÍN, LOTA.")</f>
        <v>MEJORAMIENTO DEFENSA CAMINERA SECTOR SAN MARTÍN, LOTA.</v>
      </c>
      <c r="C586" s="10" t="str">
        <f ca="1">IFERROR(__xludf.DUMMYFUNCTION("""COMPUTED_VALUE"""),"1-K-2024-41")</f>
        <v>1-K-2024-41</v>
      </c>
      <c r="D586" s="26" t="str">
        <f t="shared" ca="1" si="0"/>
        <v xml:space="preserve"> LOTA</v>
      </c>
      <c r="E586" s="10" t="str">
        <f ca="1">IFERROR(__xludf.DUMMYFUNCTION("""COMPUTED_VALUE"""),"Guía Operativa")</f>
        <v>Guía Operativa</v>
      </c>
      <c r="F586" s="10" t="str">
        <f ca="1">IFERROR(__xludf.DUMMYFUNCTION("""COMPUTED_VALUE"""),"MUNICIPALIDAD DE LOTA")</f>
        <v>MUNICIPALIDAD DE LOTA</v>
      </c>
      <c r="G586" s="71">
        <f ca="1">IFERROR(__xludf.DUMMYFUNCTION("""COMPUTED_VALUE"""),156989864)</f>
        <v>156989864</v>
      </c>
      <c r="H586" s="10" t="str">
        <f ca="1">IFERROR(__xludf.DUMMYFUNCTION("""COMPUTED_VALUE"""),"Resolución")</f>
        <v>Resolución</v>
      </c>
      <c r="I586" s="10" t="str">
        <f ca="1">IFERROR(__xludf.DUMMYFUNCTION("""COMPUTED_VALUE"""),"OBRA")</f>
        <v>OBRA</v>
      </c>
      <c r="J586" s="10" t="str">
        <f ca="1">IFERROR(__xludf.DUMMYFUNCTION("""COMPUTED_VALUE"""),"Cumplir con normativa y reglamentos internos del programa en base a los objetivos.")</f>
        <v>Cumplir con normativa y reglamentos internos del programa en base a los objetivos.</v>
      </c>
      <c r="K586" s="71">
        <f ca="1">IFERROR(__xludf.DUMMYFUNCTION("""COMPUTED_VALUE"""),78494932)</f>
        <v>78494932</v>
      </c>
      <c r="L586" s="72">
        <f ca="1">IFERROR(__xludf.DUMMYFUNCTION("""COMPUTED_VALUE"""),0.5)</f>
        <v>0.5</v>
      </c>
      <c r="M586" s="10">
        <f ca="1">IFERROR(__xludf.DUMMYFUNCTION("""COMPUTED_VALUE"""),8055)</f>
        <v>8055</v>
      </c>
      <c r="N586" s="10" t="str">
        <f ca="1">IFERROR(__xludf.DUMMYFUNCTION("""COMPUTED_VALUE"""),"PMU")</f>
        <v>PMU</v>
      </c>
      <c r="O586" s="1"/>
      <c r="P586" s="1"/>
      <c r="Q586" s="1"/>
      <c r="R586" s="1"/>
      <c r="S586" s="1"/>
      <c r="T586" s="1"/>
      <c r="U586" s="1"/>
      <c r="V586" s="1"/>
      <c r="W586" s="1"/>
      <c r="X586" s="1"/>
      <c r="Y586" s="1"/>
      <c r="Z586" s="1"/>
    </row>
    <row r="587" spans="1:26" ht="12.75" customHeight="1">
      <c r="A587" s="1"/>
      <c r="B587" s="10" t="str">
        <f ca="1">IFERROR(__xludf.DUMMYFUNCTION("""COMPUTED_VALUE"""),"MEJORAMIENTO PASAMANOS SECTOR LAUTARO, LOTA.")</f>
        <v>MEJORAMIENTO PASAMANOS SECTOR LAUTARO, LOTA.</v>
      </c>
      <c r="C587" s="10" t="str">
        <f ca="1">IFERROR(__xludf.DUMMYFUNCTION("""COMPUTED_VALUE"""),"1-K-2024-42")</f>
        <v>1-K-2024-42</v>
      </c>
      <c r="D587" s="26" t="str">
        <f t="shared" ca="1" si="0"/>
        <v xml:space="preserve"> LOTA</v>
      </c>
      <c r="E587" s="10" t="str">
        <f ca="1">IFERROR(__xludf.DUMMYFUNCTION("""COMPUTED_VALUE"""),"Guía Operativa")</f>
        <v>Guía Operativa</v>
      </c>
      <c r="F587" s="10" t="str">
        <f ca="1">IFERROR(__xludf.DUMMYFUNCTION("""COMPUTED_VALUE"""),"MUNICIPALIDAD DE LOTA")</f>
        <v>MUNICIPALIDAD DE LOTA</v>
      </c>
      <c r="G587" s="71">
        <f ca="1">IFERROR(__xludf.DUMMYFUNCTION("""COMPUTED_VALUE"""),151307217)</f>
        <v>151307217</v>
      </c>
      <c r="H587" s="10" t="str">
        <f ca="1">IFERROR(__xludf.DUMMYFUNCTION("""COMPUTED_VALUE"""),"Resolución")</f>
        <v>Resolución</v>
      </c>
      <c r="I587" s="10" t="str">
        <f ca="1">IFERROR(__xludf.DUMMYFUNCTION("""COMPUTED_VALUE"""),"OBRA")</f>
        <v>OBRA</v>
      </c>
      <c r="J587" s="10" t="str">
        <f ca="1">IFERROR(__xludf.DUMMYFUNCTION("""COMPUTED_VALUE"""),"Cumplir con normativa y reglamentos internos del programa en base a los objetivos.")</f>
        <v>Cumplir con normativa y reglamentos internos del programa en base a los objetivos.</v>
      </c>
      <c r="K587" s="71">
        <f ca="1">IFERROR(__xludf.DUMMYFUNCTION("""COMPUTED_VALUE"""),75653609)</f>
        <v>75653609</v>
      </c>
      <c r="L587" s="72">
        <f ca="1">IFERROR(__xludf.DUMMYFUNCTION("""COMPUTED_VALUE"""),0.500000003304535)</f>
        <v>0.50000000330453498</v>
      </c>
      <c r="M587" s="10">
        <f ca="1">IFERROR(__xludf.DUMMYFUNCTION("""COMPUTED_VALUE"""),8060)</f>
        <v>8060</v>
      </c>
      <c r="N587" s="10" t="str">
        <f ca="1">IFERROR(__xludf.DUMMYFUNCTION("""COMPUTED_VALUE"""),"PMU")</f>
        <v>PMU</v>
      </c>
      <c r="O587" s="1"/>
      <c r="P587" s="1"/>
      <c r="Q587" s="1"/>
      <c r="R587" s="1"/>
      <c r="S587" s="1"/>
      <c r="T587" s="1"/>
      <c r="U587" s="1"/>
      <c r="V587" s="1"/>
      <c r="W587" s="1"/>
      <c r="X587" s="1"/>
      <c r="Y587" s="1"/>
      <c r="Z587" s="1"/>
    </row>
    <row r="588" spans="1:26" ht="12.75" customHeight="1">
      <c r="A588" s="1"/>
      <c r="B588" s="10" t="str">
        <f ca="1">IFERROR(__xludf.DUMMYFUNCTION("""COMPUTED_VALUE"""),"MEJORAMIENTO MURO DE CONTENCIÓN CALLE L. MEDEL SECTOR ISIDORA GOYENECHEA, LOTA.")</f>
        <v>MEJORAMIENTO MURO DE CONTENCIÓN CALLE L. MEDEL SECTOR ISIDORA GOYENECHEA, LOTA.</v>
      </c>
      <c r="C588" s="10" t="str">
        <f ca="1">IFERROR(__xludf.DUMMYFUNCTION("""COMPUTED_VALUE"""),"1-K-2024-43")</f>
        <v>1-K-2024-43</v>
      </c>
      <c r="D588" s="26" t="str">
        <f t="shared" ca="1" si="0"/>
        <v xml:space="preserve"> LOTA</v>
      </c>
      <c r="E588" s="10" t="str">
        <f ca="1">IFERROR(__xludf.DUMMYFUNCTION("""COMPUTED_VALUE"""),"Guía Operativa")</f>
        <v>Guía Operativa</v>
      </c>
      <c r="F588" s="10" t="str">
        <f ca="1">IFERROR(__xludf.DUMMYFUNCTION("""COMPUTED_VALUE"""),"MUNICIPALIDAD DE LOTA")</f>
        <v>MUNICIPALIDAD DE LOTA</v>
      </c>
      <c r="G588" s="71">
        <f ca="1">IFERROR(__xludf.DUMMYFUNCTION("""COMPUTED_VALUE"""),160758351)</f>
        <v>160758351</v>
      </c>
      <c r="H588" s="10" t="str">
        <f ca="1">IFERROR(__xludf.DUMMYFUNCTION("""COMPUTED_VALUE"""),"Resolución")</f>
        <v>Resolución</v>
      </c>
      <c r="I588" s="10" t="str">
        <f ca="1">IFERROR(__xludf.DUMMYFUNCTION("""COMPUTED_VALUE"""),"OBRA")</f>
        <v>OBRA</v>
      </c>
      <c r="J588" s="10" t="str">
        <f ca="1">IFERROR(__xludf.DUMMYFUNCTION("""COMPUTED_VALUE"""),"Cumplir con normativa y reglamentos internos del programa en base a los objetivos.")</f>
        <v>Cumplir con normativa y reglamentos internos del programa en base a los objetivos.</v>
      </c>
      <c r="K588" s="71">
        <f ca="1">IFERROR(__xludf.DUMMYFUNCTION("""COMPUTED_VALUE"""),80379176)</f>
        <v>80379176</v>
      </c>
      <c r="L588" s="72">
        <f ca="1">IFERROR(__xludf.DUMMYFUNCTION("""COMPUTED_VALUE"""),0.500000003110258)</f>
        <v>0.50000000311025805</v>
      </c>
      <c r="M588" s="10">
        <f ca="1">IFERROR(__xludf.DUMMYFUNCTION("""COMPUTED_VALUE"""),8055)</f>
        <v>8055</v>
      </c>
      <c r="N588" s="10" t="str">
        <f ca="1">IFERROR(__xludf.DUMMYFUNCTION("""COMPUTED_VALUE"""),"PMU")</f>
        <v>PMU</v>
      </c>
      <c r="O588" s="1"/>
      <c r="P588" s="1"/>
      <c r="Q588" s="1"/>
      <c r="R588" s="1"/>
      <c r="S588" s="1"/>
      <c r="T588" s="1"/>
      <c r="U588" s="1"/>
      <c r="V588" s="1"/>
      <c r="W588" s="1"/>
      <c r="X588" s="1"/>
      <c r="Y588" s="1"/>
      <c r="Z588" s="1"/>
    </row>
    <row r="589" spans="1:26" ht="12.75" customHeight="1">
      <c r="A589" s="1"/>
      <c r="B589" s="10" t="str">
        <f ca="1">IFERROR(__xludf.DUMMYFUNCTION("""COMPUTED_VALUE"""),"REPOSICIÓN DE ACERA Y CONSTRUCCIÓN DE PASAMANOS PASAJE LAS LILAS SECTOR VISTA HERMOSA, LOTA.")</f>
        <v>REPOSICIÓN DE ACERA Y CONSTRUCCIÓN DE PASAMANOS PASAJE LAS LILAS SECTOR VISTA HERMOSA, LOTA.</v>
      </c>
      <c r="C589" s="10" t="str">
        <f ca="1">IFERROR(__xludf.DUMMYFUNCTION("""COMPUTED_VALUE"""),"1-K-2024-44")</f>
        <v>1-K-2024-44</v>
      </c>
      <c r="D589" s="26" t="str">
        <f t="shared" ca="1" si="0"/>
        <v xml:space="preserve"> LOTA</v>
      </c>
      <c r="E589" s="10" t="str">
        <f ca="1">IFERROR(__xludf.DUMMYFUNCTION("""COMPUTED_VALUE"""),"Guía Operativa")</f>
        <v>Guía Operativa</v>
      </c>
      <c r="F589" s="10" t="str">
        <f ca="1">IFERROR(__xludf.DUMMYFUNCTION("""COMPUTED_VALUE"""),"MUNICIPALIDAD DE LOTA")</f>
        <v>MUNICIPALIDAD DE LOTA</v>
      </c>
      <c r="G589" s="71">
        <f ca="1">IFERROR(__xludf.DUMMYFUNCTION("""COMPUTED_VALUE"""),153513674)</f>
        <v>153513674</v>
      </c>
      <c r="H589" s="10" t="str">
        <f ca="1">IFERROR(__xludf.DUMMYFUNCTION("""COMPUTED_VALUE"""),"Resolución")</f>
        <v>Resolución</v>
      </c>
      <c r="I589" s="10" t="str">
        <f ca="1">IFERROR(__xludf.DUMMYFUNCTION("""COMPUTED_VALUE"""),"OBRA")</f>
        <v>OBRA</v>
      </c>
      <c r="J589" s="10" t="str">
        <f ca="1">IFERROR(__xludf.DUMMYFUNCTION("""COMPUTED_VALUE"""),"Cumplir con normativa y reglamentos internos del programa en base a los objetivos.")</f>
        <v>Cumplir con normativa y reglamentos internos del programa en base a los objetivos.</v>
      </c>
      <c r="K589" s="71">
        <f ca="1">IFERROR(__xludf.DUMMYFUNCTION("""COMPUTED_VALUE"""),76756837)</f>
        <v>76756837</v>
      </c>
      <c r="L589" s="72">
        <f ca="1">IFERROR(__xludf.DUMMYFUNCTION("""COMPUTED_VALUE"""),0.5)</f>
        <v>0.5</v>
      </c>
      <c r="M589" s="10">
        <f ca="1">IFERROR(__xludf.DUMMYFUNCTION("""COMPUTED_VALUE"""),8055)</f>
        <v>8055</v>
      </c>
      <c r="N589" s="10" t="str">
        <f ca="1">IFERROR(__xludf.DUMMYFUNCTION("""COMPUTED_VALUE"""),"PMU")</f>
        <v>PMU</v>
      </c>
      <c r="O589" s="1"/>
      <c r="P589" s="1"/>
      <c r="Q589" s="1"/>
      <c r="R589" s="1"/>
      <c r="S589" s="1"/>
      <c r="T589" s="1"/>
      <c r="U589" s="1"/>
      <c r="V589" s="1"/>
      <c r="W589" s="1"/>
      <c r="X589" s="1"/>
      <c r="Y589" s="1"/>
      <c r="Z589" s="1"/>
    </row>
    <row r="590" spans="1:26" ht="12.75" customHeight="1">
      <c r="A590" s="1"/>
      <c r="B590" s="10" t="str">
        <f ca="1">IFERROR(__xludf.DUMMYFUNCTION("""COMPUTED_VALUE"""),"CONSTRUCCIÓN PASAMANOS CALLE N°2 SECTOR SAN MARTÍN, LOTA.")</f>
        <v>CONSTRUCCIÓN PASAMANOS CALLE N°2 SECTOR SAN MARTÍN, LOTA.</v>
      </c>
      <c r="C590" s="10" t="str">
        <f ca="1">IFERROR(__xludf.DUMMYFUNCTION("""COMPUTED_VALUE"""),"1-K-2024-46")</f>
        <v>1-K-2024-46</v>
      </c>
      <c r="D590" s="26" t="str">
        <f t="shared" ca="1" si="0"/>
        <v xml:space="preserve"> LOTA</v>
      </c>
      <c r="E590" s="10" t="str">
        <f ca="1">IFERROR(__xludf.DUMMYFUNCTION("""COMPUTED_VALUE"""),"Guía Operativa")</f>
        <v>Guía Operativa</v>
      </c>
      <c r="F590" s="10" t="str">
        <f ca="1">IFERROR(__xludf.DUMMYFUNCTION("""COMPUTED_VALUE"""),"MUNICIPALIDAD DE LOTA")</f>
        <v>MUNICIPALIDAD DE LOTA</v>
      </c>
      <c r="G590" s="71">
        <f ca="1">IFERROR(__xludf.DUMMYFUNCTION("""COMPUTED_VALUE"""),151622215)</f>
        <v>151622215</v>
      </c>
      <c r="H590" s="10" t="str">
        <f ca="1">IFERROR(__xludf.DUMMYFUNCTION("""COMPUTED_VALUE"""),"Resolución")</f>
        <v>Resolución</v>
      </c>
      <c r="I590" s="10" t="str">
        <f ca="1">IFERROR(__xludf.DUMMYFUNCTION("""COMPUTED_VALUE"""),"OBRA")</f>
        <v>OBRA</v>
      </c>
      <c r="J590" s="10" t="str">
        <f ca="1">IFERROR(__xludf.DUMMYFUNCTION("""COMPUTED_VALUE"""),"Cumplir con normativa y reglamentos internos del programa en base a los objetivos.")</f>
        <v>Cumplir con normativa y reglamentos internos del programa en base a los objetivos.</v>
      </c>
      <c r="K590" s="71">
        <f ca="1">IFERROR(__xludf.DUMMYFUNCTION("""COMPUTED_VALUE"""),75811108)</f>
        <v>75811108</v>
      </c>
      <c r="L590" s="72">
        <f ca="1">IFERROR(__xludf.DUMMYFUNCTION("""COMPUTED_VALUE"""),0.500000003297669)</f>
        <v>0.50000000329766903</v>
      </c>
      <c r="M590" s="10">
        <f ca="1">IFERROR(__xludf.DUMMYFUNCTION("""COMPUTED_VALUE"""),8053)</f>
        <v>8053</v>
      </c>
      <c r="N590" s="10" t="str">
        <f ca="1">IFERROR(__xludf.DUMMYFUNCTION("""COMPUTED_VALUE"""),"PMU")</f>
        <v>PMU</v>
      </c>
      <c r="O590" s="1"/>
      <c r="P590" s="1"/>
      <c r="Q590" s="1"/>
      <c r="R590" s="1"/>
      <c r="S590" s="1"/>
      <c r="T590" s="1"/>
      <c r="U590" s="1"/>
      <c r="V590" s="1"/>
      <c r="W590" s="1"/>
      <c r="X590" s="1"/>
      <c r="Y590" s="1"/>
      <c r="Z590" s="1"/>
    </row>
    <row r="591" spans="1:26" ht="12.75" customHeight="1">
      <c r="A591" s="1"/>
      <c r="B591" s="10" t="str">
        <f ca="1">IFERROR(__xludf.DUMMYFUNCTION("""COMPUTED_VALUE"""),"CONSTRUCCIÓN DEFENSA CAMIONERA Y REPOSICIÓN DE PASAMANOS CALLE GALVARINO SECTOR CENTRO DE LOTA.")</f>
        <v>CONSTRUCCIÓN DEFENSA CAMIONERA Y REPOSICIÓN DE PASAMANOS CALLE GALVARINO SECTOR CENTRO DE LOTA.</v>
      </c>
      <c r="C591" s="10" t="str">
        <f ca="1">IFERROR(__xludf.DUMMYFUNCTION("""COMPUTED_VALUE"""),"1-K-2024-47")</f>
        <v>1-K-2024-47</v>
      </c>
      <c r="D591" s="26" t="str">
        <f t="shared" ca="1" si="0"/>
        <v xml:space="preserve"> LOTA</v>
      </c>
      <c r="E591" s="10" t="str">
        <f ca="1">IFERROR(__xludf.DUMMYFUNCTION("""COMPUTED_VALUE"""),"Guía Operativa")</f>
        <v>Guía Operativa</v>
      </c>
      <c r="F591" s="10" t="str">
        <f ca="1">IFERROR(__xludf.DUMMYFUNCTION("""COMPUTED_VALUE"""),"MUNICIPALIDAD DE LOTA")</f>
        <v>MUNICIPALIDAD DE LOTA</v>
      </c>
      <c r="G591" s="71">
        <f ca="1">IFERROR(__xludf.DUMMYFUNCTION("""COMPUTED_VALUE"""),156335325)</f>
        <v>156335325</v>
      </c>
      <c r="H591" s="10" t="str">
        <f ca="1">IFERROR(__xludf.DUMMYFUNCTION("""COMPUTED_VALUE"""),"Resolución")</f>
        <v>Resolución</v>
      </c>
      <c r="I591" s="10" t="str">
        <f ca="1">IFERROR(__xludf.DUMMYFUNCTION("""COMPUTED_VALUE"""),"OBRA")</f>
        <v>OBRA</v>
      </c>
      <c r="J591" s="10" t="str">
        <f ca="1">IFERROR(__xludf.DUMMYFUNCTION("""COMPUTED_VALUE"""),"Cumplir con normativa y reglamentos internos del programa en base a los objetivos.")</f>
        <v>Cumplir con normativa y reglamentos internos del programa en base a los objetivos.</v>
      </c>
      <c r="K591" s="71">
        <f ca="1">IFERROR(__xludf.DUMMYFUNCTION("""COMPUTED_VALUE"""),78167663)</f>
        <v>78167663</v>
      </c>
      <c r="L591" s="72">
        <f ca="1">IFERROR(__xludf.DUMMYFUNCTION("""COMPUTED_VALUE"""),0.500000003198253)</f>
        <v>0.500000003198253</v>
      </c>
      <c r="M591" s="10">
        <f ca="1">IFERROR(__xludf.DUMMYFUNCTION("""COMPUTED_VALUE"""),8060)</f>
        <v>8060</v>
      </c>
      <c r="N591" s="10" t="str">
        <f ca="1">IFERROR(__xludf.DUMMYFUNCTION("""COMPUTED_VALUE"""),"PMU")</f>
        <v>PMU</v>
      </c>
      <c r="O591" s="1"/>
      <c r="P591" s="1"/>
      <c r="Q591" s="1"/>
      <c r="R591" s="1"/>
      <c r="S591" s="1"/>
      <c r="T591" s="1"/>
      <c r="U591" s="1"/>
      <c r="V591" s="1"/>
      <c r="W591" s="1"/>
      <c r="X591" s="1"/>
      <c r="Y591" s="1"/>
      <c r="Z591" s="1"/>
    </row>
    <row r="592" spans="1:26" ht="12.75" customHeight="1">
      <c r="A592" s="1"/>
      <c r="B592" s="10" t="str">
        <f ca="1">IFERROR(__xludf.DUMMYFUNCTION("""COMPUTED_VALUE"""),"CONSTRUCCIÓN MIRADOR JULIO MONTT SECTOR CALERO SUR, LOTA.")</f>
        <v>CONSTRUCCIÓN MIRADOR JULIO MONTT SECTOR CALERO SUR, LOTA.</v>
      </c>
      <c r="C592" s="10" t="str">
        <f ca="1">IFERROR(__xludf.DUMMYFUNCTION("""COMPUTED_VALUE"""),"1-K-2024-48")</f>
        <v>1-K-2024-48</v>
      </c>
      <c r="D592" s="26" t="str">
        <f t="shared" ca="1" si="0"/>
        <v xml:space="preserve"> LOTA</v>
      </c>
      <c r="E592" s="10" t="str">
        <f ca="1">IFERROR(__xludf.DUMMYFUNCTION("""COMPUTED_VALUE"""),"Guía Operativa")</f>
        <v>Guía Operativa</v>
      </c>
      <c r="F592" s="10" t="str">
        <f ca="1">IFERROR(__xludf.DUMMYFUNCTION("""COMPUTED_VALUE"""),"MUNICIPALIDAD DE LOTA")</f>
        <v>MUNICIPALIDAD DE LOTA</v>
      </c>
      <c r="G592" s="71">
        <f ca="1">IFERROR(__xludf.DUMMYFUNCTION("""COMPUTED_VALUE"""),159159152)</f>
        <v>159159152</v>
      </c>
      <c r="H592" s="10" t="str">
        <f ca="1">IFERROR(__xludf.DUMMYFUNCTION("""COMPUTED_VALUE"""),"Resolución")</f>
        <v>Resolución</v>
      </c>
      <c r="I592" s="10" t="str">
        <f ca="1">IFERROR(__xludf.DUMMYFUNCTION("""COMPUTED_VALUE"""),"OBRA")</f>
        <v>OBRA</v>
      </c>
      <c r="J592" s="10" t="str">
        <f ca="1">IFERROR(__xludf.DUMMYFUNCTION("""COMPUTED_VALUE"""),"Cumplir con normativa y reglamentos internos del programa en base a los objetivos.")</f>
        <v>Cumplir con normativa y reglamentos internos del programa en base a los objetivos.</v>
      </c>
      <c r="K592" s="71">
        <f ca="1">IFERROR(__xludf.DUMMYFUNCTION("""COMPUTED_VALUE"""),79579576)</f>
        <v>79579576</v>
      </c>
      <c r="L592" s="72">
        <f ca="1">IFERROR(__xludf.DUMMYFUNCTION("""COMPUTED_VALUE"""),0.5)</f>
        <v>0.5</v>
      </c>
      <c r="M592" s="10">
        <f ca="1">IFERROR(__xludf.DUMMYFUNCTION("""COMPUTED_VALUE"""),8060)</f>
        <v>8060</v>
      </c>
      <c r="N592" s="10" t="str">
        <f ca="1">IFERROR(__xludf.DUMMYFUNCTION("""COMPUTED_VALUE"""),"PMU")</f>
        <v>PMU</v>
      </c>
      <c r="O592" s="1"/>
      <c r="P592" s="1"/>
      <c r="Q592" s="1"/>
      <c r="R592" s="1"/>
      <c r="S592" s="1"/>
      <c r="T592" s="1"/>
      <c r="U592" s="1"/>
      <c r="V592" s="1"/>
      <c r="W592" s="1"/>
      <c r="X592" s="1"/>
      <c r="Y592" s="1"/>
      <c r="Z592" s="1"/>
    </row>
    <row r="593" spans="1:26" ht="12.75" customHeight="1">
      <c r="A593" s="1"/>
      <c r="B593" s="10" t="str">
        <f ca="1">IFERROR(__xludf.DUMMYFUNCTION("""COMPUTED_VALUE"""),"CONSTRUCCIÓN MURO DE CONTENCIÓN Y MEJORAMIENTO DE ACERA ENTRE CALLES LAS GOLONDRINAS Y LOS ZORZALES SECTOR CANTERA, LOTA.")</f>
        <v>CONSTRUCCIÓN MURO DE CONTENCIÓN Y MEJORAMIENTO DE ACERA ENTRE CALLES LAS GOLONDRINAS Y LOS ZORZALES SECTOR CANTERA, LOTA.</v>
      </c>
      <c r="C593" s="10" t="str">
        <f ca="1">IFERROR(__xludf.DUMMYFUNCTION("""COMPUTED_VALUE"""),"1-K-2024-49")</f>
        <v>1-K-2024-49</v>
      </c>
      <c r="D593" s="26" t="str">
        <f t="shared" ca="1" si="0"/>
        <v xml:space="preserve"> LOTA</v>
      </c>
      <c r="E593" s="10" t="str">
        <f ca="1">IFERROR(__xludf.DUMMYFUNCTION("""COMPUTED_VALUE"""),"Guía Operativa")</f>
        <v>Guía Operativa</v>
      </c>
      <c r="F593" s="10" t="str">
        <f ca="1">IFERROR(__xludf.DUMMYFUNCTION("""COMPUTED_VALUE"""),"MUNICIPALIDAD DE LOTA")</f>
        <v>MUNICIPALIDAD DE LOTA</v>
      </c>
      <c r="G593" s="71">
        <f ca="1">IFERROR(__xludf.DUMMYFUNCTION("""COMPUTED_VALUE"""),157657476)</f>
        <v>157657476</v>
      </c>
      <c r="H593" s="10" t="str">
        <f ca="1">IFERROR(__xludf.DUMMYFUNCTION("""COMPUTED_VALUE"""),"Resolución")</f>
        <v>Resolución</v>
      </c>
      <c r="I593" s="10" t="str">
        <f ca="1">IFERROR(__xludf.DUMMYFUNCTION("""COMPUTED_VALUE"""),"OBRA")</f>
        <v>OBRA</v>
      </c>
      <c r="J593" s="10" t="str">
        <f ca="1">IFERROR(__xludf.DUMMYFUNCTION("""COMPUTED_VALUE"""),"Cumplir con normativa y reglamentos internos del programa en base a los objetivos.")</f>
        <v>Cumplir con normativa y reglamentos internos del programa en base a los objetivos.</v>
      </c>
      <c r="K593" s="71">
        <f ca="1">IFERROR(__xludf.DUMMYFUNCTION("""COMPUTED_VALUE"""),78828738)</f>
        <v>78828738</v>
      </c>
      <c r="L593" s="72">
        <f ca="1">IFERROR(__xludf.DUMMYFUNCTION("""COMPUTED_VALUE"""),0.5)</f>
        <v>0.5</v>
      </c>
      <c r="M593" s="10">
        <f ca="1">IFERROR(__xludf.DUMMYFUNCTION("""COMPUTED_VALUE"""),8053)</f>
        <v>8053</v>
      </c>
      <c r="N593" s="10" t="str">
        <f ca="1">IFERROR(__xludf.DUMMYFUNCTION("""COMPUTED_VALUE"""),"PMU")</f>
        <v>PMU</v>
      </c>
      <c r="O593" s="1"/>
      <c r="P593" s="1"/>
      <c r="Q593" s="1"/>
      <c r="R593" s="1"/>
      <c r="S593" s="1"/>
      <c r="T593" s="1"/>
      <c r="U593" s="1"/>
      <c r="V593" s="1"/>
      <c r="W593" s="1"/>
      <c r="X593" s="1"/>
      <c r="Y593" s="1"/>
      <c r="Z593" s="1"/>
    </row>
    <row r="594" spans="1:26" ht="12.75" customHeight="1">
      <c r="A594" s="1"/>
      <c r="B594" s="10" t="str">
        <f ca="1">IFERROR(__xludf.DUMMYFUNCTION("""COMPUTED_VALUE"""),"CONSTRUCCIÓN PASAMANOS SECTOR 21 DE MAYO, LOTA.")</f>
        <v>CONSTRUCCIÓN PASAMANOS SECTOR 21 DE MAYO, LOTA.</v>
      </c>
      <c r="C594" s="10" t="str">
        <f ca="1">IFERROR(__xludf.DUMMYFUNCTION("""COMPUTED_VALUE"""),"1-K-2024-50")</f>
        <v>1-K-2024-50</v>
      </c>
      <c r="D594" s="26" t="str">
        <f t="shared" ca="1" si="0"/>
        <v xml:space="preserve"> LOTA</v>
      </c>
      <c r="E594" s="10" t="str">
        <f ca="1">IFERROR(__xludf.DUMMYFUNCTION("""COMPUTED_VALUE"""),"Guía Operativa")</f>
        <v>Guía Operativa</v>
      </c>
      <c r="F594" s="10" t="str">
        <f ca="1">IFERROR(__xludf.DUMMYFUNCTION("""COMPUTED_VALUE"""),"MUNICIPALIDAD DE LOTA")</f>
        <v>MUNICIPALIDAD DE LOTA</v>
      </c>
      <c r="G594" s="71">
        <f ca="1">IFERROR(__xludf.DUMMYFUNCTION("""COMPUTED_VALUE"""),150836261)</f>
        <v>150836261</v>
      </c>
      <c r="H594" s="10" t="str">
        <f ca="1">IFERROR(__xludf.DUMMYFUNCTION("""COMPUTED_VALUE"""),"Resolución")</f>
        <v>Resolución</v>
      </c>
      <c r="I594" s="10" t="str">
        <f ca="1">IFERROR(__xludf.DUMMYFUNCTION("""COMPUTED_VALUE"""),"OBRA")</f>
        <v>OBRA</v>
      </c>
      <c r="J594" s="10" t="str">
        <f ca="1">IFERROR(__xludf.DUMMYFUNCTION("""COMPUTED_VALUE"""),"Cumplir con normativa y reglamentos internos del programa en base a los objetivos.")</f>
        <v>Cumplir con normativa y reglamentos internos del programa en base a los objetivos.</v>
      </c>
      <c r="K594" s="71">
        <f ca="1">IFERROR(__xludf.DUMMYFUNCTION("""COMPUTED_VALUE"""),30167252)</f>
        <v>30167252</v>
      </c>
      <c r="L594" s="72">
        <f ca="1">IFERROR(__xludf.DUMMYFUNCTION("""COMPUTED_VALUE"""),0.199999998674058)</f>
        <v>0.19999999867405799</v>
      </c>
      <c r="M594" s="10">
        <f ca="1">IFERROR(__xludf.DUMMYFUNCTION("""COMPUTED_VALUE"""),8053)</f>
        <v>8053</v>
      </c>
      <c r="N594" s="10" t="str">
        <f ca="1">IFERROR(__xludf.DUMMYFUNCTION("""COMPUTED_VALUE"""),"PMU")</f>
        <v>PMU</v>
      </c>
      <c r="O594" s="1"/>
      <c r="P594" s="1"/>
      <c r="Q594" s="1"/>
      <c r="R594" s="1"/>
      <c r="S594" s="1"/>
      <c r="T594" s="1"/>
      <c r="U594" s="1"/>
      <c r="V594" s="1"/>
      <c r="W594" s="1"/>
      <c r="X594" s="1"/>
      <c r="Y594" s="1"/>
      <c r="Z594" s="1"/>
    </row>
    <row r="595" spans="1:26" ht="12.75" customHeight="1">
      <c r="A595" s="1"/>
      <c r="B595" s="10" t="str">
        <f ca="1">IFERROR(__xludf.DUMMYFUNCTION("""COMPUTED_VALUE"""),"CONSTRUCCIÓN PASAMANOS SECTOR 21 DE MAYO, LOTA.")</f>
        <v>CONSTRUCCIÓN PASAMANOS SECTOR 21 DE MAYO, LOTA.</v>
      </c>
      <c r="C595" s="10" t="str">
        <f ca="1">IFERROR(__xludf.DUMMYFUNCTION("""COMPUTED_VALUE"""),"1-K-2024-50")</f>
        <v>1-K-2024-50</v>
      </c>
      <c r="D595" s="26" t="str">
        <f t="shared" ca="1" si="0"/>
        <v xml:space="preserve"> LOTA</v>
      </c>
      <c r="E595" s="10" t="str">
        <f ca="1">IFERROR(__xludf.DUMMYFUNCTION("""COMPUTED_VALUE"""),"Guía Operativa")</f>
        <v>Guía Operativa</v>
      </c>
      <c r="F595" s="10" t="str">
        <f ca="1">IFERROR(__xludf.DUMMYFUNCTION("""COMPUTED_VALUE"""),"MUNICIPALIDAD DE LOTA")</f>
        <v>MUNICIPALIDAD DE LOTA</v>
      </c>
      <c r="G595" s="71">
        <f ca="1">IFERROR(__xludf.DUMMYFUNCTION("""COMPUTED_VALUE"""),150836261)</f>
        <v>150836261</v>
      </c>
      <c r="H595" s="10" t="str">
        <f ca="1">IFERROR(__xludf.DUMMYFUNCTION("""COMPUTED_VALUE"""),"Resolución")</f>
        <v>Resolución</v>
      </c>
      <c r="I595" s="10" t="str">
        <f ca="1">IFERROR(__xludf.DUMMYFUNCTION("""COMPUTED_VALUE"""),"OBRA")</f>
        <v>OBRA</v>
      </c>
      <c r="J595" s="10" t="str">
        <f ca="1">IFERROR(__xludf.DUMMYFUNCTION("""COMPUTED_VALUE"""),"Cumplir con normativa y reglamentos internos del programa en base a los objetivos.")</f>
        <v>Cumplir con normativa y reglamentos internos del programa en base a los objetivos.</v>
      </c>
      <c r="K595" s="71">
        <f ca="1">IFERROR(__xludf.DUMMYFUNCTION("""COMPUTED_VALUE"""),45250878)</f>
        <v>45250878</v>
      </c>
      <c r="L595" s="72">
        <f ca="1">IFERROR(__xludf.DUMMYFUNCTION("""COMPUTED_VALUE"""),0.299999998011088)</f>
        <v>0.29999999801108801</v>
      </c>
      <c r="M595" s="10">
        <f ca="1">IFERROR(__xludf.DUMMYFUNCTION("""COMPUTED_VALUE"""),8053)</f>
        <v>8053</v>
      </c>
      <c r="N595" s="10" t="str">
        <f ca="1">IFERROR(__xludf.DUMMYFUNCTION("""COMPUTED_VALUE"""),"PMU")</f>
        <v>PMU</v>
      </c>
      <c r="O595" s="1"/>
      <c r="P595" s="1"/>
      <c r="Q595" s="1"/>
      <c r="R595" s="1"/>
      <c r="S595" s="1"/>
      <c r="T595" s="1"/>
      <c r="U595" s="1"/>
      <c r="V595" s="1"/>
      <c r="W595" s="1"/>
      <c r="X595" s="1"/>
      <c r="Y595" s="1"/>
      <c r="Z595" s="1"/>
    </row>
    <row r="596" spans="1:26" ht="12.75" customHeight="1">
      <c r="A596" s="1"/>
      <c r="B596" s="10" t="str">
        <f ca="1">IFERROR(__xludf.DUMMYFUNCTION("""COMPUTED_VALUE"""),"CONSTRUCCIÓNM REDUCTOR DE VELOCIDAD CALLE CAUPOLICAN SECTOR SAN MARTIN, LOTA.")</f>
        <v>CONSTRUCCIÓNM REDUCTOR DE VELOCIDAD CALLE CAUPOLICAN SECTOR SAN MARTIN, LOTA.</v>
      </c>
      <c r="C596" s="10" t="str">
        <f ca="1">IFERROR(__xludf.DUMMYFUNCTION("""COMPUTED_VALUE"""),"1-K-2024-51")</f>
        <v>1-K-2024-51</v>
      </c>
      <c r="D596" s="26" t="str">
        <f t="shared" ca="1" si="0"/>
        <v xml:space="preserve"> LOTA</v>
      </c>
      <c r="E596" s="10" t="str">
        <f ca="1">IFERROR(__xludf.DUMMYFUNCTION("""COMPUTED_VALUE"""),"Guía Operativa")</f>
        <v>Guía Operativa</v>
      </c>
      <c r="F596" s="10" t="str">
        <f ca="1">IFERROR(__xludf.DUMMYFUNCTION("""COMPUTED_VALUE"""),"MUNICIPALIDAD DE LOTA")</f>
        <v>MUNICIPALIDAD DE LOTA</v>
      </c>
      <c r="G596" s="71">
        <f ca="1">IFERROR(__xludf.DUMMYFUNCTION("""COMPUTED_VALUE"""),154021775)</f>
        <v>154021775</v>
      </c>
      <c r="H596" s="10" t="str">
        <f ca="1">IFERROR(__xludf.DUMMYFUNCTION("""COMPUTED_VALUE"""),"Resolución")</f>
        <v>Resolución</v>
      </c>
      <c r="I596" s="10" t="str">
        <f ca="1">IFERROR(__xludf.DUMMYFUNCTION("""COMPUTED_VALUE"""),"OBRA")</f>
        <v>OBRA</v>
      </c>
      <c r="J596" s="10" t="str">
        <f ca="1">IFERROR(__xludf.DUMMYFUNCTION("""COMPUTED_VALUE"""),"Cumplir con normativa y reglamentos internos del programa en base a los objetivos.")</f>
        <v>Cumplir con normativa y reglamentos internos del programa en base a los objetivos.</v>
      </c>
      <c r="K596" s="71">
        <f ca="1">IFERROR(__xludf.DUMMYFUNCTION("""COMPUTED_VALUE"""),30804355)</f>
        <v>30804355</v>
      </c>
      <c r="L596" s="72">
        <f ca="1">IFERROR(__xludf.DUMMYFUNCTION("""COMPUTED_VALUE"""),0.2)</f>
        <v>0.2</v>
      </c>
      <c r="M596" s="10">
        <f ca="1">IFERROR(__xludf.DUMMYFUNCTION("""COMPUTED_VALUE"""),8060)</f>
        <v>8060</v>
      </c>
      <c r="N596" s="10" t="str">
        <f ca="1">IFERROR(__xludf.DUMMYFUNCTION("""COMPUTED_VALUE"""),"PMU")</f>
        <v>PMU</v>
      </c>
      <c r="O596" s="1"/>
      <c r="P596" s="1"/>
      <c r="Q596" s="1"/>
      <c r="R596" s="1"/>
      <c r="S596" s="1"/>
      <c r="T596" s="1"/>
      <c r="U596" s="1"/>
      <c r="V596" s="1"/>
      <c r="W596" s="1"/>
      <c r="X596" s="1"/>
      <c r="Y596" s="1"/>
      <c r="Z596" s="1"/>
    </row>
    <row r="597" spans="1:26" ht="12.75" customHeight="1">
      <c r="A597" s="1"/>
      <c r="B597" s="10" t="str">
        <f ca="1">IFERROR(__xludf.DUMMYFUNCTION("""COMPUTED_VALUE"""),"CONSTRUCCIÓNM REDUCTOR DE VELOCIDAD CALLE CAUPOLICAN SECTOR SAN MARTIN, LOTA.")</f>
        <v>CONSTRUCCIÓNM REDUCTOR DE VELOCIDAD CALLE CAUPOLICAN SECTOR SAN MARTIN, LOTA.</v>
      </c>
      <c r="C597" s="10" t="str">
        <f ca="1">IFERROR(__xludf.DUMMYFUNCTION("""COMPUTED_VALUE"""),"1-K-2024-51")</f>
        <v>1-K-2024-51</v>
      </c>
      <c r="D597" s="26" t="str">
        <f t="shared" ca="1" si="0"/>
        <v xml:space="preserve"> LOTA</v>
      </c>
      <c r="E597" s="10" t="str">
        <f ca="1">IFERROR(__xludf.DUMMYFUNCTION("""COMPUTED_VALUE"""),"Guía Operativa")</f>
        <v>Guía Operativa</v>
      </c>
      <c r="F597" s="10" t="str">
        <f ca="1">IFERROR(__xludf.DUMMYFUNCTION("""COMPUTED_VALUE"""),"MUNICIPALIDAD DE LOTA")</f>
        <v>MUNICIPALIDAD DE LOTA</v>
      </c>
      <c r="G597" s="71">
        <f ca="1">IFERROR(__xludf.DUMMYFUNCTION("""COMPUTED_VALUE"""),154021775)</f>
        <v>154021775</v>
      </c>
      <c r="H597" s="10" t="str">
        <f ca="1">IFERROR(__xludf.DUMMYFUNCTION("""COMPUTED_VALUE"""),"Resolución")</f>
        <v>Resolución</v>
      </c>
      <c r="I597" s="10" t="str">
        <f ca="1">IFERROR(__xludf.DUMMYFUNCTION("""COMPUTED_VALUE"""),"OBRA")</f>
        <v>OBRA</v>
      </c>
      <c r="J597" s="10" t="str">
        <f ca="1">IFERROR(__xludf.DUMMYFUNCTION("""COMPUTED_VALUE"""),"Cumplir con normativa y reglamentos internos del programa en base a los objetivos.")</f>
        <v>Cumplir con normativa y reglamentos internos del programa en base a los objetivos.</v>
      </c>
      <c r="K597" s="71">
        <f ca="1">IFERROR(__xludf.DUMMYFUNCTION("""COMPUTED_VALUE"""),46206524)</f>
        <v>46206524</v>
      </c>
      <c r="L597" s="72">
        <f ca="1">IFERROR(__xludf.DUMMYFUNCTION("""COMPUTED_VALUE"""),0.299999944812998)</f>
        <v>0.29999994481299802</v>
      </c>
      <c r="M597" s="10">
        <f ca="1">IFERROR(__xludf.DUMMYFUNCTION("""COMPUTED_VALUE"""),8060)</f>
        <v>8060</v>
      </c>
      <c r="N597" s="10" t="str">
        <f ca="1">IFERROR(__xludf.DUMMYFUNCTION("""COMPUTED_VALUE"""),"PMU")</f>
        <v>PMU</v>
      </c>
      <c r="O597" s="1"/>
      <c r="P597" s="1"/>
      <c r="Q597" s="1"/>
      <c r="R597" s="1"/>
      <c r="S597" s="1"/>
      <c r="T597" s="1"/>
      <c r="U597" s="1"/>
      <c r="V597" s="1"/>
      <c r="W597" s="1"/>
      <c r="X597" s="1"/>
      <c r="Y597" s="1"/>
      <c r="Z597" s="1"/>
    </row>
    <row r="598" spans="1:26" ht="12.75" customHeight="1">
      <c r="A598" s="1"/>
      <c r="B598" s="10" t="str">
        <f ca="1">IFERROR(__xludf.DUMMYFUNCTION("""COMPUTED_VALUE"""),"MEJORAMIENTO SEDE SOCIAL VILLA MIRAMAR DICHATO, COMUNA DE TOME")</f>
        <v>MEJORAMIENTO SEDE SOCIAL VILLA MIRAMAR DICHATO, COMUNA DE TOME</v>
      </c>
      <c r="C598" s="10" t="str">
        <f ca="1">IFERROR(__xludf.DUMMYFUNCTION("""COMPUTED_VALUE"""),"1-B-2024-387")</f>
        <v>1-B-2024-387</v>
      </c>
      <c r="D598" s="26" t="str">
        <f t="shared" ca="1" si="0"/>
        <v xml:space="preserve"> TOMÉ</v>
      </c>
      <c r="E598" s="10" t="str">
        <f ca="1">IFERROR(__xludf.DUMMYFUNCTION("""COMPUTED_VALUE"""),"Guía Operativa")</f>
        <v>Guía Operativa</v>
      </c>
      <c r="F598" s="10" t="str">
        <f ca="1">IFERROR(__xludf.DUMMYFUNCTION("""COMPUTED_VALUE"""),"MUNICIPALIDAD DE TOMÉ")</f>
        <v>MUNICIPALIDAD DE TOMÉ</v>
      </c>
      <c r="G598" s="71">
        <f ca="1">IFERROR(__xludf.DUMMYFUNCTION("""COMPUTED_VALUE"""),112230679)</f>
        <v>112230679</v>
      </c>
      <c r="H598" s="10" t="str">
        <f ca="1">IFERROR(__xludf.DUMMYFUNCTION("""COMPUTED_VALUE"""),"Resolución")</f>
        <v>Resolución</v>
      </c>
      <c r="I598" s="10" t="str">
        <f ca="1">IFERROR(__xludf.DUMMYFUNCTION("""COMPUTED_VALUE"""),"OBRA")</f>
        <v>OBRA</v>
      </c>
      <c r="J598" s="10" t="str">
        <f ca="1">IFERROR(__xludf.DUMMYFUNCTION("""COMPUTED_VALUE"""),"Cumplir con normativa y reglamentos internos del programa en base a los objetivos.")</f>
        <v>Cumplir con normativa y reglamentos internos del programa en base a los objetivos.</v>
      </c>
      <c r="K598" s="71">
        <f ca="1">IFERROR(__xludf.DUMMYFUNCTION("""COMPUTED_VALUE"""),56115340)</f>
        <v>56115340</v>
      </c>
      <c r="L598" s="72">
        <f ca="1">IFERROR(__xludf.DUMMYFUNCTION("""COMPUTED_VALUE"""),0.500000004455109)</f>
        <v>0.50000000445510895</v>
      </c>
      <c r="M598" s="10">
        <f ca="1">IFERROR(__xludf.DUMMYFUNCTION("""COMPUTED_VALUE"""),8062)</f>
        <v>8062</v>
      </c>
      <c r="N598" s="10" t="str">
        <f ca="1">IFERROR(__xludf.DUMMYFUNCTION("""COMPUTED_VALUE"""),"PMU")</f>
        <v>PMU</v>
      </c>
      <c r="O598" s="1"/>
      <c r="P598" s="1"/>
      <c r="Q598" s="1"/>
      <c r="R598" s="1"/>
      <c r="S598" s="1"/>
      <c r="T598" s="1"/>
      <c r="U598" s="1"/>
      <c r="V598" s="1"/>
      <c r="W598" s="1"/>
      <c r="X598" s="1"/>
      <c r="Y598" s="1"/>
      <c r="Z598" s="1"/>
    </row>
    <row r="599" spans="1:26" ht="12.75" customHeight="1">
      <c r="A599" s="1"/>
      <c r="B599" s="10" t="str">
        <f ca="1">IFERROR(__xludf.DUMMYFUNCTION("""COMPUTED_VALUE"""),"MEJORAMIENTO SEDE SOCIAL VILLA NUEVO TOME, COMUNA DE TOME")</f>
        <v>MEJORAMIENTO SEDE SOCIAL VILLA NUEVO TOME, COMUNA DE TOME</v>
      </c>
      <c r="C599" s="10" t="str">
        <f ca="1">IFERROR(__xludf.DUMMYFUNCTION("""COMPUTED_VALUE"""),"1-B-2024-388")</f>
        <v>1-B-2024-388</v>
      </c>
      <c r="D599" s="26" t="str">
        <f t="shared" ca="1" si="0"/>
        <v xml:space="preserve"> TOMÉ</v>
      </c>
      <c r="E599" s="10" t="str">
        <f ca="1">IFERROR(__xludf.DUMMYFUNCTION("""COMPUTED_VALUE"""),"Guía Operativa")</f>
        <v>Guía Operativa</v>
      </c>
      <c r="F599" s="10" t="str">
        <f ca="1">IFERROR(__xludf.DUMMYFUNCTION("""COMPUTED_VALUE"""),"MUNICIPALIDAD DE TOMÉ")</f>
        <v>MUNICIPALIDAD DE TOMÉ</v>
      </c>
      <c r="G599" s="71">
        <f ca="1">IFERROR(__xludf.DUMMYFUNCTION("""COMPUTED_VALUE"""),114825612)</f>
        <v>114825612</v>
      </c>
      <c r="H599" s="10" t="str">
        <f ca="1">IFERROR(__xludf.DUMMYFUNCTION("""COMPUTED_VALUE"""),"Resolución")</f>
        <v>Resolución</v>
      </c>
      <c r="I599" s="10" t="str">
        <f ca="1">IFERROR(__xludf.DUMMYFUNCTION("""COMPUTED_VALUE"""),"OBRA")</f>
        <v>OBRA</v>
      </c>
      <c r="J599" s="10" t="str">
        <f ca="1">IFERROR(__xludf.DUMMYFUNCTION("""COMPUTED_VALUE"""),"Cumplir con normativa y reglamentos internos del programa en base a los objetivos.")</f>
        <v>Cumplir con normativa y reglamentos internos del programa en base a los objetivos.</v>
      </c>
      <c r="K599" s="71">
        <f ca="1">IFERROR(__xludf.DUMMYFUNCTION("""COMPUTED_VALUE"""),57412806)</f>
        <v>57412806</v>
      </c>
      <c r="L599" s="72">
        <f ca="1">IFERROR(__xludf.DUMMYFUNCTION("""COMPUTED_VALUE"""),0.5)</f>
        <v>0.5</v>
      </c>
      <c r="M599" s="10">
        <f ca="1">IFERROR(__xludf.DUMMYFUNCTION("""COMPUTED_VALUE"""),8062)</f>
        <v>8062</v>
      </c>
      <c r="N599" s="10" t="str">
        <f ca="1">IFERROR(__xludf.DUMMYFUNCTION("""COMPUTED_VALUE"""),"PMU")</f>
        <v>PMU</v>
      </c>
      <c r="O599" s="1"/>
      <c r="P599" s="1"/>
      <c r="Q599" s="1"/>
      <c r="R599" s="1"/>
      <c r="S599" s="1"/>
      <c r="T599" s="1"/>
      <c r="U599" s="1"/>
      <c r="V599" s="1"/>
      <c r="W599" s="1"/>
      <c r="X599" s="1"/>
      <c r="Y599" s="1"/>
      <c r="Z599" s="1"/>
    </row>
    <row r="600" spans="1:26" ht="12.75" customHeight="1">
      <c r="A600" s="1"/>
      <c r="B600" s="10" t="str">
        <f ca="1">IFERROR(__xludf.DUMMYFUNCTION("""COMPUTED_VALUE"""),"MEJORAMIENTO AREA VERDE POBLACION NUEVO COCHOLGUE, COMUNA DE TOMÉ")</f>
        <v>MEJORAMIENTO AREA VERDE POBLACION NUEVO COCHOLGUE, COMUNA DE TOMÉ</v>
      </c>
      <c r="C600" s="10" t="str">
        <f ca="1">IFERROR(__xludf.DUMMYFUNCTION("""COMPUTED_VALUE"""),"1-B-2024-389")</f>
        <v>1-B-2024-389</v>
      </c>
      <c r="D600" s="26" t="str">
        <f t="shared" ca="1" si="0"/>
        <v xml:space="preserve"> TOMÉ</v>
      </c>
      <c r="E600" s="10" t="str">
        <f ca="1">IFERROR(__xludf.DUMMYFUNCTION("""COMPUTED_VALUE"""),"Guía Operativa")</f>
        <v>Guía Operativa</v>
      </c>
      <c r="F600" s="10" t="str">
        <f ca="1">IFERROR(__xludf.DUMMYFUNCTION("""COMPUTED_VALUE"""),"MUNICIPALIDAD DE TOMÉ")</f>
        <v>MUNICIPALIDAD DE TOMÉ</v>
      </c>
      <c r="G600" s="71">
        <f ca="1">IFERROR(__xludf.DUMMYFUNCTION("""COMPUTED_VALUE"""),114518851)</f>
        <v>114518851</v>
      </c>
      <c r="H600" s="10" t="str">
        <f ca="1">IFERROR(__xludf.DUMMYFUNCTION("""COMPUTED_VALUE"""),"Resolución")</f>
        <v>Resolución</v>
      </c>
      <c r="I600" s="10" t="str">
        <f ca="1">IFERROR(__xludf.DUMMYFUNCTION("""COMPUTED_VALUE"""),"OBRA")</f>
        <v>OBRA</v>
      </c>
      <c r="J600" s="10" t="str">
        <f ca="1">IFERROR(__xludf.DUMMYFUNCTION("""COMPUTED_VALUE"""),"Cumplir con normativa y reglamentos internos del programa en base a los objetivos.")</f>
        <v>Cumplir con normativa y reglamentos internos del programa en base a los objetivos.</v>
      </c>
      <c r="K600" s="71">
        <f ca="1">IFERROR(__xludf.DUMMYFUNCTION("""COMPUTED_VALUE"""),57259426)</f>
        <v>57259426</v>
      </c>
      <c r="L600" s="72">
        <f ca="1">IFERROR(__xludf.DUMMYFUNCTION("""COMPUTED_VALUE"""),0.500000004366093)</f>
        <v>0.50000000436609304</v>
      </c>
      <c r="M600" s="10">
        <f ca="1">IFERROR(__xludf.DUMMYFUNCTION("""COMPUTED_VALUE"""),8063)</f>
        <v>8063</v>
      </c>
      <c r="N600" s="10" t="str">
        <f ca="1">IFERROR(__xludf.DUMMYFUNCTION("""COMPUTED_VALUE"""),"PMU")</f>
        <v>PMU</v>
      </c>
      <c r="O600" s="1"/>
      <c r="P600" s="1"/>
      <c r="Q600" s="1"/>
      <c r="R600" s="1"/>
      <c r="S600" s="1"/>
      <c r="T600" s="1"/>
      <c r="U600" s="1"/>
      <c r="V600" s="1"/>
      <c r="W600" s="1"/>
      <c r="X600" s="1"/>
      <c r="Y600" s="1"/>
      <c r="Z600" s="1"/>
    </row>
    <row r="601" spans="1:26" ht="12.75" customHeight="1">
      <c r="A601" s="1"/>
      <c r="B601" s="10" t="str">
        <f ca="1">IFERROR(__xludf.DUMMYFUNCTION("""COMPUTED_VALUE"""),"CONSTRUCCION PASAMANO CALLE CANDELARIA, COMUNA DE TOME")</f>
        <v>CONSTRUCCION PASAMANO CALLE CANDELARIA, COMUNA DE TOME</v>
      </c>
      <c r="C601" s="10" t="str">
        <f ca="1">IFERROR(__xludf.DUMMYFUNCTION("""COMPUTED_VALUE"""),"1-B-2024-390")</f>
        <v>1-B-2024-390</v>
      </c>
      <c r="D601" s="26" t="str">
        <f t="shared" ca="1" si="0"/>
        <v xml:space="preserve"> TOMÉ</v>
      </c>
      <c r="E601" s="10" t="str">
        <f ca="1">IFERROR(__xludf.DUMMYFUNCTION("""COMPUTED_VALUE"""),"Guía Operativa")</f>
        <v>Guía Operativa</v>
      </c>
      <c r="F601" s="10" t="str">
        <f ca="1">IFERROR(__xludf.DUMMYFUNCTION("""COMPUTED_VALUE"""),"MUNICIPALIDAD DE TOMÉ")</f>
        <v>MUNICIPALIDAD DE TOMÉ</v>
      </c>
      <c r="G601" s="71">
        <f ca="1">IFERROR(__xludf.DUMMYFUNCTION("""COMPUTED_VALUE"""),129201465)</f>
        <v>129201465</v>
      </c>
      <c r="H601" s="10" t="str">
        <f ca="1">IFERROR(__xludf.DUMMYFUNCTION("""COMPUTED_VALUE"""),"Resolución")</f>
        <v>Resolución</v>
      </c>
      <c r="I601" s="10" t="str">
        <f ca="1">IFERROR(__xludf.DUMMYFUNCTION("""COMPUTED_VALUE"""),"OBRA")</f>
        <v>OBRA</v>
      </c>
      <c r="J601" s="10" t="str">
        <f ca="1">IFERROR(__xludf.DUMMYFUNCTION("""COMPUTED_VALUE"""),"Cumplir con normativa y reglamentos internos del programa en base a los objetivos.")</f>
        <v>Cumplir con normativa y reglamentos internos del programa en base a los objetivos.</v>
      </c>
      <c r="K601" s="71">
        <f ca="1">IFERROR(__xludf.DUMMYFUNCTION("""COMPUTED_VALUE"""),64600733)</f>
        <v>64600733</v>
      </c>
      <c r="L601" s="72">
        <f ca="1">IFERROR(__xludf.DUMMYFUNCTION("""COMPUTED_VALUE"""),0.500000003869925)</f>
        <v>0.50000000386992505</v>
      </c>
      <c r="M601" s="10">
        <f ca="1">IFERROR(__xludf.DUMMYFUNCTION("""COMPUTED_VALUE"""),8063)</f>
        <v>8063</v>
      </c>
      <c r="N601" s="10" t="str">
        <f ca="1">IFERROR(__xludf.DUMMYFUNCTION("""COMPUTED_VALUE"""),"PMU")</f>
        <v>PMU</v>
      </c>
      <c r="O601" s="1"/>
      <c r="P601" s="1"/>
      <c r="Q601" s="1"/>
      <c r="R601" s="1"/>
      <c r="S601" s="1"/>
      <c r="T601" s="1"/>
      <c r="U601" s="1"/>
      <c r="V601" s="1"/>
      <c r="W601" s="1"/>
      <c r="X601" s="1"/>
      <c r="Y601" s="1"/>
      <c r="Z601" s="1"/>
    </row>
    <row r="602" spans="1:26" ht="12.75" customHeight="1">
      <c r="A602" s="1"/>
      <c r="B602" s="10" t="str">
        <f ca="1">IFERROR(__xludf.DUMMYFUNCTION("""COMPUTED_VALUE"""),"COLOCACIÓN DE VALLA PEATONAL FRONTIS ESCUELA BALDOMERO LILLO, LOTA.")</f>
        <v>COLOCACIÓN DE VALLA PEATONAL FRONTIS ESCUELA BALDOMERO LILLO, LOTA.</v>
      </c>
      <c r="C602" s="10" t="str">
        <f ca="1">IFERROR(__xludf.DUMMYFUNCTION("""COMPUTED_VALUE"""),"1-K-2024-53")</f>
        <v>1-K-2024-53</v>
      </c>
      <c r="D602" s="26" t="str">
        <f t="shared" ca="1" si="0"/>
        <v xml:space="preserve"> LOTA</v>
      </c>
      <c r="E602" s="10" t="str">
        <f ca="1">IFERROR(__xludf.DUMMYFUNCTION("""COMPUTED_VALUE"""),"Guía Operativa")</f>
        <v>Guía Operativa</v>
      </c>
      <c r="F602" s="10" t="str">
        <f ca="1">IFERROR(__xludf.DUMMYFUNCTION("""COMPUTED_VALUE"""),"MUNICIPALIDAD DE LOTA")</f>
        <v>MUNICIPALIDAD DE LOTA</v>
      </c>
      <c r="G602" s="71">
        <f ca="1">IFERROR(__xludf.DUMMYFUNCTION("""COMPUTED_VALUE"""),160090155)</f>
        <v>160090155</v>
      </c>
      <c r="H602" s="10" t="str">
        <f ca="1">IFERROR(__xludf.DUMMYFUNCTION("""COMPUTED_VALUE"""),"Resolución")</f>
        <v>Resolución</v>
      </c>
      <c r="I602" s="10" t="str">
        <f ca="1">IFERROR(__xludf.DUMMYFUNCTION("""COMPUTED_VALUE"""),"OBRA")</f>
        <v>OBRA</v>
      </c>
      <c r="J602" s="10" t="str">
        <f ca="1">IFERROR(__xludf.DUMMYFUNCTION("""COMPUTED_VALUE"""),"Cumplir con normativa y reglamentos internos del programa en base a los objetivos.")</f>
        <v>Cumplir con normativa y reglamentos internos del programa en base a los objetivos.</v>
      </c>
      <c r="K602" s="71">
        <f ca="1">IFERROR(__xludf.DUMMYFUNCTION("""COMPUTED_VALUE"""),80045078)</f>
        <v>80045078</v>
      </c>
      <c r="L602" s="72">
        <f ca="1">IFERROR(__xludf.DUMMYFUNCTION("""COMPUTED_VALUE"""),0.50000000312324)</f>
        <v>0.50000000312324</v>
      </c>
      <c r="M602" s="10">
        <f ca="1">IFERROR(__xludf.DUMMYFUNCTION("""COMPUTED_VALUE"""),8053)</f>
        <v>8053</v>
      </c>
      <c r="N602" s="10" t="str">
        <f ca="1">IFERROR(__xludf.DUMMYFUNCTION("""COMPUTED_VALUE"""),"PMU")</f>
        <v>PMU</v>
      </c>
      <c r="O602" s="1"/>
      <c r="P602" s="1"/>
      <c r="Q602" s="1"/>
      <c r="R602" s="1"/>
      <c r="S602" s="1"/>
      <c r="T602" s="1"/>
      <c r="U602" s="1"/>
      <c r="V602" s="1"/>
      <c r="W602" s="1"/>
      <c r="X602" s="1"/>
      <c r="Y602" s="1"/>
      <c r="Z602" s="1"/>
    </row>
    <row r="603" spans="1:26" ht="12.75" customHeight="1">
      <c r="A603" s="1"/>
      <c r="B603" s="10" t="str">
        <f ca="1">IFERROR(__xludf.DUMMYFUNCTION("""COMPUTED_VALUE"""),"MEJORAMIENTO AREA VERDE N°6 VILLA ESPERANZA, LOS ÁLAMOS")</f>
        <v>MEJORAMIENTO AREA VERDE N°6 VILLA ESPERANZA, LOS ÁLAMOS</v>
      </c>
      <c r="C603" s="10" t="str">
        <f ca="1">IFERROR(__xludf.DUMMYFUNCTION("""COMPUTED_VALUE"""),"1-K-2024-57")</f>
        <v>1-K-2024-57</v>
      </c>
      <c r="D603" s="26" t="str">
        <f t="shared" ca="1" si="0"/>
        <v xml:space="preserve"> LOS ÁLAMOS</v>
      </c>
      <c r="E603" s="10" t="str">
        <f ca="1">IFERROR(__xludf.DUMMYFUNCTION("""COMPUTED_VALUE"""),"Guía Operativa")</f>
        <v>Guía Operativa</v>
      </c>
      <c r="F603" s="10" t="str">
        <f ca="1">IFERROR(__xludf.DUMMYFUNCTION("""COMPUTED_VALUE"""),"MUNICIPALIDAD DE LOS ÁLAMOS")</f>
        <v>MUNICIPALIDAD DE LOS ÁLAMOS</v>
      </c>
      <c r="G603" s="71">
        <f ca="1">IFERROR(__xludf.DUMMYFUNCTION("""COMPUTED_VALUE"""),109413424)</f>
        <v>109413424</v>
      </c>
      <c r="H603" s="10" t="str">
        <f ca="1">IFERROR(__xludf.DUMMYFUNCTION("""COMPUTED_VALUE"""),"Resolución")</f>
        <v>Resolución</v>
      </c>
      <c r="I603" s="10" t="str">
        <f ca="1">IFERROR(__xludf.DUMMYFUNCTION("""COMPUTED_VALUE"""),"OBRA")</f>
        <v>OBRA</v>
      </c>
      <c r="J603" s="10" t="str">
        <f ca="1">IFERROR(__xludf.DUMMYFUNCTION("""COMPUTED_VALUE"""),"Cumplir con normativa y reglamentos internos del programa en base a los objetivos.")</f>
        <v>Cumplir con normativa y reglamentos internos del programa en base a los objetivos.</v>
      </c>
      <c r="K603" s="71">
        <f ca="1">IFERROR(__xludf.DUMMYFUNCTION("""COMPUTED_VALUE"""),54706712)</f>
        <v>54706712</v>
      </c>
      <c r="L603" s="72">
        <f ca="1">IFERROR(__xludf.DUMMYFUNCTION("""COMPUTED_VALUE"""),0.5)</f>
        <v>0.5</v>
      </c>
      <c r="M603" s="10">
        <f ca="1">IFERROR(__xludf.DUMMYFUNCTION("""COMPUTED_VALUE"""),8058)</f>
        <v>8058</v>
      </c>
      <c r="N603" s="10" t="str">
        <f ca="1">IFERROR(__xludf.DUMMYFUNCTION("""COMPUTED_VALUE"""),"PMU")</f>
        <v>PMU</v>
      </c>
      <c r="O603" s="1"/>
      <c r="P603" s="1"/>
      <c r="Q603" s="1"/>
      <c r="R603" s="1"/>
      <c r="S603" s="1"/>
      <c r="T603" s="1"/>
      <c r="U603" s="1"/>
      <c r="V603" s="1"/>
      <c r="W603" s="1"/>
      <c r="X603" s="1"/>
      <c r="Y603" s="1"/>
      <c r="Z603" s="1"/>
    </row>
    <row r="604" spans="1:26" ht="12.75" customHeight="1">
      <c r="A604" s="1"/>
      <c r="B604" s="10" t="str">
        <f ca="1">IFERROR(__xludf.DUMMYFUNCTION("""COMPUTED_VALUE"""),"MEJORAMIENTO AREA VERDE N°7 VILLA ESPERANZA, LOS ÁLAMOS")</f>
        <v>MEJORAMIENTO AREA VERDE N°7 VILLA ESPERANZA, LOS ÁLAMOS</v>
      </c>
      <c r="C604" s="10" t="str">
        <f ca="1">IFERROR(__xludf.DUMMYFUNCTION("""COMPUTED_VALUE"""),"1-K-2024-58")</f>
        <v>1-K-2024-58</v>
      </c>
      <c r="D604" s="26" t="str">
        <f t="shared" ca="1" si="0"/>
        <v xml:space="preserve"> LOS ÁLAMOS</v>
      </c>
      <c r="E604" s="10" t="str">
        <f ca="1">IFERROR(__xludf.DUMMYFUNCTION("""COMPUTED_VALUE"""),"Guía Operativa")</f>
        <v>Guía Operativa</v>
      </c>
      <c r="F604" s="10" t="str">
        <f ca="1">IFERROR(__xludf.DUMMYFUNCTION("""COMPUTED_VALUE"""),"MUNICIPALIDAD DE LOS ÁLAMOS")</f>
        <v>MUNICIPALIDAD DE LOS ÁLAMOS</v>
      </c>
      <c r="G604" s="71">
        <f ca="1">IFERROR(__xludf.DUMMYFUNCTION("""COMPUTED_VALUE"""),118930529)</f>
        <v>118930529</v>
      </c>
      <c r="H604" s="10" t="str">
        <f ca="1">IFERROR(__xludf.DUMMYFUNCTION("""COMPUTED_VALUE"""),"Resolución")</f>
        <v>Resolución</v>
      </c>
      <c r="I604" s="10" t="str">
        <f ca="1">IFERROR(__xludf.DUMMYFUNCTION("""COMPUTED_VALUE"""),"OBRA")</f>
        <v>OBRA</v>
      </c>
      <c r="J604" s="10" t="str">
        <f ca="1">IFERROR(__xludf.DUMMYFUNCTION("""COMPUTED_VALUE"""),"Cumplir con normativa y reglamentos internos del programa en base a los objetivos.")</f>
        <v>Cumplir con normativa y reglamentos internos del programa en base a los objetivos.</v>
      </c>
      <c r="K604" s="71">
        <f ca="1">IFERROR(__xludf.DUMMYFUNCTION("""COMPUTED_VALUE"""),59465265)</f>
        <v>59465265</v>
      </c>
      <c r="L604" s="72">
        <f ca="1">IFERROR(__xludf.DUMMYFUNCTION("""COMPUTED_VALUE"""),0.500000004204135)</f>
        <v>0.50000000420413504</v>
      </c>
      <c r="M604" s="10">
        <f ca="1">IFERROR(__xludf.DUMMYFUNCTION("""COMPUTED_VALUE"""),8058)</f>
        <v>8058</v>
      </c>
      <c r="N604" s="10" t="str">
        <f ca="1">IFERROR(__xludf.DUMMYFUNCTION("""COMPUTED_VALUE"""),"PMU")</f>
        <v>PMU</v>
      </c>
      <c r="O604" s="1"/>
      <c r="P604" s="1"/>
      <c r="Q604" s="1"/>
      <c r="R604" s="1"/>
      <c r="S604" s="1"/>
      <c r="T604" s="1"/>
      <c r="U604" s="1"/>
      <c r="V604" s="1"/>
      <c r="W604" s="1"/>
      <c r="X604" s="1"/>
      <c r="Y604" s="1"/>
      <c r="Z604" s="1"/>
    </row>
    <row r="605" spans="1:26" ht="12.75" customHeight="1">
      <c r="A605" s="1"/>
      <c r="B605" s="10" t="str">
        <f ca="1">IFERROR(__xludf.DUMMYFUNCTION("""COMPUTED_VALUE"""),"REPOSICIÓN VEREDA CALLE ANDALIO VIGUERAS ENTRE CALLE LUIS SAEZ MORA Y CALLE 18 DE SEPTIEMBRE, JJVV GABRIELA MISTRAL, LOS ÁLAMOS")</f>
        <v>REPOSICIÓN VEREDA CALLE ANDALIO VIGUERAS ENTRE CALLE LUIS SAEZ MORA Y CALLE 18 DE SEPTIEMBRE, JJVV GABRIELA MISTRAL, LOS ÁLAMOS</v>
      </c>
      <c r="C605" s="10" t="str">
        <f ca="1">IFERROR(__xludf.DUMMYFUNCTION("""COMPUTED_VALUE"""),"1-K-2024-65")</f>
        <v>1-K-2024-65</v>
      </c>
      <c r="D605" s="26" t="str">
        <f t="shared" ca="1" si="0"/>
        <v xml:space="preserve"> LOS ÁLAMOS</v>
      </c>
      <c r="E605" s="10" t="str">
        <f ca="1">IFERROR(__xludf.DUMMYFUNCTION("""COMPUTED_VALUE"""),"Guía Operativa")</f>
        <v>Guía Operativa</v>
      </c>
      <c r="F605" s="10" t="str">
        <f ca="1">IFERROR(__xludf.DUMMYFUNCTION("""COMPUTED_VALUE"""),"MUNICIPALIDAD DE LOS ÁLAMOS")</f>
        <v>MUNICIPALIDAD DE LOS ÁLAMOS</v>
      </c>
      <c r="G605" s="71">
        <f ca="1">IFERROR(__xludf.DUMMYFUNCTION("""COMPUTED_VALUE"""),110389947)</f>
        <v>110389947</v>
      </c>
      <c r="H605" s="10" t="str">
        <f ca="1">IFERROR(__xludf.DUMMYFUNCTION("""COMPUTED_VALUE"""),"Resolución")</f>
        <v>Resolución</v>
      </c>
      <c r="I605" s="10" t="str">
        <f ca="1">IFERROR(__xludf.DUMMYFUNCTION("""COMPUTED_VALUE"""),"OBRA")</f>
        <v>OBRA</v>
      </c>
      <c r="J605" s="10" t="str">
        <f ca="1">IFERROR(__xludf.DUMMYFUNCTION("""COMPUTED_VALUE"""),"Cumplir con normativa y reglamentos internos del programa en base a los objetivos.")</f>
        <v>Cumplir con normativa y reglamentos internos del programa en base a los objetivos.</v>
      </c>
      <c r="K605" s="71">
        <f ca="1">IFERROR(__xludf.DUMMYFUNCTION("""COMPUTED_VALUE"""),55194974)</f>
        <v>55194974</v>
      </c>
      <c r="L605" s="72">
        <f ca="1">IFERROR(__xludf.DUMMYFUNCTION("""COMPUTED_VALUE"""),0.500000004529398)</f>
        <v>0.50000000452939797</v>
      </c>
      <c r="M605" s="10">
        <f ca="1">IFERROR(__xludf.DUMMYFUNCTION("""COMPUTED_VALUE"""),8058)</f>
        <v>8058</v>
      </c>
      <c r="N605" s="10" t="str">
        <f ca="1">IFERROR(__xludf.DUMMYFUNCTION("""COMPUTED_VALUE"""),"PMU")</f>
        <v>PMU</v>
      </c>
      <c r="O605" s="1"/>
      <c r="P605" s="1"/>
      <c r="Q605" s="1"/>
      <c r="R605" s="1"/>
      <c r="S605" s="1"/>
      <c r="T605" s="1"/>
      <c r="U605" s="1"/>
      <c r="V605" s="1"/>
      <c r="W605" s="1"/>
      <c r="X605" s="1"/>
      <c r="Y605" s="1"/>
      <c r="Z605" s="1"/>
    </row>
    <row r="606" spans="1:26" ht="12.75" customHeight="1">
      <c r="A606" s="1"/>
      <c r="B606" s="10" t="str">
        <f ca="1">IFERROR(__xludf.DUMMYFUNCTION("""COMPUTED_VALUE"""),"REPOSICIÓN VEREDA CALLE MANUEL RODRIGUEZ ENTRE CALLE LUIS SAEZ MORA Y CALLE 18 DE SEPTIEMBRE, JJVV SIMON CARVALLO, LOS ÁLAMOS")</f>
        <v>REPOSICIÓN VEREDA CALLE MANUEL RODRIGUEZ ENTRE CALLE LUIS SAEZ MORA Y CALLE 18 DE SEPTIEMBRE, JJVV SIMON CARVALLO, LOS ÁLAMOS</v>
      </c>
      <c r="C606" s="10" t="str">
        <f ca="1">IFERROR(__xludf.DUMMYFUNCTION("""COMPUTED_VALUE"""),"1-K-2024-68")</f>
        <v>1-K-2024-68</v>
      </c>
      <c r="D606" s="26" t="str">
        <f t="shared" ca="1" si="0"/>
        <v xml:space="preserve"> LOS ÁLAMOS</v>
      </c>
      <c r="E606" s="10" t="str">
        <f ca="1">IFERROR(__xludf.DUMMYFUNCTION("""COMPUTED_VALUE"""),"Guía Operativa")</f>
        <v>Guía Operativa</v>
      </c>
      <c r="F606" s="10" t="str">
        <f ca="1">IFERROR(__xludf.DUMMYFUNCTION("""COMPUTED_VALUE"""),"MUNICIPALIDAD DE LOS ÁLAMOS")</f>
        <v>MUNICIPALIDAD DE LOS ÁLAMOS</v>
      </c>
      <c r="G606" s="71">
        <f ca="1">IFERROR(__xludf.DUMMYFUNCTION("""COMPUTED_VALUE"""),116275292)</f>
        <v>116275292</v>
      </c>
      <c r="H606" s="10" t="str">
        <f ca="1">IFERROR(__xludf.DUMMYFUNCTION("""COMPUTED_VALUE"""),"Resolución")</f>
        <v>Resolución</v>
      </c>
      <c r="I606" s="10" t="str">
        <f ca="1">IFERROR(__xludf.DUMMYFUNCTION("""COMPUTED_VALUE"""),"OBRA")</f>
        <v>OBRA</v>
      </c>
      <c r="J606" s="10" t="str">
        <f ca="1">IFERROR(__xludf.DUMMYFUNCTION("""COMPUTED_VALUE"""),"Cumplir con normativa y reglamentos internos del programa en base a los objetivos.")</f>
        <v>Cumplir con normativa y reglamentos internos del programa en base a los objetivos.</v>
      </c>
      <c r="K606" s="71">
        <f ca="1">IFERROR(__xludf.DUMMYFUNCTION("""COMPUTED_VALUE"""),58137646)</f>
        <v>58137646</v>
      </c>
      <c r="L606" s="72">
        <f ca="1">IFERROR(__xludf.DUMMYFUNCTION("""COMPUTED_VALUE"""),0.5)</f>
        <v>0.5</v>
      </c>
      <c r="M606" s="10">
        <f ca="1">IFERROR(__xludf.DUMMYFUNCTION("""COMPUTED_VALUE"""),8056)</f>
        <v>8056</v>
      </c>
      <c r="N606" s="10" t="str">
        <f ca="1">IFERROR(__xludf.DUMMYFUNCTION("""COMPUTED_VALUE"""),"PMU")</f>
        <v>PMU</v>
      </c>
      <c r="O606" s="1"/>
      <c r="P606" s="1"/>
      <c r="Q606" s="1"/>
      <c r="R606" s="1"/>
      <c r="S606" s="1"/>
      <c r="T606" s="1"/>
      <c r="U606" s="1"/>
      <c r="V606" s="1"/>
      <c r="W606" s="1"/>
      <c r="X606" s="1"/>
      <c r="Y606" s="1"/>
      <c r="Z606" s="1"/>
    </row>
    <row r="607" spans="1:26" ht="12.75" customHeight="1">
      <c r="A607" s="1"/>
      <c r="B607" s="10" t="str">
        <f ca="1">IFERROR(__xludf.DUMMYFUNCTION("""COMPUTED_VALUE"""),"MEJORAMIENTO ACERA, CALLE ARNOLDO COURAD POBL. POLVORÍN 3, LOTA.")</f>
        <v>MEJORAMIENTO ACERA, CALLE ARNOLDO COURAD POBL. POLVORÍN 3, LOTA.</v>
      </c>
      <c r="C607" s="10" t="str">
        <f ca="1">IFERROR(__xludf.DUMMYFUNCTION("""COMPUTED_VALUE"""),"1-K-2024-78")</f>
        <v>1-K-2024-78</v>
      </c>
      <c r="D607" s="26" t="str">
        <f t="shared" ca="1" si="0"/>
        <v xml:space="preserve"> LOTA</v>
      </c>
      <c r="E607" s="10" t="str">
        <f ca="1">IFERROR(__xludf.DUMMYFUNCTION("""COMPUTED_VALUE"""),"Guía Operativa")</f>
        <v>Guía Operativa</v>
      </c>
      <c r="F607" s="10" t="str">
        <f ca="1">IFERROR(__xludf.DUMMYFUNCTION("""COMPUTED_VALUE"""),"MUNICIPALIDAD DE LOTA")</f>
        <v>MUNICIPALIDAD DE LOTA</v>
      </c>
      <c r="G607" s="71">
        <f ca="1">IFERROR(__xludf.DUMMYFUNCTION("""COMPUTED_VALUE"""),154096776)</f>
        <v>154096776</v>
      </c>
      <c r="H607" s="10" t="str">
        <f ca="1">IFERROR(__xludf.DUMMYFUNCTION("""COMPUTED_VALUE"""),"Resolución")</f>
        <v>Resolución</v>
      </c>
      <c r="I607" s="10" t="str">
        <f ca="1">IFERROR(__xludf.DUMMYFUNCTION("""COMPUTED_VALUE"""),"OBRA")</f>
        <v>OBRA</v>
      </c>
      <c r="J607" s="10" t="str">
        <f ca="1">IFERROR(__xludf.DUMMYFUNCTION("""COMPUTED_VALUE"""),"Cumplir con normativa y reglamentos internos del programa en base a los objetivos.")</f>
        <v>Cumplir con normativa y reglamentos internos del programa en base a los objetivos.</v>
      </c>
      <c r="K607" s="71">
        <f ca="1">IFERROR(__xludf.DUMMYFUNCTION("""COMPUTED_VALUE"""),77048388)</f>
        <v>77048388</v>
      </c>
      <c r="L607" s="72">
        <f ca="1">IFERROR(__xludf.DUMMYFUNCTION("""COMPUTED_VALUE"""),0.5)</f>
        <v>0.5</v>
      </c>
      <c r="M607" s="10">
        <f ca="1">IFERROR(__xludf.DUMMYFUNCTION("""COMPUTED_VALUE"""),8053)</f>
        <v>8053</v>
      </c>
      <c r="N607" s="10" t="str">
        <f ca="1">IFERROR(__xludf.DUMMYFUNCTION("""COMPUTED_VALUE"""),"PMU")</f>
        <v>PMU</v>
      </c>
      <c r="O607" s="1"/>
      <c r="P607" s="1"/>
      <c r="Q607" s="1"/>
      <c r="R607" s="1"/>
      <c r="S607" s="1"/>
      <c r="T607" s="1"/>
      <c r="U607" s="1"/>
      <c r="V607" s="1"/>
      <c r="W607" s="1"/>
      <c r="X607" s="1"/>
      <c r="Y607" s="1"/>
      <c r="Z607" s="1"/>
    </row>
    <row r="608" spans="1:26" ht="12.75" customHeight="1">
      <c r="A608" s="1"/>
      <c r="B608" s="10" t="str">
        <f ca="1">IFERROR(__xludf.DUMMYFUNCTION("""COMPUTED_VALUE"""),"MEJORAMIENTO DE ACERA CALLE MARIHUEÑO SECTOR COLCURA, LOTA")</f>
        <v>MEJORAMIENTO DE ACERA CALLE MARIHUEÑO SECTOR COLCURA, LOTA</v>
      </c>
      <c r="C608" s="10" t="str">
        <f ca="1">IFERROR(__xludf.DUMMYFUNCTION("""COMPUTED_VALUE"""),"1-K-2024-80")</f>
        <v>1-K-2024-80</v>
      </c>
      <c r="D608" s="26" t="str">
        <f t="shared" ca="1" si="0"/>
        <v xml:space="preserve"> LOTA</v>
      </c>
      <c r="E608" s="10" t="str">
        <f ca="1">IFERROR(__xludf.DUMMYFUNCTION("""COMPUTED_VALUE"""),"Guía Operativa")</f>
        <v>Guía Operativa</v>
      </c>
      <c r="F608" s="10" t="str">
        <f ca="1">IFERROR(__xludf.DUMMYFUNCTION("""COMPUTED_VALUE"""),"MUNICIPALIDAD DE LOTA")</f>
        <v>MUNICIPALIDAD DE LOTA</v>
      </c>
      <c r="G608" s="71">
        <f ca="1">IFERROR(__xludf.DUMMYFUNCTION("""COMPUTED_VALUE"""),154164847)</f>
        <v>154164847</v>
      </c>
      <c r="H608" s="10" t="str">
        <f ca="1">IFERROR(__xludf.DUMMYFUNCTION("""COMPUTED_VALUE"""),"Resolución")</f>
        <v>Resolución</v>
      </c>
      <c r="I608" s="10" t="str">
        <f ca="1">IFERROR(__xludf.DUMMYFUNCTION("""COMPUTED_VALUE"""),"OBRA")</f>
        <v>OBRA</v>
      </c>
      <c r="J608" s="10" t="str">
        <f ca="1">IFERROR(__xludf.DUMMYFUNCTION("""COMPUTED_VALUE"""),"Cumplir con normativa y reglamentos internos del programa en base a los objetivos.")</f>
        <v>Cumplir con normativa y reglamentos internos del programa en base a los objetivos.</v>
      </c>
      <c r="K608" s="71">
        <f ca="1">IFERROR(__xludf.DUMMYFUNCTION("""COMPUTED_VALUE"""),77082424)</f>
        <v>77082424</v>
      </c>
      <c r="L608" s="72">
        <f ca="1">IFERROR(__xludf.DUMMYFUNCTION("""COMPUTED_VALUE"""),0.500000003243281)</f>
        <v>0.50000000324328098</v>
      </c>
      <c r="M608" s="10">
        <f ca="1">IFERROR(__xludf.DUMMYFUNCTION("""COMPUTED_VALUE"""),8053)</f>
        <v>8053</v>
      </c>
      <c r="N608" s="10" t="str">
        <f ca="1">IFERROR(__xludf.DUMMYFUNCTION("""COMPUTED_VALUE"""),"PMU")</f>
        <v>PMU</v>
      </c>
      <c r="O608" s="1"/>
      <c r="P608" s="1"/>
      <c r="Q608" s="1"/>
      <c r="R608" s="1"/>
      <c r="S608" s="1"/>
      <c r="T608" s="1"/>
      <c r="U608" s="1"/>
      <c r="V608" s="1"/>
      <c r="W608" s="1"/>
      <c r="X608" s="1"/>
      <c r="Y608" s="1"/>
      <c r="Z608" s="1"/>
    </row>
    <row r="609" spans="1:26" ht="12.75" customHeight="1">
      <c r="A609" s="1"/>
      <c r="B609" s="10" t="str">
        <f ca="1">IFERROR(__xludf.DUMMYFUNCTION("""COMPUTED_VALUE"""),"[SATE] REPOSICIÓN SEDE SOCIAL BARRIO INDUSTRIAL.")</f>
        <v>[SATE] REPOSICIÓN SEDE SOCIAL BARRIO INDUSTRIAL.</v>
      </c>
      <c r="C609" s="10" t="str">
        <f ca="1">IFERROR(__xludf.DUMMYFUNCTION("""COMPUTED_VALUE"""),"1-C-2023-12")</f>
        <v>1-C-2023-12</v>
      </c>
      <c r="D609" s="26" t="str">
        <f t="shared" ca="1" si="0"/>
        <v xml:space="preserve"> ANGOL</v>
      </c>
      <c r="E609" s="10" t="str">
        <f ca="1">IFERROR(__xludf.DUMMYFUNCTION("""COMPUTED_VALUE"""),"Guía Operativa")</f>
        <v>Guía Operativa</v>
      </c>
      <c r="F609" s="10" t="str">
        <f ca="1">IFERROR(__xludf.DUMMYFUNCTION("""COMPUTED_VALUE"""),"MUNICIPALIDAD DE ANGOL")</f>
        <v>MUNICIPALIDAD DE ANGOL</v>
      </c>
      <c r="G609" s="71">
        <f ca="1">IFERROR(__xludf.DUMMYFUNCTION("""COMPUTED_VALUE"""),151392777)</f>
        <v>151392777</v>
      </c>
      <c r="H609" s="10" t="str">
        <f ca="1">IFERROR(__xludf.DUMMYFUNCTION("""COMPUTED_VALUE"""),"Resolución")</f>
        <v>Resolución</v>
      </c>
      <c r="I609" s="10" t="str">
        <f ca="1">IFERROR(__xludf.DUMMYFUNCTION("""COMPUTED_VALUE"""),"OBRA")</f>
        <v>OBRA</v>
      </c>
      <c r="J609" s="10" t="str">
        <f ca="1">IFERROR(__xludf.DUMMYFUNCTION("""COMPUTED_VALUE"""),"Cumplir con normativa y reglamentos internos del programa en base a los objetivos.")</f>
        <v>Cumplir con normativa y reglamentos internos del programa en base a los objetivos.</v>
      </c>
      <c r="K609" s="71">
        <f ca="1">IFERROR(__xludf.DUMMYFUNCTION("""COMPUTED_VALUE"""),151392777)</f>
        <v>151392777</v>
      </c>
      <c r="L609" s="72">
        <f ca="1">IFERROR(__xludf.DUMMYFUNCTION("""COMPUTED_VALUE"""),1)</f>
        <v>1</v>
      </c>
      <c r="M609" s="10">
        <f ca="1">IFERROR(__xludf.DUMMYFUNCTION("""COMPUTED_VALUE"""),7718)</f>
        <v>7718</v>
      </c>
      <c r="N609" s="10" t="str">
        <f ca="1">IFERROR(__xludf.DUMMYFUNCTION("""COMPUTED_VALUE"""),"PMU")</f>
        <v>PMU</v>
      </c>
      <c r="O609" s="1"/>
      <c r="P609" s="1"/>
      <c r="Q609" s="1"/>
      <c r="R609" s="1"/>
      <c r="S609" s="1"/>
      <c r="T609" s="1"/>
      <c r="U609" s="1"/>
      <c r="V609" s="1"/>
      <c r="W609" s="1"/>
      <c r="X609" s="1"/>
      <c r="Y609" s="1"/>
      <c r="Z609" s="1"/>
    </row>
    <row r="610" spans="1:26" ht="12.75" customHeight="1">
      <c r="A610" s="1"/>
      <c r="B610" s="10" t="str">
        <f ca="1">IFERROR(__xludf.DUMMYFUNCTION("""COMPUTED_VALUE"""),"INSTALACIÓN DE SEMÁFORO INTERSECCIÓN RUTA S-20 CON RUTA S-258, TEMUCO")</f>
        <v>INSTALACIÓN DE SEMÁFORO INTERSECCIÓN RUTA S-20 CON RUTA S-258, TEMUCO</v>
      </c>
      <c r="C610" s="10" t="str">
        <f ca="1">IFERROR(__xludf.DUMMYFUNCTION("""COMPUTED_VALUE"""),"1-C-2023-1468")</f>
        <v>1-C-2023-1468</v>
      </c>
      <c r="D610" s="26" t="str">
        <f t="shared" ca="1" si="0"/>
        <v xml:space="preserve"> TEMUCO</v>
      </c>
      <c r="E610" s="10" t="str">
        <f ca="1">IFERROR(__xludf.DUMMYFUNCTION("""COMPUTED_VALUE"""),"Guía Operativa")</f>
        <v>Guía Operativa</v>
      </c>
      <c r="F610" s="10" t="str">
        <f ca="1">IFERROR(__xludf.DUMMYFUNCTION("""COMPUTED_VALUE"""),"MUNICIPALIDAD DE TEMUCO")</f>
        <v>MUNICIPALIDAD DE TEMUCO</v>
      </c>
      <c r="G610" s="71">
        <f ca="1">IFERROR(__xludf.DUMMYFUNCTION("""COMPUTED_VALUE"""),84244815)</f>
        <v>84244815</v>
      </c>
      <c r="H610" s="10" t="str">
        <f ca="1">IFERROR(__xludf.DUMMYFUNCTION("""COMPUTED_VALUE"""),"Resolución")</f>
        <v>Resolución</v>
      </c>
      <c r="I610" s="10" t="str">
        <f ca="1">IFERROR(__xludf.DUMMYFUNCTION("""COMPUTED_VALUE"""),"OBRA")</f>
        <v>OBRA</v>
      </c>
      <c r="J610" s="10" t="str">
        <f ca="1">IFERROR(__xludf.DUMMYFUNCTION("""COMPUTED_VALUE"""),"Cumplir con normativa y reglamentos internos del programa en base a los objetivos.")</f>
        <v>Cumplir con normativa y reglamentos internos del programa en base a los objetivos.</v>
      </c>
      <c r="K610" s="71">
        <f ca="1">IFERROR(__xludf.DUMMYFUNCTION("""COMPUTED_VALUE"""),84244815)</f>
        <v>84244815</v>
      </c>
      <c r="L610" s="72">
        <f ca="1">IFERROR(__xludf.DUMMYFUNCTION("""COMPUTED_VALUE"""),1)</f>
        <v>1</v>
      </c>
      <c r="M610" s="10">
        <f ca="1">IFERROR(__xludf.DUMMYFUNCTION("""COMPUTED_VALUE"""),8036)</f>
        <v>8036</v>
      </c>
      <c r="N610" s="10" t="str">
        <f ca="1">IFERROR(__xludf.DUMMYFUNCTION("""COMPUTED_VALUE"""),"PMU")</f>
        <v>PMU</v>
      </c>
      <c r="O610" s="1"/>
      <c r="P610" s="1"/>
      <c r="Q610" s="1"/>
      <c r="R610" s="1"/>
      <c r="S610" s="1"/>
      <c r="T610" s="1"/>
      <c r="U610" s="1"/>
      <c r="V610" s="1"/>
      <c r="W610" s="1"/>
      <c r="X610" s="1"/>
      <c r="Y610" s="1"/>
      <c r="Z610" s="1"/>
    </row>
    <row r="611" spans="1:26" ht="12.75" customHeight="1">
      <c r="A611" s="1"/>
      <c r="B611" s="10" t="str">
        <f ca="1">IFERROR(__xludf.DUMMYFUNCTION("""COMPUTED_VALUE"""),"CONSTRUCCIÓN SEMÁFOROS EN INTERSECCIÓN MARTIN LUTERO CON LOS GANADEROS Y SIMON BOLIVAR, TEMUCO")</f>
        <v>CONSTRUCCIÓN SEMÁFOROS EN INTERSECCIÓN MARTIN LUTERO CON LOS GANADEROS Y SIMON BOLIVAR, TEMUCO</v>
      </c>
      <c r="C611" s="10" t="str">
        <f ca="1">IFERROR(__xludf.DUMMYFUNCTION("""COMPUTED_VALUE"""),"1-C-2023-2159")</f>
        <v>1-C-2023-2159</v>
      </c>
      <c r="D611" s="26" t="str">
        <f t="shared" ca="1" si="0"/>
        <v xml:space="preserve"> TEMUCO</v>
      </c>
      <c r="E611" s="10" t="str">
        <f ca="1">IFERROR(__xludf.DUMMYFUNCTION("""COMPUTED_VALUE"""),"Guía Operativa")</f>
        <v>Guía Operativa</v>
      </c>
      <c r="F611" s="10" t="str">
        <f ca="1">IFERROR(__xludf.DUMMYFUNCTION("""COMPUTED_VALUE"""),"MUNICIPALIDAD DE TEMUCO")</f>
        <v>MUNICIPALIDAD DE TEMUCO</v>
      </c>
      <c r="G611" s="71">
        <f ca="1">IFERROR(__xludf.DUMMYFUNCTION("""COMPUTED_VALUE"""),161477157)</f>
        <v>161477157</v>
      </c>
      <c r="H611" s="10" t="str">
        <f ca="1">IFERROR(__xludf.DUMMYFUNCTION("""COMPUTED_VALUE"""),"Resolución")</f>
        <v>Resolución</v>
      </c>
      <c r="I611" s="10" t="str">
        <f ca="1">IFERROR(__xludf.DUMMYFUNCTION("""COMPUTED_VALUE"""),"OBRA")</f>
        <v>OBRA</v>
      </c>
      <c r="J611" s="10" t="str">
        <f ca="1">IFERROR(__xludf.DUMMYFUNCTION("""COMPUTED_VALUE"""),"Cumplir con normativa y reglamentos internos del programa en base a los objetivos.")</f>
        <v>Cumplir con normativa y reglamentos internos del programa en base a los objetivos.</v>
      </c>
      <c r="K611" s="71">
        <f ca="1">IFERROR(__xludf.DUMMYFUNCTION("""COMPUTED_VALUE"""),161477157)</f>
        <v>161477157</v>
      </c>
      <c r="L611" s="72">
        <f ca="1">IFERROR(__xludf.DUMMYFUNCTION("""COMPUTED_VALUE"""),1)</f>
        <v>1</v>
      </c>
      <c r="M611" s="10">
        <f ca="1">IFERROR(__xludf.DUMMYFUNCTION("""COMPUTED_VALUE"""),8036)</f>
        <v>8036</v>
      </c>
      <c r="N611" s="10" t="str">
        <f ca="1">IFERROR(__xludf.DUMMYFUNCTION("""COMPUTED_VALUE"""),"PMU")</f>
        <v>PMU</v>
      </c>
      <c r="O611" s="1"/>
      <c r="P611" s="1"/>
      <c r="Q611" s="1"/>
      <c r="R611" s="1"/>
      <c r="S611" s="1"/>
      <c r="T611" s="1"/>
      <c r="U611" s="1"/>
      <c r="V611" s="1"/>
      <c r="W611" s="1"/>
      <c r="X611" s="1"/>
      <c r="Y611" s="1"/>
      <c r="Z611" s="1"/>
    </row>
    <row r="612" spans="1:26" ht="12.75" customHeight="1">
      <c r="A612" s="1"/>
      <c r="B612" s="10" t="str">
        <f ca="1">IFERROR(__xludf.DUMMYFUNCTION("""COMPUTED_VALUE"""),"CONSTRUCCIÓN DE CAMARINES Y BAÑOS PÚBLICOS CLUB DEPORTIVO NAVAL DE CARELMAPU")</f>
        <v>CONSTRUCCIÓN DE CAMARINES Y BAÑOS PÚBLICOS CLUB DEPORTIVO NAVAL DE CARELMAPU</v>
      </c>
      <c r="C612" s="10" t="str">
        <f ca="1">IFERROR(__xludf.DUMMYFUNCTION("""COMPUTED_VALUE"""),"1-C-2019-1573 [FET]")</f>
        <v>1-C-2019-1573 [FET]</v>
      </c>
      <c r="D612" s="26" t="str">
        <f t="shared" ca="1" si="0"/>
        <v xml:space="preserve"> MAULLÍN</v>
      </c>
      <c r="E612" s="10" t="str">
        <f ca="1">IFERROR(__xludf.DUMMYFUNCTION("""COMPUTED_VALUE"""),"Guía Operativa")</f>
        <v>Guía Operativa</v>
      </c>
      <c r="F612" s="10" t="str">
        <f ca="1">IFERROR(__xludf.DUMMYFUNCTION("""COMPUTED_VALUE"""),"MUNICIPALIDAD DE MAULLÍN")</f>
        <v>MUNICIPALIDAD DE MAULLÍN</v>
      </c>
      <c r="G612" s="71">
        <f ca="1">IFERROR(__xludf.DUMMYFUNCTION("""COMPUTED_VALUE"""),105371452)</f>
        <v>105371452</v>
      </c>
      <c r="H612" s="10" t="str">
        <f ca="1">IFERROR(__xludf.DUMMYFUNCTION("""COMPUTED_VALUE"""),"Resolución")</f>
        <v>Resolución</v>
      </c>
      <c r="I612" s="10" t="str">
        <f ca="1">IFERROR(__xludf.DUMMYFUNCTION("""COMPUTED_VALUE"""),"OBRA")</f>
        <v>OBRA</v>
      </c>
      <c r="J612" s="10" t="str">
        <f ca="1">IFERROR(__xludf.DUMMYFUNCTION("""COMPUTED_VALUE"""),"Cumplir con normativa y reglamentos internos del programa en base a los objetivos.")</f>
        <v>Cumplir con normativa y reglamentos internos del programa en base a los objetivos.</v>
      </c>
      <c r="K612" s="71">
        <f ca="1">IFERROR(__xludf.DUMMYFUNCTION("""COMPUTED_VALUE"""),45371454)</f>
        <v>45371454</v>
      </c>
      <c r="L612" s="72">
        <f ca="1">IFERROR(__xludf.DUMMYFUNCTION("""COMPUTED_VALUE"""),1)</f>
        <v>1</v>
      </c>
      <c r="M612" s="10">
        <f ca="1">IFERROR(__xludf.DUMMYFUNCTION("""COMPUTED_VALUE"""),8457)</f>
        <v>8457</v>
      </c>
      <c r="N612" s="10" t="str">
        <f ca="1">IFERROR(__xludf.DUMMYFUNCTION("""COMPUTED_VALUE"""),"PMU")</f>
        <v>PMU</v>
      </c>
      <c r="O612" s="1"/>
      <c r="P612" s="1"/>
      <c r="Q612" s="1"/>
      <c r="R612" s="1"/>
      <c r="S612" s="1"/>
      <c r="T612" s="1"/>
      <c r="U612" s="1"/>
      <c r="V612" s="1"/>
      <c r="W612" s="1"/>
      <c r="X612" s="1"/>
      <c r="Y612" s="1"/>
      <c r="Z612" s="1"/>
    </row>
    <row r="613" spans="1:26" ht="12.75" customHeight="1">
      <c r="A613" s="1"/>
      <c r="B613" s="10" t="str">
        <f ca="1">IFERROR(__xludf.DUMMYFUNCTION("""COMPUTED_VALUE"""),"NORMALIZACIÓN INSTALACIÓN ELÉCTRICA Y CONSTRUCCIÓN SISTEMA DE CLIMATIZACIÓN EFICIENTE ESCUELA HUILLINCO, COMUNA DE CHONCHI")</f>
        <v>NORMALIZACIÓN INSTALACIÓN ELÉCTRICA Y CONSTRUCCIÓN SISTEMA DE CLIMATIZACIÓN EFICIENTE ESCUELA HUILLINCO, COMUNA DE CHONCHI</v>
      </c>
      <c r="C613" s="10" t="str">
        <f ca="1">IFERROR(__xludf.DUMMYFUNCTION("""COMPUTED_VALUE"""),"1-C-2023-1666")</f>
        <v>1-C-2023-1666</v>
      </c>
      <c r="D613" s="26" t="str">
        <f t="shared" ca="1" si="0"/>
        <v xml:space="preserve"> CHONCHI</v>
      </c>
      <c r="E613" s="10" t="str">
        <f ca="1">IFERROR(__xludf.DUMMYFUNCTION("""COMPUTED_VALUE"""),"Guía Operativa")</f>
        <v>Guía Operativa</v>
      </c>
      <c r="F613" s="10" t="str">
        <f ca="1">IFERROR(__xludf.DUMMYFUNCTION("""COMPUTED_VALUE"""),"MUNICIPALIDAD DE CHONCHI")</f>
        <v>MUNICIPALIDAD DE CHONCHI</v>
      </c>
      <c r="G613" s="71">
        <f ca="1">IFERROR(__xludf.DUMMYFUNCTION("""COMPUTED_VALUE"""),82121900)</f>
        <v>82121900</v>
      </c>
      <c r="H613" s="10" t="str">
        <f ca="1">IFERROR(__xludf.DUMMYFUNCTION("""COMPUTED_VALUE"""),"Resolución")</f>
        <v>Resolución</v>
      </c>
      <c r="I613" s="10" t="str">
        <f ca="1">IFERROR(__xludf.DUMMYFUNCTION("""COMPUTED_VALUE"""),"OBRA")</f>
        <v>OBRA</v>
      </c>
      <c r="J613" s="10" t="str">
        <f ca="1">IFERROR(__xludf.DUMMYFUNCTION("""COMPUTED_VALUE"""),"Cumplir con normativa y reglamentos internos del programa en base a los objetivos.")</f>
        <v>Cumplir con normativa y reglamentos internos del programa en base a los objetivos.</v>
      </c>
      <c r="K613" s="71">
        <f ca="1">IFERROR(__xludf.DUMMYFUNCTION("""COMPUTED_VALUE"""),82121900)</f>
        <v>82121900</v>
      </c>
      <c r="L613" s="72">
        <f ca="1">IFERROR(__xludf.DUMMYFUNCTION("""COMPUTED_VALUE"""),1)</f>
        <v>1</v>
      </c>
      <c r="M613" s="10">
        <f ca="1">IFERROR(__xludf.DUMMYFUNCTION("""COMPUTED_VALUE"""),8885)</f>
        <v>8885</v>
      </c>
      <c r="N613" s="10" t="str">
        <f ca="1">IFERROR(__xludf.DUMMYFUNCTION("""COMPUTED_VALUE"""),"PMU")</f>
        <v>PMU</v>
      </c>
      <c r="O613" s="1"/>
      <c r="P613" s="1"/>
      <c r="Q613" s="1"/>
      <c r="R613" s="1"/>
      <c r="S613" s="1"/>
      <c r="T613" s="1"/>
      <c r="U613" s="1"/>
      <c r="V613" s="1"/>
      <c r="W613" s="1"/>
      <c r="X613" s="1"/>
      <c r="Y613" s="1"/>
      <c r="Z613" s="1"/>
    </row>
    <row r="614" spans="1:26" ht="12.75" customHeight="1">
      <c r="A614" s="1"/>
      <c r="B614" s="10" t="str">
        <f ca="1">IFERROR(__xludf.DUMMYFUNCTION("""COMPUTED_VALUE"""),"CONSERVACION PASARELA MANQUEMAPU, COMUNA DE PURRANQUE")</f>
        <v>CONSERVACION PASARELA MANQUEMAPU, COMUNA DE PURRANQUE</v>
      </c>
      <c r="C614" s="10" t="str">
        <f ca="1">IFERROR(__xludf.DUMMYFUNCTION("""COMPUTED_VALUE"""),"1-C-2024-328")</f>
        <v>1-C-2024-328</v>
      </c>
      <c r="D614" s="26" t="str">
        <f t="shared" ca="1" si="0"/>
        <v xml:space="preserve"> PURRANQUE</v>
      </c>
      <c r="E614" s="10" t="str">
        <f ca="1">IFERROR(__xludf.DUMMYFUNCTION("""COMPUTED_VALUE"""),"Guía Operativa")</f>
        <v>Guía Operativa</v>
      </c>
      <c r="F614" s="10" t="str">
        <f ca="1">IFERROR(__xludf.DUMMYFUNCTION("""COMPUTED_VALUE"""),"MUNICIPALIDAD DE PURRANQUE")</f>
        <v>MUNICIPALIDAD DE PURRANQUE</v>
      </c>
      <c r="G614" s="71">
        <f ca="1">IFERROR(__xludf.DUMMYFUNCTION("""COMPUTED_VALUE"""),161116087)</f>
        <v>161116087</v>
      </c>
      <c r="H614" s="10" t="str">
        <f ca="1">IFERROR(__xludf.DUMMYFUNCTION("""COMPUTED_VALUE"""),"Resolución")</f>
        <v>Resolución</v>
      </c>
      <c r="I614" s="10" t="str">
        <f ca="1">IFERROR(__xludf.DUMMYFUNCTION("""COMPUTED_VALUE"""),"OBRA")</f>
        <v>OBRA</v>
      </c>
      <c r="J614" s="10" t="str">
        <f ca="1">IFERROR(__xludf.DUMMYFUNCTION("""COMPUTED_VALUE"""),"Cumplir con normativa y reglamentos internos del programa en base a los objetivos.")</f>
        <v>Cumplir con normativa y reglamentos internos del programa en base a los objetivos.</v>
      </c>
      <c r="K614" s="71">
        <f ca="1">IFERROR(__xludf.DUMMYFUNCTION("""COMPUTED_VALUE"""),80558044)</f>
        <v>80558044</v>
      </c>
      <c r="L614" s="72">
        <f ca="1">IFERROR(__xludf.DUMMYFUNCTION("""COMPUTED_VALUE"""),0.500000003103352)</f>
        <v>0.50000000310335202</v>
      </c>
      <c r="M614" s="10">
        <f ca="1">IFERROR(__xludf.DUMMYFUNCTION("""COMPUTED_VALUE"""),8910)</f>
        <v>8910</v>
      </c>
      <c r="N614" s="10" t="str">
        <f ca="1">IFERROR(__xludf.DUMMYFUNCTION("""COMPUTED_VALUE"""),"PMU")</f>
        <v>PMU</v>
      </c>
      <c r="O614" s="1"/>
      <c r="P614" s="1"/>
      <c r="Q614" s="1"/>
      <c r="R614" s="1"/>
      <c r="S614" s="1"/>
      <c r="T614" s="1"/>
      <c r="U614" s="1"/>
      <c r="V614" s="1"/>
      <c r="W614" s="1"/>
      <c r="X614" s="1"/>
      <c r="Y614" s="1"/>
      <c r="Z614" s="1"/>
    </row>
    <row r="615" spans="1:26" ht="12.75" customHeight="1">
      <c r="A615" s="1"/>
      <c r="B615" s="10" t="str">
        <f ca="1">IFERROR(__xludf.DUMMYFUNCTION("""COMPUTED_VALUE"""),"CONSTRUCCIÓN MÓDULOS Y SS.HH. MERCADO LOS HÉROES, COMUNA DE CALBUCO")</f>
        <v>CONSTRUCCIÓN MÓDULOS Y SS.HH. MERCADO LOS HÉROES, COMUNA DE CALBUCO</v>
      </c>
      <c r="C615" s="10" t="str">
        <f ca="1">IFERROR(__xludf.DUMMYFUNCTION("""COMPUTED_VALUE"""),"1-C-2024-449")</f>
        <v>1-C-2024-449</v>
      </c>
      <c r="D615" s="26" t="str">
        <f t="shared" ca="1" si="0"/>
        <v xml:space="preserve"> CALBUCO</v>
      </c>
      <c r="E615" s="10" t="str">
        <f ca="1">IFERROR(__xludf.DUMMYFUNCTION("""COMPUTED_VALUE"""),"Guía Operativa")</f>
        <v>Guía Operativa</v>
      </c>
      <c r="F615" s="10" t="str">
        <f ca="1">IFERROR(__xludf.DUMMYFUNCTION("""COMPUTED_VALUE"""),"MUNICIPALIDAD DE CALBUCO")</f>
        <v>MUNICIPALIDAD DE CALBUCO</v>
      </c>
      <c r="G615" s="71">
        <f ca="1">IFERROR(__xludf.DUMMYFUNCTION("""COMPUTED_VALUE"""),159840782)</f>
        <v>159840782</v>
      </c>
      <c r="H615" s="10" t="str">
        <f ca="1">IFERROR(__xludf.DUMMYFUNCTION("""COMPUTED_VALUE"""),"Resolución")</f>
        <v>Resolución</v>
      </c>
      <c r="I615" s="10" t="str">
        <f ca="1">IFERROR(__xludf.DUMMYFUNCTION("""COMPUTED_VALUE"""),"OBRA")</f>
        <v>OBRA</v>
      </c>
      <c r="J615" s="10" t="str">
        <f ca="1">IFERROR(__xludf.DUMMYFUNCTION("""COMPUTED_VALUE"""),"Cumplir con normativa y reglamentos internos del programa en base a los objetivos.")</f>
        <v>Cumplir con normativa y reglamentos internos del programa en base a los objetivos.</v>
      </c>
      <c r="K615" s="71">
        <f ca="1">IFERROR(__xludf.DUMMYFUNCTION("""COMPUTED_VALUE"""),79920391)</f>
        <v>79920391</v>
      </c>
      <c r="L615" s="72">
        <f ca="1">IFERROR(__xludf.DUMMYFUNCTION("""COMPUTED_VALUE"""),0.5)</f>
        <v>0.5</v>
      </c>
      <c r="M615" s="10">
        <f ca="1">IFERROR(__xludf.DUMMYFUNCTION("""COMPUTED_VALUE"""),8922)</f>
        <v>8922</v>
      </c>
      <c r="N615" s="10" t="str">
        <f ca="1">IFERROR(__xludf.DUMMYFUNCTION("""COMPUTED_VALUE"""),"PMU")</f>
        <v>PMU</v>
      </c>
      <c r="O615" s="1"/>
      <c r="P615" s="1"/>
      <c r="Q615" s="1"/>
      <c r="R615" s="1"/>
      <c r="S615" s="1"/>
      <c r="T615" s="1"/>
      <c r="U615" s="1"/>
      <c r="V615" s="1"/>
      <c r="W615" s="1"/>
      <c r="X615" s="1"/>
      <c r="Y615" s="1"/>
      <c r="Z615" s="1"/>
    </row>
    <row r="616" spans="1:26" ht="12.75" customHeight="1">
      <c r="A616" s="1"/>
      <c r="B616" s="10" t="str">
        <f ca="1">IFERROR(__xludf.DUMMYFUNCTION("""COMPUTED_VALUE"""),"CONSTRUCCION PLAZOLETA LOS FUNDADORES Y LETRAS VOLUMETRICAS, PALENA")</f>
        <v>CONSTRUCCION PLAZOLETA LOS FUNDADORES Y LETRAS VOLUMETRICAS, PALENA</v>
      </c>
      <c r="C616" s="10" t="str">
        <f ca="1">IFERROR(__xludf.DUMMYFUNCTION("""COMPUTED_VALUE"""),"1-B-2024-123")</f>
        <v>1-B-2024-123</v>
      </c>
      <c r="D616" s="26" t="str">
        <f t="shared" ca="1" si="0"/>
        <v xml:space="preserve"> PALENA</v>
      </c>
      <c r="E616" s="10" t="str">
        <f ca="1">IFERROR(__xludf.DUMMYFUNCTION("""COMPUTED_VALUE"""),"Guía Operativa")</f>
        <v>Guía Operativa</v>
      </c>
      <c r="F616" s="10" t="str">
        <f ca="1">IFERROR(__xludf.DUMMYFUNCTION("""COMPUTED_VALUE"""),"MUNICIPALIDAD DE PALENA")</f>
        <v>MUNICIPALIDAD DE PALENA</v>
      </c>
      <c r="G616" s="71">
        <f ca="1">IFERROR(__xludf.DUMMYFUNCTION("""COMPUTED_VALUE"""),83148629)</f>
        <v>83148629</v>
      </c>
      <c r="H616" s="10" t="str">
        <f ca="1">IFERROR(__xludf.DUMMYFUNCTION("""COMPUTED_VALUE"""),"Resolución")</f>
        <v>Resolución</v>
      </c>
      <c r="I616" s="10" t="str">
        <f ca="1">IFERROR(__xludf.DUMMYFUNCTION("""COMPUTED_VALUE"""),"OBRA")</f>
        <v>OBRA</v>
      </c>
      <c r="J616" s="10" t="str">
        <f ca="1">IFERROR(__xludf.DUMMYFUNCTION("""COMPUTED_VALUE"""),"Cumplir con normativa y reglamentos internos del programa en base a los objetivos.")</f>
        <v>Cumplir con normativa y reglamentos internos del programa en base a los objetivos.</v>
      </c>
      <c r="K616" s="71">
        <f ca="1">IFERROR(__xludf.DUMMYFUNCTION("""COMPUTED_VALUE"""),83148629)</f>
        <v>83148629</v>
      </c>
      <c r="L616" s="72">
        <f ca="1">IFERROR(__xludf.DUMMYFUNCTION("""COMPUTED_VALUE"""),1)</f>
        <v>1</v>
      </c>
      <c r="M616" s="10">
        <f ca="1">IFERROR(__xludf.DUMMYFUNCTION("""COMPUTED_VALUE"""),8654)</f>
        <v>8654</v>
      </c>
      <c r="N616" s="10" t="str">
        <f ca="1">IFERROR(__xludf.DUMMYFUNCTION("""COMPUTED_VALUE"""),"PMU")</f>
        <v>PMU</v>
      </c>
      <c r="O616" s="1"/>
      <c r="P616" s="1"/>
      <c r="Q616" s="1"/>
      <c r="R616" s="1"/>
      <c r="S616" s="1"/>
      <c r="T616" s="1"/>
      <c r="U616" s="1"/>
      <c r="V616" s="1"/>
      <c r="W616" s="1"/>
      <c r="X616" s="1"/>
      <c r="Y616" s="1"/>
      <c r="Z616" s="1"/>
    </row>
    <row r="617" spans="1:26" ht="12.75" customHeight="1">
      <c r="A617" s="1"/>
      <c r="B617" s="10" t="str">
        <f ca="1">IFERROR(__xludf.DUMMYFUNCTION("""COMPUTED_VALUE"""),"CONSTRUCCIÓN MÓDULOS MULTIPROPÓSITO, CALETA EL MANZANO, COMUNA DE HUALAIHUÉ")</f>
        <v>CONSTRUCCIÓN MÓDULOS MULTIPROPÓSITO, CALETA EL MANZANO, COMUNA DE HUALAIHUÉ</v>
      </c>
      <c r="C617" s="10" t="str">
        <f ca="1">IFERROR(__xludf.DUMMYFUNCTION("""COMPUTED_VALUE"""),"1-B-2024-129")</f>
        <v>1-B-2024-129</v>
      </c>
      <c r="D617" s="26" t="str">
        <f t="shared" ca="1" si="0"/>
        <v xml:space="preserve"> HUALAIHUÉ</v>
      </c>
      <c r="E617" s="10" t="str">
        <f ca="1">IFERROR(__xludf.DUMMYFUNCTION("""COMPUTED_VALUE"""),"Guía Operativa")</f>
        <v>Guía Operativa</v>
      </c>
      <c r="F617" s="10" t="str">
        <f ca="1">IFERROR(__xludf.DUMMYFUNCTION("""COMPUTED_VALUE"""),"MUNICIPALIDAD DE HUALAIHUÉ")</f>
        <v>MUNICIPALIDAD DE HUALAIHUÉ</v>
      </c>
      <c r="G617" s="71">
        <f ca="1">IFERROR(__xludf.DUMMYFUNCTION("""COMPUTED_VALUE"""),83148629)</f>
        <v>83148629</v>
      </c>
      <c r="H617" s="10" t="str">
        <f ca="1">IFERROR(__xludf.DUMMYFUNCTION("""COMPUTED_VALUE"""),"Resolución")</f>
        <v>Resolución</v>
      </c>
      <c r="I617" s="10" t="str">
        <f ca="1">IFERROR(__xludf.DUMMYFUNCTION("""COMPUTED_VALUE"""),"OBRA")</f>
        <v>OBRA</v>
      </c>
      <c r="J617" s="10" t="str">
        <f ca="1">IFERROR(__xludf.DUMMYFUNCTION("""COMPUTED_VALUE"""),"Cumplir con normativa y reglamentos internos del programa en base a los objetivos.")</f>
        <v>Cumplir con normativa y reglamentos internos del programa en base a los objetivos.</v>
      </c>
      <c r="K617" s="71">
        <f ca="1">IFERROR(__xludf.DUMMYFUNCTION("""COMPUTED_VALUE"""),83148629)</f>
        <v>83148629</v>
      </c>
      <c r="L617" s="72">
        <f ca="1">IFERROR(__xludf.DUMMYFUNCTION("""COMPUTED_VALUE"""),1)</f>
        <v>1</v>
      </c>
      <c r="M617" s="10">
        <f ca="1">IFERROR(__xludf.DUMMYFUNCTION("""COMPUTED_VALUE"""),8649)</f>
        <v>8649</v>
      </c>
      <c r="N617" s="10" t="str">
        <f ca="1">IFERROR(__xludf.DUMMYFUNCTION("""COMPUTED_VALUE"""),"PMU")</f>
        <v>PMU</v>
      </c>
      <c r="O617" s="1"/>
      <c r="P617" s="1"/>
      <c r="Q617" s="1"/>
      <c r="R617" s="1"/>
      <c r="S617" s="1"/>
      <c r="T617" s="1"/>
      <c r="U617" s="1"/>
      <c r="V617" s="1"/>
      <c r="W617" s="1"/>
      <c r="X617" s="1"/>
      <c r="Y617" s="1"/>
      <c r="Z617" s="1"/>
    </row>
    <row r="618" spans="1:26" ht="12.75" customHeight="1">
      <c r="A618" s="1"/>
      <c r="B618" s="10" t="str">
        <f ca="1">IFERROR(__xludf.DUMMYFUNCTION("""COMPUTED_VALUE"""),"MEJORAMIENTO PLAZA EL MAÑÍO, COMUNA DE MAULLÍN")</f>
        <v>MEJORAMIENTO PLAZA EL MAÑÍO, COMUNA DE MAULLÍN</v>
      </c>
      <c r="C618" s="10" t="str">
        <f ca="1">IFERROR(__xludf.DUMMYFUNCTION("""COMPUTED_VALUE"""),"1-B-2024-134")</f>
        <v>1-B-2024-134</v>
      </c>
      <c r="D618" s="26" t="str">
        <f t="shared" ca="1" si="0"/>
        <v xml:space="preserve"> MAULLÍN</v>
      </c>
      <c r="E618" s="10" t="str">
        <f ca="1">IFERROR(__xludf.DUMMYFUNCTION("""COMPUTED_VALUE"""),"Guía Operativa")</f>
        <v>Guía Operativa</v>
      </c>
      <c r="F618" s="10" t="str">
        <f ca="1">IFERROR(__xludf.DUMMYFUNCTION("""COMPUTED_VALUE"""),"MUNICIPALIDAD DE MAULLÍN")</f>
        <v>MUNICIPALIDAD DE MAULLÍN</v>
      </c>
      <c r="G618" s="71">
        <f ca="1">IFERROR(__xludf.DUMMYFUNCTION("""COMPUTED_VALUE"""),83148629)</f>
        <v>83148629</v>
      </c>
      <c r="H618" s="10" t="str">
        <f ca="1">IFERROR(__xludf.DUMMYFUNCTION("""COMPUTED_VALUE"""),"Resolución")</f>
        <v>Resolución</v>
      </c>
      <c r="I618" s="10" t="str">
        <f ca="1">IFERROR(__xludf.DUMMYFUNCTION("""COMPUTED_VALUE"""),"OBRA")</f>
        <v>OBRA</v>
      </c>
      <c r="J618" s="10" t="str">
        <f ca="1">IFERROR(__xludf.DUMMYFUNCTION("""COMPUTED_VALUE"""),"Cumplir con normativa y reglamentos internos del programa en base a los objetivos.")</f>
        <v>Cumplir con normativa y reglamentos internos del programa en base a los objetivos.</v>
      </c>
      <c r="K618" s="71">
        <f ca="1">IFERROR(__xludf.DUMMYFUNCTION("""COMPUTED_VALUE"""),83148629)</f>
        <v>83148629</v>
      </c>
      <c r="L618" s="72">
        <f ca="1">IFERROR(__xludf.DUMMYFUNCTION("""COMPUTED_VALUE"""),1)</f>
        <v>1</v>
      </c>
      <c r="M618" s="10">
        <f ca="1">IFERROR(__xludf.DUMMYFUNCTION("""COMPUTED_VALUE"""),8041)</f>
        <v>8041</v>
      </c>
      <c r="N618" s="10" t="str">
        <f ca="1">IFERROR(__xludf.DUMMYFUNCTION("""COMPUTED_VALUE"""),"PMU")</f>
        <v>PMU</v>
      </c>
      <c r="O618" s="1"/>
      <c r="P618" s="1"/>
      <c r="Q618" s="1"/>
      <c r="R618" s="1"/>
      <c r="S618" s="1"/>
      <c r="T618" s="1"/>
      <c r="U618" s="1"/>
      <c r="V618" s="1"/>
      <c r="W618" s="1"/>
      <c r="X618" s="1"/>
      <c r="Y618" s="1"/>
      <c r="Z618" s="1"/>
    </row>
    <row r="619" spans="1:26" ht="12.75" customHeight="1">
      <c r="A619" s="1"/>
      <c r="B619" s="10" t="str">
        <f ca="1">IFERROR(__xludf.DUMMYFUNCTION("""COMPUTED_VALUE"""),"MEJORAMIENTO INTEGRAL CANCHA SINTETICA, CURACO DE VELEZ")</f>
        <v>MEJORAMIENTO INTEGRAL CANCHA SINTETICA, CURACO DE VELEZ</v>
      </c>
      <c r="C619" s="10" t="str">
        <f ca="1">IFERROR(__xludf.DUMMYFUNCTION("""COMPUTED_VALUE"""),"1-B-2024-142")</f>
        <v>1-B-2024-142</v>
      </c>
      <c r="D619" s="26" t="str">
        <f t="shared" ca="1" si="0"/>
        <v xml:space="preserve"> CURACO DE VÉLEZ</v>
      </c>
      <c r="E619" s="10" t="str">
        <f ca="1">IFERROR(__xludf.DUMMYFUNCTION("""COMPUTED_VALUE"""),"Guía Operativa")</f>
        <v>Guía Operativa</v>
      </c>
      <c r="F619" s="10" t="str">
        <f ca="1">IFERROR(__xludf.DUMMYFUNCTION("""COMPUTED_VALUE"""),"MUNICIPALIDAD DE CURACO DE VÉLEZ")</f>
        <v>MUNICIPALIDAD DE CURACO DE VÉLEZ</v>
      </c>
      <c r="G619" s="71">
        <f ca="1">IFERROR(__xludf.DUMMYFUNCTION("""COMPUTED_VALUE"""),83148629)</f>
        <v>83148629</v>
      </c>
      <c r="H619" s="10" t="str">
        <f ca="1">IFERROR(__xludf.DUMMYFUNCTION("""COMPUTED_VALUE"""),"Resolución")</f>
        <v>Resolución</v>
      </c>
      <c r="I619" s="10" t="str">
        <f ca="1">IFERROR(__xludf.DUMMYFUNCTION("""COMPUTED_VALUE"""),"OBRA")</f>
        <v>OBRA</v>
      </c>
      <c r="J619" s="10" t="str">
        <f ca="1">IFERROR(__xludf.DUMMYFUNCTION("""COMPUTED_VALUE"""),"Cumplir con normativa y reglamentos internos del programa en base a los objetivos.")</f>
        <v>Cumplir con normativa y reglamentos internos del programa en base a los objetivos.</v>
      </c>
      <c r="K619" s="71">
        <f ca="1">IFERROR(__xludf.DUMMYFUNCTION("""COMPUTED_VALUE"""),83148629)</f>
        <v>83148629</v>
      </c>
      <c r="L619" s="72">
        <f ca="1">IFERROR(__xludf.DUMMYFUNCTION("""COMPUTED_VALUE"""),1)</f>
        <v>1</v>
      </c>
      <c r="M619" s="10">
        <f ca="1">IFERROR(__xludf.DUMMYFUNCTION("""COMPUTED_VALUE"""),8040)</f>
        <v>8040</v>
      </c>
      <c r="N619" s="10" t="str">
        <f ca="1">IFERROR(__xludf.DUMMYFUNCTION("""COMPUTED_VALUE"""),"PMU")</f>
        <v>PMU</v>
      </c>
      <c r="O619" s="1"/>
      <c r="P619" s="1"/>
      <c r="Q619" s="1"/>
      <c r="R619" s="1"/>
      <c r="S619" s="1"/>
      <c r="T619" s="1"/>
      <c r="U619" s="1"/>
      <c r="V619" s="1"/>
      <c r="W619" s="1"/>
      <c r="X619" s="1"/>
      <c r="Y619" s="1"/>
      <c r="Z619" s="1"/>
    </row>
    <row r="620" spans="1:26" ht="12.75" customHeight="1">
      <c r="A620" s="1"/>
      <c r="B620" s="10" t="str">
        <f ca="1">IFERROR(__xludf.DUMMYFUNCTION("""COMPUTED_VALUE"""),"MEJORAMIENTO MULTICANCHA Y ESPACIOS PUBLICOS, COMUNA DE QUEMCHI.")</f>
        <v>MEJORAMIENTO MULTICANCHA Y ESPACIOS PUBLICOS, COMUNA DE QUEMCHI.</v>
      </c>
      <c r="C620" s="10" t="str">
        <f ca="1">IFERROR(__xludf.DUMMYFUNCTION("""COMPUTED_VALUE"""),"1-B-2024-143")</f>
        <v>1-B-2024-143</v>
      </c>
      <c r="D620" s="26" t="str">
        <f t="shared" ca="1" si="0"/>
        <v xml:space="preserve"> QUEMCHI</v>
      </c>
      <c r="E620" s="10" t="str">
        <f ca="1">IFERROR(__xludf.DUMMYFUNCTION("""COMPUTED_VALUE"""),"Guía Operativa")</f>
        <v>Guía Operativa</v>
      </c>
      <c r="F620" s="10" t="str">
        <f ca="1">IFERROR(__xludf.DUMMYFUNCTION("""COMPUTED_VALUE"""),"MUNICIPALIDAD DE QUEMCHI")</f>
        <v>MUNICIPALIDAD DE QUEMCHI</v>
      </c>
      <c r="G620" s="71">
        <f ca="1">IFERROR(__xludf.DUMMYFUNCTION("""COMPUTED_VALUE"""),83148629)</f>
        <v>83148629</v>
      </c>
      <c r="H620" s="10" t="str">
        <f ca="1">IFERROR(__xludf.DUMMYFUNCTION("""COMPUTED_VALUE"""),"Resolución")</f>
        <v>Resolución</v>
      </c>
      <c r="I620" s="10" t="str">
        <f ca="1">IFERROR(__xludf.DUMMYFUNCTION("""COMPUTED_VALUE"""),"OBRA")</f>
        <v>OBRA</v>
      </c>
      <c r="J620" s="10" t="str">
        <f ca="1">IFERROR(__xludf.DUMMYFUNCTION("""COMPUTED_VALUE"""),"Cumplir con normativa y reglamentos internos del programa en base a los objetivos.")</f>
        <v>Cumplir con normativa y reglamentos internos del programa en base a los objetivos.</v>
      </c>
      <c r="K620" s="71">
        <f ca="1">IFERROR(__xludf.DUMMYFUNCTION("""COMPUTED_VALUE"""),83148629)</f>
        <v>83148629</v>
      </c>
      <c r="L620" s="72">
        <f ca="1">IFERROR(__xludf.DUMMYFUNCTION("""COMPUTED_VALUE"""),1)</f>
        <v>1</v>
      </c>
      <c r="M620" s="10">
        <f ca="1">IFERROR(__xludf.DUMMYFUNCTION("""COMPUTED_VALUE"""),8883)</f>
        <v>8883</v>
      </c>
      <c r="N620" s="10" t="str">
        <f ca="1">IFERROR(__xludf.DUMMYFUNCTION("""COMPUTED_VALUE"""),"PMU")</f>
        <v>PMU</v>
      </c>
      <c r="O620" s="1"/>
      <c r="P620" s="1"/>
      <c r="Q620" s="1"/>
      <c r="R620" s="1"/>
      <c r="S620" s="1"/>
      <c r="T620" s="1"/>
      <c r="U620" s="1"/>
      <c r="V620" s="1"/>
      <c r="W620" s="1"/>
      <c r="X620" s="1"/>
      <c r="Y620" s="1"/>
      <c r="Z620" s="1"/>
    </row>
    <row r="621" spans="1:26" ht="12.75" customHeight="1">
      <c r="A621" s="1"/>
      <c r="B621" s="10" t="str">
        <f ca="1">IFERROR(__xludf.DUMMYFUNCTION("""COMPUTED_VALUE"""),"HABILITACIÓN DE LUMINARIAS Y VALLAS PEATONALES ACCESO NORTE, CIUDAD DE CHONCHI")</f>
        <v>HABILITACIÓN DE LUMINARIAS Y VALLAS PEATONALES ACCESO NORTE, CIUDAD DE CHONCHI</v>
      </c>
      <c r="C621" s="10" t="str">
        <f ca="1">IFERROR(__xludf.DUMMYFUNCTION("""COMPUTED_VALUE"""),"1-B-2024-150")</f>
        <v>1-B-2024-150</v>
      </c>
      <c r="D621" s="26" t="str">
        <f t="shared" ca="1" si="0"/>
        <v xml:space="preserve"> CHONCHI</v>
      </c>
      <c r="E621" s="10" t="str">
        <f ca="1">IFERROR(__xludf.DUMMYFUNCTION("""COMPUTED_VALUE"""),"Guía Operativa")</f>
        <v>Guía Operativa</v>
      </c>
      <c r="F621" s="10" t="str">
        <f ca="1">IFERROR(__xludf.DUMMYFUNCTION("""COMPUTED_VALUE"""),"MUNICIPALIDAD DE CHONCHI")</f>
        <v>MUNICIPALIDAD DE CHONCHI</v>
      </c>
      <c r="G621" s="71">
        <f ca="1">IFERROR(__xludf.DUMMYFUNCTION("""COMPUTED_VALUE"""),83148629)</f>
        <v>83148629</v>
      </c>
      <c r="H621" s="10" t="str">
        <f ca="1">IFERROR(__xludf.DUMMYFUNCTION("""COMPUTED_VALUE"""),"Resolución")</f>
        <v>Resolución</v>
      </c>
      <c r="I621" s="10" t="str">
        <f ca="1">IFERROR(__xludf.DUMMYFUNCTION("""COMPUTED_VALUE"""),"OBRA")</f>
        <v>OBRA</v>
      </c>
      <c r="J621" s="10" t="str">
        <f ca="1">IFERROR(__xludf.DUMMYFUNCTION("""COMPUTED_VALUE"""),"Cumplir con normativa y reglamentos internos del programa en base a los objetivos.")</f>
        <v>Cumplir con normativa y reglamentos internos del programa en base a los objetivos.</v>
      </c>
      <c r="K621" s="71">
        <f ca="1">IFERROR(__xludf.DUMMYFUNCTION("""COMPUTED_VALUE"""),83148629)</f>
        <v>83148629</v>
      </c>
      <c r="L621" s="72">
        <f ca="1">IFERROR(__xludf.DUMMYFUNCTION("""COMPUTED_VALUE"""),1)</f>
        <v>1</v>
      </c>
      <c r="M621" s="10">
        <f ca="1">IFERROR(__xludf.DUMMYFUNCTION("""COMPUTED_VALUE"""),8894)</f>
        <v>8894</v>
      </c>
      <c r="N621" s="10" t="str">
        <f ca="1">IFERROR(__xludf.DUMMYFUNCTION("""COMPUTED_VALUE"""),"PMU")</f>
        <v>PMU</v>
      </c>
      <c r="O621" s="1"/>
      <c r="P621" s="1"/>
      <c r="Q621" s="1"/>
      <c r="R621" s="1"/>
      <c r="S621" s="1"/>
      <c r="T621" s="1"/>
      <c r="U621" s="1"/>
      <c r="V621" s="1"/>
      <c r="W621" s="1"/>
      <c r="X621" s="1"/>
      <c r="Y621" s="1"/>
      <c r="Z621" s="1"/>
    </row>
    <row r="622" spans="1:26" ht="12.75" customHeight="1">
      <c r="A622" s="1"/>
      <c r="B622" s="10" t="str">
        <f ca="1">IFERROR(__xludf.DUMMYFUNCTION("""COMPUTED_VALUE"""),"CONSTRUCCION GRADERIAS CANCHA DE FUTBOL CLUB DEPORTIVO PUMA DE CONTUY, QUEILEN")</f>
        <v>CONSTRUCCION GRADERIAS CANCHA DE FUTBOL CLUB DEPORTIVO PUMA DE CONTUY, QUEILEN</v>
      </c>
      <c r="C622" s="10" t="str">
        <f ca="1">IFERROR(__xludf.DUMMYFUNCTION("""COMPUTED_VALUE"""),"1-B-2024-152")</f>
        <v>1-B-2024-152</v>
      </c>
      <c r="D622" s="26" t="str">
        <f t="shared" ca="1" si="0"/>
        <v xml:space="preserve"> QUEILÉN</v>
      </c>
      <c r="E622" s="10" t="str">
        <f ca="1">IFERROR(__xludf.DUMMYFUNCTION("""COMPUTED_VALUE"""),"Guía Operativa")</f>
        <v>Guía Operativa</v>
      </c>
      <c r="F622" s="10" t="str">
        <f ca="1">IFERROR(__xludf.DUMMYFUNCTION("""COMPUTED_VALUE"""),"MUNICIPALIDAD DE QUEILÉN")</f>
        <v>MUNICIPALIDAD DE QUEILÉN</v>
      </c>
      <c r="G622" s="71">
        <f ca="1">IFERROR(__xludf.DUMMYFUNCTION("""COMPUTED_VALUE"""),83148628)</f>
        <v>83148628</v>
      </c>
      <c r="H622" s="10" t="str">
        <f ca="1">IFERROR(__xludf.DUMMYFUNCTION("""COMPUTED_VALUE"""),"Resolución")</f>
        <v>Resolución</v>
      </c>
      <c r="I622" s="10" t="str">
        <f ca="1">IFERROR(__xludf.DUMMYFUNCTION("""COMPUTED_VALUE"""),"OBRA")</f>
        <v>OBRA</v>
      </c>
      <c r="J622" s="10" t="str">
        <f ca="1">IFERROR(__xludf.DUMMYFUNCTION("""COMPUTED_VALUE"""),"Cumplir con normativa y reglamentos internos del programa en base a los objetivos.")</f>
        <v>Cumplir con normativa y reglamentos internos del programa en base a los objetivos.</v>
      </c>
      <c r="K622" s="71">
        <f ca="1">IFERROR(__xludf.DUMMYFUNCTION("""COMPUTED_VALUE"""),83148628)</f>
        <v>83148628</v>
      </c>
      <c r="L622" s="72">
        <f ca="1">IFERROR(__xludf.DUMMYFUNCTION("""COMPUTED_VALUE"""),1)</f>
        <v>1</v>
      </c>
      <c r="M622" s="10">
        <f ca="1">IFERROR(__xludf.DUMMYFUNCTION("""COMPUTED_VALUE"""),8559)</f>
        <v>8559</v>
      </c>
      <c r="N622" s="10" t="str">
        <f ca="1">IFERROR(__xludf.DUMMYFUNCTION("""COMPUTED_VALUE"""),"PMU")</f>
        <v>PMU</v>
      </c>
      <c r="O622" s="1"/>
      <c r="P622" s="1"/>
      <c r="Q622" s="1"/>
      <c r="R622" s="1"/>
      <c r="S622" s="1"/>
      <c r="T622" s="1"/>
      <c r="U622" s="1"/>
      <c r="V622" s="1"/>
      <c r="W622" s="1"/>
      <c r="X622" s="1"/>
      <c r="Y622" s="1"/>
      <c r="Z622" s="1"/>
    </row>
    <row r="623" spans="1:26" ht="12.75" customHeight="1">
      <c r="A623" s="1"/>
      <c r="B623" s="10" t="str">
        <f ca="1">IFERROR(__xludf.DUMMYFUNCTION("""COMPUTED_VALUE"""),"MEJORAMIENTO MULTICANCHA SECTOR SOR TERESITA, COMUNA DE QUINCHAO")</f>
        <v>MEJORAMIENTO MULTICANCHA SECTOR SOR TERESITA, COMUNA DE QUINCHAO</v>
      </c>
      <c r="C623" s="10" t="str">
        <f ca="1">IFERROR(__xludf.DUMMYFUNCTION("""COMPUTED_VALUE"""),"1-B-2024-153")</f>
        <v>1-B-2024-153</v>
      </c>
      <c r="D623" s="26" t="str">
        <f t="shared" ca="1" si="0"/>
        <v xml:space="preserve"> QUINCHAO</v>
      </c>
      <c r="E623" s="10" t="str">
        <f ca="1">IFERROR(__xludf.DUMMYFUNCTION("""COMPUTED_VALUE"""),"Guía Operativa")</f>
        <v>Guía Operativa</v>
      </c>
      <c r="F623" s="10" t="str">
        <f ca="1">IFERROR(__xludf.DUMMYFUNCTION("""COMPUTED_VALUE"""),"MUNICIPALIDAD DE QUINCHAO")</f>
        <v>MUNICIPALIDAD DE QUINCHAO</v>
      </c>
      <c r="G623" s="71">
        <f ca="1">IFERROR(__xludf.DUMMYFUNCTION("""COMPUTED_VALUE"""),83148629)</f>
        <v>83148629</v>
      </c>
      <c r="H623" s="10" t="str">
        <f ca="1">IFERROR(__xludf.DUMMYFUNCTION("""COMPUTED_VALUE"""),"Resolución")</f>
        <v>Resolución</v>
      </c>
      <c r="I623" s="10" t="str">
        <f ca="1">IFERROR(__xludf.DUMMYFUNCTION("""COMPUTED_VALUE"""),"OBRA")</f>
        <v>OBRA</v>
      </c>
      <c r="J623" s="10" t="str">
        <f ca="1">IFERROR(__xludf.DUMMYFUNCTION("""COMPUTED_VALUE"""),"Cumplir con normativa y reglamentos internos del programa en base a los objetivos.")</f>
        <v>Cumplir con normativa y reglamentos internos del programa en base a los objetivos.</v>
      </c>
      <c r="K623" s="71">
        <f ca="1">IFERROR(__xludf.DUMMYFUNCTION("""COMPUTED_VALUE"""),83148629)</f>
        <v>83148629</v>
      </c>
      <c r="L623" s="72">
        <f ca="1">IFERROR(__xludf.DUMMYFUNCTION("""COMPUTED_VALUE"""),1)</f>
        <v>1</v>
      </c>
      <c r="M623" s="10">
        <f ca="1">IFERROR(__xludf.DUMMYFUNCTION("""COMPUTED_VALUE"""),8465)</f>
        <v>8465</v>
      </c>
      <c r="N623" s="10" t="str">
        <f ca="1">IFERROR(__xludf.DUMMYFUNCTION("""COMPUTED_VALUE"""),"PMU")</f>
        <v>PMU</v>
      </c>
      <c r="O623" s="1"/>
      <c r="P623" s="1"/>
      <c r="Q623" s="1"/>
      <c r="R623" s="1"/>
      <c r="S623" s="1"/>
      <c r="T623" s="1"/>
      <c r="U623" s="1"/>
      <c r="V623" s="1"/>
      <c r="W623" s="1"/>
      <c r="X623" s="1"/>
      <c r="Y623" s="1"/>
      <c r="Z623" s="1"/>
    </row>
    <row r="624" spans="1:26" ht="12.75" customHeight="1">
      <c r="A624" s="1"/>
      <c r="B624" s="10" t="str">
        <f ca="1">IFERROR(__xludf.DUMMYFUNCTION("""COMPUTED_VALUE"""),"[SATE] CONSTRUCCIÓN BARANDAS ""PASO DEL HIELO"" EN CALLE PRAT, PUERTO WILLIAMS")</f>
        <v>[SATE] CONSTRUCCIÓN BARANDAS "PASO DEL HIELO" EN CALLE PRAT, PUERTO WILLIAMS</v>
      </c>
      <c r="C624" s="10" t="str">
        <f ca="1">IFERROR(__xludf.DUMMYFUNCTION("""COMPUTED_VALUE"""),"1-C-2023-888")</f>
        <v>1-C-2023-888</v>
      </c>
      <c r="D624" s="26" t="str">
        <f t="shared" ca="1" si="0"/>
        <v xml:space="preserve"> CABO DE HORNOS</v>
      </c>
      <c r="E624" s="10" t="str">
        <f ca="1">IFERROR(__xludf.DUMMYFUNCTION("""COMPUTED_VALUE"""),"Guía Operativa")</f>
        <v>Guía Operativa</v>
      </c>
      <c r="F624" s="10" t="str">
        <f ca="1">IFERROR(__xludf.DUMMYFUNCTION("""COMPUTED_VALUE"""),"MUNICIPALIDAD DE CABO DE HORNOS")</f>
        <v>MUNICIPALIDAD DE CABO DE HORNOS</v>
      </c>
      <c r="G624" s="71">
        <f ca="1">IFERROR(__xludf.DUMMYFUNCTION("""COMPUTED_VALUE"""),62207452)</f>
        <v>62207452</v>
      </c>
      <c r="H624" s="10" t="str">
        <f ca="1">IFERROR(__xludf.DUMMYFUNCTION("""COMPUTED_VALUE"""),"Resolución")</f>
        <v>Resolución</v>
      </c>
      <c r="I624" s="10" t="str">
        <f ca="1">IFERROR(__xludf.DUMMYFUNCTION("""COMPUTED_VALUE"""),"OBRA")</f>
        <v>OBRA</v>
      </c>
      <c r="J624" s="10" t="str">
        <f ca="1">IFERROR(__xludf.DUMMYFUNCTION("""COMPUTED_VALUE"""),"Cumplir con normativa y reglamentos internos del programa en base a los objetivos.")</f>
        <v>Cumplir con normativa y reglamentos internos del programa en base a los objetivos.</v>
      </c>
      <c r="K624" s="71">
        <f ca="1">IFERROR(__xludf.DUMMYFUNCTION("""COMPUTED_VALUE"""),62207452)</f>
        <v>62207452</v>
      </c>
      <c r="L624" s="72">
        <f ca="1">IFERROR(__xludf.DUMMYFUNCTION("""COMPUTED_VALUE"""),1)</f>
        <v>1</v>
      </c>
      <c r="M624" s="10">
        <f ca="1">IFERROR(__xludf.DUMMYFUNCTION("""COMPUTED_VALUE"""),8035)</f>
        <v>8035</v>
      </c>
      <c r="N624" s="10" t="str">
        <f ca="1">IFERROR(__xludf.DUMMYFUNCTION("""COMPUTED_VALUE"""),"PMU")</f>
        <v>PMU</v>
      </c>
      <c r="O624" s="1"/>
      <c r="P624" s="1"/>
      <c r="Q624" s="1"/>
      <c r="R624" s="1"/>
      <c r="S624" s="1"/>
      <c r="T624" s="1"/>
      <c r="U624" s="1"/>
      <c r="V624" s="1"/>
      <c r="W624" s="1"/>
      <c r="X624" s="1"/>
      <c r="Y624" s="1"/>
      <c r="Z624" s="1"/>
    </row>
    <row r="625" spans="1:26" ht="12.75" customHeight="1">
      <c r="A625" s="1"/>
      <c r="B625" s="10" t="str">
        <f ca="1">IFERROR(__xludf.DUMMYFUNCTION("""COMPUTED_VALUE"""),"[SATE] HABILITACIÓN Y MEJORAMIENTO DE ALUMBRADO PÚBLICO EN VILLA PONSOMBY.")</f>
        <v>[SATE] HABILITACIÓN Y MEJORAMIENTO DE ALUMBRADO PÚBLICO EN VILLA PONSOMBY.</v>
      </c>
      <c r="C625" s="10" t="str">
        <f ca="1">IFERROR(__xludf.DUMMYFUNCTION("""COMPUTED_VALUE"""),"1-C-2023-982")</f>
        <v>1-C-2023-982</v>
      </c>
      <c r="D625" s="26" t="str">
        <f t="shared" ca="1" si="0"/>
        <v xml:space="preserve"> RÍO VERDE</v>
      </c>
      <c r="E625" s="10" t="str">
        <f ca="1">IFERROR(__xludf.DUMMYFUNCTION("""COMPUTED_VALUE"""),"Guía Operativa")</f>
        <v>Guía Operativa</v>
      </c>
      <c r="F625" s="10" t="str">
        <f ca="1">IFERROR(__xludf.DUMMYFUNCTION("""COMPUTED_VALUE"""),"MUNICIPALIDAD DE RÍO VERDE")</f>
        <v>MUNICIPALIDAD DE RÍO VERDE</v>
      </c>
      <c r="G625" s="71">
        <f ca="1">IFERROR(__xludf.DUMMYFUNCTION("""COMPUTED_VALUE"""),151088235)</f>
        <v>151088235</v>
      </c>
      <c r="H625" s="10" t="str">
        <f ca="1">IFERROR(__xludf.DUMMYFUNCTION("""COMPUTED_VALUE"""),"Resolución")</f>
        <v>Resolución</v>
      </c>
      <c r="I625" s="10" t="str">
        <f ca="1">IFERROR(__xludf.DUMMYFUNCTION("""COMPUTED_VALUE"""),"OBRA")</f>
        <v>OBRA</v>
      </c>
      <c r="J625" s="10" t="str">
        <f ca="1">IFERROR(__xludf.DUMMYFUNCTION("""COMPUTED_VALUE"""),"Cumplir con normativa y reglamentos internos del programa en base a los objetivos.")</f>
        <v>Cumplir con normativa y reglamentos internos del programa en base a los objetivos.</v>
      </c>
      <c r="K625" s="71">
        <f ca="1">IFERROR(__xludf.DUMMYFUNCTION("""COMPUTED_VALUE"""),151088235)</f>
        <v>151088235</v>
      </c>
      <c r="L625" s="72">
        <f ca="1">IFERROR(__xludf.DUMMYFUNCTION("""COMPUTED_VALUE"""),1)</f>
        <v>1</v>
      </c>
      <c r="M625" s="10">
        <f ca="1">IFERROR(__xludf.DUMMYFUNCTION("""COMPUTED_VALUE"""),8033)</f>
        <v>8033</v>
      </c>
      <c r="N625" s="10" t="str">
        <f ca="1">IFERROR(__xludf.DUMMYFUNCTION("""COMPUTED_VALUE"""),"PMU")</f>
        <v>PMU</v>
      </c>
      <c r="O625" s="1"/>
      <c r="P625" s="1"/>
      <c r="Q625" s="1"/>
      <c r="R625" s="1"/>
      <c r="S625" s="1"/>
      <c r="T625" s="1"/>
      <c r="U625" s="1"/>
      <c r="V625" s="1"/>
      <c r="W625" s="1"/>
      <c r="X625" s="1"/>
      <c r="Y625" s="1"/>
      <c r="Z625" s="1"/>
    </row>
    <row r="626" spans="1:26" ht="12.75" customHeight="1">
      <c r="A626" s="1"/>
      <c r="B626" s="10" t="str">
        <f ca="1">IFERROR(__xludf.DUMMYFUNCTION("""COMPUTED_VALUE"""),"MEJORAMIENTO MULTICANCHAS VILLA O'HIGGINS VILLA PABLO NERUDA, COMUNA DE TALAGANTE")</f>
        <v>MEJORAMIENTO MULTICANCHAS VILLA O'HIGGINS VILLA PABLO NERUDA, COMUNA DE TALAGANTE</v>
      </c>
      <c r="C626" s="10" t="str">
        <f ca="1">IFERROR(__xludf.DUMMYFUNCTION("""COMPUTED_VALUE"""),"1-C-2022-2314")</f>
        <v>1-C-2022-2314</v>
      </c>
      <c r="D626" s="26" t="str">
        <f t="shared" ca="1" si="0"/>
        <v xml:space="preserve"> TALAGANTE</v>
      </c>
      <c r="E626" s="10" t="str">
        <f ca="1">IFERROR(__xludf.DUMMYFUNCTION("""COMPUTED_VALUE"""),"Guía Operativa")</f>
        <v>Guía Operativa</v>
      </c>
      <c r="F626" s="10" t="str">
        <f ca="1">IFERROR(__xludf.DUMMYFUNCTION("""COMPUTED_VALUE"""),"MUNICIPALIDAD DE TALAGANTE")</f>
        <v>MUNICIPALIDAD DE TALAGANTE</v>
      </c>
      <c r="G626" s="71">
        <f ca="1">IFERROR(__xludf.DUMMYFUNCTION("""COMPUTED_VALUE"""),135955942)</f>
        <v>135955942</v>
      </c>
      <c r="H626" s="10" t="str">
        <f ca="1">IFERROR(__xludf.DUMMYFUNCTION("""COMPUTED_VALUE"""),"Resolución")</f>
        <v>Resolución</v>
      </c>
      <c r="I626" s="10" t="str">
        <f ca="1">IFERROR(__xludf.DUMMYFUNCTION("""COMPUTED_VALUE"""),"OBRA")</f>
        <v>OBRA</v>
      </c>
      <c r="J626" s="10" t="str">
        <f ca="1">IFERROR(__xludf.DUMMYFUNCTION("""COMPUTED_VALUE"""),"Cumplir con normativa y reglamentos internos del programa en base a los objetivos.")</f>
        <v>Cumplir con normativa y reglamentos internos del programa en base a los objetivos.</v>
      </c>
      <c r="K626" s="71">
        <f ca="1">IFERROR(__xludf.DUMMYFUNCTION("""COMPUTED_VALUE"""),67977971)</f>
        <v>67977971</v>
      </c>
      <c r="L626" s="72">
        <f ca="1">IFERROR(__xludf.DUMMYFUNCTION("""COMPUTED_VALUE"""),0.5)</f>
        <v>0.5</v>
      </c>
      <c r="M626" s="10">
        <f ca="1">IFERROR(__xludf.DUMMYFUNCTION("""COMPUTED_VALUE"""),8644)</f>
        <v>8644</v>
      </c>
      <c r="N626" s="10" t="str">
        <f ca="1">IFERROR(__xludf.DUMMYFUNCTION("""COMPUTED_VALUE"""),"PMU")</f>
        <v>PMU</v>
      </c>
      <c r="O626" s="1"/>
      <c r="P626" s="1"/>
      <c r="Q626" s="1"/>
      <c r="R626" s="1"/>
      <c r="S626" s="1"/>
      <c r="T626" s="1"/>
      <c r="U626" s="1"/>
      <c r="V626" s="1"/>
      <c r="W626" s="1"/>
      <c r="X626" s="1"/>
      <c r="Y626" s="1"/>
      <c r="Z626" s="1"/>
    </row>
    <row r="627" spans="1:26" ht="12.75" customHeight="1">
      <c r="A627" s="1"/>
      <c r="B627" s="10" t="str">
        <f ca="1">IFERROR(__xludf.DUMMYFUNCTION("""COMPUTED_VALUE"""),"CSV MEJORAMIENTO ENTORNO PISCINA ESCOLAR U. DE CHILE")</f>
        <v>CSV MEJORAMIENTO ENTORNO PISCINA ESCOLAR U. DE CHILE</v>
      </c>
      <c r="C627" s="10" t="str">
        <f ca="1">IFERROR(__xludf.DUMMYFUNCTION("""COMPUTED_VALUE"""),"1-C-2023-1969")</f>
        <v>1-C-2023-1969</v>
      </c>
      <c r="D627" s="26" t="str">
        <f t="shared" ca="1" si="0"/>
        <v xml:space="preserve"> INDEPENDENCIA</v>
      </c>
      <c r="E627" s="10" t="str">
        <f ca="1">IFERROR(__xludf.DUMMYFUNCTION("""COMPUTED_VALUE"""),"Guía Operativa")</f>
        <v>Guía Operativa</v>
      </c>
      <c r="F627" s="10" t="str">
        <f ca="1">IFERROR(__xludf.DUMMYFUNCTION("""COMPUTED_VALUE"""),"MUNICIPALIDAD DE INDEPENDENCIA")</f>
        <v>MUNICIPALIDAD DE INDEPENDENCIA</v>
      </c>
      <c r="G627" s="71">
        <f ca="1">IFERROR(__xludf.DUMMYFUNCTION("""COMPUTED_VALUE"""),152909575)</f>
        <v>152909575</v>
      </c>
      <c r="H627" s="10" t="str">
        <f ca="1">IFERROR(__xludf.DUMMYFUNCTION("""COMPUTED_VALUE"""),"Resolución")</f>
        <v>Resolución</v>
      </c>
      <c r="I627" s="10" t="str">
        <f ca="1">IFERROR(__xludf.DUMMYFUNCTION("""COMPUTED_VALUE"""),"OBRA")</f>
        <v>OBRA</v>
      </c>
      <c r="J627" s="10" t="str">
        <f ca="1">IFERROR(__xludf.DUMMYFUNCTION("""COMPUTED_VALUE"""),"Cumplir con normativa y reglamentos internos del programa en base a los objetivos.")</f>
        <v>Cumplir con normativa y reglamentos internos del programa en base a los objetivos.</v>
      </c>
      <c r="K627" s="71">
        <f ca="1">IFERROR(__xludf.DUMMYFUNCTION("""COMPUTED_VALUE"""),152909575)</f>
        <v>152909575</v>
      </c>
      <c r="L627" s="72">
        <f ca="1">IFERROR(__xludf.DUMMYFUNCTION("""COMPUTED_VALUE"""),1)</f>
        <v>1</v>
      </c>
      <c r="M627" s="10">
        <f ca="1">IFERROR(__xludf.DUMMYFUNCTION("""COMPUTED_VALUE"""),8004)</f>
        <v>8004</v>
      </c>
      <c r="N627" s="10" t="str">
        <f ca="1">IFERROR(__xludf.DUMMYFUNCTION("""COMPUTED_VALUE"""),"PMU")</f>
        <v>PMU</v>
      </c>
      <c r="O627" s="1"/>
      <c r="P627" s="1"/>
      <c r="Q627" s="1"/>
      <c r="R627" s="1"/>
      <c r="S627" s="1"/>
      <c r="T627" s="1"/>
      <c r="U627" s="1"/>
      <c r="V627" s="1"/>
      <c r="W627" s="1"/>
      <c r="X627" s="1"/>
      <c r="Y627" s="1"/>
      <c r="Z627" s="1"/>
    </row>
    <row r="628" spans="1:26" ht="12.75" customHeight="1">
      <c r="A628" s="1"/>
      <c r="B628" s="10" t="str">
        <f ca="1">IFERROR(__xludf.DUMMYFUNCTION("""COMPUTED_VALUE"""),"AMPLIACIÓN COMEDOR Y HABILITACIÓN SALA DE CLASES LICEO REPUBLICA DE GRECIA ANEXO, COMUNA DE TALAGANTE")</f>
        <v>AMPLIACIÓN COMEDOR Y HABILITACIÓN SALA DE CLASES LICEO REPUBLICA DE GRECIA ANEXO, COMUNA DE TALAGANTE</v>
      </c>
      <c r="C628" s="10" t="str">
        <f ca="1">IFERROR(__xludf.DUMMYFUNCTION("""COMPUTED_VALUE"""),"1-C-2023-2048")</f>
        <v>1-C-2023-2048</v>
      </c>
      <c r="D628" s="26" t="str">
        <f t="shared" ca="1" si="0"/>
        <v xml:space="preserve"> TALAGANTE</v>
      </c>
      <c r="E628" s="10" t="str">
        <f ca="1">IFERROR(__xludf.DUMMYFUNCTION("""COMPUTED_VALUE"""),"Guía Operativa")</f>
        <v>Guía Operativa</v>
      </c>
      <c r="F628" s="10" t="str">
        <f ca="1">IFERROR(__xludf.DUMMYFUNCTION("""COMPUTED_VALUE"""),"MUNICIPALIDAD DE TALAGANTE")</f>
        <v>MUNICIPALIDAD DE TALAGANTE</v>
      </c>
      <c r="G628" s="71">
        <f ca="1">IFERROR(__xludf.DUMMYFUNCTION("""COMPUTED_VALUE"""),154397591)</f>
        <v>154397591</v>
      </c>
      <c r="H628" s="10" t="str">
        <f ca="1">IFERROR(__xludf.DUMMYFUNCTION("""COMPUTED_VALUE"""),"Resolución")</f>
        <v>Resolución</v>
      </c>
      <c r="I628" s="10" t="str">
        <f ca="1">IFERROR(__xludf.DUMMYFUNCTION("""COMPUTED_VALUE"""),"OBRA")</f>
        <v>OBRA</v>
      </c>
      <c r="J628" s="10" t="str">
        <f ca="1">IFERROR(__xludf.DUMMYFUNCTION("""COMPUTED_VALUE"""),"Cumplir con normativa y reglamentos internos del programa en base a los objetivos.")</f>
        <v>Cumplir con normativa y reglamentos internos del programa en base a los objetivos.</v>
      </c>
      <c r="K628" s="71">
        <f ca="1">IFERROR(__xludf.DUMMYFUNCTION("""COMPUTED_VALUE"""),154397591)</f>
        <v>154397591</v>
      </c>
      <c r="L628" s="72">
        <f ca="1">IFERROR(__xludf.DUMMYFUNCTION("""COMPUTED_VALUE"""),1)</f>
        <v>1</v>
      </c>
      <c r="M628" s="10">
        <f ca="1">IFERROR(__xludf.DUMMYFUNCTION("""COMPUTED_VALUE"""),8456)</f>
        <v>8456</v>
      </c>
      <c r="N628" s="10" t="str">
        <f ca="1">IFERROR(__xludf.DUMMYFUNCTION("""COMPUTED_VALUE"""),"PMU")</f>
        <v>PMU</v>
      </c>
      <c r="O628" s="1"/>
      <c r="P628" s="1"/>
      <c r="Q628" s="1"/>
      <c r="R628" s="1"/>
      <c r="S628" s="1"/>
      <c r="T628" s="1"/>
      <c r="U628" s="1"/>
      <c r="V628" s="1"/>
      <c r="W628" s="1"/>
      <c r="X628" s="1"/>
      <c r="Y628" s="1"/>
      <c r="Z628" s="1"/>
    </row>
    <row r="629" spans="1:26" ht="12.75" customHeight="1">
      <c r="A629" s="1"/>
      <c r="B629" s="10" t="str">
        <f ca="1">IFERROR(__xludf.DUMMYFUNCTION("""COMPUTED_VALUE"""),"RECUPERACIÓN DE MULTICANCHAS Y AREA VERDE VILLA LOS RIOS, PUENTE ALTO")</f>
        <v>RECUPERACIÓN DE MULTICANCHAS Y AREA VERDE VILLA LOS RIOS, PUENTE ALTO</v>
      </c>
      <c r="C629" s="10" t="str">
        <f ca="1">IFERROR(__xludf.DUMMYFUNCTION("""COMPUTED_VALUE"""),"1-C-2023-2212")</f>
        <v>1-C-2023-2212</v>
      </c>
      <c r="D629" s="26" t="str">
        <f t="shared" ca="1" si="0"/>
        <v xml:space="preserve"> PUENTE ALTO</v>
      </c>
      <c r="E629" s="10" t="str">
        <f ca="1">IFERROR(__xludf.DUMMYFUNCTION("""COMPUTED_VALUE"""),"Guía Operativa")</f>
        <v>Guía Operativa</v>
      </c>
      <c r="F629" s="10" t="str">
        <f ca="1">IFERROR(__xludf.DUMMYFUNCTION("""COMPUTED_VALUE"""),"MUNICIPALIDAD DE PUENTE ALTO")</f>
        <v>MUNICIPALIDAD DE PUENTE ALTO</v>
      </c>
      <c r="G629" s="71">
        <f ca="1">IFERROR(__xludf.DUMMYFUNCTION("""COMPUTED_VALUE"""),153999950)</f>
        <v>153999950</v>
      </c>
      <c r="H629" s="10" t="str">
        <f ca="1">IFERROR(__xludf.DUMMYFUNCTION("""COMPUTED_VALUE"""),"Resolución")</f>
        <v>Resolución</v>
      </c>
      <c r="I629" s="10" t="str">
        <f ca="1">IFERROR(__xludf.DUMMYFUNCTION("""COMPUTED_VALUE"""),"OBRA")</f>
        <v>OBRA</v>
      </c>
      <c r="J629" s="10" t="str">
        <f ca="1">IFERROR(__xludf.DUMMYFUNCTION("""COMPUTED_VALUE"""),"Cumplir con normativa y reglamentos internos del programa en base a los objetivos.")</f>
        <v>Cumplir con normativa y reglamentos internos del programa en base a los objetivos.</v>
      </c>
      <c r="K629" s="71">
        <f ca="1">IFERROR(__xludf.DUMMYFUNCTION("""COMPUTED_VALUE"""),153999950)</f>
        <v>153999950</v>
      </c>
      <c r="L629" s="72">
        <f ca="1">IFERROR(__xludf.DUMMYFUNCTION("""COMPUTED_VALUE"""),1)</f>
        <v>1</v>
      </c>
      <c r="M629" s="10">
        <f ca="1">IFERROR(__xludf.DUMMYFUNCTION("""COMPUTED_VALUE"""),8454)</f>
        <v>8454</v>
      </c>
      <c r="N629" s="10" t="str">
        <f ca="1">IFERROR(__xludf.DUMMYFUNCTION("""COMPUTED_VALUE"""),"PMU")</f>
        <v>PMU</v>
      </c>
      <c r="O629" s="1"/>
      <c r="P629" s="1"/>
      <c r="Q629" s="1"/>
      <c r="R629" s="1"/>
      <c r="S629" s="1"/>
      <c r="T629" s="1"/>
      <c r="U629" s="1"/>
      <c r="V629" s="1"/>
      <c r="W629" s="1"/>
      <c r="X629" s="1"/>
      <c r="Y629" s="1"/>
      <c r="Z629" s="1"/>
    </row>
    <row r="630" spans="1:26" ht="12.75" customHeight="1">
      <c r="A630" s="1"/>
      <c r="B630" s="10" t="str">
        <f ca="1">IFERROR(__xludf.DUMMYFUNCTION("""COMPUTED_VALUE"""),"REPOSICION PAVIMENTOS PASAJE LA AFRICANA, COMUNA DE RECOLETA")</f>
        <v>REPOSICION PAVIMENTOS PASAJE LA AFRICANA, COMUNA DE RECOLETA</v>
      </c>
      <c r="C630" s="10" t="str">
        <f ca="1">IFERROR(__xludf.DUMMYFUNCTION("""COMPUTED_VALUE"""),"1-C-2023-2842")</f>
        <v>1-C-2023-2842</v>
      </c>
      <c r="D630" s="26" t="str">
        <f t="shared" ca="1" si="0"/>
        <v xml:space="preserve"> RECOLETA</v>
      </c>
      <c r="E630" s="10" t="str">
        <f ca="1">IFERROR(__xludf.DUMMYFUNCTION("""COMPUTED_VALUE"""),"Guía Operativa")</f>
        <v>Guía Operativa</v>
      </c>
      <c r="F630" s="10" t="str">
        <f ca="1">IFERROR(__xludf.DUMMYFUNCTION("""COMPUTED_VALUE"""),"MUNICIPALIDAD DE RECOLETA")</f>
        <v>MUNICIPALIDAD DE RECOLETA</v>
      </c>
      <c r="G630" s="71">
        <f ca="1">IFERROR(__xludf.DUMMYFUNCTION("""COMPUTED_VALUE"""),98857019)</f>
        <v>98857019</v>
      </c>
      <c r="H630" s="10" t="str">
        <f ca="1">IFERROR(__xludf.DUMMYFUNCTION("""COMPUTED_VALUE"""),"Resolución")</f>
        <v>Resolución</v>
      </c>
      <c r="I630" s="10" t="str">
        <f ca="1">IFERROR(__xludf.DUMMYFUNCTION("""COMPUTED_VALUE"""),"OBRA")</f>
        <v>OBRA</v>
      </c>
      <c r="J630" s="10" t="str">
        <f ca="1">IFERROR(__xludf.DUMMYFUNCTION("""COMPUTED_VALUE"""),"Cumplir con normativa y reglamentos internos del programa en base a los objetivos.")</f>
        <v>Cumplir con normativa y reglamentos internos del programa en base a los objetivos.</v>
      </c>
      <c r="K630" s="71">
        <f ca="1">IFERROR(__xludf.DUMMYFUNCTION("""COMPUTED_VALUE"""),98857019)</f>
        <v>98857019</v>
      </c>
      <c r="L630" s="72">
        <f ca="1">IFERROR(__xludf.DUMMYFUNCTION("""COMPUTED_VALUE"""),1)</f>
        <v>1</v>
      </c>
      <c r="M630" s="10">
        <f ca="1">IFERROR(__xludf.DUMMYFUNCTION("""COMPUTED_VALUE"""),8455)</f>
        <v>8455</v>
      </c>
      <c r="N630" s="10" t="str">
        <f ca="1">IFERROR(__xludf.DUMMYFUNCTION("""COMPUTED_VALUE"""),"PMU")</f>
        <v>PMU</v>
      </c>
      <c r="O630" s="1"/>
      <c r="P630" s="1"/>
      <c r="Q630" s="1"/>
      <c r="R630" s="1"/>
      <c r="S630" s="1"/>
      <c r="T630" s="1"/>
      <c r="U630" s="1"/>
      <c r="V630" s="1"/>
      <c r="W630" s="1"/>
      <c r="X630" s="1"/>
      <c r="Y630" s="1"/>
      <c r="Z630" s="1"/>
    </row>
    <row r="631" spans="1:26" ht="12.75" customHeight="1">
      <c r="A631" s="1"/>
      <c r="B631" s="10" t="str">
        <f ca="1">IFERROR(__xludf.DUMMYFUNCTION("""COMPUTED_VALUE"""),"MEJORAMIENTO DE ÁREAS VERDES PASAJE 14, PASAJE 23 Y PASAJE 29, VILLA LOS JARDINES, COMUNA DE ÑUÑOA.")</f>
        <v>MEJORAMIENTO DE ÁREAS VERDES PASAJE 14, PASAJE 23 Y PASAJE 29, VILLA LOS JARDINES, COMUNA DE ÑUÑOA.</v>
      </c>
      <c r="C631" s="10" t="str">
        <f ca="1">IFERROR(__xludf.DUMMYFUNCTION("""COMPUTED_VALUE"""),"1-C-2023-3136")</f>
        <v>1-C-2023-3136</v>
      </c>
      <c r="D631" s="26" t="str">
        <f t="shared" ca="1" si="0"/>
        <v xml:space="preserve"> ÑUÑOA</v>
      </c>
      <c r="E631" s="10" t="str">
        <f ca="1">IFERROR(__xludf.DUMMYFUNCTION("""COMPUTED_VALUE"""),"Guía Operativa")</f>
        <v>Guía Operativa</v>
      </c>
      <c r="F631" s="10" t="str">
        <f ca="1">IFERROR(__xludf.DUMMYFUNCTION("""COMPUTED_VALUE"""),"MUNICIPALIDAD DE ÑUÑOA")</f>
        <v>MUNICIPALIDAD DE ÑUÑOA</v>
      </c>
      <c r="G631" s="71">
        <f ca="1">IFERROR(__xludf.DUMMYFUNCTION("""COMPUTED_VALUE"""),126953697)</f>
        <v>126953697</v>
      </c>
      <c r="H631" s="10" t="str">
        <f ca="1">IFERROR(__xludf.DUMMYFUNCTION("""COMPUTED_VALUE"""),"Resolución")</f>
        <v>Resolución</v>
      </c>
      <c r="I631" s="10" t="str">
        <f ca="1">IFERROR(__xludf.DUMMYFUNCTION("""COMPUTED_VALUE"""),"OBRA")</f>
        <v>OBRA</v>
      </c>
      <c r="J631" s="10" t="str">
        <f ca="1">IFERROR(__xludf.DUMMYFUNCTION("""COMPUTED_VALUE"""),"Cumplir con normativa y reglamentos internos del programa en base a los objetivos.")</f>
        <v>Cumplir con normativa y reglamentos internos del programa en base a los objetivos.</v>
      </c>
      <c r="K631" s="71">
        <f ca="1">IFERROR(__xludf.DUMMYFUNCTION("""COMPUTED_VALUE"""),63476849)</f>
        <v>63476849</v>
      </c>
      <c r="L631" s="72">
        <f ca="1">IFERROR(__xludf.DUMMYFUNCTION("""COMPUTED_VALUE"""),0.500000003938443)</f>
        <v>0.50000000393844302</v>
      </c>
      <c r="M631" s="10">
        <f ca="1">IFERROR(__xludf.DUMMYFUNCTION("""COMPUTED_VALUE"""),8639)</f>
        <v>8639</v>
      </c>
      <c r="N631" s="10" t="str">
        <f ca="1">IFERROR(__xludf.DUMMYFUNCTION("""COMPUTED_VALUE"""),"PMU")</f>
        <v>PMU</v>
      </c>
      <c r="O631" s="1"/>
      <c r="P631" s="1"/>
      <c r="Q631" s="1"/>
      <c r="R631" s="1"/>
      <c r="S631" s="1"/>
      <c r="T631" s="1"/>
      <c r="U631" s="1"/>
      <c r="V631" s="1"/>
      <c r="W631" s="1"/>
      <c r="X631" s="1"/>
      <c r="Y631" s="1"/>
      <c r="Z631" s="1"/>
    </row>
    <row r="632" spans="1:26" ht="12.75" customHeight="1">
      <c r="A632" s="1"/>
      <c r="B632" s="10" t="str">
        <f ca="1">IFERROR(__xludf.DUMMYFUNCTION("""COMPUTED_VALUE"""),"MEJORAMIENTO PLAZA VENEZUELA DE LA POBLACIÓN SAN JOAQUÍN, COMUNA DE PEDRO AGUIRRE CERDA")</f>
        <v>MEJORAMIENTO PLAZA VENEZUELA DE LA POBLACIÓN SAN JOAQUÍN, COMUNA DE PEDRO AGUIRRE CERDA</v>
      </c>
      <c r="C632" s="10" t="str">
        <f ca="1">IFERROR(__xludf.DUMMYFUNCTION("""COMPUTED_VALUE"""),"1-C-2024-172")</f>
        <v>1-C-2024-172</v>
      </c>
      <c r="D632" s="26" t="str">
        <f t="shared" ca="1" si="0"/>
        <v xml:space="preserve"> PEDRO AGUIRRE CERDA</v>
      </c>
      <c r="E632" s="10" t="str">
        <f ca="1">IFERROR(__xludf.DUMMYFUNCTION("""COMPUTED_VALUE"""),"Guía Operativa")</f>
        <v>Guía Operativa</v>
      </c>
      <c r="F632" s="10" t="str">
        <f ca="1">IFERROR(__xludf.DUMMYFUNCTION("""COMPUTED_VALUE"""),"MUNICIPALIDAD DE PEDRO AGUIRRE CERDA")</f>
        <v>MUNICIPALIDAD DE PEDRO AGUIRRE CERDA</v>
      </c>
      <c r="G632" s="71">
        <f ca="1">IFERROR(__xludf.DUMMYFUNCTION("""COMPUTED_VALUE"""),119104208)</f>
        <v>119104208</v>
      </c>
      <c r="H632" s="10" t="str">
        <f ca="1">IFERROR(__xludf.DUMMYFUNCTION("""COMPUTED_VALUE"""),"Resolución")</f>
        <v>Resolución</v>
      </c>
      <c r="I632" s="10" t="str">
        <f ca="1">IFERROR(__xludf.DUMMYFUNCTION("""COMPUTED_VALUE"""),"OBRA")</f>
        <v>OBRA</v>
      </c>
      <c r="J632" s="10" t="str">
        <f ca="1">IFERROR(__xludf.DUMMYFUNCTION("""COMPUTED_VALUE"""),"Cumplir con normativa y reglamentos internos del programa en base a los objetivos.")</f>
        <v>Cumplir con normativa y reglamentos internos del programa en base a los objetivos.</v>
      </c>
      <c r="K632" s="71">
        <f ca="1">IFERROR(__xludf.DUMMYFUNCTION("""COMPUTED_VALUE"""),119104208)</f>
        <v>119104208</v>
      </c>
      <c r="L632" s="72">
        <f ca="1">IFERROR(__xludf.DUMMYFUNCTION("""COMPUTED_VALUE"""),1)</f>
        <v>1</v>
      </c>
      <c r="M632" s="10">
        <f ca="1">IFERROR(__xludf.DUMMYFUNCTION("""COMPUTED_VALUE"""),8005)</f>
        <v>8005</v>
      </c>
      <c r="N632" s="10" t="str">
        <f ca="1">IFERROR(__xludf.DUMMYFUNCTION("""COMPUTED_VALUE"""),"PMU")</f>
        <v>PMU</v>
      </c>
      <c r="O632" s="1"/>
      <c r="P632" s="1"/>
      <c r="Q632" s="1"/>
      <c r="R632" s="1"/>
      <c r="S632" s="1"/>
      <c r="T632" s="1"/>
      <c r="U632" s="1"/>
      <c r="V632" s="1"/>
      <c r="W632" s="1"/>
      <c r="X632" s="1"/>
      <c r="Y632" s="1"/>
      <c r="Z632" s="1"/>
    </row>
    <row r="633" spans="1:26" ht="12.75" customHeight="1">
      <c r="A633" s="1"/>
      <c r="B633" s="10" t="str">
        <f ca="1">IFERROR(__xludf.DUMMYFUNCTION("""COMPUTED_VALUE"""),"MEJORAMIENTO INTEGRAL AREA VERDE PLAZA LA FORESTA II, QUILICURA.")</f>
        <v>MEJORAMIENTO INTEGRAL AREA VERDE PLAZA LA FORESTA II, QUILICURA.</v>
      </c>
      <c r="C633" s="10" t="str">
        <f ca="1">IFERROR(__xludf.DUMMYFUNCTION("""COMPUTED_VALUE"""),"1-B-2024-93")</f>
        <v>1-B-2024-93</v>
      </c>
      <c r="D633" s="26" t="str">
        <f t="shared" ca="1" si="0"/>
        <v xml:space="preserve"> QUILICURA</v>
      </c>
      <c r="E633" s="10" t="str">
        <f ca="1">IFERROR(__xludf.DUMMYFUNCTION("""COMPUTED_VALUE"""),"Guía Operativa")</f>
        <v>Guía Operativa</v>
      </c>
      <c r="F633" s="10" t="str">
        <f ca="1">IFERROR(__xludf.DUMMYFUNCTION("""COMPUTED_VALUE"""),"MUNICIPALIDAD DE QUILICURA")</f>
        <v>MUNICIPALIDAD DE QUILICURA</v>
      </c>
      <c r="G633" s="71">
        <f ca="1">IFERROR(__xludf.DUMMYFUNCTION("""COMPUTED_VALUE"""),161491925)</f>
        <v>161491925</v>
      </c>
      <c r="H633" s="10" t="str">
        <f ca="1">IFERROR(__xludf.DUMMYFUNCTION("""COMPUTED_VALUE"""),"Resolución")</f>
        <v>Resolución</v>
      </c>
      <c r="I633" s="10" t="str">
        <f ca="1">IFERROR(__xludf.DUMMYFUNCTION("""COMPUTED_VALUE"""),"OBRA")</f>
        <v>OBRA</v>
      </c>
      <c r="J633" s="10" t="str">
        <f ca="1">IFERROR(__xludf.DUMMYFUNCTION("""COMPUTED_VALUE"""),"Cumplir con normativa y reglamentos internos del programa en base a los objetivos.")</f>
        <v>Cumplir con normativa y reglamentos internos del programa en base a los objetivos.</v>
      </c>
      <c r="K633" s="71">
        <f ca="1">IFERROR(__xludf.DUMMYFUNCTION("""COMPUTED_VALUE"""),161491925)</f>
        <v>161491925</v>
      </c>
      <c r="L633" s="72">
        <f ca="1">IFERROR(__xludf.DUMMYFUNCTION("""COMPUTED_VALUE"""),1)</f>
        <v>1</v>
      </c>
      <c r="M633" s="10">
        <f ca="1">IFERROR(__xludf.DUMMYFUNCTION("""COMPUTED_VALUE"""),8038)</f>
        <v>8038</v>
      </c>
      <c r="N633" s="10" t="str">
        <f ca="1">IFERROR(__xludf.DUMMYFUNCTION("""COMPUTED_VALUE"""),"PMU")</f>
        <v>PMU</v>
      </c>
      <c r="O633" s="1"/>
      <c r="P633" s="1"/>
      <c r="Q633" s="1"/>
      <c r="R633" s="1"/>
      <c r="S633" s="1"/>
      <c r="T633" s="1"/>
      <c r="U633" s="1"/>
      <c r="V633" s="1"/>
      <c r="W633" s="1"/>
      <c r="X633" s="1"/>
      <c r="Y633" s="1"/>
      <c r="Z633" s="1"/>
    </row>
    <row r="634" spans="1:26" ht="12.75" customHeight="1">
      <c r="A634" s="1"/>
      <c r="B634" s="10" t="str">
        <f ca="1">IFERROR(__xludf.DUMMYFUNCTION("""COMPUTED_VALUE"""),"REPARACIÓN CALZADA CALLE VIRGINIA OPAZO, COMUNA DE SANTIAGO")</f>
        <v>REPARACIÓN CALZADA CALLE VIRGINIA OPAZO, COMUNA DE SANTIAGO</v>
      </c>
      <c r="C634" s="10" t="str">
        <f ca="1">IFERROR(__xludf.DUMMYFUNCTION("""COMPUTED_VALUE"""),"1-B-2024-178")</f>
        <v>1-B-2024-178</v>
      </c>
      <c r="D634" s="26" t="str">
        <f t="shared" ca="1" si="0"/>
        <v xml:space="preserve"> SANTIAGO</v>
      </c>
      <c r="E634" s="10" t="str">
        <f ca="1">IFERROR(__xludf.DUMMYFUNCTION("""COMPUTED_VALUE"""),"Guía Operativa")</f>
        <v>Guía Operativa</v>
      </c>
      <c r="F634" s="10" t="str">
        <f ca="1">IFERROR(__xludf.DUMMYFUNCTION("""COMPUTED_VALUE"""),"MUNICIPALIDAD DE SANTIAGO")</f>
        <v>MUNICIPALIDAD DE SANTIAGO</v>
      </c>
      <c r="G634" s="71">
        <f ca="1">IFERROR(__xludf.DUMMYFUNCTION("""COMPUTED_VALUE"""),161664999)</f>
        <v>161664999</v>
      </c>
      <c r="H634" s="10" t="str">
        <f ca="1">IFERROR(__xludf.DUMMYFUNCTION("""COMPUTED_VALUE"""),"Resolución")</f>
        <v>Resolución</v>
      </c>
      <c r="I634" s="10" t="str">
        <f ca="1">IFERROR(__xludf.DUMMYFUNCTION("""COMPUTED_VALUE"""),"OBRA")</f>
        <v>OBRA</v>
      </c>
      <c r="J634" s="10" t="str">
        <f ca="1">IFERROR(__xludf.DUMMYFUNCTION("""COMPUTED_VALUE"""),"Cumplir con normativa y reglamentos internos del programa en base a los objetivos.")</f>
        <v>Cumplir con normativa y reglamentos internos del programa en base a los objetivos.</v>
      </c>
      <c r="K634" s="71">
        <f ca="1">IFERROR(__xludf.DUMMYFUNCTION("""COMPUTED_VALUE"""),161664999)</f>
        <v>161664999</v>
      </c>
      <c r="L634" s="72">
        <f ca="1">IFERROR(__xludf.DUMMYFUNCTION("""COMPUTED_VALUE"""),1)</f>
        <v>1</v>
      </c>
      <c r="M634" s="10">
        <f ca="1">IFERROR(__xludf.DUMMYFUNCTION("""COMPUTED_VALUE"""),8479)</f>
        <v>8479</v>
      </c>
      <c r="N634" s="10" t="str">
        <f ca="1">IFERROR(__xludf.DUMMYFUNCTION("""COMPUTED_VALUE"""),"PMU")</f>
        <v>PMU</v>
      </c>
      <c r="O634" s="1"/>
      <c r="P634" s="1"/>
      <c r="Q634" s="1"/>
      <c r="R634" s="1"/>
      <c r="S634" s="1"/>
      <c r="T634" s="1"/>
      <c r="U634" s="1"/>
      <c r="V634" s="1"/>
      <c r="W634" s="1"/>
      <c r="X634" s="1"/>
      <c r="Y634" s="1"/>
      <c r="Z634" s="1"/>
    </row>
    <row r="635" spans="1:26" ht="12.75" customHeight="1">
      <c r="A635" s="1"/>
      <c r="B635" s="10" t="str">
        <f ca="1">IFERROR(__xludf.DUMMYFUNCTION("""COMPUTED_VALUE"""),"MEJORAMIENTO PLAZAS LARAPINTA ETAPA 4")</f>
        <v>MEJORAMIENTO PLAZAS LARAPINTA ETAPA 4</v>
      </c>
      <c r="C635" s="10" t="str">
        <f ca="1">IFERROR(__xludf.DUMMYFUNCTION("""COMPUTED_VALUE"""),"1-B-2024-184")</f>
        <v>1-B-2024-184</v>
      </c>
      <c r="D635" s="26" t="str">
        <f t="shared" ca="1" si="0"/>
        <v xml:space="preserve"> LAMPA</v>
      </c>
      <c r="E635" s="10" t="str">
        <f ca="1">IFERROR(__xludf.DUMMYFUNCTION("""COMPUTED_VALUE"""),"Guía Operativa")</f>
        <v>Guía Operativa</v>
      </c>
      <c r="F635" s="10" t="str">
        <f ca="1">IFERROR(__xludf.DUMMYFUNCTION("""COMPUTED_VALUE"""),"MUNICIPALIDAD DE LAMPA")</f>
        <v>MUNICIPALIDAD DE LAMPA</v>
      </c>
      <c r="G635" s="71">
        <f ca="1">IFERROR(__xludf.DUMMYFUNCTION("""COMPUTED_VALUE"""),108237853)</f>
        <v>108237853</v>
      </c>
      <c r="H635" s="10" t="str">
        <f ca="1">IFERROR(__xludf.DUMMYFUNCTION("""COMPUTED_VALUE"""),"Resolución")</f>
        <v>Resolución</v>
      </c>
      <c r="I635" s="10" t="str">
        <f ca="1">IFERROR(__xludf.DUMMYFUNCTION("""COMPUTED_VALUE"""),"OBRA")</f>
        <v>OBRA</v>
      </c>
      <c r="J635" s="10" t="str">
        <f ca="1">IFERROR(__xludf.DUMMYFUNCTION("""COMPUTED_VALUE"""),"Cumplir con normativa y reglamentos internos del programa en base a los objetivos.")</f>
        <v>Cumplir con normativa y reglamentos internos del programa en base a los objetivos.</v>
      </c>
      <c r="K635" s="71">
        <f ca="1">IFERROR(__xludf.DUMMYFUNCTION("""COMPUTED_VALUE"""),108237853)</f>
        <v>108237853</v>
      </c>
      <c r="L635" s="72">
        <f ca="1">IFERROR(__xludf.DUMMYFUNCTION("""COMPUTED_VALUE"""),1)</f>
        <v>1</v>
      </c>
      <c r="M635" s="10">
        <f ca="1">IFERROR(__xludf.DUMMYFUNCTION("""COMPUTED_VALUE"""),8480)</f>
        <v>8480</v>
      </c>
      <c r="N635" s="10" t="str">
        <f ca="1">IFERROR(__xludf.DUMMYFUNCTION("""COMPUTED_VALUE"""),"PMU")</f>
        <v>PMU</v>
      </c>
      <c r="O635" s="1"/>
      <c r="P635" s="1"/>
      <c r="Q635" s="1"/>
      <c r="R635" s="1"/>
      <c r="S635" s="1"/>
      <c r="T635" s="1"/>
      <c r="U635" s="1"/>
      <c r="V635" s="1"/>
      <c r="W635" s="1"/>
      <c r="X635" s="1"/>
      <c r="Y635" s="1"/>
      <c r="Z635" s="1"/>
    </row>
    <row r="636" spans="1:26" ht="12.75" customHeight="1">
      <c r="A636" s="1"/>
      <c r="B636" s="10" t="str">
        <f ca="1">IFERROR(__xludf.DUMMYFUNCTION("""COMPUTED_VALUE"""),"REPOSICIÓN ACERA NORTE CALLE 2")</f>
        <v>REPOSICIÓN ACERA NORTE CALLE 2</v>
      </c>
      <c r="C636" s="10" t="str">
        <f ca="1">IFERROR(__xludf.DUMMYFUNCTION("""COMPUTED_VALUE"""),"1-B-2024-213")</f>
        <v>1-B-2024-213</v>
      </c>
      <c r="D636" s="26" t="str">
        <f t="shared" ca="1" si="0"/>
        <v xml:space="preserve"> MACUL</v>
      </c>
      <c r="E636" s="10" t="str">
        <f ca="1">IFERROR(__xludf.DUMMYFUNCTION("""COMPUTED_VALUE"""),"Guía Operativa")</f>
        <v>Guía Operativa</v>
      </c>
      <c r="F636" s="10" t="str">
        <f ca="1">IFERROR(__xludf.DUMMYFUNCTION("""COMPUTED_VALUE"""),"MUNICIPALIDAD DE MACUL")</f>
        <v>MUNICIPALIDAD DE MACUL</v>
      </c>
      <c r="G636" s="71">
        <f ca="1">IFERROR(__xludf.DUMMYFUNCTION("""COMPUTED_VALUE"""),122421223)</f>
        <v>122421223</v>
      </c>
      <c r="H636" s="10" t="str">
        <f ca="1">IFERROR(__xludf.DUMMYFUNCTION("""COMPUTED_VALUE"""),"Resolución")</f>
        <v>Resolución</v>
      </c>
      <c r="I636" s="10" t="str">
        <f ca="1">IFERROR(__xludf.DUMMYFUNCTION("""COMPUTED_VALUE"""),"OBRA")</f>
        <v>OBRA</v>
      </c>
      <c r="J636" s="10" t="str">
        <f ca="1">IFERROR(__xludf.DUMMYFUNCTION("""COMPUTED_VALUE"""),"Cumplir con normativa y reglamentos internos del programa en base a los objetivos.")</f>
        <v>Cumplir con normativa y reglamentos internos del programa en base a los objetivos.</v>
      </c>
      <c r="K636" s="71">
        <f ca="1">IFERROR(__xludf.DUMMYFUNCTION("""COMPUTED_VALUE"""),122421223)</f>
        <v>122421223</v>
      </c>
      <c r="L636" s="72">
        <f ca="1">IFERROR(__xludf.DUMMYFUNCTION("""COMPUTED_VALUE"""),1)</f>
        <v>1</v>
      </c>
      <c r="M636" s="10">
        <f ca="1">IFERROR(__xludf.DUMMYFUNCTION("""COMPUTED_VALUE"""),8466)</f>
        <v>8466</v>
      </c>
      <c r="N636" s="10" t="str">
        <f ca="1">IFERROR(__xludf.DUMMYFUNCTION("""COMPUTED_VALUE"""),"PMU")</f>
        <v>PMU</v>
      </c>
      <c r="O636" s="1"/>
      <c r="P636" s="1"/>
      <c r="Q636" s="1"/>
      <c r="R636" s="1"/>
      <c r="S636" s="1"/>
      <c r="T636" s="1"/>
      <c r="U636" s="1"/>
      <c r="V636" s="1"/>
      <c r="W636" s="1"/>
      <c r="X636" s="1"/>
      <c r="Y636" s="1"/>
      <c r="Z636" s="1"/>
    </row>
    <row r="637" spans="1:26" ht="12.75" customHeight="1">
      <c r="A637" s="1"/>
      <c r="B637" s="10" t="str">
        <f ca="1">IFERROR(__xludf.DUMMYFUNCTION("""COMPUTED_VALUE"""),"REPOSICIÓN DE CALZADAS PASAJE MARSELLA, COMUNA DE CONCHALÍ")</f>
        <v>REPOSICIÓN DE CALZADAS PASAJE MARSELLA, COMUNA DE CONCHALÍ</v>
      </c>
      <c r="C637" s="10" t="str">
        <f ca="1">IFERROR(__xludf.DUMMYFUNCTION("""COMPUTED_VALUE"""),"1-B-2024-219")</f>
        <v>1-B-2024-219</v>
      </c>
      <c r="D637" s="26" t="str">
        <f t="shared" ca="1" si="0"/>
        <v xml:space="preserve"> CONCHALÍ</v>
      </c>
      <c r="E637" s="10" t="str">
        <f ca="1">IFERROR(__xludf.DUMMYFUNCTION("""COMPUTED_VALUE"""),"Guía Operativa")</f>
        <v>Guía Operativa</v>
      </c>
      <c r="F637" s="10" t="str">
        <f ca="1">IFERROR(__xludf.DUMMYFUNCTION("""COMPUTED_VALUE"""),"MUNICIPALIDAD DE CONCHALÍ")</f>
        <v>MUNICIPALIDAD DE CONCHALÍ</v>
      </c>
      <c r="G637" s="71">
        <f ca="1">IFERROR(__xludf.DUMMYFUNCTION("""COMPUTED_VALUE"""),88342291)</f>
        <v>88342291</v>
      </c>
      <c r="H637" s="10" t="str">
        <f ca="1">IFERROR(__xludf.DUMMYFUNCTION("""COMPUTED_VALUE"""),"Resolución")</f>
        <v>Resolución</v>
      </c>
      <c r="I637" s="10" t="str">
        <f ca="1">IFERROR(__xludf.DUMMYFUNCTION("""COMPUTED_VALUE"""),"OBRA")</f>
        <v>OBRA</v>
      </c>
      <c r="J637" s="10" t="str">
        <f ca="1">IFERROR(__xludf.DUMMYFUNCTION("""COMPUTED_VALUE"""),"Cumplir con normativa y reglamentos internos del programa en base a los objetivos.")</f>
        <v>Cumplir con normativa y reglamentos internos del programa en base a los objetivos.</v>
      </c>
      <c r="K637" s="71">
        <f ca="1">IFERROR(__xludf.DUMMYFUNCTION("""COMPUTED_VALUE"""),88342291)</f>
        <v>88342291</v>
      </c>
      <c r="L637" s="72">
        <f ca="1">IFERROR(__xludf.DUMMYFUNCTION("""COMPUTED_VALUE"""),1)</f>
        <v>1</v>
      </c>
      <c r="M637" s="10">
        <f ca="1">IFERROR(__xludf.DUMMYFUNCTION("""COMPUTED_VALUE"""),8565)</f>
        <v>8565</v>
      </c>
      <c r="N637" s="10" t="str">
        <f ca="1">IFERROR(__xludf.DUMMYFUNCTION("""COMPUTED_VALUE"""),"PMU")</f>
        <v>PMU</v>
      </c>
      <c r="O637" s="1"/>
      <c r="P637" s="1"/>
      <c r="Q637" s="1"/>
      <c r="R637" s="1"/>
      <c r="S637" s="1"/>
      <c r="T637" s="1"/>
      <c r="U637" s="1"/>
      <c r="V637" s="1"/>
      <c r="W637" s="1"/>
      <c r="X637" s="1"/>
      <c r="Y637" s="1"/>
      <c r="Z637" s="1"/>
    </row>
    <row r="638" spans="1:26" ht="12.75" customHeight="1">
      <c r="A638" s="1"/>
      <c r="B638" s="10" t="str">
        <f ca="1">IFERROR(__xludf.DUMMYFUNCTION("""COMPUTED_VALUE"""),"REPOSICIÓN DE CALZADAS EN PASAJES TANGER Y REUMEN, COMUNA DE CONCHALÍ")</f>
        <v>REPOSICIÓN DE CALZADAS EN PASAJES TANGER Y REUMEN, COMUNA DE CONCHALÍ</v>
      </c>
      <c r="C638" s="10" t="str">
        <f ca="1">IFERROR(__xludf.DUMMYFUNCTION("""COMPUTED_VALUE"""),"1-B-2024-221")</f>
        <v>1-B-2024-221</v>
      </c>
      <c r="D638" s="26" t="str">
        <f t="shared" ca="1" si="0"/>
        <v xml:space="preserve"> CONCHALÍ</v>
      </c>
      <c r="E638" s="10" t="str">
        <f ca="1">IFERROR(__xludf.DUMMYFUNCTION("""COMPUTED_VALUE"""),"Guía Operativa")</f>
        <v>Guía Operativa</v>
      </c>
      <c r="F638" s="10" t="str">
        <f ca="1">IFERROR(__xludf.DUMMYFUNCTION("""COMPUTED_VALUE"""),"MUNICIPALIDAD DE CONCHALÍ")</f>
        <v>MUNICIPALIDAD DE CONCHALÍ</v>
      </c>
      <c r="G638" s="71">
        <f ca="1">IFERROR(__xludf.DUMMYFUNCTION("""COMPUTED_VALUE"""),121771974)</f>
        <v>121771974</v>
      </c>
      <c r="H638" s="10" t="str">
        <f ca="1">IFERROR(__xludf.DUMMYFUNCTION("""COMPUTED_VALUE"""),"Resolución")</f>
        <v>Resolución</v>
      </c>
      <c r="I638" s="10" t="str">
        <f ca="1">IFERROR(__xludf.DUMMYFUNCTION("""COMPUTED_VALUE"""),"OBRA")</f>
        <v>OBRA</v>
      </c>
      <c r="J638" s="10" t="str">
        <f ca="1">IFERROR(__xludf.DUMMYFUNCTION("""COMPUTED_VALUE"""),"Cumplir con normativa y reglamentos internos del programa en base a los objetivos.")</f>
        <v>Cumplir con normativa y reglamentos internos del programa en base a los objetivos.</v>
      </c>
      <c r="K638" s="71">
        <f ca="1">IFERROR(__xludf.DUMMYFUNCTION("""COMPUTED_VALUE"""),121771974)</f>
        <v>121771974</v>
      </c>
      <c r="L638" s="72">
        <f ca="1">IFERROR(__xludf.DUMMYFUNCTION("""COMPUTED_VALUE"""),1)</f>
        <v>1</v>
      </c>
      <c r="M638" s="10">
        <f ca="1">IFERROR(__xludf.DUMMYFUNCTION("""COMPUTED_VALUE"""),8565)</f>
        <v>8565</v>
      </c>
      <c r="N638" s="10" t="str">
        <f ca="1">IFERROR(__xludf.DUMMYFUNCTION("""COMPUTED_VALUE"""),"PMU")</f>
        <v>PMU</v>
      </c>
      <c r="O638" s="1"/>
      <c r="P638" s="1"/>
      <c r="Q638" s="1"/>
      <c r="R638" s="1"/>
      <c r="S638" s="1"/>
      <c r="T638" s="1"/>
      <c r="U638" s="1"/>
      <c r="V638" s="1"/>
      <c r="W638" s="1"/>
      <c r="X638" s="1"/>
      <c r="Y638" s="1"/>
      <c r="Z638" s="1"/>
    </row>
    <row r="639" spans="1:26" ht="12.75" customHeight="1">
      <c r="A639" s="1"/>
      <c r="B639" s="10" t="str">
        <f ca="1">IFERROR(__xludf.DUMMYFUNCTION("""COMPUTED_VALUE"""),"REPOSICIÓN DE CALZADAS Y VEREDAS UNIDAD VECINAL 25, COMUNA DE CONCHALÍ")</f>
        <v>REPOSICIÓN DE CALZADAS Y VEREDAS UNIDAD VECINAL 25, COMUNA DE CONCHALÍ</v>
      </c>
      <c r="C639" s="10" t="str">
        <f ca="1">IFERROR(__xludf.DUMMYFUNCTION("""COMPUTED_VALUE"""),"1-B-2024-222")</f>
        <v>1-B-2024-222</v>
      </c>
      <c r="D639" s="26" t="str">
        <f t="shared" ca="1" si="0"/>
        <v xml:space="preserve"> CONCHALÍ</v>
      </c>
      <c r="E639" s="10" t="str">
        <f ca="1">IFERROR(__xludf.DUMMYFUNCTION("""COMPUTED_VALUE"""),"Guía Operativa")</f>
        <v>Guía Operativa</v>
      </c>
      <c r="F639" s="10" t="str">
        <f ca="1">IFERROR(__xludf.DUMMYFUNCTION("""COMPUTED_VALUE"""),"MUNICIPALIDAD DE CONCHALÍ")</f>
        <v>MUNICIPALIDAD DE CONCHALÍ</v>
      </c>
      <c r="G639" s="71">
        <f ca="1">IFERROR(__xludf.DUMMYFUNCTION("""COMPUTED_VALUE"""),125783557)</f>
        <v>125783557</v>
      </c>
      <c r="H639" s="10" t="str">
        <f ca="1">IFERROR(__xludf.DUMMYFUNCTION("""COMPUTED_VALUE"""),"Resolución")</f>
        <v>Resolución</v>
      </c>
      <c r="I639" s="10" t="str">
        <f ca="1">IFERROR(__xludf.DUMMYFUNCTION("""COMPUTED_VALUE"""),"OBRA")</f>
        <v>OBRA</v>
      </c>
      <c r="J639" s="10" t="str">
        <f ca="1">IFERROR(__xludf.DUMMYFUNCTION("""COMPUTED_VALUE"""),"Cumplir con normativa y reglamentos internos del programa en base a los objetivos.")</f>
        <v>Cumplir con normativa y reglamentos internos del programa en base a los objetivos.</v>
      </c>
      <c r="K639" s="71">
        <f ca="1">IFERROR(__xludf.DUMMYFUNCTION("""COMPUTED_VALUE"""),125783557)</f>
        <v>125783557</v>
      </c>
      <c r="L639" s="72">
        <f ca="1">IFERROR(__xludf.DUMMYFUNCTION("""COMPUTED_VALUE"""),1)</f>
        <v>1</v>
      </c>
      <c r="M639" s="10">
        <f ca="1">IFERROR(__xludf.DUMMYFUNCTION("""COMPUTED_VALUE"""),8565)</f>
        <v>8565</v>
      </c>
      <c r="N639" s="10" t="str">
        <f ca="1">IFERROR(__xludf.DUMMYFUNCTION("""COMPUTED_VALUE"""),"PMU")</f>
        <v>PMU</v>
      </c>
      <c r="O639" s="1"/>
      <c r="P639" s="1"/>
      <c r="Q639" s="1"/>
      <c r="R639" s="1"/>
      <c r="S639" s="1"/>
      <c r="T639" s="1"/>
      <c r="U639" s="1"/>
      <c r="V639" s="1"/>
      <c r="W639" s="1"/>
      <c r="X639" s="1"/>
      <c r="Y639" s="1"/>
      <c r="Z639" s="1"/>
    </row>
    <row r="640" spans="1:26" ht="12.75" customHeight="1">
      <c r="A640" s="1"/>
      <c r="B640" s="10" t="str">
        <f ca="1">IFERROR(__xludf.DUMMYFUNCTION("""COMPUTED_VALUE"""),"MEJORAMIENTO PLAZAS QUIAPO Y SUBERCASEAUX, COMUNA PEDRO AGUIRRE CERDA")</f>
        <v>MEJORAMIENTO PLAZAS QUIAPO Y SUBERCASEAUX, COMUNA PEDRO AGUIRRE CERDA</v>
      </c>
      <c r="C640" s="10" t="str">
        <f ca="1">IFERROR(__xludf.DUMMYFUNCTION("""COMPUTED_VALUE"""),"1-B-2024-250")</f>
        <v>1-B-2024-250</v>
      </c>
      <c r="D640" s="26" t="str">
        <f t="shared" ca="1" si="0"/>
        <v xml:space="preserve"> PEDRO AGUIRRE CERDA</v>
      </c>
      <c r="E640" s="10" t="str">
        <f ca="1">IFERROR(__xludf.DUMMYFUNCTION("""COMPUTED_VALUE"""),"Guía Operativa")</f>
        <v>Guía Operativa</v>
      </c>
      <c r="F640" s="10" t="str">
        <f ca="1">IFERROR(__xludf.DUMMYFUNCTION("""COMPUTED_VALUE"""),"MUNICIPALIDAD DE PEDRO AGUIRRE CERDA")</f>
        <v>MUNICIPALIDAD DE PEDRO AGUIRRE CERDA</v>
      </c>
      <c r="G640" s="71">
        <f ca="1">IFERROR(__xludf.DUMMYFUNCTION("""COMPUTED_VALUE"""),161383937)</f>
        <v>161383937</v>
      </c>
      <c r="H640" s="10" t="str">
        <f ca="1">IFERROR(__xludf.DUMMYFUNCTION("""COMPUTED_VALUE"""),"Resolución")</f>
        <v>Resolución</v>
      </c>
      <c r="I640" s="10" t="str">
        <f ca="1">IFERROR(__xludf.DUMMYFUNCTION("""COMPUTED_VALUE"""),"OBRA")</f>
        <v>OBRA</v>
      </c>
      <c r="J640" s="10" t="str">
        <f ca="1">IFERROR(__xludf.DUMMYFUNCTION("""COMPUTED_VALUE"""),"Cumplir con normativa y reglamentos internos del programa en base a los objetivos.")</f>
        <v>Cumplir con normativa y reglamentos internos del programa en base a los objetivos.</v>
      </c>
      <c r="K640" s="71">
        <f ca="1">IFERROR(__xludf.DUMMYFUNCTION("""COMPUTED_VALUE"""),161383937)</f>
        <v>161383937</v>
      </c>
      <c r="L640" s="72">
        <f ca="1">IFERROR(__xludf.DUMMYFUNCTION("""COMPUTED_VALUE"""),1)</f>
        <v>1</v>
      </c>
      <c r="M640" s="10">
        <f ca="1">IFERROR(__xludf.DUMMYFUNCTION("""COMPUTED_VALUE"""),8563)</f>
        <v>8563</v>
      </c>
      <c r="N640" s="10" t="str">
        <f ca="1">IFERROR(__xludf.DUMMYFUNCTION("""COMPUTED_VALUE"""),"PMU")</f>
        <v>PMU</v>
      </c>
      <c r="O640" s="1"/>
      <c r="P640" s="1"/>
      <c r="Q640" s="1"/>
      <c r="R640" s="1"/>
      <c r="S640" s="1"/>
      <c r="T640" s="1"/>
      <c r="U640" s="1"/>
      <c r="V640" s="1"/>
      <c r="W640" s="1"/>
      <c r="X640" s="1"/>
      <c r="Y640" s="1"/>
      <c r="Z640" s="1"/>
    </row>
    <row r="641" spans="1:26" ht="12.75" customHeight="1">
      <c r="A641" s="1"/>
      <c r="B641" s="10" t="str">
        <f ca="1">IFERROR(__xludf.DUMMYFUNCTION("""COMPUTED_VALUE"""),"MEJORAMIENTO DE PLAZA MANUEL DE AMAT, COMUNA ESTACION CENTRAL")</f>
        <v>MEJORAMIENTO DE PLAZA MANUEL DE AMAT, COMUNA ESTACION CENTRAL</v>
      </c>
      <c r="C641" s="10" t="str">
        <f ca="1">IFERROR(__xludf.DUMMYFUNCTION("""COMPUTED_VALUE"""),"1-C-2024-1164")</f>
        <v>1-C-2024-1164</v>
      </c>
      <c r="D641" s="26" t="str">
        <f t="shared" ca="1" si="0"/>
        <v xml:space="preserve"> ESTACIÓN CENTRAL</v>
      </c>
      <c r="E641" s="10" t="str">
        <f ca="1">IFERROR(__xludf.DUMMYFUNCTION("""COMPUTED_VALUE"""),"Guía Operativa")</f>
        <v>Guía Operativa</v>
      </c>
      <c r="F641" s="10" t="str">
        <f ca="1">IFERROR(__xludf.DUMMYFUNCTION("""COMPUTED_VALUE"""),"MUNICIPALIDAD DE ESTACIÓN CENTRAL")</f>
        <v>MUNICIPALIDAD DE ESTACIÓN CENTRAL</v>
      </c>
      <c r="G641" s="71">
        <f ca="1">IFERROR(__xludf.DUMMYFUNCTION("""COMPUTED_VALUE"""),92686008)</f>
        <v>92686008</v>
      </c>
      <c r="H641" s="10" t="str">
        <f ca="1">IFERROR(__xludf.DUMMYFUNCTION("""COMPUTED_VALUE"""),"Resolución")</f>
        <v>Resolución</v>
      </c>
      <c r="I641" s="10" t="str">
        <f ca="1">IFERROR(__xludf.DUMMYFUNCTION("""COMPUTED_VALUE"""),"OBRA")</f>
        <v>OBRA</v>
      </c>
      <c r="J641" s="10" t="str">
        <f ca="1">IFERROR(__xludf.DUMMYFUNCTION("""COMPUTED_VALUE"""),"Cumplir con normativa y reglamentos internos del programa en base a los objetivos.")</f>
        <v>Cumplir con normativa y reglamentos internos del programa en base a los objetivos.</v>
      </c>
      <c r="K641" s="71">
        <f ca="1">IFERROR(__xludf.DUMMYFUNCTION("""COMPUTED_VALUE"""),92686008)</f>
        <v>92686008</v>
      </c>
      <c r="L641" s="72">
        <f ca="1">IFERROR(__xludf.DUMMYFUNCTION("""COMPUTED_VALUE"""),1)</f>
        <v>1</v>
      </c>
      <c r="M641" s="10">
        <f ca="1">IFERROR(__xludf.DUMMYFUNCTION("""COMPUTED_VALUE"""),8468)</f>
        <v>8468</v>
      </c>
      <c r="N641" s="10" t="str">
        <f ca="1">IFERROR(__xludf.DUMMYFUNCTION("""COMPUTED_VALUE"""),"PMU")</f>
        <v>PMU</v>
      </c>
      <c r="O641" s="1"/>
      <c r="P641" s="1"/>
      <c r="Q641" s="1"/>
      <c r="R641" s="1"/>
      <c r="S641" s="1"/>
      <c r="T641" s="1"/>
      <c r="U641" s="1"/>
      <c r="V641" s="1"/>
      <c r="W641" s="1"/>
      <c r="X641" s="1"/>
      <c r="Y641" s="1"/>
      <c r="Z641" s="1"/>
    </row>
    <row r="642" spans="1:26" ht="12.75" customHeight="1">
      <c r="A642" s="1"/>
      <c r="B642" s="10" t="str">
        <f ca="1">IFERROR(__xludf.DUMMYFUNCTION("""COMPUTED_VALUE"""),"CONSTRUCCIÓN SEÑALÉTICAS DE EVACUACIÓN Y PUNTOS DE ENCUENTRO SEGURO VN. VILLARRICA, COMUNA DE PANGUIPULLI")</f>
        <v>CONSTRUCCIÓN SEÑALÉTICAS DE EVACUACIÓN Y PUNTOS DE ENCUENTRO SEGURO VN. VILLARRICA, COMUNA DE PANGUIPULLI</v>
      </c>
      <c r="C642" s="10" t="str">
        <f ca="1">IFERROR(__xludf.DUMMYFUNCTION("""COMPUTED_VALUE"""),"1-C-2022-2698")</f>
        <v>1-C-2022-2698</v>
      </c>
      <c r="D642" s="26" t="str">
        <f t="shared" ca="1" si="0"/>
        <v xml:space="preserve"> PANGUIPULLI</v>
      </c>
      <c r="E642" s="10" t="str">
        <f ca="1">IFERROR(__xludf.DUMMYFUNCTION("""COMPUTED_VALUE"""),"Guía Operativa")</f>
        <v>Guía Operativa</v>
      </c>
      <c r="F642" s="10" t="str">
        <f ca="1">IFERROR(__xludf.DUMMYFUNCTION("""COMPUTED_VALUE"""),"MUNICIPALIDAD DE PANGUIPULLI")</f>
        <v>MUNICIPALIDAD DE PANGUIPULLI</v>
      </c>
      <c r="G642" s="71">
        <f ca="1">IFERROR(__xludf.DUMMYFUNCTION("""COMPUTED_VALUE"""),19700000)</f>
        <v>19700000</v>
      </c>
      <c r="H642" s="10" t="str">
        <f ca="1">IFERROR(__xludf.DUMMYFUNCTION("""COMPUTED_VALUE"""),"Resolución")</f>
        <v>Resolución</v>
      </c>
      <c r="I642" s="10" t="str">
        <f ca="1">IFERROR(__xludf.DUMMYFUNCTION("""COMPUTED_VALUE"""),"OBRA")</f>
        <v>OBRA</v>
      </c>
      <c r="J642" s="10" t="str">
        <f ca="1">IFERROR(__xludf.DUMMYFUNCTION("""COMPUTED_VALUE"""),"Cumplir con normativa y reglamentos internos del programa en base a los objetivos.")</f>
        <v>Cumplir con normativa y reglamentos internos del programa en base a los objetivos.</v>
      </c>
      <c r="K642" s="71">
        <f ca="1">IFERROR(__xludf.DUMMYFUNCTION("""COMPUTED_VALUE"""),19700000)</f>
        <v>19700000</v>
      </c>
      <c r="L642" s="72">
        <f ca="1">IFERROR(__xludf.DUMMYFUNCTION("""COMPUTED_VALUE"""),1)</f>
        <v>1</v>
      </c>
      <c r="M642" s="10">
        <f ca="1">IFERROR(__xludf.DUMMYFUNCTION("""COMPUTED_VALUE"""),8483)</f>
        <v>8483</v>
      </c>
      <c r="N642" s="10" t="str">
        <f ca="1">IFERROR(__xludf.DUMMYFUNCTION("""COMPUTED_VALUE"""),"PMU")</f>
        <v>PMU</v>
      </c>
      <c r="O642" s="1"/>
      <c r="P642" s="1"/>
      <c r="Q642" s="1"/>
      <c r="R642" s="1"/>
      <c r="S642" s="1"/>
      <c r="T642" s="1"/>
      <c r="U642" s="1"/>
      <c r="V642" s="1"/>
      <c r="W642" s="1"/>
      <c r="X642" s="1"/>
      <c r="Y642" s="1"/>
      <c r="Z642" s="1"/>
    </row>
    <row r="643" spans="1:26" ht="12.75" customHeight="1">
      <c r="A643" s="1"/>
      <c r="B643" s="10" t="str">
        <f ca="1">IFERROR(__xludf.DUMMYFUNCTION("""COMPUTED_VALUE"""),"CONSTRUCCIÓN PLAZA VILLA LEUFUCADE")</f>
        <v>CONSTRUCCIÓN PLAZA VILLA LEUFUCADE</v>
      </c>
      <c r="C643" s="10" t="str">
        <f ca="1">IFERROR(__xludf.DUMMYFUNCTION("""COMPUTED_VALUE"""),"1-C-2023-1511")</f>
        <v>1-C-2023-1511</v>
      </c>
      <c r="D643" s="26" t="str">
        <f t="shared" ca="1" si="0"/>
        <v xml:space="preserve"> LANCO</v>
      </c>
      <c r="E643" s="10" t="str">
        <f ca="1">IFERROR(__xludf.DUMMYFUNCTION("""COMPUTED_VALUE"""),"Guía Operativa")</f>
        <v>Guía Operativa</v>
      </c>
      <c r="F643" s="10" t="str">
        <f ca="1">IFERROR(__xludf.DUMMYFUNCTION("""COMPUTED_VALUE"""),"MUNICIPALIDAD DE LANCO")</f>
        <v>MUNICIPALIDAD DE LANCO</v>
      </c>
      <c r="G643" s="71">
        <f ca="1">IFERROR(__xludf.DUMMYFUNCTION("""COMPUTED_VALUE"""),116683323)</f>
        <v>116683323</v>
      </c>
      <c r="H643" s="10" t="str">
        <f ca="1">IFERROR(__xludf.DUMMYFUNCTION("""COMPUTED_VALUE"""),"Resolución")</f>
        <v>Resolución</v>
      </c>
      <c r="I643" s="10" t="str">
        <f ca="1">IFERROR(__xludf.DUMMYFUNCTION("""COMPUTED_VALUE"""),"OBRA")</f>
        <v>OBRA</v>
      </c>
      <c r="J643" s="10" t="str">
        <f ca="1">IFERROR(__xludf.DUMMYFUNCTION("""COMPUTED_VALUE"""),"Cumplir con normativa y reglamentos internos del programa en base a los objetivos.")</f>
        <v>Cumplir con normativa y reglamentos internos del programa en base a los objetivos.</v>
      </c>
      <c r="K643" s="71">
        <f ca="1">IFERROR(__xludf.DUMMYFUNCTION("""COMPUTED_VALUE"""),116683323)</f>
        <v>116683323</v>
      </c>
      <c r="L643" s="72">
        <f ca="1">IFERROR(__xludf.DUMMYFUNCTION("""COMPUTED_VALUE"""),1)</f>
        <v>1</v>
      </c>
      <c r="M643" s="10">
        <f ca="1">IFERROR(__xludf.DUMMYFUNCTION("""COMPUTED_VALUE"""),8648)</f>
        <v>8648</v>
      </c>
      <c r="N643" s="10" t="str">
        <f ca="1">IFERROR(__xludf.DUMMYFUNCTION("""COMPUTED_VALUE"""),"PMU")</f>
        <v>PMU</v>
      </c>
      <c r="O643" s="1"/>
      <c r="P643" s="1"/>
      <c r="Q643" s="1"/>
      <c r="R643" s="1"/>
      <c r="S643" s="1"/>
      <c r="T643" s="1"/>
      <c r="U643" s="1"/>
      <c r="V643" s="1"/>
      <c r="W643" s="1"/>
      <c r="X643" s="1"/>
      <c r="Y643" s="1"/>
      <c r="Z643" s="1"/>
    </row>
    <row r="644" spans="1:26" ht="12.75" customHeight="1">
      <c r="A644" s="1"/>
      <c r="B644" s="10" t="str">
        <f ca="1">IFERROR(__xludf.DUMMYFUNCTION("""COMPUTED_VALUE"""),"[SATE] MEJORAMIENTO BIBLIOTECA MUNICIPAL LANCO")</f>
        <v>[SATE] MEJORAMIENTO BIBLIOTECA MUNICIPAL LANCO</v>
      </c>
      <c r="C644" s="10" t="str">
        <f ca="1">IFERROR(__xludf.DUMMYFUNCTION("""COMPUTED_VALUE"""),"1-C-2023-1657")</f>
        <v>1-C-2023-1657</v>
      </c>
      <c r="D644" s="26" t="str">
        <f t="shared" ca="1" si="0"/>
        <v xml:space="preserve"> LANCO</v>
      </c>
      <c r="E644" s="10" t="str">
        <f ca="1">IFERROR(__xludf.DUMMYFUNCTION("""COMPUTED_VALUE"""),"Guía Operativa")</f>
        <v>Guía Operativa</v>
      </c>
      <c r="F644" s="10" t="str">
        <f ca="1">IFERROR(__xludf.DUMMYFUNCTION("""COMPUTED_VALUE"""),"MUNICIPALIDAD DE LANCO")</f>
        <v>MUNICIPALIDAD DE LANCO</v>
      </c>
      <c r="G644" s="71">
        <f ca="1">IFERROR(__xludf.DUMMYFUNCTION("""COMPUTED_VALUE"""),66605323)</f>
        <v>66605323</v>
      </c>
      <c r="H644" s="10" t="str">
        <f ca="1">IFERROR(__xludf.DUMMYFUNCTION("""COMPUTED_VALUE"""),"Resolución")</f>
        <v>Resolución</v>
      </c>
      <c r="I644" s="10" t="str">
        <f ca="1">IFERROR(__xludf.DUMMYFUNCTION("""COMPUTED_VALUE"""),"OBRA")</f>
        <v>OBRA</v>
      </c>
      <c r="J644" s="10" t="str">
        <f ca="1">IFERROR(__xludf.DUMMYFUNCTION("""COMPUTED_VALUE"""),"Cumplir con normativa y reglamentos internos del programa en base a los objetivos.")</f>
        <v>Cumplir con normativa y reglamentos internos del programa en base a los objetivos.</v>
      </c>
      <c r="K644" s="71">
        <f ca="1">IFERROR(__xludf.DUMMYFUNCTION("""COMPUTED_VALUE"""),66605323)</f>
        <v>66605323</v>
      </c>
      <c r="L644" s="72">
        <f ca="1">IFERROR(__xludf.DUMMYFUNCTION("""COMPUTED_VALUE"""),1)</f>
        <v>1</v>
      </c>
      <c r="M644" s="10">
        <f ca="1">IFERROR(__xludf.DUMMYFUNCTION("""COMPUTED_VALUE"""),8648)</f>
        <v>8648</v>
      </c>
      <c r="N644" s="10" t="str">
        <f ca="1">IFERROR(__xludf.DUMMYFUNCTION("""COMPUTED_VALUE"""),"PMU")</f>
        <v>PMU</v>
      </c>
      <c r="O644" s="1"/>
      <c r="P644" s="1"/>
      <c r="Q644" s="1"/>
      <c r="R644" s="1"/>
      <c r="S644" s="1"/>
      <c r="T644" s="1"/>
      <c r="U644" s="1"/>
      <c r="V644" s="1"/>
      <c r="W644" s="1"/>
      <c r="X644" s="1"/>
      <c r="Y644" s="1"/>
      <c r="Z644" s="1"/>
    </row>
    <row r="645" spans="1:26" ht="12.75" customHeight="1">
      <c r="A645" s="1"/>
      <c r="B645" s="10" t="str">
        <f ca="1">IFERROR(__xludf.DUMMYFUNCTION("""COMPUTED_VALUE"""),"[SATE] HABILITACIÓN ÁREA VERDE FLORIDA 2, COMUNA DE RÍO BUENO")</f>
        <v>[SATE] HABILITACIÓN ÁREA VERDE FLORIDA 2, COMUNA DE RÍO BUENO</v>
      </c>
      <c r="C645" s="10" t="str">
        <f ca="1">IFERROR(__xludf.DUMMYFUNCTION("""COMPUTED_VALUE"""),"1-C-2023-1795")</f>
        <v>1-C-2023-1795</v>
      </c>
      <c r="D645" s="26" t="str">
        <f t="shared" ca="1" si="0"/>
        <v xml:space="preserve"> RÍO BUENO</v>
      </c>
      <c r="E645" s="10" t="str">
        <f ca="1">IFERROR(__xludf.DUMMYFUNCTION("""COMPUTED_VALUE"""),"Guía Operativa")</f>
        <v>Guía Operativa</v>
      </c>
      <c r="F645" s="10" t="str">
        <f ca="1">IFERROR(__xludf.DUMMYFUNCTION("""COMPUTED_VALUE"""),"MUNICIPALIDAD DE RÍO BUENO")</f>
        <v>MUNICIPALIDAD DE RÍO BUENO</v>
      </c>
      <c r="G645" s="71">
        <f ca="1">IFERROR(__xludf.DUMMYFUNCTION("""COMPUTED_VALUE"""),153587209)</f>
        <v>153587209</v>
      </c>
      <c r="H645" s="10" t="str">
        <f ca="1">IFERROR(__xludf.DUMMYFUNCTION("""COMPUTED_VALUE"""),"Resolución")</f>
        <v>Resolución</v>
      </c>
      <c r="I645" s="10" t="str">
        <f ca="1">IFERROR(__xludf.DUMMYFUNCTION("""COMPUTED_VALUE"""),"OBRA")</f>
        <v>OBRA</v>
      </c>
      <c r="J645" s="10" t="str">
        <f ca="1">IFERROR(__xludf.DUMMYFUNCTION("""COMPUTED_VALUE"""),"Cumplir con normativa y reglamentos internos del programa en base a los objetivos.")</f>
        <v>Cumplir con normativa y reglamentos internos del programa en base a los objetivos.</v>
      </c>
      <c r="K645" s="71">
        <f ca="1">IFERROR(__xludf.DUMMYFUNCTION("""COMPUTED_VALUE"""),153587209)</f>
        <v>153587209</v>
      </c>
      <c r="L645" s="72">
        <f ca="1">IFERROR(__xludf.DUMMYFUNCTION("""COMPUTED_VALUE"""),1)</f>
        <v>1</v>
      </c>
      <c r="M645" s="10">
        <f ca="1">IFERROR(__xludf.DUMMYFUNCTION("""COMPUTED_VALUE"""),8921)</f>
        <v>8921</v>
      </c>
      <c r="N645" s="10" t="str">
        <f ca="1">IFERROR(__xludf.DUMMYFUNCTION("""COMPUTED_VALUE"""),"PMU")</f>
        <v>PMU</v>
      </c>
      <c r="O645" s="1"/>
      <c r="P645" s="1"/>
      <c r="Q645" s="1"/>
      <c r="R645" s="1"/>
      <c r="S645" s="1"/>
      <c r="T645" s="1"/>
      <c r="U645" s="1"/>
      <c r="V645" s="1"/>
      <c r="W645" s="1"/>
      <c r="X645" s="1"/>
      <c r="Y645" s="1"/>
      <c r="Z645" s="1"/>
    </row>
    <row r="646" spans="1:26" ht="12.75" customHeight="1">
      <c r="A646" s="1"/>
      <c r="B646" s="10" t="str">
        <f ca="1">IFERROR(__xludf.DUMMYFUNCTION("""COMPUTED_VALUE"""),"MEJORAMIENTO REVESTIMIENTOS EXTERIORES EDIFICIO CONSISTORIAL, COMUNA DE LOS LAGOS")</f>
        <v>MEJORAMIENTO REVESTIMIENTOS EXTERIORES EDIFICIO CONSISTORIAL, COMUNA DE LOS LAGOS</v>
      </c>
      <c r="C646" s="10" t="str">
        <f ca="1">IFERROR(__xludf.DUMMYFUNCTION("""COMPUTED_VALUE"""),"1-C-2023-2225")</f>
        <v>1-C-2023-2225</v>
      </c>
      <c r="D646" s="26" t="str">
        <f t="shared" ca="1" si="0"/>
        <v xml:space="preserve"> LOS LAGOS</v>
      </c>
      <c r="E646" s="10" t="str">
        <f ca="1">IFERROR(__xludf.DUMMYFUNCTION("""COMPUTED_VALUE"""),"Guía Operativa")</f>
        <v>Guía Operativa</v>
      </c>
      <c r="F646" s="10" t="str">
        <f ca="1">IFERROR(__xludf.DUMMYFUNCTION("""COMPUTED_VALUE"""),"MUNICIPALIDAD DE LOS LAGOS")</f>
        <v>MUNICIPALIDAD DE LOS LAGOS</v>
      </c>
      <c r="G646" s="71">
        <f ca="1">IFERROR(__xludf.DUMMYFUNCTION("""COMPUTED_VALUE"""),149458745)</f>
        <v>149458745</v>
      </c>
      <c r="H646" s="10" t="str">
        <f ca="1">IFERROR(__xludf.DUMMYFUNCTION("""COMPUTED_VALUE"""),"Resolución")</f>
        <v>Resolución</v>
      </c>
      <c r="I646" s="10" t="str">
        <f ca="1">IFERROR(__xludf.DUMMYFUNCTION("""COMPUTED_VALUE"""),"OBRA")</f>
        <v>OBRA</v>
      </c>
      <c r="J646" s="10" t="str">
        <f ca="1">IFERROR(__xludf.DUMMYFUNCTION("""COMPUTED_VALUE"""),"Cumplir con normativa y reglamentos internos del programa en base a los objetivos.")</f>
        <v>Cumplir con normativa y reglamentos internos del programa en base a los objetivos.</v>
      </c>
      <c r="K646" s="71">
        <f ca="1">IFERROR(__xludf.DUMMYFUNCTION("""COMPUTED_VALUE"""),149458745)</f>
        <v>149458745</v>
      </c>
      <c r="L646" s="72">
        <f ca="1">IFERROR(__xludf.DUMMYFUNCTION("""COMPUTED_VALUE"""),1)</f>
        <v>1</v>
      </c>
      <c r="M646" s="10">
        <f ca="1">IFERROR(__xludf.DUMMYFUNCTION("""COMPUTED_VALUE"""),8645)</f>
        <v>8645</v>
      </c>
      <c r="N646" s="10" t="str">
        <f ca="1">IFERROR(__xludf.DUMMYFUNCTION("""COMPUTED_VALUE"""),"PMU")</f>
        <v>PMU</v>
      </c>
      <c r="O646" s="1"/>
      <c r="P646" s="1"/>
      <c r="Q646" s="1"/>
      <c r="R646" s="1"/>
      <c r="S646" s="1"/>
      <c r="T646" s="1"/>
      <c r="U646" s="1"/>
      <c r="V646" s="1"/>
      <c r="W646" s="1"/>
      <c r="X646" s="1"/>
      <c r="Y646" s="1"/>
      <c r="Z646" s="1"/>
    </row>
    <row r="647" spans="1:26" ht="12.75" customHeight="1">
      <c r="A647" s="1"/>
      <c r="B647" s="10" t="str">
        <f ca="1">IFERROR(__xludf.DUMMYFUNCTION("""COMPUTED_VALUE"""),"MEJORAMIENTO Y AMPLIACIÓN CENTRO DE PROMOCIÓN DE SALUD, SECTOR AMARGOS, CORRAL")</f>
        <v>MEJORAMIENTO Y AMPLIACIÓN CENTRO DE PROMOCIÓN DE SALUD, SECTOR AMARGOS, CORRAL</v>
      </c>
      <c r="C647" s="10" t="str">
        <f ca="1">IFERROR(__xludf.DUMMYFUNCTION("""COMPUTED_VALUE"""),"1-C-2023-2913")</f>
        <v>1-C-2023-2913</v>
      </c>
      <c r="D647" s="26" t="str">
        <f t="shared" ca="1" si="0"/>
        <v xml:space="preserve"> CORRAL</v>
      </c>
      <c r="E647" s="10" t="str">
        <f ca="1">IFERROR(__xludf.DUMMYFUNCTION("""COMPUTED_VALUE"""),"Guía Operativa")</f>
        <v>Guía Operativa</v>
      </c>
      <c r="F647" s="10" t="str">
        <f ca="1">IFERROR(__xludf.DUMMYFUNCTION("""COMPUTED_VALUE"""),"MUNICIPALIDAD DE CORRAL")</f>
        <v>MUNICIPALIDAD DE CORRAL</v>
      </c>
      <c r="G647" s="71">
        <f ca="1">IFERROR(__xludf.DUMMYFUNCTION("""COMPUTED_VALUE"""),154422500)</f>
        <v>154422500</v>
      </c>
      <c r="H647" s="10" t="str">
        <f ca="1">IFERROR(__xludf.DUMMYFUNCTION("""COMPUTED_VALUE"""),"Resolución")</f>
        <v>Resolución</v>
      </c>
      <c r="I647" s="10" t="str">
        <f ca="1">IFERROR(__xludf.DUMMYFUNCTION("""COMPUTED_VALUE"""),"OBRA")</f>
        <v>OBRA</v>
      </c>
      <c r="J647" s="10" t="str">
        <f ca="1">IFERROR(__xludf.DUMMYFUNCTION("""COMPUTED_VALUE"""),"Cumplir con normativa y reglamentos internos del programa en base a los objetivos.")</f>
        <v>Cumplir con normativa y reglamentos internos del programa en base a los objetivos.</v>
      </c>
      <c r="K647" s="71">
        <f ca="1">IFERROR(__xludf.DUMMYFUNCTION("""COMPUTED_VALUE"""),154422500)</f>
        <v>154422500</v>
      </c>
      <c r="L647" s="72">
        <f ca="1">IFERROR(__xludf.DUMMYFUNCTION("""COMPUTED_VALUE"""),1)</f>
        <v>1</v>
      </c>
      <c r="M647" s="10">
        <f ca="1">IFERROR(__xludf.DUMMYFUNCTION("""COMPUTED_VALUE"""),8646)</f>
        <v>8646</v>
      </c>
      <c r="N647" s="10" t="str">
        <f ca="1">IFERROR(__xludf.DUMMYFUNCTION("""COMPUTED_VALUE"""),"PMU")</f>
        <v>PMU</v>
      </c>
      <c r="O647" s="1"/>
      <c r="P647" s="1"/>
      <c r="Q647" s="1"/>
      <c r="R647" s="1"/>
      <c r="S647" s="1"/>
      <c r="T647" s="1"/>
      <c r="U647" s="1"/>
      <c r="V647" s="1"/>
      <c r="W647" s="1"/>
      <c r="X647" s="1"/>
      <c r="Y647" s="1"/>
      <c r="Z647" s="1"/>
    </row>
    <row r="648" spans="1:26" ht="12.75" customHeight="1">
      <c r="A648" s="1"/>
      <c r="B648" s="10" t="str">
        <f ca="1">IFERROR(__xludf.DUMMYFUNCTION("""COMPUTED_VALUE"""),"[SATE] CONSTRUCIÓN LETRAS TURISTICAS - COMUNA DE MÁFIL")</f>
        <v>[SATE] CONSTRUCIÓN LETRAS TURISTICAS - COMUNA DE MÁFIL</v>
      </c>
      <c r="C648" s="10" t="str">
        <f ca="1">IFERROR(__xludf.DUMMYFUNCTION("""COMPUTED_VALUE"""),"1-C-2023-3110")</f>
        <v>1-C-2023-3110</v>
      </c>
      <c r="D648" s="26" t="str">
        <f t="shared" ca="1" si="0"/>
        <v xml:space="preserve"> MÁFIL</v>
      </c>
      <c r="E648" s="10" t="str">
        <f ca="1">IFERROR(__xludf.DUMMYFUNCTION("""COMPUTED_VALUE"""),"Guía Operativa")</f>
        <v>Guía Operativa</v>
      </c>
      <c r="F648" s="10" t="str">
        <f ca="1">IFERROR(__xludf.DUMMYFUNCTION("""COMPUTED_VALUE"""),"MUNICIPALIDAD DE MÁFIL")</f>
        <v>MUNICIPALIDAD DE MÁFIL</v>
      </c>
      <c r="G648" s="71">
        <f ca="1">IFERROR(__xludf.DUMMYFUNCTION("""COMPUTED_VALUE"""),122518508)</f>
        <v>122518508</v>
      </c>
      <c r="H648" s="10" t="str">
        <f ca="1">IFERROR(__xludf.DUMMYFUNCTION("""COMPUTED_VALUE"""),"Resolución")</f>
        <v>Resolución</v>
      </c>
      <c r="I648" s="10" t="str">
        <f ca="1">IFERROR(__xludf.DUMMYFUNCTION("""COMPUTED_VALUE"""),"OBRA")</f>
        <v>OBRA</v>
      </c>
      <c r="J648" s="10" t="str">
        <f ca="1">IFERROR(__xludf.DUMMYFUNCTION("""COMPUTED_VALUE"""),"Cumplir con normativa y reglamentos internos del programa en base a los objetivos.")</f>
        <v>Cumplir con normativa y reglamentos internos del programa en base a los objetivos.</v>
      </c>
      <c r="K648" s="71">
        <f ca="1">IFERROR(__xludf.DUMMYFUNCTION("""COMPUTED_VALUE"""),122518508)</f>
        <v>122518508</v>
      </c>
      <c r="L648" s="72">
        <f ca="1">IFERROR(__xludf.DUMMYFUNCTION("""COMPUTED_VALUE"""),1)</f>
        <v>1</v>
      </c>
      <c r="M648" s="10">
        <f ca="1">IFERROR(__xludf.DUMMYFUNCTION("""COMPUTED_VALUE"""),8926)</f>
        <v>8926</v>
      </c>
      <c r="N648" s="10" t="str">
        <f ca="1">IFERROR(__xludf.DUMMYFUNCTION("""COMPUTED_VALUE"""),"PMU")</f>
        <v>PMU</v>
      </c>
      <c r="O648" s="1"/>
      <c r="P648" s="1"/>
      <c r="Q648" s="1"/>
      <c r="R648" s="1"/>
      <c r="S648" s="1"/>
      <c r="T648" s="1"/>
      <c r="U648" s="1"/>
      <c r="V648" s="1"/>
      <c r="W648" s="1"/>
      <c r="X648" s="1"/>
      <c r="Y648" s="1"/>
      <c r="Z648" s="1"/>
    </row>
    <row r="649" spans="1:26" ht="12.75" customHeight="1">
      <c r="A649" s="1"/>
      <c r="B649" s="10" t="str">
        <f ca="1">IFERROR(__xludf.DUMMYFUNCTION("""COMPUTED_VALUE"""),"CONSTRUCCIÓN MULTICANCHA Y HABILITACIÓN ÁREA VERDE COMANDANTE ARAYA, COMUNA DE RÍO BUENO")</f>
        <v>CONSTRUCCIÓN MULTICANCHA Y HABILITACIÓN ÁREA VERDE COMANDANTE ARAYA, COMUNA DE RÍO BUENO</v>
      </c>
      <c r="C649" s="10" t="str">
        <f ca="1">IFERROR(__xludf.DUMMYFUNCTION("""COMPUTED_VALUE"""),"1-C-2024-122")</f>
        <v>1-C-2024-122</v>
      </c>
      <c r="D649" s="26" t="str">
        <f t="shared" ca="1" si="0"/>
        <v xml:space="preserve"> RÍO BUENO</v>
      </c>
      <c r="E649" s="10" t="str">
        <f ca="1">IFERROR(__xludf.DUMMYFUNCTION("""COMPUTED_VALUE"""),"Guía Operativa")</f>
        <v>Guía Operativa</v>
      </c>
      <c r="F649" s="10" t="str">
        <f ca="1">IFERROR(__xludf.DUMMYFUNCTION("""COMPUTED_VALUE"""),"MUNICIPALIDAD DE RÍO BUENO")</f>
        <v>MUNICIPALIDAD DE RÍO BUENO</v>
      </c>
      <c r="G649" s="71">
        <f ca="1">IFERROR(__xludf.DUMMYFUNCTION("""COMPUTED_VALUE"""),150268108)</f>
        <v>150268108</v>
      </c>
      <c r="H649" s="10" t="str">
        <f ca="1">IFERROR(__xludf.DUMMYFUNCTION("""COMPUTED_VALUE"""),"Resolución")</f>
        <v>Resolución</v>
      </c>
      <c r="I649" s="10" t="str">
        <f ca="1">IFERROR(__xludf.DUMMYFUNCTION("""COMPUTED_VALUE"""),"OBRA")</f>
        <v>OBRA</v>
      </c>
      <c r="J649" s="10" t="str">
        <f ca="1">IFERROR(__xludf.DUMMYFUNCTION("""COMPUTED_VALUE"""),"Cumplir con normativa y reglamentos internos del programa en base a los objetivos.")</f>
        <v>Cumplir con normativa y reglamentos internos del programa en base a los objetivos.</v>
      </c>
      <c r="K649" s="71">
        <f ca="1">IFERROR(__xludf.DUMMYFUNCTION("""COMPUTED_VALUE"""),150268108)</f>
        <v>150268108</v>
      </c>
      <c r="L649" s="72">
        <f ca="1">IFERROR(__xludf.DUMMYFUNCTION("""COMPUTED_VALUE"""),1)</f>
        <v>1</v>
      </c>
      <c r="M649" s="10">
        <f ca="1">IFERROR(__xludf.DUMMYFUNCTION("""COMPUTED_VALUE"""),8921)</f>
        <v>8921</v>
      </c>
      <c r="N649" s="10" t="str">
        <f ca="1">IFERROR(__xludf.DUMMYFUNCTION("""COMPUTED_VALUE"""),"PMU")</f>
        <v>PMU</v>
      </c>
      <c r="O649" s="1"/>
      <c r="P649" s="1"/>
      <c r="Q649" s="1"/>
      <c r="R649" s="1"/>
      <c r="S649" s="1"/>
      <c r="T649" s="1"/>
      <c r="U649" s="1"/>
      <c r="V649" s="1"/>
      <c r="W649" s="1"/>
      <c r="X649" s="1"/>
      <c r="Y649" s="1"/>
      <c r="Z649" s="1"/>
    </row>
    <row r="650" spans="1:26" ht="12.75" customHeight="1">
      <c r="A650" s="1"/>
      <c r="B650" s="10" t="str">
        <f ca="1">IFERROR(__xludf.DUMMYFUNCTION("""COMPUTED_VALUE"""),"CONSTRUCCIÓN MULTICANCHA CUBIERTA LICEO VICENTE PEREZ ROSALEZ, COMUNA DE RIO BUENO")</f>
        <v>CONSTRUCCIÓN MULTICANCHA CUBIERTA LICEO VICENTE PEREZ ROSALEZ, COMUNA DE RIO BUENO</v>
      </c>
      <c r="C650" s="10" t="str">
        <f ca="1">IFERROR(__xludf.DUMMYFUNCTION("""COMPUTED_VALUE"""),"1-C-2024-166")</f>
        <v>1-C-2024-166</v>
      </c>
      <c r="D650" s="26" t="str">
        <f t="shared" ca="1" si="0"/>
        <v xml:space="preserve"> RÍO BUENO</v>
      </c>
      <c r="E650" s="10" t="str">
        <f ca="1">IFERROR(__xludf.DUMMYFUNCTION("""COMPUTED_VALUE"""),"Guía Operativa")</f>
        <v>Guía Operativa</v>
      </c>
      <c r="F650" s="10" t="str">
        <f ca="1">IFERROR(__xludf.DUMMYFUNCTION("""COMPUTED_VALUE"""),"MUNICIPALIDAD DE RÍO BUENO")</f>
        <v>MUNICIPALIDAD DE RÍO BUENO</v>
      </c>
      <c r="G650" s="71">
        <f ca="1">IFERROR(__xludf.DUMMYFUNCTION("""COMPUTED_VALUE"""),161644981)</f>
        <v>161644981</v>
      </c>
      <c r="H650" s="10" t="str">
        <f ca="1">IFERROR(__xludf.DUMMYFUNCTION("""COMPUTED_VALUE"""),"Resolución")</f>
        <v>Resolución</v>
      </c>
      <c r="I650" s="10" t="str">
        <f ca="1">IFERROR(__xludf.DUMMYFUNCTION("""COMPUTED_VALUE"""),"OBRA")</f>
        <v>OBRA</v>
      </c>
      <c r="J650" s="10" t="str">
        <f ca="1">IFERROR(__xludf.DUMMYFUNCTION("""COMPUTED_VALUE"""),"Cumplir con normativa y reglamentos internos del programa en base a los objetivos.")</f>
        <v>Cumplir con normativa y reglamentos internos del programa en base a los objetivos.</v>
      </c>
      <c r="K650" s="71">
        <f ca="1">IFERROR(__xludf.DUMMYFUNCTION("""COMPUTED_VALUE"""),161644981)</f>
        <v>161644981</v>
      </c>
      <c r="L650" s="72">
        <f ca="1">IFERROR(__xludf.DUMMYFUNCTION("""COMPUTED_VALUE"""),1)</f>
        <v>1</v>
      </c>
      <c r="M650" s="10">
        <f ca="1">IFERROR(__xludf.DUMMYFUNCTION("""COMPUTED_VALUE"""),8921)</f>
        <v>8921</v>
      </c>
      <c r="N650" s="10" t="str">
        <f ca="1">IFERROR(__xludf.DUMMYFUNCTION("""COMPUTED_VALUE"""),"PMU")</f>
        <v>PMU</v>
      </c>
      <c r="O650" s="1"/>
      <c r="P650" s="1"/>
      <c r="Q650" s="1"/>
      <c r="R650" s="1"/>
      <c r="S650" s="1"/>
      <c r="T650" s="1"/>
      <c r="U650" s="1"/>
      <c r="V650" s="1"/>
      <c r="W650" s="1"/>
      <c r="X650" s="1"/>
      <c r="Y650" s="1"/>
      <c r="Z650" s="1"/>
    </row>
    <row r="651" spans="1:26" ht="12.75" customHeight="1">
      <c r="A651" s="1"/>
      <c r="B651" s="10" t="str">
        <f ca="1">IFERROR(__xludf.DUMMYFUNCTION("""COMPUTED_VALUE"""),"[SATE] HABILITACIÓN ÁREA VERDE VILLA BICENTENARIO, COMUNA DE RÍO BUENO")</f>
        <v>[SATE] HABILITACIÓN ÁREA VERDE VILLA BICENTENARIO, COMUNA DE RÍO BUENO</v>
      </c>
      <c r="C651" s="10" t="str">
        <f ca="1">IFERROR(__xludf.DUMMYFUNCTION("""COMPUTED_VALUE"""),"1-C-2024-272")</f>
        <v>1-C-2024-272</v>
      </c>
      <c r="D651" s="26" t="str">
        <f t="shared" ca="1" si="0"/>
        <v xml:space="preserve"> RÍO BUENO</v>
      </c>
      <c r="E651" s="10" t="str">
        <f ca="1">IFERROR(__xludf.DUMMYFUNCTION("""COMPUTED_VALUE"""),"Guía Operativa")</f>
        <v>Guía Operativa</v>
      </c>
      <c r="F651" s="10" t="str">
        <f ca="1">IFERROR(__xludf.DUMMYFUNCTION("""COMPUTED_VALUE"""),"MUNICIPALIDAD DE RÍO BUENO")</f>
        <v>MUNICIPALIDAD DE RÍO BUENO</v>
      </c>
      <c r="G651" s="71">
        <f ca="1">IFERROR(__xludf.DUMMYFUNCTION("""COMPUTED_VALUE"""),161499683)</f>
        <v>161499683</v>
      </c>
      <c r="H651" s="10" t="str">
        <f ca="1">IFERROR(__xludf.DUMMYFUNCTION("""COMPUTED_VALUE"""),"Resolución")</f>
        <v>Resolución</v>
      </c>
      <c r="I651" s="10" t="str">
        <f ca="1">IFERROR(__xludf.DUMMYFUNCTION("""COMPUTED_VALUE"""),"OBRA")</f>
        <v>OBRA</v>
      </c>
      <c r="J651" s="10" t="str">
        <f ca="1">IFERROR(__xludf.DUMMYFUNCTION("""COMPUTED_VALUE"""),"Cumplir con normativa y reglamentos internos del programa en base a los objetivos.")</f>
        <v>Cumplir con normativa y reglamentos internos del programa en base a los objetivos.</v>
      </c>
      <c r="K651" s="71">
        <f ca="1">IFERROR(__xludf.DUMMYFUNCTION("""COMPUTED_VALUE"""),161499683)</f>
        <v>161499683</v>
      </c>
      <c r="L651" s="72">
        <f ca="1">IFERROR(__xludf.DUMMYFUNCTION("""COMPUTED_VALUE"""),1)</f>
        <v>1</v>
      </c>
      <c r="M651" s="10">
        <f ca="1">IFERROR(__xludf.DUMMYFUNCTION("""COMPUTED_VALUE"""),8921)</f>
        <v>8921</v>
      </c>
      <c r="N651" s="10" t="str">
        <f ca="1">IFERROR(__xludf.DUMMYFUNCTION("""COMPUTED_VALUE"""),"PMU")</f>
        <v>PMU</v>
      </c>
      <c r="O651" s="1"/>
      <c r="P651" s="1"/>
      <c r="Q651" s="1"/>
      <c r="R651" s="1"/>
      <c r="S651" s="1"/>
      <c r="T651" s="1"/>
      <c r="U651" s="1"/>
      <c r="V651" s="1"/>
      <c r="W651" s="1"/>
      <c r="X651" s="1"/>
      <c r="Y651" s="1"/>
      <c r="Z651" s="1"/>
    </row>
    <row r="652" spans="1:26" ht="12.75" customHeight="1">
      <c r="A652" s="1"/>
      <c r="B652" s="10" t="str">
        <f ca="1">IFERROR(__xludf.DUMMYFUNCTION("""COMPUTED_VALUE"""),"CONSTRUCCIÓN CENTRO COMUNITARIO EL PROGRESO, LANCO.")</f>
        <v>CONSTRUCCIÓN CENTRO COMUNITARIO EL PROGRESO, LANCO.</v>
      </c>
      <c r="C652" s="10" t="str">
        <f ca="1">IFERROR(__xludf.DUMMYFUNCTION("""COMPUTED_VALUE"""),"1-C-2024-289")</f>
        <v>1-C-2024-289</v>
      </c>
      <c r="D652" s="26" t="str">
        <f t="shared" ca="1" si="0"/>
        <v xml:space="preserve"> LANCO</v>
      </c>
      <c r="E652" s="10" t="str">
        <f ca="1">IFERROR(__xludf.DUMMYFUNCTION("""COMPUTED_VALUE"""),"Guía Operativa")</f>
        <v>Guía Operativa</v>
      </c>
      <c r="F652" s="10" t="str">
        <f ca="1">IFERROR(__xludf.DUMMYFUNCTION("""COMPUTED_VALUE"""),"MUNICIPALIDAD DE LANCO")</f>
        <v>MUNICIPALIDAD DE LANCO</v>
      </c>
      <c r="G652" s="71">
        <f ca="1">IFERROR(__xludf.DUMMYFUNCTION("""COMPUTED_VALUE"""),135707461)</f>
        <v>135707461</v>
      </c>
      <c r="H652" s="10" t="str">
        <f ca="1">IFERROR(__xludf.DUMMYFUNCTION("""COMPUTED_VALUE"""),"Resolución")</f>
        <v>Resolución</v>
      </c>
      <c r="I652" s="10" t="str">
        <f ca="1">IFERROR(__xludf.DUMMYFUNCTION("""COMPUTED_VALUE"""),"OBRA")</f>
        <v>OBRA</v>
      </c>
      <c r="J652" s="10" t="str">
        <f ca="1">IFERROR(__xludf.DUMMYFUNCTION("""COMPUTED_VALUE"""),"Cumplir con normativa y reglamentos internos del programa en base a los objetivos.")</f>
        <v>Cumplir con normativa y reglamentos internos del programa en base a los objetivos.</v>
      </c>
      <c r="K652" s="71">
        <f ca="1">IFERROR(__xludf.DUMMYFUNCTION("""COMPUTED_VALUE"""),135707461)</f>
        <v>135707461</v>
      </c>
      <c r="L652" s="72">
        <f ca="1">IFERROR(__xludf.DUMMYFUNCTION("""COMPUTED_VALUE"""),1)</f>
        <v>1</v>
      </c>
      <c r="M652" s="10">
        <f ca="1">IFERROR(__xludf.DUMMYFUNCTION("""COMPUTED_VALUE"""),8648)</f>
        <v>8648</v>
      </c>
      <c r="N652" s="10" t="str">
        <f ca="1">IFERROR(__xludf.DUMMYFUNCTION("""COMPUTED_VALUE"""),"PMU")</f>
        <v>PMU</v>
      </c>
      <c r="O652" s="1"/>
      <c r="P652" s="1"/>
      <c r="Q652" s="1"/>
      <c r="R652" s="1"/>
      <c r="S652" s="1"/>
      <c r="T652" s="1"/>
      <c r="U652" s="1"/>
      <c r="V652" s="1"/>
      <c r="W652" s="1"/>
      <c r="X652" s="1"/>
      <c r="Y652" s="1"/>
      <c r="Z652" s="1"/>
    </row>
    <row r="653" spans="1:26" ht="12.75" customHeight="1">
      <c r="A653" s="1"/>
      <c r="B653" s="10" t="str">
        <f ca="1">IFERROR(__xludf.DUMMYFUNCTION("""COMPUTED_VALUE"""),"CONSTRUCCIÓN CIERRE PERÍMETRAL COMUNIDAD INDÍGENA LLONCON MILLAL, COMUNIDAD INDÍGENA MAPUCHE AILLAPAN HUENCHUANCA, COMUNA DE LOS LAGOS")</f>
        <v>CONSTRUCCIÓN CIERRE PERÍMETRAL COMUNIDAD INDÍGENA LLONCON MILLAL, COMUNIDAD INDÍGENA MAPUCHE AILLAPAN HUENCHUANCA, COMUNA DE LOS LAGOS</v>
      </c>
      <c r="C653" s="10" t="str">
        <f ca="1">IFERROR(__xludf.DUMMYFUNCTION("""COMPUTED_VALUE"""),"1-C-2024-564")</f>
        <v>1-C-2024-564</v>
      </c>
      <c r="D653" s="26" t="str">
        <f t="shared" ca="1" si="0"/>
        <v xml:space="preserve"> LOS LAGOS</v>
      </c>
      <c r="E653" s="10" t="str">
        <f ca="1">IFERROR(__xludf.DUMMYFUNCTION("""COMPUTED_VALUE"""),"Guía Operativa")</f>
        <v>Guía Operativa</v>
      </c>
      <c r="F653" s="10" t="str">
        <f ca="1">IFERROR(__xludf.DUMMYFUNCTION("""COMPUTED_VALUE"""),"MUNICIPALIDAD DE LOS LAGOS")</f>
        <v>MUNICIPALIDAD DE LOS LAGOS</v>
      </c>
      <c r="G653" s="71">
        <f ca="1">IFERROR(__xludf.DUMMYFUNCTION("""COMPUTED_VALUE"""),161664999)</f>
        <v>161664999</v>
      </c>
      <c r="H653" s="10" t="str">
        <f ca="1">IFERROR(__xludf.DUMMYFUNCTION("""COMPUTED_VALUE"""),"Resolución")</f>
        <v>Resolución</v>
      </c>
      <c r="I653" s="10" t="str">
        <f ca="1">IFERROR(__xludf.DUMMYFUNCTION("""COMPUTED_VALUE"""),"OBRA")</f>
        <v>OBRA</v>
      </c>
      <c r="J653" s="10" t="str">
        <f ca="1">IFERROR(__xludf.DUMMYFUNCTION("""COMPUTED_VALUE"""),"Cumplir con normativa y reglamentos internos del programa en base a los objetivos.")</f>
        <v>Cumplir con normativa y reglamentos internos del programa en base a los objetivos.</v>
      </c>
      <c r="K653" s="71">
        <f ca="1">IFERROR(__xludf.DUMMYFUNCTION("""COMPUTED_VALUE"""),161664999)</f>
        <v>161664999</v>
      </c>
      <c r="L653" s="72">
        <f ca="1">IFERROR(__xludf.DUMMYFUNCTION("""COMPUTED_VALUE"""),1)</f>
        <v>1</v>
      </c>
      <c r="M653" s="10">
        <f ca="1">IFERROR(__xludf.DUMMYFUNCTION("""COMPUTED_VALUE"""),8645)</f>
        <v>8645</v>
      </c>
      <c r="N653" s="10" t="str">
        <f ca="1">IFERROR(__xludf.DUMMYFUNCTION("""COMPUTED_VALUE"""),"PMU")</f>
        <v>PMU</v>
      </c>
      <c r="O653" s="1"/>
      <c r="P653" s="1"/>
      <c r="Q653" s="1"/>
      <c r="R653" s="1"/>
      <c r="S653" s="1"/>
      <c r="T653" s="1"/>
      <c r="U653" s="1"/>
      <c r="V653" s="1"/>
      <c r="W653" s="1"/>
      <c r="X653" s="1"/>
      <c r="Y653" s="1"/>
      <c r="Z653" s="1"/>
    </row>
    <row r="654" spans="1:26" ht="12.75" customHeight="1">
      <c r="A654" s="1"/>
      <c r="B654" s="10" t="str">
        <f ca="1">IFERROR(__xludf.DUMMYFUNCTION("""COMPUTED_VALUE"""),"MEJORAMIENTO AREA VERDE GABRIELA MISTRAL CON MARIANO LATORRE, VALDIVIA")</f>
        <v>MEJORAMIENTO AREA VERDE GABRIELA MISTRAL CON MARIANO LATORRE, VALDIVIA</v>
      </c>
      <c r="C654" s="10" t="str">
        <f ca="1">IFERROR(__xludf.DUMMYFUNCTION("""COMPUTED_VALUE"""),"1-B-2024-137")</f>
        <v>1-B-2024-137</v>
      </c>
      <c r="D654" s="26" t="str">
        <f t="shared" ca="1" si="0"/>
        <v xml:space="preserve"> VALDIVIA</v>
      </c>
      <c r="E654" s="10" t="str">
        <f ca="1">IFERROR(__xludf.DUMMYFUNCTION("""COMPUTED_VALUE"""),"Guía Operativa")</f>
        <v>Guía Operativa</v>
      </c>
      <c r="F654" s="10" t="str">
        <f ca="1">IFERROR(__xludf.DUMMYFUNCTION("""COMPUTED_VALUE"""),"MUNICIPALIDAD DE VALDIVIA")</f>
        <v>MUNICIPALIDAD DE VALDIVIA</v>
      </c>
      <c r="G654" s="71">
        <f ca="1">IFERROR(__xludf.DUMMYFUNCTION("""COMPUTED_VALUE"""),98400102)</f>
        <v>98400102</v>
      </c>
      <c r="H654" s="10" t="str">
        <f ca="1">IFERROR(__xludf.DUMMYFUNCTION("""COMPUTED_VALUE"""),"Resolución")</f>
        <v>Resolución</v>
      </c>
      <c r="I654" s="10" t="str">
        <f ca="1">IFERROR(__xludf.DUMMYFUNCTION("""COMPUTED_VALUE"""),"OBRA")</f>
        <v>OBRA</v>
      </c>
      <c r="J654" s="10" t="str">
        <f ca="1">IFERROR(__xludf.DUMMYFUNCTION("""COMPUTED_VALUE"""),"Cumplir con normativa y reglamentos internos del programa en base a los objetivos.")</f>
        <v>Cumplir con normativa y reglamentos internos del programa en base a los objetivos.</v>
      </c>
      <c r="K654" s="71">
        <f ca="1">IFERROR(__xludf.DUMMYFUNCTION("""COMPUTED_VALUE"""),98400102)</f>
        <v>98400102</v>
      </c>
      <c r="L654" s="72">
        <f ca="1">IFERROR(__xludf.DUMMYFUNCTION("""COMPUTED_VALUE"""),1)</f>
        <v>1</v>
      </c>
      <c r="M654" s="10">
        <f ca="1">IFERROR(__xludf.DUMMYFUNCTION("""COMPUTED_VALUE"""),8558)</f>
        <v>8558</v>
      </c>
      <c r="N654" s="10" t="str">
        <f ca="1">IFERROR(__xludf.DUMMYFUNCTION("""COMPUTED_VALUE"""),"PMU")</f>
        <v>PMU</v>
      </c>
      <c r="O654" s="1"/>
      <c r="P654" s="1"/>
      <c r="Q654" s="1"/>
      <c r="R654" s="1"/>
      <c r="S654" s="1"/>
      <c r="T654" s="1"/>
      <c r="U654" s="1"/>
      <c r="V654" s="1"/>
      <c r="W654" s="1"/>
      <c r="X654" s="1"/>
      <c r="Y654" s="1"/>
      <c r="Z654" s="1"/>
    </row>
    <row r="655" spans="1:26" ht="12.75" customHeight="1">
      <c r="A655" s="1"/>
      <c r="B655" s="10" t="str">
        <f ca="1">IFERROR(__xludf.DUMMYFUNCTION("""COMPUTED_VALUE"""),"REPOSICIÓN DE VEREDAS DESDE CALLE RAFAEL AZOCAR HASTA CALLE CAMILO HENRÍQUEZ, COMUNA DE LA UNIÓN")</f>
        <v>REPOSICIÓN DE VEREDAS DESDE CALLE RAFAEL AZOCAR HASTA CALLE CAMILO HENRÍQUEZ, COMUNA DE LA UNIÓN</v>
      </c>
      <c r="C655" s="10" t="str">
        <f ca="1">IFERROR(__xludf.DUMMYFUNCTION("""COMPUTED_VALUE"""),"1-B-2024-151")</f>
        <v>1-B-2024-151</v>
      </c>
      <c r="D655" s="26" t="str">
        <f t="shared" ca="1" si="0"/>
        <v xml:space="preserve"> LA UNIÓN</v>
      </c>
      <c r="E655" s="10" t="str">
        <f ca="1">IFERROR(__xludf.DUMMYFUNCTION("""COMPUTED_VALUE"""),"Guía Operativa")</f>
        <v>Guía Operativa</v>
      </c>
      <c r="F655" s="10" t="str">
        <f ca="1">IFERROR(__xludf.DUMMYFUNCTION("""COMPUTED_VALUE"""),"MUNICIPALIDAD DE LA UNIÓN")</f>
        <v>MUNICIPALIDAD DE LA UNIÓN</v>
      </c>
      <c r="G655" s="71">
        <f ca="1">IFERROR(__xludf.DUMMYFUNCTION("""COMPUTED_VALUE"""),97000000)</f>
        <v>97000000</v>
      </c>
      <c r="H655" s="10" t="str">
        <f ca="1">IFERROR(__xludf.DUMMYFUNCTION("""COMPUTED_VALUE"""),"Resolución")</f>
        <v>Resolución</v>
      </c>
      <c r="I655" s="10" t="str">
        <f ca="1">IFERROR(__xludf.DUMMYFUNCTION("""COMPUTED_VALUE"""),"OBRA")</f>
        <v>OBRA</v>
      </c>
      <c r="J655" s="10" t="str">
        <f ca="1">IFERROR(__xludf.DUMMYFUNCTION("""COMPUTED_VALUE"""),"Cumplir con normativa y reglamentos internos del programa en base a los objetivos.")</f>
        <v>Cumplir con normativa y reglamentos internos del programa en base a los objetivos.</v>
      </c>
      <c r="K655" s="71">
        <f ca="1">IFERROR(__xludf.DUMMYFUNCTION("""COMPUTED_VALUE"""),97000000)</f>
        <v>97000000</v>
      </c>
      <c r="L655" s="72">
        <f ca="1">IFERROR(__xludf.DUMMYFUNCTION("""COMPUTED_VALUE"""),1)</f>
        <v>1</v>
      </c>
      <c r="M655" s="10">
        <f ca="1">IFERROR(__xludf.DUMMYFUNCTION("""COMPUTED_VALUE"""),8460)</f>
        <v>8460</v>
      </c>
      <c r="N655" s="10" t="str">
        <f ca="1">IFERROR(__xludf.DUMMYFUNCTION("""COMPUTED_VALUE"""),"PMU")</f>
        <v>PMU</v>
      </c>
      <c r="O655" s="1"/>
      <c r="P655" s="1"/>
      <c r="Q655" s="1"/>
      <c r="R655" s="1"/>
      <c r="S655" s="1"/>
      <c r="T655" s="1"/>
      <c r="U655" s="1"/>
      <c r="V655" s="1"/>
      <c r="W655" s="1"/>
      <c r="X655" s="1"/>
      <c r="Y655" s="1"/>
      <c r="Z655" s="1"/>
    </row>
    <row r="656" spans="1:26" ht="12.75" customHeight="1">
      <c r="A656" s="1"/>
      <c r="B656" s="10" t="str">
        <f ca="1">IFERROR(__xludf.DUMMYFUNCTION("""COMPUTED_VALUE"""),"REPOSICIÓN CIERRE PERIMETRALES EN TERRENOS DE SEDES SOCIALES Y HABILITACIÓN DE AREA RECREATIVA")</f>
        <v>REPOSICIÓN CIERRE PERIMETRALES EN TERRENOS DE SEDES SOCIALES Y HABILITACIÓN DE AREA RECREATIVA</v>
      </c>
      <c r="C656" s="10" t="str">
        <f ca="1">IFERROR(__xludf.DUMMYFUNCTION("""COMPUTED_VALUE"""),"1-B-2024-232")</f>
        <v>1-B-2024-232</v>
      </c>
      <c r="D656" s="26" t="str">
        <f t="shared" ca="1" si="0"/>
        <v xml:space="preserve"> LANCO</v>
      </c>
      <c r="E656" s="10" t="str">
        <f ca="1">IFERROR(__xludf.DUMMYFUNCTION("""COMPUTED_VALUE"""),"Guía Operativa")</f>
        <v>Guía Operativa</v>
      </c>
      <c r="F656" s="10" t="str">
        <f ca="1">IFERROR(__xludf.DUMMYFUNCTION("""COMPUTED_VALUE"""),"MUNICIPALIDAD DE LANCO")</f>
        <v>MUNICIPALIDAD DE LANCO</v>
      </c>
      <c r="G656" s="71">
        <f ca="1">IFERROR(__xludf.DUMMYFUNCTION("""COMPUTED_VALUE"""),104531577)</f>
        <v>104531577</v>
      </c>
      <c r="H656" s="10" t="str">
        <f ca="1">IFERROR(__xludf.DUMMYFUNCTION("""COMPUTED_VALUE"""),"Resolución")</f>
        <v>Resolución</v>
      </c>
      <c r="I656" s="10" t="str">
        <f ca="1">IFERROR(__xludf.DUMMYFUNCTION("""COMPUTED_VALUE"""),"OBRA")</f>
        <v>OBRA</v>
      </c>
      <c r="J656" s="10" t="str">
        <f ca="1">IFERROR(__xludf.DUMMYFUNCTION("""COMPUTED_VALUE"""),"Cumplir con normativa y reglamentos internos del programa en base a los objetivos.")</f>
        <v>Cumplir con normativa y reglamentos internos del programa en base a los objetivos.</v>
      </c>
      <c r="K656" s="71">
        <f ca="1">IFERROR(__xludf.DUMMYFUNCTION("""COMPUTED_VALUE"""),104531577)</f>
        <v>104531577</v>
      </c>
      <c r="L656" s="72">
        <f ca="1">IFERROR(__xludf.DUMMYFUNCTION("""COMPUTED_VALUE"""),1)</f>
        <v>1</v>
      </c>
      <c r="M656" s="10">
        <f ca="1">IFERROR(__xludf.DUMMYFUNCTION("""COMPUTED_VALUE"""),8561)</f>
        <v>8561</v>
      </c>
      <c r="N656" s="10" t="str">
        <f ca="1">IFERROR(__xludf.DUMMYFUNCTION("""COMPUTED_VALUE"""),"PMU")</f>
        <v>PMU</v>
      </c>
      <c r="O656" s="1"/>
      <c r="P656" s="1"/>
      <c r="Q656" s="1"/>
      <c r="R656" s="1"/>
      <c r="S656" s="1"/>
      <c r="T656" s="1"/>
      <c r="U656" s="1"/>
      <c r="V656" s="1"/>
      <c r="W656" s="1"/>
      <c r="X656" s="1"/>
      <c r="Y656" s="1"/>
      <c r="Z656" s="1"/>
    </row>
    <row r="657" spans="1:26" ht="12.75" customHeight="1">
      <c r="A657" s="1"/>
      <c r="B657" s="10" t="str">
        <f ca="1">IFERROR(__xludf.DUMMYFUNCTION("""COMPUTED_VALUE"""),"CONSTRUCCIÓN SKATE PARK PLAZA DE ARMAS, COMUNA DE SAN IGNACIO")</f>
        <v>CONSTRUCCIÓN SKATE PARK PLAZA DE ARMAS, COMUNA DE SAN IGNACIO</v>
      </c>
      <c r="C657" s="10" t="str">
        <f ca="1">IFERROR(__xludf.DUMMYFUNCTION("""COMPUTED_VALUE"""),"1-C-2021-1368 [CHA]")</f>
        <v>1-C-2021-1368 [CHA]</v>
      </c>
      <c r="D657" s="26" t="str">
        <f t="shared" ca="1" si="0"/>
        <v xml:space="preserve"> SAN IGNACIO</v>
      </c>
      <c r="E657" s="10" t="str">
        <f ca="1">IFERROR(__xludf.DUMMYFUNCTION("""COMPUTED_VALUE"""),"Guía Operativa")</f>
        <v>Guía Operativa</v>
      </c>
      <c r="F657" s="10" t="str">
        <f ca="1">IFERROR(__xludf.DUMMYFUNCTION("""COMPUTED_VALUE"""),"MUNICIPALIDAD DE SAN IGNACIO")</f>
        <v>MUNICIPALIDAD DE SAN IGNACIO</v>
      </c>
      <c r="G657" s="71">
        <f ca="1">IFERROR(__xludf.DUMMYFUNCTION("""COMPUTED_VALUE"""),69100605)</f>
        <v>69100605</v>
      </c>
      <c r="H657" s="10" t="str">
        <f ca="1">IFERROR(__xludf.DUMMYFUNCTION("""COMPUTED_VALUE"""),"Resolución")</f>
        <v>Resolución</v>
      </c>
      <c r="I657" s="10" t="str">
        <f ca="1">IFERROR(__xludf.DUMMYFUNCTION("""COMPUTED_VALUE"""),"OBRA")</f>
        <v>OBRA</v>
      </c>
      <c r="J657" s="10" t="str">
        <f ca="1">IFERROR(__xludf.DUMMYFUNCTION("""COMPUTED_VALUE"""),"Cumplir con normativa y reglamentos internos del programa en base a los objetivos.")</f>
        <v>Cumplir con normativa y reglamentos internos del programa en base a los objetivos.</v>
      </c>
      <c r="K657" s="71">
        <f ca="1">IFERROR(__xludf.DUMMYFUNCTION("""COMPUTED_VALUE"""),10167774)</f>
        <v>10167774</v>
      </c>
      <c r="L657" s="72">
        <f ca="1">IFERROR(__xludf.DUMMYFUNCTION("""COMPUTED_VALUE"""),0.999992344495391)</f>
        <v>0.99999234449539098</v>
      </c>
      <c r="M657" s="10">
        <f ca="1">IFERROR(__xludf.DUMMYFUNCTION("""COMPUTED_VALUE"""),7481)</f>
        <v>7481</v>
      </c>
      <c r="N657" s="10" t="str">
        <f ca="1">IFERROR(__xludf.DUMMYFUNCTION("""COMPUTED_VALUE"""),"PMU")</f>
        <v>PMU</v>
      </c>
      <c r="O657" s="1"/>
      <c r="P657" s="1"/>
      <c r="Q657" s="1"/>
      <c r="R657" s="1"/>
      <c r="S657" s="1"/>
      <c r="T657" s="1"/>
      <c r="U657" s="1"/>
      <c r="V657" s="1"/>
      <c r="W657" s="1"/>
      <c r="X657" s="1"/>
      <c r="Y657" s="1"/>
      <c r="Z657" s="1"/>
    </row>
    <row r="658" spans="1:26" ht="12.75" customHeight="1">
      <c r="A658" s="1"/>
      <c r="B658" s="10" t="str">
        <f ca="1">IFERROR(__xludf.DUMMYFUNCTION("""COMPUTED_VALUE"""),"[SATE] CONSTRUCCIÓN CENTRO COMUNITARIO ESTACIÓN FERROVIARIO, COMUNA DE COELEMU.")</f>
        <v>[SATE] CONSTRUCCIÓN CENTRO COMUNITARIO ESTACIÓN FERROVIARIO, COMUNA DE COELEMU.</v>
      </c>
      <c r="C658" s="10" t="str">
        <f ca="1">IFERROR(__xludf.DUMMYFUNCTION("""COMPUTED_VALUE"""),"1-C-2023-1098")</f>
        <v>1-C-2023-1098</v>
      </c>
      <c r="D658" s="26" t="str">
        <f t="shared" ca="1" si="0"/>
        <v xml:space="preserve"> COELEMU</v>
      </c>
      <c r="E658" s="10" t="str">
        <f ca="1">IFERROR(__xludf.DUMMYFUNCTION("""COMPUTED_VALUE"""),"Guía Operativa")</f>
        <v>Guía Operativa</v>
      </c>
      <c r="F658" s="10" t="str">
        <f ca="1">IFERROR(__xludf.DUMMYFUNCTION("""COMPUTED_VALUE"""),"MUNICIPALIDAD DE COELEMU")</f>
        <v>MUNICIPALIDAD DE COELEMU</v>
      </c>
      <c r="G658" s="71">
        <f ca="1">IFERROR(__xludf.DUMMYFUNCTION("""COMPUTED_VALUE"""),154419528)</f>
        <v>154419528</v>
      </c>
      <c r="H658" s="10" t="str">
        <f ca="1">IFERROR(__xludf.DUMMYFUNCTION("""COMPUTED_VALUE"""),"Resolución")</f>
        <v>Resolución</v>
      </c>
      <c r="I658" s="10" t="str">
        <f ca="1">IFERROR(__xludf.DUMMYFUNCTION("""COMPUTED_VALUE"""),"OBRA")</f>
        <v>OBRA</v>
      </c>
      <c r="J658" s="10" t="str">
        <f ca="1">IFERROR(__xludf.DUMMYFUNCTION("""COMPUTED_VALUE"""),"Cumplir con normativa y reglamentos internos del programa en base a los objetivos.")</f>
        <v>Cumplir con normativa y reglamentos internos del programa en base a los objetivos.</v>
      </c>
      <c r="K658" s="71">
        <f ca="1">IFERROR(__xludf.DUMMYFUNCTION("""COMPUTED_VALUE"""),77209764)</f>
        <v>77209764</v>
      </c>
      <c r="L658" s="72">
        <f ca="1">IFERROR(__xludf.DUMMYFUNCTION("""COMPUTED_VALUE"""),0.5)</f>
        <v>0.5</v>
      </c>
      <c r="M658" s="10">
        <f ca="1">IFERROR(__xludf.DUMMYFUNCTION("""COMPUTED_VALUE"""),8640)</f>
        <v>8640</v>
      </c>
      <c r="N658" s="10" t="str">
        <f ca="1">IFERROR(__xludf.DUMMYFUNCTION("""COMPUTED_VALUE"""),"PMU")</f>
        <v>PMU</v>
      </c>
      <c r="O658" s="1"/>
      <c r="P658" s="1"/>
      <c r="Q658" s="1"/>
      <c r="R658" s="1"/>
      <c r="S658" s="1"/>
      <c r="T658" s="1"/>
      <c r="U658" s="1"/>
      <c r="V658" s="1"/>
      <c r="W658" s="1"/>
      <c r="X658" s="1"/>
      <c r="Y658" s="1"/>
      <c r="Z658" s="1"/>
    </row>
    <row r="659" spans="1:26" ht="12.75" customHeight="1">
      <c r="A659" s="1"/>
      <c r="B659" s="10" t="str">
        <f ca="1">IFERROR(__xludf.DUMMYFUNCTION("""COMPUTED_VALUE"""),"MEJORAMIENTO Y AMPLIACIÓN UNIDAD DE PROCEDIMIENTOS CESFAM QUIRIQUINA, COMUNA DE SAN IGNACIO")</f>
        <v>MEJORAMIENTO Y AMPLIACIÓN UNIDAD DE PROCEDIMIENTOS CESFAM QUIRIQUINA, COMUNA DE SAN IGNACIO</v>
      </c>
      <c r="C659" s="10" t="str">
        <f ca="1">IFERROR(__xludf.DUMMYFUNCTION("""COMPUTED_VALUE"""),"1-C-2023-2071")</f>
        <v>1-C-2023-2071</v>
      </c>
      <c r="D659" s="26" t="str">
        <f t="shared" ca="1" si="0"/>
        <v xml:space="preserve"> SAN IGNACIO</v>
      </c>
      <c r="E659" s="10" t="str">
        <f ca="1">IFERROR(__xludf.DUMMYFUNCTION("""COMPUTED_VALUE"""),"Guía Operativa")</f>
        <v>Guía Operativa</v>
      </c>
      <c r="F659" s="10" t="str">
        <f ca="1">IFERROR(__xludf.DUMMYFUNCTION("""COMPUTED_VALUE"""),"MUNICIPALIDAD DE SAN IGNACIO")</f>
        <v>MUNICIPALIDAD DE SAN IGNACIO</v>
      </c>
      <c r="G659" s="71">
        <f ca="1">IFERROR(__xludf.DUMMYFUNCTION("""COMPUTED_VALUE"""),150924973)</f>
        <v>150924973</v>
      </c>
      <c r="H659" s="10" t="str">
        <f ca="1">IFERROR(__xludf.DUMMYFUNCTION("""COMPUTED_VALUE"""),"Resolución")</f>
        <v>Resolución</v>
      </c>
      <c r="I659" s="10" t="str">
        <f ca="1">IFERROR(__xludf.DUMMYFUNCTION("""COMPUTED_VALUE"""),"OBRA")</f>
        <v>OBRA</v>
      </c>
      <c r="J659" s="10" t="str">
        <f ca="1">IFERROR(__xludf.DUMMYFUNCTION("""COMPUTED_VALUE"""),"Cumplir con normativa y reglamentos internos del programa en base a los objetivos.")</f>
        <v>Cumplir con normativa y reglamentos internos del programa en base a los objetivos.</v>
      </c>
      <c r="K659" s="71">
        <f ca="1">IFERROR(__xludf.DUMMYFUNCTION("""COMPUTED_VALUE"""),75462487)</f>
        <v>75462487</v>
      </c>
      <c r="L659" s="72">
        <f ca="1">IFERROR(__xludf.DUMMYFUNCTION("""COMPUTED_VALUE"""),0.500000003312904)</f>
        <v>0.50000000331290395</v>
      </c>
      <c r="M659" s="10">
        <f ca="1">IFERROR(__xludf.DUMMYFUNCTION("""COMPUTED_VALUE"""),8655)</f>
        <v>8655</v>
      </c>
      <c r="N659" s="10" t="str">
        <f ca="1">IFERROR(__xludf.DUMMYFUNCTION("""COMPUTED_VALUE"""),"PMU")</f>
        <v>PMU</v>
      </c>
      <c r="O659" s="1"/>
      <c r="P659" s="1"/>
      <c r="Q659" s="1"/>
      <c r="R659" s="1"/>
      <c r="S659" s="1"/>
      <c r="T659" s="1"/>
      <c r="U659" s="1"/>
      <c r="V659" s="1"/>
      <c r="W659" s="1"/>
      <c r="X659" s="1"/>
      <c r="Y659" s="1"/>
      <c r="Z659" s="1"/>
    </row>
    <row r="660" spans="1:26" ht="12.75" customHeight="1">
      <c r="A660" s="1"/>
      <c r="B660" s="10" t="str">
        <f ca="1">IFERROR(__xludf.DUMMYFUNCTION("""COMPUTED_VALUE"""),"CONSTRUCCIÓN PLAZA VILLA EL CONQUISTADOR, COMUNA DE COELEMU")</f>
        <v>CONSTRUCCIÓN PLAZA VILLA EL CONQUISTADOR, COMUNA DE COELEMU</v>
      </c>
      <c r="C660" s="10" t="str">
        <f ca="1">IFERROR(__xludf.DUMMYFUNCTION("""COMPUTED_VALUE"""),"1-C-2023-2267")</f>
        <v>1-C-2023-2267</v>
      </c>
      <c r="D660" s="26" t="str">
        <f t="shared" ca="1" si="0"/>
        <v xml:space="preserve"> COELEMU</v>
      </c>
      <c r="E660" s="10" t="str">
        <f ca="1">IFERROR(__xludf.DUMMYFUNCTION("""COMPUTED_VALUE"""),"Guía Operativa")</f>
        <v>Guía Operativa</v>
      </c>
      <c r="F660" s="10" t="str">
        <f ca="1">IFERROR(__xludf.DUMMYFUNCTION("""COMPUTED_VALUE"""),"MUNICIPALIDAD DE COELEMU")</f>
        <v>MUNICIPALIDAD DE COELEMU</v>
      </c>
      <c r="G660" s="71">
        <f ca="1">IFERROR(__xludf.DUMMYFUNCTION("""COMPUTED_VALUE"""),154415279)</f>
        <v>154415279</v>
      </c>
      <c r="H660" s="10" t="str">
        <f ca="1">IFERROR(__xludf.DUMMYFUNCTION("""COMPUTED_VALUE"""),"Resolución")</f>
        <v>Resolución</v>
      </c>
      <c r="I660" s="10" t="str">
        <f ca="1">IFERROR(__xludf.DUMMYFUNCTION("""COMPUTED_VALUE"""),"OBRA")</f>
        <v>OBRA</v>
      </c>
      <c r="J660" s="10" t="str">
        <f ca="1">IFERROR(__xludf.DUMMYFUNCTION("""COMPUTED_VALUE"""),"Cumplir con normativa y reglamentos internos del programa en base a los objetivos.")</f>
        <v>Cumplir con normativa y reglamentos internos del programa en base a los objetivos.</v>
      </c>
      <c r="K660" s="71">
        <f ca="1">IFERROR(__xludf.DUMMYFUNCTION("""COMPUTED_VALUE"""),77207640)</f>
        <v>77207640</v>
      </c>
      <c r="L660" s="72">
        <f ca="1">IFERROR(__xludf.DUMMYFUNCTION("""COMPUTED_VALUE"""),0.500000003238021)</f>
        <v>0.50000000323802096</v>
      </c>
      <c r="M660" s="10">
        <f ca="1">IFERROR(__xludf.DUMMYFUNCTION("""COMPUTED_VALUE"""),8640)</f>
        <v>8640</v>
      </c>
      <c r="N660" s="10" t="str">
        <f ca="1">IFERROR(__xludf.DUMMYFUNCTION("""COMPUTED_VALUE"""),"PMU")</f>
        <v>PMU</v>
      </c>
      <c r="O660" s="1"/>
      <c r="P660" s="1"/>
      <c r="Q660" s="1"/>
      <c r="R660" s="1"/>
      <c r="S660" s="1"/>
      <c r="T660" s="1"/>
      <c r="U660" s="1"/>
      <c r="V660" s="1"/>
      <c r="W660" s="1"/>
      <c r="X660" s="1"/>
      <c r="Y660" s="1"/>
      <c r="Z660" s="1"/>
    </row>
    <row r="661" spans="1:26" ht="12.75" customHeight="1">
      <c r="A661" s="1"/>
      <c r="B661" s="10" t="str">
        <f ca="1">IFERROR(__xludf.DUMMYFUNCTION("""COMPUTED_VALUE"""),"MEJORAMIENTO ESPACIO PÚBLICO PLAZA ESPAÑA, COMUNA DE TALTAL")</f>
        <v>MEJORAMIENTO ESPACIO PÚBLICO PLAZA ESPAÑA, COMUNA DE TALTAL</v>
      </c>
      <c r="C661" s="10" t="str">
        <f ca="1">IFERROR(__xludf.DUMMYFUNCTION("""COMPUTED_VALUE"""),"1-C-2023-1703")</f>
        <v>1-C-2023-1703</v>
      </c>
      <c r="D661" s="26" t="str">
        <f t="shared" ca="1" si="0"/>
        <v xml:space="preserve"> TALTAL</v>
      </c>
      <c r="E661" s="10" t="str">
        <f ca="1">IFERROR(__xludf.DUMMYFUNCTION("""COMPUTED_VALUE"""),"Guía Operativa")</f>
        <v>Guía Operativa</v>
      </c>
      <c r="F661" s="10" t="str">
        <f ca="1">IFERROR(__xludf.DUMMYFUNCTION("""COMPUTED_VALUE"""),"MUNICIPALIDAD DE TALTAL")</f>
        <v>MUNICIPALIDAD DE TALTAL</v>
      </c>
      <c r="G661" s="71">
        <f ca="1">IFERROR(__xludf.DUMMYFUNCTION("""COMPUTED_VALUE"""),154361971)</f>
        <v>154361971</v>
      </c>
      <c r="H661" s="10" t="str">
        <f ca="1">IFERROR(__xludf.DUMMYFUNCTION("""COMPUTED_VALUE"""),"Resolución")</f>
        <v>Resolución</v>
      </c>
      <c r="I661" s="10" t="str">
        <f ca="1">IFERROR(__xludf.DUMMYFUNCTION("""COMPUTED_VALUE"""),"OBRA")</f>
        <v>OBRA</v>
      </c>
      <c r="J661" s="10" t="str">
        <f ca="1">IFERROR(__xludf.DUMMYFUNCTION("""COMPUTED_VALUE"""),"Cumplir con normativa y reglamentos internos del programa en base a los objetivos.")</f>
        <v>Cumplir con normativa y reglamentos internos del programa en base a los objetivos.</v>
      </c>
      <c r="K661" s="71">
        <f ca="1">IFERROR(__xludf.DUMMYFUNCTION("""COMPUTED_VALUE"""),154361971)</f>
        <v>154361971</v>
      </c>
      <c r="L661" s="72">
        <f ca="1">IFERROR(__xludf.DUMMYFUNCTION("""COMPUTED_VALUE"""),1)</f>
        <v>1</v>
      </c>
      <c r="M661" s="10">
        <f ca="1">IFERROR(__xludf.DUMMYFUNCTION("""COMPUTED_VALUE"""),9140)</f>
        <v>9140</v>
      </c>
      <c r="N661" s="10" t="str">
        <f ca="1">IFERROR(__xludf.DUMMYFUNCTION("""COMPUTED_VALUE"""),"PMU")</f>
        <v>PMU</v>
      </c>
      <c r="O661" s="1"/>
      <c r="P661" s="1"/>
      <c r="Q661" s="1"/>
      <c r="R661" s="1"/>
      <c r="S661" s="1"/>
      <c r="T661" s="1"/>
      <c r="U661" s="1"/>
      <c r="V661" s="1"/>
      <c r="W661" s="1"/>
      <c r="X661" s="1"/>
      <c r="Y661" s="1"/>
      <c r="Z661" s="1"/>
    </row>
    <row r="662" spans="1:26" ht="12.75" customHeight="1">
      <c r="A662" s="1"/>
      <c r="B662" s="10" t="str">
        <f ca="1">IFERROR(__xludf.DUMMYFUNCTION("""COMPUTED_VALUE"""),"CONSTRUCCION SEDE NUEVO AMANECER")</f>
        <v>CONSTRUCCION SEDE NUEVO AMANECER</v>
      </c>
      <c r="C662" s="10" t="str">
        <f ca="1">IFERROR(__xludf.DUMMYFUNCTION("""COMPUTED_VALUE"""),"1-C-2023-2468")</f>
        <v>1-C-2023-2468</v>
      </c>
      <c r="D662" s="26" t="str">
        <f t="shared" ca="1" si="0"/>
        <v xml:space="preserve"> TOCOPILLA</v>
      </c>
      <c r="E662" s="10" t="str">
        <f ca="1">IFERROR(__xludf.DUMMYFUNCTION("""COMPUTED_VALUE"""),"Guía Operativa")</f>
        <v>Guía Operativa</v>
      </c>
      <c r="F662" s="10" t="str">
        <f ca="1">IFERROR(__xludf.DUMMYFUNCTION("""COMPUTED_VALUE"""),"MUNICIPALIDAD DE TOCOPILLA")</f>
        <v>MUNICIPALIDAD DE TOCOPILLA</v>
      </c>
      <c r="G662" s="71">
        <f ca="1">IFERROR(__xludf.DUMMYFUNCTION("""COMPUTED_VALUE"""),152851137)</f>
        <v>152851137</v>
      </c>
      <c r="H662" s="10" t="str">
        <f ca="1">IFERROR(__xludf.DUMMYFUNCTION("""COMPUTED_VALUE"""),"Resolución")</f>
        <v>Resolución</v>
      </c>
      <c r="I662" s="10" t="str">
        <f ca="1">IFERROR(__xludf.DUMMYFUNCTION("""COMPUTED_VALUE"""),"OBRA")</f>
        <v>OBRA</v>
      </c>
      <c r="J662" s="10" t="str">
        <f ca="1">IFERROR(__xludf.DUMMYFUNCTION("""COMPUTED_VALUE"""),"Cumplir con normativa y reglamentos internos del programa en base a los objetivos.")</f>
        <v>Cumplir con normativa y reglamentos internos del programa en base a los objetivos.</v>
      </c>
      <c r="K662" s="71">
        <f ca="1">IFERROR(__xludf.DUMMYFUNCTION("""COMPUTED_VALUE"""),152851137)</f>
        <v>152851137</v>
      </c>
      <c r="L662" s="72">
        <f ca="1">IFERROR(__xludf.DUMMYFUNCTION("""COMPUTED_VALUE"""),1)</f>
        <v>1</v>
      </c>
      <c r="M662" s="10">
        <f ca="1">IFERROR(__xludf.DUMMYFUNCTION("""COMPUTED_VALUE"""),9138)</f>
        <v>9138</v>
      </c>
      <c r="N662" s="10" t="str">
        <f ca="1">IFERROR(__xludf.DUMMYFUNCTION("""COMPUTED_VALUE"""),"PMU")</f>
        <v>PMU</v>
      </c>
      <c r="O662" s="1"/>
      <c r="P662" s="1"/>
      <c r="Q662" s="1"/>
      <c r="R662" s="1"/>
      <c r="S662" s="1"/>
      <c r="T662" s="1"/>
      <c r="U662" s="1"/>
      <c r="V662" s="1"/>
      <c r="W662" s="1"/>
      <c r="X662" s="1"/>
      <c r="Y662" s="1"/>
      <c r="Z662" s="1"/>
    </row>
    <row r="663" spans="1:26" ht="12.75" customHeight="1">
      <c r="A663" s="1"/>
      <c r="B663" s="10" t="str">
        <f ca="1">IFERROR(__xludf.DUMMYFUNCTION("""COMPUTED_VALUE"""),"MEJORAMIENTO MULTICANCHA LAZARETO, COMUNA DE TOCOPILLA")</f>
        <v>MEJORAMIENTO MULTICANCHA LAZARETO, COMUNA DE TOCOPILLA</v>
      </c>
      <c r="C663" s="10" t="str">
        <f ca="1">IFERROR(__xludf.DUMMYFUNCTION("""COMPUTED_VALUE"""),"1-C-2024-70")</f>
        <v>1-C-2024-70</v>
      </c>
      <c r="D663" s="26" t="str">
        <f t="shared" ca="1" si="0"/>
        <v xml:space="preserve"> TOCOPILLA</v>
      </c>
      <c r="E663" s="10" t="str">
        <f ca="1">IFERROR(__xludf.DUMMYFUNCTION("""COMPUTED_VALUE"""),"Guía Operativa")</f>
        <v>Guía Operativa</v>
      </c>
      <c r="F663" s="10" t="str">
        <f ca="1">IFERROR(__xludf.DUMMYFUNCTION("""COMPUTED_VALUE"""),"MUNICIPALIDAD DE TOCOPILLA")</f>
        <v>MUNICIPALIDAD DE TOCOPILLA</v>
      </c>
      <c r="G663" s="71">
        <f ca="1">IFERROR(__xludf.DUMMYFUNCTION("""COMPUTED_VALUE"""),96403024)</f>
        <v>96403024</v>
      </c>
      <c r="H663" s="10" t="str">
        <f ca="1">IFERROR(__xludf.DUMMYFUNCTION("""COMPUTED_VALUE"""),"Resolución")</f>
        <v>Resolución</v>
      </c>
      <c r="I663" s="10" t="str">
        <f ca="1">IFERROR(__xludf.DUMMYFUNCTION("""COMPUTED_VALUE"""),"OBRA")</f>
        <v>OBRA</v>
      </c>
      <c r="J663" s="10" t="str">
        <f ca="1">IFERROR(__xludf.DUMMYFUNCTION("""COMPUTED_VALUE"""),"Cumplir con normativa y reglamentos internos del programa en base a los objetivos.")</f>
        <v>Cumplir con normativa y reglamentos internos del programa en base a los objetivos.</v>
      </c>
      <c r="K663" s="71">
        <f ca="1">IFERROR(__xludf.DUMMYFUNCTION("""COMPUTED_VALUE"""),96403024)</f>
        <v>96403024</v>
      </c>
      <c r="L663" s="72">
        <f ca="1">IFERROR(__xludf.DUMMYFUNCTION("""COMPUTED_VALUE"""),1)</f>
        <v>1</v>
      </c>
      <c r="M663" s="10">
        <f ca="1">IFERROR(__xludf.DUMMYFUNCTION("""COMPUTED_VALUE"""),9138)</f>
        <v>9138</v>
      </c>
      <c r="N663" s="10" t="str">
        <f ca="1">IFERROR(__xludf.DUMMYFUNCTION("""COMPUTED_VALUE"""),"PMU")</f>
        <v>PMU</v>
      </c>
      <c r="O663" s="1"/>
      <c r="P663" s="1"/>
      <c r="Q663" s="1"/>
      <c r="R663" s="1"/>
      <c r="S663" s="1"/>
      <c r="T663" s="1"/>
      <c r="U663" s="1"/>
      <c r="V663" s="1"/>
      <c r="W663" s="1"/>
      <c r="X663" s="1"/>
      <c r="Y663" s="1"/>
      <c r="Z663" s="1"/>
    </row>
    <row r="664" spans="1:26" ht="12.75" customHeight="1">
      <c r="A664" s="1"/>
      <c r="B664" s="10" t="str">
        <f ca="1">IFERROR(__xludf.DUMMYFUNCTION("""COMPUTED_VALUE"""),"MEJORAMIENTO MULTICANCHA PADRE HURTADO, TOCOPILLA")</f>
        <v>MEJORAMIENTO MULTICANCHA PADRE HURTADO, TOCOPILLA</v>
      </c>
      <c r="C664" s="10" t="str">
        <f ca="1">IFERROR(__xludf.DUMMYFUNCTION("""COMPUTED_VALUE"""),"1-C-2024-467")</f>
        <v>1-C-2024-467</v>
      </c>
      <c r="D664" s="26" t="str">
        <f t="shared" ca="1" si="0"/>
        <v xml:space="preserve"> TOCOPILLA</v>
      </c>
      <c r="E664" s="10" t="str">
        <f ca="1">IFERROR(__xludf.DUMMYFUNCTION("""COMPUTED_VALUE"""),"Guía Operativa")</f>
        <v>Guía Operativa</v>
      </c>
      <c r="F664" s="10" t="str">
        <f ca="1">IFERROR(__xludf.DUMMYFUNCTION("""COMPUTED_VALUE"""),"MUNICIPALIDAD DE TOCOPILLA")</f>
        <v>MUNICIPALIDAD DE TOCOPILLA</v>
      </c>
      <c r="G664" s="71">
        <f ca="1">IFERROR(__xludf.DUMMYFUNCTION("""COMPUTED_VALUE"""),159958539)</f>
        <v>159958539</v>
      </c>
      <c r="H664" s="10" t="str">
        <f ca="1">IFERROR(__xludf.DUMMYFUNCTION("""COMPUTED_VALUE"""),"Resolución")</f>
        <v>Resolución</v>
      </c>
      <c r="I664" s="10" t="str">
        <f ca="1">IFERROR(__xludf.DUMMYFUNCTION("""COMPUTED_VALUE"""),"OBRA")</f>
        <v>OBRA</v>
      </c>
      <c r="J664" s="10" t="str">
        <f ca="1">IFERROR(__xludf.DUMMYFUNCTION("""COMPUTED_VALUE"""),"Cumplir con normativa y reglamentos internos del programa en base a los objetivos.")</f>
        <v>Cumplir con normativa y reglamentos internos del programa en base a los objetivos.</v>
      </c>
      <c r="K664" s="71">
        <f ca="1">IFERROR(__xludf.DUMMYFUNCTION("""COMPUTED_VALUE"""),159958539)</f>
        <v>159958539</v>
      </c>
      <c r="L664" s="72">
        <f ca="1">IFERROR(__xludf.DUMMYFUNCTION("""COMPUTED_VALUE"""),1)</f>
        <v>1</v>
      </c>
      <c r="M664" s="10">
        <f ca="1">IFERROR(__xludf.DUMMYFUNCTION("""COMPUTED_VALUE"""),9138)</f>
        <v>9138</v>
      </c>
      <c r="N664" s="10" t="str">
        <f ca="1">IFERROR(__xludf.DUMMYFUNCTION("""COMPUTED_VALUE"""),"PMU")</f>
        <v>PMU</v>
      </c>
      <c r="O664" s="1"/>
      <c r="P664" s="1"/>
      <c r="Q664" s="1"/>
      <c r="R664" s="1"/>
      <c r="S664" s="1"/>
      <c r="T664" s="1"/>
      <c r="U664" s="1"/>
      <c r="V664" s="1"/>
      <c r="W664" s="1"/>
      <c r="X664" s="1"/>
      <c r="Y664" s="1"/>
      <c r="Z664" s="1"/>
    </row>
    <row r="665" spans="1:26" ht="12.75" customHeight="1">
      <c r="A665" s="1"/>
      <c r="B665" s="10" t="str">
        <f ca="1">IFERROR(__xludf.DUMMYFUNCTION("""COMPUTED_VALUE"""),"CONSERVACION DE ACERA SUR CALLE RANCAGUA")</f>
        <v>CONSERVACION DE ACERA SUR CALLE RANCAGUA</v>
      </c>
      <c r="C665" s="10" t="str">
        <f ca="1">IFERROR(__xludf.DUMMYFUNCTION("""COMPUTED_VALUE"""),"1-B-2024-116")</f>
        <v>1-B-2024-116</v>
      </c>
      <c r="D665" s="26" t="str">
        <f t="shared" ca="1" si="0"/>
        <v xml:space="preserve"> TOCOPILLA</v>
      </c>
      <c r="E665" s="10" t="str">
        <f ca="1">IFERROR(__xludf.DUMMYFUNCTION("""COMPUTED_VALUE"""),"Guía Operativa")</f>
        <v>Guía Operativa</v>
      </c>
      <c r="F665" s="10" t="str">
        <f ca="1">IFERROR(__xludf.DUMMYFUNCTION("""COMPUTED_VALUE"""),"MUNICIPALIDAD DE TOCOPILLA")</f>
        <v>MUNICIPALIDAD DE TOCOPILLA</v>
      </c>
      <c r="G665" s="71">
        <f ca="1">IFERROR(__xludf.DUMMYFUNCTION("""COMPUTED_VALUE"""),71281601)</f>
        <v>71281601</v>
      </c>
      <c r="H665" s="10" t="str">
        <f ca="1">IFERROR(__xludf.DUMMYFUNCTION("""COMPUTED_VALUE"""),"Resolución")</f>
        <v>Resolución</v>
      </c>
      <c r="I665" s="10" t="str">
        <f ca="1">IFERROR(__xludf.DUMMYFUNCTION("""COMPUTED_VALUE"""),"OBRA")</f>
        <v>OBRA</v>
      </c>
      <c r="J665" s="10" t="str">
        <f ca="1">IFERROR(__xludf.DUMMYFUNCTION("""COMPUTED_VALUE"""),"Cumplir con normativa y reglamentos internos del programa en base a los objetivos.")</f>
        <v>Cumplir con normativa y reglamentos internos del programa en base a los objetivos.</v>
      </c>
      <c r="K665" s="71">
        <f ca="1">IFERROR(__xludf.DUMMYFUNCTION("""COMPUTED_VALUE"""),71281601)</f>
        <v>71281601</v>
      </c>
      <c r="L665" s="72">
        <f ca="1">IFERROR(__xludf.DUMMYFUNCTION("""COMPUTED_VALUE"""),1)</f>
        <v>1</v>
      </c>
      <c r="M665" s="10">
        <f ca="1">IFERROR(__xludf.DUMMYFUNCTION("""COMPUTED_VALUE"""),8459)</f>
        <v>8459</v>
      </c>
      <c r="N665" s="10" t="str">
        <f ca="1">IFERROR(__xludf.DUMMYFUNCTION("""COMPUTED_VALUE"""),"PMU")</f>
        <v>PMU</v>
      </c>
      <c r="O665" s="1"/>
      <c r="P665" s="1"/>
      <c r="Q665" s="1"/>
      <c r="R665" s="1"/>
      <c r="S665" s="1"/>
      <c r="T665" s="1"/>
      <c r="U665" s="1"/>
      <c r="V665" s="1"/>
      <c r="W665" s="1"/>
      <c r="X665" s="1"/>
      <c r="Y665" s="1"/>
      <c r="Z665" s="1"/>
    </row>
    <row r="666" spans="1:26" ht="12.75" customHeight="1">
      <c r="A666" s="1"/>
      <c r="B666" s="10" t="str">
        <f ca="1">IFERROR(__xludf.DUMMYFUNCTION("""COMPUTED_VALUE"""),"DEMARCACION VIAL, REDUTORES DE VELOCIDAD Y MANTENCION DE SEÑALETICAS . AV SAN MARTIN- MEJILLONES")</f>
        <v>DEMARCACION VIAL, REDUTORES DE VELOCIDAD Y MANTENCION DE SEÑALETICAS . AV SAN MARTIN- MEJILLONES</v>
      </c>
      <c r="C666" s="10" t="str">
        <f ca="1">IFERROR(__xludf.DUMMYFUNCTION("""COMPUTED_VALUE"""),"1-B-2024-348")</f>
        <v>1-B-2024-348</v>
      </c>
      <c r="D666" s="26" t="str">
        <f t="shared" ca="1" si="0"/>
        <v xml:space="preserve"> MEJILLONES</v>
      </c>
      <c r="E666" s="10" t="str">
        <f ca="1">IFERROR(__xludf.DUMMYFUNCTION("""COMPUTED_VALUE"""),"Guía Operativa")</f>
        <v>Guía Operativa</v>
      </c>
      <c r="F666" s="10" t="str">
        <f ca="1">IFERROR(__xludf.DUMMYFUNCTION("""COMPUTED_VALUE"""),"MUNICIPALIDAD DE MEJILLONES")</f>
        <v>MUNICIPALIDAD DE MEJILLONES</v>
      </c>
      <c r="G666" s="71">
        <f ca="1">IFERROR(__xludf.DUMMYFUNCTION("""COMPUTED_VALUE"""),160774956)</f>
        <v>160774956</v>
      </c>
      <c r="H666" s="10" t="str">
        <f ca="1">IFERROR(__xludf.DUMMYFUNCTION("""COMPUTED_VALUE"""),"Resolución")</f>
        <v>Resolución</v>
      </c>
      <c r="I666" s="10" t="str">
        <f ca="1">IFERROR(__xludf.DUMMYFUNCTION("""COMPUTED_VALUE"""),"OBRA")</f>
        <v>OBRA</v>
      </c>
      <c r="J666" s="10" t="str">
        <f ca="1">IFERROR(__xludf.DUMMYFUNCTION("""COMPUTED_VALUE"""),"Cumplir con normativa y reglamentos internos del programa en base a los objetivos.")</f>
        <v>Cumplir con normativa y reglamentos internos del programa en base a los objetivos.</v>
      </c>
      <c r="K666" s="71">
        <f ca="1">IFERROR(__xludf.DUMMYFUNCTION("""COMPUTED_VALUE"""),160774956)</f>
        <v>160774956</v>
      </c>
      <c r="L666" s="72">
        <f ca="1">IFERROR(__xludf.DUMMYFUNCTION("""COMPUTED_VALUE"""),1)</f>
        <v>1</v>
      </c>
      <c r="M666" s="10">
        <f ca="1">IFERROR(__xludf.DUMMYFUNCTION("""COMPUTED_VALUE"""),9085)</f>
        <v>9085</v>
      </c>
      <c r="N666" s="10" t="str">
        <f ca="1">IFERROR(__xludf.DUMMYFUNCTION("""COMPUTED_VALUE"""),"PMU")</f>
        <v>PMU</v>
      </c>
      <c r="O666" s="1"/>
      <c r="P666" s="1"/>
      <c r="Q666" s="1"/>
      <c r="R666" s="1"/>
      <c r="S666" s="1"/>
      <c r="T666" s="1"/>
      <c r="U666" s="1"/>
      <c r="V666" s="1"/>
      <c r="W666" s="1"/>
      <c r="X666" s="1"/>
      <c r="Y666" s="1"/>
      <c r="Z666" s="1"/>
    </row>
    <row r="667" spans="1:26" ht="12.75" customHeight="1">
      <c r="A667" s="1"/>
      <c r="B667" s="10" t="str">
        <f ca="1">IFERROR(__xludf.DUMMYFUNCTION("""COMPUTED_VALUE"""),"CONSTRUCCION DUCHAS , SOMBREADERO PLAZA DE LA CULTURA - COMUNA DE MEJILLONES")</f>
        <v>CONSTRUCCION DUCHAS , SOMBREADERO PLAZA DE LA CULTURA - COMUNA DE MEJILLONES</v>
      </c>
      <c r="C667" s="10" t="str">
        <f ca="1">IFERROR(__xludf.DUMMYFUNCTION("""COMPUTED_VALUE"""),"1-B-2024-349")</f>
        <v>1-B-2024-349</v>
      </c>
      <c r="D667" s="26" t="str">
        <f t="shared" ca="1" si="0"/>
        <v xml:space="preserve"> MEJILLONES</v>
      </c>
      <c r="E667" s="10" t="str">
        <f ca="1">IFERROR(__xludf.DUMMYFUNCTION("""COMPUTED_VALUE"""),"Guía Operativa")</f>
        <v>Guía Operativa</v>
      </c>
      <c r="F667" s="10" t="str">
        <f ca="1">IFERROR(__xludf.DUMMYFUNCTION("""COMPUTED_VALUE"""),"MUNICIPALIDAD DE MEJILLONES")</f>
        <v>MUNICIPALIDAD DE MEJILLONES</v>
      </c>
      <c r="G667" s="71">
        <f ca="1">IFERROR(__xludf.DUMMYFUNCTION("""COMPUTED_VALUE"""),159391914)</f>
        <v>159391914</v>
      </c>
      <c r="H667" s="10" t="str">
        <f ca="1">IFERROR(__xludf.DUMMYFUNCTION("""COMPUTED_VALUE"""),"Resolución")</f>
        <v>Resolución</v>
      </c>
      <c r="I667" s="10" t="str">
        <f ca="1">IFERROR(__xludf.DUMMYFUNCTION("""COMPUTED_VALUE"""),"OBRA")</f>
        <v>OBRA</v>
      </c>
      <c r="J667" s="10" t="str">
        <f ca="1">IFERROR(__xludf.DUMMYFUNCTION("""COMPUTED_VALUE"""),"Cumplir con normativa y reglamentos internos del programa en base a los objetivos.")</f>
        <v>Cumplir con normativa y reglamentos internos del programa en base a los objetivos.</v>
      </c>
      <c r="K667" s="71">
        <f ca="1">IFERROR(__xludf.DUMMYFUNCTION("""COMPUTED_VALUE"""),159391914)</f>
        <v>159391914</v>
      </c>
      <c r="L667" s="72">
        <f ca="1">IFERROR(__xludf.DUMMYFUNCTION("""COMPUTED_VALUE"""),1)</f>
        <v>1</v>
      </c>
      <c r="M667" s="10">
        <f ca="1">IFERROR(__xludf.DUMMYFUNCTION("""COMPUTED_VALUE"""),9083)</f>
        <v>9083</v>
      </c>
      <c r="N667" s="10" t="str">
        <f ca="1">IFERROR(__xludf.DUMMYFUNCTION("""COMPUTED_VALUE"""),"PMU")</f>
        <v>PMU</v>
      </c>
      <c r="O667" s="1"/>
      <c r="P667" s="1"/>
      <c r="Q667" s="1"/>
      <c r="R667" s="1"/>
      <c r="S667" s="1"/>
      <c r="T667" s="1"/>
      <c r="U667" s="1"/>
      <c r="V667" s="1"/>
      <c r="W667" s="1"/>
      <c r="X667" s="1"/>
      <c r="Y667" s="1"/>
      <c r="Z667" s="1"/>
    </row>
    <row r="668" spans="1:26" ht="12.75" customHeight="1">
      <c r="A668" s="1"/>
      <c r="B668" s="10" t="str">
        <f ca="1">IFERROR(__xludf.DUMMYFUNCTION("""COMPUTED_VALUE"""),"CONSTRUCCIÓN DE REBAJE DE SOLERAS CON ACCESIBILIDAD UNIVERSAL SECTOR URBANO, ANDACOLLO")</f>
        <v>CONSTRUCCIÓN DE REBAJE DE SOLERAS CON ACCESIBILIDAD UNIVERSAL SECTOR URBANO, ANDACOLLO</v>
      </c>
      <c r="C668" s="10" t="str">
        <f ca="1">IFERROR(__xludf.DUMMYFUNCTION("""COMPUTED_VALUE"""),"1-B-2024-106")</f>
        <v>1-B-2024-106</v>
      </c>
      <c r="D668" s="26" t="str">
        <f t="shared" ca="1" si="0"/>
        <v xml:space="preserve"> ANDACOLLO</v>
      </c>
      <c r="E668" s="10" t="str">
        <f ca="1">IFERROR(__xludf.DUMMYFUNCTION("""COMPUTED_VALUE"""),"Guía Operativa")</f>
        <v>Guía Operativa</v>
      </c>
      <c r="F668" s="10" t="str">
        <f ca="1">IFERROR(__xludf.DUMMYFUNCTION("""COMPUTED_VALUE"""),"MUNICIPALIDAD DE ANDACOLLO")</f>
        <v>MUNICIPALIDAD DE ANDACOLLO</v>
      </c>
      <c r="G668" s="71">
        <f ca="1">IFERROR(__xludf.DUMMYFUNCTION("""COMPUTED_VALUE"""),111957195)</f>
        <v>111957195</v>
      </c>
      <c r="H668" s="10" t="str">
        <f ca="1">IFERROR(__xludf.DUMMYFUNCTION("""COMPUTED_VALUE"""),"Resolución")</f>
        <v>Resolución</v>
      </c>
      <c r="I668" s="10" t="str">
        <f ca="1">IFERROR(__xludf.DUMMYFUNCTION("""COMPUTED_VALUE"""),"OBRA")</f>
        <v>OBRA</v>
      </c>
      <c r="J668" s="10" t="str">
        <f ca="1">IFERROR(__xludf.DUMMYFUNCTION("""COMPUTED_VALUE"""),"Cumplir con normativa y reglamentos internos del programa en base a los objetivos.")</f>
        <v>Cumplir con normativa y reglamentos internos del programa en base a los objetivos.</v>
      </c>
      <c r="K668" s="71">
        <f ca="1">IFERROR(__xludf.DUMMYFUNCTION("""COMPUTED_VALUE"""),111957195)</f>
        <v>111957195</v>
      </c>
      <c r="L668" s="72">
        <f ca="1">IFERROR(__xludf.DUMMYFUNCTION("""COMPUTED_VALUE"""),1)</f>
        <v>1</v>
      </c>
      <c r="M668" s="10">
        <f ca="1">IFERROR(__xludf.DUMMYFUNCTION("""COMPUTED_VALUE"""),9136)</f>
        <v>9136</v>
      </c>
      <c r="N668" s="10" t="str">
        <f ca="1">IFERROR(__xludf.DUMMYFUNCTION("""COMPUTED_VALUE"""),"PMU")</f>
        <v>PMU</v>
      </c>
      <c r="O668" s="1"/>
      <c r="P668" s="1"/>
      <c r="Q668" s="1"/>
      <c r="R668" s="1"/>
      <c r="S668" s="1"/>
      <c r="T668" s="1"/>
      <c r="U668" s="1"/>
      <c r="V668" s="1"/>
      <c r="W668" s="1"/>
      <c r="X668" s="1"/>
      <c r="Y668" s="1"/>
      <c r="Z668" s="1"/>
    </row>
    <row r="669" spans="1:26" ht="12.75" customHeight="1">
      <c r="A669" s="1"/>
      <c r="B669" s="10" t="str">
        <f ca="1">IFERROR(__xludf.DUMMYFUNCTION("""COMPUTED_VALUE"""),"MEJORAMIENTO PLAZA NUEVO AMANECER MARQUESA, VICUÑA")</f>
        <v>MEJORAMIENTO PLAZA NUEVO AMANECER MARQUESA, VICUÑA</v>
      </c>
      <c r="C669" s="10" t="str">
        <f ca="1">IFERROR(__xludf.DUMMYFUNCTION("""COMPUTED_VALUE"""),"1-B-2024-107")</f>
        <v>1-B-2024-107</v>
      </c>
      <c r="D669" s="26" t="str">
        <f t="shared" ca="1" si="0"/>
        <v xml:space="preserve"> VICUÑA</v>
      </c>
      <c r="E669" s="10" t="str">
        <f ca="1">IFERROR(__xludf.DUMMYFUNCTION("""COMPUTED_VALUE"""),"Guía Operativa")</f>
        <v>Guía Operativa</v>
      </c>
      <c r="F669" s="10" t="str">
        <f ca="1">IFERROR(__xludf.DUMMYFUNCTION("""COMPUTED_VALUE"""),"MUNICIPALIDAD DE VICUÑA")</f>
        <v>MUNICIPALIDAD DE VICUÑA</v>
      </c>
      <c r="G669" s="71">
        <f ca="1">IFERROR(__xludf.DUMMYFUNCTION("""COMPUTED_VALUE"""),130662376)</f>
        <v>130662376</v>
      </c>
      <c r="H669" s="10" t="str">
        <f ca="1">IFERROR(__xludf.DUMMYFUNCTION("""COMPUTED_VALUE"""),"Resolución")</f>
        <v>Resolución</v>
      </c>
      <c r="I669" s="10" t="str">
        <f ca="1">IFERROR(__xludf.DUMMYFUNCTION("""COMPUTED_VALUE"""),"OBRA")</f>
        <v>OBRA</v>
      </c>
      <c r="J669" s="10" t="str">
        <f ca="1">IFERROR(__xludf.DUMMYFUNCTION("""COMPUTED_VALUE"""),"Cumplir con normativa y reglamentos internos del programa en base a los objetivos.")</f>
        <v>Cumplir con normativa y reglamentos internos del programa en base a los objetivos.</v>
      </c>
      <c r="K669" s="71">
        <f ca="1">IFERROR(__xludf.DUMMYFUNCTION("""COMPUTED_VALUE"""),130662376)</f>
        <v>130662376</v>
      </c>
      <c r="L669" s="72">
        <f ca="1">IFERROR(__xludf.DUMMYFUNCTION("""COMPUTED_VALUE"""),1)</f>
        <v>1</v>
      </c>
      <c r="M669" s="10">
        <f ca="1">IFERROR(__xludf.DUMMYFUNCTION("""COMPUTED_VALUE"""),9617)</f>
        <v>9617</v>
      </c>
      <c r="N669" s="10" t="str">
        <f ca="1">IFERROR(__xludf.DUMMYFUNCTION("""COMPUTED_VALUE"""),"PMU")</f>
        <v>PMU</v>
      </c>
      <c r="O669" s="1"/>
      <c r="P669" s="1"/>
      <c r="Q669" s="1"/>
      <c r="R669" s="1"/>
      <c r="S669" s="1"/>
      <c r="T669" s="1"/>
      <c r="U669" s="1"/>
      <c r="V669" s="1"/>
      <c r="W669" s="1"/>
      <c r="X669" s="1"/>
      <c r="Y669" s="1"/>
      <c r="Z669" s="1"/>
    </row>
    <row r="670" spans="1:26" ht="12.75" customHeight="1">
      <c r="A670" s="1"/>
      <c r="B670" s="10" t="str">
        <f ca="1">IFERROR(__xludf.DUMMYFUNCTION("""COMPUTED_VALUE"""),"CONSTRUCCIÓN DE RESALTOS REDUCTORES DE VELOCIDAD Y DEMARCACIÓN VIAL CHALINGA Y SALAMANCA")</f>
        <v>CONSTRUCCIÓN DE RESALTOS REDUCTORES DE VELOCIDAD Y DEMARCACIÓN VIAL CHALINGA Y SALAMANCA</v>
      </c>
      <c r="C670" s="10" t="str">
        <f ca="1">IFERROR(__xludf.DUMMYFUNCTION("""COMPUTED_VALUE"""),"1-B-2024-112")</f>
        <v>1-B-2024-112</v>
      </c>
      <c r="D670" s="26" t="str">
        <f t="shared" ca="1" si="0"/>
        <v xml:space="preserve"> SALAMANCA</v>
      </c>
      <c r="E670" s="10" t="str">
        <f ca="1">IFERROR(__xludf.DUMMYFUNCTION("""COMPUTED_VALUE"""),"Guía Operativa")</f>
        <v>Guía Operativa</v>
      </c>
      <c r="F670" s="10" t="str">
        <f ca="1">IFERROR(__xludf.DUMMYFUNCTION("""COMPUTED_VALUE"""),"MUNICIPALIDAD DE SALAMANCA")</f>
        <v>MUNICIPALIDAD DE SALAMANCA</v>
      </c>
      <c r="G670" s="71">
        <f ca="1">IFERROR(__xludf.DUMMYFUNCTION("""COMPUTED_VALUE"""),133215924)</f>
        <v>133215924</v>
      </c>
      <c r="H670" s="10" t="str">
        <f ca="1">IFERROR(__xludf.DUMMYFUNCTION("""COMPUTED_VALUE"""),"Resolución")</f>
        <v>Resolución</v>
      </c>
      <c r="I670" s="10" t="str">
        <f ca="1">IFERROR(__xludf.DUMMYFUNCTION("""COMPUTED_VALUE"""),"OBRA")</f>
        <v>OBRA</v>
      </c>
      <c r="J670" s="10" t="str">
        <f ca="1">IFERROR(__xludf.DUMMYFUNCTION("""COMPUTED_VALUE"""),"Cumplir con normativa y reglamentos internos del programa en base a los objetivos.")</f>
        <v>Cumplir con normativa y reglamentos internos del programa en base a los objetivos.</v>
      </c>
      <c r="K670" s="71">
        <f ca="1">IFERROR(__xludf.DUMMYFUNCTION("""COMPUTED_VALUE"""),133215924)</f>
        <v>133215924</v>
      </c>
      <c r="L670" s="72">
        <f ca="1">IFERROR(__xludf.DUMMYFUNCTION("""COMPUTED_VALUE"""),1)</f>
        <v>1</v>
      </c>
      <c r="M670" s="10">
        <f ca="1">IFERROR(__xludf.DUMMYFUNCTION("""COMPUTED_VALUE"""),9371)</f>
        <v>9371</v>
      </c>
      <c r="N670" s="10" t="str">
        <f ca="1">IFERROR(__xludf.DUMMYFUNCTION("""COMPUTED_VALUE"""),"PMU")</f>
        <v>PMU</v>
      </c>
      <c r="O670" s="1"/>
      <c r="P670" s="1"/>
      <c r="Q670" s="1"/>
      <c r="R670" s="1"/>
      <c r="S670" s="1"/>
      <c r="T670" s="1"/>
      <c r="U670" s="1"/>
      <c r="V670" s="1"/>
      <c r="W670" s="1"/>
      <c r="X670" s="1"/>
      <c r="Y670" s="1"/>
      <c r="Z670" s="1"/>
    </row>
    <row r="671" spans="1:26" ht="12.75" customHeight="1">
      <c r="A671" s="1"/>
      <c r="B671" s="10" t="str">
        <f ca="1">IFERROR(__xludf.DUMMYFUNCTION("""COMPUTED_VALUE"""),"CONSTRUCCION CIRCUITO DE CALISTENIA EN EL PARQUE MUNICIPAL , COMUNA DE LA CALERA")</f>
        <v>CONSTRUCCION CIRCUITO DE CALISTENIA EN EL PARQUE MUNICIPAL , COMUNA DE LA CALERA</v>
      </c>
      <c r="C671" s="10" t="str">
        <f ca="1">IFERROR(__xludf.DUMMYFUNCTION("""COMPUTED_VALUE"""),"1-B-2024-38")</f>
        <v>1-B-2024-38</v>
      </c>
      <c r="D671" s="26" t="str">
        <f t="shared" ca="1" si="0"/>
        <v xml:space="preserve"> CALERA</v>
      </c>
      <c r="E671" s="10" t="str">
        <f ca="1">IFERROR(__xludf.DUMMYFUNCTION("""COMPUTED_VALUE"""),"Guía Operativa")</f>
        <v>Guía Operativa</v>
      </c>
      <c r="F671" s="10" t="str">
        <f ca="1">IFERROR(__xludf.DUMMYFUNCTION("""COMPUTED_VALUE"""),"MUNICIPALIDAD DE CALERA")</f>
        <v>MUNICIPALIDAD DE CALERA</v>
      </c>
      <c r="G671" s="71">
        <f ca="1">IFERROR(__xludf.DUMMYFUNCTION("""COMPUTED_VALUE"""),124309138)</f>
        <v>124309138</v>
      </c>
      <c r="H671" s="10" t="str">
        <f ca="1">IFERROR(__xludf.DUMMYFUNCTION("""COMPUTED_VALUE"""),"Resolución")</f>
        <v>Resolución</v>
      </c>
      <c r="I671" s="10" t="str">
        <f ca="1">IFERROR(__xludf.DUMMYFUNCTION("""COMPUTED_VALUE"""),"OBRA")</f>
        <v>OBRA</v>
      </c>
      <c r="J671" s="10" t="str">
        <f ca="1">IFERROR(__xludf.DUMMYFUNCTION("""COMPUTED_VALUE"""),"Cumplir con normativa y reglamentos internos del programa en base a los objetivos.")</f>
        <v>Cumplir con normativa y reglamentos internos del programa en base a los objetivos.</v>
      </c>
      <c r="K671" s="71">
        <f ca="1">IFERROR(__xludf.DUMMYFUNCTION("""COMPUTED_VALUE"""),124309138)</f>
        <v>124309138</v>
      </c>
      <c r="L671" s="72">
        <f ca="1">IFERROR(__xludf.DUMMYFUNCTION("""COMPUTED_VALUE"""),1)</f>
        <v>1</v>
      </c>
      <c r="M671" s="10">
        <f ca="1">IFERROR(__xludf.DUMMYFUNCTION("""COMPUTED_VALUE"""),9092)</f>
        <v>9092</v>
      </c>
      <c r="N671" s="10" t="str">
        <f ca="1">IFERROR(__xludf.DUMMYFUNCTION("""COMPUTED_VALUE"""),"PMU")</f>
        <v>PMU</v>
      </c>
      <c r="O671" s="1"/>
      <c r="P671" s="1"/>
      <c r="Q671" s="1"/>
      <c r="R671" s="1"/>
      <c r="S671" s="1"/>
      <c r="T671" s="1"/>
      <c r="U671" s="1"/>
      <c r="V671" s="1"/>
      <c r="W671" s="1"/>
      <c r="X671" s="1"/>
      <c r="Y671" s="1"/>
      <c r="Z671" s="1"/>
    </row>
    <row r="672" spans="1:26" ht="12.75" customHeight="1">
      <c r="A672" s="1"/>
      <c r="B672" s="10" t="str">
        <f ca="1">IFERROR(__xludf.DUMMYFUNCTION("""COMPUTED_VALUE"""),"CONSTRUCCIÓN MULTICANCHA Y CANCHA DE RAYUELA LOS PERALES, CABILDO")</f>
        <v>CONSTRUCCIÓN MULTICANCHA Y CANCHA DE RAYUELA LOS PERALES, CABILDO</v>
      </c>
      <c r="C672" s="10" t="str">
        <f ca="1">IFERROR(__xludf.DUMMYFUNCTION("""COMPUTED_VALUE"""),"1-B-2024-50")</f>
        <v>1-B-2024-50</v>
      </c>
      <c r="D672" s="26" t="str">
        <f t="shared" ca="1" si="0"/>
        <v xml:space="preserve"> CABILDO</v>
      </c>
      <c r="E672" s="10" t="str">
        <f ca="1">IFERROR(__xludf.DUMMYFUNCTION("""COMPUTED_VALUE"""),"Guía Operativa")</f>
        <v>Guía Operativa</v>
      </c>
      <c r="F672" s="10" t="str">
        <f ca="1">IFERROR(__xludf.DUMMYFUNCTION("""COMPUTED_VALUE"""),"MUNICIPALIDAD DE CABILDO")</f>
        <v>MUNICIPALIDAD DE CABILDO</v>
      </c>
      <c r="G672" s="71">
        <f ca="1">IFERROR(__xludf.DUMMYFUNCTION("""COMPUTED_VALUE"""),111380695)</f>
        <v>111380695</v>
      </c>
      <c r="H672" s="10" t="str">
        <f ca="1">IFERROR(__xludf.DUMMYFUNCTION("""COMPUTED_VALUE"""),"Resolución")</f>
        <v>Resolución</v>
      </c>
      <c r="I672" s="10" t="str">
        <f ca="1">IFERROR(__xludf.DUMMYFUNCTION("""COMPUTED_VALUE"""),"OBRA")</f>
        <v>OBRA</v>
      </c>
      <c r="J672" s="10" t="str">
        <f ca="1">IFERROR(__xludf.DUMMYFUNCTION("""COMPUTED_VALUE"""),"Cumplir con normativa y reglamentos internos del programa en base a los objetivos.")</f>
        <v>Cumplir con normativa y reglamentos internos del programa en base a los objetivos.</v>
      </c>
      <c r="K672" s="71">
        <f ca="1">IFERROR(__xludf.DUMMYFUNCTION("""COMPUTED_VALUE"""),111380695)</f>
        <v>111380695</v>
      </c>
      <c r="L672" s="72">
        <f ca="1">IFERROR(__xludf.DUMMYFUNCTION("""COMPUTED_VALUE"""),1)</f>
        <v>1</v>
      </c>
      <c r="M672" s="10">
        <f ca="1">IFERROR(__xludf.DUMMYFUNCTION("""COMPUTED_VALUE"""),9375)</f>
        <v>9375</v>
      </c>
      <c r="N672" s="10" t="str">
        <f ca="1">IFERROR(__xludf.DUMMYFUNCTION("""COMPUTED_VALUE"""),"PMU")</f>
        <v>PMU</v>
      </c>
      <c r="O672" s="1"/>
      <c r="P672" s="1"/>
      <c r="Q672" s="1"/>
      <c r="R672" s="1"/>
      <c r="S672" s="1"/>
      <c r="T672" s="1"/>
      <c r="U672" s="1"/>
      <c r="V672" s="1"/>
      <c r="W672" s="1"/>
      <c r="X672" s="1"/>
      <c r="Y672" s="1"/>
      <c r="Z672" s="1"/>
    </row>
    <row r="673" spans="1:26" ht="12.75" customHeight="1">
      <c r="A673" s="1"/>
      <c r="B673" s="10" t="str">
        <f ca="1">IFERROR(__xludf.DUMMYFUNCTION("""COMPUTED_VALUE"""),"MEJORAMIENTO MULTICANCHA Y ENTORNO EL OCASO ALTO, BELLOTO SUR, QUILPUÉ")</f>
        <v>MEJORAMIENTO MULTICANCHA Y ENTORNO EL OCASO ALTO, BELLOTO SUR, QUILPUÉ</v>
      </c>
      <c r="C673" s="10" t="str">
        <f ca="1">IFERROR(__xludf.DUMMYFUNCTION("""COMPUTED_VALUE"""),"1-B-2024-60")</f>
        <v>1-B-2024-60</v>
      </c>
      <c r="D673" s="26" t="str">
        <f t="shared" ca="1" si="0"/>
        <v xml:space="preserve"> QUILPUÉ</v>
      </c>
      <c r="E673" s="10" t="str">
        <f ca="1">IFERROR(__xludf.DUMMYFUNCTION("""COMPUTED_VALUE"""),"Guía Operativa")</f>
        <v>Guía Operativa</v>
      </c>
      <c r="F673" s="10" t="str">
        <f ca="1">IFERROR(__xludf.DUMMYFUNCTION("""COMPUTED_VALUE"""),"MUNICIPALIDAD DE QUILPUÉ")</f>
        <v>MUNICIPALIDAD DE QUILPUÉ</v>
      </c>
      <c r="G673" s="71">
        <f ca="1">IFERROR(__xludf.DUMMYFUNCTION("""COMPUTED_VALUE"""),145336036)</f>
        <v>145336036</v>
      </c>
      <c r="H673" s="10" t="str">
        <f ca="1">IFERROR(__xludf.DUMMYFUNCTION("""COMPUTED_VALUE"""),"Resolución")</f>
        <v>Resolución</v>
      </c>
      <c r="I673" s="10" t="str">
        <f ca="1">IFERROR(__xludf.DUMMYFUNCTION("""COMPUTED_VALUE"""),"OBRA")</f>
        <v>OBRA</v>
      </c>
      <c r="J673" s="10" t="str">
        <f ca="1">IFERROR(__xludf.DUMMYFUNCTION("""COMPUTED_VALUE"""),"Cumplir con normativa y reglamentos internos del programa en base a los objetivos.")</f>
        <v>Cumplir con normativa y reglamentos internos del programa en base a los objetivos.</v>
      </c>
      <c r="K673" s="71">
        <f ca="1">IFERROR(__xludf.DUMMYFUNCTION("""COMPUTED_VALUE"""),145336036)</f>
        <v>145336036</v>
      </c>
      <c r="L673" s="72">
        <f ca="1">IFERROR(__xludf.DUMMYFUNCTION("""COMPUTED_VALUE"""),1)</f>
        <v>1</v>
      </c>
      <c r="M673" s="10">
        <f ca="1">IFERROR(__xludf.DUMMYFUNCTION("""COMPUTED_VALUE"""),9352)</f>
        <v>9352</v>
      </c>
      <c r="N673" s="10" t="str">
        <f ca="1">IFERROR(__xludf.DUMMYFUNCTION("""COMPUTED_VALUE"""),"PMU")</f>
        <v>PMU</v>
      </c>
      <c r="O673" s="1"/>
      <c r="P673" s="1"/>
      <c r="Q673" s="1"/>
      <c r="R673" s="1"/>
      <c r="S673" s="1"/>
      <c r="T673" s="1"/>
      <c r="U673" s="1"/>
      <c r="V673" s="1"/>
      <c r="W673" s="1"/>
      <c r="X673" s="1"/>
      <c r="Y673" s="1"/>
      <c r="Z673" s="1"/>
    </row>
    <row r="674" spans="1:26" ht="12.75" customHeight="1">
      <c r="A674" s="1"/>
      <c r="B674" s="10" t="str">
        <f ca="1">IFERROR(__xludf.DUMMYFUNCTION("""COMPUTED_VALUE"""),"MEJORAMIENTO PAVIMENTOS POBLACIÓN DIEGO PORTALES, COMUNA DE QUILLOTA")</f>
        <v>MEJORAMIENTO PAVIMENTOS POBLACIÓN DIEGO PORTALES, COMUNA DE QUILLOTA</v>
      </c>
      <c r="C674" s="10" t="str">
        <f ca="1">IFERROR(__xludf.DUMMYFUNCTION("""COMPUTED_VALUE"""),"1-B-2024-252")</f>
        <v>1-B-2024-252</v>
      </c>
      <c r="D674" s="26" t="str">
        <f t="shared" ca="1" si="0"/>
        <v xml:space="preserve"> QUILLOTA</v>
      </c>
      <c r="E674" s="10" t="str">
        <f ca="1">IFERROR(__xludf.DUMMYFUNCTION("""COMPUTED_VALUE"""),"Guía Operativa")</f>
        <v>Guía Operativa</v>
      </c>
      <c r="F674" s="10" t="str">
        <f ca="1">IFERROR(__xludf.DUMMYFUNCTION("""COMPUTED_VALUE"""),"MUNICIPALIDAD DE QUILLOTA")</f>
        <v>MUNICIPALIDAD DE QUILLOTA</v>
      </c>
      <c r="G674" s="71">
        <f ca="1">IFERROR(__xludf.DUMMYFUNCTION("""COMPUTED_VALUE"""),127549918)</f>
        <v>127549918</v>
      </c>
      <c r="H674" s="10" t="str">
        <f ca="1">IFERROR(__xludf.DUMMYFUNCTION("""COMPUTED_VALUE"""),"Resolución")</f>
        <v>Resolución</v>
      </c>
      <c r="I674" s="10" t="str">
        <f ca="1">IFERROR(__xludf.DUMMYFUNCTION("""COMPUTED_VALUE"""),"OBRA")</f>
        <v>OBRA</v>
      </c>
      <c r="J674" s="10" t="str">
        <f ca="1">IFERROR(__xludf.DUMMYFUNCTION("""COMPUTED_VALUE"""),"Cumplir con normativa y reglamentos internos del programa en base a los objetivos.")</f>
        <v>Cumplir con normativa y reglamentos internos del programa en base a los objetivos.</v>
      </c>
      <c r="K674" s="71">
        <f ca="1">IFERROR(__xludf.DUMMYFUNCTION("""COMPUTED_VALUE"""),127549918)</f>
        <v>127549918</v>
      </c>
      <c r="L674" s="72">
        <f ca="1">IFERROR(__xludf.DUMMYFUNCTION("""COMPUTED_VALUE"""),1)</f>
        <v>1</v>
      </c>
      <c r="M674" s="10">
        <f ca="1">IFERROR(__xludf.DUMMYFUNCTION("""COMPUTED_VALUE"""),9189)</f>
        <v>9189</v>
      </c>
      <c r="N674" s="10" t="str">
        <f ca="1">IFERROR(__xludf.DUMMYFUNCTION("""COMPUTED_VALUE"""),"PMU")</f>
        <v>PMU</v>
      </c>
      <c r="O674" s="1"/>
      <c r="P674" s="1"/>
      <c r="Q674" s="1"/>
      <c r="R674" s="1"/>
      <c r="S674" s="1"/>
      <c r="T674" s="1"/>
      <c r="U674" s="1"/>
      <c r="V674" s="1"/>
      <c r="W674" s="1"/>
      <c r="X674" s="1"/>
      <c r="Y674" s="1"/>
      <c r="Z674" s="1"/>
    </row>
    <row r="675" spans="1:26" ht="12.75" customHeight="1">
      <c r="A675" s="1"/>
      <c r="B675" s="10" t="str">
        <f ca="1">IFERROR(__xludf.DUMMYFUNCTION("""COMPUTED_VALUE"""),"CONSTRUCCION SEDE COMUNITARIA CONDORES DE CHILE ETAPA II")</f>
        <v>CONSTRUCCION SEDE COMUNITARIA CONDORES DE CHILE ETAPA II</v>
      </c>
      <c r="C675" s="10" t="str">
        <f ca="1">IFERROR(__xludf.DUMMYFUNCTION("""COMPUTED_VALUE"""),"1-C-2022-537")</f>
        <v>1-C-2022-537</v>
      </c>
      <c r="D675" s="26" t="str">
        <f t="shared" ca="1" si="0"/>
        <v xml:space="preserve"> NANCAGUA</v>
      </c>
      <c r="E675" s="10" t="str">
        <f ca="1">IFERROR(__xludf.DUMMYFUNCTION("""COMPUTED_VALUE"""),"Guía Operativa")</f>
        <v>Guía Operativa</v>
      </c>
      <c r="F675" s="10" t="str">
        <f ca="1">IFERROR(__xludf.DUMMYFUNCTION("""COMPUTED_VALUE"""),"MUNICIPALIDAD DE NANCAGUA")</f>
        <v>MUNICIPALIDAD DE NANCAGUA</v>
      </c>
      <c r="G675" s="71">
        <f ca="1">IFERROR(__xludf.DUMMYFUNCTION("""COMPUTED_VALUE"""),97485910)</f>
        <v>97485910</v>
      </c>
      <c r="H675" s="10" t="str">
        <f ca="1">IFERROR(__xludf.DUMMYFUNCTION("""COMPUTED_VALUE"""),"Resolución")</f>
        <v>Resolución</v>
      </c>
      <c r="I675" s="10" t="str">
        <f ca="1">IFERROR(__xludf.DUMMYFUNCTION("""COMPUTED_VALUE"""),"OBRA")</f>
        <v>OBRA</v>
      </c>
      <c r="J675" s="10" t="str">
        <f ca="1">IFERROR(__xludf.DUMMYFUNCTION("""COMPUTED_VALUE"""),"Cumplir con normativa y reglamentos internos del programa en base a los objetivos.")</f>
        <v>Cumplir con normativa y reglamentos internos del programa en base a los objetivos.</v>
      </c>
      <c r="K675" s="71">
        <f ca="1">IFERROR(__xludf.DUMMYFUNCTION("""COMPUTED_VALUE"""),19136209)</f>
        <v>19136209</v>
      </c>
      <c r="L675" s="72">
        <f ca="1">IFERROR(__xludf.DUMMYFUNCTION("""COMPUTED_VALUE"""),0.965536547794445)</f>
        <v>0.96553654779444498</v>
      </c>
      <c r="M675" s="10">
        <f ca="1">IFERROR(__xludf.DUMMYFUNCTION("""COMPUTED_VALUE"""),9610)</f>
        <v>9610</v>
      </c>
      <c r="N675" s="10" t="str">
        <f ca="1">IFERROR(__xludf.DUMMYFUNCTION("""COMPUTED_VALUE"""),"PMU")</f>
        <v>PMU</v>
      </c>
      <c r="O675" s="1"/>
      <c r="P675" s="1"/>
      <c r="Q675" s="1"/>
      <c r="R675" s="1"/>
      <c r="S675" s="1"/>
      <c r="T675" s="1"/>
      <c r="U675" s="1"/>
      <c r="V675" s="1"/>
      <c r="W675" s="1"/>
      <c r="X675" s="1"/>
      <c r="Y675" s="1"/>
      <c r="Z675" s="1"/>
    </row>
    <row r="676" spans="1:26" ht="12.75" customHeight="1">
      <c r="A676" s="1"/>
      <c r="B676" s="10" t="str">
        <f ca="1">IFERROR(__xludf.DUMMYFUNCTION("""COMPUTED_VALUE"""),"REPOSICIÓN DE PASARELA PEATONAL EN PASAJE 10, POBLACIÓN OSCAR BONILLA")</f>
        <v>REPOSICIÓN DE PASARELA PEATONAL EN PASAJE 10, POBLACIÓN OSCAR BONILLA</v>
      </c>
      <c r="C676" s="10" t="str">
        <f ca="1">IFERROR(__xludf.DUMMYFUNCTION("""COMPUTED_VALUE"""),"1-C-2023-3067")</f>
        <v>1-C-2023-3067</v>
      </c>
      <c r="D676" s="26" t="str">
        <f t="shared" ca="1" si="0"/>
        <v xml:space="preserve"> RANCAGUA</v>
      </c>
      <c r="E676" s="10" t="str">
        <f ca="1">IFERROR(__xludf.DUMMYFUNCTION("""COMPUTED_VALUE"""),"Guía Operativa")</f>
        <v>Guía Operativa</v>
      </c>
      <c r="F676" s="10" t="str">
        <f ca="1">IFERROR(__xludf.DUMMYFUNCTION("""COMPUTED_VALUE"""),"MUNICIPALIDAD DE RANCAGUA")</f>
        <v>MUNICIPALIDAD DE RANCAGUA</v>
      </c>
      <c r="G676" s="71">
        <f ca="1">IFERROR(__xludf.DUMMYFUNCTION("""COMPUTED_VALUE"""),112036730)</f>
        <v>112036730</v>
      </c>
      <c r="H676" s="10" t="str">
        <f ca="1">IFERROR(__xludf.DUMMYFUNCTION("""COMPUTED_VALUE"""),"Resolución")</f>
        <v>Resolución</v>
      </c>
      <c r="I676" s="10" t="str">
        <f ca="1">IFERROR(__xludf.DUMMYFUNCTION("""COMPUTED_VALUE"""),"OBRA")</f>
        <v>OBRA</v>
      </c>
      <c r="J676" s="10" t="str">
        <f ca="1">IFERROR(__xludf.DUMMYFUNCTION("""COMPUTED_VALUE"""),"Cumplir con normativa y reglamentos internos del programa en base a los objetivos.")</f>
        <v>Cumplir con normativa y reglamentos internos del programa en base a los objetivos.</v>
      </c>
      <c r="K676" s="71">
        <f ca="1">IFERROR(__xludf.DUMMYFUNCTION("""COMPUTED_VALUE"""),56018365)</f>
        <v>56018365</v>
      </c>
      <c r="L676" s="72">
        <f ca="1">IFERROR(__xludf.DUMMYFUNCTION("""COMPUTED_VALUE"""),0.5)</f>
        <v>0.5</v>
      </c>
      <c r="M676" s="10">
        <f ca="1">IFERROR(__xludf.DUMMYFUNCTION("""COMPUTED_VALUE"""),8638)</f>
        <v>8638</v>
      </c>
      <c r="N676" s="10" t="str">
        <f ca="1">IFERROR(__xludf.DUMMYFUNCTION("""COMPUTED_VALUE"""),"PMU")</f>
        <v>PMU</v>
      </c>
      <c r="O676" s="1"/>
      <c r="P676" s="1"/>
      <c r="Q676" s="1"/>
      <c r="R676" s="1"/>
      <c r="S676" s="1"/>
      <c r="T676" s="1"/>
      <c r="U676" s="1"/>
      <c r="V676" s="1"/>
      <c r="W676" s="1"/>
      <c r="X676" s="1"/>
      <c r="Y676" s="1"/>
      <c r="Z676" s="1"/>
    </row>
    <row r="677" spans="1:26" ht="12.75" customHeight="1">
      <c r="A677" s="1"/>
      <c r="B677" s="10" t="str">
        <f ca="1">IFERROR(__xludf.DUMMYFUNCTION("""COMPUTED_VALUE"""),"MEJORAMIENTO CAMINO ALGARROBO SAN VICENTE DE TAGUA TAGUA")</f>
        <v>MEJORAMIENTO CAMINO ALGARROBO SAN VICENTE DE TAGUA TAGUA</v>
      </c>
      <c r="C677" s="10" t="str">
        <f ca="1">IFERROR(__xludf.DUMMYFUNCTION("""COMPUTED_VALUE"""),"1-B-2024-332")</f>
        <v>1-B-2024-332</v>
      </c>
      <c r="D677" s="26" t="str">
        <f t="shared" ca="1" si="0"/>
        <v xml:space="preserve"> SAN VICENTE</v>
      </c>
      <c r="E677" s="10" t="str">
        <f ca="1">IFERROR(__xludf.DUMMYFUNCTION("""COMPUTED_VALUE"""),"Guía Operativa")</f>
        <v>Guía Operativa</v>
      </c>
      <c r="F677" s="10" t="str">
        <f ca="1">IFERROR(__xludf.DUMMYFUNCTION("""COMPUTED_VALUE"""),"MUNICIPALIDAD DE SAN VICENTE")</f>
        <v>MUNICIPALIDAD DE SAN VICENTE</v>
      </c>
      <c r="G677" s="71">
        <f ca="1">IFERROR(__xludf.DUMMYFUNCTION("""COMPUTED_VALUE"""),99920826)</f>
        <v>99920826</v>
      </c>
      <c r="H677" s="10" t="str">
        <f ca="1">IFERROR(__xludf.DUMMYFUNCTION("""COMPUTED_VALUE"""),"Resolución")</f>
        <v>Resolución</v>
      </c>
      <c r="I677" s="10" t="str">
        <f ca="1">IFERROR(__xludf.DUMMYFUNCTION("""COMPUTED_VALUE"""),"OBRA")</f>
        <v>OBRA</v>
      </c>
      <c r="J677" s="10" t="str">
        <f ca="1">IFERROR(__xludf.DUMMYFUNCTION("""COMPUTED_VALUE"""),"Cumplir con normativa y reglamentos internos del programa en base a los objetivos.")</f>
        <v>Cumplir con normativa y reglamentos internos del programa en base a los objetivos.</v>
      </c>
      <c r="K677" s="71">
        <f ca="1">IFERROR(__xludf.DUMMYFUNCTION("""COMPUTED_VALUE"""),99920826)</f>
        <v>99920826</v>
      </c>
      <c r="L677" s="72">
        <f ca="1">IFERROR(__xludf.DUMMYFUNCTION("""COMPUTED_VALUE"""),1)</f>
        <v>1</v>
      </c>
      <c r="M677" s="10">
        <f ca="1">IFERROR(__xludf.DUMMYFUNCTION("""COMPUTED_VALUE"""),9426)</f>
        <v>9426</v>
      </c>
      <c r="N677" s="10" t="str">
        <f ca="1">IFERROR(__xludf.DUMMYFUNCTION("""COMPUTED_VALUE"""),"PMU")</f>
        <v>PMU</v>
      </c>
      <c r="O677" s="1"/>
      <c r="P677" s="1"/>
      <c r="Q677" s="1"/>
      <c r="R677" s="1"/>
      <c r="S677" s="1"/>
      <c r="T677" s="1"/>
      <c r="U677" s="1"/>
      <c r="V677" s="1"/>
      <c r="W677" s="1"/>
      <c r="X677" s="1"/>
      <c r="Y677" s="1"/>
      <c r="Z677" s="1"/>
    </row>
    <row r="678" spans="1:26" ht="12.75" customHeight="1">
      <c r="A678" s="1"/>
      <c r="B678" s="10" t="str">
        <f ca="1">IFERROR(__xludf.DUMMYFUNCTION("""COMPUTED_VALUE"""),"MEJORAMIENTO PLAZA CORVI, COMUNA SANTA CRUZ")</f>
        <v>MEJORAMIENTO PLAZA CORVI, COMUNA SANTA CRUZ</v>
      </c>
      <c r="C678" s="10" t="str">
        <f ca="1">IFERROR(__xludf.DUMMYFUNCTION("""COMPUTED_VALUE"""),"1-B-2024-336")</f>
        <v>1-B-2024-336</v>
      </c>
      <c r="D678" s="26" t="str">
        <f t="shared" ca="1" si="0"/>
        <v xml:space="preserve"> SANTA CRUZ</v>
      </c>
      <c r="E678" s="10" t="str">
        <f ca="1">IFERROR(__xludf.DUMMYFUNCTION("""COMPUTED_VALUE"""),"Guía Operativa")</f>
        <v>Guía Operativa</v>
      </c>
      <c r="F678" s="10" t="str">
        <f ca="1">IFERROR(__xludf.DUMMYFUNCTION("""COMPUTED_VALUE"""),"MUNICIPALIDAD DE SANTA CRUZ")</f>
        <v>MUNICIPALIDAD DE SANTA CRUZ</v>
      </c>
      <c r="G678" s="71">
        <f ca="1">IFERROR(__xludf.DUMMYFUNCTION("""COMPUTED_VALUE"""),72800868)</f>
        <v>72800868</v>
      </c>
      <c r="H678" s="10" t="str">
        <f ca="1">IFERROR(__xludf.DUMMYFUNCTION("""COMPUTED_VALUE"""),"Resolución")</f>
        <v>Resolución</v>
      </c>
      <c r="I678" s="10" t="str">
        <f ca="1">IFERROR(__xludf.DUMMYFUNCTION("""COMPUTED_VALUE"""),"OBRA")</f>
        <v>OBRA</v>
      </c>
      <c r="J678" s="10" t="str">
        <f ca="1">IFERROR(__xludf.DUMMYFUNCTION("""COMPUTED_VALUE"""),"Cumplir con normativa y reglamentos internos del programa en base a los objetivos.")</f>
        <v>Cumplir con normativa y reglamentos internos del programa en base a los objetivos.</v>
      </c>
      <c r="K678" s="71">
        <f ca="1">IFERROR(__xludf.DUMMYFUNCTION("""COMPUTED_VALUE"""),72800868)</f>
        <v>72800868</v>
      </c>
      <c r="L678" s="72">
        <f ca="1">IFERROR(__xludf.DUMMYFUNCTION("""COMPUTED_VALUE"""),1)</f>
        <v>1</v>
      </c>
      <c r="M678" s="10">
        <f ca="1">IFERROR(__xludf.DUMMYFUNCTION("""COMPUTED_VALUE"""),9086)</f>
        <v>9086</v>
      </c>
      <c r="N678" s="10" t="str">
        <f ca="1">IFERROR(__xludf.DUMMYFUNCTION("""COMPUTED_VALUE"""),"PMU")</f>
        <v>PMU</v>
      </c>
      <c r="O678" s="1"/>
      <c r="P678" s="1"/>
      <c r="Q678" s="1"/>
      <c r="R678" s="1"/>
      <c r="S678" s="1"/>
      <c r="T678" s="1"/>
      <c r="U678" s="1"/>
      <c r="V678" s="1"/>
      <c r="W678" s="1"/>
      <c r="X678" s="1"/>
      <c r="Y678" s="1"/>
      <c r="Z678" s="1"/>
    </row>
    <row r="679" spans="1:26" ht="12.75" customHeight="1">
      <c r="A679" s="1"/>
      <c r="B679" s="10" t="str">
        <f ca="1">IFERROR(__xludf.DUMMYFUNCTION("""COMPUTED_VALUE"""),"CONSTRUCCION SEDE SOCIAL SANTA ROSA DE LAVADERO, COMUNA MAULE")</f>
        <v>CONSTRUCCION SEDE SOCIAL SANTA ROSA DE LAVADERO, COMUNA MAULE</v>
      </c>
      <c r="C679" s="10" t="str">
        <f ca="1">IFERROR(__xludf.DUMMYFUNCTION("""COMPUTED_VALUE"""),"1-C-2020-1407 [CHA]")</f>
        <v>1-C-2020-1407 [CHA]</v>
      </c>
      <c r="D679" s="26" t="str">
        <f t="shared" ca="1" si="0"/>
        <v xml:space="preserve"> MAULE</v>
      </c>
      <c r="E679" s="10" t="str">
        <f ca="1">IFERROR(__xludf.DUMMYFUNCTION("""COMPUTED_VALUE"""),"Guía Operativa")</f>
        <v>Guía Operativa</v>
      </c>
      <c r="F679" s="10" t="str">
        <f ca="1">IFERROR(__xludf.DUMMYFUNCTION("""COMPUTED_VALUE"""),"MUNICIPALIDAD DE MAULE")</f>
        <v>MUNICIPALIDAD DE MAULE</v>
      </c>
      <c r="G679" s="71">
        <f ca="1">IFERROR(__xludf.DUMMYFUNCTION("""COMPUTED_VALUE"""),94380983)</f>
        <v>94380983</v>
      </c>
      <c r="H679" s="10" t="str">
        <f ca="1">IFERROR(__xludf.DUMMYFUNCTION("""COMPUTED_VALUE"""),"Resolución")</f>
        <v>Resolución</v>
      </c>
      <c r="I679" s="10" t="str">
        <f ca="1">IFERROR(__xludf.DUMMYFUNCTION("""COMPUTED_VALUE"""),"OBRA")</f>
        <v>OBRA</v>
      </c>
      <c r="J679" s="10" t="str">
        <f ca="1">IFERROR(__xludf.DUMMYFUNCTION("""COMPUTED_VALUE"""),"Cumplir con normativa y reglamentos internos del programa en base a los objetivos.")</f>
        <v>Cumplir con normativa y reglamentos internos del programa en base a los objetivos.</v>
      </c>
      <c r="K679" s="71">
        <f ca="1">IFERROR(__xludf.DUMMYFUNCTION("""COMPUTED_VALUE"""),19318421)</f>
        <v>19318421</v>
      </c>
      <c r="L679" s="72">
        <f ca="1">IFERROR(__xludf.DUMMYFUNCTION("""COMPUTED_VALUE"""),0.999327332710658)</f>
        <v>0.99932733271065799</v>
      </c>
      <c r="M679" s="10">
        <f ca="1">IFERROR(__xludf.DUMMYFUNCTION("""COMPUTED_VALUE"""),10395)</f>
        <v>10395</v>
      </c>
      <c r="N679" s="10" t="str">
        <f ca="1">IFERROR(__xludf.DUMMYFUNCTION("""COMPUTED_VALUE"""),"PMU")</f>
        <v>PMU</v>
      </c>
      <c r="O679" s="1"/>
      <c r="P679" s="1"/>
      <c r="Q679" s="1"/>
      <c r="R679" s="1"/>
      <c r="S679" s="1"/>
      <c r="T679" s="1"/>
      <c r="U679" s="1"/>
      <c r="V679" s="1"/>
      <c r="W679" s="1"/>
      <c r="X679" s="1"/>
      <c r="Y679" s="1"/>
      <c r="Z679" s="1"/>
    </row>
    <row r="680" spans="1:26" ht="12.75" customHeight="1">
      <c r="A680" s="1"/>
      <c r="B680" s="10" t="str">
        <f ca="1">IFERROR(__xludf.DUMMYFUNCTION("""COMPUTED_VALUE"""),"MEJORAMIENTO DE ESPACIOS PÚBLICOS, LOS CONQUISTADORES, MERCED DE LA ESPERANZA Y VILLA ESPERANZA 5, CAUQUENES.")</f>
        <v>MEJORAMIENTO DE ESPACIOS PÚBLICOS, LOS CONQUISTADORES, MERCED DE LA ESPERANZA Y VILLA ESPERANZA 5, CAUQUENES.</v>
      </c>
      <c r="C680" s="10" t="str">
        <f ca="1">IFERROR(__xludf.DUMMYFUNCTION("""COMPUTED_VALUE"""),"1-B-2024-67")</f>
        <v>1-B-2024-67</v>
      </c>
      <c r="D680" s="26" t="str">
        <f t="shared" ca="1" si="0"/>
        <v xml:space="preserve"> CAUQUENES</v>
      </c>
      <c r="E680" s="10" t="str">
        <f ca="1">IFERROR(__xludf.DUMMYFUNCTION("""COMPUTED_VALUE"""),"Guía Operativa")</f>
        <v>Guía Operativa</v>
      </c>
      <c r="F680" s="10" t="str">
        <f ca="1">IFERROR(__xludf.DUMMYFUNCTION("""COMPUTED_VALUE"""),"MUNICIPALIDAD DE CAUQUENES")</f>
        <v>MUNICIPALIDAD DE CAUQUENES</v>
      </c>
      <c r="G680" s="71">
        <f ca="1">IFERROR(__xludf.DUMMYFUNCTION("""COMPUTED_VALUE"""),125929732)</f>
        <v>125929732</v>
      </c>
      <c r="H680" s="10" t="str">
        <f ca="1">IFERROR(__xludf.DUMMYFUNCTION("""COMPUTED_VALUE"""),"Resolución")</f>
        <v>Resolución</v>
      </c>
      <c r="I680" s="10" t="str">
        <f ca="1">IFERROR(__xludf.DUMMYFUNCTION("""COMPUTED_VALUE"""),"OBRA")</f>
        <v>OBRA</v>
      </c>
      <c r="J680" s="10" t="str">
        <f ca="1">IFERROR(__xludf.DUMMYFUNCTION("""COMPUTED_VALUE"""),"Cumplir con normativa y reglamentos internos del programa en base a los objetivos.")</f>
        <v>Cumplir con normativa y reglamentos internos del programa en base a los objetivos.</v>
      </c>
      <c r="K680" s="71">
        <f ca="1">IFERROR(__xludf.DUMMYFUNCTION("""COMPUTED_VALUE"""),125929732)</f>
        <v>125929732</v>
      </c>
      <c r="L680" s="72">
        <f ca="1">IFERROR(__xludf.DUMMYFUNCTION("""COMPUTED_VALUE"""),1)</f>
        <v>1</v>
      </c>
      <c r="M680" s="10">
        <f ca="1">IFERROR(__xludf.DUMMYFUNCTION("""COMPUTED_VALUE"""),9334)</f>
        <v>9334</v>
      </c>
      <c r="N680" s="10" t="str">
        <f ca="1">IFERROR(__xludf.DUMMYFUNCTION("""COMPUTED_VALUE"""),"PMU")</f>
        <v>PMU</v>
      </c>
      <c r="O680" s="1"/>
      <c r="P680" s="1"/>
      <c r="Q680" s="1"/>
      <c r="R680" s="1"/>
      <c r="S680" s="1"/>
      <c r="T680" s="1"/>
      <c r="U680" s="1"/>
      <c r="V680" s="1"/>
      <c r="W680" s="1"/>
      <c r="X680" s="1"/>
      <c r="Y680" s="1"/>
      <c r="Z680" s="1"/>
    </row>
    <row r="681" spans="1:26" ht="12.75" customHeight="1">
      <c r="A681" s="1"/>
      <c r="B681" s="10" t="str">
        <f ca="1">IFERROR(__xludf.DUMMYFUNCTION("""COMPUTED_VALUE"""),"MEJORAMIENTO ESPACIOS DEPORTIVOS COLBUN Y PANIMAVIDA")</f>
        <v>MEJORAMIENTO ESPACIOS DEPORTIVOS COLBUN Y PANIMAVIDA</v>
      </c>
      <c r="C681" s="10" t="str">
        <f ca="1">IFERROR(__xludf.DUMMYFUNCTION("""COMPUTED_VALUE"""),"1-B-2024-298")</f>
        <v>1-B-2024-298</v>
      </c>
      <c r="D681" s="26" t="str">
        <f t="shared" ca="1" si="0"/>
        <v xml:space="preserve"> COLBÚN</v>
      </c>
      <c r="E681" s="10" t="str">
        <f ca="1">IFERROR(__xludf.DUMMYFUNCTION("""COMPUTED_VALUE"""),"Guía Operativa")</f>
        <v>Guía Operativa</v>
      </c>
      <c r="F681" s="10" t="str">
        <f ca="1">IFERROR(__xludf.DUMMYFUNCTION("""COMPUTED_VALUE"""),"MUNICIPALIDAD DE COLBÚN")</f>
        <v>MUNICIPALIDAD DE COLBÚN</v>
      </c>
      <c r="G681" s="71">
        <f ca="1">IFERROR(__xludf.DUMMYFUNCTION("""COMPUTED_VALUE"""),105326610)</f>
        <v>105326610</v>
      </c>
      <c r="H681" s="10" t="str">
        <f ca="1">IFERROR(__xludf.DUMMYFUNCTION("""COMPUTED_VALUE"""),"Resolución")</f>
        <v>Resolución</v>
      </c>
      <c r="I681" s="10" t="str">
        <f ca="1">IFERROR(__xludf.DUMMYFUNCTION("""COMPUTED_VALUE"""),"OBRA")</f>
        <v>OBRA</v>
      </c>
      <c r="J681" s="10" t="str">
        <f ca="1">IFERROR(__xludf.DUMMYFUNCTION("""COMPUTED_VALUE"""),"Cumplir con normativa y reglamentos internos del programa en base a los objetivos.")</f>
        <v>Cumplir con normativa y reglamentos internos del programa en base a los objetivos.</v>
      </c>
      <c r="K681" s="71">
        <f ca="1">IFERROR(__xludf.DUMMYFUNCTION("""COMPUTED_VALUE"""),105326610)</f>
        <v>105326610</v>
      </c>
      <c r="L681" s="72">
        <f ca="1">IFERROR(__xludf.DUMMYFUNCTION("""COMPUTED_VALUE"""),1)</f>
        <v>1</v>
      </c>
      <c r="M681" s="10">
        <f ca="1">IFERROR(__xludf.DUMMYFUNCTION("""COMPUTED_VALUE"""),9665)</f>
        <v>9665</v>
      </c>
      <c r="N681" s="10" t="str">
        <f ca="1">IFERROR(__xludf.DUMMYFUNCTION("""COMPUTED_VALUE"""),"PMU")</f>
        <v>PMU</v>
      </c>
      <c r="O681" s="1"/>
      <c r="P681" s="1"/>
      <c r="Q681" s="1"/>
      <c r="R681" s="1"/>
      <c r="S681" s="1"/>
      <c r="T681" s="1"/>
      <c r="U681" s="1"/>
      <c r="V681" s="1"/>
      <c r="W681" s="1"/>
      <c r="X681" s="1"/>
      <c r="Y681" s="1"/>
      <c r="Z681" s="1"/>
    </row>
    <row r="682" spans="1:26" ht="12.75" customHeight="1">
      <c r="A682" s="1"/>
      <c r="B682" s="10" t="str">
        <f ca="1">IFERROR(__xludf.DUMMYFUNCTION("""COMPUTED_VALUE"""),"[SATE] CONSTRUCCION DE ILUMINACION ORNAMENTAL, SECTOR JUNQUILLO BAJO")</f>
        <v>[SATE] CONSTRUCCION DE ILUMINACION ORNAMENTAL, SECTOR JUNQUILLO BAJO</v>
      </c>
      <c r="C682" s="10" t="str">
        <f ca="1">IFERROR(__xludf.DUMMYFUNCTION("""COMPUTED_VALUE"""),"1-C-2022-2607")</f>
        <v>1-C-2022-2607</v>
      </c>
      <c r="D682" s="26" t="str">
        <f t="shared" ca="1" si="0"/>
        <v xml:space="preserve"> LEBU</v>
      </c>
      <c r="E682" s="10" t="str">
        <f ca="1">IFERROR(__xludf.DUMMYFUNCTION("""COMPUTED_VALUE"""),"Guía Operativa")</f>
        <v>Guía Operativa</v>
      </c>
      <c r="F682" s="10" t="str">
        <f ca="1">IFERROR(__xludf.DUMMYFUNCTION("""COMPUTED_VALUE"""),"MUNICIPALIDAD DE LEBU")</f>
        <v>MUNICIPALIDAD DE LEBU</v>
      </c>
      <c r="G682" s="71">
        <f ca="1">IFERROR(__xludf.DUMMYFUNCTION("""COMPUTED_VALUE"""),137423695)</f>
        <v>137423695</v>
      </c>
      <c r="H682" s="10" t="str">
        <f ca="1">IFERROR(__xludf.DUMMYFUNCTION("""COMPUTED_VALUE"""),"Resolución")</f>
        <v>Resolución</v>
      </c>
      <c r="I682" s="10" t="str">
        <f ca="1">IFERROR(__xludf.DUMMYFUNCTION("""COMPUTED_VALUE"""),"OBRA")</f>
        <v>OBRA</v>
      </c>
      <c r="J682" s="10" t="str">
        <f ca="1">IFERROR(__xludf.DUMMYFUNCTION("""COMPUTED_VALUE"""),"Cumplir con normativa y reglamentos internos del programa en base a los objetivos.")</f>
        <v>Cumplir con normativa y reglamentos internos del programa en base a los objetivos.</v>
      </c>
      <c r="K682" s="71">
        <f ca="1">IFERROR(__xludf.DUMMYFUNCTION("""COMPUTED_VALUE"""),137423695)</f>
        <v>137423695</v>
      </c>
      <c r="L682" s="72">
        <f ca="1">IFERROR(__xludf.DUMMYFUNCTION("""COMPUTED_VALUE"""),1)</f>
        <v>1</v>
      </c>
      <c r="M682" s="10">
        <f ca="1">IFERROR(__xludf.DUMMYFUNCTION("""COMPUTED_VALUE"""),9770)</f>
        <v>9770</v>
      </c>
      <c r="N682" s="10" t="str">
        <f ca="1">IFERROR(__xludf.DUMMYFUNCTION("""COMPUTED_VALUE"""),"PMU")</f>
        <v>PMU</v>
      </c>
      <c r="O682" s="1"/>
      <c r="P682" s="1"/>
      <c r="Q682" s="1"/>
      <c r="R682" s="1"/>
      <c r="S682" s="1"/>
      <c r="T682" s="1"/>
      <c r="U682" s="1"/>
      <c r="V682" s="1"/>
      <c r="W682" s="1"/>
      <c r="X682" s="1"/>
      <c r="Y682" s="1"/>
      <c r="Z682" s="1"/>
    </row>
    <row r="683" spans="1:26" ht="12.75" customHeight="1">
      <c r="A683" s="1"/>
      <c r="B683" s="10" t="str">
        <f ca="1">IFERROR(__xludf.DUMMYFUNCTION("""COMPUTED_VALUE"""),"HABILITACIÓN CENTRO DE ENTRENAMIENTO JUEGOS PANAMERICANOS 2023 SAN PEDRO DE LA PAZ")</f>
        <v>HABILITACIÓN CENTRO DE ENTRENAMIENTO JUEGOS PANAMERICANOS 2023 SAN PEDRO DE LA PAZ</v>
      </c>
      <c r="C683" s="10" t="str">
        <f ca="1">IFERROR(__xludf.DUMMYFUNCTION("""COMPUTED_VALUE"""),"1-C-2023-199")</f>
        <v>1-C-2023-199</v>
      </c>
      <c r="D683" s="26" t="str">
        <f t="shared" ca="1" si="0"/>
        <v xml:space="preserve"> SAN PEDRO DE LA PAZ</v>
      </c>
      <c r="E683" s="10" t="str">
        <f ca="1">IFERROR(__xludf.DUMMYFUNCTION("""COMPUTED_VALUE"""),"Guía Operativa")</f>
        <v>Guía Operativa</v>
      </c>
      <c r="F683" s="10" t="str">
        <f ca="1">IFERROR(__xludf.DUMMYFUNCTION("""COMPUTED_VALUE"""),"MUNICIPALIDAD DE SAN PEDRO DE LA PAZ")</f>
        <v>MUNICIPALIDAD DE SAN PEDRO DE LA PAZ</v>
      </c>
      <c r="G683" s="71">
        <f ca="1">IFERROR(__xludf.DUMMYFUNCTION("""COMPUTED_VALUE"""),149570276)</f>
        <v>149570276</v>
      </c>
      <c r="H683" s="10" t="str">
        <f ca="1">IFERROR(__xludf.DUMMYFUNCTION("""COMPUTED_VALUE"""),"Resolución")</f>
        <v>Resolución</v>
      </c>
      <c r="I683" s="10" t="str">
        <f ca="1">IFERROR(__xludf.DUMMYFUNCTION("""COMPUTED_VALUE"""),"OBRA")</f>
        <v>OBRA</v>
      </c>
      <c r="J683" s="10" t="str">
        <f ca="1">IFERROR(__xludf.DUMMYFUNCTION("""COMPUTED_VALUE"""),"Cumplir con normativa y reglamentos internos del programa en base a los objetivos.")</f>
        <v>Cumplir con normativa y reglamentos internos del programa en base a los objetivos.</v>
      </c>
      <c r="K683" s="71">
        <f ca="1">IFERROR(__xludf.DUMMYFUNCTION("""COMPUTED_VALUE"""),4437477)</f>
        <v>4437477</v>
      </c>
      <c r="L683" s="72">
        <f ca="1">IFERROR(__xludf.DUMMYFUNCTION("""COMPUTED_VALUE"""),0.999112129738932)</f>
        <v>0.99911212973893204</v>
      </c>
      <c r="M683" s="10">
        <f ca="1">IFERROR(__xludf.DUMMYFUNCTION("""COMPUTED_VALUE"""),2137)</f>
        <v>2137</v>
      </c>
      <c r="N683" s="10" t="str">
        <f ca="1">IFERROR(__xludf.DUMMYFUNCTION("""COMPUTED_VALUE"""),"PMU")</f>
        <v>PMU</v>
      </c>
      <c r="O683" s="1"/>
      <c r="P683" s="1"/>
      <c r="Q683" s="1"/>
      <c r="R683" s="1"/>
      <c r="S683" s="1"/>
      <c r="T683" s="1"/>
      <c r="U683" s="1"/>
      <c r="V683" s="1"/>
      <c r="W683" s="1"/>
      <c r="X683" s="1"/>
      <c r="Y683" s="1"/>
      <c r="Z683" s="1"/>
    </row>
    <row r="684" spans="1:26" ht="12.75" customHeight="1">
      <c r="A684" s="1"/>
      <c r="B684" s="10" t="str">
        <f ca="1">IFERROR(__xludf.DUMMYFUNCTION("""COMPUTED_VALUE"""),"[SATE] CONSTRUCCIÓN MURO DE CONTENCIÓN E INSTALACIÓN DE VALLAS PEATONALES AVENIDA OHIGGINS ALTURA 1620")</f>
        <v>[SATE] CONSTRUCCIÓN MURO DE CONTENCIÓN E INSTALACIÓN DE VALLAS PEATONALES AVENIDA OHIGGINS ALTURA 1620</v>
      </c>
      <c r="C684" s="10" t="str">
        <f ca="1">IFERROR(__xludf.DUMMYFUNCTION("""COMPUTED_VALUE"""),"1-C-2023-356")</f>
        <v>1-C-2023-356</v>
      </c>
      <c r="D684" s="26" t="str">
        <f t="shared" ca="1" si="0"/>
        <v xml:space="preserve"> CURANILAHUE</v>
      </c>
      <c r="E684" s="10" t="str">
        <f ca="1">IFERROR(__xludf.DUMMYFUNCTION("""COMPUTED_VALUE"""),"Guía Operativa")</f>
        <v>Guía Operativa</v>
      </c>
      <c r="F684" s="10" t="str">
        <f ca="1">IFERROR(__xludf.DUMMYFUNCTION("""COMPUTED_VALUE"""),"MUNICIPALIDAD DE CURANILAHUE")</f>
        <v>MUNICIPALIDAD DE CURANILAHUE</v>
      </c>
      <c r="G684" s="71">
        <f ca="1">IFERROR(__xludf.DUMMYFUNCTION("""COMPUTED_VALUE"""),147592011)</f>
        <v>147592011</v>
      </c>
      <c r="H684" s="10" t="str">
        <f ca="1">IFERROR(__xludf.DUMMYFUNCTION("""COMPUTED_VALUE"""),"Resolución")</f>
        <v>Resolución</v>
      </c>
      <c r="I684" s="10" t="str">
        <f ca="1">IFERROR(__xludf.DUMMYFUNCTION("""COMPUTED_VALUE"""),"OBRA")</f>
        <v>OBRA</v>
      </c>
      <c r="J684" s="10" t="str">
        <f ca="1">IFERROR(__xludf.DUMMYFUNCTION("""COMPUTED_VALUE"""),"Cumplir con normativa y reglamentos internos del programa en base a los objetivos.")</f>
        <v>Cumplir con normativa y reglamentos internos del programa en base a los objetivos.</v>
      </c>
      <c r="K684" s="71">
        <f ca="1">IFERROR(__xludf.DUMMYFUNCTION("""COMPUTED_VALUE"""),147592011)</f>
        <v>147592011</v>
      </c>
      <c r="L684" s="72">
        <f ca="1">IFERROR(__xludf.DUMMYFUNCTION("""COMPUTED_VALUE"""),1)</f>
        <v>1</v>
      </c>
      <c r="M684" s="10">
        <f ca="1">IFERROR(__xludf.DUMMYFUNCTION("""COMPUTED_VALUE"""),9768)</f>
        <v>9768</v>
      </c>
      <c r="N684" s="10" t="str">
        <f ca="1">IFERROR(__xludf.DUMMYFUNCTION("""COMPUTED_VALUE"""),"PMU")</f>
        <v>PMU</v>
      </c>
      <c r="O684" s="1"/>
      <c r="P684" s="1"/>
      <c r="Q684" s="1"/>
      <c r="R684" s="1"/>
      <c r="S684" s="1"/>
      <c r="T684" s="1"/>
      <c r="U684" s="1"/>
      <c r="V684" s="1"/>
      <c r="W684" s="1"/>
      <c r="X684" s="1"/>
      <c r="Y684" s="1"/>
      <c r="Z684" s="1"/>
    </row>
    <row r="685" spans="1:26" ht="12.75" customHeight="1">
      <c r="A685" s="1"/>
      <c r="B685" s="10" t="str">
        <f ca="1">IFERROR(__xludf.DUMMYFUNCTION("""COMPUTED_VALUE"""),"MEJORAMIENTO AREA VERDE EL PINO, LAJA")</f>
        <v>MEJORAMIENTO AREA VERDE EL PINO, LAJA</v>
      </c>
      <c r="C685" s="10" t="str">
        <f ca="1">IFERROR(__xludf.DUMMYFUNCTION("""COMPUTED_VALUE"""),"1-C-2023-406")</f>
        <v>1-C-2023-406</v>
      </c>
      <c r="D685" s="26" t="str">
        <f t="shared" ca="1" si="0"/>
        <v xml:space="preserve"> LAJA</v>
      </c>
      <c r="E685" s="10" t="str">
        <f ca="1">IFERROR(__xludf.DUMMYFUNCTION("""COMPUTED_VALUE"""),"Guía Operativa")</f>
        <v>Guía Operativa</v>
      </c>
      <c r="F685" s="10" t="str">
        <f ca="1">IFERROR(__xludf.DUMMYFUNCTION("""COMPUTED_VALUE"""),"MUNICIPALIDAD DE LAJA")</f>
        <v>MUNICIPALIDAD DE LAJA</v>
      </c>
      <c r="G685" s="71">
        <f ca="1">IFERROR(__xludf.DUMMYFUNCTION("""COMPUTED_VALUE"""),154422499)</f>
        <v>154422499</v>
      </c>
      <c r="H685" s="10" t="str">
        <f ca="1">IFERROR(__xludf.DUMMYFUNCTION("""COMPUTED_VALUE"""),"Resolución")</f>
        <v>Resolución</v>
      </c>
      <c r="I685" s="10" t="str">
        <f ca="1">IFERROR(__xludf.DUMMYFUNCTION("""COMPUTED_VALUE"""),"OBRA")</f>
        <v>OBRA</v>
      </c>
      <c r="J685" s="10" t="str">
        <f ca="1">IFERROR(__xludf.DUMMYFUNCTION("""COMPUTED_VALUE"""),"Cumplir con normativa y reglamentos internos del programa en base a los objetivos.")</f>
        <v>Cumplir con normativa y reglamentos internos del programa en base a los objetivos.</v>
      </c>
      <c r="K685" s="71">
        <f ca="1">IFERROR(__xludf.DUMMYFUNCTION("""COMPUTED_VALUE"""),77211250)</f>
        <v>77211250</v>
      </c>
      <c r="L685" s="72">
        <f ca="1">IFERROR(__xludf.DUMMYFUNCTION("""COMPUTED_VALUE"""),0.50000000323787)</f>
        <v>0.50000000323786997</v>
      </c>
      <c r="M685" s="10">
        <f ca="1">IFERROR(__xludf.DUMMYFUNCTION("""COMPUTED_VALUE"""),8924)</f>
        <v>8924</v>
      </c>
      <c r="N685" s="10" t="str">
        <f ca="1">IFERROR(__xludf.DUMMYFUNCTION("""COMPUTED_VALUE"""),"PMU")</f>
        <v>PMU</v>
      </c>
      <c r="O685" s="1"/>
      <c r="P685" s="1"/>
      <c r="Q685" s="1"/>
      <c r="R685" s="1"/>
      <c r="S685" s="1"/>
      <c r="T685" s="1"/>
      <c r="U685" s="1"/>
      <c r="V685" s="1"/>
      <c r="W685" s="1"/>
      <c r="X685" s="1"/>
      <c r="Y685" s="1"/>
      <c r="Z685" s="1"/>
    </row>
    <row r="686" spans="1:26" ht="12.75" customHeight="1">
      <c r="A686" s="1"/>
      <c r="B686" s="10" t="str">
        <f ca="1">IFERROR(__xludf.DUMMYFUNCTION("""COMPUTED_VALUE"""),"[SATE] MEJORAMIENTO INFRAESTRUCTURA CANCHA DE TENIS, SECTOR COLICO SUR")</f>
        <v>[SATE] MEJORAMIENTO INFRAESTRUCTURA CANCHA DE TENIS, SECTOR COLICO SUR</v>
      </c>
      <c r="C686" s="10" t="str">
        <f ca="1">IFERROR(__xludf.DUMMYFUNCTION("""COMPUTED_VALUE"""),"1-C-2023-575")</f>
        <v>1-C-2023-575</v>
      </c>
      <c r="D686" s="26" t="str">
        <f t="shared" ca="1" si="0"/>
        <v xml:space="preserve"> CURANILAHUE</v>
      </c>
      <c r="E686" s="10" t="str">
        <f ca="1">IFERROR(__xludf.DUMMYFUNCTION("""COMPUTED_VALUE"""),"Guía Operativa")</f>
        <v>Guía Operativa</v>
      </c>
      <c r="F686" s="10" t="str">
        <f ca="1">IFERROR(__xludf.DUMMYFUNCTION("""COMPUTED_VALUE"""),"MUNICIPALIDAD DE CURANILAHUE")</f>
        <v>MUNICIPALIDAD DE CURANILAHUE</v>
      </c>
      <c r="G686" s="71">
        <f ca="1">IFERROR(__xludf.DUMMYFUNCTION("""COMPUTED_VALUE"""),154365927)</f>
        <v>154365927</v>
      </c>
      <c r="H686" s="10" t="str">
        <f ca="1">IFERROR(__xludf.DUMMYFUNCTION("""COMPUTED_VALUE"""),"Resolución")</f>
        <v>Resolución</v>
      </c>
      <c r="I686" s="10" t="str">
        <f ca="1">IFERROR(__xludf.DUMMYFUNCTION("""COMPUTED_VALUE"""),"OBRA")</f>
        <v>OBRA</v>
      </c>
      <c r="J686" s="10" t="str">
        <f ca="1">IFERROR(__xludf.DUMMYFUNCTION("""COMPUTED_VALUE"""),"Cumplir con normativa y reglamentos internos del programa en base a los objetivos.")</f>
        <v>Cumplir con normativa y reglamentos internos del programa en base a los objetivos.</v>
      </c>
      <c r="K686" s="71">
        <f ca="1">IFERROR(__xludf.DUMMYFUNCTION("""COMPUTED_VALUE"""),154365927)</f>
        <v>154365927</v>
      </c>
      <c r="L686" s="72">
        <f ca="1">IFERROR(__xludf.DUMMYFUNCTION("""COMPUTED_VALUE"""),1)</f>
        <v>1</v>
      </c>
      <c r="M686" s="10">
        <f ca="1">IFERROR(__xludf.DUMMYFUNCTION("""COMPUTED_VALUE"""),9768)</f>
        <v>9768</v>
      </c>
      <c r="N686" s="10" t="str">
        <f ca="1">IFERROR(__xludf.DUMMYFUNCTION("""COMPUTED_VALUE"""),"PMU")</f>
        <v>PMU</v>
      </c>
      <c r="O686" s="1"/>
      <c r="P686" s="1"/>
      <c r="Q686" s="1"/>
      <c r="R686" s="1"/>
      <c r="S686" s="1"/>
      <c r="T686" s="1"/>
      <c r="U686" s="1"/>
      <c r="V686" s="1"/>
      <c r="W686" s="1"/>
      <c r="X686" s="1"/>
      <c r="Y686" s="1"/>
      <c r="Z686" s="1"/>
    </row>
    <row r="687" spans="1:26" ht="12.75" customHeight="1">
      <c r="A687" s="1"/>
      <c r="B687" s="10" t="str">
        <f ca="1">IFERROR(__xludf.DUMMYFUNCTION("""COMPUTED_VALUE"""),"CONSTRUCCION SEDE LA UNION TUCAPEL, COMUNA DE TUCAPEL")</f>
        <v>CONSTRUCCION SEDE LA UNION TUCAPEL, COMUNA DE TUCAPEL</v>
      </c>
      <c r="C687" s="10" t="str">
        <f ca="1">IFERROR(__xludf.DUMMYFUNCTION("""COMPUTED_VALUE"""),"1-C-2023-1602")</f>
        <v>1-C-2023-1602</v>
      </c>
      <c r="D687" s="26" t="str">
        <f t="shared" ca="1" si="0"/>
        <v xml:space="preserve"> TUCAPEL</v>
      </c>
      <c r="E687" s="10" t="str">
        <f ca="1">IFERROR(__xludf.DUMMYFUNCTION("""COMPUTED_VALUE"""),"Guía Operativa")</f>
        <v>Guía Operativa</v>
      </c>
      <c r="F687" s="10" t="str">
        <f ca="1">IFERROR(__xludf.DUMMYFUNCTION("""COMPUTED_VALUE"""),"MUNICIPALIDAD DE TUCAPEL")</f>
        <v>MUNICIPALIDAD DE TUCAPEL</v>
      </c>
      <c r="G687" s="71">
        <f ca="1">IFERROR(__xludf.DUMMYFUNCTION("""COMPUTED_VALUE"""),161044634)</f>
        <v>161044634</v>
      </c>
      <c r="H687" s="10" t="str">
        <f ca="1">IFERROR(__xludf.DUMMYFUNCTION("""COMPUTED_VALUE"""),"Resolución")</f>
        <v>Resolución</v>
      </c>
      <c r="I687" s="10" t="str">
        <f ca="1">IFERROR(__xludf.DUMMYFUNCTION("""COMPUTED_VALUE"""),"OBRA")</f>
        <v>OBRA</v>
      </c>
      <c r="J687" s="10" t="str">
        <f ca="1">IFERROR(__xludf.DUMMYFUNCTION("""COMPUTED_VALUE"""),"Cumplir con normativa y reglamentos internos del programa en base a los objetivos.")</f>
        <v>Cumplir con normativa y reglamentos internos del programa en base a los objetivos.</v>
      </c>
      <c r="K687" s="71">
        <f ca="1">IFERROR(__xludf.DUMMYFUNCTION("""COMPUTED_VALUE"""),161044634)</f>
        <v>161044634</v>
      </c>
      <c r="L687" s="72">
        <f ca="1">IFERROR(__xludf.DUMMYFUNCTION("""COMPUTED_VALUE"""),1)</f>
        <v>1</v>
      </c>
      <c r="M687" s="10">
        <f ca="1">IFERROR(__xludf.DUMMYFUNCTION("""COMPUTED_VALUE"""),9620)</f>
        <v>9620</v>
      </c>
      <c r="N687" s="10" t="str">
        <f ca="1">IFERROR(__xludf.DUMMYFUNCTION("""COMPUTED_VALUE"""),"PMU")</f>
        <v>PMU</v>
      </c>
      <c r="O687" s="1"/>
      <c r="P687" s="1"/>
      <c r="Q687" s="1"/>
      <c r="R687" s="1"/>
      <c r="S687" s="1"/>
      <c r="T687" s="1"/>
      <c r="U687" s="1"/>
      <c r="V687" s="1"/>
      <c r="W687" s="1"/>
      <c r="X687" s="1"/>
      <c r="Y687" s="1"/>
      <c r="Z687" s="1"/>
    </row>
    <row r="688" spans="1:26" ht="12.75" customHeight="1">
      <c r="A688" s="1"/>
      <c r="B688" s="10" t="str">
        <f ca="1">IFERROR(__xludf.DUMMYFUNCTION("""COMPUTED_VALUE"""),"[SATE] MEJORAMIENTO ESPACIO PUBLICO LONCOTRIPAY, TIRÚA")</f>
        <v>[SATE] MEJORAMIENTO ESPACIO PUBLICO LONCOTRIPAY, TIRÚA</v>
      </c>
      <c r="C688" s="10" t="str">
        <f ca="1">IFERROR(__xludf.DUMMYFUNCTION("""COMPUTED_VALUE"""),"1-C-2023-1611")</f>
        <v>1-C-2023-1611</v>
      </c>
      <c r="D688" s="26" t="str">
        <f t="shared" ca="1" si="0"/>
        <v xml:space="preserve"> TIRÚA</v>
      </c>
      <c r="E688" s="10" t="str">
        <f ca="1">IFERROR(__xludf.DUMMYFUNCTION("""COMPUTED_VALUE"""),"Guía Operativa")</f>
        <v>Guía Operativa</v>
      </c>
      <c r="F688" s="10" t="str">
        <f ca="1">IFERROR(__xludf.DUMMYFUNCTION("""COMPUTED_VALUE"""),"MUNICIPALIDAD DE TIRÚA")</f>
        <v>MUNICIPALIDAD DE TIRÚA</v>
      </c>
      <c r="G688" s="71">
        <f ca="1">IFERROR(__xludf.DUMMYFUNCTION("""COMPUTED_VALUE"""),150342508)</f>
        <v>150342508</v>
      </c>
      <c r="H688" s="10" t="str">
        <f ca="1">IFERROR(__xludf.DUMMYFUNCTION("""COMPUTED_VALUE"""),"Resolución")</f>
        <v>Resolución</v>
      </c>
      <c r="I688" s="10" t="str">
        <f ca="1">IFERROR(__xludf.DUMMYFUNCTION("""COMPUTED_VALUE"""),"OBRA")</f>
        <v>OBRA</v>
      </c>
      <c r="J688" s="10" t="str">
        <f ca="1">IFERROR(__xludf.DUMMYFUNCTION("""COMPUTED_VALUE"""),"Cumplir con normativa y reglamentos internos del programa en base a los objetivos.")</f>
        <v>Cumplir con normativa y reglamentos internos del programa en base a los objetivos.</v>
      </c>
      <c r="K688" s="71">
        <f ca="1">IFERROR(__xludf.DUMMYFUNCTION("""COMPUTED_VALUE"""),150342508)</f>
        <v>150342508</v>
      </c>
      <c r="L688" s="72">
        <f ca="1">IFERROR(__xludf.DUMMYFUNCTION("""COMPUTED_VALUE"""),1)</f>
        <v>1</v>
      </c>
      <c r="M688" s="10">
        <f ca="1">IFERROR(__xludf.DUMMYFUNCTION("""COMPUTED_VALUE"""),9622)</f>
        <v>9622</v>
      </c>
      <c r="N688" s="10" t="str">
        <f ca="1">IFERROR(__xludf.DUMMYFUNCTION("""COMPUTED_VALUE"""),"PMU")</f>
        <v>PMU</v>
      </c>
      <c r="O688" s="1"/>
      <c r="P688" s="1"/>
      <c r="Q688" s="1"/>
      <c r="R688" s="1"/>
      <c r="S688" s="1"/>
      <c r="T688" s="1"/>
      <c r="U688" s="1"/>
      <c r="V688" s="1"/>
      <c r="W688" s="1"/>
      <c r="X688" s="1"/>
      <c r="Y688" s="1"/>
      <c r="Z688" s="1"/>
    </row>
    <row r="689" spans="1:26" ht="12.75" customHeight="1">
      <c r="A689" s="1"/>
      <c r="B689" s="10" t="str">
        <f ca="1">IFERROR(__xludf.DUMMYFUNCTION("""COMPUTED_VALUE"""),"CONSTRUCCIÓN SEDE SOCIAL SECTOR CAILLÍN, COMUNA DE CAÑETE")</f>
        <v>CONSTRUCCIÓN SEDE SOCIAL SECTOR CAILLÍN, COMUNA DE CAÑETE</v>
      </c>
      <c r="C689" s="10" t="str">
        <f ca="1">IFERROR(__xludf.DUMMYFUNCTION("""COMPUTED_VALUE"""),"1-C-2023-1862")</f>
        <v>1-C-2023-1862</v>
      </c>
      <c r="D689" s="26" t="str">
        <f t="shared" ca="1" si="0"/>
        <v xml:space="preserve"> CAÑETE</v>
      </c>
      <c r="E689" s="10" t="str">
        <f ca="1">IFERROR(__xludf.DUMMYFUNCTION("""COMPUTED_VALUE"""),"Guía Operativa")</f>
        <v>Guía Operativa</v>
      </c>
      <c r="F689" s="10" t="str">
        <f ca="1">IFERROR(__xludf.DUMMYFUNCTION("""COMPUTED_VALUE"""),"MUNICIPALIDAD DE CAÑETE")</f>
        <v>MUNICIPALIDAD DE CAÑETE</v>
      </c>
      <c r="G689" s="71">
        <f ca="1">IFERROR(__xludf.DUMMYFUNCTION("""COMPUTED_VALUE"""),154000000)</f>
        <v>154000000</v>
      </c>
      <c r="H689" s="10" t="str">
        <f ca="1">IFERROR(__xludf.DUMMYFUNCTION("""COMPUTED_VALUE"""),"Resolución")</f>
        <v>Resolución</v>
      </c>
      <c r="I689" s="10" t="str">
        <f ca="1">IFERROR(__xludf.DUMMYFUNCTION("""COMPUTED_VALUE"""),"OBRA")</f>
        <v>OBRA</v>
      </c>
      <c r="J689" s="10" t="str">
        <f ca="1">IFERROR(__xludf.DUMMYFUNCTION("""COMPUTED_VALUE"""),"Cumplir con normativa y reglamentos internos del programa en base a los objetivos.")</f>
        <v>Cumplir con normativa y reglamentos internos del programa en base a los objetivos.</v>
      </c>
      <c r="K689" s="71">
        <f ca="1">IFERROR(__xludf.DUMMYFUNCTION("""COMPUTED_VALUE"""),154000000)</f>
        <v>154000000</v>
      </c>
      <c r="L689" s="72">
        <f ca="1">IFERROR(__xludf.DUMMYFUNCTION("""COMPUTED_VALUE"""),1)</f>
        <v>1</v>
      </c>
      <c r="M689" s="10">
        <f ca="1">IFERROR(__xludf.DUMMYFUNCTION("""COMPUTED_VALUE"""),9764)</f>
        <v>9764</v>
      </c>
      <c r="N689" s="10" t="str">
        <f ca="1">IFERROR(__xludf.DUMMYFUNCTION("""COMPUTED_VALUE"""),"PMU")</f>
        <v>PMU</v>
      </c>
      <c r="O689" s="1"/>
      <c r="P689" s="1"/>
      <c r="Q689" s="1"/>
      <c r="R689" s="1"/>
      <c r="S689" s="1"/>
      <c r="T689" s="1"/>
      <c r="U689" s="1"/>
      <c r="V689" s="1"/>
      <c r="W689" s="1"/>
      <c r="X689" s="1"/>
      <c r="Y689" s="1"/>
      <c r="Z689" s="1"/>
    </row>
    <row r="690" spans="1:26" ht="12.75" customHeight="1">
      <c r="A690" s="1"/>
      <c r="B690" s="10" t="str">
        <f ca="1">IFERROR(__xludf.DUMMYFUNCTION("""COMPUTED_VALUE"""),"MEJORAMIENTO ESCUELA NIVEQUETEN, LAJA")</f>
        <v>MEJORAMIENTO ESCUELA NIVEQUETEN, LAJA</v>
      </c>
      <c r="C690" s="10" t="str">
        <f ca="1">IFERROR(__xludf.DUMMYFUNCTION("""COMPUTED_VALUE"""),"1-C-2023-2054")</f>
        <v>1-C-2023-2054</v>
      </c>
      <c r="D690" s="26" t="str">
        <f t="shared" ca="1" si="0"/>
        <v xml:space="preserve"> LAJA</v>
      </c>
      <c r="E690" s="10" t="str">
        <f ca="1">IFERROR(__xludf.DUMMYFUNCTION("""COMPUTED_VALUE"""),"Guía Operativa")</f>
        <v>Guía Operativa</v>
      </c>
      <c r="F690" s="10" t="str">
        <f ca="1">IFERROR(__xludf.DUMMYFUNCTION("""COMPUTED_VALUE"""),"MUNICIPALIDAD DE LAJA")</f>
        <v>MUNICIPALIDAD DE LAJA</v>
      </c>
      <c r="G690" s="71">
        <f ca="1">IFERROR(__xludf.DUMMYFUNCTION("""COMPUTED_VALUE"""),154000000)</f>
        <v>154000000</v>
      </c>
      <c r="H690" s="10" t="str">
        <f ca="1">IFERROR(__xludf.DUMMYFUNCTION("""COMPUTED_VALUE"""),"Resolución")</f>
        <v>Resolución</v>
      </c>
      <c r="I690" s="10" t="str">
        <f ca="1">IFERROR(__xludf.DUMMYFUNCTION("""COMPUTED_VALUE"""),"OBRA")</f>
        <v>OBRA</v>
      </c>
      <c r="J690" s="10" t="str">
        <f ca="1">IFERROR(__xludf.DUMMYFUNCTION("""COMPUTED_VALUE"""),"Cumplir con normativa y reglamentos internos del programa en base a los objetivos.")</f>
        <v>Cumplir con normativa y reglamentos internos del programa en base a los objetivos.</v>
      </c>
      <c r="K690" s="71">
        <f ca="1">IFERROR(__xludf.DUMMYFUNCTION("""COMPUTED_VALUE"""),77000000)</f>
        <v>77000000</v>
      </c>
      <c r="L690" s="72">
        <f ca="1">IFERROR(__xludf.DUMMYFUNCTION("""COMPUTED_VALUE"""),0.5)</f>
        <v>0.5</v>
      </c>
      <c r="M690" s="10">
        <f ca="1">IFERROR(__xludf.DUMMYFUNCTION("""COMPUTED_VALUE"""),8924)</f>
        <v>8924</v>
      </c>
      <c r="N690" s="10" t="str">
        <f ca="1">IFERROR(__xludf.DUMMYFUNCTION("""COMPUTED_VALUE"""),"PMU")</f>
        <v>PMU</v>
      </c>
      <c r="O690" s="1"/>
      <c r="P690" s="1"/>
      <c r="Q690" s="1"/>
      <c r="R690" s="1"/>
      <c r="S690" s="1"/>
      <c r="T690" s="1"/>
      <c r="U690" s="1"/>
      <c r="V690" s="1"/>
      <c r="W690" s="1"/>
      <c r="X690" s="1"/>
      <c r="Y690" s="1"/>
      <c r="Z690" s="1"/>
    </row>
    <row r="691" spans="1:26" ht="12.75" customHeight="1">
      <c r="A691" s="1"/>
      <c r="B691" s="10" t="str">
        <f ca="1">IFERROR(__xludf.DUMMYFUNCTION("""COMPUTED_VALUE"""),"SPD MEJORAMIENTO ILUMINACIÓN BARRIO BRASIL ILUMINADO Y SEGURO")</f>
        <v>SPD MEJORAMIENTO ILUMINACIÓN BARRIO BRASIL ILUMINADO Y SEGURO</v>
      </c>
      <c r="C691" s="10" t="str">
        <f ca="1">IFERROR(__xludf.DUMMYFUNCTION("""COMPUTED_VALUE"""),"1-C-2023-2262")</f>
        <v>1-C-2023-2262</v>
      </c>
      <c r="D691" s="26" t="str">
        <f t="shared" ca="1" si="0"/>
        <v xml:space="preserve"> CONCEPCIÓN</v>
      </c>
      <c r="E691" s="10" t="str">
        <f ca="1">IFERROR(__xludf.DUMMYFUNCTION("""COMPUTED_VALUE"""),"Guía Operativa")</f>
        <v>Guía Operativa</v>
      </c>
      <c r="F691" s="10" t="str">
        <f ca="1">IFERROR(__xludf.DUMMYFUNCTION("""COMPUTED_VALUE"""),"MUNICIPALIDAD DE CONCEPCIÓN")</f>
        <v>MUNICIPALIDAD DE CONCEPCIÓN</v>
      </c>
      <c r="G691" s="71">
        <f ca="1">IFERROR(__xludf.DUMMYFUNCTION("""COMPUTED_VALUE"""),151847211)</f>
        <v>151847211</v>
      </c>
      <c r="H691" s="10" t="str">
        <f ca="1">IFERROR(__xludf.DUMMYFUNCTION("""COMPUTED_VALUE"""),"Resolución")</f>
        <v>Resolución</v>
      </c>
      <c r="I691" s="10" t="str">
        <f ca="1">IFERROR(__xludf.DUMMYFUNCTION("""COMPUTED_VALUE"""),"OBRA")</f>
        <v>OBRA</v>
      </c>
      <c r="J691" s="10" t="str">
        <f ca="1">IFERROR(__xludf.DUMMYFUNCTION("""COMPUTED_VALUE"""),"Cumplir con normativa y reglamentos internos del programa en base a los objetivos.")</f>
        <v>Cumplir con normativa y reglamentos internos del programa en base a los objetivos.</v>
      </c>
      <c r="K691" s="71">
        <f ca="1">IFERROR(__xludf.DUMMYFUNCTION("""COMPUTED_VALUE"""),75923606)</f>
        <v>75923606</v>
      </c>
      <c r="L691" s="72">
        <f ca="1">IFERROR(__xludf.DUMMYFUNCTION("""COMPUTED_VALUE"""),0.500000003292783)</f>
        <v>0.50000000329278305</v>
      </c>
      <c r="M691" s="10">
        <f ca="1">IFERROR(__xludf.DUMMYFUNCTION("""COMPUTED_VALUE"""),9429)</f>
        <v>9429</v>
      </c>
      <c r="N691" s="10" t="str">
        <f ca="1">IFERROR(__xludf.DUMMYFUNCTION("""COMPUTED_VALUE"""),"PMU")</f>
        <v>PMU</v>
      </c>
      <c r="O691" s="1"/>
      <c r="P691" s="1"/>
      <c r="Q691" s="1"/>
      <c r="R691" s="1"/>
      <c r="S691" s="1"/>
      <c r="T691" s="1"/>
      <c r="U691" s="1"/>
      <c r="V691" s="1"/>
      <c r="W691" s="1"/>
      <c r="X691" s="1"/>
      <c r="Y691" s="1"/>
      <c r="Z691" s="1"/>
    </row>
    <row r="692" spans="1:26" ht="12.75" customHeight="1">
      <c r="A692" s="1"/>
      <c r="B692" s="10" t="str">
        <f ca="1">IFERROR(__xludf.DUMMYFUNCTION("""COMPUTED_VALUE"""),"MEJORAMIENTO PLAZOLETA BOMBEROS Y PLAZA PUERTA DEL BOSQUE CHARRÚA, COMUNA DE CABRERO")</f>
        <v>MEJORAMIENTO PLAZOLETA BOMBEROS Y PLAZA PUERTA DEL BOSQUE CHARRÚA, COMUNA DE CABRERO</v>
      </c>
      <c r="C692" s="10" t="str">
        <f ca="1">IFERROR(__xludf.DUMMYFUNCTION("""COMPUTED_VALUE"""),"1-C-2023-2349")</f>
        <v>1-C-2023-2349</v>
      </c>
      <c r="D692" s="26" t="str">
        <f t="shared" ca="1" si="0"/>
        <v xml:space="preserve"> CABRERO</v>
      </c>
      <c r="E692" s="10" t="str">
        <f ca="1">IFERROR(__xludf.DUMMYFUNCTION("""COMPUTED_VALUE"""),"Guía Operativa")</f>
        <v>Guía Operativa</v>
      </c>
      <c r="F692" s="10" t="str">
        <f ca="1">IFERROR(__xludf.DUMMYFUNCTION("""COMPUTED_VALUE"""),"MUNICIPALIDAD DE CABRERO")</f>
        <v>MUNICIPALIDAD DE CABRERO</v>
      </c>
      <c r="G692" s="71">
        <f ca="1">IFERROR(__xludf.DUMMYFUNCTION("""COMPUTED_VALUE"""),108941045)</f>
        <v>108941045</v>
      </c>
      <c r="H692" s="10" t="str">
        <f ca="1">IFERROR(__xludf.DUMMYFUNCTION("""COMPUTED_VALUE"""),"Resolución")</f>
        <v>Resolución</v>
      </c>
      <c r="I692" s="10" t="str">
        <f ca="1">IFERROR(__xludf.DUMMYFUNCTION("""COMPUTED_VALUE"""),"OBRA")</f>
        <v>OBRA</v>
      </c>
      <c r="J692" s="10" t="str">
        <f ca="1">IFERROR(__xludf.DUMMYFUNCTION("""COMPUTED_VALUE"""),"Cumplir con normativa y reglamentos internos del programa en base a los objetivos.")</f>
        <v>Cumplir con normativa y reglamentos internos del programa en base a los objetivos.</v>
      </c>
      <c r="K692" s="71">
        <f ca="1">IFERROR(__xludf.DUMMYFUNCTION("""COMPUTED_VALUE"""),108941045)</f>
        <v>108941045</v>
      </c>
      <c r="L692" s="72">
        <f ca="1">IFERROR(__xludf.DUMMYFUNCTION("""COMPUTED_VALUE"""),1)</f>
        <v>1</v>
      </c>
      <c r="M692" s="10">
        <f ca="1">IFERROR(__xludf.DUMMYFUNCTION("""COMPUTED_VALUE"""),9619)</f>
        <v>9619</v>
      </c>
      <c r="N692" s="10" t="str">
        <f ca="1">IFERROR(__xludf.DUMMYFUNCTION("""COMPUTED_VALUE"""),"PMU")</f>
        <v>PMU</v>
      </c>
      <c r="O692" s="1"/>
      <c r="P692" s="1"/>
      <c r="Q692" s="1"/>
      <c r="R692" s="1"/>
      <c r="S692" s="1"/>
      <c r="T692" s="1"/>
      <c r="U692" s="1"/>
      <c r="V692" s="1"/>
      <c r="W692" s="1"/>
      <c r="X692" s="1"/>
      <c r="Y692" s="1"/>
      <c r="Z692" s="1"/>
    </row>
    <row r="693" spans="1:26" ht="12.75" customHeight="1">
      <c r="A693" s="1"/>
      <c r="B693" s="10" t="str">
        <f ca="1">IFERROR(__xludf.DUMMYFUNCTION("""COMPUTED_VALUE"""),"MEJORAMIENTO ILUMINACIÓN LORENZO ARENAS MAS SEGURO")</f>
        <v>MEJORAMIENTO ILUMINACIÓN LORENZO ARENAS MAS SEGURO</v>
      </c>
      <c r="C693" s="10" t="str">
        <f ca="1">IFERROR(__xludf.DUMMYFUNCTION("""COMPUTED_VALUE"""),"1-C-2023-3095")</f>
        <v>1-C-2023-3095</v>
      </c>
      <c r="D693" s="26" t="str">
        <f t="shared" ca="1" si="0"/>
        <v xml:space="preserve"> CONCEPCIÓN</v>
      </c>
      <c r="E693" s="10" t="str">
        <f ca="1">IFERROR(__xludf.DUMMYFUNCTION("""COMPUTED_VALUE"""),"Guía Operativa")</f>
        <v>Guía Operativa</v>
      </c>
      <c r="F693" s="10" t="str">
        <f ca="1">IFERROR(__xludf.DUMMYFUNCTION("""COMPUTED_VALUE"""),"MUNICIPALIDAD DE CONCEPCIÓN")</f>
        <v>MUNICIPALIDAD DE CONCEPCIÓN</v>
      </c>
      <c r="G693" s="71">
        <f ca="1">IFERROR(__xludf.DUMMYFUNCTION("""COMPUTED_VALUE"""),138377638)</f>
        <v>138377638</v>
      </c>
      <c r="H693" s="10" t="str">
        <f ca="1">IFERROR(__xludf.DUMMYFUNCTION("""COMPUTED_VALUE"""),"Resolución")</f>
        <v>Resolución</v>
      </c>
      <c r="I693" s="10" t="str">
        <f ca="1">IFERROR(__xludf.DUMMYFUNCTION("""COMPUTED_VALUE"""),"OBRA")</f>
        <v>OBRA</v>
      </c>
      <c r="J693" s="10" t="str">
        <f ca="1">IFERROR(__xludf.DUMMYFUNCTION("""COMPUTED_VALUE"""),"Cumplir con normativa y reglamentos internos del programa en base a los objetivos.")</f>
        <v>Cumplir con normativa y reglamentos internos del programa en base a los objetivos.</v>
      </c>
      <c r="K693" s="71">
        <f ca="1">IFERROR(__xludf.DUMMYFUNCTION("""COMPUTED_VALUE"""),138377638)</f>
        <v>138377638</v>
      </c>
      <c r="L693" s="72">
        <f ca="1">IFERROR(__xludf.DUMMYFUNCTION("""COMPUTED_VALUE"""),1)</f>
        <v>1</v>
      </c>
      <c r="M693" s="10">
        <f ca="1">IFERROR(__xludf.DUMMYFUNCTION("""COMPUTED_VALUE"""),9773)</f>
        <v>9773</v>
      </c>
      <c r="N693" s="10" t="str">
        <f ca="1">IFERROR(__xludf.DUMMYFUNCTION("""COMPUTED_VALUE"""),"PMU")</f>
        <v>PMU</v>
      </c>
      <c r="O693" s="1"/>
      <c r="P693" s="1"/>
      <c r="Q693" s="1"/>
      <c r="R693" s="1"/>
      <c r="S693" s="1"/>
      <c r="T693" s="1"/>
      <c r="U693" s="1"/>
      <c r="V693" s="1"/>
      <c r="W693" s="1"/>
      <c r="X693" s="1"/>
      <c r="Y693" s="1"/>
      <c r="Z693" s="1"/>
    </row>
    <row r="694" spans="1:26" ht="12.75" customHeight="1">
      <c r="A694" s="1"/>
      <c r="B694" s="10" t="str">
        <f ca="1">IFERROR(__xludf.DUMMYFUNCTION("""COMPUTED_VALUE"""),"[SATE] CONSTRUCCIÓN SEDE DISCAPACITADOS DE LA COMUNA DE QUILACO")</f>
        <v>[SATE] CONSTRUCCIÓN SEDE DISCAPACITADOS DE LA COMUNA DE QUILACO</v>
      </c>
      <c r="C694" s="10" t="str">
        <f ca="1">IFERROR(__xludf.DUMMYFUNCTION("""COMPUTED_VALUE"""),"1-C-2024-175")</f>
        <v>1-C-2024-175</v>
      </c>
      <c r="D694" s="26" t="str">
        <f t="shared" ca="1" si="0"/>
        <v xml:space="preserve"> QUILACO</v>
      </c>
      <c r="E694" s="10" t="str">
        <f ca="1">IFERROR(__xludf.DUMMYFUNCTION("""COMPUTED_VALUE"""),"Guía Operativa")</f>
        <v>Guía Operativa</v>
      </c>
      <c r="F694" s="10" t="str">
        <f ca="1">IFERROR(__xludf.DUMMYFUNCTION("""COMPUTED_VALUE"""),"MUNICIPALIDAD DE QUILACO")</f>
        <v>MUNICIPALIDAD DE QUILACO</v>
      </c>
      <c r="G694" s="71">
        <f ca="1">IFERROR(__xludf.DUMMYFUNCTION("""COMPUTED_VALUE"""),154953102)</f>
        <v>154953102</v>
      </c>
      <c r="H694" s="10" t="str">
        <f ca="1">IFERROR(__xludf.DUMMYFUNCTION("""COMPUTED_VALUE"""),"Resolución")</f>
        <v>Resolución</v>
      </c>
      <c r="I694" s="10" t="str">
        <f ca="1">IFERROR(__xludf.DUMMYFUNCTION("""COMPUTED_VALUE"""),"OBRA")</f>
        <v>OBRA</v>
      </c>
      <c r="J694" s="10" t="str">
        <f ca="1">IFERROR(__xludf.DUMMYFUNCTION("""COMPUTED_VALUE"""),"Cumplir con normativa y reglamentos internos del programa en base a los objetivos.")</f>
        <v>Cumplir con normativa y reglamentos internos del programa en base a los objetivos.</v>
      </c>
      <c r="K694" s="71">
        <f ca="1">IFERROR(__xludf.DUMMYFUNCTION("""COMPUTED_VALUE"""),154953102)</f>
        <v>154953102</v>
      </c>
      <c r="L694" s="72">
        <f ca="1">IFERROR(__xludf.DUMMYFUNCTION("""COMPUTED_VALUE"""),1)</f>
        <v>1</v>
      </c>
      <c r="M694" s="10">
        <f ca="1">IFERROR(__xludf.DUMMYFUNCTION("""COMPUTED_VALUE"""),9778)</f>
        <v>9778</v>
      </c>
      <c r="N694" s="10" t="str">
        <f ca="1">IFERROR(__xludf.DUMMYFUNCTION("""COMPUTED_VALUE"""),"PMU")</f>
        <v>PMU</v>
      </c>
      <c r="O694" s="1"/>
      <c r="P694" s="1"/>
      <c r="Q694" s="1"/>
      <c r="R694" s="1"/>
      <c r="S694" s="1"/>
      <c r="T694" s="1"/>
      <c r="U694" s="1"/>
      <c r="V694" s="1"/>
      <c r="W694" s="1"/>
      <c r="X694" s="1"/>
      <c r="Y694" s="1"/>
      <c r="Z694" s="1"/>
    </row>
    <row r="695" spans="1:26" ht="12.75" customHeight="1">
      <c r="A695" s="1"/>
      <c r="B695" s="10" t="str">
        <f ca="1">IFERROR(__xludf.DUMMYFUNCTION("""COMPUTED_VALUE"""),"CONSTRUCCION ILUMINACION ORNAMENTAL CAMINO A BOCA LEBU")</f>
        <v>CONSTRUCCION ILUMINACION ORNAMENTAL CAMINO A BOCA LEBU</v>
      </c>
      <c r="C695" s="10" t="str">
        <f ca="1">IFERROR(__xludf.DUMMYFUNCTION("""COMPUTED_VALUE"""),"1-C-2024-258")</f>
        <v>1-C-2024-258</v>
      </c>
      <c r="D695" s="26" t="str">
        <f t="shared" ca="1" si="0"/>
        <v xml:space="preserve"> LEBU</v>
      </c>
      <c r="E695" s="10" t="str">
        <f ca="1">IFERROR(__xludf.DUMMYFUNCTION("""COMPUTED_VALUE"""),"Guía Operativa")</f>
        <v>Guía Operativa</v>
      </c>
      <c r="F695" s="10" t="str">
        <f ca="1">IFERROR(__xludf.DUMMYFUNCTION("""COMPUTED_VALUE"""),"MUNICIPALIDAD DE LEBU")</f>
        <v>MUNICIPALIDAD DE LEBU</v>
      </c>
      <c r="G695" s="71">
        <f ca="1">IFERROR(__xludf.DUMMYFUNCTION("""COMPUTED_VALUE"""),113191924)</f>
        <v>113191924</v>
      </c>
      <c r="H695" s="10" t="str">
        <f ca="1">IFERROR(__xludf.DUMMYFUNCTION("""COMPUTED_VALUE"""),"Resolución")</f>
        <v>Resolución</v>
      </c>
      <c r="I695" s="10" t="str">
        <f ca="1">IFERROR(__xludf.DUMMYFUNCTION("""COMPUTED_VALUE"""),"OBRA")</f>
        <v>OBRA</v>
      </c>
      <c r="J695" s="10" t="str">
        <f ca="1">IFERROR(__xludf.DUMMYFUNCTION("""COMPUTED_VALUE"""),"Cumplir con normativa y reglamentos internos del programa en base a los objetivos.")</f>
        <v>Cumplir con normativa y reglamentos internos del programa en base a los objetivos.</v>
      </c>
      <c r="K695" s="71">
        <f ca="1">IFERROR(__xludf.DUMMYFUNCTION("""COMPUTED_VALUE"""),113191924)</f>
        <v>113191924</v>
      </c>
      <c r="L695" s="72">
        <f ca="1">IFERROR(__xludf.DUMMYFUNCTION("""COMPUTED_VALUE"""),1)</f>
        <v>1</v>
      </c>
      <c r="M695" s="10">
        <f ca="1">IFERROR(__xludf.DUMMYFUNCTION("""COMPUTED_VALUE"""),9770)</f>
        <v>9770</v>
      </c>
      <c r="N695" s="10" t="str">
        <f ca="1">IFERROR(__xludf.DUMMYFUNCTION("""COMPUTED_VALUE"""),"PMU")</f>
        <v>PMU</v>
      </c>
      <c r="O695" s="1"/>
      <c r="P695" s="1"/>
      <c r="Q695" s="1"/>
      <c r="R695" s="1"/>
      <c r="S695" s="1"/>
      <c r="T695" s="1"/>
      <c r="U695" s="1"/>
      <c r="V695" s="1"/>
      <c r="W695" s="1"/>
      <c r="X695" s="1"/>
      <c r="Y695" s="1"/>
      <c r="Z695" s="1"/>
    </row>
    <row r="696" spans="1:26" ht="12.75" customHeight="1">
      <c r="A696" s="1"/>
      <c r="B696" s="10" t="str">
        <f ca="1">IFERROR(__xludf.DUMMYFUNCTION("""COMPUTED_VALUE"""),"MEJORAMIENTO SENDA PEATONAL E ILUMINACION ORNAMENTAL SECTOR LEBU NORTE")</f>
        <v>MEJORAMIENTO SENDA PEATONAL E ILUMINACION ORNAMENTAL SECTOR LEBU NORTE</v>
      </c>
      <c r="C696" s="10" t="str">
        <f ca="1">IFERROR(__xludf.DUMMYFUNCTION("""COMPUTED_VALUE"""),"1-C-2024-1060")</f>
        <v>1-C-2024-1060</v>
      </c>
      <c r="D696" s="26" t="str">
        <f t="shared" ca="1" si="0"/>
        <v xml:space="preserve"> LEBU</v>
      </c>
      <c r="E696" s="10" t="str">
        <f ca="1">IFERROR(__xludf.DUMMYFUNCTION("""COMPUTED_VALUE"""),"Guía Operativa")</f>
        <v>Guía Operativa</v>
      </c>
      <c r="F696" s="10" t="str">
        <f ca="1">IFERROR(__xludf.DUMMYFUNCTION("""COMPUTED_VALUE"""),"MUNICIPALIDAD DE LEBU")</f>
        <v>MUNICIPALIDAD DE LEBU</v>
      </c>
      <c r="G696" s="71">
        <f ca="1">IFERROR(__xludf.DUMMYFUNCTION("""COMPUTED_VALUE"""),160353110)</f>
        <v>160353110</v>
      </c>
      <c r="H696" s="10" t="str">
        <f ca="1">IFERROR(__xludf.DUMMYFUNCTION("""COMPUTED_VALUE"""),"Resolución")</f>
        <v>Resolución</v>
      </c>
      <c r="I696" s="10" t="str">
        <f ca="1">IFERROR(__xludf.DUMMYFUNCTION("""COMPUTED_VALUE"""),"OBRA")</f>
        <v>OBRA</v>
      </c>
      <c r="J696" s="10" t="str">
        <f ca="1">IFERROR(__xludf.DUMMYFUNCTION("""COMPUTED_VALUE"""),"Cumplir con normativa y reglamentos internos del programa en base a los objetivos.")</f>
        <v>Cumplir con normativa y reglamentos internos del programa en base a los objetivos.</v>
      </c>
      <c r="K696" s="71">
        <f ca="1">IFERROR(__xludf.DUMMYFUNCTION("""COMPUTED_VALUE"""),160353110)</f>
        <v>160353110</v>
      </c>
      <c r="L696" s="72">
        <f ca="1">IFERROR(__xludf.DUMMYFUNCTION("""COMPUTED_VALUE"""),1)</f>
        <v>1</v>
      </c>
      <c r="M696" s="10">
        <f ca="1">IFERROR(__xludf.DUMMYFUNCTION("""COMPUTED_VALUE"""),9075)</f>
        <v>9075</v>
      </c>
      <c r="N696" s="10" t="str">
        <f ca="1">IFERROR(__xludf.DUMMYFUNCTION("""COMPUTED_VALUE"""),"PMU")</f>
        <v>PMU</v>
      </c>
      <c r="O696" s="1"/>
      <c r="P696" s="1"/>
      <c r="Q696" s="1"/>
      <c r="R696" s="1"/>
      <c r="S696" s="1"/>
      <c r="T696" s="1"/>
      <c r="U696" s="1"/>
      <c r="V696" s="1"/>
      <c r="W696" s="1"/>
      <c r="X696" s="1"/>
      <c r="Y696" s="1"/>
      <c r="Z696" s="1"/>
    </row>
    <row r="697" spans="1:26" ht="12.75" customHeight="1">
      <c r="A697" s="1"/>
      <c r="B697" s="10" t="str">
        <f ca="1">IFERROR(__xludf.DUMMYFUNCTION("""COMPUTED_VALUE"""),"CONSTRUCCIÓN DE UNA PLATAFORMA PARA ALBERGAR EL TREN TRICULTURAL CAPITÁN PASTENE")</f>
        <v>CONSTRUCCIÓN DE UNA PLATAFORMA PARA ALBERGAR EL TREN TRICULTURAL CAPITÁN PASTENE</v>
      </c>
      <c r="C697" s="10" t="str">
        <f ca="1">IFERROR(__xludf.DUMMYFUNCTION("""COMPUTED_VALUE"""),"1-C-2022-253")</f>
        <v>1-C-2022-253</v>
      </c>
      <c r="D697" s="26" t="str">
        <f t="shared" ca="1" si="0"/>
        <v xml:space="preserve"> LUMACO</v>
      </c>
      <c r="E697" s="10" t="str">
        <f ca="1">IFERROR(__xludf.DUMMYFUNCTION("""COMPUTED_VALUE"""),"Guía Operativa")</f>
        <v>Guía Operativa</v>
      </c>
      <c r="F697" s="10" t="str">
        <f ca="1">IFERROR(__xludf.DUMMYFUNCTION("""COMPUTED_VALUE"""),"MUNICIPALIDAD DE LUMACO")</f>
        <v>MUNICIPALIDAD DE LUMACO</v>
      </c>
      <c r="G697" s="71">
        <f ca="1">IFERROR(__xludf.DUMMYFUNCTION("""COMPUTED_VALUE"""),63017604)</f>
        <v>63017604</v>
      </c>
      <c r="H697" s="10" t="str">
        <f ca="1">IFERROR(__xludf.DUMMYFUNCTION("""COMPUTED_VALUE"""),"Resolución")</f>
        <v>Resolución</v>
      </c>
      <c r="I697" s="10" t="str">
        <f ca="1">IFERROR(__xludf.DUMMYFUNCTION("""COMPUTED_VALUE"""),"OBRA")</f>
        <v>OBRA</v>
      </c>
      <c r="J697" s="10" t="str">
        <f ca="1">IFERROR(__xludf.DUMMYFUNCTION("""COMPUTED_VALUE"""),"Cumplir con normativa y reglamentos internos del programa en base a los objetivos.")</f>
        <v>Cumplir con normativa y reglamentos internos del programa en base a los objetivos.</v>
      </c>
      <c r="K697" s="71">
        <f ca="1">IFERROR(__xludf.DUMMYFUNCTION("""COMPUTED_VALUE"""),63017604)</f>
        <v>63017604</v>
      </c>
      <c r="L697" s="72">
        <f ca="1">IFERROR(__xludf.DUMMYFUNCTION("""COMPUTED_VALUE"""),1)</f>
        <v>1</v>
      </c>
      <c r="M697" s="10">
        <f ca="1">IFERROR(__xludf.DUMMYFUNCTION("""COMPUTED_VALUE"""),9438)</f>
        <v>9438</v>
      </c>
      <c r="N697" s="10" t="str">
        <f ca="1">IFERROR(__xludf.DUMMYFUNCTION("""COMPUTED_VALUE"""),"PMU")</f>
        <v>PMU</v>
      </c>
      <c r="O697" s="1"/>
      <c r="P697" s="1"/>
      <c r="Q697" s="1"/>
      <c r="R697" s="1"/>
      <c r="S697" s="1"/>
      <c r="T697" s="1"/>
      <c r="U697" s="1"/>
      <c r="V697" s="1"/>
      <c r="W697" s="1"/>
      <c r="X697" s="1"/>
      <c r="Y697" s="1"/>
      <c r="Z697" s="1"/>
    </row>
    <row r="698" spans="1:26" ht="12.75" customHeight="1">
      <c r="A698" s="1"/>
      <c r="B698" s="10" t="str">
        <f ca="1">IFERROR(__xludf.DUMMYFUNCTION("""COMPUTED_VALUE"""),"REPOSICION SEDE SOCIAL SECTOR NAUPE, COMUNA DE SAAVEDRA")</f>
        <v>REPOSICION SEDE SOCIAL SECTOR NAUPE, COMUNA DE SAAVEDRA</v>
      </c>
      <c r="C698" s="10" t="str">
        <f ca="1">IFERROR(__xludf.DUMMYFUNCTION("""COMPUTED_VALUE"""),"1-C-2022-1671")</f>
        <v>1-C-2022-1671</v>
      </c>
      <c r="D698" s="26" t="str">
        <f t="shared" ca="1" si="0"/>
        <v xml:space="preserve"> SAAVEDRA</v>
      </c>
      <c r="E698" s="10" t="str">
        <f ca="1">IFERROR(__xludf.DUMMYFUNCTION("""COMPUTED_VALUE"""),"Guía Operativa")</f>
        <v>Guía Operativa</v>
      </c>
      <c r="F698" s="10" t="str">
        <f ca="1">IFERROR(__xludf.DUMMYFUNCTION("""COMPUTED_VALUE"""),"MUNICIPALIDAD DE SAAVEDRA")</f>
        <v>MUNICIPALIDAD DE SAAVEDRA</v>
      </c>
      <c r="G698" s="71">
        <f ca="1">IFERROR(__xludf.DUMMYFUNCTION("""COMPUTED_VALUE"""),70588658)</f>
        <v>70588658</v>
      </c>
      <c r="H698" s="10" t="str">
        <f ca="1">IFERROR(__xludf.DUMMYFUNCTION("""COMPUTED_VALUE"""),"Resolución")</f>
        <v>Resolución</v>
      </c>
      <c r="I698" s="10" t="str">
        <f ca="1">IFERROR(__xludf.DUMMYFUNCTION("""COMPUTED_VALUE"""),"OBRA")</f>
        <v>OBRA</v>
      </c>
      <c r="J698" s="10" t="str">
        <f ca="1">IFERROR(__xludf.DUMMYFUNCTION("""COMPUTED_VALUE"""),"Cumplir con normativa y reglamentos internos del programa en base a los objetivos.")</f>
        <v>Cumplir con normativa y reglamentos internos del programa en base a los objetivos.</v>
      </c>
      <c r="K698" s="71">
        <f ca="1">IFERROR(__xludf.DUMMYFUNCTION("""COMPUTED_VALUE"""),70588658)</f>
        <v>70588658</v>
      </c>
      <c r="L698" s="72">
        <f ca="1">IFERROR(__xludf.DUMMYFUNCTION("""COMPUTED_VALUE"""),1)</f>
        <v>1</v>
      </c>
      <c r="M698" s="10">
        <f ca="1">IFERROR(__xludf.DUMMYFUNCTION("""COMPUTED_VALUE"""),9336)</f>
        <v>9336</v>
      </c>
      <c r="N698" s="10" t="str">
        <f ca="1">IFERROR(__xludf.DUMMYFUNCTION("""COMPUTED_VALUE"""),"PMU")</f>
        <v>PMU</v>
      </c>
      <c r="O698" s="1"/>
      <c r="P698" s="1"/>
      <c r="Q698" s="1"/>
      <c r="R698" s="1"/>
      <c r="S698" s="1"/>
      <c r="T698" s="1"/>
      <c r="U698" s="1"/>
      <c r="V698" s="1"/>
      <c r="W698" s="1"/>
      <c r="X698" s="1"/>
      <c r="Y698" s="1"/>
      <c r="Z698" s="1"/>
    </row>
    <row r="699" spans="1:26" ht="12.75" customHeight="1">
      <c r="A699" s="1"/>
      <c r="B699" s="10" t="str">
        <f ca="1">IFERROR(__xludf.DUMMYFUNCTION("""COMPUTED_VALUE"""),"MEJORAMIENTO CEMENTERIO MAPUCHE TROMEN, COMUNA DE LOS SAUCES")</f>
        <v>MEJORAMIENTO CEMENTERIO MAPUCHE TROMEN, COMUNA DE LOS SAUCES</v>
      </c>
      <c r="C699" s="10" t="str">
        <f ca="1">IFERROR(__xludf.DUMMYFUNCTION("""COMPUTED_VALUE"""),"1-C-2022-1742")</f>
        <v>1-C-2022-1742</v>
      </c>
      <c r="D699" s="26" t="str">
        <f t="shared" ca="1" si="0"/>
        <v xml:space="preserve"> LOS SAUCES</v>
      </c>
      <c r="E699" s="10" t="str">
        <f ca="1">IFERROR(__xludf.DUMMYFUNCTION("""COMPUTED_VALUE"""),"Guía Operativa")</f>
        <v>Guía Operativa</v>
      </c>
      <c r="F699" s="10" t="str">
        <f ca="1">IFERROR(__xludf.DUMMYFUNCTION("""COMPUTED_VALUE"""),"MUNICIPALIDAD DE LOS SAUCES")</f>
        <v>MUNICIPALIDAD DE LOS SAUCES</v>
      </c>
      <c r="G699" s="71">
        <f ca="1">IFERROR(__xludf.DUMMYFUNCTION("""COMPUTED_VALUE"""),80006407)</f>
        <v>80006407</v>
      </c>
      <c r="H699" s="10" t="str">
        <f ca="1">IFERROR(__xludf.DUMMYFUNCTION("""COMPUTED_VALUE"""),"Resolución")</f>
        <v>Resolución</v>
      </c>
      <c r="I699" s="10" t="str">
        <f ca="1">IFERROR(__xludf.DUMMYFUNCTION("""COMPUTED_VALUE"""),"OBRA")</f>
        <v>OBRA</v>
      </c>
      <c r="J699" s="10" t="str">
        <f ca="1">IFERROR(__xludf.DUMMYFUNCTION("""COMPUTED_VALUE"""),"Cumplir con normativa y reglamentos internos del programa en base a los objetivos.")</f>
        <v>Cumplir con normativa y reglamentos internos del programa en base a los objetivos.</v>
      </c>
      <c r="K699" s="71">
        <f ca="1">IFERROR(__xludf.DUMMYFUNCTION("""COMPUTED_VALUE"""),80006407)</f>
        <v>80006407</v>
      </c>
      <c r="L699" s="72">
        <f ca="1">IFERROR(__xludf.DUMMYFUNCTION("""COMPUTED_VALUE"""),1)</f>
        <v>1</v>
      </c>
      <c r="M699" s="10">
        <f ca="1">IFERROR(__xludf.DUMMYFUNCTION("""COMPUTED_VALUE"""),9434)</f>
        <v>9434</v>
      </c>
      <c r="N699" s="10" t="str">
        <f ca="1">IFERROR(__xludf.DUMMYFUNCTION("""COMPUTED_VALUE"""),"PMU")</f>
        <v>PMU</v>
      </c>
      <c r="O699" s="1"/>
      <c r="P699" s="1"/>
      <c r="Q699" s="1"/>
      <c r="R699" s="1"/>
      <c r="S699" s="1"/>
      <c r="T699" s="1"/>
      <c r="U699" s="1"/>
      <c r="V699" s="1"/>
      <c r="W699" s="1"/>
      <c r="X699" s="1"/>
      <c r="Y699" s="1"/>
      <c r="Z699" s="1"/>
    </row>
    <row r="700" spans="1:26" ht="12.75" customHeight="1">
      <c r="A700" s="1"/>
      <c r="B700" s="10" t="str">
        <f ca="1">IFERROR(__xludf.DUMMYFUNCTION("""COMPUTED_VALUE"""),"REPOSICIÓN CIERRES LICEO E INTERNADO DE LUMACO, COMUNA DE LUMACO")</f>
        <v>REPOSICIÓN CIERRES LICEO E INTERNADO DE LUMACO, COMUNA DE LUMACO</v>
      </c>
      <c r="C700" s="10" t="str">
        <f ca="1">IFERROR(__xludf.DUMMYFUNCTION("""COMPUTED_VALUE"""),"1-C-2022-2380")</f>
        <v>1-C-2022-2380</v>
      </c>
      <c r="D700" s="26" t="str">
        <f t="shared" ca="1" si="0"/>
        <v xml:space="preserve"> LUMACO</v>
      </c>
      <c r="E700" s="10" t="str">
        <f ca="1">IFERROR(__xludf.DUMMYFUNCTION("""COMPUTED_VALUE"""),"Guía Operativa")</f>
        <v>Guía Operativa</v>
      </c>
      <c r="F700" s="10" t="str">
        <f ca="1">IFERROR(__xludf.DUMMYFUNCTION("""COMPUTED_VALUE"""),"MUNICIPALIDAD DE LUMACO")</f>
        <v>MUNICIPALIDAD DE LUMACO</v>
      </c>
      <c r="G700" s="71">
        <f ca="1">IFERROR(__xludf.DUMMYFUNCTION("""COMPUTED_VALUE"""),27426441)</f>
        <v>27426441</v>
      </c>
      <c r="H700" s="10" t="str">
        <f ca="1">IFERROR(__xludf.DUMMYFUNCTION("""COMPUTED_VALUE"""),"Resolución")</f>
        <v>Resolución</v>
      </c>
      <c r="I700" s="10" t="str">
        <f ca="1">IFERROR(__xludf.DUMMYFUNCTION("""COMPUTED_VALUE"""),"OBRA")</f>
        <v>OBRA</v>
      </c>
      <c r="J700" s="10" t="str">
        <f ca="1">IFERROR(__xludf.DUMMYFUNCTION("""COMPUTED_VALUE"""),"Cumplir con normativa y reglamentos internos del programa en base a los objetivos.")</f>
        <v>Cumplir con normativa y reglamentos internos del programa en base a los objetivos.</v>
      </c>
      <c r="K700" s="71">
        <f ca="1">IFERROR(__xludf.DUMMYFUNCTION("""COMPUTED_VALUE"""),27426441)</f>
        <v>27426441</v>
      </c>
      <c r="L700" s="72">
        <f ca="1">IFERROR(__xludf.DUMMYFUNCTION("""COMPUTED_VALUE"""),1)</f>
        <v>1</v>
      </c>
      <c r="M700" s="10">
        <f ca="1">IFERROR(__xludf.DUMMYFUNCTION("""COMPUTED_VALUE"""),9433)</f>
        <v>9433</v>
      </c>
      <c r="N700" s="10" t="str">
        <f ca="1">IFERROR(__xludf.DUMMYFUNCTION("""COMPUTED_VALUE"""),"PMU")</f>
        <v>PMU</v>
      </c>
      <c r="O700" s="1"/>
      <c r="P700" s="1"/>
      <c r="Q700" s="1"/>
      <c r="R700" s="1"/>
      <c r="S700" s="1"/>
      <c r="T700" s="1"/>
      <c r="U700" s="1"/>
      <c r="V700" s="1"/>
      <c r="W700" s="1"/>
      <c r="X700" s="1"/>
      <c r="Y700" s="1"/>
      <c r="Z700" s="1"/>
    </row>
    <row r="701" spans="1:26" ht="12.75" customHeight="1">
      <c r="A701" s="1"/>
      <c r="B701" s="10" t="str">
        <f ca="1">IFERROR(__xludf.DUMMYFUNCTION("""COMPUTED_VALUE"""),"SPD AMPLIACIÓN SISTEMA DE VIGILANCIA, SECTOR SALINAS, ACCESO NORTE Y SUR, SECTOR ORIENTE Y PINTO SUR DE LA COMUNA DE GORBEA")</f>
        <v>SPD AMPLIACIÓN SISTEMA DE VIGILANCIA, SECTOR SALINAS, ACCESO NORTE Y SUR, SECTOR ORIENTE Y PINTO SUR DE LA COMUNA DE GORBEA</v>
      </c>
      <c r="C701" s="10" t="str">
        <f ca="1">IFERROR(__xludf.DUMMYFUNCTION("""COMPUTED_VALUE"""),"1-SPD-2022-434")</f>
        <v>1-SPD-2022-434</v>
      </c>
      <c r="D701" s="26" t="str">
        <f t="shared" ca="1" si="0"/>
        <v xml:space="preserve"> GORBEA</v>
      </c>
      <c r="E701" s="10" t="str">
        <f ca="1">IFERROR(__xludf.DUMMYFUNCTION("""COMPUTED_VALUE"""),"Guía Operativa")</f>
        <v>Guía Operativa</v>
      </c>
      <c r="F701" s="10" t="str">
        <f ca="1">IFERROR(__xludf.DUMMYFUNCTION("""COMPUTED_VALUE"""),"MUNICIPALIDAD DE GORBEA")</f>
        <v>MUNICIPALIDAD DE GORBEA</v>
      </c>
      <c r="G701" s="71">
        <f ca="1">IFERROR(__xludf.DUMMYFUNCTION("""COMPUTED_VALUE"""),74999999)</f>
        <v>74999999</v>
      </c>
      <c r="H701" s="10" t="str">
        <f ca="1">IFERROR(__xludf.DUMMYFUNCTION("""COMPUTED_VALUE"""),"Resolución")</f>
        <v>Resolución</v>
      </c>
      <c r="I701" s="10" t="str">
        <f ca="1">IFERROR(__xludf.DUMMYFUNCTION("""COMPUTED_VALUE"""),"OBRA")</f>
        <v>OBRA</v>
      </c>
      <c r="J701" s="10" t="str">
        <f ca="1">IFERROR(__xludf.DUMMYFUNCTION("""COMPUTED_VALUE"""),"Cumplir con normativa y reglamentos internos del programa en base a los objetivos.")</f>
        <v>Cumplir con normativa y reglamentos internos del programa en base a los objetivos.</v>
      </c>
      <c r="K701" s="71">
        <f ca="1">IFERROR(__xludf.DUMMYFUNCTION("""COMPUTED_VALUE"""),74999999)</f>
        <v>74999999</v>
      </c>
      <c r="L701" s="72">
        <f ca="1">IFERROR(__xludf.DUMMYFUNCTION("""COMPUTED_VALUE"""),1)</f>
        <v>1</v>
      </c>
      <c r="M701" s="10">
        <f ca="1">IFERROR(__xludf.DUMMYFUNCTION("""COMPUTED_VALUE"""),7617)</f>
        <v>7617</v>
      </c>
      <c r="N701" s="10" t="str">
        <f ca="1">IFERROR(__xludf.DUMMYFUNCTION("""COMPUTED_VALUE"""),"PMU")</f>
        <v>PMU</v>
      </c>
      <c r="O701" s="1"/>
      <c r="P701" s="1"/>
      <c r="Q701" s="1"/>
      <c r="R701" s="1"/>
      <c r="S701" s="1"/>
      <c r="T701" s="1"/>
      <c r="U701" s="1"/>
      <c r="V701" s="1"/>
      <c r="W701" s="1"/>
      <c r="X701" s="1"/>
      <c r="Y701" s="1"/>
      <c r="Z701" s="1"/>
    </row>
    <row r="702" spans="1:26" ht="12.75" customHeight="1">
      <c r="A702" s="1"/>
      <c r="B702" s="10" t="str">
        <f ca="1">IFERROR(__xludf.DUMMYFUNCTION("""COMPUTED_VALUE"""),"MEJORAMIENTO CEMENTERIO LOS TEMOS, COMUNA DE GALVARINO")</f>
        <v>MEJORAMIENTO CEMENTERIO LOS TEMOS, COMUNA DE GALVARINO</v>
      </c>
      <c r="C702" s="10" t="str">
        <f ca="1">IFERROR(__xludf.DUMMYFUNCTION("""COMPUTED_VALUE"""),"1-C-2022-2625")</f>
        <v>1-C-2022-2625</v>
      </c>
      <c r="D702" s="26" t="str">
        <f t="shared" ca="1" si="0"/>
        <v xml:space="preserve"> GALVARINO</v>
      </c>
      <c r="E702" s="10" t="str">
        <f ca="1">IFERROR(__xludf.DUMMYFUNCTION("""COMPUTED_VALUE"""),"Guía Operativa")</f>
        <v>Guía Operativa</v>
      </c>
      <c r="F702" s="10" t="str">
        <f ca="1">IFERROR(__xludf.DUMMYFUNCTION("""COMPUTED_VALUE"""),"MUNICIPALIDAD DE GALVARINO")</f>
        <v>MUNICIPALIDAD DE GALVARINO</v>
      </c>
      <c r="G702" s="71">
        <f ca="1">IFERROR(__xludf.DUMMYFUNCTION("""COMPUTED_VALUE"""),116577450)</f>
        <v>116577450</v>
      </c>
      <c r="H702" s="10" t="str">
        <f ca="1">IFERROR(__xludf.DUMMYFUNCTION("""COMPUTED_VALUE"""),"Resolución")</f>
        <v>Resolución</v>
      </c>
      <c r="I702" s="10" t="str">
        <f ca="1">IFERROR(__xludf.DUMMYFUNCTION("""COMPUTED_VALUE"""),"OBRA")</f>
        <v>OBRA</v>
      </c>
      <c r="J702" s="10" t="str">
        <f ca="1">IFERROR(__xludf.DUMMYFUNCTION("""COMPUTED_VALUE"""),"Cumplir con normativa y reglamentos internos del programa en base a los objetivos.")</f>
        <v>Cumplir con normativa y reglamentos internos del programa en base a los objetivos.</v>
      </c>
      <c r="K702" s="71">
        <f ca="1">IFERROR(__xludf.DUMMYFUNCTION("""COMPUTED_VALUE"""),116577450)</f>
        <v>116577450</v>
      </c>
      <c r="L702" s="72">
        <f ca="1">IFERROR(__xludf.DUMMYFUNCTION("""COMPUTED_VALUE"""),1)</f>
        <v>1</v>
      </c>
      <c r="M702" s="10">
        <f ca="1">IFERROR(__xludf.DUMMYFUNCTION("""COMPUTED_VALUE"""),9357)</f>
        <v>9357</v>
      </c>
      <c r="N702" s="10" t="str">
        <f ca="1">IFERROR(__xludf.DUMMYFUNCTION("""COMPUTED_VALUE"""),"PMU")</f>
        <v>PMU</v>
      </c>
      <c r="O702" s="1"/>
      <c r="P702" s="1"/>
      <c r="Q702" s="1"/>
      <c r="R702" s="1"/>
      <c r="S702" s="1"/>
      <c r="T702" s="1"/>
      <c r="U702" s="1"/>
      <c r="V702" s="1"/>
      <c r="W702" s="1"/>
      <c r="X702" s="1"/>
      <c r="Y702" s="1"/>
      <c r="Z702" s="1"/>
    </row>
    <row r="703" spans="1:26" ht="12.75" customHeight="1">
      <c r="A703" s="1"/>
      <c r="B703" s="10" t="str">
        <f ca="1">IFERROR(__xludf.DUMMYFUNCTION("""COMPUTED_VALUE"""),"MEJORAMIENTO CEMENTERIO TRIFTRIFCO, COMUNA DE GALVARINO")</f>
        <v>MEJORAMIENTO CEMENTERIO TRIFTRIFCO, COMUNA DE GALVARINO</v>
      </c>
      <c r="C703" s="10" t="str">
        <f ca="1">IFERROR(__xludf.DUMMYFUNCTION("""COMPUTED_VALUE"""),"1-C-2022-2626")</f>
        <v>1-C-2022-2626</v>
      </c>
      <c r="D703" s="26" t="str">
        <f t="shared" ca="1" si="0"/>
        <v xml:space="preserve"> GALVARINO</v>
      </c>
      <c r="E703" s="10" t="str">
        <f ca="1">IFERROR(__xludf.DUMMYFUNCTION("""COMPUTED_VALUE"""),"Guía Operativa")</f>
        <v>Guía Operativa</v>
      </c>
      <c r="F703" s="10" t="str">
        <f ca="1">IFERROR(__xludf.DUMMYFUNCTION("""COMPUTED_VALUE"""),"MUNICIPALIDAD DE GALVARINO")</f>
        <v>MUNICIPALIDAD DE GALVARINO</v>
      </c>
      <c r="G703" s="71">
        <f ca="1">IFERROR(__xludf.DUMMYFUNCTION("""COMPUTED_VALUE"""),124123447)</f>
        <v>124123447</v>
      </c>
      <c r="H703" s="10" t="str">
        <f ca="1">IFERROR(__xludf.DUMMYFUNCTION("""COMPUTED_VALUE"""),"Resolución")</f>
        <v>Resolución</v>
      </c>
      <c r="I703" s="10" t="str">
        <f ca="1">IFERROR(__xludf.DUMMYFUNCTION("""COMPUTED_VALUE"""),"OBRA")</f>
        <v>OBRA</v>
      </c>
      <c r="J703" s="10" t="str">
        <f ca="1">IFERROR(__xludf.DUMMYFUNCTION("""COMPUTED_VALUE"""),"Cumplir con normativa y reglamentos internos del programa en base a los objetivos.")</f>
        <v>Cumplir con normativa y reglamentos internos del programa en base a los objetivos.</v>
      </c>
      <c r="K703" s="71">
        <f ca="1">IFERROR(__xludf.DUMMYFUNCTION("""COMPUTED_VALUE"""),124123447)</f>
        <v>124123447</v>
      </c>
      <c r="L703" s="72">
        <f ca="1">IFERROR(__xludf.DUMMYFUNCTION("""COMPUTED_VALUE"""),1)</f>
        <v>1</v>
      </c>
      <c r="M703" s="10">
        <f ca="1">IFERROR(__xludf.DUMMYFUNCTION("""COMPUTED_VALUE"""),9357)</f>
        <v>9357</v>
      </c>
      <c r="N703" s="10" t="str">
        <f ca="1">IFERROR(__xludf.DUMMYFUNCTION("""COMPUTED_VALUE"""),"PMU")</f>
        <v>PMU</v>
      </c>
      <c r="O703" s="1"/>
      <c r="P703" s="1"/>
      <c r="Q703" s="1"/>
      <c r="R703" s="1"/>
      <c r="S703" s="1"/>
      <c r="T703" s="1"/>
      <c r="U703" s="1"/>
      <c r="V703" s="1"/>
      <c r="W703" s="1"/>
      <c r="X703" s="1"/>
      <c r="Y703" s="1"/>
      <c r="Z703" s="1"/>
    </row>
    <row r="704" spans="1:26" ht="12.75" customHeight="1">
      <c r="A704" s="1"/>
      <c r="B704" s="10" t="str">
        <f ca="1">IFERROR(__xludf.DUMMYFUNCTION("""COMPUTED_VALUE"""),"REPOSICION DE VEREDAS RUTA MOP S-40 CAMINO BOCA BUDI, COMUNA DE SAAVEDRA")</f>
        <v>REPOSICION DE VEREDAS RUTA MOP S-40 CAMINO BOCA BUDI, COMUNA DE SAAVEDRA</v>
      </c>
      <c r="C704" s="10" t="str">
        <f ca="1">IFERROR(__xludf.DUMMYFUNCTION("""COMPUTED_VALUE"""),"1-C-2022-2640")</f>
        <v>1-C-2022-2640</v>
      </c>
      <c r="D704" s="26" t="str">
        <f t="shared" ca="1" si="0"/>
        <v xml:space="preserve"> SAAVEDRA</v>
      </c>
      <c r="E704" s="10" t="str">
        <f ca="1">IFERROR(__xludf.DUMMYFUNCTION("""COMPUTED_VALUE"""),"Guía Operativa")</f>
        <v>Guía Operativa</v>
      </c>
      <c r="F704" s="10" t="str">
        <f ca="1">IFERROR(__xludf.DUMMYFUNCTION("""COMPUTED_VALUE"""),"MUNICIPALIDAD DE SAAVEDRA")</f>
        <v>MUNICIPALIDAD DE SAAVEDRA</v>
      </c>
      <c r="G704" s="71">
        <f ca="1">IFERROR(__xludf.DUMMYFUNCTION("""COMPUTED_VALUE"""),93840041)</f>
        <v>93840041</v>
      </c>
      <c r="H704" s="10" t="str">
        <f ca="1">IFERROR(__xludf.DUMMYFUNCTION("""COMPUTED_VALUE"""),"Resolución")</f>
        <v>Resolución</v>
      </c>
      <c r="I704" s="10" t="str">
        <f ca="1">IFERROR(__xludf.DUMMYFUNCTION("""COMPUTED_VALUE"""),"OBRA")</f>
        <v>OBRA</v>
      </c>
      <c r="J704" s="10" t="str">
        <f ca="1">IFERROR(__xludf.DUMMYFUNCTION("""COMPUTED_VALUE"""),"Cumplir con normativa y reglamentos internos del programa en base a los objetivos.")</f>
        <v>Cumplir con normativa y reglamentos internos del programa en base a los objetivos.</v>
      </c>
      <c r="K704" s="71">
        <f ca="1">IFERROR(__xludf.DUMMYFUNCTION("""COMPUTED_VALUE"""),93840041)</f>
        <v>93840041</v>
      </c>
      <c r="L704" s="72">
        <f ca="1">IFERROR(__xludf.DUMMYFUNCTION("""COMPUTED_VALUE"""),1)</f>
        <v>1</v>
      </c>
      <c r="M704" s="10">
        <f ca="1">IFERROR(__xludf.DUMMYFUNCTION("""COMPUTED_VALUE"""),9336)</f>
        <v>9336</v>
      </c>
      <c r="N704" s="10" t="str">
        <f ca="1">IFERROR(__xludf.DUMMYFUNCTION("""COMPUTED_VALUE"""),"PMU")</f>
        <v>PMU</v>
      </c>
      <c r="O704" s="1"/>
      <c r="P704" s="1"/>
      <c r="Q704" s="1"/>
      <c r="R704" s="1"/>
      <c r="S704" s="1"/>
      <c r="T704" s="1"/>
      <c r="U704" s="1"/>
      <c r="V704" s="1"/>
      <c r="W704" s="1"/>
      <c r="X704" s="1"/>
      <c r="Y704" s="1"/>
      <c r="Z704" s="1"/>
    </row>
    <row r="705" spans="1:26" ht="12.75" customHeight="1">
      <c r="A705" s="1"/>
      <c r="B705" s="10" t="str">
        <f ca="1">IFERROR(__xludf.DUMMYFUNCTION("""COMPUTED_VALUE"""),"[SATE] CONSTRUCCIÓN Y REPOSICIÓN REFUGIOS PEATONALES, LAUTARO")</f>
        <v>[SATE] CONSTRUCCIÓN Y REPOSICIÓN REFUGIOS PEATONALES, LAUTARO</v>
      </c>
      <c r="C705" s="10" t="str">
        <f ca="1">IFERROR(__xludf.DUMMYFUNCTION("""COMPUTED_VALUE"""),"1-C-2023-36")</f>
        <v>1-C-2023-36</v>
      </c>
      <c r="D705" s="26" t="str">
        <f t="shared" ca="1" si="0"/>
        <v xml:space="preserve"> LAUTARO</v>
      </c>
      <c r="E705" s="10" t="str">
        <f ca="1">IFERROR(__xludf.DUMMYFUNCTION("""COMPUTED_VALUE"""),"Guía Operativa")</f>
        <v>Guía Operativa</v>
      </c>
      <c r="F705" s="10" t="str">
        <f ca="1">IFERROR(__xludf.DUMMYFUNCTION("""COMPUTED_VALUE"""),"MUNICIPALIDAD DE LAUTARO")</f>
        <v>MUNICIPALIDAD DE LAUTARO</v>
      </c>
      <c r="G705" s="71">
        <f ca="1">IFERROR(__xludf.DUMMYFUNCTION("""COMPUTED_VALUE"""),136731592)</f>
        <v>136731592</v>
      </c>
      <c r="H705" s="10" t="str">
        <f ca="1">IFERROR(__xludf.DUMMYFUNCTION("""COMPUTED_VALUE"""),"Resolución")</f>
        <v>Resolución</v>
      </c>
      <c r="I705" s="10" t="str">
        <f ca="1">IFERROR(__xludf.DUMMYFUNCTION("""COMPUTED_VALUE"""),"OBRA")</f>
        <v>OBRA</v>
      </c>
      <c r="J705" s="10" t="str">
        <f ca="1">IFERROR(__xludf.DUMMYFUNCTION("""COMPUTED_VALUE"""),"Cumplir con normativa y reglamentos internos del programa en base a los objetivos.")</f>
        <v>Cumplir con normativa y reglamentos internos del programa en base a los objetivos.</v>
      </c>
      <c r="K705" s="71">
        <f ca="1">IFERROR(__xludf.DUMMYFUNCTION("""COMPUTED_VALUE"""),136731592)</f>
        <v>136731592</v>
      </c>
      <c r="L705" s="72">
        <f ca="1">IFERROR(__xludf.DUMMYFUNCTION("""COMPUTED_VALUE"""),1)</f>
        <v>1</v>
      </c>
      <c r="M705" s="10">
        <f ca="1">IFERROR(__xludf.DUMMYFUNCTION("""COMPUTED_VALUE"""),9431)</f>
        <v>9431</v>
      </c>
      <c r="N705" s="10" t="str">
        <f ca="1">IFERROR(__xludf.DUMMYFUNCTION("""COMPUTED_VALUE"""),"PMU")</f>
        <v>PMU</v>
      </c>
      <c r="O705" s="1"/>
      <c r="P705" s="1"/>
      <c r="Q705" s="1"/>
      <c r="R705" s="1"/>
      <c r="S705" s="1"/>
      <c r="T705" s="1"/>
      <c r="U705" s="1"/>
      <c r="V705" s="1"/>
      <c r="W705" s="1"/>
      <c r="X705" s="1"/>
      <c r="Y705" s="1"/>
      <c r="Z705" s="1"/>
    </row>
    <row r="706" spans="1:26" ht="12.75" customHeight="1">
      <c r="A706" s="1"/>
      <c r="B706" s="10" t="str">
        <f ca="1">IFERROR(__xludf.DUMMYFUNCTION("""COMPUTED_VALUE"""),"[SATE] CONSTRUCCIÓN CANCHA DE PASTO SINTÉTICO SECTOR CHILE NUESTRO, COMUNA DE GALVARINO")</f>
        <v>[SATE] CONSTRUCCIÓN CANCHA DE PASTO SINTÉTICO SECTOR CHILE NUESTRO, COMUNA DE GALVARINO</v>
      </c>
      <c r="C706" s="10" t="str">
        <f ca="1">IFERROR(__xludf.DUMMYFUNCTION("""COMPUTED_VALUE"""),"1-C-2023-44")</f>
        <v>1-C-2023-44</v>
      </c>
      <c r="D706" s="26" t="str">
        <f t="shared" ca="1" si="0"/>
        <v xml:space="preserve"> GALVARINO</v>
      </c>
      <c r="E706" s="10" t="str">
        <f ca="1">IFERROR(__xludf.DUMMYFUNCTION("""COMPUTED_VALUE"""),"Guía Operativa")</f>
        <v>Guía Operativa</v>
      </c>
      <c r="F706" s="10" t="str">
        <f ca="1">IFERROR(__xludf.DUMMYFUNCTION("""COMPUTED_VALUE"""),"MUNICIPALIDAD DE GALVARINO")</f>
        <v>MUNICIPALIDAD DE GALVARINO</v>
      </c>
      <c r="G706" s="71">
        <f ca="1">IFERROR(__xludf.DUMMYFUNCTION("""COMPUTED_VALUE"""),154258293)</f>
        <v>154258293</v>
      </c>
      <c r="H706" s="10" t="str">
        <f ca="1">IFERROR(__xludf.DUMMYFUNCTION("""COMPUTED_VALUE"""),"Resolución")</f>
        <v>Resolución</v>
      </c>
      <c r="I706" s="10" t="str">
        <f ca="1">IFERROR(__xludf.DUMMYFUNCTION("""COMPUTED_VALUE"""),"OBRA")</f>
        <v>OBRA</v>
      </c>
      <c r="J706" s="10" t="str">
        <f ca="1">IFERROR(__xludf.DUMMYFUNCTION("""COMPUTED_VALUE"""),"Cumplir con normativa y reglamentos internos del programa en base a los objetivos.")</f>
        <v>Cumplir con normativa y reglamentos internos del programa en base a los objetivos.</v>
      </c>
      <c r="K706" s="71">
        <f ca="1">IFERROR(__xludf.DUMMYFUNCTION("""COMPUTED_VALUE"""),154258293)</f>
        <v>154258293</v>
      </c>
      <c r="L706" s="72">
        <f ca="1">IFERROR(__xludf.DUMMYFUNCTION("""COMPUTED_VALUE"""),1)</f>
        <v>1</v>
      </c>
      <c r="M706" s="10">
        <f ca="1">IFERROR(__xludf.DUMMYFUNCTION("""COMPUTED_VALUE"""),9357)</f>
        <v>9357</v>
      </c>
      <c r="N706" s="10" t="str">
        <f ca="1">IFERROR(__xludf.DUMMYFUNCTION("""COMPUTED_VALUE"""),"PMU")</f>
        <v>PMU</v>
      </c>
      <c r="O706" s="1"/>
      <c r="P706" s="1"/>
      <c r="Q706" s="1"/>
      <c r="R706" s="1"/>
      <c r="S706" s="1"/>
      <c r="T706" s="1"/>
      <c r="U706" s="1"/>
      <c r="V706" s="1"/>
      <c r="W706" s="1"/>
      <c r="X706" s="1"/>
      <c r="Y706" s="1"/>
      <c r="Z706" s="1"/>
    </row>
    <row r="707" spans="1:26" ht="12.75" customHeight="1">
      <c r="A707" s="1"/>
      <c r="B707" s="10" t="str">
        <f ca="1">IFERROR(__xludf.DUMMYFUNCTION("""COMPUTED_VALUE"""),"[SATE] CONSTRUCCIÓN PLAZOLETA POBLACIÓN PABLO NERUDA (PSJ PABLO NERUDA CON DOMINGO CHIHUAY)")</f>
        <v>[SATE] CONSTRUCCIÓN PLAZOLETA POBLACIÓN PABLO NERUDA (PSJ PABLO NERUDA CON DOMINGO CHIHUAY)</v>
      </c>
      <c r="C707" s="10" t="str">
        <f ca="1">IFERROR(__xludf.DUMMYFUNCTION("""COMPUTED_VALUE"""),"1-C-2023-86")</f>
        <v>1-C-2023-86</v>
      </c>
      <c r="D707" s="26" t="str">
        <f t="shared" ca="1" si="0"/>
        <v xml:space="preserve"> MELIPEUCO</v>
      </c>
      <c r="E707" s="10" t="str">
        <f ca="1">IFERROR(__xludf.DUMMYFUNCTION("""COMPUTED_VALUE"""),"Guía Operativa")</f>
        <v>Guía Operativa</v>
      </c>
      <c r="F707" s="10" t="str">
        <f ca="1">IFERROR(__xludf.DUMMYFUNCTION("""COMPUTED_VALUE"""),"MUNICIPALIDAD DE MELIPEUCO")</f>
        <v>MUNICIPALIDAD DE MELIPEUCO</v>
      </c>
      <c r="G707" s="71">
        <f ca="1">IFERROR(__xludf.DUMMYFUNCTION("""COMPUTED_VALUE"""),153636788)</f>
        <v>153636788</v>
      </c>
      <c r="H707" s="10" t="str">
        <f ca="1">IFERROR(__xludf.DUMMYFUNCTION("""COMPUTED_VALUE"""),"Resolución")</f>
        <v>Resolución</v>
      </c>
      <c r="I707" s="10" t="str">
        <f ca="1">IFERROR(__xludf.DUMMYFUNCTION("""COMPUTED_VALUE"""),"OBRA")</f>
        <v>OBRA</v>
      </c>
      <c r="J707" s="10" t="str">
        <f ca="1">IFERROR(__xludf.DUMMYFUNCTION("""COMPUTED_VALUE"""),"Cumplir con normativa y reglamentos internos del programa en base a los objetivos.")</f>
        <v>Cumplir con normativa y reglamentos internos del programa en base a los objetivos.</v>
      </c>
      <c r="K707" s="71">
        <f ca="1">IFERROR(__xludf.DUMMYFUNCTION("""COMPUTED_VALUE"""),153636788)</f>
        <v>153636788</v>
      </c>
      <c r="L707" s="72">
        <f ca="1">IFERROR(__xludf.DUMMYFUNCTION("""COMPUTED_VALUE"""),1)</f>
        <v>1</v>
      </c>
      <c r="M707" s="10">
        <f ca="1">IFERROR(__xludf.DUMMYFUNCTION("""COMPUTED_VALUE"""),9332)</f>
        <v>9332</v>
      </c>
      <c r="N707" s="10" t="str">
        <f ca="1">IFERROR(__xludf.DUMMYFUNCTION("""COMPUTED_VALUE"""),"PMU")</f>
        <v>PMU</v>
      </c>
      <c r="O707" s="1"/>
      <c r="P707" s="1"/>
      <c r="Q707" s="1"/>
      <c r="R707" s="1"/>
      <c r="S707" s="1"/>
      <c r="T707" s="1"/>
      <c r="U707" s="1"/>
      <c r="V707" s="1"/>
      <c r="W707" s="1"/>
      <c r="X707" s="1"/>
      <c r="Y707" s="1"/>
      <c r="Z707" s="1"/>
    </row>
    <row r="708" spans="1:26" ht="12.75" customHeight="1">
      <c r="A708" s="1"/>
      <c r="B708" s="10" t="str">
        <f ca="1">IFERROR(__xludf.DUMMYFUNCTION("""COMPUTED_VALUE"""),"[SATE] CONSTRUCCIÓN DE 2,7 KM DE CICLOVIA EN SECTOR URBANO, COMUNA DE MELIPEUCO")</f>
        <v>[SATE] CONSTRUCCIÓN DE 2,7 KM DE CICLOVIA EN SECTOR URBANO, COMUNA DE MELIPEUCO</v>
      </c>
      <c r="C708" s="10" t="str">
        <f ca="1">IFERROR(__xludf.DUMMYFUNCTION("""COMPUTED_VALUE"""),"1-C-2023-93")</f>
        <v>1-C-2023-93</v>
      </c>
      <c r="D708" s="26" t="str">
        <f t="shared" ca="1" si="0"/>
        <v xml:space="preserve"> MELIPEUCO</v>
      </c>
      <c r="E708" s="10" t="str">
        <f ca="1">IFERROR(__xludf.DUMMYFUNCTION("""COMPUTED_VALUE"""),"Guía Operativa")</f>
        <v>Guía Operativa</v>
      </c>
      <c r="F708" s="10" t="str">
        <f ca="1">IFERROR(__xludf.DUMMYFUNCTION("""COMPUTED_VALUE"""),"MUNICIPALIDAD DE MELIPEUCO")</f>
        <v>MUNICIPALIDAD DE MELIPEUCO</v>
      </c>
      <c r="G708" s="71">
        <f ca="1">IFERROR(__xludf.DUMMYFUNCTION("""COMPUTED_VALUE"""),161660191)</f>
        <v>161660191</v>
      </c>
      <c r="H708" s="10" t="str">
        <f ca="1">IFERROR(__xludf.DUMMYFUNCTION("""COMPUTED_VALUE"""),"Resolución")</f>
        <v>Resolución</v>
      </c>
      <c r="I708" s="10" t="str">
        <f ca="1">IFERROR(__xludf.DUMMYFUNCTION("""COMPUTED_VALUE"""),"OBRA")</f>
        <v>OBRA</v>
      </c>
      <c r="J708" s="10" t="str">
        <f ca="1">IFERROR(__xludf.DUMMYFUNCTION("""COMPUTED_VALUE"""),"Cumplir con normativa y reglamentos internos del programa en base a los objetivos.")</f>
        <v>Cumplir con normativa y reglamentos internos del programa en base a los objetivos.</v>
      </c>
      <c r="K708" s="71">
        <f ca="1">IFERROR(__xludf.DUMMYFUNCTION("""COMPUTED_VALUE"""),161660191)</f>
        <v>161660191</v>
      </c>
      <c r="L708" s="72">
        <f ca="1">IFERROR(__xludf.DUMMYFUNCTION("""COMPUTED_VALUE"""),1)</f>
        <v>1</v>
      </c>
      <c r="M708" s="10">
        <f ca="1">IFERROR(__xludf.DUMMYFUNCTION("""COMPUTED_VALUE"""),9332)</f>
        <v>9332</v>
      </c>
      <c r="N708" s="10" t="str">
        <f ca="1">IFERROR(__xludf.DUMMYFUNCTION("""COMPUTED_VALUE"""),"PMU")</f>
        <v>PMU</v>
      </c>
      <c r="O708" s="1"/>
      <c r="P708" s="1"/>
      <c r="Q708" s="1"/>
      <c r="R708" s="1"/>
      <c r="S708" s="1"/>
      <c r="T708" s="1"/>
      <c r="U708" s="1"/>
      <c r="V708" s="1"/>
      <c r="W708" s="1"/>
      <c r="X708" s="1"/>
      <c r="Y708" s="1"/>
      <c r="Z708" s="1"/>
    </row>
    <row r="709" spans="1:26" ht="12.75" customHeight="1">
      <c r="A709" s="1"/>
      <c r="B709" s="10" t="str">
        <f ca="1">IFERROR(__xludf.DUMMYFUNCTION("""COMPUTED_VALUE"""),"[SATE] REPOSICION SEDE SOCIAL SECTOR EL SALTILLO, COMUNA DE LONQUIMAY")</f>
        <v>[SATE] REPOSICION SEDE SOCIAL SECTOR EL SALTILLO, COMUNA DE LONQUIMAY</v>
      </c>
      <c r="C709" s="10" t="str">
        <f ca="1">IFERROR(__xludf.DUMMYFUNCTION("""COMPUTED_VALUE"""),"1-C-2023-170")</f>
        <v>1-C-2023-170</v>
      </c>
      <c r="D709" s="26" t="str">
        <f t="shared" ca="1" si="0"/>
        <v xml:space="preserve"> LONQUIMAY</v>
      </c>
      <c r="E709" s="10" t="str">
        <f ca="1">IFERROR(__xludf.DUMMYFUNCTION("""COMPUTED_VALUE"""),"Guía Operativa")</f>
        <v>Guía Operativa</v>
      </c>
      <c r="F709" s="10" t="str">
        <f ca="1">IFERROR(__xludf.DUMMYFUNCTION("""COMPUTED_VALUE"""),"MUNICIPALIDAD DE LONQUIMAY")</f>
        <v>MUNICIPALIDAD DE LONQUIMAY</v>
      </c>
      <c r="G709" s="71">
        <f ca="1">IFERROR(__xludf.DUMMYFUNCTION("""COMPUTED_VALUE"""),156730000)</f>
        <v>156730000</v>
      </c>
      <c r="H709" s="10" t="str">
        <f ca="1">IFERROR(__xludf.DUMMYFUNCTION("""COMPUTED_VALUE"""),"Resolución")</f>
        <v>Resolución</v>
      </c>
      <c r="I709" s="10" t="str">
        <f ca="1">IFERROR(__xludf.DUMMYFUNCTION("""COMPUTED_VALUE"""),"OBRA")</f>
        <v>OBRA</v>
      </c>
      <c r="J709" s="10" t="str">
        <f ca="1">IFERROR(__xludf.DUMMYFUNCTION("""COMPUTED_VALUE"""),"Cumplir con normativa y reglamentos internos del programa en base a los objetivos.")</f>
        <v>Cumplir con normativa y reglamentos internos del programa en base a los objetivos.</v>
      </c>
      <c r="K709" s="71">
        <f ca="1">IFERROR(__xludf.DUMMYFUNCTION("""COMPUTED_VALUE"""),156730000)</f>
        <v>156730000</v>
      </c>
      <c r="L709" s="72">
        <f ca="1">IFERROR(__xludf.DUMMYFUNCTION("""COMPUTED_VALUE"""),1)</f>
        <v>1</v>
      </c>
      <c r="M709" s="10">
        <f ca="1">IFERROR(__xludf.DUMMYFUNCTION("""COMPUTED_VALUE"""),9354)</f>
        <v>9354</v>
      </c>
      <c r="N709" s="10" t="str">
        <f ca="1">IFERROR(__xludf.DUMMYFUNCTION("""COMPUTED_VALUE"""),"PMU")</f>
        <v>PMU</v>
      </c>
      <c r="O709" s="1"/>
      <c r="P709" s="1"/>
      <c r="Q709" s="1"/>
      <c r="R709" s="1"/>
      <c r="S709" s="1"/>
      <c r="T709" s="1"/>
      <c r="U709" s="1"/>
      <c r="V709" s="1"/>
      <c r="W709" s="1"/>
      <c r="X709" s="1"/>
      <c r="Y709" s="1"/>
      <c r="Z709" s="1"/>
    </row>
    <row r="710" spans="1:26" ht="12.75" customHeight="1">
      <c r="A710" s="1"/>
      <c r="B710" s="10" t="str">
        <f ca="1">IFERROR(__xludf.DUMMYFUNCTION("""COMPUTED_VALUE"""),"MEJORAMIENTO ESTADIO MUNICIPAL, LONCOCHE")</f>
        <v>MEJORAMIENTO ESTADIO MUNICIPAL, LONCOCHE</v>
      </c>
      <c r="C710" s="10" t="str">
        <f ca="1">IFERROR(__xludf.DUMMYFUNCTION("""COMPUTED_VALUE"""),"1-C-2023-191")</f>
        <v>1-C-2023-191</v>
      </c>
      <c r="D710" s="26" t="str">
        <f t="shared" ca="1" si="0"/>
        <v xml:space="preserve"> LONCOCHE</v>
      </c>
      <c r="E710" s="10" t="str">
        <f ca="1">IFERROR(__xludf.DUMMYFUNCTION("""COMPUTED_VALUE"""),"Guía Operativa")</f>
        <v>Guía Operativa</v>
      </c>
      <c r="F710" s="10" t="str">
        <f ca="1">IFERROR(__xludf.DUMMYFUNCTION("""COMPUTED_VALUE"""),"MUNICIPALIDAD DE LONCOCHE")</f>
        <v>MUNICIPALIDAD DE LONCOCHE</v>
      </c>
      <c r="G710" s="71">
        <f ca="1">IFERROR(__xludf.DUMMYFUNCTION("""COMPUTED_VALUE"""),154422499)</f>
        <v>154422499</v>
      </c>
      <c r="H710" s="10" t="str">
        <f ca="1">IFERROR(__xludf.DUMMYFUNCTION("""COMPUTED_VALUE"""),"Resolución")</f>
        <v>Resolución</v>
      </c>
      <c r="I710" s="10" t="str">
        <f ca="1">IFERROR(__xludf.DUMMYFUNCTION("""COMPUTED_VALUE"""),"OBRA")</f>
        <v>OBRA</v>
      </c>
      <c r="J710" s="10" t="str">
        <f ca="1">IFERROR(__xludf.DUMMYFUNCTION("""COMPUTED_VALUE"""),"Cumplir con normativa y reglamentos internos del programa en base a los objetivos.")</f>
        <v>Cumplir con normativa y reglamentos internos del programa en base a los objetivos.</v>
      </c>
      <c r="K710" s="71">
        <f ca="1">IFERROR(__xludf.DUMMYFUNCTION("""COMPUTED_VALUE"""),154422499)</f>
        <v>154422499</v>
      </c>
      <c r="L710" s="72">
        <f ca="1">IFERROR(__xludf.DUMMYFUNCTION("""COMPUTED_VALUE"""),1)</f>
        <v>1</v>
      </c>
      <c r="M710" s="10">
        <f ca="1">IFERROR(__xludf.DUMMYFUNCTION("""COMPUTED_VALUE"""),9358)</f>
        <v>9358</v>
      </c>
      <c r="N710" s="10" t="str">
        <f ca="1">IFERROR(__xludf.DUMMYFUNCTION("""COMPUTED_VALUE"""),"PMU")</f>
        <v>PMU</v>
      </c>
      <c r="O710" s="1"/>
      <c r="P710" s="1"/>
      <c r="Q710" s="1"/>
      <c r="R710" s="1"/>
      <c r="S710" s="1"/>
      <c r="T710" s="1"/>
      <c r="U710" s="1"/>
      <c r="V710" s="1"/>
      <c r="W710" s="1"/>
      <c r="X710" s="1"/>
      <c r="Y710" s="1"/>
      <c r="Z710" s="1"/>
    </row>
    <row r="711" spans="1:26" ht="12.75" customHeight="1">
      <c r="A711" s="1"/>
      <c r="B711" s="10" t="str">
        <f ca="1">IFERROR(__xludf.DUMMYFUNCTION("""COMPUTED_VALUE"""),"CONSTRUCCIÓN CENTRO DE PRODUCCIÓN Y COMERCIO LOCAL, PURÉN")</f>
        <v>CONSTRUCCIÓN CENTRO DE PRODUCCIÓN Y COMERCIO LOCAL, PURÉN</v>
      </c>
      <c r="C711" s="10" t="str">
        <f ca="1">IFERROR(__xludf.DUMMYFUNCTION("""COMPUTED_VALUE"""),"1-C-2023-721")</f>
        <v>1-C-2023-721</v>
      </c>
      <c r="D711" s="26" t="str">
        <f t="shared" ca="1" si="0"/>
        <v xml:space="preserve"> PURÉN</v>
      </c>
      <c r="E711" s="10" t="str">
        <f ca="1">IFERROR(__xludf.DUMMYFUNCTION("""COMPUTED_VALUE"""),"Guía Operativa")</f>
        <v>Guía Operativa</v>
      </c>
      <c r="F711" s="10" t="str">
        <f ca="1">IFERROR(__xludf.DUMMYFUNCTION("""COMPUTED_VALUE"""),"MUNICIPALIDAD DE PURÉN")</f>
        <v>MUNICIPALIDAD DE PURÉN</v>
      </c>
      <c r="G711" s="71">
        <f ca="1">IFERROR(__xludf.DUMMYFUNCTION("""COMPUTED_VALUE"""),150000000)</f>
        <v>150000000</v>
      </c>
      <c r="H711" s="10" t="str">
        <f ca="1">IFERROR(__xludf.DUMMYFUNCTION("""COMPUTED_VALUE"""),"Resolución")</f>
        <v>Resolución</v>
      </c>
      <c r="I711" s="10" t="str">
        <f ca="1">IFERROR(__xludf.DUMMYFUNCTION("""COMPUTED_VALUE"""),"OBRA")</f>
        <v>OBRA</v>
      </c>
      <c r="J711" s="10" t="str">
        <f ca="1">IFERROR(__xludf.DUMMYFUNCTION("""COMPUTED_VALUE"""),"Cumplir con normativa y reglamentos internos del programa en base a los objetivos.")</f>
        <v>Cumplir con normativa y reglamentos internos del programa en base a los objetivos.</v>
      </c>
      <c r="K711" s="71">
        <f ca="1">IFERROR(__xludf.DUMMYFUNCTION("""COMPUTED_VALUE"""),150000000)</f>
        <v>150000000</v>
      </c>
      <c r="L711" s="72">
        <f ca="1">IFERROR(__xludf.DUMMYFUNCTION("""COMPUTED_VALUE"""),1)</f>
        <v>1</v>
      </c>
      <c r="M711" s="10">
        <f ca="1">IFERROR(__xludf.DUMMYFUNCTION("""COMPUTED_VALUE"""),9436)</f>
        <v>9436</v>
      </c>
      <c r="N711" s="10" t="str">
        <f ca="1">IFERROR(__xludf.DUMMYFUNCTION("""COMPUTED_VALUE"""),"PMU")</f>
        <v>PMU</v>
      </c>
      <c r="O711" s="1"/>
      <c r="P711" s="1"/>
      <c r="Q711" s="1"/>
      <c r="R711" s="1"/>
      <c r="S711" s="1"/>
      <c r="T711" s="1"/>
      <c r="U711" s="1"/>
      <c r="V711" s="1"/>
      <c r="W711" s="1"/>
      <c r="X711" s="1"/>
      <c r="Y711" s="1"/>
      <c r="Z711" s="1"/>
    </row>
    <row r="712" spans="1:26" ht="12.75" customHeight="1">
      <c r="A712" s="1"/>
      <c r="B712" s="10" t="str">
        <f ca="1">IFERROR(__xludf.DUMMYFUNCTION("""COMPUTED_VALUE"""),"[SATE] CONSTRUCION ÁREA VERDE VILLA CERRO CASTILLO, LONCOCHE")</f>
        <v>[SATE] CONSTRUCION ÁREA VERDE VILLA CERRO CASTILLO, LONCOCHE</v>
      </c>
      <c r="C712" s="10" t="str">
        <f ca="1">IFERROR(__xludf.DUMMYFUNCTION("""COMPUTED_VALUE"""),"1-C-2023-1184")</f>
        <v>1-C-2023-1184</v>
      </c>
      <c r="D712" s="26" t="str">
        <f t="shared" ca="1" si="0"/>
        <v xml:space="preserve"> LONCOCHE</v>
      </c>
      <c r="E712" s="10" t="str">
        <f ca="1">IFERROR(__xludf.DUMMYFUNCTION("""COMPUTED_VALUE"""),"Guía Operativa")</f>
        <v>Guía Operativa</v>
      </c>
      <c r="F712" s="10" t="str">
        <f ca="1">IFERROR(__xludf.DUMMYFUNCTION("""COMPUTED_VALUE"""),"MUNICIPALIDAD DE LONCOCHE")</f>
        <v>MUNICIPALIDAD DE LONCOCHE</v>
      </c>
      <c r="G712" s="71">
        <f ca="1">IFERROR(__xludf.DUMMYFUNCTION("""COMPUTED_VALUE"""),154422499)</f>
        <v>154422499</v>
      </c>
      <c r="H712" s="10" t="str">
        <f ca="1">IFERROR(__xludf.DUMMYFUNCTION("""COMPUTED_VALUE"""),"Resolución")</f>
        <v>Resolución</v>
      </c>
      <c r="I712" s="10" t="str">
        <f ca="1">IFERROR(__xludf.DUMMYFUNCTION("""COMPUTED_VALUE"""),"OBRA")</f>
        <v>OBRA</v>
      </c>
      <c r="J712" s="10" t="str">
        <f ca="1">IFERROR(__xludf.DUMMYFUNCTION("""COMPUTED_VALUE"""),"Cumplir con normativa y reglamentos internos del programa en base a los objetivos.")</f>
        <v>Cumplir con normativa y reglamentos internos del programa en base a los objetivos.</v>
      </c>
      <c r="K712" s="71">
        <f ca="1">IFERROR(__xludf.DUMMYFUNCTION("""COMPUTED_VALUE"""),154422499)</f>
        <v>154422499</v>
      </c>
      <c r="L712" s="72">
        <f ca="1">IFERROR(__xludf.DUMMYFUNCTION("""COMPUTED_VALUE"""),1)</f>
        <v>1</v>
      </c>
      <c r="M712" s="10">
        <f ca="1">IFERROR(__xludf.DUMMYFUNCTION("""COMPUTED_VALUE"""),9358)</f>
        <v>9358</v>
      </c>
      <c r="N712" s="10" t="str">
        <f ca="1">IFERROR(__xludf.DUMMYFUNCTION("""COMPUTED_VALUE"""),"PMU")</f>
        <v>PMU</v>
      </c>
      <c r="O712" s="1"/>
      <c r="P712" s="1"/>
      <c r="Q712" s="1"/>
      <c r="R712" s="1"/>
      <c r="S712" s="1"/>
      <c r="T712" s="1"/>
      <c r="U712" s="1"/>
      <c r="V712" s="1"/>
      <c r="W712" s="1"/>
      <c r="X712" s="1"/>
      <c r="Y712" s="1"/>
      <c r="Z712" s="1"/>
    </row>
    <row r="713" spans="1:26" ht="12.75" customHeight="1">
      <c r="A713" s="1"/>
      <c r="B713" s="10" t="str">
        <f ca="1">IFERROR(__xludf.DUMMYFUNCTION("""COMPUTED_VALUE"""),"[SATE] CONSTRUCCION SEDE SOCIAL VILLA TROYO,COMUNA LONQUIMAY")</f>
        <v>[SATE] CONSTRUCCION SEDE SOCIAL VILLA TROYO,COMUNA LONQUIMAY</v>
      </c>
      <c r="C713" s="10" t="str">
        <f ca="1">IFERROR(__xludf.DUMMYFUNCTION("""COMPUTED_VALUE"""),"1-C-2023-1227")</f>
        <v>1-C-2023-1227</v>
      </c>
      <c r="D713" s="26" t="str">
        <f t="shared" ca="1" si="0"/>
        <v xml:space="preserve"> LONQUIMAY</v>
      </c>
      <c r="E713" s="10" t="str">
        <f ca="1">IFERROR(__xludf.DUMMYFUNCTION("""COMPUTED_VALUE"""),"Guía Operativa")</f>
        <v>Guía Operativa</v>
      </c>
      <c r="F713" s="10" t="str">
        <f ca="1">IFERROR(__xludf.DUMMYFUNCTION("""COMPUTED_VALUE"""),"MUNICIPALIDAD DE LONQUIMAY")</f>
        <v>MUNICIPALIDAD DE LONQUIMAY</v>
      </c>
      <c r="G713" s="71">
        <f ca="1">IFERROR(__xludf.DUMMYFUNCTION("""COMPUTED_VALUE"""),148410000)</f>
        <v>148410000</v>
      </c>
      <c r="H713" s="10" t="str">
        <f ca="1">IFERROR(__xludf.DUMMYFUNCTION("""COMPUTED_VALUE"""),"Resolución")</f>
        <v>Resolución</v>
      </c>
      <c r="I713" s="10" t="str">
        <f ca="1">IFERROR(__xludf.DUMMYFUNCTION("""COMPUTED_VALUE"""),"OBRA")</f>
        <v>OBRA</v>
      </c>
      <c r="J713" s="10" t="str">
        <f ca="1">IFERROR(__xludf.DUMMYFUNCTION("""COMPUTED_VALUE"""),"Cumplir con normativa y reglamentos internos del programa en base a los objetivos.")</f>
        <v>Cumplir con normativa y reglamentos internos del programa en base a los objetivos.</v>
      </c>
      <c r="K713" s="71">
        <f ca="1">IFERROR(__xludf.DUMMYFUNCTION("""COMPUTED_VALUE"""),148410000)</f>
        <v>148410000</v>
      </c>
      <c r="L713" s="72">
        <f ca="1">IFERROR(__xludf.DUMMYFUNCTION("""COMPUTED_VALUE"""),1)</f>
        <v>1</v>
      </c>
      <c r="M713" s="10">
        <f ca="1">IFERROR(__xludf.DUMMYFUNCTION("""COMPUTED_VALUE"""),9354)</f>
        <v>9354</v>
      </c>
      <c r="N713" s="10" t="str">
        <f ca="1">IFERROR(__xludf.DUMMYFUNCTION("""COMPUTED_VALUE"""),"PMU")</f>
        <v>PMU</v>
      </c>
      <c r="O713" s="1"/>
      <c r="P713" s="1"/>
      <c r="Q713" s="1"/>
      <c r="R713" s="1"/>
      <c r="S713" s="1"/>
      <c r="T713" s="1"/>
      <c r="U713" s="1"/>
      <c r="V713" s="1"/>
      <c r="W713" s="1"/>
      <c r="X713" s="1"/>
      <c r="Y713" s="1"/>
      <c r="Z713" s="1"/>
    </row>
    <row r="714" spans="1:26" ht="12.75" customHeight="1">
      <c r="A714" s="1"/>
      <c r="B714" s="10" t="str">
        <f ca="1">IFERROR(__xludf.DUMMYFUNCTION("""COMPUTED_VALUE"""),"[SATE] REPOSICION ACERAS AVENIDA ERCILLA SUR ENTRE RENGO Y TUCAPEL, COMUNA DE ERCILLA")</f>
        <v>[SATE] REPOSICION ACERAS AVENIDA ERCILLA SUR ENTRE RENGO Y TUCAPEL, COMUNA DE ERCILLA</v>
      </c>
      <c r="C714" s="10" t="str">
        <f ca="1">IFERROR(__xludf.DUMMYFUNCTION("""COMPUTED_VALUE"""),"1-C-2023-1229")</f>
        <v>1-C-2023-1229</v>
      </c>
      <c r="D714" s="26" t="str">
        <f t="shared" ca="1" si="0"/>
        <v xml:space="preserve"> ERCILLA</v>
      </c>
      <c r="E714" s="10" t="str">
        <f ca="1">IFERROR(__xludf.DUMMYFUNCTION("""COMPUTED_VALUE"""),"Guía Operativa")</f>
        <v>Guía Operativa</v>
      </c>
      <c r="F714" s="10" t="str">
        <f ca="1">IFERROR(__xludf.DUMMYFUNCTION("""COMPUTED_VALUE"""),"MUNICIPALIDAD DE ERCILLA")</f>
        <v>MUNICIPALIDAD DE ERCILLA</v>
      </c>
      <c r="G714" s="71">
        <f ca="1">IFERROR(__xludf.DUMMYFUNCTION("""COMPUTED_VALUE"""),110252485)</f>
        <v>110252485</v>
      </c>
      <c r="H714" s="10" t="str">
        <f ca="1">IFERROR(__xludf.DUMMYFUNCTION("""COMPUTED_VALUE"""),"Resolución")</f>
        <v>Resolución</v>
      </c>
      <c r="I714" s="10" t="str">
        <f ca="1">IFERROR(__xludf.DUMMYFUNCTION("""COMPUTED_VALUE"""),"OBRA")</f>
        <v>OBRA</v>
      </c>
      <c r="J714" s="10" t="str">
        <f ca="1">IFERROR(__xludf.DUMMYFUNCTION("""COMPUTED_VALUE"""),"Cumplir con normativa y reglamentos internos del programa en base a los objetivos.")</f>
        <v>Cumplir con normativa y reglamentos internos del programa en base a los objetivos.</v>
      </c>
      <c r="K714" s="71">
        <f ca="1">IFERROR(__xludf.DUMMYFUNCTION("""COMPUTED_VALUE"""),110252485)</f>
        <v>110252485</v>
      </c>
      <c r="L714" s="72">
        <f ca="1">IFERROR(__xludf.DUMMYFUNCTION("""COMPUTED_VALUE"""),1)</f>
        <v>1</v>
      </c>
      <c r="M714" s="10">
        <f ca="1">IFERROR(__xludf.DUMMYFUNCTION("""COMPUTED_VALUE"""),9331)</f>
        <v>9331</v>
      </c>
      <c r="N714" s="10" t="str">
        <f ca="1">IFERROR(__xludf.DUMMYFUNCTION("""COMPUTED_VALUE"""),"PMU")</f>
        <v>PMU</v>
      </c>
      <c r="O714" s="1"/>
      <c r="P714" s="1"/>
      <c r="Q714" s="1"/>
      <c r="R714" s="1"/>
      <c r="S714" s="1"/>
      <c r="T714" s="1"/>
      <c r="U714" s="1"/>
      <c r="V714" s="1"/>
      <c r="W714" s="1"/>
      <c r="X714" s="1"/>
      <c r="Y714" s="1"/>
      <c r="Z714" s="1"/>
    </row>
    <row r="715" spans="1:26" ht="12.75" customHeight="1">
      <c r="A715" s="1"/>
      <c r="B715" s="10" t="str">
        <f ca="1">IFERROR(__xludf.DUMMYFUNCTION("""COMPUTED_VALUE"""),"CONSTRUCCION SEDE COMUNITARIA MELIRREHUE, COMUNA DE GORBEA")</f>
        <v>CONSTRUCCION SEDE COMUNITARIA MELIRREHUE, COMUNA DE GORBEA</v>
      </c>
      <c r="C715" s="10" t="str">
        <f ca="1">IFERROR(__xludf.DUMMYFUNCTION("""COMPUTED_VALUE"""),"1-C-2023-1274")</f>
        <v>1-C-2023-1274</v>
      </c>
      <c r="D715" s="26" t="str">
        <f t="shared" ca="1" si="0"/>
        <v xml:space="preserve"> GORBEA</v>
      </c>
      <c r="E715" s="10" t="str">
        <f ca="1">IFERROR(__xludf.DUMMYFUNCTION("""COMPUTED_VALUE"""),"Guía Operativa")</f>
        <v>Guía Operativa</v>
      </c>
      <c r="F715" s="10" t="str">
        <f ca="1">IFERROR(__xludf.DUMMYFUNCTION("""COMPUTED_VALUE"""),"MUNICIPALIDAD DE GORBEA")</f>
        <v>MUNICIPALIDAD DE GORBEA</v>
      </c>
      <c r="G715" s="71">
        <f ca="1">IFERROR(__xludf.DUMMYFUNCTION("""COMPUTED_VALUE"""),126551266)</f>
        <v>126551266</v>
      </c>
      <c r="H715" s="10" t="str">
        <f ca="1">IFERROR(__xludf.DUMMYFUNCTION("""COMPUTED_VALUE"""),"Resolución")</f>
        <v>Resolución</v>
      </c>
      <c r="I715" s="10" t="str">
        <f ca="1">IFERROR(__xludf.DUMMYFUNCTION("""COMPUTED_VALUE"""),"OBRA")</f>
        <v>OBRA</v>
      </c>
      <c r="J715" s="10" t="str">
        <f ca="1">IFERROR(__xludf.DUMMYFUNCTION("""COMPUTED_VALUE"""),"Cumplir con normativa y reglamentos internos del programa en base a los objetivos.")</f>
        <v>Cumplir con normativa y reglamentos internos del programa en base a los objetivos.</v>
      </c>
      <c r="K715" s="71">
        <f ca="1">IFERROR(__xludf.DUMMYFUNCTION("""COMPUTED_VALUE"""),126551266)</f>
        <v>126551266</v>
      </c>
      <c r="L715" s="72">
        <f ca="1">IFERROR(__xludf.DUMMYFUNCTION("""COMPUTED_VALUE"""),1)</f>
        <v>1</v>
      </c>
      <c r="M715" s="10">
        <f ca="1">IFERROR(__xludf.DUMMYFUNCTION("""COMPUTED_VALUE"""),9330)</f>
        <v>9330</v>
      </c>
      <c r="N715" s="10" t="str">
        <f ca="1">IFERROR(__xludf.DUMMYFUNCTION("""COMPUTED_VALUE"""),"PMU")</f>
        <v>PMU</v>
      </c>
      <c r="O715" s="1"/>
      <c r="P715" s="1"/>
      <c r="Q715" s="1"/>
      <c r="R715" s="1"/>
      <c r="S715" s="1"/>
      <c r="T715" s="1"/>
      <c r="U715" s="1"/>
      <c r="V715" s="1"/>
      <c r="W715" s="1"/>
      <c r="X715" s="1"/>
      <c r="Y715" s="1"/>
      <c r="Z715" s="1"/>
    </row>
    <row r="716" spans="1:26" ht="12.75" customHeight="1">
      <c r="A716" s="1"/>
      <c r="B716" s="10" t="str">
        <f ca="1">IFERROR(__xludf.DUMMYFUNCTION("""COMPUTED_VALUE"""),"MEJORAMIENTO Y REPOSICIÓN JUEGOS INFANTILES PLAZA INTERCULTURAL LUMACO")</f>
        <v>MEJORAMIENTO Y REPOSICIÓN JUEGOS INFANTILES PLAZA INTERCULTURAL LUMACO</v>
      </c>
      <c r="C716" s="10" t="str">
        <f ca="1">IFERROR(__xludf.DUMMYFUNCTION("""COMPUTED_VALUE"""),"1-C-2023-1438")</f>
        <v>1-C-2023-1438</v>
      </c>
      <c r="D716" s="26" t="str">
        <f t="shared" ca="1" si="0"/>
        <v xml:space="preserve"> LUMACO</v>
      </c>
      <c r="E716" s="10" t="str">
        <f ca="1">IFERROR(__xludf.DUMMYFUNCTION("""COMPUTED_VALUE"""),"Guía Operativa")</f>
        <v>Guía Operativa</v>
      </c>
      <c r="F716" s="10" t="str">
        <f ca="1">IFERROR(__xludf.DUMMYFUNCTION("""COMPUTED_VALUE"""),"MUNICIPALIDAD DE LUMACO")</f>
        <v>MUNICIPALIDAD DE LUMACO</v>
      </c>
      <c r="G716" s="71">
        <f ca="1">IFERROR(__xludf.DUMMYFUNCTION("""COMPUTED_VALUE"""),49518787)</f>
        <v>49518787</v>
      </c>
      <c r="H716" s="10" t="str">
        <f ca="1">IFERROR(__xludf.DUMMYFUNCTION("""COMPUTED_VALUE"""),"Resolución")</f>
        <v>Resolución</v>
      </c>
      <c r="I716" s="10" t="str">
        <f ca="1">IFERROR(__xludf.DUMMYFUNCTION("""COMPUTED_VALUE"""),"OBRA")</f>
        <v>OBRA</v>
      </c>
      <c r="J716" s="10" t="str">
        <f ca="1">IFERROR(__xludf.DUMMYFUNCTION("""COMPUTED_VALUE"""),"Cumplir con normativa y reglamentos internos del programa en base a los objetivos.")</f>
        <v>Cumplir con normativa y reglamentos internos del programa en base a los objetivos.</v>
      </c>
      <c r="K716" s="71">
        <f ca="1">IFERROR(__xludf.DUMMYFUNCTION("""COMPUTED_VALUE"""),49518787)</f>
        <v>49518787</v>
      </c>
      <c r="L716" s="72">
        <f ca="1">IFERROR(__xludf.DUMMYFUNCTION("""COMPUTED_VALUE"""),1)</f>
        <v>1</v>
      </c>
      <c r="M716" s="10">
        <f ca="1">IFERROR(__xludf.DUMMYFUNCTION("""COMPUTED_VALUE"""),9433)</f>
        <v>9433</v>
      </c>
      <c r="N716" s="10" t="str">
        <f ca="1">IFERROR(__xludf.DUMMYFUNCTION("""COMPUTED_VALUE"""),"PMU")</f>
        <v>PMU</v>
      </c>
      <c r="O716" s="1"/>
      <c r="P716" s="1"/>
      <c r="Q716" s="1"/>
      <c r="R716" s="1"/>
      <c r="S716" s="1"/>
      <c r="T716" s="1"/>
      <c r="U716" s="1"/>
      <c r="V716" s="1"/>
      <c r="W716" s="1"/>
      <c r="X716" s="1"/>
      <c r="Y716" s="1"/>
      <c r="Z716" s="1"/>
    </row>
    <row r="717" spans="1:26" ht="12.75" customHeight="1">
      <c r="A717" s="1"/>
      <c r="B717" s="10" t="str">
        <f ca="1">IFERROR(__xludf.DUMMYFUNCTION("""COMPUTED_VALUE"""),"REPOSICION MULTICANCHA SECTOR ""EL ALTO"" COMUNA DE PITRUFQUEN")</f>
        <v>REPOSICION MULTICANCHA SECTOR "EL ALTO" COMUNA DE PITRUFQUEN</v>
      </c>
      <c r="C717" s="10" t="str">
        <f ca="1">IFERROR(__xludf.DUMMYFUNCTION("""COMPUTED_VALUE"""),"1-C-2023-1527")</f>
        <v>1-C-2023-1527</v>
      </c>
      <c r="D717" s="26" t="str">
        <f t="shared" ca="1" si="0"/>
        <v xml:space="preserve"> PITRUFQUÉN</v>
      </c>
      <c r="E717" s="10" t="str">
        <f ca="1">IFERROR(__xludf.DUMMYFUNCTION("""COMPUTED_VALUE"""),"Guía Operativa")</f>
        <v>Guía Operativa</v>
      </c>
      <c r="F717" s="10" t="str">
        <f ca="1">IFERROR(__xludf.DUMMYFUNCTION("""COMPUTED_VALUE"""),"MUNICIPALIDAD DE PITRUFQUÉN")</f>
        <v>MUNICIPALIDAD DE PITRUFQUÉN</v>
      </c>
      <c r="G717" s="71">
        <f ca="1">IFERROR(__xludf.DUMMYFUNCTION("""COMPUTED_VALUE"""),154365199)</f>
        <v>154365199</v>
      </c>
      <c r="H717" s="10" t="str">
        <f ca="1">IFERROR(__xludf.DUMMYFUNCTION("""COMPUTED_VALUE"""),"Resolución")</f>
        <v>Resolución</v>
      </c>
      <c r="I717" s="10" t="str">
        <f ca="1">IFERROR(__xludf.DUMMYFUNCTION("""COMPUTED_VALUE"""),"OBRA")</f>
        <v>OBRA</v>
      </c>
      <c r="J717" s="10" t="str">
        <f ca="1">IFERROR(__xludf.DUMMYFUNCTION("""COMPUTED_VALUE"""),"Cumplir con normativa y reglamentos internos del programa en base a los objetivos.")</f>
        <v>Cumplir con normativa y reglamentos internos del programa en base a los objetivos.</v>
      </c>
      <c r="K717" s="71">
        <f ca="1">IFERROR(__xludf.DUMMYFUNCTION("""COMPUTED_VALUE"""),154365199)</f>
        <v>154365199</v>
      </c>
      <c r="L717" s="72">
        <f ca="1">IFERROR(__xludf.DUMMYFUNCTION("""COMPUTED_VALUE"""),1)</f>
        <v>1</v>
      </c>
      <c r="M717" s="10">
        <f ca="1">IFERROR(__xludf.DUMMYFUNCTION("""COMPUTED_VALUE"""),9359)</f>
        <v>9359</v>
      </c>
      <c r="N717" s="10" t="str">
        <f ca="1">IFERROR(__xludf.DUMMYFUNCTION("""COMPUTED_VALUE"""),"PMU")</f>
        <v>PMU</v>
      </c>
      <c r="O717" s="1"/>
      <c r="P717" s="1"/>
      <c r="Q717" s="1"/>
      <c r="R717" s="1"/>
      <c r="S717" s="1"/>
      <c r="T717" s="1"/>
      <c r="U717" s="1"/>
      <c r="V717" s="1"/>
      <c r="W717" s="1"/>
      <c r="X717" s="1"/>
      <c r="Y717" s="1"/>
      <c r="Z717" s="1"/>
    </row>
    <row r="718" spans="1:26" ht="12.75" customHeight="1">
      <c r="A718" s="1"/>
      <c r="B718" s="10" t="str">
        <f ca="1">IFERROR(__xludf.DUMMYFUNCTION("""COMPUTED_VALUE"""),"CONSTRUCCIÓN PORTAL DE ACCESO LICAN RAY")</f>
        <v>CONSTRUCCIÓN PORTAL DE ACCESO LICAN RAY</v>
      </c>
      <c r="C718" s="10" t="str">
        <f ca="1">IFERROR(__xludf.DUMMYFUNCTION("""COMPUTED_VALUE"""),"1-C-2023-1664")</f>
        <v>1-C-2023-1664</v>
      </c>
      <c r="D718" s="26" t="str">
        <f t="shared" ca="1" si="0"/>
        <v xml:space="preserve"> VILLARRICA</v>
      </c>
      <c r="E718" s="10" t="str">
        <f ca="1">IFERROR(__xludf.DUMMYFUNCTION("""COMPUTED_VALUE"""),"Guía Operativa")</f>
        <v>Guía Operativa</v>
      </c>
      <c r="F718" s="10" t="str">
        <f ca="1">IFERROR(__xludf.DUMMYFUNCTION("""COMPUTED_VALUE"""),"MUNICIPALIDAD DE VILLARRICA")</f>
        <v>MUNICIPALIDAD DE VILLARRICA</v>
      </c>
      <c r="G718" s="71">
        <f ca="1">IFERROR(__xludf.DUMMYFUNCTION("""COMPUTED_VALUE"""),122964640)</f>
        <v>122964640</v>
      </c>
      <c r="H718" s="10" t="str">
        <f ca="1">IFERROR(__xludf.DUMMYFUNCTION("""COMPUTED_VALUE"""),"Resolución")</f>
        <v>Resolución</v>
      </c>
      <c r="I718" s="10" t="str">
        <f ca="1">IFERROR(__xludf.DUMMYFUNCTION("""COMPUTED_VALUE"""),"OBRA")</f>
        <v>OBRA</v>
      </c>
      <c r="J718" s="10" t="str">
        <f ca="1">IFERROR(__xludf.DUMMYFUNCTION("""COMPUTED_VALUE"""),"Cumplir con normativa y reglamentos internos del programa en base a los objetivos.")</f>
        <v>Cumplir con normativa y reglamentos internos del programa en base a los objetivos.</v>
      </c>
      <c r="K718" s="71">
        <f ca="1">IFERROR(__xludf.DUMMYFUNCTION("""COMPUTED_VALUE"""),122964640)</f>
        <v>122964640</v>
      </c>
      <c r="L718" s="72">
        <f ca="1">IFERROR(__xludf.DUMMYFUNCTION("""COMPUTED_VALUE"""),1)</f>
        <v>1</v>
      </c>
      <c r="M718" s="10">
        <f ca="1">IFERROR(__xludf.DUMMYFUNCTION("""COMPUTED_VALUE"""),9361)</f>
        <v>9361</v>
      </c>
      <c r="N718" s="10" t="str">
        <f ca="1">IFERROR(__xludf.DUMMYFUNCTION("""COMPUTED_VALUE"""),"PMU")</f>
        <v>PMU</v>
      </c>
      <c r="O718" s="1"/>
      <c r="P718" s="1"/>
      <c r="Q718" s="1"/>
      <c r="R718" s="1"/>
      <c r="S718" s="1"/>
      <c r="T718" s="1"/>
      <c r="U718" s="1"/>
      <c r="V718" s="1"/>
      <c r="W718" s="1"/>
      <c r="X718" s="1"/>
      <c r="Y718" s="1"/>
      <c r="Z718" s="1"/>
    </row>
    <row r="719" spans="1:26" ht="12.75" customHeight="1">
      <c r="A719" s="1"/>
      <c r="B719" s="10" t="str">
        <f ca="1">IFERROR(__xludf.DUMMYFUNCTION("""COMPUTED_VALUE"""),"REPOSICIÓN CIERRE PERIMETRAL Y CUBIERTA DE ACCESO CEMENTERIO COMUNIDIDAD INDIGENA DOMINGO PAINEVILU I")</f>
        <v>REPOSICIÓN CIERRE PERIMETRAL Y CUBIERTA DE ACCESO CEMENTERIO COMUNIDIDAD INDIGENA DOMINGO PAINEVILU I</v>
      </c>
      <c r="C719" s="10" t="str">
        <f ca="1">IFERROR(__xludf.DUMMYFUNCTION("""COMPUTED_VALUE"""),"1-C-2023-1824")</f>
        <v>1-C-2023-1824</v>
      </c>
      <c r="D719" s="26" t="str">
        <f t="shared" ca="1" si="0"/>
        <v xml:space="preserve"> PADRE LAS CASAS</v>
      </c>
      <c r="E719" s="10" t="str">
        <f ca="1">IFERROR(__xludf.DUMMYFUNCTION("""COMPUTED_VALUE"""),"Guía Operativa")</f>
        <v>Guía Operativa</v>
      </c>
      <c r="F719" s="10" t="str">
        <f ca="1">IFERROR(__xludf.DUMMYFUNCTION("""COMPUTED_VALUE"""),"MUNICIPALIDAD DE PADRE LAS CASAS")</f>
        <v>MUNICIPALIDAD DE PADRE LAS CASAS</v>
      </c>
      <c r="G719" s="71">
        <f ca="1">IFERROR(__xludf.DUMMYFUNCTION("""COMPUTED_VALUE"""),82814451)</f>
        <v>82814451</v>
      </c>
      <c r="H719" s="10" t="str">
        <f ca="1">IFERROR(__xludf.DUMMYFUNCTION("""COMPUTED_VALUE"""),"Resolución")</f>
        <v>Resolución</v>
      </c>
      <c r="I719" s="10" t="str">
        <f ca="1">IFERROR(__xludf.DUMMYFUNCTION("""COMPUTED_VALUE"""),"OBRA")</f>
        <v>OBRA</v>
      </c>
      <c r="J719" s="10" t="str">
        <f ca="1">IFERROR(__xludf.DUMMYFUNCTION("""COMPUTED_VALUE"""),"Cumplir con normativa y reglamentos internos del programa en base a los objetivos.")</f>
        <v>Cumplir con normativa y reglamentos internos del programa en base a los objetivos.</v>
      </c>
      <c r="K719" s="71">
        <f ca="1">IFERROR(__xludf.DUMMYFUNCTION("""COMPUTED_VALUE"""),82814451)</f>
        <v>82814451</v>
      </c>
      <c r="L719" s="72">
        <f ca="1">IFERROR(__xludf.DUMMYFUNCTION("""COMPUTED_VALUE"""),1)</f>
        <v>1</v>
      </c>
      <c r="M719" s="10">
        <f ca="1">IFERROR(__xludf.DUMMYFUNCTION("""COMPUTED_VALUE"""),9356)</f>
        <v>9356</v>
      </c>
      <c r="N719" s="10" t="str">
        <f ca="1">IFERROR(__xludf.DUMMYFUNCTION("""COMPUTED_VALUE"""),"PMU")</f>
        <v>PMU</v>
      </c>
      <c r="O719" s="1"/>
      <c r="P719" s="1"/>
      <c r="Q719" s="1"/>
      <c r="R719" s="1"/>
      <c r="S719" s="1"/>
      <c r="T719" s="1"/>
      <c r="U719" s="1"/>
      <c r="V719" s="1"/>
      <c r="W719" s="1"/>
      <c r="X719" s="1"/>
      <c r="Y719" s="1"/>
      <c r="Z719" s="1"/>
    </row>
    <row r="720" spans="1:26" ht="12.75" customHeight="1">
      <c r="A720" s="1"/>
      <c r="B720" s="10" t="str">
        <f ca="1">IFERROR(__xludf.DUMMYFUNCTION("""COMPUTED_VALUE"""),"REPOSICIÓN CIERRE PERIMETRAL Y CUBIERTA DE ACCESO CEMENTERIO COMUNIDIDAD INDIGENA CURIHUINCA VIDAL, PADRE LAS CASAS")</f>
        <v>REPOSICIÓN CIERRE PERIMETRAL Y CUBIERTA DE ACCESO CEMENTERIO COMUNIDIDAD INDIGENA CURIHUINCA VIDAL, PADRE LAS CASAS</v>
      </c>
      <c r="C720" s="10" t="str">
        <f ca="1">IFERROR(__xludf.DUMMYFUNCTION("""COMPUTED_VALUE"""),"1-C-2023-1826")</f>
        <v>1-C-2023-1826</v>
      </c>
      <c r="D720" s="26" t="str">
        <f t="shared" ca="1" si="0"/>
        <v xml:space="preserve"> PADRE LAS CASAS</v>
      </c>
      <c r="E720" s="10" t="str">
        <f ca="1">IFERROR(__xludf.DUMMYFUNCTION("""COMPUTED_VALUE"""),"Guía Operativa")</f>
        <v>Guía Operativa</v>
      </c>
      <c r="F720" s="10" t="str">
        <f ca="1">IFERROR(__xludf.DUMMYFUNCTION("""COMPUTED_VALUE"""),"MUNICIPALIDAD DE PADRE LAS CASAS")</f>
        <v>MUNICIPALIDAD DE PADRE LAS CASAS</v>
      </c>
      <c r="G720" s="71">
        <f ca="1">IFERROR(__xludf.DUMMYFUNCTION("""COMPUTED_VALUE"""),88918906)</f>
        <v>88918906</v>
      </c>
      <c r="H720" s="10" t="str">
        <f ca="1">IFERROR(__xludf.DUMMYFUNCTION("""COMPUTED_VALUE"""),"Resolución")</f>
        <v>Resolución</v>
      </c>
      <c r="I720" s="10" t="str">
        <f ca="1">IFERROR(__xludf.DUMMYFUNCTION("""COMPUTED_VALUE"""),"OBRA")</f>
        <v>OBRA</v>
      </c>
      <c r="J720" s="10" t="str">
        <f ca="1">IFERROR(__xludf.DUMMYFUNCTION("""COMPUTED_VALUE"""),"Cumplir con normativa y reglamentos internos del programa en base a los objetivos.")</f>
        <v>Cumplir con normativa y reglamentos internos del programa en base a los objetivos.</v>
      </c>
      <c r="K720" s="71">
        <f ca="1">IFERROR(__xludf.DUMMYFUNCTION("""COMPUTED_VALUE"""),88918906)</f>
        <v>88918906</v>
      </c>
      <c r="L720" s="72">
        <f ca="1">IFERROR(__xludf.DUMMYFUNCTION("""COMPUTED_VALUE"""),1)</f>
        <v>1</v>
      </c>
      <c r="M720" s="10">
        <f ca="1">IFERROR(__xludf.DUMMYFUNCTION("""COMPUTED_VALUE"""),9356)</f>
        <v>9356</v>
      </c>
      <c r="N720" s="10" t="str">
        <f ca="1">IFERROR(__xludf.DUMMYFUNCTION("""COMPUTED_VALUE"""),"PMU")</f>
        <v>PMU</v>
      </c>
      <c r="O720" s="1"/>
      <c r="P720" s="1"/>
      <c r="Q720" s="1"/>
      <c r="R720" s="1"/>
      <c r="S720" s="1"/>
      <c r="T720" s="1"/>
      <c r="U720" s="1"/>
      <c r="V720" s="1"/>
      <c r="W720" s="1"/>
      <c r="X720" s="1"/>
      <c r="Y720" s="1"/>
      <c r="Z720" s="1"/>
    </row>
    <row r="721" spans="1:26" ht="12.75" customHeight="1">
      <c r="A721" s="1"/>
      <c r="B721" s="10" t="str">
        <f ca="1">IFERROR(__xludf.DUMMYFUNCTION("""COMPUTED_VALUE"""),"REPOSICIÓN CIERRE PERIMETRAL Y CUBIERTA DE ACCESO CEMENTERIO COMUNIDIDAD INDIGENA JUAN NECUL")</f>
        <v>REPOSICIÓN CIERRE PERIMETRAL Y CUBIERTA DE ACCESO CEMENTERIO COMUNIDIDAD INDIGENA JUAN NECUL</v>
      </c>
      <c r="C721" s="10" t="str">
        <f ca="1">IFERROR(__xludf.DUMMYFUNCTION("""COMPUTED_VALUE"""),"1-C-2023-1852")</f>
        <v>1-C-2023-1852</v>
      </c>
      <c r="D721" s="26" t="str">
        <f t="shared" ca="1" si="0"/>
        <v xml:space="preserve"> PADRE LAS CASAS</v>
      </c>
      <c r="E721" s="10" t="str">
        <f ca="1">IFERROR(__xludf.DUMMYFUNCTION("""COMPUTED_VALUE"""),"Guía Operativa")</f>
        <v>Guía Operativa</v>
      </c>
      <c r="F721" s="10" t="str">
        <f ca="1">IFERROR(__xludf.DUMMYFUNCTION("""COMPUTED_VALUE"""),"MUNICIPALIDAD DE PADRE LAS CASAS")</f>
        <v>MUNICIPALIDAD DE PADRE LAS CASAS</v>
      </c>
      <c r="G721" s="71">
        <f ca="1">IFERROR(__xludf.DUMMYFUNCTION("""COMPUTED_VALUE"""),85812451)</f>
        <v>85812451</v>
      </c>
      <c r="H721" s="10" t="str">
        <f ca="1">IFERROR(__xludf.DUMMYFUNCTION("""COMPUTED_VALUE"""),"Resolución")</f>
        <v>Resolución</v>
      </c>
      <c r="I721" s="10" t="str">
        <f ca="1">IFERROR(__xludf.DUMMYFUNCTION("""COMPUTED_VALUE"""),"OBRA")</f>
        <v>OBRA</v>
      </c>
      <c r="J721" s="10" t="str">
        <f ca="1">IFERROR(__xludf.DUMMYFUNCTION("""COMPUTED_VALUE"""),"Cumplir con normativa y reglamentos internos del programa en base a los objetivos.")</f>
        <v>Cumplir con normativa y reglamentos internos del programa en base a los objetivos.</v>
      </c>
      <c r="K721" s="71">
        <f ca="1">IFERROR(__xludf.DUMMYFUNCTION("""COMPUTED_VALUE"""),85812451)</f>
        <v>85812451</v>
      </c>
      <c r="L721" s="72">
        <f ca="1">IFERROR(__xludf.DUMMYFUNCTION("""COMPUTED_VALUE"""),1)</f>
        <v>1</v>
      </c>
      <c r="M721" s="10">
        <f ca="1">IFERROR(__xludf.DUMMYFUNCTION("""COMPUTED_VALUE"""),9356)</f>
        <v>9356</v>
      </c>
      <c r="N721" s="10" t="str">
        <f ca="1">IFERROR(__xludf.DUMMYFUNCTION("""COMPUTED_VALUE"""),"PMU")</f>
        <v>PMU</v>
      </c>
      <c r="O721" s="1"/>
      <c r="P721" s="1"/>
      <c r="Q721" s="1"/>
      <c r="R721" s="1"/>
      <c r="S721" s="1"/>
      <c r="T721" s="1"/>
      <c r="U721" s="1"/>
      <c r="V721" s="1"/>
      <c r="W721" s="1"/>
      <c r="X721" s="1"/>
      <c r="Y721" s="1"/>
      <c r="Z721" s="1"/>
    </row>
    <row r="722" spans="1:26" ht="12.75" customHeight="1">
      <c r="A722" s="1"/>
      <c r="B722" s="10" t="str">
        <f ca="1">IFERROR(__xludf.DUMMYFUNCTION("""COMPUTED_VALUE"""),"CONSTRUCCIÓN REFUGIO TRANSITORIO ADULTO MAYOR, COMUNA DE PURÉN")</f>
        <v>CONSTRUCCIÓN REFUGIO TRANSITORIO ADULTO MAYOR, COMUNA DE PURÉN</v>
      </c>
      <c r="C722" s="10" t="str">
        <f ca="1">IFERROR(__xludf.DUMMYFUNCTION("""COMPUTED_VALUE"""),"1-C-2023-1853")</f>
        <v>1-C-2023-1853</v>
      </c>
      <c r="D722" s="26" t="str">
        <f t="shared" ca="1" si="0"/>
        <v xml:space="preserve"> PURÉN</v>
      </c>
      <c r="E722" s="10" t="str">
        <f ca="1">IFERROR(__xludf.DUMMYFUNCTION("""COMPUTED_VALUE"""),"Guía Operativa")</f>
        <v>Guía Operativa</v>
      </c>
      <c r="F722" s="10" t="str">
        <f ca="1">IFERROR(__xludf.DUMMYFUNCTION("""COMPUTED_VALUE"""),"MUNICIPALIDAD DE PURÉN")</f>
        <v>MUNICIPALIDAD DE PURÉN</v>
      </c>
      <c r="G722" s="71">
        <f ca="1">IFERROR(__xludf.DUMMYFUNCTION("""COMPUTED_VALUE"""),150000000)</f>
        <v>150000000</v>
      </c>
      <c r="H722" s="10" t="str">
        <f ca="1">IFERROR(__xludf.DUMMYFUNCTION("""COMPUTED_VALUE"""),"Resolución")</f>
        <v>Resolución</v>
      </c>
      <c r="I722" s="10" t="str">
        <f ca="1">IFERROR(__xludf.DUMMYFUNCTION("""COMPUTED_VALUE"""),"OBRA")</f>
        <v>OBRA</v>
      </c>
      <c r="J722" s="10" t="str">
        <f ca="1">IFERROR(__xludf.DUMMYFUNCTION("""COMPUTED_VALUE"""),"Cumplir con normativa y reglamentos internos del programa en base a los objetivos.")</f>
        <v>Cumplir con normativa y reglamentos internos del programa en base a los objetivos.</v>
      </c>
      <c r="K722" s="71">
        <f ca="1">IFERROR(__xludf.DUMMYFUNCTION("""COMPUTED_VALUE"""),150000000)</f>
        <v>150000000</v>
      </c>
      <c r="L722" s="72">
        <f ca="1">IFERROR(__xludf.DUMMYFUNCTION("""COMPUTED_VALUE"""),1)</f>
        <v>1</v>
      </c>
      <c r="M722" s="10">
        <f ca="1">IFERROR(__xludf.DUMMYFUNCTION("""COMPUTED_VALUE"""),9432)</f>
        <v>9432</v>
      </c>
      <c r="N722" s="10" t="str">
        <f ca="1">IFERROR(__xludf.DUMMYFUNCTION("""COMPUTED_VALUE"""),"PMU")</f>
        <v>PMU</v>
      </c>
      <c r="O722" s="1"/>
      <c r="P722" s="1"/>
      <c r="Q722" s="1"/>
      <c r="R722" s="1"/>
      <c r="S722" s="1"/>
      <c r="T722" s="1"/>
      <c r="U722" s="1"/>
      <c r="V722" s="1"/>
      <c r="W722" s="1"/>
      <c r="X722" s="1"/>
      <c r="Y722" s="1"/>
      <c r="Z722" s="1"/>
    </row>
    <row r="723" spans="1:26" ht="12.75" customHeight="1">
      <c r="A723" s="1"/>
      <c r="B723" s="10" t="str">
        <f ca="1">IFERROR(__xludf.DUMMYFUNCTION("""COMPUTED_VALUE"""),"CONSTRUCCIÓN SALÓN CLUB ADULTO MAYOR LAS ILUSIONES, COMUNA DE PURÉN")</f>
        <v>CONSTRUCCIÓN SALÓN CLUB ADULTO MAYOR LAS ILUSIONES, COMUNA DE PURÉN</v>
      </c>
      <c r="C723" s="10" t="str">
        <f ca="1">IFERROR(__xludf.DUMMYFUNCTION("""COMPUTED_VALUE"""),"1-C-2023-2296")</f>
        <v>1-C-2023-2296</v>
      </c>
      <c r="D723" s="26" t="str">
        <f t="shared" ca="1" si="0"/>
        <v xml:space="preserve"> PURÉN</v>
      </c>
      <c r="E723" s="10" t="str">
        <f ca="1">IFERROR(__xludf.DUMMYFUNCTION("""COMPUTED_VALUE"""),"Guía Operativa")</f>
        <v>Guía Operativa</v>
      </c>
      <c r="F723" s="10" t="str">
        <f ca="1">IFERROR(__xludf.DUMMYFUNCTION("""COMPUTED_VALUE"""),"MUNICIPALIDAD DE PURÉN")</f>
        <v>MUNICIPALIDAD DE PURÉN</v>
      </c>
      <c r="G723" s="71">
        <f ca="1">IFERROR(__xludf.DUMMYFUNCTION("""COMPUTED_VALUE"""),81000000)</f>
        <v>81000000</v>
      </c>
      <c r="H723" s="10" t="str">
        <f ca="1">IFERROR(__xludf.DUMMYFUNCTION("""COMPUTED_VALUE"""),"Resolución")</f>
        <v>Resolución</v>
      </c>
      <c r="I723" s="10" t="str">
        <f ca="1">IFERROR(__xludf.DUMMYFUNCTION("""COMPUTED_VALUE"""),"OBRA")</f>
        <v>OBRA</v>
      </c>
      <c r="J723" s="10" t="str">
        <f ca="1">IFERROR(__xludf.DUMMYFUNCTION("""COMPUTED_VALUE"""),"Cumplir con normativa y reglamentos internos del programa en base a los objetivos.")</f>
        <v>Cumplir con normativa y reglamentos internos del programa en base a los objetivos.</v>
      </c>
      <c r="K723" s="71">
        <f ca="1">IFERROR(__xludf.DUMMYFUNCTION("""COMPUTED_VALUE"""),81000000)</f>
        <v>81000000</v>
      </c>
      <c r="L723" s="72">
        <f ca="1">IFERROR(__xludf.DUMMYFUNCTION("""COMPUTED_VALUE"""),1)</f>
        <v>1</v>
      </c>
      <c r="M723" s="10">
        <f ca="1">IFERROR(__xludf.DUMMYFUNCTION("""COMPUTED_VALUE"""),9435)</f>
        <v>9435</v>
      </c>
      <c r="N723" s="10" t="str">
        <f ca="1">IFERROR(__xludf.DUMMYFUNCTION("""COMPUTED_VALUE"""),"PMU")</f>
        <v>PMU</v>
      </c>
      <c r="O723" s="1"/>
      <c r="P723" s="1"/>
      <c r="Q723" s="1"/>
      <c r="R723" s="1"/>
      <c r="S723" s="1"/>
      <c r="T723" s="1"/>
      <c r="U723" s="1"/>
      <c r="V723" s="1"/>
      <c r="W723" s="1"/>
      <c r="X723" s="1"/>
      <c r="Y723" s="1"/>
      <c r="Z723" s="1"/>
    </row>
    <row r="724" spans="1:26" ht="12.75" customHeight="1">
      <c r="A724" s="1"/>
      <c r="B724" s="10" t="str">
        <f ca="1">IFERROR(__xludf.DUMMYFUNCTION("""COMPUTED_VALUE"""),"REPOSICIÓN CIERRE PERIMETRAL VERTEDERO MUNICIPAL, COMUNA DE LONQUIMAY")</f>
        <v>REPOSICIÓN CIERRE PERIMETRAL VERTEDERO MUNICIPAL, COMUNA DE LONQUIMAY</v>
      </c>
      <c r="C724" s="10" t="str">
        <f ca="1">IFERROR(__xludf.DUMMYFUNCTION("""COMPUTED_VALUE"""),"1-C-2023-2658")</f>
        <v>1-C-2023-2658</v>
      </c>
      <c r="D724" s="26" t="str">
        <f t="shared" ca="1" si="0"/>
        <v xml:space="preserve"> LONQUIMAY</v>
      </c>
      <c r="E724" s="10" t="str">
        <f ca="1">IFERROR(__xludf.DUMMYFUNCTION("""COMPUTED_VALUE"""),"Guía Operativa")</f>
        <v>Guía Operativa</v>
      </c>
      <c r="F724" s="10" t="str">
        <f ca="1">IFERROR(__xludf.DUMMYFUNCTION("""COMPUTED_VALUE"""),"MUNICIPALIDAD DE LONQUIMAY")</f>
        <v>MUNICIPALIDAD DE LONQUIMAY</v>
      </c>
      <c r="G724" s="71">
        <f ca="1">IFERROR(__xludf.DUMMYFUNCTION("""COMPUTED_VALUE"""),128152950)</f>
        <v>128152950</v>
      </c>
      <c r="H724" s="10" t="str">
        <f ca="1">IFERROR(__xludf.DUMMYFUNCTION("""COMPUTED_VALUE"""),"Resolución")</f>
        <v>Resolución</v>
      </c>
      <c r="I724" s="10" t="str">
        <f ca="1">IFERROR(__xludf.DUMMYFUNCTION("""COMPUTED_VALUE"""),"OBRA")</f>
        <v>OBRA</v>
      </c>
      <c r="J724" s="10" t="str">
        <f ca="1">IFERROR(__xludf.DUMMYFUNCTION("""COMPUTED_VALUE"""),"Cumplir con normativa y reglamentos internos del programa en base a los objetivos.")</f>
        <v>Cumplir con normativa y reglamentos internos del programa en base a los objetivos.</v>
      </c>
      <c r="K724" s="71">
        <f ca="1">IFERROR(__xludf.DUMMYFUNCTION("""COMPUTED_VALUE"""),128152950)</f>
        <v>128152950</v>
      </c>
      <c r="L724" s="72">
        <f ca="1">IFERROR(__xludf.DUMMYFUNCTION("""COMPUTED_VALUE"""),1)</f>
        <v>1</v>
      </c>
      <c r="M724" s="10">
        <f ca="1">IFERROR(__xludf.DUMMYFUNCTION("""COMPUTED_VALUE"""),9354)</f>
        <v>9354</v>
      </c>
      <c r="N724" s="10" t="str">
        <f ca="1">IFERROR(__xludf.DUMMYFUNCTION("""COMPUTED_VALUE"""),"PMU")</f>
        <v>PMU</v>
      </c>
      <c r="O724" s="1"/>
      <c r="P724" s="1"/>
      <c r="Q724" s="1"/>
      <c r="R724" s="1"/>
      <c r="S724" s="1"/>
      <c r="T724" s="1"/>
      <c r="U724" s="1"/>
      <c r="V724" s="1"/>
      <c r="W724" s="1"/>
      <c r="X724" s="1"/>
      <c r="Y724" s="1"/>
      <c r="Z724" s="1"/>
    </row>
    <row r="725" spans="1:26" ht="12.75" customHeight="1">
      <c r="A725" s="1"/>
      <c r="B725" s="10" t="str">
        <f ca="1">IFERROR(__xludf.DUMMYFUNCTION("""COMPUTED_VALUE"""),"REPOSICIÓN SALÓN LEONORA LATORRE, COMUNA DE PURÉN")</f>
        <v>REPOSICIÓN SALÓN LEONORA LATORRE, COMUNA DE PURÉN</v>
      </c>
      <c r="C725" s="10" t="str">
        <f ca="1">IFERROR(__xludf.DUMMYFUNCTION("""COMPUTED_VALUE"""),"1-C-2023-3407")</f>
        <v>1-C-2023-3407</v>
      </c>
      <c r="D725" s="26" t="str">
        <f t="shared" ca="1" si="0"/>
        <v xml:space="preserve"> PURÉN</v>
      </c>
      <c r="E725" s="10" t="str">
        <f ca="1">IFERROR(__xludf.DUMMYFUNCTION("""COMPUTED_VALUE"""),"Guía Operativa")</f>
        <v>Guía Operativa</v>
      </c>
      <c r="F725" s="10" t="str">
        <f ca="1">IFERROR(__xludf.DUMMYFUNCTION("""COMPUTED_VALUE"""),"MUNICIPALIDAD DE PURÉN")</f>
        <v>MUNICIPALIDAD DE PURÉN</v>
      </c>
      <c r="G725" s="71">
        <f ca="1">IFERROR(__xludf.DUMMYFUNCTION("""COMPUTED_VALUE"""),126000000)</f>
        <v>126000000</v>
      </c>
      <c r="H725" s="10" t="str">
        <f ca="1">IFERROR(__xludf.DUMMYFUNCTION("""COMPUTED_VALUE"""),"Resolución")</f>
        <v>Resolución</v>
      </c>
      <c r="I725" s="10" t="str">
        <f ca="1">IFERROR(__xludf.DUMMYFUNCTION("""COMPUTED_VALUE"""),"OBRA")</f>
        <v>OBRA</v>
      </c>
      <c r="J725" s="10" t="str">
        <f ca="1">IFERROR(__xludf.DUMMYFUNCTION("""COMPUTED_VALUE"""),"Cumplir con normativa y reglamentos internos del programa en base a los objetivos.")</f>
        <v>Cumplir con normativa y reglamentos internos del programa en base a los objetivos.</v>
      </c>
      <c r="K725" s="71">
        <f ca="1">IFERROR(__xludf.DUMMYFUNCTION("""COMPUTED_VALUE"""),126000000)</f>
        <v>126000000</v>
      </c>
      <c r="L725" s="72">
        <f ca="1">IFERROR(__xludf.DUMMYFUNCTION("""COMPUTED_VALUE"""),1)</f>
        <v>1</v>
      </c>
      <c r="M725" s="10">
        <f ca="1">IFERROR(__xludf.DUMMYFUNCTION("""COMPUTED_VALUE"""),9436)</f>
        <v>9436</v>
      </c>
      <c r="N725" s="10" t="str">
        <f ca="1">IFERROR(__xludf.DUMMYFUNCTION("""COMPUTED_VALUE"""),"PMU")</f>
        <v>PMU</v>
      </c>
      <c r="O725" s="1"/>
      <c r="P725" s="1"/>
      <c r="Q725" s="1"/>
      <c r="R725" s="1"/>
      <c r="S725" s="1"/>
      <c r="T725" s="1"/>
      <c r="U725" s="1"/>
      <c r="V725" s="1"/>
      <c r="W725" s="1"/>
      <c r="X725" s="1"/>
      <c r="Y725" s="1"/>
      <c r="Z725" s="1"/>
    </row>
    <row r="726" spans="1:26" ht="12.75" customHeight="1">
      <c r="A726" s="1"/>
      <c r="B726" s="10" t="str">
        <f ca="1">IFERROR(__xludf.DUMMYFUNCTION("""COMPUTED_VALUE"""),"CONSTRUCCION CIERRE PERIMETRAL VERTEDERO MUNICIPAL, COMUNA DE ERCILLA")</f>
        <v>CONSTRUCCION CIERRE PERIMETRAL VERTEDERO MUNICIPAL, COMUNA DE ERCILLA</v>
      </c>
      <c r="C726" s="10" t="str">
        <f ca="1">IFERROR(__xludf.DUMMYFUNCTION("""COMPUTED_VALUE"""),"1-C-2024-609")</f>
        <v>1-C-2024-609</v>
      </c>
      <c r="D726" s="26" t="str">
        <f t="shared" ca="1" si="0"/>
        <v xml:space="preserve"> ERCILLA</v>
      </c>
      <c r="E726" s="10" t="str">
        <f ca="1">IFERROR(__xludf.DUMMYFUNCTION("""COMPUTED_VALUE"""),"Guía Operativa")</f>
        <v>Guía Operativa</v>
      </c>
      <c r="F726" s="10" t="str">
        <f ca="1">IFERROR(__xludf.DUMMYFUNCTION("""COMPUTED_VALUE"""),"MUNICIPALIDAD DE ERCILLA")</f>
        <v>MUNICIPALIDAD DE ERCILLA</v>
      </c>
      <c r="G726" s="71">
        <f ca="1">IFERROR(__xludf.DUMMYFUNCTION("""COMPUTED_VALUE"""),50719985)</f>
        <v>50719985</v>
      </c>
      <c r="H726" s="10" t="str">
        <f ca="1">IFERROR(__xludf.DUMMYFUNCTION("""COMPUTED_VALUE"""),"Resolución")</f>
        <v>Resolución</v>
      </c>
      <c r="I726" s="10" t="str">
        <f ca="1">IFERROR(__xludf.DUMMYFUNCTION("""COMPUTED_VALUE"""),"OBRA")</f>
        <v>OBRA</v>
      </c>
      <c r="J726" s="10" t="str">
        <f ca="1">IFERROR(__xludf.DUMMYFUNCTION("""COMPUTED_VALUE"""),"Cumplir con normativa y reglamentos internos del programa en base a los objetivos.")</f>
        <v>Cumplir con normativa y reglamentos internos del programa en base a los objetivos.</v>
      </c>
      <c r="K726" s="71">
        <f ca="1">IFERROR(__xludf.DUMMYFUNCTION("""COMPUTED_VALUE"""),50719985)</f>
        <v>50719985</v>
      </c>
      <c r="L726" s="72">
        <f ca="1">IFERROR(__xludf.DUMMYFUNCTION("""COMPUTED_VALUE"""),1)</f>
        <v>1</v>
      </c>
      <c r="M726" s="10">
        <f ca="1">IFERROR(__xludf.DUMMYFUNCTION("""COMPUTED_VALUE"""),9331)</f>
        <v>9331</v>
      </c>
      <c r="N726" s="10" t="str">
        <f ca="1">IFERROR(__xludf.DUMMYFUNCTION("""COMPUTED_VALUE"""),"PMU")</f>
        <v>PMU</v>
      </c>
      <c r="O726" s="1"/>
      <c r="P726" s="1"/>
      <c r="Q726" s="1"/>
      <c r="R726" s="1"/>
      <c r="S726" s="1"/>
      <c r="T726" s="1"/>
      <c r="U726" s="1"/>
      <c r="V726" s="1"/>
      <c r="W726" s="1"/>
      <c r="X726" s="1"/>
      <c r="Y726" s="1"/>
      <c r="Z726" s="1"/>
    </row>
    <row r="727" spans="1:26" ht="12.75" customHeight="1">
      <c r="A727" s="1"/>
      <c r="B727" s="10" t="str">
        <f ca="1">IFERROR(__xludf.DUMMYFUNCTION("""COMPUTED_VALUE"""),"REPOSICIÓN PATIO ESCUELA MARIANO LATORRE, VILLARRICA")</f>
        <v>REPOSICIÓN PATIO ESCUELA MARIANO LATORRE, VILLARRICA</v>
      </c>
      <c r="C727" s="10" t="str">
        <f ca="1">IFERROR(__xludf.DUMMYFUNCTION("""COMPUTED_VALUE"""),"1-C-2024-942")</f>
        <v>1-C-2024-942</v>
      </c>
      <c r="D727" s="26" t="str">
        <f t="shared" ca="1" si="0"/>
        <v xml:space="preserve"> VILLARRICA</v>
      </c>
      <c r="E727" s="10" t="str">
        <f ca="1">IFERROR(__xludf.DUMMYFUNCTION("""COMPUTED_VALUE"""),"Guía Operativa")</f>
        <v>Guía Operativa</v>
      </c>
      <c r="F727" s="10" t="str">
        <f ca="1">IFERROR(__xludf.DUMMYFUNCTION("""COMPUTED_VALUE"""),"MUNICIPALIDAD DE VILLARRICA")</f>
        <v>MUNICIPALIDAD DE VILLARRICA</v>
      </c>
      <c r="G727" s="71">
        <f ca="1">IFERROR(__xludf.DUMMYFUNCTION("""COMPUTED_VALUE"""),155045729)</f>
        <v>155045729</v>
      </c>
      <c r="H727" s="10" t="str">
        <f ca="1">IFERROR(__xludf.DUMMYFUNCTION("""COMPUTED_VALUE"""),"Resolución")</f>
        <v>Resolución</v>
      </c>
      <c r="I727" s="10" t="str">
        <f ca="1">IFERROR(__xludf.DUMMYFUNCTION("""COMPUTED_VALUE"""),"OBRA")</f>
        <v>OBRA</v>
      </c>
      <c r="J727" s="10" t="str">
        <f ca="1">IFERROR(__xludf.DUMMYFUNCTION("""COMPUTED_VALUE"""),"Cumplir con normativa y reglamentos internos del programa en base a los objetivos.")</f>
        <v>Cumplir con normativa y reglamentos internos del programa en base a los objetivos.</v>
      </c>
      <c r="K727" s="71">
        <f ca="1">IFERROR(__xludf.DUMMYFUNCTION("""COMPUTED_VALUE"""),155045729)</f>
        <v>155045729</v>
      </c>
      <c r="L727" s="72">
        <f ca="1">IFERROR(__xludf.DUMMYFUNCTION("""COMPUTED_VALUE"""),1)</f>
        <v>1</v>
      </c>
      <c r="M727" s="10">
        <f ca="1">IFERROR(__xludf.DUMMYFUNCTION("""COMPUTED_VALUE"""),9361)</f>
        <v>9361</v>
      </c>
      <c r="N727" s="10" t="str">
        <f ca="1">IFERROR(__xludf.DUMMYFUNCTION("""COMPUTED_VALUE"""),"PMU")</f>
        <v>PMU</v>
      </c>
      <c r="O727" s="1"/>
      <c r="P727" s="1"/>
      <c r="Q727" s="1"/>
      <c r="R727" s="1"/>
      <c r="S727" s="1"/>
      <c r="T727" s="1"/>
      <c r="U727" s="1"/>
      <c r="V727" s="1"/>
      <c r="W727" s="1"/>
      <c r="X727" s="1"/>
      <c r="Y727" s="1"/>
      <c r="Z727" s="1"/>
    </row>
    <row r="728" spans="1:26" ht="12.75" customHeight="1">
      <c r="A728" s="1"/>
      <c r="B728" s="10" t="str">
        <f ca="1">IFERROR(__xludf.DUMMYFUNCTION("""COMPUTED_VALUE"""),"REPOSICION Y CONSTRUCCIÓN SEÑALETICA URBANA SECTOR ENTRE LAGOS COMUNA DE PUYEHUE")</f>
        <v>REPOSICION Y CONSTRUCCIÓN SEÑALETICA URBANA SECTOR ENTRE LAGOS COMUNA DE PUYEHUE</v>
      </c>
      <c r="C728" s="10" t="str">
        <f ca="1">IFERROR(__xludf.DUMMYFUNCTION("""COMPUTED_VALUE"""),"1-C-2022-256 [CHA]")</f>
        <v>1-C-2022-256 [CHA]</v>
      </c>
      <c r="D728" s="26" t="str">
        <f t="shared" ca="1" si="0"/>
        <v xml:space="preserve"> PUYEHUE</v>
      </c>
      <c r="E728" s="10" t="str">
        <f ca="1">IFERROR(__xludf.DUMMYFUNCTION("""COMPUTED_VALUE"""),"Guía Operativa")</f>
        <v>Guía Operativa</v>
      </c>
      <c r="F728" s="10" t="str">
        <f ca="1">IFERROR(__xludf.DUMMYFUNCTION("""COMPUTED_VALUE"""),"MUNICIPALIDAD DE PUYEHUE")</f>
        <v>MUNICIPALIDAD DE PUYEHUE</v>
      </c>
      <c r="G728" s="71">
        <f ca="1">IFERROR(__xludf.DUMMYFUNCTION("""COMPUTED_VALUE"""),66200000)</f>
        <v>66200000</v>
      </c>
      <c r="H728" s="10" t="str">
        <f ca="1">IFERROR(__xludf.DUMMYFUNCTION("""COMPUTED_VALUE"""),"Resolución")</f>
        <v>Resolución</v>
      </c>
      <c r="I728" s="10" t="str">
        <f ca="1">IFERROR(__xludf.DUMMYFUNCTION("""COMPUTED_VALUE"""),"OBRA")</f>
        <v>OBRA</v>
      </c>
      <c r="J728" s="10" t="str">
        <f ca="1">IFERROR(__xludf.DUMMYFUNCTION("""COMPUTED_VALUE"""),"Cumplir con normativa y reglamentos internos del programa en base a los objetivos.")</f>
        <v>Cumplir con normativa y reglamentos internos del programa en base a los objetivos.</v>
      </c>
      <c r="K728" s="71">
        <f ca="1">IFERROR(__xludf.DUMMYFUNCTION("""COMPUTED_VALUE"""),6557222)</f>
        <v>6557222</v>
      </c>
      <c r="L728" s="72">
        <f ca="1">IFERROR(__xludf.DUMMYFUNCTION("""COMPUTED_VALUE"""),0.970852160120846)</f>
        <v>0.97085216012084596</v>
      </c>
      <c r="M728" s="10">
        <f ca="1">IFERROR(__xludf.DUMMYFUNCTION("""COMPUTED_VALUE"""),7261)</f>
        <v>7261</v>
      </c>
      <c r="N728" s="10" t="str">
        <f ca="1">IFERROR(__xludf.DUMMYFUNCTION("""COMPUTED_VALUE"""),"PMU")</f>
        <v>PMU</v>
      </c>
      <c r="O728" s="1"/>
      <c r="P728" s="1"/>
      <c r="Q728" s="1"/>
      <c r="R728" s="1"/>
      <c r="S728" s="1"/>
      <c r="T728" s="1"/>
      <c r="U728" s="1"/>
      <c r="V728" s="1"/>
      <c r="W728" s="1"/>
      <c r="X728" s="1"/>
      <c r="Y728" s="1"/>
      <c r="Z728" s="1"/>
    </row>
    <row r="729" spans="1:26" ht="12.75" customHeight="1">
      <c r="A729" s="1"/>
      <c r="B729" s="10" t="str">
        <f ca="1">IFERROR(__xludf.DUMMYFUNCTION("""COMPUTED_VALUE"""),"REPOSICION DE ACERAS SECTORES : SAN PABLO URBANO - TRUMAO , COMUNA DE SAN PABLO")</f>
        <v>REPOSICION DE ACERAS SECTORES : SAN PABLO URBANO - TRUMAO , COMUNA DE SAN PABLO</v>
      </c>
      <c r="C729" s="10" t="str">
        <f ca="1">IFERROR(__xludf.DUMMYFUNCTION("""COMPUTED_VALUE"""),"1-B-2024-86")</f>
        <v>1-B-2024-86</v>
      </c>
      <c r="D729" s="26" t="str">
        <f t="shared" ca="1" si="0"/>
        <v xml:space="preserve"> SAN PABLO</v>
      </c>
      <c r="E729" s="10" t="str">
        <f ca="1">IFERROR(__xludf.DUMMYFUNCTION("""COMPUTED_VALUE"""),"Guía Operativa")</f>
        <v>Guía Operativa</v>
      </c>
      <c r="F729" s="10" t="str">
        <f ca="1">IFERROR(__xludf.DUMMYFUNCTION("""COMPUTED_VALUE"""),"MUNICIPALIDAD DE SAN PABLO")</f>
        <v>MUNICIPALIDAD DE SAN PABLO</v>
      </c>
      <c r="G729" s="71">
        <f ca="1">IFERROR(__xludf.DUMMYFUNCTION("""COMPUTED_VALUE"""),83148629)</f>
        <v>83148629</v>
      </c>
      <c r="H729" s="10" t="str">
        <f ca="1">IFERROR(__xludf.DUMMYFUNCTION("""COMPUTED_VALUE"""),"Resolución")</f>
        <v>Resolución</v>
      </c>
      <c r="I729" s="10" t="str">
        <f ca="1">IFERROR(__xludf.DUMMYFUNCTION("""COMPUTED_VALUE"""),"OBRA")</f>
        <v>OBRA</v>
      </c>
      <c r="J729" s="10" t="str">
        <f ca="1">IFERROR(__xludf.DUMMYFUNCTION("""COMPUTED_VALUE"""),"Cumplir con normativa y reglamentos internos del programa en base a los objetivos.")</f>
        <v>Cumplir con normativa y reglamentos internos del programa en base a los objetivos.</v>
      </c>
      <c r="K729" s="71">
        <f ca="1">IFERROR(__xludf.DUMMYFUNCTION("""COMPUTED_VALUE"""),83148629)</f>
        <v>83148629</v>
      </c>
      <c r="L729" s="72">
        <f ca="1">IFERROR(__xludf.DUMMYFUNCTION("""COMPUTED_VALUE"""),1)</f>
        <v>1</v>
      </c>
      <c r="M729" s="10">
        <f ca="1">IFERROR(__xludf.DUMMYFUNCTION("""COMPUTED_VALUE"""),9343)</f>
        <v>9343</v>
      </c>
      <c r="N729" s="10" t="str">
        <f ca="1">IFERROR(__xludf.DUMMYFUNCTION("""COMPUTED_VALUE"""),"PMU")</f>
        <v>PMU</v>
      </c>
      <c r="O729" s="1"/>
      <c r="P729" s="1"/>
      <c r="Q729" s="1"/>
      <c r="R729" s="1"/>
      <c r="S729" s="1"/>
      <c r="T729" s="1"/>
      <c r="U729" s="1"/>
      <c r="V729" s="1"/>
      <c r="W729" s="1"/>
      <c r="X729" s="1"/>
      <c r="Y729" s="1"/>
      <c r="Z729" s="1"/>
    </row>
    <row r="730" spans="1:26" ht="12.75" customHeight="1">
      <c r="A730" s="1"/>
      <c r="B730" s="10" t="str">
        <f ca="1">IFERROR(__xludf.DUMMYFUNCTION("""COMPUTED_VALUE"""),"MEJORAMIENTO CANCHA DE TENIS FERNANDO HUBACH, COMUNA DE RIO NEGRO")</f>
        <v>MEJORAMIENTO CANCHA DE TENIS FERNANDO HUBACH, COMUNA DE RIO NEGRO</v>
      </c>
      <c r="C730" s="10" t="str">
        <f ca="1">IFERROR(__xludf.DUMMYFUNCTION("""COMPUTED_VALUE"""),"1-B-2024-111")</f>
        <v>1-B-2024-111</v>
      </c>
      <c r="D730" s="26" t="str">
        <f t="shared" ca="1" si="0"/>
        <v xml:space="preserve"> RÍO NEGRO</v>
      </c>
      <c r="E730" s="10" t="str">
        <f ca="1">IFERROR(__xludf.DUMMYFUNCTION("""COMPUTED_VALUE"""),"Guía Operativa")</f>
        <v>Guía Operativa</v>
      </c>
      <c r="F730" s="10" t="str">
        <f ca="1">IFERROR(__xludf.DUMMYFUNCTION("""COMPUTED_VALUE"""),"MUNICIPALIDAD DE RÍO NEGRO")</f>
        <v>MUNICIPALIDAD DE RÍO NEGRO</v>
      </c>
      <c r="G730" s="71">
        <f ca="1">IFERROR(__xludf.DUMMYFUNCTION("""COMPUTED_VALUE"""),83148629)</f>
        <v>83148629</v>
      </c>
      <c r="H730" s="10" t="str">
        <f ca="1">IFERROR(__xludf.DUMMYFUNCTION("""COMPUTED_VALUE"""),"Resolución")</f>
        <v>Resolución</v>
      </c>
      <c r="I730" s="10" t="str">
        <f ca="1">IFERROR(__xludf.DUMMYFUNCTION("""COMPUTED_VALUE"""),"OBRA")</f>
        <v>OBRA</v>
      </c>
      <c r="J730" s="10" t="str">
        <f ca="1">IFERROR(__xludf.DUMMYFUNCTION("""COMPUTED_VALUE"""),"Cumplir con normativa y reglamentos internos del programa en base a los objetivos.")</f>
        <v>Cumplir con normativa y reglamentos internos del programa en base a los objetivos.</v>
      </c>
      <c r="K730" s="71">
        <f ca="1">IFERROR(__xludf.DUMMYFUNCTION("""COMPUTED_VALUE"""),83148629)</f>
        <v>83148629</v>
      </c>
      <c r="L730" s="72">
        <f ca="1">IFERROR(__xludf.DUMMYFUNCTION("""COMPUTED_VALUE"""),1)</f>
        <v>1</v>
      </c>
      <c r="M730" s="10">
        <f ca="1">IFERROR(__xludf.DUMMYFUNCTION("""COMPUTED_VALUE"""),9091)</f>
        <v>9091</v>
      </c>
      <c r="N730" s="10" t="str">
        <f ca="1">IFERROR(__xludf.DUMMYFUNCTION("""COMPUTED_VALUE"""),"PMU")</f>
        <v>PMU</v>
      </c>
      <c r="O730" s="1"/>
      <c r="P730" s="1"/>
      <c r="Q730" s="1"/>
      <c r="R730" s="1"/>
      <c r="S730" s="1"/>
      <c r="T730" s="1"/>
      <c r="U730" s="1"/>
      <c r="V730" s="1"/>
      <c r="W730" s="1"/>
      <c r="X730" s="1"/>
      <c r="Y730" s="1"/>
      <c r="Z730" s="1"/>
    </row>
    <row r="731" spans="1:26" ht="12.75" customHeight="1">
      <c r="A731" s="1"/>
      <c r="B731" s="10" t="str">
        <f ca="1">IFERROR(__xludf.DUMMYFUNCTION("""COMPUTED_VALUE"""),"REPOSICIÓN CENTRO DE DESARROLLO FEMENINO PORVENIR COMUNA DE PUYEHUE")</f>
        <v>REPOSICIÓN CENTRO DE DESARROLLO FEMENINO PORVENIR COMUNA DE PUYEHUE</v>
      </c>
      <c r="C731" s="10" t="str">
        <f ca="1">IFERROR(__xludf.DUMMYFUNCTION("""COMPUTED_VALUE"""),"1-B-2024-130")</f>
        <v>1-B-2024-130</v>
      </c>
      <c r="D731" s="26" t="str">
        <f t="shared" ca="1" si="0"/>
        <v xml:space="preserve"> PUYEHUE</v>
      </c>
      <c r="E731" s="10" t="str">
        <f ca="1">IFERROR(__xludf.DUMMYFUNCTION("""COMPUTED_VALUE"""),"Guía Operativa")</f>
        <v>Guía Operativa</v>
      </c>
      <c r="F731" s="10" t="str">
        <f ca="1">IFERROR(__xludf.DUMMYFUNCTION("""COMPUTED_VALUE"""),"MUNICIPALIDAD DE PUYEHUE")</f>
        <v>MUNICIPALIDAD DE PUYEHUE</v>
      </c>
      <c r="G731" s="71">
        <f ca="1">IFERROR(__xludf.DUMMYFUNCTION("""COMPUTED_VALUE"""),83148629)</f>
        <v>83148629</v>
      </c>
      <c r="H731" s="10" t="str">
        <f ca="1">IFERROR(__xludf.DUMMYFUNCTION("""COMPUTED_VALUE"""),"Resolución")</f>
        <v>Resolución</v>
      </c>
      <c r="I731" s="10" t="str">
        <f ca="1">IFERROR(__xludf.DUMMYFUNCTION("""COMPUTED_VALUE"""),"OBRA")</f>
        <v>OBRA</v>
      </c>
      <c r="J731" s="10" t="str">
        <f ca="1">IFERROR(__xludf.DUMMYFUNCTION("""COMPUTED_VALUE"""),"Cumplir con normativa y reglamentos internos del programa en base a los objetivos.")</f>
        <v>Cumplir con normativa y reglamentos internos del programa en base a los objetivos.</v>
      </c>
      <c r="K731" s="71">
        <f ca="1">IFERROR(__xludf.DUMMYFUNCTION("""COMPUTED_VALUE"""),83148629)</f>
        <v>83148629</v>
      </c>
      <c r="L731" s="72">
        <f ca="1">IFERROR(__xludf.DUMMYFUNCTION("""COMPUTED_VALUE"""),1)</f>
        <v>1</v>
      </c>
      <c r="M731" s="10">
        <f ca="1">IFERROR(__xludf.DUMMYFUNCTION("""COMPUTED_VALUE"""),9139)</f>
        <v>9139</v>
      </c>
      <c r="N731" s="10" t="str">
        <f ca="1">IFERROR(__xludf.DUMMYFUNCTION("""COMPUTED_VALUE"""),"PMU")</f>
        <v>PMU</v>
      </c>
      <c r="O731" s="1"/>
      <c r="P731" s="1"/>
      <c r="Q731" s="1"/>
      <c r="R731" s="1"/>
      <c r="S731" s="1"/>
      <c r="T731" s="1"/>
      <c r="U731" s="1"/>
      <c r="V731" s="1"/>
      <c r="W731" s="1"/>
      <c r="X731" s="1"/>
      <c r="Y731" s="1"/>
      <c r="Z731" s="1"/>
    </row>
    <row r="732" spans="1:26" ht="12.75" customHeight="1">
      <c r="A732" s="1"/>
      <c r="B732" s="10" t="str">
        <f ca="1">IFERROR(__xludf.DUMMYFUNCTION("""COMPUTED_VALUE"""),"MEJORAMIENTO MULTICANCHA EL TRIANGULO, LOS MUERMOS")</f>
        <v>MEJORAMIENTO MULTICANCHA EL TRIANGULO, LOS MUERMOS</v>
      </c>
      <c r="C732" s="10" t="str">
        <f ca="1">IFERROR(__xludf.DUMMYFUNCTION("""COMPUTED_VALUE"""),"1-B-2024-131")</f>
        <v>1-B-2024-131</v>
      </c>
      <c r="D732" s="26" t="str">
        <f t="shared" ca="1" si="0"/>
        <v xml:space="preserve"> LOS MUERMOS</v>
      </c>
      <c r="E732" s="10" t="str">
        <f ca="1">IFERROR(__xludf.DUMMYFUNCTION("""COMPUTED_VALUE"""),"Guía Operativa")</f>
        <v>Guía Operativa</v>
      </c>
      <c r="F732" s="10" t="str">
        <f ca="1">IFERROR(__xludf.DUMMYFUNCTION("""COMPUTED_VALUE"""),"MUNICIPALIDAD DE LOS MUERMOS")</f>
        <v>MUNICIPALIDAD DE LOS MUERMOS</v>
      </c>
      <c r="G732" s="71">
        <f ca="1">IFERROR(__xludf.DUMMYFUNCTION("""COMPUTED_VALUE"""),83148629)</f>
        <v>83148629</v>
      </c>
      <c r="H732" s="10" t="str">
        <f ca="1">IFERROR(__xludf.DUMMYFUNCTION("""COMPUTED_VALUE"""),"Resolución")</f>
        <v>Resolución</v>
      </c>
      <c r="I732" s="10" t="str">
        <f ca="1">IFERROR(__xludf.DUMMYFUNCTION("""COMPUTED_VALUE"""),"OBRA")</f>
        <v>OBRA</v>
      </c>
      <c r="J732" s="10" t="str">
        <f ca="1">IFERROR(__xludf.DUMMYFUNCTION("""COMPUTED_VALUE"""),"Cumplir con normativa y reglamentos internos del programa en base a los objetivos.")</f>
        <v>Cumplir con normativa y reglamentos internos del programa en base a los objetivos.</v>
      </c>
      <c r="K732" s="71">
        <f ca="1">IFERROR(__xludf.DUMMYFUNCTION("""COMPUTED_VALUE"""),83148629)</f>
        <v>83148629</v>
      </c>
      <c r="L732" s="72">
        <f ca="1">IFERROR(__xludf.DUMMYFUNCTION("""COMPUTED_VALUE"""),1)</f>
        <v>1</v>
      </c>
      <c r="M732" s="10">
        <f ca="1">IFERROR(__xludf.DUMMYFUNCTION("""COMPUTED_VALUE"""),8642)</f>
        <v>8642</v>
      </c>
      <c r="N732" s="10" t="str">
        <f ca="1">IFERROR(__xludf.DUMMYFUNCTION("""COMPUTED_VALUE"""),"PMU")</f>
        <v>PMU</v>
      </c>
      <c r="O732" s="1"/>
      <c r="P732" s="1"/>
      <c r="Q732" s="1"/>
      <c r="R732" s="1"/>
      <c r="S732" s="1"/>
      <c r="T732" s="1"/>
      <c r="U732" s="1"/>
      <c r="V732" s="1"/>
      <c r="W732" s="1"/>
      <c r="X732" s="1"/>
      <c r="Y732" s="1"/>
      <c r="Z732" s="1"/>
    </row>
    <row r="733" spans="1:26" ht="12.75" customHeight="1">
      <c r="A733" s="1"/>
      <c r="B733" s="10" t="str">
        <f ca="1">IFERROR(__xludf.DUMMYFUNCTION("""COMPUTED_VALUE"""),"REPOSICIÓN Y CONSTRUCCIÓN DE MIRADORES SECTOR URBANO DE PUERTO OCTAY")</f>
        <v>REPOSICIÓN Y CONSTRUCCIÓN DE MIRADORES SECTOR URBANO DE PUERTO OCTAY</v>
      </c>
      <c r="C733" s="10" t="str">
        <f ca="1">IFERROR(__xludf.DUMMYFUNCTION("""COMPUTED_VALUE"""),"1-B-2024-138")</f>
        <v>1-B-2024-138</v>
      </c>
      <c r="D733" s="26" t="str">
        <f t="shared" ca="1" si="0"/>
        <v xml:space="preserve"> PUERTO OCTAY</v>
      </c>
      <c r="E733" s="10" t="str">
        <f ca="1">IFERROR(__xludf.DUMMYFUNCTION("""COMPUTED_VALUE"""),"Guía Operativa")</f>
        <v>Guía Operativa</v>
      </c>
      <c r="F733" s="10" t="str">
        <f ca="1">IFERROR(__xludf.DUMMYFUNCTION("""COMPUTED_VALUE"""),"MUNICIPALIDAD DE PUERTO OCTAY")</f>
        <v>MUNICIPALIDAD DE PUERTO OCTAY</v>
      </c>
      <c r="G733" s="71">
        <f ca="1">IFERROR(__xludf.DUMMYFUNCTION("""COMPUTED_VALUE"""),83148629)</f>
        <v>83148629</v>
      </c>
      <c r="H733" s="10" t="str">
        <f ca="1">IFERROR(__xludf.DUMMYFUNCTION("""COMPUTED_VALUE"""),"Resolución")</f>
        <v>Resolución</v>
      </c>
      <c r="I733" s="10" t="str">
        <f ca="1">IFERROR(__xludf.DUMMYFUNCTION("""COMPUTED_VALUE"""),"OBRA")</f>
        <v>OBRA</v>
      </c>
      <c r="J733" s="10" t="str">
        <f ca="1">IFERROR(__xludf.DUMMYFUNCTION("""COMPUTED_VALUE"""),"Cumplir con normativa y reglamentos internos del programa en base a los objetivos.")</f>
        <v>Cumplir con normativa y reglamentos internos del programa en base a los objetivos.</v>
      </c>
      <c r="K733" s="71">
        <f ca="1">IFERROR(__xludf.DUMMYFUNCTION("""COMPUTED_VALUE"""),83148629)</f>
        <v>83148629</v>
      </c>
      <c r="L733" s="72">
        <f ca="1">IFERROR(__xludf.DUMMYFUNCTION("""COMPUTED_VALUE"""),1)</f>
        <v>1</v>
      </c>
      <c r="M733" s="10">
        <f ca="1">IFERROR(__xludf.DUMMYFUNCTION("""COMPUTED_VALUE"""),9084)</f>
        <v>9084</v>
      </c>
      <c r="N733" s="10" t="str">
        <f ca="1">IFERROR(__xludf.DUMMYFUNCTION("""COMPUTED_VALUE"""),"PMU")</f>
        <v>PMU</v>
      </c>
      <c r="O733" s="1"/>
      <c r="P733" s="1"/>
      <c r="Q733" s="1"/>
      <c r="R733" s="1"/>
      <c r="S733" s="1"/>
      <c r="T733" s="1"/>
      <c r="U733" s="1"/>
      <c r="V733" s="1"/>
      <c r="W733" s="1"/>
      <c r="X733" s="1"/>
      <c r="Y733" s="1"/>
      <c r="Z733" s="1"/>
    </row>
    <row r="734" spans="1:26" ht="12.75" customHeight="1">
      <c r="A734" s="1"/>
      <c r="B734" s="10" t="str">
        <f ca="1">IFERROR(__xludf.DUMMYFUNCTION("""COMPUTED_VALUE"""),"MEJORAMIENTO VIAL FRESIA, TEGUALDA Y PARGA, COMUNA DE FRESIA")</f>
        <v>MEJORAMIENTO VIAL FRESIA, TEGUALDA Y PARGA, COMUNA DE FRESIA</v>
      </c>
      <c r="C734" s="10" t="str">
        <f ca="1">IFERROR(__xludf.DUMMYFUNCTION("""COMPUTED_VALUE"""),"1-B-2024-148")</f>
        <v>1-B-2024-148</v>
      </c>
      <c r="D734" s="26" t="str">
        <f t="shared" ca="1" si="0"/>
        <v xml:space="preserve"> FRESIA</v>
      </c>
      <c r="E734" s="10" t="str">
        <f ca="1">IFERROR(__xludf.DUMMYFUNCTION("""COMPUTED_VALUE"""),"Guía Operativa")</f>
        <v>Guía Operativa</v>
      </c>
      <c r="F734" s="10" t="str">
        <f ca="1">IFERROR(__xludf.DUMMYFUNCTION("""COMPUTED_VALUE"""),"MUNICIPALIDAD DE FRESIA")</f>
        <v>MUNICIPALIDAD DE FRESIA</v>
      </c>
      <c r="G734" s="71">
        <f ca="1">IFERROR(__xludf.DUMMYFUNCTION("""COMPUTED_VALUE"""),83148629)</f>
        <v>83148629</v>
      </c>
      <c r="H734" s="10" t="str">
        <f ca="1">IFERROR(__xludf.DUMMYFUNCTION("""COMPUTED_VALUE"""),"Resolución")</f>
        <v>Resolución</v>
      </c>
      <c r="I734" s="10" t="str">
        <f ca="1">IFERROR(__xludf.DUMMYFUNCTION("""COMPUTED_VALUE"""),"OBRA")</f>
        <v>OBRA</v>
      </c>
      <c r="J734" s="10" t="str">
        <f ca="1">IFERROR(__xludf.DUMMYFUNCTION("""COMPUTED_VALUE"""),"Cumplir con normativa y reglamentos internos del programa en base a los objetivos.")</f>
        <v>Cumplir con normativa y reglamentos internos del programa en base a los objetivos.</v>
      </c>
      <c r="K734" s="71">
        <f ca="1">IFERROR(__xludf.DUMMYFUNCTION("""COMPUTED_VALUE"""),83148629)</f>
        <v>83148629</v>
      </c>
      <c r="L734" s="72">
        <f ca="1">IFERROR(__xludf.DUMMYFUNCTION("""COMPUTED_VALUE"""),1)</f>
        <v>1</v>
      </c>
      <c r="M734" s="10">
        <f ca="1">IFERROR(__xludf.DUMMYFUNCTION("""COMPUTED_VALUE"""),9337)</f>
        <v>9337</v>
      </c>
      <c r="N734" s="10" t="str">
        <f ca="1">IFERROR(__xludf.DUMMYFUNCTION("""COMPUTED_VALUE"""),"PMU")</f>
        <v>PMU</v>
      </c>
      <c r="O734" s="1"/>
      <c r="P734" s="1"/>
      <c r="Q734" s="1"/>
      <c r="R734" s="1"/>
      <c r="S734" s="1"/>
      <c r="T734" s="1"/>
      <c r="U734" s="1"/>
      <c r="V734" s="1"/>
      <c r="W734" s="1"/>
      <c r="X734" s="1"/>
      <c r="Y734" s="1"/>
      <c r="Z734" s="1"/>
    </row>
    <row r="735" spans="1:26" ht="12.75" customHeight="1">
      <c r="A735" s="1"/>
      <c r="B735" s="10" t="str">
        <f ca="1">IFERROR(__xludf.DUMMYFUNCTION("""COMPUTED_VALUE"""),"MEJORAMIENTO MULTICANCHA Y ESPACIO PÚBLICO SECTOR JARDÍN 2, POBLACIÓN 15 DE SEPTIEMBRE, COMUNA DE CALBUCO")</f>
        <v>MEJORAMIENTO MULTICANCHA Y ESPACIO PÚBLICO SECTOR JARDÍN 2, POBLACIÓN 15 DE SEPTIEMBRE, COMUNA DE CALBUCO</v>
      </c>
      <c r="C735" s="10" t="str">
        <f ca="1">IFERROR(__xludf.DUMMYFUNCTION("""COMPUTED_VALUE"""),"1-B-2024-149")</f>
        <v>1-B-2024-149</v>
      </c>
      <c r="D735" s="26" t="str">
        <f t="shared" ca="1" si="0"/>
        <v xml:space="preserve"> CALBUCO</v>
      </c>
      <c r="E735" s="10" t="str">
        <f ca="1">IFERROR(__xludf.DUMMYFUNCTION("""COMPUTED_VALUE"""),"Guía Operativa")</f>
        <v>Guía Operativa</v>
      </c>
      <c r="F735" s="10" t="str">
        <f ca="1">IFERROR(__xludf.DUMMYFUNCTION("""COMPUTED_VALUE"""),"MUNICIPALIDAD DE CALBUCO")</f>
        <v>MUNICIPALIDAD DE CALBUCO</v>
      </c>
      <c r="G735" s="71">
        <f ca="1">IFERROR(__xludf.DUMMYFUNCTION("""COMPUTED_VALUE"""),83148629)</f>
        <v>83148629</v>
      </c>
      <c r="H735" s="10" t="str">
        <f ca="1">IFERROR(__xludf.DUMMYFUNCTION("""COMPUTED_VALUE"""),"Resolución")</f>
        <v>Resolución</v>
      </c>
      <c r="I735" s="10" t="str">
        <f ca="1">IFERROR(__xludf.DUMMYFUNCTION("""COMPUTED_VALUE"""),"OBRA")</f>
        <v>OBRA</v>
      </c>
      <c r="J735" s="10" t="str">
        <f ca="1">IFERROR(__xludf.DUMMYFUNCTION("""COMPUTED_VALUE"""),"Cumplir con normativa y reglamentos internos del programa en base a los objetivos.")</f>
        <v>Cumplir con normativa y reglamentos internos del programa en base a los objetivos.</v>
      </c>
      <c r="K735" s="71">
        <f ca="1">IFERROR(__xludf.DUMMYFUNCTION("""COMPUTED_VALUE"""),83148629)</f>
        <v>83148629</v>
      </c>
      <c r="L735" s="72">
        <f ca="1">IFERROR(__xludf.DUMMYFUNCTION("""COMPUTED_VALUE"""),1)</f>
        <v>1</v>
      </c>
      <c r="M735" s="10">
        <f ca="1">IFERROR(__xludf.DUMMYFUNCTION("""COMPUTED_VALUE"""),9425)</f>
        <v>9425</v>
      </c>
      <c r="N735" s="10" t="str">
        <f ca="1">IFERROR(__xludf.DUMMYFUNCTION("""COMPUTED_VALUE"""),"PMU")</f>
        <v>PMU</v>
      </c>
      <c r="O735" s="1"/>
      <c r="P735" s="1"/>
      <c r="Q735" s="1"/>
      <c r="R735" s="1"/>
      <c r="S735" s="1"/>
      <c r="T735" s="1"/>
      <c r="U735" s="1"/>
      <c r="V735" s="1"/>
      <c r="W735" s="1"/>
      <c r="X735" s="1"/>
      <c r="Y735" s="1"/>
      <c r="Z735" s="1"/>
    </row>
    <row r="736" spans="1:26" ht="12.75" customHeight="1">
      <c r="A736" s="1"/>
      <c r="B736" s="10" t="str">
        <f ca="1">IFERROR(__xludf.DUMMYFUNCTION("""COMPUTED_VALUE"""),"MEJORAMIENTO PLAZA LOMA VI, COMUNA DE PUERTO VARAS")</f>
        <v>MEJORAMIENTO PLAZA LOMA VI, COMUNA DE PUERTO VARAS</v>
      </c>
      <c r="C736" s="10" t="str">
        <f ca="1">IFERROR(__xludf.DUMMYFUNCTION("""COMPUTED_VALUE"""),"1-B-2024-155")</f>
        <v>1-B-2024-155</v>
      </c>
      <c r="D736" s="26" t="str">
        <f t="shared" ca="1" si="0"/>
        <v xml:space="preserve"> PUERTO VARAS</v>
      </c>
      <c r="E736" s="10" t="str">
        <f ca="1">IFERROR(__xludf.DUMMYFUNCTION("""COMPUTED_VALUE"""),"Guía Operativa")</f>
        <v>Guía Operativa</v>
      </c>
      <c r="F736" s="10" t="str">
        <f ca="1">IFERROR(__xludf.DUMMYFUNCTION("""COMPUTED_VALUE"""),"MUNICIPALIDAD DE PUERTO VARAS")</f>
        <v>MUNICIPALIDAD DE PUERTO VARAS</v>
      </c>
      <c r="G736" s="71">
        <f ca="1">IFERROR(__xludf.DUMMYFUNCTION("""COMPUTED_VALUE"""),83148629)</f>
        <v>83148629</v>
      </c>
      <c r="H736" s="10" t="str">
        <f ca="1">IFERROR(__xludf.DUMMYFUNCTION("""COMPUTED_VALUE"""),"Resolución")</f>
        <v>Resolución</v>
      </c>
      <c r="I736" s="10" t="str">
        <f ca="1">IFERROR(__xludf.DUMMYFUNCTION("""COMPUTED_VALUE"""),"OBRA")</f>
        <v>OBRA</v>
      </c>
      <c r="J736" s="10" t="str">
        <f ca="1">IFERROR(__xludf.DUMMYFUNCTION("""COMPUTED_VALUE"""),"Cumplir con normativa y reglamentos internos del programa en base a los objetivos.")</f>
        <v>Cumplir con normativa y reglamentos internos del programa en base a los objetivos.</v>
      </c>
      <c r="K736" s="71">
        <f ca="1">IFERROR(__xludf.DUMMYFUNCTION("""COMPUTED_VALUE"""),83148629)</f>
        <v>83148629</v>
      </c>
      <c r="L736" s="72">
        <f ca="1">IFERROR(__xludf.DUMMYFUNCTION("""COMPUTED_VALUE"""),1)</f>
        <v>1</v>
      </c>
      <c r="M736" s="10">
        <f ca="1">IFERROR(__xludf.DUMMYFUNCTION("""COMPUTED_VALUE"""),9338)</f>
        <v>9338</v>
      </c>
      <c r="N736" s="10" t="str">
        <f ca="1">IFERROR(__xludf.DUMMYFUNCTION("""COMPUTED_VALUE"""),"PMU")</f>
        <v>PMU</v>
      </c>
      <c r="O736" s="1"/>
      <c r="P736" s="1"/>
      <c r="Q736" s="1"/>
      <c r="R736" s="1"/>
      <c r="S736" s="1"/>
      <c r="T736" s="1"/>
      <c r="U736" s="1"/>
      <c r="V736" s="1"/>
      <c r="W736" s="1"/>
      <c r="X736" s="1"/>
      <c r="Y736" s="1"/>
      <c r="Z736" s="1"/>
    </row>
    <row r="737" spans="1:26" ht="12.75" customHeight="1">
      <c r="A737" s="1"/>
      <c r="B737" s="10" t="str">
        <f ca="1">IFERROR(__xludf.DUMMYFUNCTION("""COMPUTED_VALUE"""),"CONSTRUCCIÓN LETRERO TURISTICO VOLUMETRICO DE LA COMUNA DE PURRANQUE")</f>
        <v>CONSTRUCCIÓN LETRERO TURISTICO VOLUMETRICO DE LA COMUNA DE PURRANQUE</v>
      </c>
      <c r="C737" s="10" t="str">
        <f ca="1">IFERROR(__xludf.DUMMYFUNCTION("""COMPUTED_VALUE"""),"1-B-2024-158")</f>
        <v>1-B-2024-158</v>
      </c>
      <c r="D737" s="26" t="str">
        <f t="shared" ca="1" si="0"/>
        <v xml:space="preserve"> PURRANQUE</v>
      </c>
      <c r="E737" s="10" t="str">
        <f ca="1">IFERROR(__xludf.DUMMYFUNCTION("""COMPUTED_VALUE"""),"Guía Operativa")</f>
        <v>Guía Operativa</v>
      </c>
      <c r="F737" s="10" t="str">
        <f ca="1">IFERROR(__xludf.DUMMYFUNCTION("""COMPUTED_VALUE"""),"MUNICIPALIDAD DE PURRANQUE")</f>
        <v>MUNICIPALIDAD DE PURRANQUE</v>
      </c>
      <c r="G737" s="71">
        <f ca="1">IFERROR(__xludf.DUMMYFUNCTION("""COMPUTED_VALUE"""),52097308)</f>
        <v>52097308</v>
      </c>
      <c r="H737" s="10" t="str">
        <f ca="1">IFERROR(__xludf.DUMMYFUNCTION("""COMPUTED_VALUE"""),"Resolución")</f>
        <v>Resolución</v>
      </c>
      <c r="I737" s="10" t="str">
        <f ca="1">IFERROR(__xludf.DUMMYFUNCTION("""COMPUTED_VALUE"""),"OBRA")</f>
        <v>OBRA</v>
      </c>
      <c r="J737" s="10" t="str">
        <f ca="1">IFERROR(__xludf.DUMMYFUNCTION("""COMPUTED_VALUE"""),"Cumplir con normativa y reglamentos internos del programa en base a los objetivos.")</f>
        <v>Cumplir con normativa y reglamentos internos del programa en base a los objetivos.</v>
      </c>
      <c r="K737" s="71">
        <f ca="1">IFERROR(__xludf.DUMMYFUNCTION("""COMPUTED_VALUE"""),52097308)</f>
        <v>52097308</v>
      </c>
      <c r="L737" s="72">
        <f ca="1">IFERROR(__xludf.DUMMYFUNCTION("""COMPUTED_VALUE"""),1)</f>
        <v>1</v>
      </c>
      <c r="M737" s="10">
        <f ca="1">IFERROR(__xludf.DUMMYFUNCTION("""COMPUTED_VALUE"""),9370)</f>
        <v>9370</v>
      </c>
      <c r="N737" s="10" t="str">
        <f ca="1">IFERROR(__xludf.DUMMYFUNCTION("""COMPUTED_VALUE"""),"PMU")</f>
        <v>PMU</v>
      </c>
      <c r="O737" s="1"/>
      <c r="P737" s="1"/>
      <c r="Q737" s="1"/>
      <c r="R737" s="1"/>
      <c r="S737" s="1"/>
      <c r="T737" s="1"/>
      <c r="U737" s="1"/>
      <c r="V737" s="1"/>
      <c r="W737" s="1"/>
      <c r="X737" s="1"/>
      <c r="Y737" s="1"/>
      <c r="Z737" s="1"/>
    </row>
    <row r="738" spans="1:26" ht="12.75" customHeight="1">
      <c r="A738" s="1"/>
      <c r="B738" s="10" t="str">
        <f ca="1">IFERROR(__xludf.DUMMYFUNCTION("""COMPUTED_VALUE"""),"MEJORAMIENTO PLAZOLETA CRUCE MOCOPULLI, COMUNA DE DALCAHUE")</f>
        <v>MEJORAMIENTO PLAZOLETA CRUCE MOCOPULLI, COMUNA DE DALCAHUE</v>
      </c>
      <c r="C738" s="10" t="str">
        <f ca="1">IFERROR(__xludf.DUMMYFUNCTION("""COMPUTED_VALUE"""),"1-B-2024-159")</f>
        <v>1-B-2024-159</v>
      </c>
      <c r="D738" s="26" t="str">
        <f t="shared" ca="1" si="0"/>
        <v xml:space="preserve"> DALCAHUE</v>
      </c>
      <c r="E738" s="10" t="str">
        <f ca="1">IFERROR(__xludf.DUMMYFUNCTION("""COMPUTED_VALUE"""),"Guía Operativa")</f>
        <v>Guía Operativa</v>
      </c>
      <c r="F738" s="10" t="str">
        <f ca="1">IFERROR(__xludf.DUMMYFUNCTION("""COMPUTED_VALUE"""),"MUNICIPALIDAD DE DALCAHUE")</f>
        <v>MUNICIPALIDAD DE DALCAHUE</v>
      </c>
      <c r="G738" s="71">
        <f ca="1">IFERROR(__xludf.DUMMYFUNCTION("""COMPUTED_VALUE"""),83148601)</f>
        <v>83148601</v>
      </c>
      <c r="H738" s="10" t="str">
        <f ca="1">IFERROR(__xludf.DUMMYFUNCTION("""COMPUTED_VALUE"""),"Resolución")</f>
        <v>Resolución</v>
      </c>
      <c r="I738" s="10" t="str">
        <f ca="1">IFERROR(__xludf.DUMMYFUNCTION("""COMPUTED_VALUE"""),"OBRA")</f>
        <v>OBRA</v>
      </c>
      <c r="J738" s="10" t="str">
        <f ca="1">IFERROR(__xludf.DUMMYFUNCTION("""COMPUTED_VALUE"""),"Cumplir con normativa y reglamentos internos del programa en base a los objetivos.")</f>
        <v>Cumplir con normativa y reglamentos internos del programa en base a los objetivos.</v>
      </c>
      <c r="K738" s="71">
        <f ca="1">IFERROR(__xludf.DUMMYFUNCTION("""COMPUTED_VALUE"""),83148601)</f>
        <v>83148601</v>
      </c>
      <c r="L738" s="72">
        <f ca="1">IFERROR(__xludf.DUMMYFUNCTION("""COMPUTED_VALUE"""),1)</f>
        <v>1</v>
      </c>
      <c r="M738" s="10">
        <f ca="1">IFERROR(__xludf.DUMMYFUNCTION("""COMPUTED_VALUE"""),9367)</f>
        <v>9367</v>
      </c>
      <c r="N738" s="10" t="str">
        <f ca="1">IFERROR(__xludf.DUMMYFUNCTION("""COMPUTED_VALUE"""),"PMU")</f>
        <v>PMU</v>
      </c>
      <c r="O738" s="1"/>
      <c r="P738" s="1"/>
      <c r="Q738" s="1"/>
      <c r="R738" s="1"/>
      <c r="S738" s="1"/>
      <c r="T738" s="1"/>
      <c r="U738" s="1"/>
      <c r="V738" s="1"/>
      <c r="W738" s="1"/>
      <c r="X738" s="1"/>
      <c r="Y738" s="1"/>
      <c r="Z738" s="1"/>
    </row>
    <row r="739" spans="1:26" ht="12.75" customHeight="1">
      <c r="A739" s="1"/>
      <c r="B739" s="10" t="str">
        <f ca="1">IFERROR(__xludf.DUMMYFUNCTION("""COMPUTED_VALUE"""),"MEJORAMIENTO AREA VERDE PLAZA LAGOS DEL SUR, SECTOR PANTANOSA, COMUNA DE FRUTILLAR")</f>
        <v>MEJORAMIENTO AREA VERDE PLAZA LAGOS DEL SUR, SECTOR PANTANOSA, COMUNA DE FRUTILLAR</v>
      </c>
      <c r="C739" s="10" t="str">
        <f ca="1">IFERROR(__xludf.DUMMYFUNCTION("""COMPUTED_VALUE"""),"1-B-2024-160")</f>
        <v>1-B-2024-160</v>
      </c>
      <c r="D739" s="26" t="str">
        <f t="shared" ca="1" si="0"/>
        <v xml:space="preserve"> FRUTILLAR</v>
      </c>
      <c r="E739" s="10" t="str">
        <f ca="1">IFERROR(__xludf.DUMMYFUNCTION("""COMPUTED_VALUE"""),"Guía Operativa")</f>
        <v>Guía Operativa</v>
      </c>
      <c r="F739" s="10" t="str">
        <f ca="1">IFERROR(__xludf.DUMMYFUNCTION("""COMPUTED_VALUE"""),"MUNICIPALIDAD DE FRUTILLAR")</f>
        <v>MUNICIPALIDAD DE FRUTILLAR</v>
      </c>
      <c r="G739" s="71">
        <f ca="1">IFERROR(__xludf.DUMMYFUNCTION("""COMPUTED_VALUE"""),83148629)</f>
        <v>83148629</v>
      </c>
      <c r="H739" s="10" t="str">
        <f ca="1">IFERROR(__xludf.DUMMYFUNCTION("""COMPUTED_VALUE"""),"Resolución")</f>
        <v>Resolución</v>
      </c>
      <c r="I739" s="10" t="str">
        <f ca="1">IFERROR(__xludf.DUMMYFUNCTION("""COMPUTED_VALUE"""),"OBRA")</f>
        <v>OBRA</v>
      </c>
      <c r="J739" s="10" t="str">
        <f ca="1">IFERROR(__xludf.DUMMYFUNCTION("""COMPUTED_VALUE"""),"Cumplir con normativa y reglamentos internos del programa en base a los objetivos.")</f>
        <v>Cumplir con normativa y reglamentos internos del programa en base a los objetivos.</v>
      </c>
      <c r="K739" s="71">
        <f ca="1">IFERROR(__xludf.DUMMYFUNCTION("""COMPUTED_VALUE"""),83148629)</f>
        <v>83148629</v>
      </c>
      <c r="L739" s="72">
        <f ca="1">IFERROR(__xludf.DUMMYFUNCTION("""COMPUTED_VALUE"""),1)</f>
        <v>1</v>
      </c>
      <c r="M739" s="10">
        <f ca="1">IFERROR(__xludf.DUMMYFUNCTION("""COMPUTED_VALUE"""),9427)</f>
        <v>9427</v>
      </c>
      <c r="N739" s="10" t="str">
        <f ca="1">IFERROR(__xludf.DUMMYFUNCTION("""COMPUTED_VALUE"""),"PMU")</f>
        <v>PMU</v>
      </c>
      <c r="O739" s="1"/>
      <c r="P739" s="1"/>
      <c r="Q739" s="1"/>
      <c r="R739" s="1"/>
      <c r="S739" s="1"/>
      <c r="T739" s="1"/>
      <c r="U739" s="1"/>
      <c r="V739" s="1"/>
      <c r="W739" s="1"/>
      <c r="X739" s="1"/>
      <c r="Y739" s="1"/>
      <c r="Z739" s="1"/>
    </row>
    <row r="740" spans="1:26" ht="12.75" customHeight="1">
      <c r="A740" s="1"/>
      <c r="B740" s="10" t="str">
        <f ca="1">IFERROR(__xludf.DUMMYFUNCTION("""COMPUTED_VALUE"""),"CONSTRUCCIÓN CIERRE PERIMETRAL Y CONSERVACIÓN ENVOLVENTE CENTRO COMUNITARIO VILLA LOS AROMOS, PURRANQUE")</f>
        <v>CONSTRUCCIÓN CIERRE PERIMETRAL Y CONSERVACIÓN ENVOLVENTE CENTRO COMUNITARIO VILLA LOS AROMOS, PURRANQUE</v>
      </c>
      <c r="C740" s="10" t="str">
        <f ca="1">IFERROR(__xludf.DUMMYFUNCTION("""COMPUTED_VALUE"""),"1-B-2024-161")</f>
        <v>1-B-2024-161</v>
      </c>
      <c r="D740" s="26" t="str">
        <f t="shared" ca="1" si="0"/>
        <v xml:space="preserve"> PURRANQUE</v>
      </c>
      <c r="E740" s="10" t="str">
        <f ca="1">IFERROR(__xludf.DUMMYFUNCTION("""COMPUTED_VALUE"""),"Guía Operativa")</f>
        <v>Guía Operativa</v>
      </c>
      <c r="F740" s="10" t="str">
        <f ca="1">IFERROR(__xludf.DUMMYFUNCTION("""COMPUTED_VALUE"""),"MUNICIPALIDAD DE PURRANQUE")</f>
        <v>MUNICIPALIDAD DE PURRANQUE</v>
      </c>
      <c r="G740" s="71">
        <f ca="1">IFERROR(__xludf.DUMMYFUNCTION("""COMPUTED_VALUE"""),31051321)</f>
        <v>31051321</v>
      </c>
      <c r="H740" s="10" t="str">
        <f ca="1">IFERROR(__xludf.DUMMYFUNCTION("""COMPUTED_VALUE"""),"Resolución")</f>
        <v>Resolución</v>
      </c>
      <c r="I740" s="10" t="str">
        <f ca="1">IFERROR(__xludf.DUMMYFUNCTION("""COMPUTED_VALUE"""),"OBRA")</f>
        <v>OBRA</v>
      </c>
      <c r="J740" s="10" t="str">
        <f ca="1">IFERROR(__xludf.DUMMYFUNCTION("""COMPUTED_VALUE"""),"Cumplir con normativa y reglamentos internos del programa en base a los objetivos.")</f>
        <v>Cumplir con normativa y reglamentos internos del programa en base a los objetivos.</v>
      </c>
      <c r="K740" s="71">
        <f ca="1">IFERROR(__xludf.DUMMYFUNCTION("""COMPUTED_VALUE"""),31051321)</f>
        <v>31051321</v>
      </c>
      <c r="L740" s="72">
        <f ca="1">IFERROR(__xludf.DUMMYFUNCTION("""COMPUTED_VALUE"""),1)</f>
        <v>1</v>
      </c>
      <c r="M740" s="10">
        <f ca="1">IFERROR(__xludf.DUMMYFUNCTION("""COMPUTED_VALUE"""),9339)</f>
        <v>9339</v>
      </c>
      <c r="N740" s="10" t="str">
        <f ca="1">IFERROR(__xludf.DUMMYFUNCTION("""COMPUTED_VALUE"""),"PMU")</f>
        <v>PMU</v>
      </c>
      <c r="O740" s="1"/>
      <c r="P740" s="1"/>
      <c r="Q740" s="1"/>
      <c r="R740" s="1"/>
      <c r="S740" s="1"/>
      <c r="T740" s="1"/>
      <c r="U740" s="1"/>
      <c r="V740" s="1"/>
      <c r="W740" s="1"/>
      <c r="X740" s="1"/>
      <c r="Y740" s="1"/>
      <c r="Z740" s="1"/>
    </row>
    <row r="741" spans="1:26" ht="12.75" customHeight="1">
      <c r="A741" s="1"/>
      <c r="B741" s="10" t="str">
        <f ca="1">IFERROR(__xludf.DUMMYFUNCTION("""COMPUTED_VALUE"""),"CONSERVACION DE EMERGENCIA DELEGACIÓN PENÍNSULAR MUNICIPAL AYACARA, COMUNA DE CHAITÉN")</f>
        <v>CONSERVACION DE EMERGENCIA DELEGACIÓN PENÍNSULAR MUNICIPAL AYACARA, COMUNA DE CHAITÉN</v>
      </c>
      <c r="C741" s="10" t="str">
        <f ca="1">IFERROR(__xludf.DUMMYFUNCTION("""COMPUTED_VALUE"""),"1-B-2024-401")</f>
        <v>1-B-2024-401</v>
      </c>
      <c r="D741" s="26" t="str">
        <f t="shared" ca="1" si="0"/>
        <v xml:space="preserve"> CHAITÉN</v>
      </c>
      <c r="E741" s="10" t="str">
        <f ca="1">IFERROR(__xludf.DUMMYFUNCTION("""COMPUTED_VALUE"""),"Guía Operativa")</f>
        <v>Guía Operativa</v>
      </c>
      <c r="F741" s="10" t="str">
        <f ca="1">IFERROR(__xludf.DUMMYFUNCTION("""COMPUTED_VALUE"""),"MUNICIPALIDAD DE CHAITÉN")</f>
        <v>MUNICIPALIDAD DE CHAITÉN</v>
      </c>
      <c r="G741" s="71">
        <f ca="1">IFERROR(__xludf.DUMMYFUNCTION("""COMPUTED_VALUE"""),83148629)</f>
        <v>83148629</v>
      </c>
      <c r="H741" s="10" t="str">
        <f ca="1">IFERROR(__xludf.DUMMYFUNCTION("""COMPUTED_VALUE"""),"Resolución")</f>
        <v>Resolución</v>
      </c>
      <c r="I741" s="10" t="str">
        <f ca="1">IFERROR(__xludf.DUMMYFUNCTION("""COMPUTED_VALUE"""),"OBRA")</f>
        <v>OBRA</v>
      </c>
      <c r="J741" s="10" t="str">
        <f ca="1">IFERROR(__xludf.DUMMYFUNCTION("""COMPUTED_VALUE"""),"Cumplir con normativa y reglamentos internos del programa en base a los objetivos.")</f>
        <v>Cumplir con normativa y reglamentos internos del programa en base a los objetivos.</v>
      </c>
      <c r="K741" s="71">
        <f ca="1">IFERROR(__xludf.DUMMYFUNCTION("""COMPUTED_VALUE"""),83148629)</f>
        <v>83148629</v>
      </c>
      <c r="L741" s="72">
        <f ca="1">IFERROR(__xludf.DUMMYFUNCTION("""COMPUTED_VALUE"""),1)</f>
        <v>1</v>
      </c>
      <c r="M741" s="10">
        <f ca="1">IFERROR(__xludf.DUMMYFUNCTION("""COMPUTED_VALUE"""),9366)</f>
        <v>9366</v>
      </c>
      <c r="N741" s="10" t="str">
        <f ca="1">IFERROR(__xludf.DUMMYFUNCTION("""COMPUTED_VALUE"""),"PMU")</f>
        <v>PMU</v>
      </c>
      <c r="O741" s="1"/>
      <c r="P741" s="1"/>
      <c r="Q741" s="1"/>
      <c r="R741" s="1"/>
      <c r="S741" s="1"/>
      <c r="T741" s="1"/>
      <c r="U741" s="1"/>
      <c r="V741" s="1"/>
      <c r="W741" s="1"/>
      <c r="X741" s="1"/>
      <c r="Y741" s="1"/>
      <c r="Z741" s="1"/>
    </row>
    <row r="742" spans="1:26" ht="12.75" customHeight="1">
      <c r="A742" s="1"/>
      <c r="B742" s="10" t="str">
        <f ca="1">IFERROR(__xludf.DUMMYFUNCTION("""COMPUTED_VALUE"""),"INSTALACIÓN DE LUMINARIAS EN J. DE DIOS MALEBRÁN Y E. ALVEAR Y MEJORAMIENTO ZONAS DE JUEGOS PLAZAS MERCEDES MATTE Y J. DE DIOS MALEBRÁN, PUENTE ALTO")</f>
        <v>INSTALACIÓN DE LUMINARIAS EN J. DE DIOS MALEBRÁN Y E. ALVEAR Y MEJORAMIENTO ZONAS DE JUEGOS PLAZAS MERCEDES MATTE Y J. DE DIOS MALEBRÁN, PUENTE ALTO</v>
      </c>
      <c r="C742" s="10" t="str">
        <f ca="1">IFERROR(__xludf.DUMMYFUNCTION("""COMPUTED_VALUE"""),"1-C-2023-2380")</f>
        <v>1-C-2023-2380</v>
      </c>
      <c r="D742" s="26" t="str">
        <f t="shared" ca="1" si="0"/>
        <v xml:space="preserve"> PUENTE ALTO</v>
      </c>
      <c r="E742" s="10" t="str">
        <f ca="1">IFERROR(__xludf.DUMMYFUNCTION("""COMPUTED_VALUE"""),"Guía Operativa")</f>
        <v>Guía Operativa</v>
      </c>
      <c r="F742" s="10" t="str">
        <f ca="1">IFERROR(__xludf.DUMMYFUNCTION("""COMPUTED_VALUE"""),"MUNICIPALIDAD DE PUENTE ALTO")</f>
        <v>MUNICIPALIDAD DE PUENTE ALTO</v>
      </c>
      <c r="G742" s="71">
        <f ca="1">IFERROR(__xludf.DUMMYFUNCTION("""COMPUTED_VALUE"""),154053922)</f>
        <v>154053922</v>
      </c>
      <c r="H742" s="10" t="str">
        <f ca="1">IFERROR(__xludf.DUMMYFUNCTION("""COMPUTED_VALUE"""),"Resolución")</f>
        <v>Resolución</v>
      </c>
      <c r="I742" s="10" t="str">
        <f ca="1">IFERROR(__xludf.DUMMYFUNCTION("""COMPUTED_VALUE"""),"OBRA")</f>
        <v>OBRA</v>
      </c>
      <c r="J742" s="10" t="str">
        <f ca="1">IFERROR(__xludf.DUMMYFUNCTION("""COMPUTED_VALUE"""),"Cumplir con normativa y reglamentos internos del programa en base a los objetivos.")</f>
        <v>Cumplir con normativa y reglamentos internos del programa en base a los objetivos.</v>
      </c>
      <c r="K742" s="71">
        <f ca="1">IFERROR(__xludf.DUMMYFUNCTION("""COMPUTED_VALUE"""),77026961)</f>
        <v>77026961</v>
      </c>
      <c r="L742" s="72">
        <f ca="1">IFERROR(__xludf.DUMMYFUNCTION("""COMPUTED_VALUE"""),0.5)</f>
        <v>0.5</v>
      </c>
      <c r="M742" s="10">
        <f ca="1">IFERROR(__xludf.DUMMYFUNCTION("""COMPUTED_VALUE"""),9194)</f>
        <v>9194</v>
      </c>
      <c r="N742" s="10" t="str">
        <f ca="1">IFERROR(__xludf.DUMMYFUNCTION("""COMPUTED_VALUE"""),"PMU")</f>
        <v>PMU</v>
      </c>
      <c r="O742" s="1"/>
      <c r="P742" s="1"/>
      <c r="Q742" s="1"/>
      <c r="R742" s="1"/>
      <c r="S742" s="1"/>
      <c r="T742" s="1"/>
      <c r="U742" s="1"/>
      <c r="V742" s="1"/>
      <c r="W742" s="1"/>
      <c r="X742" s="1"/>
      <c r="Y742" s="1"/>
      <c r="Z742" s="1"/>
    </row>
    <row r="743" spans="1:26" ht="12.75" customHeight="1">
      <c r="A743" s="1"/>
      <c r="B743" s="10" t="str">
        <f ca="1">IFERROR(__xludf.DUMMYFUNCTION("""COMPUTED_VALUE"""),"[CATÁSTROFE] MEJORAMIENTO CUBIERTA TEATRO MUNICIPAL MAIPÚ")</f>
        <v>[CATÁSTROFE] MEJORAMIENTO CUBIERTA TEATRO MUNICIPAL MAIPÚ</v>
      </c>
      <c r="C743" s="10" t="str">
        <f ca="1">IFERROR(__xludf.DUMMYFUNCTION("""COMPUTED_VALUE"""),"1-C-2023-2482")</f>
        <v>1-C-2023-2482</v>
      </c>
      <c r="D743" s="26" t="str">
        <f t="shared" ca="1" si="0"/>
        <v xml:space="preserve"> MAIPÚ</v>
      </c>
      <c r="E743" s="10" t="str">
        <f ca="1">IFERROR(__xludf.DUMMYFUNCTION("""COMPUTED_VALUE"""),"Guía Operativa")</f>
        <v>Guía Operativa</v>
      </c>
      <c r="F743" s="10" t="str">
        <f ca="1">IFERROR(__xludf.DUMMYFUNCTION("""COMPUTED_VALUE"""),"MUNICIPALIDAD DE MAIPÚ")</f>
        <v>MUNICIPALIDAD DE MAIPÚ</v>
      </c>
      <c r="G743" s="71">
        <f ca="1">IFERROR(__xludf.DUMMYFUNCTION("""COMPUTED_VALUE"""),154027650)</f>
        <v>154027650</v>
      </c>
      <c r="H743" s="10" t="str">
        <f ca="1">IFERROR(__xludf.DUMMYFUNCTION("""COMPUTED_VALUE"""),"Resolución")</f>
        <v>Resolución</v>
      </c>
      <c r="I743" s="10" t="str">
        <f ca="1">IFERROR(__xludf.DUMMYFUNCTION("""COMPUTED_VALUE"""),"OBRA")</f>
        <v>OBRA</v>
      </c>
      <c r="J743" s="10" t="str">
        <f ca="1">IFERROR(__xludf.DUMMYFUNCTION("""COMPUTED_VALUE"""),"Cumplir con normativa y reglamentos internos del programa en base a los objetivos.")</f>
        <v>Cumplir con normativa y reglamentos internos del programa en base a los objetivos.</v>
      </c>
      <c r="K743" s="71">
        <f ca="1">IFERROR(__xludf.DUMMYFUNCTION("""COMPUTED_VALUE"""),77013825)</f>
        <v>77013825</v>
      </c>
      <c r="L743" s="72">
        <f ca="1">IFERROR(__xludf.DUMMYFUNCTION("""COMPUTED_VALUE"""),0.5)</f>
        <v>0.5</v>
      </c>
      <c r="M743" s="10">
        <f ca="1">IFERROR(__xludf.DUMMYFUNCTION("""COMPUTED_VALUE"""),9178)</f>
        <v>9178</v>
      </c>
      <c r="N743" s="10" t="str">
        <f ca="1">IFERROR(__xludf.DUMMYFUNCTION("""COMPUTED_VALUE"""),"PMU")</f>
        <v>PMU</v>
      </c>
      <c r="O743" s="1"/>
      <c r="P743" s="1"/>
      <c r="Q743" s="1"/>
      <c r="R743" s="1"/>
      <c r="S743" s="1"/>
      <c r="T743" s="1"/>
      <c r="U743" s="1"/>
      <c r="V743" s="1"/>
      <c r="W743" s="1"/>
      <c r="X743" s="1"/>
      <c r="Y743" s="1"/>
      <c r="Z743" s="1"/>
    </row>
    <row r="744" spans="1:26" ht="12.75" customHeight="1">
      <c r="A744" s="1"/>
      <c r="B744" s="10" t="str">
        <f ca="1">IFERROR(__xludf.DUMMYFUNCTION("""COMPUTED_VALUE"""),"[CATÁSTROFE] MEJORAMIENTO DE CUBIERTA 1° Y 2° JUZGADO DE POLICÍA LOCAL, MAIPÚ")</f>
        <v>[CATÁSTROFE] MEJORAMIENTO DE CUBIERTA 1° Y 2° JUZGADO DE POLICÍA LOCAL, MAIPÚ</v>
      </c>
      <c r="C744" s="10" t="str">
        <f ca="1">IFERROR(__xludf.DUMMYFUNCTION("""COMPUTED_VALUE"""),"1-C-2023-2643")</f>
        <v>1-C-2023-2643</v>
      </c>
      <c r="D744" s="26" t="str">
        <f t="shared" ca="1" si="0"/>
        <v xml:space="preserve"> MAIPÚ</v>
      </c>
      <c r="E744" s="10" t="str">
        <f ca="1">IFERROR(__xludf.DUMMYFUNCTION("""COMPUTED_VALUE"""),"Guía Operativa")</f>
        <v>Guía Operativa</v>
      </c>
      <c r="F744" s="10" t="str">
        <f ca="1">IFERROR(__xludf.DUMMYFUNCTION("""COMPUTED_VALUE"""),"MUNICIPALIDAD DE MAIPÚ")</f>
        <v>MUNICIPALIDAD DE MAIPÚ</v>
      </c>
      <c r="G744" s="71">
        <f ca="1">IFERROR(__xludf.DUMMYFUNCTION("""COMPUTED_VALUE"""),87494304)</f>
        <v>87494304</v>
      </c>
      <c r="H744" s="10" t="str">
        <f ca="1">IFERROR(__xludf.DUMMYFUNCTION("""COMPUTED_VALUE"""),"Resolución")</f>
        <v>Resolución</v>
      </c>
      <c r="I744" s="10" t="str">
        <f ca="1">IFERROR(__xludf.DUMMYFUNCTION("""COMPUTED_VALUE"""),"OBRA")</f>
        <v>OBRA</v>
      </c>
      <c r="J744" s="10" t="str">
        <f ca="1">IFERROR(__xludf.DUMMYFUNCTION("""COMPUTED_VALUE"""),"Cumplir con normativa y reglamentos internos del programa en base a los objetivos.")</f>
        <v>Cumplir con normativa y reglamentos internos del programa en base a los objetivos.</v>
      </c>
      <c r="K744" s="71">
        <f ca="1">IFERROR(__xludf.DUMMYFUNCTION("""COMPUTED_VALUE"""),43747152)</f>
        <v>43747152</v>
      </c>
      <c r="L744" s="72">
        <f ca="1">IFERROR(__xludf.DUMMYFUNCTION("""COMPUTED_VALUE"""),0.5)</f>
        <v>0.5</v>
      </c>
      <c r="M744" s="10">
        <f ca="1">IFERROR(__xludf.DUMMYFUNCTION("""COMPUTED_VALUE"""),9178)</f>
        <v>9178</v>
      </c>
      <c r="N744" s="10" t="str">
        <f ca="1">IFERROR(__xludf.DUMMYFUNCTION("""COMPUTED_VALUE"""),"PMU")</f>
        <v>PMU</v>
      </c>
      <c r="O744" s="1"/>
      <c r="P744" s="1"/>
      <c r="Q744" s="1"/>
      <c r="R744" s="1"/>
      <c r="S744" s="1"/>
      <c r="T744" s="1"/>
      <c r="U744" s="1"/>
      <c r="V744" s="1"/>
      <c r="W744" s="1"/>
      <c r="X744" s="1"/>
      <c r="Y744" s="1"/>
      <c r="Z744" s="1"/>
    </row>
    <row r="745" spans="1:26" ht="12.75" customHeight="1">
      <c r="A745" s="1"/>
      <c r="B745" s="10" t="str">
        <f ca="1">IFERROR(__xludf.DUMMYFUNCTION("""COMPUTED_VALUE"""),"MEJORAMIENTO PLAZA MILÁN, COMUNA DE SAN MIGUEL")</f>
        <v>MEJORAMIENTO PLAZA MILÁN, COMUNA DE SAN MIGUEL</v>
      </c>
      <c r="C745" s="10" t="str">
        <f ca="1">IFERROR(__xludf.DUMMYFUNCTION("""COMPUTED_VALUE"""),"1-C-2023-2759")</f>
        <v>1-C-2023-2759</v>
      </c>
      <c r="D745" s="26" t="str">
        <f t="shared" ca="1" si="0"/>
        <v xml:space="preserve"> SAN MIGUEL</v>
      </c>
      <c r="E745" s="10" t="str">
        <f ca="1">IFERROR(__xludf.DUMMYFUNCTION("""COMPUTED_VALUE"""),"Guía Operativa")</f>
        <v>Guía Operativa</v>
      </c>
      <c r="F745" s="10" t="str">
        <f ca="1">IFERROR(__xludf.DUMMYFUNCTION("""COMPUTED_VALUE"""),"MUNICIPALIDAD DE SAN MIGUEL")</f>
        <v>MUNICIPALIDAD DE SAN MIGUEL</v>
      </c>
      <c r="G745" s="71">
        <f ca="1">IFERROR(__xludf.DUMMYFUNCTION("""COMPUTED_VALUE"""),87308322)</f>
        <v>87308322</v>
      </c>
      <c r="H745" s="10" t="str">
        <f ca="1">IFERROR(__xludf.DUMMYFUNCTION("""COMPUTED_VALUE"""),"Resolución")</f>
        <v>Resolución</v>
      </c>
      <c r="I745" s="10" t="str">
        <f ca="1">IFERROR(__xludf.DUMMYFUNCTION("""COMPUTED_VALUE"""),"OBRA")</f>
        <v>OBRA</v>
      </c>
      <c r="J745" s="10" t="str">
        <f ca="1">IFERROR(__xludf.DUMMYFUNCTION("""COMPUTED_VALUE"""),"Cumplir con normativa y reglamentos internos del programa en base a los objetivos.")</f>
        <v>Cumplir con normativa y reglamentos internos del programa en base a los objetivos.</v>
      </c>
      <c r="K745" s="71">
        <f ca="1">IFERROR(__xludf.DUMMYFUNCTION("""COMPUTED_VALUE"""),43654161)</f>
        <v>43654161</v>
      </c>
      <c r="L745" s="72">
        <f ca="1">IFERROR(__xludf.DUMMYFUNCTION("""COMPUTED_VALUE"""),0.5)</f>
        <v>0.5</v>
      </c>
      <c r="M745" s="10">
        <f ca="1">IFERROR(__xludf.DUMMYFUNCTION("""COMPUTED_VALUE"""),9353)</f>
        <v>9353</v>
      </c>
      <c r="N745" s="10" t="str">
        <f ca="1">IFERROR(__xludf.DUMMYFUNCTION("""COMPUTED_VALUE"""),"PMU")</f>
        <v>PMU</v>
      </c>
      <c r="O745" s="1"/>
      <c r="P745" s="1"/>
      <c r="Q745" s="1"/>
      <c r="R745" s="1"/>
      <c r="S745" s="1"/>
      <c r="T745" s="1"/>
      <c r="U745" s="1"/>
      <c r="V745" s="1"/>
      <c r="W745" s="1"/>
      <c r="X745" s="1"/>
      <c r="Y745" s="1"/>
      <c r="Z745" s="1"/>
    </row>
    <row r="746" spans="1:26" ht="12.75" customHeight="1">
      <c r="A746" s="1"/>
      <c r="B746" s="10" t="str">
        <f ca="1">IFERROR(__xludf.DUMMYFUNCTION("""COMPUTED_VALUE"""),"CONSTRUCCIÓN CANCHA PASTO SINTÉTICO C.D. SOBERANÍA")</f>
        <v>CONSTRUCCIÓN CANCHA PASTO SINTÉTICO C.D. SOBERANÍA</v>
      </c>
      <c r="C746" s="10" t="str">
        <f ca="1">IFERROR(__xludf.DUMMYFUNCTION("""COMPUTED_VALUE"""),"1-C-2024-741")</f>
        <v>1-C-2024-741</v>
      </c>
      <c r="D746" s="26" t="str">
        <f t="shared" ca="1" si="0"/>
        <v xml:space="preserve"> LO ESPEJO</v>
      </c>
      <c r="E746" s="10" t="str">
        <f ca="1">IFERROR(__xludf.DUMMYFUNCTION("""COMPUTED_VALUE"""),"Guía Operativa")</f>
        <v>Guía Operativa</v>
      </c>
      <c r="F746" s="10" t="str">
        <f ca="1">IFERROR(__xludf.DUMMYFUNCTION("""COMPUTED_VALUE"""),"MUNICIPALIDAD DE LO ESPEJO")</f>
        <v>MUNICIPALIDAD DE LO ESPEJO</v>
      </c>
      <c r="G746" s="71">
        <f ca="1">IFERROR(__xludf.DUMMYFUNCTION("""COMPUTED_VALUE"""),154108021)</f>
        <v>154108021</v>
      </c>
      <c r="H746" s="10" t="str">
        <f ca="1">IFERROR(__xludf.DUMMYFUNCTION("""COMPUTED_VALUE"""),"Resolución")</f>
        <v>Resolución</v>
      </c>
      <c r="I746" s="10" t="str">
        <f ca="1">IFERROR(__xludf.DUMMYFUNCTION("""COMPUTED_VALUE"""),"OBRA")</f>
        <v>OBRA</v>
      </c>
      <c r="J746" s="10" t="str">
        <f ca="1">IFERROR(__xludf.DUMMYFUNCTION("""COMPUTED_VALUE"""),"Cumplir con normativa y reglamentos internos del programa en base a los objetivos.")</f>
        <v>Cumplir con normativa y reglamentos internos del programa en base a los objetivos.</v>
      </c>
      <c r="K746" s="71">
        <f ca="1">IFERROR(__xludf.DUMMYFUNCTION("""COMPUTED_VALUE"""),77054011)</f>
        <v>77054011</v>
      </c>
      <c r="L746" s="72">
        <f ca="1">IFERROR(__xludf.DUMMYFUNCTION("""COMPUTED_VALUE"""),0.500000003244477)</f>
        <v>0.50000000324447702</v>
      </c>
      <c r="M746" s="10">
        <f ca="1">IFERROR(__xludf.DUMMYFUNCTION("""COMPUTED_VALUE"""),9360)</f>
        <v>9360</v>
      </c>
      <c r="N746" s="10" t="str">
        <f ca="1">IFERROR(__xludf.DUMMYFUNCTION("""COMPUTED_VALUE"""),"PMU")</f>
        <v>PMU</v>
      </c>
      <c r="O746" s="1"/>
      <c r="P746" s="1"/>
      <c r="Q746" s="1"/>
      <c r="R746" s="1"/>
      <c r="S746" s="1"/>
      <c r="T746" s="1"/>
      <c r="U746" s="1"/>
      <c r="V746" s="1"/>
      <c r="W746" s="1"/>
      <c r="X746" s="1"/>
      <c r="Y746" s="1"/>
      <c r="Z746" s="1"/>
    </row>
    <row r="747" spans="1:26" ht="12.75" customHeight="1">
      <c r="A747" s="1"/>
      <c r="B747" s="10" t="str">
        <f ca="1">IFERROR(__xludf.DUMMYFUNCTION("""COMPUTED_VALUE"""),"MEJORAMIENTO MULTICANCHA CLUB JUVENTUD PLATENSE, COMUNA PEDRO AGUIRRE CERDA")</f>
        <v>MEJORAMIENTO MULTICANCHA CLUB JUVENTUD PLATENSE, COMUNA PEDRO AGUIRRE CERDA</v>
      </c>
      <c r="C747" s="10" t="str">
        <f ca="1">IFERROR(__xludf.DUMMYFUNCTION("""COMPUTED_VALUE"""),"1-B-2024-171")</f>
        <v>1-B-2024-171</v>
      </c>
      <c r="D747" s="26" t="str">
        <f t="shared" ca="1" si="0"/>
        <v xml:space="preserve"> PEDRO AGUIRRE CERDA</v>
      </c>
      <c r="E747" s="10" t="str">
        <f ca="1">IFERROR(__xludf.DUMMYFUNCTION("""COMPUTED_VALUE"""),"Guía Operativa")</f>
        <v>Guía Operativa</v>
      </c>
      <c r="F747" s="10" t="str">
        <f ca="1">IFERROR(__xludf.DUMMYFUNCTION("""COMPUTED_VALUE"""),"MUNICIPALIDAD DE PEDRO AGUIRRE CERDA")</f>
        <v>MUNICIPALIDAD DE PEDRO AGUIRRE CERDA</v>
      </c>
      <c r="G747" s="71">
        <f ca="1">IFERROR(__xludf.DUMMYFUNCTION("""COMPUTED_VALUE"""),147681332)</f>
        <v>147681332</v>
      </c>
      <c r="H747" s="10" t="str">
        <f ca="1">IFERROR(__xludf.DUMMYFUNCTION("""COMPUTED_VALUE"""),"Resolución")</f>
        <v>Resolución</v>
      </c>
      <c r="I747" s="10" t="str">
        <f ca="1">IFERROR(__xludf.DUMMYFUNCTION("""COMPUTED_VALUE"""),"OBRA")</f>
        <v>OBRA</v>
      </c>
      <c r="J747" s="10" t="str">
        <f ca="1">IFERROR(__xludf.DUMMYFUNCTION("""COMPUTED_VALUE"""),"Cumplir con normativa y reglamentos internos del programa en base a los objetivos.")</f>
        <v>Cumplir con normativa y reglamentos internos del programa en base a los objetivos.</v>
      </c>
      <c r="K747" s="71">
        <f ca="1">IFERROR(__xludf.DUMMYFUNCTION("""COMPUTED_VALUE"""),147681332)</f>
        <v>147681332</v>
      </c>
      <c r="L747" s="72">
        <f ca="1">IFERROR(__xludf.DUMMYFUNCTION("""COMPUTED_VALUE"""),1)</f>
        <v>1</v>
      </c>
      <c r="M747" s="10">
        <f ca="1">IFERROR(__xludf.DUMMYFUNCTION("""COMPUTED_VALUE"""),9187)</f>
        <v>9187</v>
      </c>
      <c r="N747" s="10" t="str">
        <f ca="1">IFERROR(__xludf.DUMMYFUNCTION("""COMPUTED_VALUE"""),"PMU")</f>
        <v>PMU</v>
      </c>
      <c r="O747" s="1"/>
      <c r="P747" s="1"/>
      <c r="Q747" s="1"/>
      <c r="R747" s="1"/>
      <c r="S747" s="1"/>
      <c r="T747" s="1"/>
      <c r="U747" s="1"/>
      <c r="V747" s="1"/>
      <c r="W747" s="1"/>
      <c r="X747" s="1"/>
      <c r="Y747" s="1"/>
      <c r="Z747" s="1"/>
    </row>
    <row r="748" spans="1:26" ht="12.75" customHeight="1">
      <c r="A748" s="1"/>
      <c r="B748" s="10" t="str">
        <f ca="1">IFERROR(__xludf.DUMMYFUNCTION("""COMPUTED_VALUE"""),"CONSTRUCCIÓN PLAZA HUASCO, COMUNA DE LO ESPEJO")</f>
        <v>CONSTRUCCIÓN PLAZA HUASCO, COMUNA DE LO ESPEJO</v>
      </c>
      <c r="C748" s="10" t="str">
        <f ca="1">IFERROR(__xludf.DUMMYFUNCTION("""COMPUTED_VALUE"""),"1-B-2024-174")</f>
        <v>1-B-2024-174</v>
      </c>
      <c r="D748" s="26" t="str">
        <f t="shared" ca="1" si="0"/>
        <v xml:space="preserve"> LO ESPEJO</v>
      </c>
      <c r="E748" s="10" t="str">
        <f ca="1">IFERROR(__xludf.DUMMYFUNCTION("""COMPUTED_VALUE"""),"Guía Operativa")</f>
        <v>Guía Operativa</v>
      </c>
      <c r="F748" s="10" t="str">
        <f ca="1">IFERROR(__xludf.DUMMYFUNCTION("""COMPUTED_VALUE"""),"MUNICIPALIDAD DE LO ESPEJO")</f>
        <v>MUNICIPALIDAD DE LO ESPEJO</v>
      </c>
      <c r="G748" s="71">
        <f ca="1">IFERROR(__xludf.DUMMYFUNCTION("""COMPUTED_VALUE"""),161656371)</f>
        <v>161656371</v>
      </c>
      <c r="H748" s="10" t="str">
        <f ca="1">IFERROR(__xludf.DUMMYFUNCTION("""COMPUTED_VALUE"""),"Resolución")</f>
        <v>Resolución</v>
      </c>
      <c r="I748" s="10" t="str">
        <f ca="1">IFERROR(__xludf.DUMMYFUNCTION("""COMPUTED_VALUE"""),"OBRA")</f>
        <v>OBRA</v>
      </c>
      <c r="J748" s="10" t="str">
        <f ca="1">IFERROR(__xludf.DUMMYFUNCTION("""COMPUTED_VALUE"""),"Cumplir con normativa y reglamentos internos del programa en base a los objetivos.")</f>
        <v>Cumplir con normativa y reglamentos internos del programa en base a los objetivos.</v>
      </c>
      <c r="K748" s="71">
        <f ca="1">IFERROR(__xludf.DUMMYFUNCTION("""COMPUTED_VALUE"""),161656371)</f>
        <v>161656371</v>
      </c>
      <c r="L748" s="72">
        <f ca="1">IFERROR(__xludf.DUMMYFUNCTION("""COMPUTED_VALUE"""),1)</f>
        <v>1</v>
      </c>
      <c r="M748" s="10">
        <f ca="1">IFERROR(__xludf.DUMMYFUNCTION("""COMPUTED_VALUE"""),9363)</f>
        <v>9363</v>
      </c>
      <c r="N748" s="10" t="str">
        <f ca="1">IFERROR(__xludf.DUMMYFUNCTION("""COMPUTED_VALUE"""),"PMU")</f>
        <v>PMU</v>
      </c>
      <c r="O748" s="1"/>
      <c r="P748" s="1"/>
      <c r="Q748" s="1"/>
      <c r="R748" s="1"/>
      <c r="S748" s="1"/>
      <c r="T748" s="1"/>
      <c r="U748" s="1"/>
      <c r="V748" s="1"/>
      <c r="W748" s="1"/>
      <c r="X748" s="1"/>
      <c r="Y748" s="1"/>
      <c r="Z748" s="1"/>
    </row>
    <row r="749" spans="1:26" ht="12.75" customHeight="1">
      <c r="A749" s="1"/>
      <c r="B749" s="10" t="str">
        <f ca="1">IFERROR(__xludf.DUMMYFUNCTION("""COMPUTED_VALUE"""),"CONSTRUCCIÓN PISTA DE PATINAJE PARQUE EL ROSAL, MAIPÚ")</f>
        <v>CONSTRUCCIÓN PISTA DE PATINAJE PARQUE EL ROSAL, MAIPÚ</v>
      </c>
      <c r="C749" s="10" t="str">
        <f ca="1">IFERROR(__xludf.DUMMYFUNCTION("""COMPUTED_VALUE"""),"1-B-2024-191")</f>
        <v>1-B-2024-191</v>
      </c>
      <c r="D749" s="26" t="str">
        <f t="shared" ca="1" si="0"/>
        <v xml:space="preserve"> MAIPÚ</v>
      </c>
      <c r="E749" s="10" t="str">
        <f ca="1">IFERROR(__xludf.DUMMYFUNCTION("""COMPUTED_VALUE"""),"Guía Operativa")</f>
        <v>Guía Operativa</v>
      </c>
      <c r="F749" s="10" t="str">
        <f ca="1">IFERROR(__xludf.DUMMYFUNCTION("""COMPUTED_VALUE"""),"MUNICIPALIDAD DE MAIPÚ")</f>
        <v>MUNICIPALIDAD DE MAIPÚ</v>
      </c>
      <c r="G749" s="71">
        <f ca="1">IFERROR(__xludf.DUMMYFUNCTION("""COMPUTED_VALUE"""),146529847)</f>
        <v>146529847</v>
      </c>
      <c r="H749" s="10" t="str">
        <f ca="1">IFERROR(__xludf.DUMMYFUNCTION("""COMPUTED_VALUE"""),"Resolución")</f>
        <v>Resolución</v>
      </c>
      <c r="I749" s="10" t="str">
        <f ca="1">IFERROR(__xludf.DUMMYFUNCTION("""COMPUTED_VALUE"""),"OBRA")</f>
        <v>OBRA</v>
      </c>
      <c r="J749" s="10" t="str">
        <f ca="1">IFERROR(__xludf.DUMMYFUNCTION("""COMPUTED_VALUE"""),"Cumplir con normativa y reglamentos internos del programa en base a los objetivos.")</f>
        <v>Cumplir con normativa y reglamentos internos del programa en base a los objetivos.</v>
      </c>
      <c r="K749" s="71">
        <f ca="1">IFERROR(__xludf.DUMMYFUNCTION("""COMPUTED_VALUE"""),146529847)</f>
        <v>146529847</v>
      </c>
      <c r="L749" s="72">
        <f ca="1">IFERROR(__xludf.DUMMYFUNCTION("""COMPUTED_VALUE"""),1)</f>
        <v>1</v>
      </c>
      <c r="M749" s="10">
        <f ca="1">IFERROR(__xludf.DUMMYFUNCTION("""COMPUTED_VALUE"""),8923)</f>
        <v>8923</v>
      </c>
      <c r="N749" s="10" t="str">
        <f ca="1">IFERROR(__xludf.DUMMYFUNCTION("""COMPUTED_VALUE"""),"PMU")</f>
        <v>PMU</v>
      </c>
      <c r="O749" s="1"/>
      <c r="P749" s="1"/>
      <c r="Q749" s="1"/>
      <c r="R749" s="1"/>
      <c r="S749" s="1"/>
      <c r="T749" s="1"/>
      <c r="U749" s="1"/>
      <c r="V749" s="1"/>
      <c r="W749" s="1"/>
      <c r="X749" s="1"/>
      <c r="Y749" s="1"/>
      <c r="Z749" s="1"/>
    </row>
    <row r="750" spans="1:26" ht="12.75" customHeight="1">
      <c r="A750" s="1"/>
      <c r="B750" s="10" t="str">
        <f ca="1">IFERROR(__xludf.DUMMYFUNCTION("""COMPUTED_VALUE"""),"HABILITACION PLAZAS 1 Y 3 , PASAJE 9 BARRIO CAUPOLICAN LAS TORRES UV N°15")</f>
        <v>HABILITACION PLAZAS 1 Y 3 , PASAJE 9 BARRIO CAUPOLICAN LAS TORRES UV N°15</v>
      </c>
      <c r="C750" s="10" t="str">
        <f ca="1">IFERROR(__xludf.DUMMYFUNCTION("""COMPUTED_VALUE"""),"1-B-2024-227")</f>
        <v>1-B-2024-227</v>
      </c>
      <c r="D750" s="26" t="str">
        <f t="shared" ca="1" si="0"/>
        <v xml:space="preserve"> MACUL</v>
      </c>
      <c r="E750" s="10" t="str">
        <f ca="1">IFERROR(__xludf.DUMMYFUNCTION("""COMPUTED_VALUE"""),"Guía Operativa")</f>
        <v>Guía Operativa</v>
      </c>
      <c r="F750" s="10" t="str">
        <f ca="1">IFERROR(__xludf.DUMMYFUNCTION("""COMPUTED_VALUE"""),"MUNICIPALIDAD DE MACUL")</f>
        <v>MUNICIPALIDAD DE MACUL</v>
      </c>
      <c r="G750" s="71">
        <f ca="1">IFERROR(__xludf.DUMMYFUNCTION("""COMPUTED_VALUE"""),160601040)</f>
        <v>160601040</v>
      </c>
      <c r="H750" s="10" t="str">
        <f ca="1">IFERROR(__xludf.DUMMYFUNCTION("""COMPUTED_VALUE"""),"Resolución")</f>
        <v>Resolución</v>
      </c>
      <c r="I750" s="10" t="str">
        <f ca="1">IFERROR(__xludf.DUMMYFUNCTION("""COMPUTED_VALUE"""),"OBRA")</f>
        <v>OBRA</v>
      </c>
      <c r="J750" s="10" t="str">
        <f ca="1">IFERROR(__xludf.DUMMYFUNCTION("""COMPUTED_VALUE"""),"Cumplir con normativa y reglamentos internos del programa en base a los objetivos.")</f>
        <v>Cumplir con normativa y reglamentos internos del programa en base a los objetivos.</v>
      </c>
      <c r="K750" s="71">
        <f ca="1">IFERROR(__xludf.DUMMYFUNCTION("""COMPUTED_VALUE"""),160601040)</f>
        <v>160601040</v>
      </c>
      <c r="L750" s="72">
        <f ca="1">IFERROR(__xludf.DUMMYFUNCTION("""COMPUTED_VALUE"""),1)</f>
        <v>1</v>
      </c>
      <c r="M750" s="10">
        <f ca="1">IFERROR(__xludf.DUMMYFUNCTION("""COMPUTED_VALUE"""),8889)</f>
        <v>8889</v>
      </c>
      <c r="N750" s="10" t="str">
        <f ca="1">IFERROR(__xludf.DUMMYFUNCTION("""COMPUTED_VALUE"""),"PMU")</f>
        <v>PMU</v>
      </c>
      <c r="O750" s="1"/>
      <c r="P750" s="1"/>
      <c r="Q750" s="1"/>
      <c r="R750" s="1"/>
      <c r="S750" s="1"/>
      <c r="T750" s="1"/>
      <c r="U750" s="1"/>
      <c r="V750" s="1"/>
      <c r="W750" s="1"/>
      <c r="X750" s="1"/>
      <c r="Y750" s="1"/>
      <c r="Z750" s="1"/>
    </row>
    <row r="751" spans="1:26" ht="12.75" customHeight="1">
      <c r="A751" s="1"/>
      <c r="B751" s="10" t="str">
        <f ca="1">IFERROR(__xludf.DUMMYFUNCTION("""COMPUTED_VALUE"""),"MEJORAMIENTO PLATABANDA EDUARDO FREI, COMUNA DE LO ESPEJO")</f>
        <v>MEJORAMIENTO PLATABANDA EDUARDO FREI, COMUNA DE LO ESPEJO</v>
      </c>
      <c r="C751" s="10" t="str">
        <f ca="1">IFERROR(__xludf.DUMMYFUNCTION("""COMPUTED_VALUE"""),"1-B-2024-267")</f>
        <v>1-B-2024-267</v>
      </c>
      <c r="D751" s="26" t="str">
        <f t="shared" ca="1" si="0"/>
        <v xml:space="preserve"> LO ESPEJO</v>
      </c>
      <c r="E751" s="10" t="str">
        <f ca="1">IFERROR(__xludf.DUMMYFUNCTION("""COMPUTED_VALUE"""),"Guía Operativa")</f>
        <v>Guía Operativa</v>
      </c>
      <c r="F751" s="10" t="str">
        <f ca="1">IFERROR(__xludf.DUMMYFUNCTION("""COMPUTED_VALUE"""),"MUNICIPALIDAD DE LO ESPEJO")</f>
        <v>MUNICIPALIDAD DE LO ESPEJO</v>
      </c>
      <c r="G751" s="71">
        <f ca="1">IFERROR(__xludf.DUMMYFUNCTION("""COMPUTED_VALUE"""),144515888)</f>
        <v>144515888</v>
      </c>
      <c r="H751" s="10" t="str">
        <f ca="1">IFERROR(__xludf.DUMMYFUNCTION("""COMPUTED_VALUE"""),"Resolución")</f>
        <v>Resolución</v>
      </c>
      <c r="I751" s="10" t="str">
        <f ca="1">IFERROR(__xludf.DUMMYFUNCTION("""COMPUTED_VALUE"""),"OBRA")</f>
        <v>OBRA</v>
      </c>
      <c r="J751" s="10" t="str">
        <f ca="1">IFERROR(__xludf.DUMMYFUNCTION("""COMPUTED_VALUE"""),"Cumplir con normativa y reglamentos internos del programa en base a los objetivos.")</f>
        <v>Cumplir con normativa y reglamentos internos del programa en base a los objetivos.</v>
      </c>
      <c r="K751" s="71">
        <f ca="1">IFERROR(__xludf.DUMMYFUNCTION("""COMPUTED_VALUE"""),144515888)</f>
        <v>144515888</v>
      </c>
      <c r="L751" s="72">
        <f ca="1">IFERROR(__xludf.DUMMYFUNCTION("""COMPUTED_VALUE"""),1)</f>
        <v>1</v>
      </c>
      <c r="M751" s="10">
        <f ca="1">IFERROR(__xludf.DUMMYFUNCTION("""COMPUTED_VALUE"""),9363)</f>
        <v>9363</v>
      </c>
      <c r="N751" s="10" t="str">
        <f ca="1">IFERROR(__xludf.DUMMYFUNCTION("""COMPUTED_VALUE"""),"PMU")</f>
        <v>PMU</v>
      </c>
      <c r="O751" s="1"/>
      <c r="P751" s="1"/>
      <c r="Q751" s="1"/>
      <c r="R751" s="1"/>
      <c r="S751" s="1"/>
      <c r="T751" s="1"/>
      <c r="U751" s="1"/>
      <c r="V751" s="1"/>
      <c r="W751" s="1"/>
      <c r="X751" s="1"/>
      <c r="Y751" s="1"/>
      <c r="Z751" s="1"/>
    </row>
    <row r="752" spans="1:26" ht="12.75" customHeight="1">
      <c r="A752" s="1"/>
      <c r="B752" s="10" t="str">
        <f ca="1">IFERROR(__xludf.DUMMYFUNCTION("""COMPUTED_VALUE"""),"“MEJORAMIENTO ESCALERA SENDA 27, CERRO 18 SUR, LO BARNECHEA”")</f>
        <v>“MEJORAMIENTO ESCALERA SENDA 27, CERRO 18 SUR, LO BARNECHEA”</v>
      </c>
      <c r="C752" s="10" t="str">
        <f ca="1">IFERROR(__xludf.DUMMYFUNCTION("""COMPUTED_VALUE"""),"1-B-2024-335")</f>
        <v>1-B-2024-335</v>
      </c>
      <c r="D752" s="26" t="str">
        <f t="shared" ca="1" si="0"/>
        <v xml:space="preserve"> LO BARNECHEA</v>
      </c>
      <c r="E752" s="10" t="str">
        <f ca="1">IFERROR(__xludf.DUMMYFUNCTION("""COMPUTED_VALUE"""),"Guía Operativa")</f>
        <v>Guía Operativa</v>
      </c>
      <c r="F752" s="10" t="str">
        <f ca="1">IFERROR(__xludf.DUMMYFUNCTION("""COMPUTED_VALUE"""),"MUNICIPALIDAD DE LO BARNECHEA")</f>
        <v>MUNICIPALIDAD DE LO BARNECHEA</v>
      </c>
      <c r="G752" s="71">
        <f ca="1">IFERROR(__xludf.DUMMYFUNCTION("""COMPUTED_VALUE"""),82605487)</f>
        <v>82605487</v>
      </c>
      <c r="H752" s="10" t="str">
        <f ca="1">IFERROR(__xludf.DUMMYFUNCTION("""COMPUTED_VALUE"""),"Resolución")</f>
        <v>Resolución</v>
      </c>
      <c r="I752" s="10" t="str">
        <f ca="1">IFERROR(__xludf.DUMMYFUNCTION("""COMPUTED_VALUE"""),"OBRA")</f>
        <v>OBRA</v>
      </c>
      <c r="J752" s="10" t="str">
        <f ca="1">IFERROR(__xludf.DUMMYFUNCTION("""COMPUTED_VALUE"""),"Cumplir con normativa y reglamentos internos del programa en base a los objetivos.")</f>
        <v>Cumplir con normativa y reglamentos internos del programa en base a los objetivos.</v>
      </c>
      <c r="K752" s="71">
        <f ca="1">IFERROR(__xludf.DUMMYFUNCTION("""COMPUTED_VALUE"""),82605487)</f>
        <v>82605487</v>
      </c>
      <c r="L752" s="72">
        <f ca="1">IFERROR(__xludf.DUMMYFUNCTION("""COMPUTED_VALUE"""),1)</f>
        <v>1</v>
      </c>
      <c r="M752" s="10">
        <f ca="1">IFERROR(__xludf.DUMMYFUNCTION("""COMPUTED_VALUE"""),9183)</f>
        <v>9183</v>
      </c>
      <c r="N752" s="10" t="str">
        <f ca="1">IFERROR(__xludf.DUMMYFUNCTION("""COMPUTED_VALUE"""),"PMU")</f>
        <v>PMU</v>
      </c>
      <c r="O752" s="1"/>
      <c r="P752" s="1"/>
      <c r="Q752" s="1"/>
      <c r="R752" s="1"/>
      <c r="S752" s="1"/>
      <c r="T752" s="1"/>
      <c r="U752" s="1"/>
      <c r="V752" s="1"/>
      <c r="W752" s="1"/>
      <c r="X752" s="1"/>
      <c r="Y752" s="1"/>
      <c r="Z752" s="1"/>
    </row>
    <row r="753" spans="1:26" ht="12.75" customHeight="1">
      <c r="A753" s="1"/>
      <c r="B753" s="10" t="str">
        <f ca="1">IFERROR(__xludf.DUMMYFUNCTION("""COMPUTED_VALUE"""),"MEJORAMIENTO PLAZA LOS HALCONES, LAMPA")</f>
        <v>MEJORAMIENTO PLAZA LOS HALCONES, LAMPA</v>
      </c>
      <c r="C753" s="10" t="str">
        <f ca="1">IFERROR(__xludf.DUMMYFUNCTION("""COMPUTED_VALUE"""),"1-B-2024-375")</f>
        <v>1-B-2024-375</v>
      </c>
      <c r="D753" s="26" t="str">
        <f t="shared" ca="1" si="0"/>
        <v xml:space="preserve"> LAMPA</v>
      </c>
      <c r="E753" s="10" t="str">
        <f ca="1">IFERROR(__xludf.DUMMYFUNCTION("""COMPUTED_VALUE"""),"Guía Operativa")</f>
        <v>Guía Operativa</v>
      </c>
      <c r="F753" s="10" t="str">
        <f ca="1">IFERROR(__xludf.DUMMYFUNCTION("""COMPUTED_VALUE"""),"MUNICIPALIDAD DE LAMPA")</f>
        <v>MUNICIPALIDAD DE LAMPA</v>
      </c>
      <c r="G753" s="71">
        <f ca="1">IFERROR(__xludf.DUMMYFUNCTION("""COMPUTED_VALUE"""),161664886)</f>
        <v>161664886</v>
      </c>
      <c r="H753" s="10" t="str">
        <f ca="1">IFERROR(__xludf.DUMMYFUNCTION("""COMPUTED_VALUE"""),"Resolución")</f>
        <v>Resolución</v>
      </c>
      <c r="I753" s="10" t="str">
        <f ca="1">IFERROR(__xludf.DUMMYFUNCTION("""COMPUTED_VALUE"""),"OBRA")</f>
        <v>OBRA</v>
      </c>
      <c r="J753" s="10" t="str">
        <f ca="1">IFERROR(__xludf.DUMMYFUNCTION("""COMPUTED_VALUE"""),"Cumplir con normativa y reglamentos internos del programa en base a los objetivos.")</f>
        <v>Cumplir con normativa y reglamentos internos del programa en base a los objetivos.</v>
      </c>
      <c r="K753" s="71">
        <f ca="1">IFERROR(__xludf.DUMMYFUNCTION("""COMPUTED_VALUE"""),161664886)</f>
        <v>161664886</v>
      </c>
      <c r="L753" s="72">
        <f ca="1">IFERROR(__xludf.DUMMYFUNCTION("""COMPUTED_VALUE"""),1)</f>
        <v>1</v>
      </c>
      <c r="M753" s="10">
        <f ca="1">IFERROR(__xludf.DUMMYFUNCTION("""COMPUTED_VALUE"""),8890)</f>
        <v>8890</v>
      </c>
      <c r="N753" s="10" t="str">
        <f ca="1">IFERROR(__xludf.DUMMYFUNCTION("""COMPUTED_VALUE"""),"PMU")</f>
        <v>PMU</v>
      </c>
      <c r="O753" s="1"/>
      <c r="P753" s="1"/>
      <c r="Q753" s="1"/>
      <c r="R753" s="1"/>
      <c r="S753" s="1"/>
      <c r="T753" s="1"/>
      <c r="U753" s="1"/>
      <c r="V753" s="1"/>
      <c r="W753" s="1"/>
      <c r="X753" s="1"/>
      <c r="Y753" s="1"/>
      <c r="Z753" s="1"/>
    </row>
    <row r="754" spans="1:26" ht="12.75" customHeight="1">
      <c r="A754" s="1"/>
      <c r="B754" s="10" t="str">
        <f ca="1">IFERROR(__xludf.DUMMYFUNCTION("""COMPUTED_VALUE"""),"CONSTRUCCION BACHEO DIVERSOS SECTORES URBANOS, COMUNA DE PAILLACO")</f>
        <v>CONSTRUCCION BACHEO DIVERSOS SECTORES URBANOS, COMUNA DE PAILLACO</v>
      </c>
      <c r="C754" s="10" t="str">
        <f ca="1">IFERROR(__xludf.DUMMYFUNCTION("""COMPUTED_VALUE"""),"1-C-2022-1643 [CHA]")</f>
        <v>1-C-2022-1643 [CHA]</v>
      </c>
      <c r="D754" s="26" t="str">
        <f t="shared" ca="1" si="0"/>
        <v xml:space="preserve"> PAILLACO</v>
      </c>
      <c r="E754" s="10" t="str">
        <f ca="1">IFERROR(__xludf.DUMMYFUNCTION("""COMPUTED_VALUE"""),"Guía Operativa")</f>
        <v>Guía Operativa</v>
      </c>
      <c r="F754" s="10" t="str">
        <f ca="1">IFERROR(__xludf.DUMMYFUNCTION("""COMPUTED_VALUE"""),"MUNICIPALIDAD DE PAILLACO")</f>
        <v>MUNICIPALIDAD DE PAILLACO</v>
      </c>
      <c r="G754" s="71">
        <f ca="1">IFERROR(__xludf.DUMMYFUNCTION("""COMPUTED_VALUE"""),88319598)</f>
        <v>88319598</v>
      </c>
      <c r="H754" s="10" t="str">
        <f ca="1">IFERROR(__xludf.DUMMYFUNCTION("""COMPUTED_VALUE"""),"Resolución")</f>
        <v>Resolución</v>
      </c>
      <c r="I754" s="10" t="str">
        <f ca="1">IFERROR(__xludf.DUMMYFUNCTION("""COMPUTED_VALUE"""),"OBRA")</f>
        <v>OBRA</v>
      </c>
      <c r="J754" s="10" t="str">
        <f ca="1">IFERROR(__xludf.DUMMYFUNCTION("""COMPUTED_VALUE"""),"Cumplir con normativa y reglamentos internos del programa en base a los objetivos.")</f>
        <v>Cumplir con normativa y reglamentos internos del programa en base a los objetivos.</v>
      </c>
      <c r="K754" s="71">
        <f ca="1">IFERROR(__xludf.DUMMYFUNCTION("""COMPUTED_VALUE"""),34891813)</f>
        <v>34891813</v>
      </c>
      <c r="L754" s="72">
        <f ca="1">IFERROR(__xludf.DUMMYFUNCTION("""COMPUTED_VALUE"""),0.996590745351898)</f>
        <v>0.99659074535189796</v>
      </c>
      <c r="M754" s="10">
        <f ca="1">IFERROR(__xludf.DUMMYFUNCTION("""COMPUTED_VALUE"""),10549)</f>
        <v>10549</v>
      </c>
      <c r="N754" s="10" t="str">
        <f ca="1">IFERROR(__xludf.DUMMYFUNCTION("""COMPUTED_VALUE"""),"PMU")</f>
        <v>PMU</v>
      </c>
      <c r="O754" s="1"/>
      <c r="P754" s="1"/>
      <c r="Q754" s="1"/>
      <c r="R754" s="1"/>
      <c r="S754" s="1"/>
      <c r="T754" s="1"/>
      <c r="U754" s="1"/>
      <c r="V754" s="1"/>
      <c r="W754" s="1"/>
      <c r="X754" s="1"/>
      <c r="Y754" s="1"/>
      <c r="Z754" s="1"/>
    </row>
    <row r="755" spans="1:26" ht="12.75" customHeight="1">
      <c r="A755" s="1"/>
      <c r="B755" s="10" t="str">
        <f ca="1">IFERROR(__xludf.DUMMYFUNCTION("""COMPUTED_VALUE"""),"MEJORAMIENTO ACCESIBILIDAD UNIVERSAL Y CAPTACION DE AGUAS LLUVIAS POSTA RURAL MORROMPULLI")</f>
        <v>MEJORAMIENTO ACCESIBILIDAD UNIVERSAL Y CAPTACION DE AGUAS LLUVIAS POSTA RURAL MORROMPULLI</v>
      </c>
      <c r="C755" s="10" t="str">
        <f ca="1">IFERROR(__xludf.DUMMYFUNCTION("""COMPUTED_VALUE"""),"1-C-2022-2109")</f>
        <v>1-C-2022-2109</v>
      </c>
      <c r="D755" s="26" t="str">
        <f t="shared" ca="1" si="0"/>
        <v xml:space="preserve"> VALDIVIA</v>
      </c>
      <c r="E755" s="10" t="str">
        <f ca="1">IFERROR(__xludf.DUMMYFUNCTION("""COMPUTED_VALUE"""),"Guía Operativa")</f>
        <v>Guía Operativa</v>
      </c>
      <c r="F755" s="10" t="str">
        <f ca="1">IFERROR(__xludf.DUMMYFUNCTION("""COMPUTED_VALUE"""),"MUNICIPALIDAD DE VALDIVIA")</f>
        <v>MUNICIPALIDAD DE VALDIVIA</v>
      </c>
      <c r="G755" s="71">
        <f ca="1">IFERROR(__xludf.DUMMYFUNCTION("""COMPUTED_VALUE"""),77008470)</f>
        <v>77008470</v>
      </c>
      <c r="H755" s="10" t="str">
        <f ca="1">IFERROR(__xludf.DUMMYFUNCTION("""COMPUTED_VALUE"""),"Resolución")</f>
        <v>Resolución</v>
      </c>
      <c r="I755" s="10" t="str">
        <f ca="1">IFERROR(__xludf.DUMMYFUNCTION("""COMPUTED_VALUE"""),"OBRA")</f>
        <v>OBRA</v>
      </c>
      <c r="J755" s="10" t="str">
        <f ca="1">IFERROR(__xludf.DUMMYFUNCTION("""COMPUTED_VALUE"""),"Cumplir con normativa y reglamentos internos del programa en base a los objetivos.")</f>
        <v>Cumplir con normativa y reglamentos internos del programa en base a los objetivos.</v>
      </c>
      <c r="K755" s="71">
        <f ca="1">IFERROR(__xludf.DUMMYFUNCTION("""COMPUTED_VALUE"""),77008470)</f>
        <v>77008470</v>
      </c>
      <c r="L755" s="72">
        <f ca="1">IFERROR(__xludf.DUMMYFUNCTION("""COMPUTED_VALUE"""),1)</f>
        <v>1</v>
      </c>
      <c r="M755" s="10">
        <f ca="1">IFERROR(__xludf.DUMMYFUNCTION("""COMPUTED_VALUE"""),9341)</f>
        <v>9341</v>
      </c>
      <c r="N755" s="10" t="str">
        <f ca="1">IFERROR(__xludf.DUMMYFUNCTION("""COMPUTED_VALUE"""),"PMU")</f>
        <v>PMU</v>
      </c>
      <c r="O755" s="1"/>
      <c r="P755" s="1"/>
      <c r="Q755" s="1"/>
      <c r="R755" s="1"/>
      <c r="S755" s="1"/>
      <c r="T755" s="1"/>
      <c r="U755" s="1"/>
      <c r="V755" s="1"/>
      <c r="W755" s="1"/>
      <c r="X755" s="1"/>
      <c r="Y755" s="1"/>
      <c r="Z755" s="1"/>
    </row>
    <row r="756" spans="1:26" ht="12.75" customHeight="1">
      <c r="A756" s="1"/>
      <c r="B756" s="10" t="str">
        <f ca="1">IFERROR(__xludf.DUMMYFUNCTION("""COMPUTED_VALUE"""),"REPOSICIÓN PLAZA INFANTIL VISTA AL LAGO, COMUNA DE LAGO RANCO")</f>
        <v>REPOSICIÓN PLAZA INFANTIL VISTA AL LAGO, COMUNA DE LAGO RANCO</v>
      </c>
      <c r="C756" s="10" t="str">
        <f ca="1">IFERROR(__xludf.DUMMYFUNCTION("""COMPUTED_VALUE"""),"1-C-2022-2508")</f>
        <v>1-C-2022-2508</v>
      </c>
      <c r="D756" s="26" t="str">
        <f t="shared" ca="1" si="0"/>
        <v xml:space="preserve"> LAGO RANCO</v>
      </c>
      <c r="E756" s="10" t="str">
        <f ca="1">IFERROR(__xludf.DUMMYFUNCTION("""COMPUTED_VALUE"""),"Guía Operativa")</f>
        <v>Guía Operativa</v>
      </c>
      <c r="F756" s="10" t="str">
        <f ca="1">IFERROR(__xludf.DUMMYFUNCTION("""COMPUTED_VALUE"""),"MUNICIPALIDAD DE LAGO RANCO")</f>
        <v>MUNICIPALIDAD DE LAGO RANCO</v>
      </c>
      <c r="G756" s="71">
        <f ca="1">IFERROR(__xludf.DUMMYFUNCTION("""COMPUTED_VALUE"""),84343460)</f>
        <v>84343460</v>
      </c>
      <c r="H756" s="10" t="str">
        <f ca="1">IFERROR(__xludf.DUMMYFUNCTION("""COMPUTED_VALUE"""),"Resolución")</f>
        <v>Resolución</v>
      </c>
      <c r="I756" s="10" t="str">
        <f ca="1">IFERROR(__xludf.DUMMYFUNCTION("""COMPUTED_VALUE"""),"OBRA")</f>
        <v>OBRA</v>
      </c>
      <c r="J756" s="10" t="str">
        <f ca="1">IFERROR(__xludf.DUMMYFUNCTION("""COMPUTED_VALUE"""),"Cumplir con normativa y reglamentos internos del programa en base a los objetivos.")</f>
        <v>Cumplir con normativa y reglamentos internos del programa en base a los objetivos.</v>
      </c>
      <c r="K756" s="71">
        <f ca="1">IFERROR(__xludf.DUMMYFUNCTION("""COMPUTED_VALUE"""),84343460)</f>
        <v>84343460</v>
      </c>
      <c r="L756" s="72">
        <f ca="1">IFERROR(__xludf.DUMMYFUNCTION("""COMPUTED_VALUE"""),1)</f>
        <v>1</v>
      </c>
      <c r="M756" s="10">
        <f ca="1">IFERROR(__xludf.DUMMYFUNCTION("""COMPUTED_VALUE"""),9340)</f>
        <v>9340</v>
      </c>
      <c r="N756" s="10" t="str">
        <f ca="1">IFERROR(__xludf.DUMMYFUNCTION("""COMPUTED_VALUE"""),"PMU")</f>
        <v>PMU</v>
      </c>
      <c r="O756" s="1"/>
      <c r="P756" s="1"/>
      <c r="Q756" s="1"/>
      <c r="R756" s="1"/>
      <c r="S756" s="1"/>
      <c r="T756" s="1"/>
      <c r="U756" s="1"/>
      <c r="V756" s="1"/>
      <c r="W756" s="1"/>
      <c r="X756" s="1"/>
      <c r="Y756" s="1"/>
      <c r="Z756" s="1"/>
    </row>
    <row r="757" spans="1:26" ht="12.75" customHeight="1">
      <c r="A757" s="1"/>
      <c r="B757" s="10" t="str">
        <f ca="1">IFERROR(__xludf.DUMMYFUNCTION("""COMPUTED_VALUE"""),"AMPLIACION Y CIERRE PERIMETRAL SEDE VILLA MIRADOR DEL LAGO")</f>
        <v>AMPLIACION Y CIERRE PERIMETRAL SEDE VILLA MIRADOR DEL LAGO</v>
      </c>
      <c r="C757" s="10" t="str">
        <f ca="1">IFERROR(__xludf.DUMMYFUNCTION("""COMPUTED_VALUE"""),"1-C-2023-932")</f>
        <v>1-C-2023-932</v>
      </c>
      <c r="D757" s="26" t="str">
        <f t="shared" ca="1" si="0"/>
        <v xml:space="preserve"> PANGUIPULLI</v>
      </c>
      <c r="E757" s="10" t="str">
        <f ca="1">IFERROR(__xludf.DUMMYFUNCTION("""COMPUTED_VALUE"""),"Guía Operativa")</f>
        <v>Guía Operativa</v>
      </c>
      <c r="F757" s="10" t="str">
        <f ca="1">IFERROR(__xludf.DUMMYFUNCTION("""COMPUTED_VALUE"""),"MUNICIPALIDAD DE PANGUIPULLI")</f>
        <v>MUNICIPALIDAD DE PANGUIPULLI</v>
      </c>
      <c r="G757" s="71">
        <f ca="1">IFERROR(__xludf.DUMMYFUNCTION("""COMPUTED_VALUE"""),17000000)</f>
        <v>17000000</v>
      </c>
      <c r="H757" s="10" t="str">
        <f ca="1">IFERROR(__xludf.DUMMYFUNCTION("""COMPUTED_VALUE"""),"Resolución")</f>
        <v>Resolución</v>
      </c>
      <c r="I757" s="10" t="str">
        <f ca="1">IFERROR(__xludf.DUMMYFUNCTION("""COMPUTED_VALUE"""),"OBRA")</f>
        <v>OBRA</v>
      </c>
      <c r="J757" s="10" t="str">
        <f ca="1">IFERROR(__xludf.DUMMYFUNCTION("""COMPUTED_VALUE"""),"Cumplir con normativa y reglamentos internos del programa en base a los objetivos.")</f>
        <v>Cumplir con normativa y reglamentos internos del programa en base a los objetivos.</v>
      </c>
      <c r="K757" s="71">
        <f ca="1">IFERROR(__xludf.DUMMYFUNCTION("""COMPUTED_VALUE"""),17000000)</f>
        <v>17000000</v>
      </c>
      <c r="L757" s="72">
        <f ca="1">IFERROR(__xludf.DUMMYFUNCTION("""COMPUTED_VALUE"""),1)</f>
        <v>1</v>
      </c>
      <c r="M757" s="10">
        <f ca="1">IFERROR(__xludf.DUMMYFUNCTION("""COMPUTED_VALUE"""),9190)</f>
        <v>9190</v>
      </c>
      <c r="N757" s="10" t="str">
        <f ca="1">IFERROR(__xludf.DUMMYFUNCTION("""COMPUTED_VALUE"""),"PMU")</f>
        <v>PMU</v>
      </c>
      <c r="O757" s="1"/>
      <c r="P757" s="1"/>
      <c r="Q757" s="1"/>
      <c r="R757" s="1"/>
      <c r="S757" s="1"/>
      <c r="T757" s="1"/>
      <c r="U757" s="1"/>
      <c r="V757" s="1"/>
      <c r="W757" s="1"/>
      <c r="X757" s="1"/>
      <c r="Y757" s="1"/>
      <c r="Z757" s="1"/>
    </row>
    <row r="758" spans="1:26" ht="12.75" customHeight="1">
      <c r="A758" s="1"/>
      <c r="B758" s="10" t="str">
        <f ca="1">IFERROR(__xludf.DUMMYFUNCTION("""COMPUTED_VALUE"""),"[SATE] CONSTRUCCION Y REPOSICION DE GARITAS RURALES, COMUNA DE FUTRONO")</f>
        <v>[SATE] CONSTRUCCION Y REPOSICION DE GARITAS RURALES, COMUNA DE FUTRONO</v>
      </c>
      <c r="C758" s="10" t="str">
        <f ca="1">IFERROR(__xludf.DUMMYFUNCTION("""COMPUTED_VALUE"""),"1-C-2023-1027")</f>
        <v>1-C-2023-1027</v>
      </c>
      <c r="D758" s="26" t="str">
        <f t="shared" ca="1" si="0"/>
        <v xml:space="preserve"> FUTRONO</v>
      </c>
      <c r="E758" s="10" t="str">
        <f ca="1">IFERROR(__xludf.DUMMYFUNCTION("""COMPUTED_VALUE"""),"Guía Operativa")</f>
        <v>Guía Operativa</v>
      </c>
      <c r="F758" s="10" t="str">
        <f ca="1">IFERROR(__xludf.DUMMYFUNCTION("""COMPUTED_VALUE"""),"MUNICIPALIDAD DE FUTRONO")</f>
        <v>MUNICIPALIDAD DE FUTRONO</v>
      </c>
      <c r="G758" s="71">
        <f ca="1">IFERROR(__xludf.DUMMYFUNCTION("""COMPUTED_VALUE"""),161584788)</f>
        <v>161584788</v>
      </c>
      <c r="H758" s="10" t="str">
        <f ca="1">IFERROR(__xludf.DUMMYFUNCTION("""COMPUTED_VALUE"""),"Resolución")</f>
        <v>Resolución</v>
      </c>
      <c r="I758" s="10" t="str">
        <f ca="1">IFERROR(__xludf.DUMMYFUNCTION("""COMPUTED_VALUE"""),"OBRA")</f>
        <v>OBRA</v>
      </c>
      <c r="J758" s="10" t="str">
        <f ca="1">IFERROR(__xludf.DUMMYFUNCTION("""COMPUTED_VALUE"""),"Cumplir con normativa y reglamentos internos del programa en base a los objetivos.")</f>
        <v>Cumplir con normativa y reglamentos internos del programa en base a los objetivos.</v>
      </c>
      <c r="K758" s="71">
        <f ca="1">IFERROR(__xludf.DUMMYFUNCTION("""COMPUTED_VALUE"""),161584788)</f>
        <v>161584788</v>
      </c>
      <c r="L758" s="72">
        <f ca="1">IFERROR(__xludf.DUMMYFUNCTION("""COMPUTED_VALUE"""),1)</f>
        <v>1</v>
      </c>
      <c r="M758" s="10">
        <f ca="1">IFERROR(__xludf.DUMMYFUNCTION("""COMPUTED_VALUE"""),9179)</f>
        <v>9179</v>
      </c>
      <c r="N758" s="10" t="str">
        <f ca="1">IFERROR(__xludf.DUMMYFUNCTION("""COMPUTED_VALUE"""),"PMU")</f>
        <v>PMU</v>
      </c>
      <c r="O758" s="1"/>
      <c r="P758" s="1"/>
      <c r="Q758" s="1"/>
      <c r="R758" s="1"/>
      <c r="S758" s="1"/>
      <c r="T758" s="1"/>
      <c r="U758" s="1"/>
      <c r="V758" s="1"/>
      <c r="W758" s="1"/>
      <c r="X758" s="1"/>
      <c r="Y758" s="1"/>
      <c r="Z758" s="1"/>
    </row>
    <row r="759" spans="1:26" ht="12.75" customHeight="1">
      <c r="A759" s="1"/>
      <c r="B759" s="10" t="str">
        <f ca="1">IFERROR(__xludf.DUMMYFUNCTION("""COMPUTED_VALUE"""),"[SATE] MEJORAMIENTO PLAZA LOS PIONEROS, NELTUME")</f>
        <v>[SATE] MEJORAMIENTO PLAZA LOS PIONEROS, NELTUME</v>
      </c>
      <c r="C759" s="10" t="str">
        <f ca="1">IFERROR(__xludf.DUMMYFUNCTION("""COMPUTED_VALUE"""),"1-C-2023-1498")</f>
        <v>1-C-2023-1498</v>
      </c>
      <c r="D759" s="26" t="str">
        <f t="shared" ca="1" si="0"/>
        <v xml:space="preserve"> PANGUIPULLI</v>
      </c>
      <c r="E759" s="10" t="str">
        <f ca="1">IFERROR(__xludf.DUMMYFUNCTION("""COMPUTED_VALUE"""),"Guía Operativa")</f>
        <v>Guía Operativa</v>
      </c>
      <c r="F759" s="10" t="str">
        <f ca="1">IFERROR(__xludf.DUMMYFUNCTION("""COMPUTED_VALUE"""),"MUNICIPALIDAD DE PANGUIPULLI")</f>
        <v>MUNICIPALIDAD DE PANGUIPULLI</v>
      </c>
      <c r="G759" s="71">
        <f ca="1">IFERROR(__xludf.DUMMYFUNCTION("""COMPUTED_VALUE"""),153161096)</f>
        <v>153161096</v>
      </c>
      <c r="H759" s="10" t="str">
        <f ca="1">IFERROR(__xludf.DUMMYFUNCTION("""COMPUTED_VALUE"""),"Resolución")</f>
        <v>Resolución</v>
      </c>
      <c r="I759" s="10" t="str">
        <f ca="1">IFERROR(__xludf.DUMMYFUNCTION("""COMPUTED_VALUE"""),"OBRA")</f>
        <v>OBRA</v>
      </c>
      <c r="J759" s="10" t="str">
        <f ca="1">IFERROR(__xludf.DUMMYFUNCTION("""COMPUTED_VALUE"""),"Cumplir con normativa y reglamentos internos del programa en base a los objetivos.")</f>
        <v>Cumplir con normativa y reglamentos internos del programa en base a los objetivos.</v>
      </c>
      <c r="K759" s="71">
        <f ca="1">IFERROR(__xludf.DUMMYFUNCTION("""COMPUTED_VALUE"""),153161096)</f>
        <v>153161096</v>
      </c>
      <c r="L759" s="72">
        <f ca="1">IFERROR(__xludf.DUMMYFUNCTION("""COMPUTED_VALUE"""),1)</f>
        <v>1</v>
      </c>
      <c r="M759" s="10">
        <f ca="1">IFERROR(__xludf.DUMMYFUNCTION("""COMPUTED_VALUE"""),9190)</f>
        <v>9190</v>
      </c>
      <c r="N759" s="10" t="str">
        <f ca="1">IFERROR(__xludf.DUMMYFUNCTION("""COMPUTED_VALUE"""),"PMU")</f>
        <v>PMU</v>
      </c>
      <c r="O759" s="1"/>
      <c r="P759" s="1"/>
      <c r="Q759" s="1"/>
      <c r="R759" s="1"/>
      <c r="S759" s="1"/>
      <c r="T759" s="1"/>
      <c r="U759" s="1"/>
      <c r="V759" s="1"/>
      <c r="W759" s="1"/>
      <c r="X759" s="1"/>
      <c r="Y759" s="1"/>
      <c r="Z759" s="1"/>
    </row>
    <row r="760" spans="1:26" ht="12.75" customHeight="1">
      <c r="A760" s="1"/>
      <c r="B760" s="10" t="str">
        <f ca="1">IFERROR(__xludf.DUMMYFUNCTION("""COMPUTED_VALUE"""),"[SATE] CONSTRUCCIÓN MULTICANCHA Y ÁREAS VERDES, VILLA ARAUCANÍA, SECTOR CIRUELOS, COMUNA DE MARIQUINA")</f>
        <v>[SATE] CONSTRUCCIÓN MULTICANCHA Y ÁREAS VERDES, VILLA ARAUCANÍA, SECTOR CIRUELOS, COMUNA DE MARIQUINA</v>
      </c>
      <c r="C760" s="10" t="str">
        <f ca="1">IFERROR(__xludf.DUMMYFUNCTION("""COMPUTED_VALUE"""),"1-C-2023-1563")</f>
        <v>1-C-2023-1563</v>
      </c>
      <c r="D760" s="26" t="str">
        <f t="shared" ca="1" si="0"/>
        <v xml:space="preserve"> MARIQUINA</v>
      </c>
      <c r="E760" s="10" t="str">
        <f ca="1">IFERROR(__xludf.DUMMYFUNCTION("""COMPUTED_VALUE"""),"Guía Operativa")</f>
        <v>Guía Operativa</v>
      </c>
      <c r="F760" s="10" t="str">
        <f ca="1">IFERROR(__xludf.DUMMYFUNCTION("""COMPUTED_VALUE"""),"MUNICIPALIDAD DE MARIQUINA")</f>
        <v>MUNICIPALIDAD DE MARIQUINA</v>
      </c>
      <c r="G760" s="71">
        <f ca="1">IFERROR(__xludf.DUMMYFUNCTION("""COMPUTED_VALUE"""),161664999)</f>
        <v>161664999</v>
      </c>
      <c r="H760" s="10" t="str">
        <f ca="1">IFERROR(__xludf.DUMMYFUNCTION("""COMPUTED_VALUE"""),"Resolución")</f>
        <v>Resolución</v>
      </c>
      <c r="I760" s="10" t="str">
        <f ca="1">IFERROR(__xludf.DUMMYFUNCTION("""COMPUTED_VALUE"""),"OBRA")</f>
        <v>OBRA</v>
      </c>
      <c r="J760" s="10" t="str">
        <f ca="1">IFERROR(__xludf.DUMMYFUNCTION("""COMPUTED_VALUE"""),"Cumplir con normativa y reglamentos internos del programa en base a los objetivos.")</f>
        <v>Cumplir con normativa y reglamentos internos del programa en base a los objetivos.</v>
      </c>
      <c r="K760" s="71">
        <f ca="1">IFERROR(__xludf.DUMMYFUNCTION("""COMPUTED_VALUE"""),161664999)</f>
        <v>161664999</v>
      </c>
      <c r="L760" s="72">
        <f ca="1">IFERROR(__xludf.DUMMYFUNCTION("""COMPUTED_VALUE"""),1)</f>
        <v>1</v>
      </c>
      <c r="M760" s="10">
        <f ca="1">IFERROR(__xludf.DUMMYFUNCTION("""COMPUTED_VALUE"""),9188)</f>
        <v>9188</v>
      </c>
      <c r="N760" s="10" t="str">
        <f ca="1">IFERROR(__xludf.DUMMYFUNCTION("""COMPUTED_VALUE"""),"PMU")</f>
        <v>PMU</v>
      </c>
      <c r="O760" s="1"/>
      <c r="P760" s="1"/>
      <c r="Q760" s="1"/>
      <c r="R760" s="1"/>
      <c r="S760" s="1"/>
      <c r="T760" s="1"/>
      <c r="U760" s="1"/>
      <c r="V760" s="1"/>
      <c r="W760" s="1"/>
      <c r="X760" s="1"/>
      <c r="Y760" s="1"/>
      <c r="Z760" s="1"/>
    </row>
    <row r="761" spans="1:26" ht="12.75" customHeight="1">
      <c r="A761" s="1"/>
      <c r="B761" s="10" t="str">
        <f ca="1">IFERROR(__xludf.DUMMYFUNCTION("""COMPUTED_VALUE"""),"[SATE] CONSTRUCCIÓN MULTICANCHA Y ÁREAS VERDES, SECTOR ESTACIÓN MARIQUINA, COMUNA DE MARIQUINA")</f>
        <v>[SATE] CONSTRUCCIÓN MULTICANCHA Y ÁREAS VERDES, SECTOR ESTACIÓN MARIQUINA, COMUNA DE MARIQUINA</v>
      </c>
      <c r="C761" s="10" t="str">
        <f ca="1">IFERROR(__xludf.DUMMYFUNCTION("""COMPUTED_VALUE"""),"1-C-2023-1564")</f>
        <v>1-C-2023-1564</v>
      </c>
      <c r="D761" s="26" t="str">
        <f t="shared" ca="1" si="0"/>
        <v xml:space="preserve"> MARIQUINA</v>
      </c>
      <c r="E761" s="10" t="str">
        <f ca="1">IFERROR(__xludf.DUMMYFUNCTION("""COMPUTED_VALUE"""),"Guía Operativa")</f>
        <v>Guía Operativa</v>
      </c>
      <c r="F761" s="10" t="str">
        <f ca="1">IFERROR(__xludf.DUMMYFUNCTION("""COMPUTED_VALUE"""),"MUNICIPALIDAD DE MARIQUINA")</f>
        <v>MUNICIPALIDAD DE MARIQUINA</v>
      </c>
      <c r="G761" s="71">
        <f ca="1">IFERROR(__xludf.DUMMYFUNCTION("""COMPUTED_VALUE"""),89778735)</f>
        <v>89778735</v>
      </c>
      <c r="H761" s="10" t="str">
        <f ca="1">IFERROR(__xludf.DUMMYFUNCTION("""COMPUTED_VALUE"""),"Resolución")</f>
        <v>Resolución</v>
      </c>
      <c r="I761" s="10" t="str">
        <f ca="1">IFERROR(__xludf.DUMMYFUNCTION("""COMPUTED_VALUE"""),"OBRA")</f>
        <v>OBRA</v>
      </c>
      <c r="J761" s="10" t="str">
        <f ca="1">IFERROR(__xludf.DUMMYFUNCTION("""COMPUTED_VALUE"""),"Cumplir con normativa y reglamentos internos del programa en base a los objetivos.")</f>
        <v>Cumplir con normativa y reglamentos internos del programa en base a los objetivos.</v>
      </c>
      <c r="K761" s="71">
        <f ca="1">IFERROR(__xludf.DUMMYFUNCTION("""COMPUTED_VALUE"""),89778735)</f>
        <v>89778735</v>
      </c>
      <c r="L761" s="72">
        <f ca="1">IFERROR(__xludf.DUMMYFUNCTION("""COMPUTED_VALUE"""),1)</f>
        <v>1</v>
      </c>
      <c r="M761" s="10">
        <f ca="1">IFERROR(__xludf.DUMMYFUNCTION("""COMPUTED_VALUE"""),9188)</f>
        <v>9188</v>
      </c>
      <c r="N761" s="10" t="str">
        <f ca="1">IFERROR(__xludf.DUMMYFUNCTION("""COMPUTED_VALUE"""),"PMU")</f>
        <v>PMU</v>
      </c>
      <c r="O761" s="1"/>
      <c r="P761" s="1"/>
      <c r="Q761" s="1"/>
      <c r="R761" s="1"/>
      <c r="S761" s="1"/>
      <c r="T761" s="1"/>
      <c r="U761" s="1"/>
      <c r="V761" s="1"/>
      <c r="W761" s="1"/>
      <c r="X761" s="1"/>
      <c r="Y761" s="1"/>
      <c r="Z761" s="1"/>
    </row>
    <row r="762" spans="1:26" ht="12.75" customHeight="1">
      <c r="A762" s="1"/>
      <c r="B762" s="10" t="str">
        <f ca="1">IFERROR(__xludf.DUMMYFUNCTION("""COMPUTED_VALUE"""),"AMPLIACIÓN CUARTEL DE BOMBEROS SECTOR NONTUELA COMUNA DE FUTRONO")</f>
        <v>AMPLIACIÓN CUARTEL DE BOMBEROS SECTOR NONTUELA COMUNA DE FUTRONO</v>
      </c>
      <c r="C762" s="10" t="str">
        <f ca="1">IFERROR(__xludf.DUMMYFUNCTION("""COMPUTED_VALUE"""),"1-C-2023-1727")</f>
        <v>1-C-2023-1727</v>
      </c>
      <c r="D762" s="26" t="str">
        <f t="shared" ca="1" si="0"/>
        <v xml:space="preserve"> FUTRONO</v>
      </c>
      <c r="E762" s="10" t="str">
        <f ca="1">IFERROR(__xludf.DUMMYFUNCTION("""COMPUTED_VALUE"""),"Guía Operativa")</f>
        <v>Guía Operativa</v>
      </c>
      <c r="F762" s="10" t="str">
        <f ca="1">IFERROR(__xludf.DUMMYFUNCTION("""COMPUTED_VALUE"""),"MUNICIPALIDAD DE FUTRONO")</f>
        <v>MUNICIPALIDAD DE FUTRONO</v>
      </c>
      <c r="G762" s="71">
        <f ca="1">IFERROR(__xludf.DUMMYFUNCTION("""COMPUTED_VALUE"""),114911611)</f>
        <v>114911611</v>
      </c>
      <c r="H762" s="10" t="str">
        <f ca="1">IFERROR(__xludf.DUMMYFUNCTION("""COMPUTED_VALUE"""),"Resolución")</f>
        <v>Resolución</v>
      </c>
      <c r="I762" s="10" t="str">
        <f ca="1">IFERROR(__xludf.DUMMYFUNCTION("""COMPUTED_VALUE"""),"OBRA")</f>
        <v>OBRA</v>
      </c>
      <c r="J762" s="10" t="str">
        <f ca="1">IFERROR(__xludf.DUMMYFUNCTION("""COMPUTED_VALUE"""),"Cumplir con normativa y reglamentos internos del programa en base a los objetivos.")</f>
        <v>Cumplir con normativa y reglamentos internos del programa en base a los objetivos.</v>
      </c>
      <c r="K762" s="71">
        <f ca="1">IFERROR(__xludf.DUMMYFUNCTION("""COMPUTED_VALUE"""),114911611)</f>
        <v>114911611</v>
      </c>
      <c r="L762" s="72">
        <f ca="1">IFERROR(__xludf.DUMMYFUNCTION("""COMPUTED_VALUE"""),1)</f>
        <v>1</v>
      </c>
      <c r="M762" s="10">
        <f ca="1">IFERROR(__xludf.DUMMYFUNCTION("""COMPUTED_VALUE"""),9179)</f>
        <v>9179</v>
      </c>
      <c r="N762" s="10" t="str">
        <f ca="1">IFERROR(__xludf.DUMMYFUNCTION("""COMPUTED_VALUE"""),"PMU")</f>
        <v>PMU</v>
      </c>
      <c r="O762" s="1"/>
      <c r="P762" s="1"/>
      <c r="Q762" s="1"/>
      <c r="R762" s="1"/>
      <c r="S762" s="1"/>
      <c r="T762" s="1"/>
      <c r="U762" s="1"/>
      <c r="V762" s="1"/>
      <c r="W762" s="1"/>
      <c r="X762" s="1"/>
      <c r="Y762" s="1"/>
      <c r="Z762" s="1"/>
    </row>
    <row r="763" spans="1:26" ht="12.75" customHeight="1">
      <c r="A763" s="1"/>
      <c r="B763" s="10" t="str">
        <f ca="1">IFERROR(__xludf.DUMMYFUNCTION("""COMPUTED_VALUE"""),"[SATE] MEJORAMIENTO CANCHA DEPORTIVA CHOSHUENCO")</f>
        <v>[SATE] MEJORAMIENTO CANCHA DEPORTIVA CHOSHUENCO</v>
      </c>
      <c r="C763" s="10" t="str">
        <f ca="1">IFERROR(__xludf.DUMMYFUNCTION("""COMPUTED_VALUE"""),"1-C-2023-1803")</f>
        <v>1-C-2023-1803</v>
      </c>
      <c r="D763" s="26" t="str">
        <f t="shared" ca="1" si="0"/>
        <v xml:space="preserve"> PANGUIPULLI</v>
      </c>
      <c r="E763" s="10" t="str">
        <f ca="1">IFERROR(__xludf.DUMMYFUNCTION("""COMPUTED_VALUE"""),"Guía Operativa")</f>
        <v>Guía Operativa</v>
      </c>
      <c r="F763" s="10" t="str">
        <f ca="1">IFERROR(__xludf.DUMMYFUNCTION("""COMPUTED_VALUE"""),"MUNICIPALIDAD DE PANGUIPULLI")</f>
        <v>MUNICIPALIDAD DE PANGUIPULLI</v>
      </c>
      <c r="G763" s="71">
        <f ca="1">IFERROR(__xludf.DUMMYFUNCTION("""COMPUTED_VALUE"""),153193896)</f>
        <v>153193896</v>
      </c>
      <c r="H763" s="10" t="str">
        <f ca="1">IFERROR(__xludf.DUMMYFUNCTION("""COMPUTED_VALUE"""),"Resolución")</f>
        <v>Resolución</v>
      </c>
      <c r="I763" s="10" t="str">
        <f ca="1">IFERROR(__xludf.DUMMYFUNCTION("""COMPUTED_VALUE"""),"OBRA")</f>
        <v>OBRA</v>
      </c>
      <c r="J763" s="10" t="str">
        <f ca="1">IFERROR(__xludf.DUMMYFUNCTION("""COMPUTED_VALUE"""),"Cumplir con normativa y reglamentos internos del programa en base a los objetivos.")</f>
        <v>Cumplir con normativa y reglamentos internos del programa en base a los objetivos.</v>
      </c>
      <c r="K763" s="71">
        <f ca="1">IFERROR(__xludf.DUMMYFUNCTION("""COMPUTED_VALUE"""),153193896)</f>
        <v>153193896</v>
      </c>
      <c r="L763" s="72">
        <f ca="1">IFERROR(__xludf.DUMMYFUNCTION("""COMPUTED_VALUE"""),1)</f>
        <v>1</v>
      </c>
      <c r="M763" s="10">
        <f ca="1">IFERROR(__xludf.DUMMYFUNCTION("""COMPUTED_VALUE"""),9190)</f>
        <v>9190</v>
      </c>
      <c r="N763" s="10" t="str">
        <f ca="1">IFERROR(__xludf.DUMMYFUNCTION("""COMPUTED_VALUE"""),"PMU")</f>
        <v>PMU</v>
      </c>
      <c r="O763" s="1"/>
      <c r="P763" s="1"/>
      <c r="Q763" s="1"/>
      <c r="R763" s="1"/>
      <c r="S763" s="1"/>
      <c r="T763" s="1"/>
      <c r="U763" s="1"/>
      <c r="V763" s="1"/>
      <c r="W763" s="1"/>
      <c r="X763" s="1"/>
      <c r="Y763" s="1"/>
      <c r="Z763" s="1"/>
    </row>
    <row r="764" spans="1:26" ht="12.75" customHeight="1">
      <c r="A764" s="1"/>
      <c r="B764" s="10" t="str">
        <f ca="1">IFERROR(__xludf.DUMMYFUNCTION("""COMPUTED_VALUE"""),"CONSTRUCCION SALA DE MÁQUINAS TERCERA CIA. BOMBEROS PANGUIPULLI")</f>
        <v>CONSTRUCCION SALA DE MÁQUINAS TERCERA CIA. BOMBEROS PANGUIPULLI</v>
      </c>
      <c r="C764" s="10" t="str">
        <f ca="1">IFERROR(__xludf.DUMMYFUNCTION("""COMPUTED_VALUE"""),"1-C-2023-2407")</f>
        <v>1-C-2023-2407</v>
      </c>
      <c r="D764" s="26" t="str">
        <f t="shared" ca="1" si="0"/>
        <v xml:space="preserve"> PANGUIPULLI</v>
      </c>
      <c r="E764" s="10" t="str">
        <f ca="1">IFERROR(__xludf.DUMMYFUNCTION("""COMPUTED_VALUE"""),"Guía Operativa")</f>
        <v>Guía Operativa</v>
      </c>
      <c r="F764" s="10" t="str">
        <f ca="1">IFERROR(__xludf.DUMMYFUNCTION("""COMPUTED_VALUE"""),"MUNICIPALIDAD DE PANGUIPULLI")</f>
        <v>MUNICIPALIDAD DE PANGUIPULLI</v>
      </c>
      <c r="G764" s="71">
        <f ca="1">IFERROR(__xludf.DUMMYFUNCTION("""COMPUTED_VALUE"""),154422500)</f>
        <v>154422500</v>
      </c>
      <c r="H764" s="10" t="str">
        <f ca="1">IFERROR(__xludf.DUMMYFUNCTION("""COMPUTED_VALUE"""),"Resolución")</f>
        <v>Resolución</v>
      </c>
      <c r="I764" s="10" t="str">
        <f ca="1">IFERROR(__xludf.DUMMYFUNCTION("""COMPUTED_VALUE"""),"OBRA")</f>
        <v>OBRA</v>
      </c>
      <c r="J764" s="10" t="str">
        <f ca="1">IFERROR(__xludf.DUMMYFUNCTION("""COMPUTED_VALUE"""),"Cumplir con normativa y reglamentos internos del programa en base a los objetivos.")</f>
        <v>Cumplir con normativa y reglamentos internos del programa en base a los objetivos.</v>
      </c>
      <c r="K764" s="71">
        <f ca="1">IFERROR(__xludf.DUMMYFUNCTION("""COMPUTED_VALUE"""),154422500)</f>
        <v>154422500</v>
      </c>
      <c r="L764" s="72">
        <f ca="1">IFERROR(__xludf.DUMMYFUNCTION("""COMPUTED_VALUE"""),1)</f>
        <v>1</v>
      </c>
      <c r="M764" s="10">
        <f ca="1">IFERROR(__xludf.DUMMYFUNCTION("""COMPUTED_VALUE"""),9190)</f>
        <v>9190</v>
      </c>
      <c r="N764" s="10" t="str">
        <f ca="1">IFERROR(__xludf.DUMMYFUNCTION("""COMPUTED_VALUE"""),"PMU")</f>
        <v>PMU</v>
      </c>
      <c r="O764" s="1"/>
      <c r="P764" s="1"/>
      <c r="Q764" s="1"/>
      <c r="R764" s="1"/>
      <c r="S764" s="1"/>
      <c r="T764" s="1"/>
      <c r="U764" s="1"/>
      <c r="V764" s="1"/>
      <c r="W764" s="1"/>
      <c r="X764" s="1"/>
      <c r="Y764" s="1"/>
      <c r="Z764" s="1"/>
    </row>
    <row r="765" spans="1:26" ht="12.75" customHeight="1">
      <c r="A765" s="1"/>
      <c r="B765" s="10" t="str">
        <f ca="1">IFERROR(__xludf.DUMMYFUNCTION("""COMPUTED_VALUE"""),"ILUMINACIÓN PEATONAL SECTOR URBANO LAGO RANCO")</f>
        <v>ILUMINACIÓN PEATONAL SECTOR URBANO LAGO RANCO</v>
      </c>
      <c r="C765" s="10" t="str">
        <f ca="1">IFERROR(__xludf.DUMMYFUNCTION("""COMPUTED_VALUE"""),"1-C-2023-3209")</f>
        <v>1-C-2023-3209</v>
      </c>
      <c r="D765" s="26" t="str">
        <f t="shared" ca="1" si="0"/>
        <v xml:space="preserve"> LAGO RANCO</v>
      </c>
      <c r="E765" s="10" t="str">
        <f ca="1">IFERROR(__xludf.DUMMYFUNCTION("""COMPUTED_VALUE"""),"Guía Operativa")</f>
        <v>Guía Operativa</v>
      </c>
      <c r="F765" s="10" t="str">
        <f ca="1">IFERROR(__xludf.DUMMYFUNCTION("""COMPUTED_VALUE"""),"MUNICIPALIDAD DE LAGO RANCO")</f>
        <v>MUNICIPALIDAD DE LAGO RANCO</v>
      </c>
      <c r="G765" s="71">
        <f ca="1">IFERROR(__xludf.DUMMYFUNCTION("""COMPUTED_VALUE"""),153927460)</f>
        <v>153927460</v>
      </c>
      <c r="H765" s="10" t="str">
        <f ca="1">IFERROR(__xludf.DUMMYFUNCTION("""COMPUTED_VALUE"""),"Resolución")</f>
        <v>Resolución</v>
      </c>
      <c r="I765" s="10" t="str">
        <f ca="1">IFERROR(__xludf.DUMMYFUNCTION("""COMPUTED_VALUE"""),"OBRA")</f>
        <v>OBRA</v>
      </c>
      <c r="J765" s="10" t="str">
        <f ca="1">IFERROR(__xludf.DUMMYFUNCTION("""COMPUTED_VALUE"""),"Cumplir con normativa y reglamentos internos del programa en base a los objetivos.")</f>
        <v>Cumplir con normativa y reglamentos internos del programa en base a los objetivos.</v>
      </c>
      <c r="K765" s="71">
        <f ca="1">IFERROR(__xludf.DUMMYFUNCTION("""COMPUTED_VALUE"""),153927460)</f>
        <v>153927460</v>
      </c>
      <c r="L765" s="72">
        <f ca="1">IFERROR(__xludf.DUMMYFUNCTION("""COMPUTED_VALUE"""),1)</f>
        <v>1</v>
      </c>
      <c r="M765" s="10">
        <f ca="1">IFERROR(__xludf.DUMMYFUNCTION("""COMPUTED_VALUE"""),9340)</f>
        <v>9340</v>
      </c>
      <c r="N765" s="10" t="str">
        <f ca="1">IFERROR(__xludf.DUMMYFUNCTION("""COMPUTED_VALUE"""),"PMU")</f>
        <v>PMU</v>
      </c>
      <c r="O765" s="1"/>
      <c r="P765" s="1"/>
      <c r="Q765" s="1"/>
      <c r="R765" s="1"/>
      <c r="S765" s="1"/>
      <c r="T765" s="1"/>
      <c r="U765" s="1"/>
      <c r="V765" s="1"/>
      <c r="W765" s="1"/>
      <c r="X765" s="1"/>
      <c r="Y765" s="1"/>
      <c r="Z765" s="1"/>
    </row>
    <row r="766" spans="1:26" ht="12.75" customHeight="1">
      <c r="A766" s="1"/>
      <c r="B766" s="10" t="str">
        <f ca="1">IFERROR(__xludf.DUMMYFUNCTION("""COMPUTED_VALUE"""),"AMPLIACIÓN Y MEJORAMIENTO CESFAM COÑARIPE")</f>
        <v>AMPLIACIÓN Y MEJORAMIENTO CESFAM COÑARIPE</v>
      </c>
      <c r="C766" s="10" t="str">
        <f ca="1">IFERROR(__xludf.DUMMYFUNCTION("""COMPUTED_VALUE"""),"1-C-2023-3231")</f>
        <v>1-C-2023-3231</v>
      </c>
      <c r="D766" s="26" t="str">
        <f t="shared" ca="1" si="0"/>
        <v xml:space="preserve"> PANGUIPULLI</v>
      </c>
      <c r="E766" s="10" t="str">
        <f ca="1">IFERROR(__xludf.DUMMYFUNCTION("""COMPUTED_VALUE"""),"Guía Operativa")</f>
        <v>Guía Operativa</v>
      </c>
      <c r="F766" s="10" t="str">
        <f ca="1">IFERROR(__xludf.DUMMYFUNCTION("""COMPUTED_VALUE"""),"MUNICIPALIDAD DE PANGUIPULLI")</f>
        <v>MUNICIPALIDAD DE PANGUIPULLI</v>
      </c>
      <c r="G766" s="71">
        <f ca="1">IFERROR(__xludf.DUMMYFUNCTION("""COMPUTED_VALUE"""),155000000)</f>
        <v>155000000</v>
      </c>
      <c r="H766" s="10" t="str">
        <f ca="1">IFERROR(__xludf.DUMMYFUNCTION("""COMPUTED_VALUE"""),"Resolución")</f>
        <v>Resolución</v>
      </c>
      <c r="I766" s="10" t="str">
        <f ca="1">IFERROR(__xludf.DUMMYFUNCTION("""COMPUTED_VALUE"""),"OBRA")</f>
        <v>OBRA</v>
      </c>
      <c r="J766" s="10" t="str">
        <f ca="1">IFERROR(__xludf.DUMMYFUNCTION("""COMPUTED_VALUE"""),"Cumplir con normativa y reglamentos internos del programa en base a los objetivos.")</f>
        <v>Cumplir con normativa y reglamentos internos del programa en base a los objetivos.</v>
      </c>
      <c r="K766" s="71">
        <f ca="1">IFERROR(__xludf.DUMMYFUNCTION("""COMPUTED_VALUE"""),155000000)</f>
        <v>155000000</v>
      </c>
      <c r="L766" s="72">
        <f ca="1">IFERROR(__xludf.DUMMYFUNCTION("""COMPUTED_VALUE"""),1)</f>
        <v>1</v>
      </c>
      <c r="M766" s="10">
        <f ca="1">IFERROR(__xludf.DUMMYFUNCTION("""COMPUTED_VALUE"""),9190)</f>
        <v>9190</v>
      </c>
      <c r="N766" s="10" t="str">
        <f ca="1">IFERROR(__xludf.DUMMYFUNCTION("""COMPUTED_VALUE"""),"PMU")</f>
        <v>PMU</v>
      </c>
      <c r="O766" s="1"/>
      <c r="P766" s="1"/>
      <c r="Q766" s="1"/>
      <c r="R766" s="1"/>
      <c r="S766" s="1"/>
      <c r="T766" s="1"/>
      <c r="U766" s="1"/>
      <c r="V766" s="1"/>
      <c r="W766" s="1"/>
      <c r="X766" s="1"/>
      <c r="Y766" s="1"/>
      <c r="Z766" s="1"/>
    </row>
    <row r="767" spans="1:26" ht="12.75" customHeight="1">
      <c r="A767" s="1"/>
      <c r="B767" s="10" t="str">
        <f ca="1">IFERROR(__xludf.DUMMYFUNCTION("""COMPUTED_VALUE"""),"REPOSICIÓN DE VENTANAS ESCUELA LEONARDO DA VINCI")</f>
        <v>REPOSICIÓN DE VENTANAS ESCUELA LEONARDO DA VINCI</v>
      </c>
      <c r="C767" s="10" t="str">
        <f ca="1">IFERROR(__xludf.DUMMYFUNCTION("""COMPUTED_VALUE"""),"1-C-2023-3432")</f>
        <v>1-C-2023-3432</v>
      </c>
      <c r="D767" s="26" t="str">
        <f t="shared" ca="1" si="0"/>
        <v xml:space="preserve"> VALDIVIA</v>
      </c>
      <c r="E767" s="10" t="str">
        <f ca="1">IFERROR(__xludf.DUMMYFUNCTION("""COMPUTED_VALUE"""),"Guía Operativa")</f>
        <v>Guía Operativa</v>
      </c>
      <c r="F767" s="10" t="str">
        <f ca="1">IFERROR(__xludf.DUMMYFUNCTION("""COMPUTED_VALUE"""),"MUNICIPALIDAD DE VALDIVIA")</f>
        <v>MUNICIPALIDAD DE VALDIVIA</v>
      </c>
      <c r="G767" s="71">
        <f ca="1">IFERROR(__xludf.DUMMYFUNCTION("""COMPUTED_VALUE"""),154232806)</f>
        <v>154232806</v>
      </c>
      <c r="H767" s="10" t="str">
        <f ca="1">IFERROR(__xludf.DUMMYFUNCTION("""COMPUTED_VALUE"""),"Resolución")</f>
        <v>Resolución</v>
      </c>
      <c r="I767" s="10" t="str">
        <f ca="1">IFERROR(__xludf.DUMMYFUNCTION("""COMPUTED_VALUE"""),"OBRA")</f>
        <v>OBRA</v>
      </c>
      <c r="J767" s="10" t="str">
        <f ca="1">IFERROR(__xludf.DUMMYFUNCTION("""COMPUTED_VALUE"""),"Cumplir con normativa y reglamentos internos del programa en base a los objetivos.")</f>
        <v>Cumplir con normativa y reglamentos internos del programa en base a los objetivos.</v>
      </c>
      <c r="K767" s="71">
        <f ca="1">IFERROR(__xludf.DUMMYFUNCTION("""COMPUTED_VALUE"""),154232806)</f>
        <v>154232806</v>
      </c>
      <c r="L767" s="72">
        <f ca="1">IFERROR(__xludf.DUMMYFUNCTION("""COMPUTED_VALUE"""),1)</f>
        <v>1</v>
      </c>
      <c r="M767" s="10">
        <f ca="1">IFERROR(__xludf.DUMMYFUNCTION("""COMPUTED_VALUE"""),9341)</f>
        <v>9341</v>
      </c>
      <c r="N767" s="10" t="str">
        <f ca="1">IFERROR(__xludf.DUMMYFUNCTION("""COMPUTED_VALUE"""),"PMU")</f>
        <v>PMU</v>
      </c>
      <c r="O767" s="1"/>
      <c r="P767" s="1"/>
      <c r="Q767" s="1"/>
      <c r="R767" s="1"/>
      <c r="S767" s="1"/>
      <c r="T767" s="1"/>
      <c r="U767" s="1"/>
      <c r="V767" s="1"/>
      <c r="W767" s="1"/>
      <c r="X767" s="1"/>
      <c r="Y767" s="1"/>
      <c r="Z767" s="1"/>
    </row>
    <row r="768" spans="1:26" ht="12.75" customHeight="1">
      <c r="A768" s="1"/>
      <c r="B768" s="10" t="str">
        <f ca="1">IFERROR(__xludf.DUMMYFUNCTION("""COMPUTED_VALUE"""),"CONSTRUCCION CAMARINES Y BAÑOS EN CANCHA DE PUERTO NUEVO, COMUNA DE LA UNION")</f>
        <v>CONSTRUCCION CAMARINES Y BAÑOS EN CANCHA DE PUERTO NUEVO, COMUNA DE LA UNION</v>
      </c>
      <c r="C768" s="10" t="str">
        <f ca="1">IFERROR(__xludf.DUMMYFUNCTION("""COMPUTED_VALUE"""),"1-C-2024-29")</f>
        <v>1-C-2024-29</v>
      </c>
      <c r="D768" s="26" t="str">
        <f t="shared" ca="1" si="0"/>
        <v xml:space="preserve"> LA UNIÓN</v>
      </c>
      <c r="E768" s="10" t="str">
        <f ca="1">IFERROR(__xludf.DUMMYFUNCTION("""COMPUTED_VALUE"""),"Guía Operativa")</f>
        <v>Guía Operativa</v>
      </c>
      <c r="F768" s="10" t="str">
        <f ca="1">IFERROR(__xludf.DUMMYFUNCTION("""COMPUTED_VALUE"""),"MUNICIPALIDAD DE LA UNIÓN")</f>
        <v>MUNICIPALIDAD DE LA UNIÓN</v>
      </c>
      <c r="G768" s="71">
        <f ca="1">IFERROR(__xludf.DUMMYFUNCTION("""COMPUTED_VALUE"""),154123296)</f>
        <v>154123296</v>
      </c>
      <c r="H768" s="10" t="str">
        <f ca="1">IFERROR(__xludf.DUMMYFUNCTION("""COMPUTED_VALUE"""),"Resolución")</f>
        <v>Resolución</v>
      </c>
      <c r="I768" s="10" t="str">
        <f ca="1">IFERROR(__xludf.DUMMYFUNCTION("""COMPUTED_VALUE"""),"OBRA")</f>
        <v>OBRA</v>
      </c>
      <c r="J768" s="10" t="str">
        <f ca="1">IFERROR(__xludf.DUMMYFUNCTION("""COMPUTED_VALUE"""),"Cumplir con normativa y reglamentos internos del programa en base a los objetivos.")</f>
        <v>Cumplir con normativa y reglamentos internos del programa en base a los objetivos.</v>
      </c>
      <c r="K768" s="71">
        <f ca="1">IFERROR(__xludf.DUMMYFUNCTION("""COMPUTED_VALUE"""),154123296)</f>
        <v>154123296</v>
      </c>
      <c r="L768" s="72">
        <f ca="1">IFERROR(__xludf.DUMMYFUNCTION("""COMPUTED_VALUE"""),1)</f>
        <v>1</v>
      </c>
      <c r="M768" s="10">
        <f ca="1">IFERROR(__xludf.DUMMYFUNCTION("""COMPUTED_VALUE"""),9344)</f>
        <v>9344</v>
      </c>
      <c r="N768" s="10" t="str">
        <f ca="1">IFERROR(__xludf.DUMMYFUNCTION("""COMPUTED_VALUE"""),"PMU")</f>
        <v>PMU</v>
      </c>
      <c r="O768" s="1"/>
      <c r="P768" s="1"/>
      <c r="Q768" s="1"/>
      <c r="R768" s="1"/>
      <c r="S768" s="1"/>
      <c r="T768" s="1"/>
      <c r="U768" s="1"/>
      <c r="V768" s="1"/>
      <c r="W768" s="1"/>
      <c r="X768" s="1"/>
      <c r="Y768" s="1"/>
      <c r="Z768" s="1"/>
    </row>
    <row r="769" spans="1:26" ht="12.75" customHeight="1">
      <c r="A769" s="1"/>
      <c r="B769" s="10" t="str">
        <f ca="1">IFERROR(__xludf.DUMMYFUNCTION("""COMPUTED_VALUE"""),"CONSTRUCCIÓN ESCUELA RURAL COLONIA PAILLACO, COMUNA DE MARIQUINA")</f>
        <v>CONSTRUCCIÓN ESCUELA RURAL COLONIA PAILLACO, COMUNA DE MARIQUINA</v>
      </c>
      <c r="C769" s="10" t="str">
        <f ca="1">IFERROR(__xludf.DUMMYFUNCTION("""COMPUTED_VALUE"""),"1-C-2024-32")</f>
        <v>1-C-2024-32</v>
      </c>
      <c r="D769" s="26" t="str">
        <f t="shared" ca="1" si="0"/>
        <v xml:space="preserve"> MARIQUINA</v>
      </c>
      <c r="E769" s="10" t="str">
        <f ca="1">IFERROR(__xludf.DUMMYFUNCTION("""COMPUTED_VALUE"""),"Guía Operativa")</f>
        <v>Guía Operativa</v>
      </c>
      <c r="F769" s="10" t="str">
        <f ca="1">IFERROR(__xludf.DUMMYFUNCTION("""COMPUTED_VALUE"""),"MUNICIPALIDAD DE MARIQUINA")</f>
        <v>MUNICIPALIDAD DE MARIQUINA</v>
      </c>
      <c r="G769" s="71">
        <f ca="1">IFERROR(__xludf.DUMMYFUNCTION("""COMPUTED_VALUE"""),161664999)</f>
        <v>161664999</v>
      </c>
      <c r="H769" s="10" t="str">
        <f ca="1">IFERROR(__xludf.DUMMYFUNCTION("""COMPUTED_VALUE"""),"Resolución")</f>
        <v>Resolución</v>
      </c>
      <c r="I769" s="10" t="str">
        <f ca="1">IFERROR(__xludf.DUMMYFUNCTION("""COMPUTED_VALUE"""),"OBRA")</f>
        <v>OBRA</v>
      </c>
      <c r="J769" s="10" t="str">
        <f ca="1">IFERROR(__xludf.DUMMYFUNCTION("""COMPUTED_VALUE"""),"Cumplir con normativa y reglamentos internos del programa en base a los objetivos.")</f>
        <v>Cumplir con normativa y reglamentos internos del programa en base a los objetivos.</v>
      </c>
      <c r="K769" s="71">
        <f ca="1">IFERROR(__xludf.DUMMYFUNCTION("""COMPUTED_VALUE"""),161664999)</f>
        <v>161664999</v>
      </c>
      <c r="L769" s="72">
        <f ca="1">IFERROR(__xludf.DUMMYFUNCTION("""COMPUTED_VALUE"""),1)</f>
        <v>1</v>
      </c>
      <c r="M769" s="10">
        <f ca="1">IFERROR(__xludf.DUMMYFUNCTION("""COMPUTED_VALUE"""),9188)</f>
        <v>9188</v>
      </c>
      <c r="N769" s="10" t="str">
        <f ca="1">IFERROR(__xludf.DUMMYFUNCTION("""COMPUTED_VALUE"""),"PMU")</f>
        <v>PMU</v>
      </c>
      <c r="O769" s="1"/>
      <c r="P769" s="1"/>
      <c r="Q769" s="1"/>
      <c r="R769" s="1"/>
      <c r="S769" s="1"/>
      <c r="T769" s="1"/>
      <c r="U769" s="1"/>
      <c r="V769" s="1"/>
      <c r="W769" s="1"/>
      <c r="X769" s="1"/>
      <c r="Y769" s="1"/>
      <c r="Z769" s="1"/>
    </row>
    <row r="770" spans="1:26" ht="12.75" customHeight="1">
      <c r="A770" s="1"/>
      <c r="B770" s="10" t="str">
        <f ca="1">IFERROR(__xludf.DUMMYFUNCTION("""COMPUTED_VALUE"""),"MEJORAMIENTO AREA VERDE BANDEJÓN SANTIAGO DERVIS, COMUNA DE VALDIVIA")</f>
        <v>MEJORAMIENTO AREA VERDE BANDEJÓN SANTIAGO DERVIS, COMUNA DE VALDIVIA</v>
      </c>
      <c r="C770" s="10" t="str">
        <f ca="1">IFERROR(__xludf.DUMMYFUNCTION("""COMPUTED_VALUE"""),"1-C-2024-420")</f>
        <v>1-C-2024-420</v>
      </c>
      <c r="D770" s="26" t="str">
        <f t="shared" ca="1" si="0"/>
        <v xml:space="preserve"> VALDIVIA</v>
      </c>
      <c r="E770" s="10" t="str">
        <f ca="1">IFERROR(__xludf.DUMMYFUNCTION("""COMPUTED_VALUE"""),"Guía Operativa")</f>
        <v>Guía Operativa</v>
      </c>
      <c r="F770" s="10" t="str">
        <f ca="1">IFERROR(__xludf.DUMMYFUNCTION("""COMPUTED_VALUE"""),"MUNICIPALIDAD DE VALDIVIA")</f>
        <v>MUNICIPALIDAD DE VALDIVIA</v>
      </c>
      <c r="G770" s="71">
        <f ca="1">IFERROR(__xludf.DUMMYFUNCTION("""COMPUTED_VALUE"""),156979437)</f>
        <v>156979437</v>
      </c>
      <c r="H770" s="10" t="str">
        <f ca="1">IFERROR(__xludf.DUMMYFUNCTION("""COMPUTED_VALUE"""),"Resolución")</f>
        <v>Resolución</v>
      </c>
      <c r="I770" s="10" t="str">
        <f ca="1">IFERROR(__xludf.DUMMYFUNCTION("""COMPUTED_VALUE"""),"OBRA")</f>
        <v>OBRA</v>
      </c>
      <c r="J770" s="10" t="str">
        <f ca="1">IFERROR(__xludf.DUMMYFUNCTION("""COMPUTED_VALUE"""),"Cumplir con normativa y reglamentos internos del programa en base a los objetivos.")</f>
        <v>Cumplir con normativa y reglamentos internos del programa en base a los objetivos.</v>
      </c>
      <c r="K770" s="71">
        <f ca="1">IFERROR(__xludf.DUMMYFUNCTION("""COMPUTED_VALUE"""),156979437)</f>
        <v>156979437</v>
      </c>
      <c r="L770" s="72">
        <f ca="1">IFERROR(__xludf.DUMMYFUNCTION("""COMPUTED_VALUE"""),1)</f>
        <v>1</v>
      </c>
      <c r="M770" s="10">
        <f ca="1">IFERROR(__xludf.DUMMYFUNCTION("""COMPUTED_VALUE"""),9341)</f>
        <v>9341</v>
      </c>
      <c r="N770" s="10" t="str">
        <f ca="1">IFERROR(__xludf.DUMMYFUNCTION("""COMPUTED_VALUE"""),"PMU")</f>
        <v>PMU</v>
      </c>
      <c r="O770" s="1"/>
      <c r="P770" s="1"/>
      <c r="Q770" s="1"/>
      <c r="R770" s="1"/>
      <c r="S770" s="1"/>
      <c r="T770" s="1"/>
      <c r="U770" s="1"/>
      <c r="V770" s="1"/>
      <c r="W770" s="1"/>
      <c r="X770" s="1"/>
      <c r="Y770" s="1"/>
      <c r="Z770" s="1"/>
    </row>
    <row r="771" spans="1:26" ht="12.75" customHeight="1">
      <c r="A771" s="1"/>
      <c r="B771" s="10" t="str">
        <f ca="1">IFERROR(__xludf.DUMMYFUNCTION("""COMPUTED_VALUE"""),"MEJORAMIENTO Y AMPLIACIÓN DE SERVICIOS HIGIÉNICOS PÚBLICOS DE ZAPAHUIRA, COMUNA DE PUTRE")</f>
        <v>MEJORAMIENTO Y AMPLIACIÓN DE SERVICIOS HIGIÉNICOS PÚBLICOS DE ZAPAHUIRA, COMUNA DE PUTRE</v>
      </c>
      <c r="C771" s="10" t="str">
        <f ca="1">IFERROR(__xludf.DUMMYFUNCTION("""COMPUTED_VALUE"""),"1-B-2024-482")</f>
        <v>1-B-2024-482</v>
      </c>
      <c r="D771" s="26" t="str">
        <f t="shared" ca="1" si="0"/>
        <v xml:space="preserve"> PUTRE</v>
      </c>
      <c r="E771" s="10" t="str">
        <f ca="1">IFERROR(__xludf.DUMMYFUNCTION("""COMPUTED_VALUE"""),"Guía Operativa")</f>
        <v>Guía Operativa</v>
      </c>
      <c r="F771" s="10" t="str">
        <f ca="1">IFERROR(__xludf.DUMMYFUNCTION("""COMPUTED_VALUE"""),"MUNICIPALIDAD DE PUTRE")</f>
        <v>MUNICIPALIDAD DE PUTRE</v>
      </c>
      <c r="G771" s="71">
        <f ca="1">IFERROR(__xludf.DUMMYFUNCTION("""COMPUTED_VALUE"""),115250250)</f>
        <v>115250250</v>
      </c>
      <c r="H771" s="10" t="str">
        <f ca="1">IFERROR(__xludf.DUMMYFUNCTION("""COMPUTED_VALUE"""),"Resolución")</f>
        <v>Resolución</v>
      </c>
      <c r="I771" s="10" t="str">
        <f ca="1">IFERROR(__xludf.DUMMYFUNCTION("""COMPUTED_VALUE"""),"OBRA")</f>
        <v>OBRA</v>
      </c>
      <c r="J771" s="10" t="str">
        <f ca="1">IFERROR(__xludf.DUMMYFUNCTION("""COMPUTED_VALUE"""),"Cumplir con normativa y reglamentos internos del programa en base a los objetivos.")</f>
        <v>Cumplir con normativa y reglamentos internos del programa en base a los objetivos.</v>
      </c>
      <c r="K771" s="71">
        <f ca="1">IFERROR(__xludf.DUMMYFUNCTION("""COMPUTED_VALUE"""),115250250)</f>
        <v>115250250</v>
      </c>
      <c r="L771" s="72">
        <f ca="1">IFERROR(__xludf.DUMMYFUNCTION("""COMPUTED_VALUE"""),1)</f>
        <v>1</v>
      </c>
      <c r="M771" s="10">
        <f ca="1">IFERROR(__xludf.DUMMYFUNCTION("""COMPUTED_VALUE"""),9087)</f>
        <v>9087</v>
      </c>
      <c r="N771" s="10" t="str">
        <f ca="1">IFERROR(__xludf.DUMMYFUNCTION("""COMPUTED_VALUE"""),"PMU")</f>
        <v>PMU</v>
      </c>
      <c r="O771" s="1"/>
      <c r="P771" s="1"/>
      <c r="Q771" s="1"/>
      <c r="R771" s="1"/>
      <c r="S771" s="1"/>
      <c r="T771" s="1"/>
      <c r="U771" s="1"/>
      <c r="V771" s="1"/>
      <c r="W771" s="1"/>
      <c r="X771" s="1"/>
      <c r="Y771" s="1"/>
      <c r="Z771" s="1"/>
    </row>
    <row r="772" spans="1:26" ht="12.75" customHeight="1">
      <c r="A772" s="1"/>
      <c r="B772" s="10" t="str">
        <f ca="1">IFERROR(__xludf.DUMMYFUNCTION("""COMPUTED_VALUE"""),"MEJORAMIENTO COSTANERA LAGUNA AVENDAÑO, COMUNA DE QUILLÓN")</f>
        <v>MEJORAMIENTO COSTANERA LAGUNA AVENDAÑO, COMUNA DE QUILLÓN</v>
      </c>
      <c r="C772" s="10" t="str">
        <f ca="1">IFERROR(__xludf.DUMMYFUNCTION("""COMPUTED_VALUE"""),"1-B-2024-121")</f>
        <v>1-B-2024-121</v>
      </c>
      <c r="D772" s="26" t="str">
        <f t="shared" ca="1" si="0"/>
        <v xml:space="preserve"> QUILLÓN</v>
      </c>
      <c r="E772" s="10" t="str">
        <f ca="1">IFERROR(__xludf.DUMMYFUNCTION("""COMPUTED_VALUE"""),"Guía Operativa")</f>
        <v>Guía Operativa</v>
      </c>
      <c r="F772" s="10" t="str">
        <f ca="1">IFERROR(__xludf.DUMMYFUNCTION("""COMPUTED_VALUE"""),"MUNICIPALIDAD DE QUILLÓN")</f>
        <v>MUNICIPALIDAD DE QUILLÓN</v>
      </c>
      <c r="G772" s="71">
        <f ca="1">IFERROR(__xludf.DUMMYFUNCTION("""COMPUTED_VALUE"""),154081683)</f>
        <v>154081683</v>
      </c>
      <c r="H772" s="10" t="str">
        <f ca="1">IFERROR(__xludf.DUMMYFUNCTION("""COMPUTED_VALUE"""),"Resolución")</f>
        <v>Resolución</v>
      </c>
      <c r="I772" s="10" t="str">
        <f ca="1">IFERROR(__xludf.DUMMYFUNCTION("""COMPUTED_VALUE"""),"OBRA")</f>
        <v>OBRA</v>
      </c>
      <c r="J772" s="10" t="str">
        <f ca="1">IFERROR(__xludf.DUMMYFUNCTION("""COMPUTED_VALUE"""),"Cumplir con normativa y reglamentos internos del programa en base a los objetivos.")</f>
        <v>Cumplir con normativa y reglamentos internos del programa en base a los objetivos.</v>
      </c>
      <c r="K772" s="71">
        <f ca="1">IFERROR(__xludf.DUMMYFUNCTION("""COMPUTED_VALUE"""),154081683)</f>
        <v>154081683</v>
      </c>
      <c r="L772" s="72">
        <f ca="1">IFERROR(__xludf.DUMMYFUNCTION("""COMPUTED_VALUE"""),1)</f>
        <v>1</v>
      </c>
      <c r="M772" s="10">
        <f ca="1">IFERROR(__xludf.DUMMYFUNCTION("""COMPUTED_VALUE"""),9137)</f>
        <v>9137</v>
      </c>
      <c r="N772" s="10" t="str">
        <f ca="1">IFERROR(__xludf.DUMMYFUNCTION("""COMPUTED_VALUE"""),"PMU")</f>
        <v>PMU</v>
      </c>
      <c r="O772" s="1"/>
      <c r="P772" s="1"/>
      <c r="Q772" s="1"/>
      <c r="R772" s="1"/>
      <c r="S772" s="1"/>
      <c r="T772" s="1"/>
      <c r="U772" s="1"/>
      <c r="V772" s="1"/>
      <c r="W772" s="1"/>
      <c r="X772" s="1"/>
      <c r="Y772" s="1"/>
      <c r="Z772" s="1"/>
    </row>
    <row r="773" spans="1:26" ht="12.75" customHeight="1">
      <c r="A773" s="1"/>
      <c r="B773" s="10" t="str">
        <f ca="1">IFERROR(__xludf.DUMMYFUNCTION("""COMPUTED_VALUE"""),"CONSTRUCCION SEDE SOCIAL EL PAJONAL, COMUNA DE QUIRIHUE")</f>
        <v>CONSTRUCCION SEDE SOCIAL EL PAJONAL, COMUNA DE QUIRIHUE</v>
      </c>
      <c r="C773" s="10" t="str">
        <f ca="1">IFERROR(__xludf.DUMMYFUNCTION("""COMPUTED_VALUE"""),"1-B-2024-289")</f>
        <v>1-B-2024-289</v>
      </c>
      <c r="D773" s="26" t="str">
        <f t="shared" ca="1" si="0"/>
        <v xml:space="preserve"> QUIRIHUE</v>
      </c>
      <c r="E773" s="10" t="str">
        <f ca="1">IFERROR(__xludf.DUMMYFUNCTION("""COMPUTED_VALUE"""),"Guía Operativa")</f>
        <v>Guía Operativa</v>
      </c>
      <c r="F773" s="10" t="str">
        <f ca="1">IFERROR(__xludf.DUMMYFUNCTION("""COMPUTED_VALUE"""),"MUNICIPALIDAD DE QUIRIHUE")</f>
        <v>MUNICIPALIDAD DE QUIRIHUE</v>
      </c>
      <c r="G773" s="71">
        <f ca="1">IFERROR(__xludf.DUMMYFUNCTION("""COMPUTED_VALUE"""),154106642)</f>
        <v>154106642</v>
      </c>
      <c r="H773" s="10" t="str">
        <f ca="1">IFERROR(__xludf.DUMMYFUNCTION("""COMPUTED_VALUE"""),"Resolución")</f>
        <v>Resolución</v>
      </c>
      <c r="I773" s="10" t="str">
        <f ca="1">IFERROR(__xludf.DUMMYFUNCTION("""COMPUTED_VALUE"""),"OBRA")</f>
        <v>OBRA</v>
      </c>
      <c r="J773" s="10" t="str">
        <f ca="1">IFERROR(__xludf.DUMMYFUNCTION("""COMPUTED_VALUE"""),"Cumplir con normativa y reglamentos internos del programa en base a los objetivos.")</f>
        <v>Cumplir con normativa y reglamentos internos del programa en base a los objetivos.</v>
      </c>
      <c r="K773" s="71">
        <f ca="1">IFERROR(__xludf.DUMMYFUNCTION("""COMPUTED_VALUE"""),154106642)</f>
        <v>154106642</v>
      </c>
      <c r="L773" s="72">
        <f ca="1">IFERROR(__xludf.DUMMYFUNCTION("""COMPUTED_VALUE"""),1)</f>
        <v>1</v>
      </c>
      <c r="M773" s="10">
        <f ca="1">IFERROR(__xludf.DUMMYFUNCTION("""COMPUTED_VALUE"""),9088)</f>
        <v>9088</v>
      </c>
      <c r="N773" s="10" t="str">
        <f ca="1">IFERROR(__xludf.DUMMYFUNCTION("""COMPUTED_VALUE"""),"PMU")</f>
        <v>PMU</v>
      </c>
      <c r="O773" s="1"/>
      <c r="P773" s="1"/>
      <c r="Q773" s="1"/>
      <c r="R773" s="1"/>
      <c r="S773" s="1"/>
      <c r="T773" s="1"/>
      <c r="U773" s="1"/>
      <c r="V773" s="1"/>
      <c r="W773" s="1"/>
      <c r="X773" s="1"/>
      <c r="Y773" s="1"/>
      <c r="Z773" s="1"/>
    </row>
    <row r="774" spans="1:26" ht="12.75" customHeight="1">
      <c r="A774" s="1"/>
      <c r="B774" s="10" t="str">
        <f ca="1">IFERROR(__xludf.DUMMYFUNCTION("""COMPUTED_VALUE"""),"HABILITACIÓN SALAS DE CLASES MODULARES LICEO DE HUARA")</f>
        <v>HABILITACIÓN SALAS DE CLASES MODULARES LICEO DE HUARA</v>
      </c>
      <c r="C774" s="10" t="str">
        <f ca="1">IFERROR(__xludf.DUMMYFUNCTION("""COMPUTED_VALUE"""),"1-C-2023-2293")</f>
        <v>1-C-2023-2293</v>
      </c>
      <c r="D774" s="26"/>
      <c r="E774" s="10" t="str">
        <f ca="1">IFERROR(__xludf.DUMMYFUNCTION("""COMPUTED_VALUE"""),"Guía Operativa")</f>
        <v>Guía Operativa</v>
      </c>
      <c r="F774" s="10" t="str">
        <f ca="1">IFERROR(__xludf.DUMMYFUNCTION("""COMPUTED_VALUE"""),"MUNICIPALIDAD DE HUARA")</f>
        <v>MUNICIPALIDAD DE HUARA</v>
      </c>
      <c r="G774" s="71">
        <f ca="1">IFERROR(__xludf.DUMMYFUNCTION("""COMPUTED_VALUE"""),139465659)</f>
        <v>139465659</v>
      </c>
      <c r="H774" s="10" t="str">
        <f ca="1">IFERROR(__xludf.DUMMYFUNCTION("""COMPUTED_VALUE"""),"Resolución")</f>
        <v>Resolución</v>
      </c>
      <c r="I774" s="10" t="str">
        <f ca="1">IFERROR(__xludf.DUMMYFUNCTION("""COMPUTED_VALUE"""),"OBRA")</f>
        <v>OBRA</v>
      </c>
      <c r="J774" s="10" t="str">
        <f ca="1">IFERROR(__xludf.DUMMYFUNCTION("""COMPUTED_VALUE"""),"Cumplir con normativa y reglamentos internos del programa en base a los objetivos.")</f>
        <v>Cumplir con normativa y reglamentos internos del programa en base a los objetivos.</v>
      </c>
      <c r="K774" s="71">
        <f ca="1">IFERROR(__xludf.DUMMYFUNCTION("""COMPUTED_VALUE"""),139465659)</f>
        <v>139465659</v>
      </c>
      <c r="L774" s="72">
        <f ca="1">IFERROR(__xludf.DUMMYFUNCTION("""COMPUTED_VALUE"""),1)</f>
        <v>1</v>
      </c>
      <c r="M774" s="10">
        <f ca="1">IFERROR(__xludf.DUMMYFUNCTION("""COMPUTED_VALUE"""),10394)</f>
        <v>10394</v>
      </c>
      <c r="N774" s="10" t="str">
        <f ca="1">IFERROR(__xludf.DUMMYFUNCTION("""COMPUTED_VALUE"""),"PMU")</f>
        <v>PMU</v>
      </c>
      <c r="O774" s="1"/>
      <c r="P774" s="1"/>
      <c r="Q774" s="1"/>
      <c r="R774" s="1"/>
      <c r="S774" s="1"/>
      <c r="T774" s="1"/>
      <c r="U774" s="1"/>
      <c r="V774" s="1"/>
      <c r="W774" s="1"/>
      <c r="X774" s="1"/>
      <c r="Y774" s="1"/>
      <c r="Z774" s="1"/>
    </row>
    <row r="775" spans="1:26" ht="12.75" customHeight="1">
      <c r="A775" s="1"/>
      <c r="B775" s="10" t="str">
        <f ca="1">IFERROR(__xludf.DUMMYFUNCTION("""COMPUTED_VALUE"""),"MEJORAMIENTO ALUMBRADO PÚBLICO SECTOR CENTRO, COMUNA ALTO HOSPICIO")</f>
        <v>MEJORAMIENTO ALUMBRADO PÚBLICO SECTOR CENTRO, COMUNA ALTO HOSPICIO</v>
      </c>
      <c r="C775" s="10" t="str">
        <f ca="1">IFERROR(__xludf.DUMMYFUNCTION("""COMPUTED_VALUE"""),"1-C-2024-692")</f>
        <v>1-C-2024-692</v>
      </c>
      <c r="D775" s="26"/>
      <c r="E775" s="10" t="str">
        <f ca="1">IFERROR(__xludf.DUMMYFUNCTION("""COMPUTED_VALUE"""),"Guía Operativa")</f>
        <v>Guía Operativa</v>
      </c>
      <c r="F775" s="10" t="str">
        <f ca="1">IFERROR(__xludf.DUMMYFUNCTION("""COMPUTED_VALUE"""),"MUNICIPALIDAD DE ALTO HOSPICIO")</f>
        <v>MUNICIPALIDAD DE ALTO HOSPICIO</v>
      </c>
      <c r="G775" s="71">
        <f ca="1">IFERROR(__xludf.DUMMYFUNCTION("""COMPUTED_VALUE"""),130990738)</f>
        <v>130990738</v>
      </c>
      <c r="H775" s="10" t="str">
        <f ca="1">IFERROR(__xludf.DUMMYFUNCTION("""COMPUTED_VALUE"""),"Resolución")</f>
        <v>Resolución</v>
      </c>
      <c r="I775" s="10" t="str">
        <f ca="1">IFERROR(__xludf.DUMMYFUNCTION("""COMPUTED_VALUE"""),"OBRA")</f>
        <v>OBRA</v>
      </c>
      <c r="J775" s="10" t="str">
        <f ca="1">IFERROR(__xludf.DUMMYFUNCTION("""COMPUTED_VALUE"""),"Cumplir con normativa y reglamentos internos del programa en base a los objetivos.")</f>
        <v>Cumplir con normativa y reglamentos internos del programa en base a los objetivos.</v>
      </c>
      <c r="K775" s="71">
        <f ca="1">IFERROR(__xludf.DUMMYFUNCTION("""COMPUTED_VALUE"""),130990738)</f>
        <v>130990738</v>
      </c>
      <c r="L775" s="72">
        <f ca="1">IFERROR(__xludf.DUMMYFUNCTION("""COMPUTED_VALUE"""),1)</f>
        <v>1</v>
      </c>
      <c r="M775" s="10">
        <f ca="1">IFERROR(__xludf.DUMMYFUNCTION("""COMPUTED_VALUE"""),10371)</f>
        <v>10371</v>
      </c>
      <c r="N775" s="10" t="str">
        <f ca="1">IFERROR(__xludf.DUMMYFUNCTION("""COMPUTED_VALUE"""),"PMU")</f>
        <v>PMU</v>
      </c>
      <c r="O775" s="1"/>
      <c r="P775" s="1"/>
      <c r="Q775" s="1"/>
      <c r="R775" s="1"/>
      <c r="S775" s="1"/>
      <c r="T775" s="1"/>
      <c r="U775" s="1"/>
      <c r="V775" s="1"/>
      <c r="W775" s="1"/>
      <c r="X775" s="1"/>
      <c r="Y775" s="1"/>
      <c r="Z775" s="1"/>
    </row>
    <row r="776" spans="1:26" ht="12.75" customHeight="1">
      <c r="A776" s="1"/>
      <c r="B776" s="10" t="str">
        <f ca="1">IFERROR(__xludf.DUMMYFUNCTION("""COMPUTED_VALUE"""),"MEJORAMIENTO ALUMBRADO PÚBLICO AVENIDA CIRCUNVALACIÓN NORTE, COMUNA ALTO HOSPICIO")</f>
        <v>MEJORAMIENTO ALUMBRADO PÚBLICO AVENIDA CIRCUNVALACIÓN NORTE, COMUNA ALTO HOSPICIO</v>
      </c>
      <c r="C776" s="10" t="str">
        <f ca="1">IFERROR(__xludf.DUMMYFUNCTION("""COMPUTED_VALUE"""),"1-C-2024-693")</f>
        <v>1-C-2024-693</v>
      </c>
      <c r="D776" s="26"/>
      <c r="E776" s="10" t="str">
        <f ca="1">IFERROR(__xludf.DUMMYFUNCTION("""COMPUTED_VALUE"""),"Guía Operativa")</f>
        <v>Guía Operativa</v>
      </c>
      <c r="F776" s="10" t="str">
        <f ca="1">IFERROR(__xludf.DUMMYFUNCTION("""COMPUTED_VALUE"""),"MUNICIPALIDAD DE ALTO HOSPICIO")</f>
        <v>MUNICIPALIDAD DE ALTO HOSPICIO</v>
      </c>
      <c r="G776" s="71">
        <f ca="1">IFERROR(__xludf.DUMMYFUNCTION("""COMPUTED_VALUE"""),150855468)</f>
        <v>150855468</v>
      </c>
      <c r="H776" s="10" t="str">
        <f ca="1">IFERROR(__xludf.DUMMYFUNCTION("""COMPUTED_VALUE"""),"Resolución")</f>
        <v>Resolución</v>
      </c>
      <c r="I776" s="10" t="str">
        <f ca="1">IFERROR(__xludf.DUMMYFUNCTION("""COMPUTED_VALUE"""),"OBRA")</f>
        <v>OBRA</v>
      </c>
      <c r="J776" s="10" t="str">
        <f ca="1">IFERROR(__xludf.DUMMYFUNCTION("""COMPUTED_VALUE"""),"Cumplir con normativa y reglamentos internos del programa en base a los objetivos.")</f>
        <v>Cumplir con normativa y reglamentos internos del programa en base a los objetivos.</v>
      </c>
      <c r="K776" s="71">
        <f ca="1">IFERROR(__xludf.DUMMYFUNCTION("""COMPUTED_VALUE"""),150855468)</f>
        <v>150855468</v>
      </c>
      <c r="L776" s="72">
        <f ca="1">IFERROR(__xludf.DUMMYFUNCTION("""COMPUTED_VALUE"""),1)</f>
        <v>1</v>
      </c>
      <c r="M776" s="10">
        <f ca="1">IFERROR(__xludf.DUMMYFUNCTION("""COMPUTED_VALUE"""),10400)</f>
        <v>10400</v>
      </c>
      <c r="N776" s="10" t="str">
        <f ca="1">IFERROR(__xludf.DUMMYFUNCTION("""COMPUTED_VALUE"""),"PMU")</f>
        <v>PMU</v>
      </c>
      <c r="O776" s="1"/>
      <c r="P776" s="1"/>
      <c r="Q776" s="1"/>
      <c r="R776" s="1"/>
      <c r="S776" s="1"/>
      <c r="T776" s="1"/>
      <c r="U776" s="1"/>
      <c r="V776" s="1"/>
      <c r="W776" s="1"/>
      <c r="X776" s="1"/>
      <c r="Y776" s="1"/>
      <c r="Z776" s="1"/>
    </row>
    <row r="777" spans="1:26" ht="12.75" customHeight="1">
      <c r="A777" s="1"/>
      <c r="B777" s="10" t="str">
        <f ca="1">IFERROR(__xludf.DUMMYFUNCTION("""COMPUTED_VALUE"""),"MEJORAMIENTO ILUMINACIÓN SECTOR SANTA ROSA, COMUNA ALTO HOSPICIO")</f>
        <v>MEJORAMIENTO ILUMINACIÓN SECTOR SANTA ROSA, COMUNA ALTO HOSPICIO</v>
      </c>
      <c r="C777" s="10" t="str">
        <f ca="1">IFERROR(__xludf.DUMMYFUNCTION("""COMPUTED_VALUE"""),"1-C-2024-697")</f>
        <v>1-C-2024-697</v>
      </c>
      <c r="D777" s="26"/>
      <c r="E777" s="10" t="str">
        <f ca="1">IFERROR(__xludf.DUMMYFUNCTION("""COMPUTED_VALUE"""),"Guía Operativa")</f>
        <v>Guía Operativa</v>
      </c>
      <c r="F777" s="10" t="str">
        <f ca="1">IFERROR(__xludf.DUMMYFUNCTION("""COMPUTED_VALUE"""),"MUNICIPALIDAD DE ALTO HOSPICIO")</f>
        <v>MUNICIPALIDAD DE ALTO HOSPICIO</v>
      </c>
      <c r="G777" s="71">
        <f ca="1">IFERROR(__xludf.DUMMYFUNCTION("""COMPUTED_VALUE"""),131667767)</f>
        <v>131667767</v>
      </c>
      <c r="H777" s="10" t="str">
        <f ca="1">IFERROR(__xludf.DUMMYFUNCTION("""COMPUTED_VALUE"""),"Resolución")</f>
        <v>Resolución</v>
      </c>
      <c r="I777" s="10" t="str">
        <f ca="1">IFERROR(__xludf.DUMMYFUNCTION("""COMPUTED_VALUE"""),"OBRA")</f>
        <v>OBRA</v>
      </c>
      <c r="J777" s="10" t="str">
        <f ca="1">IFERROR(__xludf.DUMMYFUNCTION("""COMPUTED_VALUE"""),"Cumplir con normativa y reglamentos internos del programa en base a los objetivos.")</f>
        <v>Cumplir con normativa y reglamentos internos del programa en base a los objetivos.</v>
      </c>
      <c r="K777" s="71">
        <f ca="1">IFERROR(__xludf.DUMMYFUNCTION("""COMPUTED_VALUE"""),131667767)</f>
        <v>131667767</v>
      </c>
      <c r="L777" s="72">
        <f ca="1">IFERROR(__xludf.DUMMYFUNCTION("""COMPUTED_VALUE"""),1)</f>
        <v>1</v>
      </c>
      <c r="M777" s="10">
        <f ca="1">IFERROR(__xludf.DUMMYFUNCTION("""COMPUTED_VALUE"""),10349)</f>
        <v>10349</v>
      </c>
      <c r="N777" s="10" t="str">
        <f ca="1">IFERROR(__xludf.DUMMYFUNCTION("""COMPUTED_VALUE"""),"PMU")</f>
        <v>PMU</v>
      </c>
      <c r="O777" s="1"/>
      <c r="P777" s="1"/>
      <c r="Q777" s="1"/>
      <c r="R777" s="1"/>
      <c r="S777" s="1"/>
      <c r="T777" s="1"/>
      <c r="U777" s="1"/>
      <c r="V777" s="1"/>
      <c r="W777" s="1"/>
      <c r="X777" s="1"/>
      <c r="Y777" s="1"/>
      <c r="Z777" s="1"/>
    </row>
    <row r="778" spans="1:26" ht="12.75" customHeight="1">
      <c r="A778" s="1"/>
      <c r="B778" s="10" t="str">
        <f ca="1">IFERROR(__xludf.DUMMYFUNCTION("""COMPUTED_VALUE"""),"MEJORAMIENTO ALUMBRADO PÚBLICO SECTOR EL BORO, COMUNA DE ALTO HOSPICIO")</f>
        <v>MEJORAMIENTO ALUMBRADO PÚBLICO SECTOR EL BORO, COMUNA DE ALTO HOSPICIO</v>
      </c>
      <c r="C778" s="10" t="str">
        <f ca="1">IFERROR(__xludf.DUMMYFUNCTION("""COMPUTED_VALUE"""),"1-C-2024-699")</f>
        <v>1-C-2024-699</v>
      </c>
      <c r="D778" s="26"/>
      <c r="E778" s="10" t="str">
        <f ca="1">IFERROR(__xludf.DUMMYFUNCTION("""COMPUTED_VALUE"""),"Guía Operativa")</f>
        <v>Guía Operativa</v>
      </c>
      <c r="F778" s="10" t="str">
        <f ca="1">IFERROR(__xludf.DUMMYFUNCTION("""COMPUTED_VALUE"""),"MUNICIPALIDAD DE ALTO HOSPICIO")</f>
        <v>MUNICIPALIDAD DE ALTO HOSPICIO</v>
      </c>
      <c r="G778" s="71">
        <f ca="1">IFERROR(__xludf.DUMMYFUNCTION("""COMPUTED_VALUE"""),48278300)</f>
        <v>48278300</v>
      </c>
      <c r="H778" s="10" t="str">
        <f ca="1">IFERROR(__xludf.DUMMYFUNCTION("""COMPUTED_VALUE"""),"Resolución")</f>
        <v>Resolución</v>
      </c>
      <c r="I778" s="10" t="str">
        <f ca="1">IFERROR(__xludf.DUMMYFUNCTION("""COMPUTED_VALUE"""),"OBRA")</f>
        <v>OBRA</v>
      </c>
      <c r="J778" s="10" t="str">
        <f ca="1">IFERROR(__xludf.DUMMYFUNCTION("""COMPUTED_VALUE"""),"Cumplir con normativa y reglamentos internos del programa en base a los objetivos.")</f>
        <v>Cumplir con normativa y reglamentos internos del programa en base a los objetivos.</v>
      </c>
      <c r="K778" s="71">
        <f ca="1">IFERROR(__xludf.DUMMYFUNCTION("""COMPUTED_VALUE"""),48278300)</f>
        <v>48278300</v>
      </c>
      <c r="L778" s="72">
        <f ca="1">IFERROR(__xludf.DUMMYFUNCTION("""COMPUTED_VALUE"""),1)</f>
        <v>1</v>
      </c>
      <c r="M778" s="10">
        <f ca="1">IFERROR(__xludf.DUMMYFUNCTION("""COMPUTED_VALUE"""),10349)</f>
        <v>10349</v>
      </c>
      <c r="N778" s="10" t="str">
        <f ca="1">IFERROR(__xludf.DUMMYFUNCTION("""COMPUTED_VALUE"""),"PMU")</f>
        <v>PMU</v>
      </c>
      <c r="O778" s="1"/>
      <c r="P778" s="1"/>
      <c r="Q778" s="1"/>
      <c r="R778" s="1"/>
      <c r="S778" s="1"/>
      <c r="T778" s="1"/>
      <c r="U778" s="1"/>
      <c r="V778" s="1"/>
      <c r="W778" s="1"/>
      <c r="X778" s="1"/>
      <c r="Y778" s="1"/>
      <c r="Z778" s="1"/>
    </row>
    <row r="779" spans="1:26" ht="12.75" customHeight="1">
      <c r="A779" s="1"/>
      <c r="B779" s="10" t="str">
        <f ca="1">IFERROR(__xludf.DUMMYFUNCTION("""COMPUTED_VALUE"""),"CONSTRUCCIÓN SS. HH PÚBLICOS, LOCALIDAD DE ANCOVINTO")</f>
        <v>CONSTRUCCIÓN SS. HH PÚBLICOS, LOCALIDAD DE ANCOVINTO</v>
      </c>
      <c r="C779" s="10" t="str">
        <f ca="1">IFERROR(__xludf.DUMMYFUNCTION("""COMPUTED_VALUE"""),"1-B-2024-455")</f>
        <v>1-B-2024-455</v>
      </c>
      <c r="D779" s="26"/>
      <c r="E779" s="10" t="str">
        <f ca="1">IFERROR(__xludf.DUMMYFUNCTION("""COMPUTED_VALUE"""),"Guía Operativa")</f>
        <v>Guía Operativa</v>
      </c>
      <c r="F779" s="10" t="str">
        <f ca="1">IFERROR(__xludf.DUMMYFUNCTION("""COMPUTED_VALUE"""),"MUNICIPALIDAD DE COLCHANE")</f>
        <v>MUNICIPALIDAD DE COLCHANE</v>
      </c>
      <c r="G779" s="71">
        <f ca="1">IFERROR(__xludf.DUMMYFUNCTION("""COMPUTED_VALUE"""),123067337)</f>
        <v>123067337</v>
      </c>
      <c r="H779" s="10" t="str">
        <f ca="1">IFERROR(__xludf.DUMMYFUNCTION("""COMPUTED_VALUE"""),"Resolución")</f>
        <v>Resolución</v>
      </c>
      <c r="I779" s="10" t="str">
        <f ca="1">IFERROR(__xludf.DUMMYFUNCTION("""COMPUTED_VALUE"""),"OBRA")</f>
        <v>OBRA</v>
      </c>
      <c r="J779" s="10" t="str">
        <f ca="1">IFERROR(__xludf.DUMMYFUNCTION("""COMPUTED_VALUE"""),"Cumplir con normativa y reglamentos internos del programa en base a los objetivos.")</f>
        <v>Cumplir con normativa y reglamentos internos del programa en base a los objetivos.</v>
      </c>
      <c r="K779" s="71">
        <f ca="1">IFERROR(__xludf.DUMMYFUNCTION("""COMPUTED_VALUE"""),123067337)</f>
        <v>123067337</v>
      </c>
      <c r="L779" s="72">
        <f ca="1">IFERROR(__xludf.DUMMYFUNCTION("""COMPUTED_VALUE"""),1)</f>
        <v>1</v>
      </c>
      <c r="M779" s="10">
        <f ca="1">IFERROR(__xludf.DUMMYFUNCTION("""COMPUTED_VALUE"""),10377)</f>
        <v>10377</v>
      </c>
      <c r="N779" s="10" t="str">
        <f ca="1">IFERROR(__xludf.DUMMYFUNCTION("""COMPUTED_VALUE"""),"PMU")</f>
        <v>PMU</v>
      </c>
      <c r="O779" s="1"/>
      <c r="P779" s="1"/>
      <c r="Q779" s="1"/>
      <c r="R779" s="1"/>
      <c r="S779" s="1"/>
      <c r="T779" s="1"/>
      <c r="U779" s="1"/>
      <c r="V779" s="1"/>
      <c r="W779" s="1"/>
      <c r="X779" s="1"/>
      <c r="Y779" s="1"/>
      <c r="Z779" s="1"/>
    </row>
    <row r="780" spans="1:26" ht="12.75" customHeight="1">
      <c r="A780" s="1"/>
      <c r="B780" s="10" t="str">
        <f ca="1">IFERROR(__xludf.DUMMYFUNCTION("""COMPUTED_VALUE"""),"“MEJORAMIENTO PROTECCIONES Y VENTANAS” – ESCUELA MAXIMILIANO POBLETE D-74")</f>
        <v>“MEJORAMIENTO PROTECCIONES Y VENTANAS” – ESCUELA MAXIMILIANO POBLETE D-74</v>
      </c>
      <c r="C780" s="10" t="str">
        <f ca="1">IFERROR(__xludf.DUMMYFUNCTION("""COMPUTED_VALUE"""),"1-C-2021-1827")</f>
        <v>1-C-2021-1827</v>
      </c>
      <c r="D780" s="26"/>
      <c r="E780" s="10" t="str">
        <f ca="1">IFERROR(__xludf.DUMMYFUNCTION("""COMPUTED_VALUE"""),"Guía Operativa")</f>
        <v>Guía Operativa</v>
      </c>
      <c r="F780" s="10" t="str">
        <f ca="1">IFERROR(__xludf.DUMMYFUNCTION("""COMPUTED_VALUE"""),"MUNICIPALIDAD DE ANTOFAGASTA")</f>
        <v>MUNICIPALIDAD DE ANTOFAGASTA</v>
      </c>
      <c r="G780" s="71">
        <f ca="1">IFERROR(__xludf.DUMMYFUNCTION("""COMPUTED_VALUE"""),86760458)</f>
        <v>86760458</v>
      </c>
      <c r="H780" s="10" t="str">
        <f ca="1">IFERROR(__xludf.DUMMYFUNCTION("""COMPUTED_VALUE"""),"Resolución")</f>
        <v>Resolución</v>
      </c>
      <c r="I780" s="10" t="str">
        <f ca="1">IFERROR(__xludf.DUMMYFUNCTION("""COMPUTED_VALUE"""),"OBRA")</f>
        <v>OBRA</v>
      </c>
      <c r="J780" s="10" t="str">
        <f ca="1">IFERROR(__xludf.DUMMYFUNCTION("""COMPUTED_VALUE"""),"Cumplir con normativa y reglamentos internos del programa en base a los objetivos.")</f>
        <v>Cumplir con normativa y reglamentos internos del programa en base a los objetivos.</v>
      </c>
      <c r="K780" s="71">
        <f ca="1">IFERROR(__xludf.DUMMYFUNCTION("""COMPUTED_VALUE"""),86760458)</f>
        <v>86760458</v>
      </c>
      <c r="L780" s="72">
        <f ca="1">IFERROR(__xludf.DUMMYFUNCTION("""COMPUTED_VALUE"""),1)</f>
        <v>1</v>
      </c>
      <c r="M780" s="10">
        <f ca="1">IFERROR(__xludf.DUMMYFUNCTION("""COMPUTED_VALUE"""),10002)</f>
        <v>10002</v>
      </c>
      <c r="N780" s="10" t="str">
        <f ca="1">IFERROR(__xludf.DUMMYFUNCTION("""COMPUTED_VALUE"""),"PMU")</f>
        <v>PMU</v>
      </c>
      <c r="O780" s="1"/>
      <c r="P780" s="1"/>
      <c r="Q780" s="1"/>
      <c r="R780" s="1"/>
      <c r="S780" s="1"/>
      <c r="T780" s="1"/>
      <c r="U780" s="1"/>
      <c r="V780" s="1"/>
      <c r="W780" s="1"/>
      <c r="X780" s="1"/>
      <c r="Y780" s="1"/>
      <c r="Z780" s="1"/>
    </row>
    <row r="781" spans="1:26" ht="12.75" customHeight="1">
      <c r="A781" s="1"/>
      <c r="B781" s="10" t="str">
        <f ca="1">IFERROR(__xludf.DUMMYFUNCTION("""COMPUTED_VALUE"""),"CONSERVACIÓN CUBIERTA Y REVESTIMIENTO ESTRUCTURA METÁLICA TECHADO MULTICANCHA ESCUELA E-88 EDDA CUNEO")</f>
        <v>CONSERVACIÓN CUBIERTA Y REVESTIMIENTO ESTRUCTURA METÁLICA TECHADO MULTICANCHA ESCUELA E-88 EDDA CUNEO</v>
      </c>
      <c r="C781" s="10" t="str">
        <f ca="1">IFERROR(__xludf.DUMMYFUNCTION("""COMPUTED_VALUE"""),"1-C-2022-458")</f>
        <v>1-C-2022-458</v>
      </c>
      <c r="D781" s="26"/>
      <c r="E781" s="10" t="str">
        <f ca="1">IFERROR(__xludf.DUMMYFUNCTION("""COMPUTED_VALUE"""),"Guía Operativa")</f>
        <v>Guía Operativa</v>
      </c>
      <c r="F781" s="10" t="str">
        <f ca="1">IFERROR(__xludf.DUMMYFUNCTION("""COMPUTED_VALUE"""),"MUNICIPALIDAD DE ANTOFAGASTA")</f>
        <v>MUNICIPALIDAD DE ANTOFAGASTA</v>
      </c>
      <c r="G781" s="71">
        <f ca="1">IFERROR(__xludf.DUMMYFUNCTION("""COMPUTED_VALUE"""),82376634)</f>
        <v>82376634</v>
      </c>
      <c r="H781" s="10" t="str">
        <f ca="1">IFERROR(__xludf.DUMMYFUNCTION("""COMPUTED_VALUE"""),"Resolución")</f>
        <v>Resolución</v>
      </c>
      <c r="I781" s="10" t="str">
        <f ca="1">IFERROR(__xludf.DUMMYFUNCTION("""COMPUTED_VALUE"""),"OBRA")</f>
        <v>OBRA</v>
      </c>
      <c r="J781" s="10" t="str">
        <f ca="1">IFERROR(__xludf.DUMMYFUNCTION("""COMPUTED_VALUE"""),"Cumplir con normativa y reglamentos internos del programa en base a los objetivos.")</f>
        <v>Cumplir con normativa y reglamentos internos del programa en base a los objetivos.</v>
      </c>
      <c r="K781" s="71">
        <f ca="1">IFERROR(__xludf.DUMMYFUNCTION("""COMPUTED_VALUE"""),82376634)</f>
        <v>82376634</v>
      </c>
      <c r="L781" s="72">
        <f ca="1">IFERROR(__xludf.DUMMYFUNCTION("""COMPUTED_VALUE"""),1)</f>
        <v>1</v>
      </c>
      <c r="M781" s="10">
        <f ca="1">IFERROR(__xludf.DUMMYFUNCTION("""COMPUTED_VALUE"""),10002)</f>
        <v>10002</v>
      </c>
      <c r="N781" s="10" t="str">
        <f ca="1">IFERROR(__xludf.DUMMYFUNCTION("""COMPUTED_VALUE"""),"PMU")</f>
        <v>PMU</v>
      </c>
      <c r="O781" s="1"/>
      <c r="P781" s="1"/>
      <c r="Q781" s="1"/>
      <c r="R781" s="1"/>
      <c r="S781" s="1"/>
      <c r="T781" s="1"/>
      <c r="U781" s="1"/>
      <c r="V781" s="1"/>
      <c r="W781" s="1"/>
      <c r="X781" s="1"/>
      <c r="Y781" s="1"/>
      <c r="Z781" s="1"/>
    </row>
    <row r="782" spans="1:26" ht="12.75" customHeight="1">
      <c r="A782" s="1"/>
      <c r="B782" s="10" t="str">
        <f ca="1">IFERROR(__xludf.DUMMYFUNCTION("""COMPUTED_VALUE"""),"MEJORAMIENTO MULTICANCHA ESCUELA GABRIELA MISTRAL G-111")</f>
        <v>MEJORAMIENTO MULTICANCHA ESCUELA GABRIELA MISTRAL G-111</v>
      </c>
      <c r="C782" s="10" t="str">
        <f ca="1">IFERROR(__xludf.DUMMYFUNCTION("""COMPUTED_VALUE"""),"1-C-2022-498")</f>
        <v>1-C-2022-498</v>
      </c>
      <c r="D782" s="26"/>
      <c r="E782" s="10" t="str">
        <f ca="1">IFERROR(__xludf.DUMMYFUNCTION("""COMPUTED_VALUE"""),"Guía Operativa")</f>
        <v>Guía Operativa</v>
      </c>
      <c r="F782" s="10" t="str">
        <f ca="1">IFERROR(__xludf.DUMMYFUNCTION("""COMPUTED_VALUE"""),"MUNICIPALIDAD DE ANTOFAGASTA")</f>
        <v>MUNICIPALIDAD DE ANTOFAGASTA</v>
      </c>
      <c r="G782" s="71">
        <f ca="1">IFERROR(__xludf.DUMMYFUNCTION("""COMPUTED_VALUE"""),106132836)</f>
        <v>106132836</v>
      </c>
      <c r="H782" s="10" t="str">
        <f ca="1">IFERROR(__xludf.DUMMYFUNCTION("""COMPUTED_VALUE"""),"Resolución")</f>
        <v>Resolución</v>
      </c>
      <c r="I782" s="10" t="str">
        <f ca="1">IFERROR(__xludf.DUMMYFUNCTION("""COMPUTED_VALUE"""),"OBRA")</f>
        <v>OBRA</v>
      </c>
      <c r="J782" s="10" t="str">
        <f ca="1">IFERROR(__xludf.DUMMYFUNCTION("""COMPUTED_VALUE"""),"Cumplir con normativa y reglamentos internos del programa en base a los objetivos.")</f>
        <v>Cumplir con normativa y reglamentos internos del programa en base a los objetivos.</v>
      </c>
      <c r="K782" s="71">
        <f ca="1">IFERROR(__xludf.DUMMYFUNCTION("""COMPUTED_VALUE"""),106132836)</f>
        <v>106132836</v>
      </c>
      <c r="L782" s="72">
        <f ca="1">IFERROR(__xludf.DUMMYFUNCTION("""COMPUTED_VALUE"""),1)</f>
        <v>1</v>
      </c>
      <c r="M782" s="10">
        <f ca="1">IFERROR(__xludf.DUMMYFUNCTION("""COMPUTED_VALUE"""),10002)</f>
        <v>10002</v>
      </c>
      <c r="N782" s="10" t="str">
        <f ca="1">IFERROR(__xludf.DUMMYFUNCTION("""COMPUTED_VALUE"""),"PMU")</f>
        <v>PMU</v>
      </c>
      <c r="O782" s="1"/>
      <c r="P782" s="1"/>
      <c r="Q782" s="1"/>
      <c r="R782" s="1"/>
      <c r="S782" s="1"/>
      <c r="T782" s="1"/>
      <c r="U782" s="1"/>
      <c r="V782" s="1"/>
      <c r="W782" s="1"/>
      <c r="X782" s="1"/>
      <c r="Y782" s="1"/>
      <c r="Z782" s="1"/>
    </row>
    <row r="783" spans="1:26" ht="12.75" customHeight="1">
      <c r="A783" s="1"/>
      <c r="B783" s="10" t="str">
        <f ca="1">IFERROR(__xludf.DUMMYFUNCTION("""COMPUTED_VALUE"""),"MEJORAMIENTO A-22 LICEO LA PORTADA")</f>
        <v>MEJORAMIENTO A-22 LICEO LA PORTADA</v>
      </c>
      <c r="C783" s="10" t="str">
        <f ca="1">IFERROR(__xludf.DUMMYFUNCTION("""COMPUTED_VALUE"""),"1-C-2022-499")</f>
        <v>1-C-2022-499</v>
      </c>
      <c r="D783" s="26"/>
      <c r="E783" s="10" t="str">
        <f ca="1">IFERROR(__xludf.DUMMYFUNCTION("""COMPUTED_VALUE"""),"Guía Operativa")</f>
        <v>Guía Operativa</v>
      </c>
      <c r="F783" s="10" t="str">
        <f ca="1">IFERROR(__xludf.DUMMYFUNCTION("""COMPUTED_VALUE"""),"MUNICIPALIDAD DE ANTOFAGASTA")</f>
        <v>MUNICIPALIDAD DE ANTOFAGASTA</v>
      </c>
      <c r="G783" s="71">
        <f ca="1">IFERROR(__xludf.DUMMYFUNCTION("""COMPUTED_VALUE"""),75112195)</f>
        <v>75112195</v>
      </c>
      <c r="H783" s="10" t="str">
        <f ca="1">IFERROR(__xludf.DUMMYFUNCTION("""COMPUTED_VALUE"""),"Resolución")</f>
        <v>Resolución</v>
      </c>
      <c r="I783" s="10" t="str">
        <f ca="1">IFERROR(__xludf.DUMMYFUNCTION("""COMPUTED_VALUE"""),"OBRA")</f>
        <v>OBRA</v>
      </c>
      <c r="J783" s="10" t="str">
        <f ca="1">IFERROR(__xludf.DUMMYFUNCTION("""COMPUTED_VALUE"""),"Cumplir con normativa y reglamentos internos del programa en base a los objetivos.")</f>
        <v>Cumplir con normativa y reglamentos internos del programa en base a los objetivos.</v>
      </c>
      <c r="K783" s="71">
        <f ca="1">IFERROR(__xludf.DUMMYFUNCTION("""COMPUTED_VALUE"""),75112195)</f>
        <v>75112195</v>
      </c>
      <c r="L783" s="72">
        <f ca="1">IFERROR(__xludf.DUMMYFUNCTION("""COMPUTED_VALUE"""),1)</f>
        <v>1</v>
      </c>
      <c r="M783" s="10">
        <f ca="1">IFERROR(__xludf.DUMMYFUNCTION("""COMPUTED_VALUE"""),10002)</f>
        <v>10002</v>
      </c>
      <c r="N783" s="10" t="str">
        <f ca="1">IFERROR(__xludf.DUMMYFUNCTION("""COMPUTED_VALUE"""),"PMU")</f>
        <v>PMU</v>
      </c>
      <c r="O783" s="1"/>
      <c r="P783" s="1"/>
      <c r="Q783" s="1"/>
      <c r="R783" s="1"/>
      <c r="S783" s="1"/>
      <c r="T783" s="1"/>
      <c r="U783" s="1"/>
      <c r="V783" s="1"/>
      <c r="W783" s="1"/>
      <c r="X783" s="1"/>
      <c r="Y783" s="1"/>
      <c r="Z783" s="1"/>
    </row>
    <row r="784" spans="1:26" ht="12.75" customHeight="1">
      <c r="A784" s="1"/>
      <c r="B784" s="10" t="str">
        <f ca="1">IFERROR(__xludf.DUMMYFUNCTION("""COMPUTED_VALUE"""),"HABILITACIÓN ZONA DE JUEGOS Y BARANDAS DE SEGURIDAD PLAZOLETA PARAGUAY,ANTOFAGASTA- CALLE SIN VIOLENCIA")</f>
        <v>HABILITACIÓN ZONA DE JUEGOS Y BARANDAS DE SEGURIDAD PLAZOLETA PARAGUAY,ANTOFAGASTA- CALLE SIN VIOLENCIA</v>
      </c>
      <c r="C784" s="10" t="str">
        <f ca="1">IFERROR(__xludf.DUMMYFUNCTION("""COMPUTED_VALUE"""),"1-C-2023-2469")</f>
        <v>1-C-2023-2469</v>
      </c>
      <c r="D784" s="26"/>
      <c r="E784" s="10" t="str">
        <f ca="1">IFERROR(__xludf.DUMMYFUNCTION("""COMPUTED_VALUE"""),"Guía Operativa")</f>
        <v>Guía Operativa</v>
      </c>
      <c r="F784" s="10" t="str">
        <f ca="1">IFERROR(__xludf.DUMMYFUNCTION("""COMPUTED_VALUE"""),"MUNICIPALIDAD DE ANTOFAGASTA")</f>
        <v>MUNICIPALIDAD DE ANTOFAGASTA</v>
      </c>
      <c r="G784" s="71">
        <f ca="1">IFERROR(__xludf.DUMMYFUNCTION("""COMPUTED_VALUE"""),137118504)</f>
        <v>137118504</v>
      </c>
      <c r="H784" s="10" t="str">
        <f ca="1">IFERROR(__xludf.DUMMYFUNCTION("""COMPUTED_VALUE"""),"Resolución")</f>
        <v>Resolución</v>
      </c>
      <c r="I784" s="10" t="str">
        <f ca="1">IFERROR(__xludf.DUMMYFUNCTION("""COMPUTED_VALUE"""),"OBRA")</f>
        <v>OBRA</v>
      </c>
      <c r="J784" s="10" t="str">
        <f ca="1">IFERROR(__xludf.DUMMYFUNCTION("""COMPUTED_VALUE"""),"Cumplir con normativa y reglamentos internos del programa en base a los objetivos.")</f>
        <v>Cumplir con normativa y reglamentos internos del programa en base a los objetivos.</v>
      </c>
      <c r="K784" s="71">
        <f ca="1">IFERROR(__xludf.DUMMYFUNCTION("""COMPUTED_VALUE"""),68559252)</f>
        <v>68559252</v>
      </c>
      <c r="L784" s="72">
        <f ca="1">IFERROR(__xludf.DUMMYFUNCTION("""COMPUTED_VALUE"""),0.5)</f>
        <v>0.5</v>
      </c>
      <c r="M784" s="10">
        <f ca="1">IFERROR(__xludf.DUMMYFUNCTION("""COMPUTED_VALUE"""),10037)</f>
        <v>10037</v>
      </c>
      <c r="N784" s="10" t="str">
        <f ca="1">IFERROR(__xludf.DUMMYFUNCTION("""COMPUTED_VALUE"""),"PMU")</f>
        <v>PMU</v>
      </c>
      <c r="O784" s="1"/>
      <c r="P784" s="1"/>
      <c r="Q784" s="1"/>
      <c r="R784" s="1"/>
      <c r="S784" s="1"/>
      <c r="T784" s="1"/>
      <c r="U784" s="1"/>
      <c r="V784" s="1"/>
      <c r="W784" s="1"/>
      <c r="X784" s="1"/>
      <c r="Y784" s="1"/>
      <c r="Z784" s="1"/>
    </row>
    <row r="785" spans="1:26" ht="12.75" customHeight="1">
      <c r="A785" s="1"/>
      <c r="B785" s="10" t="str">
        <f ca="1">IFERROR(__xludf.DUMMYFUNCTION("""COMPUTED_VALUE"""),"MEJORAMIENTO MULTICANCHA TIRO AL BLANCO, COMUNA DE TALTAL")</f>
        <v>MEJORAMIENTO MULTICANCHA TIRO AL BLANCO, COMUNA DE TALTAL</v>
      </c>
      <c r="C785" s="10" t="str">
        <f ca="1">IFERROR(__xludf.DUMMYFUNCTION("""COMPUTED_VALUE"""),"1-B-2024-400")</f>
        <v>1-B-2024-400</v>
      </c>
      <c r="D785" s="26"/>
      <c r="E785" s="10" t="str">
        <f ca="1">IFERROR(__xludf.DUMMYFUNCTION("""COMPUTED_VALUE"""),"Guía Operativa")</f>
        <v>Guía Operativa</v>
      </c>
      <c r="F785" s="10" t="str">
        <f ca="1">IFERROR(__xludf.DUMMYFUNCTION("""COMPUTED_VALUE"""),"MUNICIPALIDAD DE TALTAL")</f>
        <v>MUNICIPALIDAD DE TALTAL</v>
      </c>
      <c r="G785" s="71">
        <f ca="1">IFERROR(__xludf.DUMMYFUNCTION("""COMPUTED_VALUE"""),154665000)</f>
        <v>154665000</v>
      </c>
      <c r="H785" s="10" t="str">
        <f ca="1">IFERROR(__xludf.DUMMYFUNCTION("""COMPUTED_VALUE"""),"Resolución")</f>
        <v>Resolución</v>
      </c>
      <c r="I785" s="10" t="str">
        <f ca="1">IFERROR(__xludf.DUMMYFUNCTION("""COMPUTED_VALUE"""),"OBRA")</f>
        <v>OBRA</v>
      </c>
      <c r="J785" s="10" t="str">
        <f ca="1">IFERROR(__xludf.DUMMYFUNCTION("""COMPUTED_VALUE"""),"Cumplir con normativa y reglamentos internos del programa en base a los objetivos.")</f>
        <v>Cumplir con normativa y reglamentos internos del programa en base a los objetivos.</v>
      </c>
      <c r="K785" s="71">
        <f ca="1">IFERROR(__xludf.DUMMYFUNCTION("""COMPUTED_VALUE"""),154665000)</f>
        <v>154665000</v>
      </c>
      <c r="L785" s="72">
        <f ca="1">IFERROR(__xludf.DUMMYFUNCTION("""COMPUTED_VALUE"""),1)</f>
        <v>1</v>
      </c>
      <c r="M785" s="10">
        <f ca="1">IFERROR(__xludf.DUMMYFUNCTION("""COMPUTED_VALUE"""),10413)</f>
        <v>10413</v>
      </c>
      <c r="N785" s="10" t="str">
        <f ca="1">IFERROR(__xludf.DUMMYFUNCTION("""COMPUTED_VALUE"""),"PMU")</f>
        <v>PMU</v>
      </c>
      <c r="O785" s="1"/>
      <c r="P785" s="1"/>
      <c r="Q785" s="1"/>
      <c r="R785" s="1"/>
      <c r="S785" s="1"/>
      <c r="T785" s="1"/>
      <c r="U785" s="1"/>
      <c r="V785" s="1"/>
      <c r="W785" s="1"/>
      <c r="X785" s="1"/>
      <c r="Y785" s="1"/>
      <c r="Z785" s="1"/>
    </row>
    <row r="786" spans="1:26" ht="12.75" customHeight="1">
      <c r="A786" s="1"/>
      <c r="B786" s="10" t="str">
        <f ca="1">IFERROR(__xludf.DUMMYFUNCTION("""COMPUTED_VALUE"""),"CONSTRUCCION PORTALES FOTOGRAFICOS , COMUNA DE MEJILLONES")</f>
        <v>CONSTRUCCION PORTALES FOTOGRAFICOS , COMUNA DE MEJILLONES</v>
      </c>
      <c r="C786" s="10" t="str">
        <f ca="1">IFERROR(__xludf.DUMMYFUNCTION("""COMPUTED_VALUE"""),"1-B-2024-478")</f>
        <v>1-B-2024-478</v>
      </c>
      <c r="D786" s="26"/>
      <c r="E786" s="10" t="str">
        <f ca="1">IFERROR(__xludf.DUMMYFUNCTION("""COMPUTED_VALUE"""),"Guía Operativa")</f>
        <v>Guía Operativa</v>
      </c>
      <c r="F786" s="10" t="str">
        <f ca="1">IFERROR(__xludf.DUMMYFUNCTION("""COMPUTED_VALUE"""),"MUNICIPALIDAD DE MEJILLONES")</f>
        <v>MUNICIPALIDAD DE MEJILLONES</v>
      </c>
      <c r="G786" s="71">
        <f ca="1">IFERROR(__xludf.DUMMYFUNCTION("""COMPUTED_VALUE"""),10999998)</f>
        <v>10999998</v>
      </c>
      <c r="H786" s="10" t="str">
        <f ca="1">IFERROR(__xludf.DUMMYFUNCTION("""COMPUTED_VALUE"""),"Resolución")</f>
        <v>Resolución</v>
      </c>
      <c r="I786" s="10" t="str">
        <f ca="1">IFERROR(__xludf.DUMMYFUNCTION("""COMPUTED_VALUE"""),"OBRA")</f>
        <v>OBRA</v>
      </c>
      <c r="J786" s="10" t="str">
        <f ca="1">IFERROR(__xludf.DUMMYFUNCTION("""COMPUTED_VALUE"""),"Cumplir con normativa y reglamentos internos del programa en base a los objetivos.")</f>
        <v>Cumplir con normativa y reglamentos internos del programa en base a los objetivos.</v>
      </c>
      <c r="K786" s="71">
        <f ca="1">IFERROR(__xludf.DUMMYFUNCTION("""COMPUTED_VALUE"""),10999998)</f>
        <v>10999998</v>
      </c>
      <c r="L786" s="72">
        <f ca="1">IFERROR(__xludf.DUMMYFUNCTION("""COMPUTED_VALUE"""),1)</f>
        <v>1</v>
      </c>
      <c r="M786" s="10">
        <f ca="1">IFERROR(__xludf.DUMMYFUNCTION("""COMPUTED_VALUE"""),10329)</f>
        <v>10329</v>
      </c>
      <c r="N786" s="10" t="str">
        <f ca="1">IFERROR(__xludf.DUMMYFUNCTION("""COMPUTED_VALUE"""),"PMU")</f>
        <v>PMU</v>
      </c>
      <c r="O786" s="1"/>
      <c r="P786" s="1"/>
      <c r="Q786" s="1"/>
      <c r="R786" s="1"/>
      <c r="S786" s="1"/>
      <c r="T786" s="1"/>
      <c r="U786" s="1"/>
      <c r="V786" s="1"/>
      <c r="W786" s="1"/>
      <c r="X786" s="1"/>
      <c r="Y786" s="1"/>
      <c r="Z786" s="1"/>
    </row>
    <row r="787" spans="1:26" ht="12.75" customHeight="1">
      <c r="A787" s="1"/>
      <c r="B787" s="10" t="str">
        <f ca="1">IFERROR(__xludf.DUMMYFUNCTION("""COMPUTED_VALUE"""),"CONSTRUCCIÓN PARQUE DE STREET WORKOUT Y CALISTENIA / SECTOR AEROPUERTO, CHAÑARAL")</f>
        <v>CONSTRUCCIÓN PARQUE DE STREET WORKOUT Y CALISTENIA / SECTOR AEROPUERTO, CHAÑARAL</v>
      </c>
      <c r="C787" s="10" t="str">
        <f ca="1">IFERROR(__xludf.DUMMYFUNCTION("""COMPUTED_VALUE"""),"1-C-2023-1883")</f>
        <v>1-C-2023-1883</v>
      </c>
      <c r="D787" s="26"/>
      <c r="E787" s="10" t="str">
        <f ca="1">IFERROR(__xludf.DUMMYFUNCTION("""COMPUTED_VALUE"""),"Guía Operativa")</f>
        <v>Guía Operativa</v>
      </c>
      <c r="F787" s="10" t="str">
        <f ca="1">IFERROR(__xludf.DUMMYFUNCTION("""COMPUTED_VALUE"""),"MUNICIPALIDAD DE CHAÑARAL")</f>
        <v>MUNICIPALIDAD DE CHAÑARAL</v>
      </c>
      <c r="G787" s="71">
        <f ca="1">IFERROR(__xludf.DUMMYFUNCTION("""COMPUTED_VALUE"""),135272243)</f>
        <v>135272243</v>
      </c>
      <c r="H787" s="10" t="str">
        <f ca="1">IFERROR(__xludf.DUMMYFUNCTION("""COMPUTED_VALUE"""),"Resolución")</f>
        <v>Resolución</v>
      </c>
      <c r="I787" s="10" t="str">
        <f ca="1">IFERROR(__xludf.DUMMYFUNCTION("""COMPUTED_VALUE"""),"OBRA")</f>
        <v>OBRA</v>
      </c>
      <c r="J787" s="10" t="str">
        <f ca="1">IFERROR(__xludf.DUMMYFUNCTION("""COMPUTED_VALUE"""),"Cumplir con normativa y reglamentos internos del programa en base a los objetivos.")</f>
        <v>Cumplir con normativa y reglamentos internos del programa en base a los objetivos.</v>
      </c>
      <c r="K787" s="71">
        <f ca="1">IFERROR(__xludf.DUMMYFUNCTION("""COMPUTED_VALUE"""),67636122)</f>
        <v>67636122</v>
      </c>
      <c r="L787" s="72">
        <f ca="1">IFERROR(__xludf.DUMMYFUNCTION("""COMPUTED_VALUE"""),0.500000003696249)</f>
        <v>0.50000000369624897</v>
      </c>
      <c r="M787" s="10">
        <f ca="1">IFERROR(__xludf.DUMMYFUNCTION("""COMPUTED_VALUE"""),10408)</f>
        <v>10408</v>
      </c>
      <c r="N787" s="10" t="str">
        <f ca="1">IFERROR(__xludf.DUMMYFUNCTION("""COMPUTED_VALUE"""),"PMU")</f>
        <v>PMU</v>
      </c>
      <c r="O787" s="1"/>
      <c r="P787" s="1"/>
      <c r="Q787" s="1"/>
      <c r="R787" s="1"/>
      <c r="S787" s="1"/>
      <c r="T787" s="1"/>
      <c r="U787" s="1"/>
      <c r="V787" s="1"/>
      <c r="W787" s="1"/>
      <c r="X787" s="1"/>
      <c r="Y787" s="1"/>
      <c r="Z787" s="1"/>
    </row>
    <row r="788" spans="1:26" ht="12.75" customHeight="1">
      <c r="A788" s="1"/>
      <c r="B788" s="10" t="str">
        <f ca="1">IFERROR(__xludf.DUMMYFUNCTION("""COMPUTED_VALUE"""),"MEJORAMIENTO MULTICANCHA POBLACION OHIGGINS")</f>
        <v>MEJORAMIENTO MULTICANCHA POBLACION OHIGGINS</v>
      </c>
      <c r="C788" s="10" t="str">
        <f ca="1">IFERROR(__xludf.DUMMYFUNCTION("""COMPUTED_VALUE"""),"1-C-2023-3195")</f>
        <v>1-C-2023-3195</v>
      </c>
      <c r="D788" s="26"/>
      <c r="E788" s="10" t="str">
        <f ca="1">IFERROR(__xludf.DUMMYFUNCTION("""COMPUTED_VALUE"""),"Guía Operativa")</f>
        <v>Guía Operativa</v>
      </c>
      <c r="F788" s="10" t="str">
        <f ca="1">IFERROR(__xludf.DUMMYFUNCTION("""COMPUTED_VALUE"""),"MUNICIPALIDAD DE HUASCO")</f>
        <v>MUNICIPALIDAD DE HUASCO</v>
      </c>
      <c r="G788" s="71">
        <f ca="1">IFERROR(__xludf.DUMMYFUNCTION("""COMPUTED_VALUE"""),134809067)</f>
        <v>134809067</v>
      </c>
      <c r="H788" s="10" t="str">
        <f ca="1">IFERROR(__xludf.DUMMYFUNCTION("""COMPUTED_VALUE"""),"Resolución")</f>
        <v>Resolución</v>
      </c>
      <c r="I788" s="10" t="str">
        <f ca="1">IFERROR(__xludf.DUMMYFUNCTION("""COMPUTED_VALUE"""),"OBRA")</f>
        <v>OBRA</v>
      </c>
      <c r="J788" s="10" t="str">
        <f ca="1">IFERROR(__xludf.DUMMYFUNCTION("""COMPUTED_VALUE"""),"Cumplir con normativa y reglamentos internos del programa en base a los objetivos.")</f>
        <v>Cumplir con normativa y reglamentos internos del programa en base a los objetivos.</v>
      </c>
      <c r="K788" s="71">
        <f ca="1">IFERROR(__xludf.DUMMYFUNCTION("""COMPUTED_VALUE"""),67404534)</f>
        <v>67404534</v>
      </c>
      <c r="L788" s="72">
        <f ca="1">IFERROR(__xludf.DUMMYFUNCTION("""COMPUTED_VALUE"""),0.500000003708949)</f>
        <v>0.50000000370894904</v>
      </c>
      <c r="M788" s="10">
        <f ca="1">IFERROR(__xludf.DUMMYFUNCTION("""COMPUTED_VALUE"""),10392)</f>
        <v>10392</v>
      </c>
      <c r="N788" s="10" t="str">
        <f ca="1">IFERROR(__xludf.DUMMYFUNCTION("""COMPUTED_VALUE"""),"PMU")</f>
        <v>PMU</v>
      </c>
      <c r="O788" s="1"/>
      <c r="P788" s="1"/>
      <c r="Q788" s="1"/>
      <c r="R788" s="1"/>
      <c r="S788" s="1"/>
      <c r="T788" s="1"/>
      <c r="U788" s="1"/>
      <c r="V788" s="1"/>
      <c r="W788" s="1"/>
      <c r="X788" s="1"/>
      <c r="Y788" s="1"/>
      <c r="Z788" s="1"/>
    </row>
    <row r="789" spans="1:26" ht="12.75" customHeight="1">
      <c r="A789" s="1"/>
      <c r="B789" s="10" t="str">
        <f ca="1">IFERROR(__xludf.DUMMYFUNCTION("""COMPUTED_VALUE"""),"CONSTRUCCION ACCESIBILIDAD UNIVERSAL CALLE MARAÑON, VALLENAR")</f>
        <v>CONSTRUCCION ACCESIBILIDAD UNIVERSAL CALLE MARAÑON, VALLENAR</v>
      </c>
      <c r="C789" s="10" t="str">
        <f ca="1">IFERROR(__xludf.DUMMYFUNCTION("""COMPUTED_VALUE"""),"1-B-2024-480")</f>
        <v>1-B-2024-480</v>
      </c>
      <c r="D789" s="26"/>
      <c r="E789" s="10" t="str">
        <f ca="1">IFERROR(__xludf.DUMMYFUNCTION("""COMPUTED_VALUE"""),"Guía Operativa")</f>
        <v>Guía Operativa</v>
      </c>
      <c r="F789" s="10" t="str">
        <f ca="1">IFERROR(__xludf.DUMMYFUNCTION("""COMPUTED_VALUE"""),"MUNICIPALIDAD DE VALLENAR")</f>
        <v>MUNICIPALIDAD DE VALLENAR</v>
      </c>
      <c r="G789" s="71">
        <f ca="1">IFERROR(__xludf.DUMMYFUNCTION("""COMPUTED_VALUE"""),97052320)</f>
        <v>97052320</v>
      </c>
      <c r="H789" s="10" t="str">
        <f ca="1">IFERROR(__xludf.DUMMYFUNCTION("""COMPUTED_VALUE"""),"Resolución")</f>
        <v>Resolución</v>
      </c>
      <c r="I789" s="10" t="str">
        <f ca="1">IFERROR(__xludf.DUMMYFUNCTION("""COMPUTED_VALUE"""),"OBRA")</f>
        <v>OBRA</v>
      </c>
      <c r="J789" s="10" t="str">
        <f ca="1">IFERROR(__xludf.DUMMYFUNCTION("""COMPUTED_VALUE"""),"Cumplir con normativa y reglamentos internos del programa en base a los objetivos.")</f>
        <v>Cumplir con normativa y reglamentos internos del programa en base a los objetivos.</v>
      </c>
      <c r="K789" s="71">
        <f ca="1">IFERROR(__xludf.DUMMYFUNCTION("""COMPUTED_VALUE"""),97052320)</f>
        <v>97052320</v>
      </c>
      <c r="L789" s="72">
        <f ca="1">IFERROR(__xludf.DUMMYFUNCTION("""COMPUTED_VALUE"""),1)</f>
        <v>1</v>
      </c>
      <c r="M789" s="10">
        <f ca="1">IFERROR(__xludf.DUMMYFUNCTION("""COMPUTED_VALUE"""),10342)</f>
        <v>10342</v>
      </c>
      <c r="N789" s="10" t="str">
        <f ca="1">IFERROR(__xludf.DUMMYFUNCTION("""COMPUTED_VALUE"""),"PMU")</f>
        <v>PMU</v>
      </c>
      <c r="O789" s="1"/>
      <c r="P789" s="1"/>
      <c r="Q789" s="1"/>
      <c r="R789" s="1"/>
      <c r="S789" s="1"/>
      <c r="T789" s="1"/>
      <c r="U789" s="1"/>
      <c r="V789" s="1"/>
      <c r="W789" s="1"/>
      <c r="X789" s="1"/>
      <c r="Y789" s="1"/>
      <c r="Z789" s="1"/>
    </row>
    <row r="790" spans="1:26" ht="12.75" customHeight="1">
      <c r="A790" s="1"/>
      <c r="B790" s="10" t="str">
        <f ca="1">IFERROR(__xludf.DUMMYFUNCTION("""COMPUTED_VALUE"""),"MEJORAMIENTO CENTRO HISTÓRICO DE PICHASCA")</f>
        <v>MEJORAMIENTO CENTRO HISTÓRICO DE PICHASCA</v>
      </c>
      <c r="C790" s="10" t="str">
        <f ca="1">IFERROR(__xludf.DUMMYFUNCTION("""COMPUTED_VALUE"""),"1-C-2023-2850")</f>
        <v>1-C-2023-2850</v>
      </c>
      <c r="D790" s="26"/>
      <c r="E790" s="10" t="str">
        <f ca="1">IFERROR(__xludf.DUMMYFUNCTION("""COMPUTED_VALUE"""),"Guía Operativa")</f>
        <v>Guía Operativa</v>
      </c>
      <c r="F790" s="10" t="str">
        <f ca="1">IFERROR(__xludf.DUMMYFUNCTION("""COMPUTED_VALUE"""),"MUNICIPALIDAD DE RÍO HURTADO")</f>
        <v>MUNICIPALIDAD DE RÍO HURTADO</v>
      </c>
      <c r="G790" s="71">
        <f ca="1">IFERROR(__xludf.DUMMYFUNCTION("""COMPUTED_VALUE"""),161660730)</f>
        <v>161660730</v>
      </c>
      <c r="H790" s="10" t="str">
        <f ca="1">IFERROR(__xludf.DUMMYFUNCTION("""COMPUTED_VALUE"""),"Resolución")</f>
        <v>Resolución</v>
      </c>
      <c r="I790" s="10" t="str">
        <f ca="1">IFERROR(__xludf.DUMMYFUNCTION("""COMPUTED_VALUE"""),"OBRA")</f>
        <v>OBRA</v>
      </c>
      <c r="J790" s="10" t="str">
        <f ca="1">IFERROR(__xludf.DUMMYFUNCTION("""COMPUTED_VALUE"""),"Cumplir con normativa y reglamentos internos del programa en base a los objetivos.")</f>
        <v>Cumplir con normativa y reglamentos internos del programa en base a los objetivos.</v>
      </c>
      <c r="K790" s="71">
        <f ca="1">IFERROR(__xludf.DUMMYFUNCTION("""COMPUTED_VALUE"""),80830365)</f>
        <v>80830365</v>
      </c>
      <c r="L790" s="72">
        <f ca="1">IFERROR(__xludf.DUMMYFUNCTION("""COMPUTED_VALUE"""),0.5)</f>
        <v>0.5</v>
      </c>
      <c r="M790" s="10">
        <f ca="1">IFERROR(__xludf.DUMMYFUNCTION("""COMPUTED_VALUE"""),10381)</f>
        <v>10381</v>
      </c>
      <c r="N790" s="10" t="str">
        <f ca="1">IFERROR(__xludf.DUMMYFUNCTION("""COMPUTED_VALUE"""),"PMU")</f>
        <v>PMU</v>
      </c>
      <c r="O790" s="1"/>
      <c r="P790" s="1"/>
      <c r="Q790" s="1"/>
      <c r="R790" s="1"/>
      <c r="S790" s="1"/>
      <c r="T790" s="1"/>
      <c r="U790" s="1"/>
      <c r="V790" s="1"/>
      <c r="W790" s="1"/>
      <c r="X790" s="1"/>
      <c r="Y790" s="1"/>
      <c r="Z790" s="1"/>
    </row>
    <row r="791" spans="1:26" ht="12.75" customHeight="1">
      <c r="A791" s="1"/>
      <c r="B791" s="10" t="str">
        <f ca="1">IFERROR(__xludf.DUMMYFUNCTION("""COMPUTED_VALUE"""),"MEJORAMIENTO ESPACIO DEPORTIVO Y SEDE PUNTA DE LOBOS I")</f>
        <v>MEJORAMIENTO ESPACIO DEPORTIVO Y SEDE PUNTA DE LOBOS I</v>
      </c>
      <c r="C791" s="10" t="str">
        <f ca="1">IFERROR(__xludf.DUMMYFUNCTION("""COMPUTED_VALUE"""),"1-B-2024-115")</f>
        <v>1-B-2024-115</v>
      </c>
      <c r="D791" s="26"/>
      <c r="E791" s="10" t="str">
        <f ca="1">IFERROR(__xludf.DUMMYFUNCTION("""COMPUTED_VALUE"""),"Guía Operativa")</f>
        <v>Guía Operativa</v>
      </c>
      <c r="F791" s="10" t="str">
        <f ca="1">IFERROR(__xludf.DUMMYFUNCTION("""COMPUTED_VALUE"""),"MUNICIPALIDAD DE LOS VILOS")</f>
        <v>MUNICIPALIDAD DE LOS VILOS</v>
      </c>
      <c r="G791" s="71">
        <f ca="1">IFERROR(__xludf.DUMMYFUNCTION("""COMPUTED_VALUE"""),124436800)</f>
        <v>124436800</v>
      </c>
      <c r="H791" s="10" t="str">
        <f ca="1">IFERROR(__xludf.DUMMYFUNCTION("""COMPUTED_VALUE"""),"Resolución")</f>
        <v>Resolución</v>
      </c>
      <c r="I791" s="10" t="str">
        <f ca="1">IFERROR(__xludf.DUMMYFUNCTION("""COMPUTED_VALUE"""),"OBRA")</f>
        <v>OBRA</v>
      </c>
      <c r="J791" s="10" t="str">
        <f ca="1">IFERROR(__xludf.DUMMYFUNCTION("""COMPUTED_VALUE"""),"Cumplir con normativa y reglamentos internos del programa en base a los objetivos.")</f>
        <v>Cumplir con normativa y reglamentos internos del programa en base a los objetivos.</v>
      </c>
      <c r="K791" s="71">
        <f ca="1">IFERROR(__xludf.DUMMYFUNCTION("""COMPUTED_VALUE"""),124436800)</f>
        <v>124436800</v>
      </c>
      <c r="L791" s="72">
        <f ca="1">IFERROR(__xludf.DUMMYFUNCTION("""COMPUTED_VALUE"""),1)</f>
        <v>1</v>
      </c>
      <c r="M791" s="10">
        <f ca="1">IFERROR(__xludf.DUMMYFUNCTION("""COMPUTED_VALUE"""),10376)</f>
        <v>10376</v>
      </c>
      <c r="N791" s="10" t="str">
        <f ca="1">IFERROR(__xludf.DUMMYFUNCTION("""COMPUTED_VALUE"""),"PMU")</f>
        <v>PMU</v>
      </c>
      <c r="O791" s="1"/>
      <c r="P791" s="1"/>
      <c r="Q791" s="1"/>
      <c r="R791" s="1"/>
      <c r="S791" s="1"/>
      <c r="T791" s="1"/>
      <c r="U791" s="1"/>
      <c r="V791" s="1"/>
      <c r="W791" s="1"/>
      <c r="X791" s="1"/>
      <c r="Y791" s="1"/>
      <c r="Z791" s="1"/>
    </row>
    <row r="792" spans="1:26" ht="12.75" customHeight="1">
      <c r="A792" s="1"/>
      <c r="B792" s="10" t="str">
        <f ca="1">IFERROR(__xludf.DUMMYFUNCTION("""COMPUTED_VALUE"""),"SPD MEJORAMIENTO INTEGRAL PLAZA DEL ENCUENTRO CRUCINO")</f>
        <v>SPD MEJORAMIENTO INTEGRAL PLAZA DEL ENCUENTRO CRUCINO</v>
      </c>
      <c r="C792" s="10" t="str">
        <f ca="1">IFERROR(__xludf.DUMMYFUNCTION("""COMPUTED_VALUE"""),"1-SPD-2022-531")</f>
        <v>1-SPD-2022-531</v>
      </c>
      <c r="D792" s="26"/>
      <c r="E792" s="10" t="str">
        <f ca="1">IFERROR(__xludf.DUMMYFUNCTION("""COMPUTED_VALUE"""),"Guía Operativa")</f>
        <v>Guía Operativa</v>
      </c>
      <c r="F792" s="10" t="str">
        <f ca="1">IFERROR(__xludf.DUMMYFUNCTION("""COMPUTED_VALUE"""),"MUNICIPALIDAD DE LA CRUZ")</f>
        <v>MUNICIPALIDAD DE LA CRUZ</v>
      </c>
      <c r="G792" s="71">
        <f ca="1">IFERROR(__xludf.DUMMYFUNCTION("""COMPUTED_VALUE"""),74600076)</f>
        <v>74600076</v>
      </c>
      <c r="H792" s="10" t="str">
        <f ca="1">IFERROR(__xludf.DUMMYFUNCTION("""COMPUTED_VALUE"""),"Resolución")</f>
        <v>Resolución</v>
      </c>
      <c r="I792" s="10" t="str">
        <f ca="1">IFERROR(__xludf.DUMMYFUNCTION("""COMPUTED_VALUE"""),"OBRA")</f>
        <v>OBRA</v>
      </c>
      <c r="J792" s="10" t="str">
        <f ca="1">IFERROR(__xludf.DUMMYFUNCTION("""COMPUTED_VALUE"""),"Cumplir con normativa y reglamentos internos del programa en base a los objetivos.")</f>
        <v>Cumplir con normativa y reglamentos internos del programa en base a los objetivos.</v>
      </c>
      <c r="K792" s="71">
        <f ca="1">IFERROR(__xludf.DUMMYFUNCTION("""COMPUTED_VALUE"""),74600076)</f>
        <v>74600076</v>
      </c>
      <c r="L792" s="72">
        <f ca="1">IFERROR(__xludf.DUMMYFUNCTION("""COMPUTED_VALUE"""),1)</f>
        <v>1</v>
      </c>
      <c r="M792" s="10">
        <f ca="1">IFERROR(__xludf.DUMMYFUNCTION("""COMPUTED_VALUE"""),10036)</f>
        <v>10036</v>
      </c>
      <c r="N792" s="10" t="str">
        <f ca="1">IFERROR(__xludf.DUMMYFUNCTION("""COMPUTED_VALUE"""),"PMU")</f>
        <v>PMU</v>
      </c>
      <c r="O792" s="1"/>
      <c r="P792" s="1"/>
      <c r="Q792" s="1"/>
      <c r="R792" s="1"/>
      <c r="S792" s="1"/>
      <c r="T792" s="1"/>
      <c r="U792" s="1"/>
      <c r="V792" s="1"/>
      <c r="W792" s="1"/>
      <c r="X792" s="1"/>
      <c r="Y792" s="1"/>
      <c r="Z792" s="1"/>
    </row>
    <row r="793" spans="1:26" ht="12.75" customHeight="1">
      <c r="A793" s="1"/>
      <c r="B793" s="10" t="str">
        <f ca="1">IFERROR(__xludf.DUMMYFUNCTION("""COMPUTED_VALUE"""),"HABILITACION SEDE TALLER FEMENINO ANGEL CUSTODIO, COMUNA DE SAN FELIPE")</f>
        <v>HABILITACION SEDE TALLER FEMENINO ANGEL CUSTODIO, COMUNA DE SAN FELIPE</v>
      </c>
      <c r="C793" s="10" t="str">
        <f ca="1">IFERROR(__xludf.DUMMYFUNCTION("""COMPUTED_VALUE"""),"1-C-2023-877")</f>
        <v>1-C-2023-877</v>
      </c>
      <c r="D793" s="26"/>
      <c r="E793" s="10" t="str">
        <f ca="1">IFERROR(__xludf.DUMMYFUNCTION("""COMPUTED_VALUE"""),"Guía Operativa")</f>
        <v>Guía Operativa</v>
      </c>
      <c r="F793" s="10" t="str">
        <f ca="1">IFERROR(__xludf.DUMMYFUNCTION("""COMPUTED_VALUE"""),"MUNICIPALIDAD DE SAN FELIPE")</f>
        <v>MUNICIPALIDAD DE SAN FELIPE</v>
      </c>
      <c r="G793" s="71">
        <f ca="1">IFERROR(__xludf.DUMMYFUNCTION("""COMPUTED_VALUE"""),60555222)</f>
        <v>60555222</v>
      </c>
      <c r="H793" s="10" t="str">
        <f ca="1">IFERROR(__xludf.DUMMYFUNCTION("""COMPUTED_VALUE"""),"Resolución")</f>
        <v>Resolución</v>
      </c>
      <c r="I793" s="10" t="str">
        <f ca="1">IFERROR(__xludf.DUMMYFUNCTION("""COMPUTED_VALUE"""),"OBRA")</f>
        <v>OBRA</v>
      </c>
      <c r="J793" s="10" t="str">
        <f ca="1">IFERROR(__xludf.DUMMYFUNCTION("""COMPUTED_VALUE"""),"Cumplir con normativa y reglamentos internos del programa en base a los objetivos.")</f>
        <v>Cumplir con normativa y reglamentos internos del programa en base a los objetivos.</v>
      </c>
      <c r="K793" s="71">
        <f ca="1">IFERROR(__xludf.DUMMYFUNCTION("""COMPUTED_VALUE"""),30277611)</f>
        <v>30277611</v>
      </c>
      <c r="L793" s="72">
        <f ca="1">IFERROR(__xludf.DUMMYFUNCTION("""COMPUTED_VALUE"""),0.5)</f>
        <v>0.5</v>
      </c>
      <c r="M793" s="10">
        <f ca="1">IFERROR(__xludf.DUMMYFUNCTION("""COMPUTED_VALUE"""),10007)</f>
        <v>10007</v>
      </c>
      <c r="N793" s="10" t="str">
        <f ca="1">IFERROR(__xludf.DUMMYFUNCTION("""COMPUTED_VALUE"""),"PMU")</f>
        <v>PMU</v>
      </c>
      <c r="O793" s="1"/>
      <c r="P793" s="1"/>
      <c r="Q793" s="1"/>
      <c r="R793" s="1"/>
      <c r="S793" s="1"/>
      <c r="T793" s="1"/>
      <c r="U793" s="1"/>
      <c r="V793" s="1"/>
      <c r="W793" s="1"/>
      <c r="X793" s="1"/>
      <c r="Y793" s="1"/>
      <c r="Z793" s="1"/>
    </row>
    <row r="794" spans="1:26" ht="12.75" customHeight="1">
      <c r="A794" s="1"/>
      <c r="B794" s="10" t="str">
        <f ca="1">IFERROR(__xludf.DUMMYFUNCTION("""COMPUTED_VALUE"""),"MEJORAMIENTO CALLE PUDETO ENTRE CALLE BULNES Y CALLE CARRERA, COMUNA DE QUILLOTA")</f>
        <v>MEJORAMIENTO CALLE PUDETO ENTRE CALLE BULNES Y CALLE CARRERA, COMUNA DE QUILLOTA</v>
      </c>
      <c r="C794" s="10" t="str">
        <f ca="1">IFERROR(__xludf.DUMMYFUNCTION("""COMPUTED_VALUE"""),"1-C-2023-2369")</f>
        <v>1-C-2023-2369</v>
      </c>
      <c r="D794" s="26"/>
      <c r="E794" s="10" t="str">
        <f ca="1">IFERROR(__xludf.DUMMYFUNCTION("""COMPUTED_VALUE"""),"Guía Operativa")</f>
        <v>Guía Operativa</v>
      </c>
      <c r="F794" s="10" t="str">
        <f ca="1">IFERROR(__xludf.DUMMYFUNCTION("""COMPUTED_VALUE"""),"MUNICIPALIDAD DE QUILLOTA")</f>
        <v>MUNICIPALIDAD DE QUILLOTA</v>
      </c>
      <c r="G794" s="71">
        <f ca="1">IFERROR(__xludf.DUMMYFUNCTION("""COMPUTED_VALUE"""),94727588)</f>
        <v>94727588</v>
      </c>
      <c r="H794" s="10" t="str">
        <f ca="1">IFERROR(__xludf.DUMMYFUNCTION("""COMPUTED_VALUE"""),"Resolución")</f>
        <v>Resolución</v>
      </c>
      <c r="I794" s="10" t="str">
        <f ca="1">IFERROR(__xludf.DUMMYFUNCTION("""COMPUTED_VALUE"""),"OBRA")</f>
        <v>OBRA</v>
      </c>
      <c r="J794" s="10" t="str">
        <f ca="1">IFERROR(__xludf.DUMMYFUNCTION("""COMPUTED_VALUE"""),"Cumplir con normativa y reglamentos internos del programa en base a los objetivos.")</f>
        <v>Cumplir con normativa y reglamentos internos del programa en base a los objetivos.</v>
      </c>
      <c r="K794" s="71">
        <f ca="1">IFERROR(__xludf.DUMMYFUNCTION("""COMPUTED_VALUE"""),47363794)</f>
        <v>47363794</v>
      </c>
      <c r="L794" s="72">
        <f ca="1">IFERROR(__xludf.DUMMYFUNCTION("""COMPUTED_VALUE"""),0.5)</f>
        <v>0.5</v>
      </c>
      <c r="M794" s="10">
        <f ca="1">IFERROR(__xludf.DUMMYFUNCTION("""COMPUTED_VALUE"""),10034)</f>
        <v>10034</v>
      </c>
      <c r="N794" s="10" t="str">
        <f ca="1">IFERROR(__xludf.DUMMYFUNCTION("""COMPUTED_VALUE"""),"PMU")</f>
        <v>PMU</v>
      </c>
      <c r="O794" s="1"/>
      <c r="P794" s="1"/>
      <c r="Q794" s="1"/>
      <c r="R794" s="1"/>
      <c r="S794" s="1"/>
      <c r="T794" s="1"/>
      <c r="U794" s="1"/>
      <c r="V794" s="1"/>
      <c r="W794" s="1"/>
      <c r="X794" s="1"/>
      <c r="Y794" s="1"/>
      <c r="Z794" s="1"/>
    </row>
    <row r="795" spans="1:26" ht="12.75" customHeight="1">
      <c r="A795" s="1"/>
      <c r="B795" s="10" t="str">
        <f ca="1">IFERROR(__xludf.DUMMYFUNCTION("""COMPUTED_VALUE"""),"CONSERVACIÓN ACERAS MEMBRILLAR ENTRE CALLE MAIPU Y CHAPITO")</f>
        <v>CONSERVACIÓN ACERAS MEMBRILLAR ENTRE CALLE MAIPU Y CHAPITO</v>
      </c>
      <c r="C795" s="10" t="str">
        <f ca="1">IFERROR(__xludf.DUMMYFUNCTION("""COMPUTED_VALUE"""),"1-C-2023-3368")</f>
        <v>1-C-2023-3368</v>
      </c>
      <c r="D795" s="26"/>
      <c r="E795" s="10" t="str">
        <f ca="1">IFERROR(__xludf.DUMMYFUNCTION("""COMPUTED_VALUE"""),"Guía Operativa")</f>
        <v>Guía Operativa</v>
      </c>
      <c r="F795" s="10" t="str">
        <f ca="1">IFERROR(__xludf.DUMMYFUNCTION("""COMPUTED_VALUE"""),"MUNICIPALIDAD DE CASABLANCA")</f>
        <v>MUNICIPALIDAD DE CASABLANCA</v>
      </c>
      <c r="G795" s="71">
        <f ca="1">IFERROR(__xludf.DUMMYFUNCTION("""COMPUTED_VALUE"""),147465640)</f>
        <v>147465640</v>
      </c>
      <c r="H795" s="10" t="str">
        <f ca="1">IFERROR(__xludf.DUMMYFUNCTION("""COMPUTED_VALUE"""),"Resolución")</f>
        <v>Resolución</v>
      </c>
      <c r="I795" s="10" t="str">
        <f ca="1">IFERROR(__xludf.DUMMYFUNCTION("""COMPUTED_VALUE"""),"OBRA")</f>
        <v>OBRA</v>
      </c>
      <c r="J795" s="10" t="str">
        <f ca="1">IFERROR(__xludf.DUMMYFUNCTION("""COMPUTED_VALUE"""),"Cumplir con normativa y reglamentos internos del programa en base a los objetivos.")</f>
        <v>Cumplir con normativa y reglamentos internos del programa en base a los objetivos.</v>
      </c>
      <c r="K795" s="71">
        <f ca="1">IFERROR(__xludf.DUMMYFUNCTION("""COMPUTED_VALUE"""),73732820)</f>
        <v>73732820</v>
      </c>
      <c r="L795" s="72">
        <f ca="1">IFERROR(__xludf.DUMMYFUNCTION("""COMPUTED_VALUE"""),0.5)</f>
        <v>0.5</v>
      </c>
      <c r="M795" s="10">
        <f ca="1">IFERROR(__xludf.DUMMYFUNCTION("""COMPUTED_VALUE"""),10023)</f>
        <v>10023</v>
      </c>
      <c r="N795" s="10" t="str">
        <f ca="1">IFERROR(__xludf.DUMMYFUNCTION("""COMPUTED_VALUE"""),"PMU")</f>
        <v>PMU</v>
      </c>
      <c r="O795" s="1"/>
      <c r="P795" s="1"/>
      <c r="Q795" s="1"/>
      <c r="R795" s="1"/>
      <c r="S795" s="1"/>
      <c r="T795" s="1"/>
      <c r="U795" s="1"/>
      <c r="V795" s="1"/>
      <c r="W795" s="1"/>
      <c r="X795" s="1"/>
      <c r="Y795" s="1"/>
      <c r="Z795" s="1"/>
    </row>
    <row r="796" spans="1:26" ht="12.75" customHeight="1">
      <c r="A796" s="1"/>
      <c r="B796" s="10" t="str">
        <f ca="1">IFERROR(__xludf.DUMMYFUNCTION("""COMPUTED_VALUE"""),"REPOSICIÓN ACERA CALLE JOFRE, ENTRE AV. REPÚBLICA Y AV. INDEPENDENCIA")</f>
        <v>REPOSICIÓN ACERA CALLE JOFRE, ENTRE AV. REPÚBLICA Y AV. INDEPENDENCIA</v>
      </c>
      <c r="C796" s="10" t="str">
        <f ca="1">IFERROR(__xludf.DUMMYFUNCTION("""COMPUTED_VALUE"""),"1-B-2024-49")</f>
        <v>1-B-2024-49</v>
      </c>
      <c r="D796" s="26"/>
      <c r="E796" s="10" t="str">
        <f ca="1">IFERROR(__xludf.DUMMYFUNCTION("""COMPUTED_VALUE"""),"Guía Operativa")</f>
        <v>Guía Operativa</v>
      </c>
      <c r="F796" s="10" t="str">
        <f ca="1">IFERROR(__xludf.DUMMYFUNCTION("""COMPUTED_VALUE"""),"MUNICIPALIDAD DE LIMACHE")</f>
        <v>MUNICIPALIDAD DE LIMACHE</v>
      </c>
      <c r="G796" s="71">
        <f ca="1">IFERROR(__xludf.DUMMYFUNCTION("""COMPUTED_VALUE"""),101167202)</f>
        <v>101167202</v>
      </c>
      <c r="H796" s="10" t="str">
        <f ca="1">IFERROR(__xludf.DUMMYFUNCTION("""COMPUTED_VALUE"""),"Resolución")</f>
        <v>Resolución</v>
      </c>
      <c r="I796" s="10" t="str">
        <f ca="1">IFERROR(__xludf.DUMMYFUNCTION("""COMPUTED_VALUE"""),"OBRA")</f>
        <v>OBRA</v>
      </c>
      <c r="J796" s="10" t="str">
        <f ca="1">IFERROR(__xludf.DUMMYFUNCTION("""COMPUTED_VALUE"""),"Cumplir con normativa y reglamentos internos del programa en base a los objetivos.")</f>
        <v>Cumplir con normativa y reglamentos internos del programa en base a los objetivos.</v>
      </c>
      <c r="K796" s="71">
        <f ca="1">IFERROR(__xludf.DUMMYFUNCTION("""COMPUTED_VALUE"""),101167202)</f>
        <v>101167202</v>
      </c>
      <c r="L796" s="72">
        <f ca="1">IFERROR(__xludf.DUMMYFUNCTION("""COMPUTED_VALUE"""),1)</f>
        <v>1</v>
      </c>
      <c r="M796" s="10">
        <f ca="1">IFERROR(__xludf.DUMMYFUNCTION("""COMPUTED_VALUE"""),10373)</f>
        <v>10373</v>
      </c>
      <c r="N796" s="10" t="str">
        <f ca="1">IFERROR(__xludf.DUMMYFUNCTION("""COMPUTED_VALUE"""),"PMU")</f>
        <v>PMU</v>
      </c>
      <c r="O796" s="1"/>
      <c r="P796" s="1"/>
      <c r="Q796" s="1"/>
      <c r="R796" s="1"/>
      <c r="S796" s="1"/>
      <c r="T796" s="1"/>
      <c r="U796" s="1"/>
      <c r="V796" s="1"/>
      <c r="W796" s="1"/>
      <c r="X796" s="1"/>
      <c r="Y796" s="1"/>
      <c r="Z796" s="1"/>
    </row>
    <row r="797" spans="1:26" ht="12.75" customHeight="1">
      <c r="A797" s="1"/>
      <c r="B797" s="10" t="str">
        <f ca="1">IFERROR(__xludf.DUMMYFUNCTION("""COMPUTED_VALUE"""),"REPOSICIÓN DE VEREDA SUR AV. CENTENARIO ENTRE CALLES ALBERTO BARROS Y BOMBERO MOLINA, COMUNA DE SAN ANTONIO")</f>
        <v>REPOSICIÓN DE VEREDA SUR AV. CENTENARIO ENTRE CALLES ALBERTO BARROS Y BOMBERO MOLINA, COMUNA DE SAN ANTONIO</v>
      </c>
      <c r="C797" s="10" t="str">
        <f ca="1">IFERROR(__xludf.DUMMYFUNCTION("""COMPUTED_VALUE"""),"1-B-2024-214")</f>
        <v>1-B-2024-214</v>
      </c>
      <c r="D797" s="26"/>
      <c r="E797" s="10" t="str">
        <f ca="1">IFERROR(__xludf.DUMMYFUNCTION("""COMPUTED_VALUE"""),"Guía Operativa")</f>
        <v>Guía Operativa</v>
      </c>
      <c r="F797" s="10" t="str">
        <f ca="1">IFERROR(__xludf.DUMMYFUNCTION("""COMPUTED_VALUE"""),"MUNICIPALIDAD DE SAN ANTONIO")</f>
        <v>MUNICIPALIDAD DE SAN ANTONIO</v>
      </c>
      <c r="G797" s="71">
        <f ca="1">IFERROR(__xludf.DUMMYFUNCTION("""COMPUTED_VALUE"""),106159451)</f>
        <v>106159451</v>
      </c>
      <c r="H797" s="10" t="str">
        <f ca="1">IFERROR(__xludf.DUMMYFUNCTION("""COMPUTED_VALUE"""),"Resolución")</f>
        <v>Resolución</v>
      </c>
      <c r="I797" s="10" t="str">
        <f ca="1">IFERROR(__xludf.DUMMYFUNCTION("""COMPUTED_VALUE"""),"OBRA")</f>
        <v>OBRA</v>
      </c>
      <c r="J797" s="10" t="str">
        <f ca="1">IFERROR(__xludf.DUMMYFUNCTION("""COMPUTED_VALUE"""),"Cumplir con normativa y reglamentos internos del programa en base a los objetivos.")</f>
        <v>Cumplir con normativa y reglamentos internos del programa en base a los objetivos.</v>
      </c>
      <c r="K797" s="71">
        <f ca="1">IFERROR(__xludf.DUMMYFUNCTION("""COMPUTED_VALUE"""),106159451)</f>
        <v>106159451</v>
      </c>
      <c r="L797" s="72">
        <f ca="1">IFERROR(__xludf.DUMMYFUNCTION("""COMPUTED_VALUE"""),1)</f>
        <v>1</v>
      </c>
      <c r="M797" s="10">
        <f ca="1">IFERROR(__xludf.DUMMYFUNCTION("""COMPUTED_VALUE"""),10020)</f>
        <v>10020</v>
      </c>
      <c r="N797" s="10" t="str">
        <f ca="1">IFERROR(__xludf.DUMMYFUNCTION("""COMPUTED_VALUE"""),"PMU")</f>
        <v>PMU</v>
      </c>
      <c r="O797" s="1"/>
      <c r="P797" s="1"/>
      <c r="Q797" s="1"/>
      <c r="R797" s="1"/>
      <c r="S797" s="1"/>
      <c r="T797" s="1"/>
      <c r="U797" s="1"/>
      <c r="V797" s="1"/>
      <c r="W797" s="1"/>
      <c r="X797" s="1"/>
      <c r="Y797" s="1"/>
      <c r="Z797" s="1"/>
    </row>
    <row r="798" spans="1:26" ht="12.75" customHeight="1">
      <c r="A798" s="1"/>
      <c r="B798" s="10" t="str">
        <f ca="1">IFERROR(__xludf.DUMMYFUNCTION("""COMPUTED_VALUE"""),"REPOSICION VEREDAS POBLACION PEDRO AGUIRRE CERDA, COMUNA GRANEROS")</f>
        <v>REPOSICION VEREDAS POBLACION PEDRO AGUIRRE CERDA, COMUNA GRANEROS</v>
      </c>
      <c r="C798" s="10" t="str">
        <f ca="1">IFERROR(__xludf.DUMMYFUNCTION("""COMPUTED_VALUE"""),"1-C-2019-2023 [FET]")</f>
        <v>1-C-2019-2023 [FET]</v>
      </c>
      <c r="D798" s="26"/>
      <c r="E798" s="10" t="str">
        <f ca="1">IFERROR(__xludf.DUMMYFUNCTION("""COMPUTED_VALUE"""),"Guía Operativa")</f>
        <v>Guía Operativa</v>
      </c>
      <c r="F798" s="10" t="str">
        <f ca="1">IFERROR(__xludf.DUMMYFUNCTION("""COMPUTED_VALUE"""),"MUNICIPALIDAD DE GRANEROS")</f>
        <v>MUNICIPALIDAD DE GRANEROS</v>
      </c>
      <c r="G798" s="71">
        <f ca="1">IFERROR(__xludf.DUMMYFUNCTION("""COMPUTED_VALUE"""),69249492)</f>
        <v>69249492</v>
      </c>
      <c r="H798" s="10" t="str">
        <f ca="1">IFERROR(__xludf.DUMMYFUNCTION("""COMPUTED_VALUE"""),"Resolución")</f>
        <v>Resolución</v>
      </c>
      <c r="I798" s="10" t="str">
        <f ca="1">IFERROR(__xludf.DUMMYFUNCTION("""COMPUTED_VALUE"""),"OBRA")</f>
        <v>OBRA</v>
      </c>
      <c r="J798" s="10" t="str">
        <f ca="1">IFERROR(__xludf.DUMMYFUNCTION("""COMPUTED_VALUE"""),"Cumplir con normativa y reglamentos internos del programa en base a los objetivos.")</f>
        <v>Cumplir con normativa y reglamentos internos del programa en base a los objetivos.</v>
      </c>
      <c r="K798" s="71">
        <f ca="1">IFERROR(__xludf.DUMMYFUNCTION("""COMPUTED_VALUE"""),13848386)</f>
        <v>13848386</v>
      </c>
      <c r="L798" s="72">
        <f ca="1">IFERROR(__xludf.DUMMYFUNCTION("""COMPUTED_VALUE"""),0.99998681578776)</f>
        <v>0.99998681578776005</v>
      </c>
      <c r="M798" s="10">
        <f ca="1">IFERROR(__xludf.DUMMYFUNCTION("""COMPUTED_VALUE"""),3629)</f>
        <v>3629</v>
      </c>
      <c r="N798" s="10" t="str">
        <f ca="1">IFERROR(__xludf.DUMMYFUNCTION("""COMPUTED_VALUE"""),"PMU")</f>
        <v>PMU</v>
      </c>
      <c r="O798" s="1"/>
      <c r="P798" s="1"/>
      <c r="Q798" s="1"/>
      <c r="R798" s="1"/>
      <c r="S798" s="1"/>
      <c r="T798" s="1"/>
      <c r="U798" s="1"/>
      <c r="V798" s="1"/>
      <c r="W798" s="1"/>
      <c r="X798" s="1"/>
      <c r="Y798" s="1"/>
      <c r="Z798" s="1"/>
    </row>
    <row r="799" spans="1:26" ht="12.75" customHeight="1">
      <c r="A799" s="1"/>
      <c r="B799" s="10" t="str">
        <f ca="1">IFERROR(__xludf.DUMMYFUNCTION("""COMPUTED_VALUE"""),"CONSTRUCCION PLAZA RAUL VENEGAS, COMUNA DE MALLOA")</f>
        <v>CONSTRUCCION PLAZA RAUL VENEGAS, COMUNA DE MALLOA</v>
      </c>
      <c r="C799" s="10" t="str">
        <f ca="1">IFERROR(__xludf.DUMMYFUNCTION("""COMPUTED_VALUE"""),"1-C-2023-1240")</f>
        <v>1-C-2023-1240</v>
      </c>
      <c r="D799" s="26"/>
      <c r="E799" s="10" t="str">
        <f ca="1">IFERROR(__xludf.DUMMYFUNCTION("""COMPUTED_VALUE"""),"Guía Operativa")</f>
        <v>Guía Operativa</v>
      </c>
      <c r="F799" s="10" t="str">
        <f ca="1">IFERROR(__xludf.DUMMYFUNCTION("""COMPUTED_VALUE"""),"MUNICIPALIDAD DE MALLOA")</f>
        <v>MUNICIPALIDAD DE MALLOA</v>
      </c>
      <c r="G799" s="71">
        <f ca="1">IFERROR(__xludf.DUMMYFUNCTION("""COMPUTED_VALUE"""),159950016)</f>
        <v>159950016</v>
      </c>
      <c r="H799" s="10" t="str">
        <f ca="1">IFERROR(__xludf.DUMMYFUNCTION("""COMPUTED_VALUE"""),"Resolución")</f>
        <v>Resolución</v>
      </c>
      <c r="I799" s="10" t="str">
        <f ca="1">IFERROR(__xludf.DUMMYFUNCTION("""COMPUTED_VALUE"""),"OBRA")</f>
        <v>OBRA</v>
      </c>
      <c r="J799" s="10" t="str">
        <f ca="1">IFERROR(__xludf.DUMMYFUNCTION("""COMPUTED_VALUE"""),"Cumplir con normativa y reglamentos internos del programa en base a los objetivos.")</f>
        <v>Cumplir con normativa y reglamentos internos del programa en base a los objetivos.</v>
      </c>
      <c r="K799" s="71">
        <f ca="1">IFERROR(__xludf.DUMMYFUNCTION("""COMPUTED_VALUE"""),79975008)</f>
        <v>79975008</v>
      </c>
      <c r="L799" s="72">
        <f ca="1">IFERROR(__xludf.DUMMYFUNCTION("""COMPUTED_VALUE"""),0.5)</f>
        <v>0.5</v>
      </c>
      <c r="M799" s="10">
        <f ca="1">IFERROR(__xludf.DUMMYFUNCTION("""COMPUTED_VALUE"""),10359)</f>
        <v>10359</v>
      </c>
      <c r="N799" s="10" t="str">
        <f ca="1">IFERROR(__xludf.DUMMYFUNCTION("""COMPUTED_VALUE"""),"PMU")</f>
        <v>PMU</v>
      </c>
      <c r="O799" s="1"/>
      <c r="P799" s="1"/>
      <c r="Q799" s="1"/>
      <c r="R799" s="1"/>
      <c r="S799" s="1"/>
      <c r="T799" s="1"/>
      <c r="U799" s="1"/>
      <c r="V799" s="1"/>
      <c r="W799" s="1"/>
      <c r="X799" s="1"/>
      <c r="Y799" s="1"/>
      <c r="Z799" s="1"/>
    </row>
    <row r="800" spans="1:26" ht="12.75" customHeight="1">
      <c r="A800" s="1"/>
      <c r="B800" s="10" t="str">
        <f ca="1">IFERROR(__xludf.DUMMYFUNCTION("""COMPUTED_VALUE"""),"MEJORAMIENTO Y AMPLIACION SEDE UCAM, RANCAGUA")</f>
        <v>MEJORAMIENTO Y AMPLIACION SEDE UCAM, RANCAGUA</v>
      </c>
      <c r="C800" s="10" t="str">
        <f ca="1">IFERROR(__xludf.DUMMYFUNCTION("""COMPUTED_VALUE"""),"1-C-2023-2417")</f>
        <v>1-C-2023-2417</v>
      </c>
      <c r="D800" s="26"/>
      <c r="E800" s="10" t="str">
        <f ca="1">IFERROR(__xludf.DUMMYFUNCTION("""COMPUTED_VALUE"""),"Guía Operativa")</f>
        <v>Guía Operativa</v>
      </c>
      <c r="F800" s="10" t="str">
        <f ca="1">IFERROR(__xludf.DUMMYFUNCTION("""COMPUTED_VALUE"""),"MUNICIPALIDAD DE RANCAGUA")</f>
        <v>MUNICIPALIDAD DE RANCAGUA</v>
      </c>
      <c r="G800" s="71">
        <f ca="1">IFERROR(__xludf.DUMMYFUNCTION("""COMPUTED_VALUE"""),154411151)</f>
        <v>154411151</v>
      </c>
      <c r="H800" s="10" t="str">
        <f ca="1">IFERROR(__xludf.DUMMYFUNCTION("""COMPUTED_VALUE"""),"Resolución")</f>
        <v>Resolución</v>
      </c>
      <c r="I800" s="10" t="str">
        <f ca="1">IFERROR(__xludf.DUMMYFUNCTION("""COMPUTED_VALUE"""),"OBRA")</f>
        <v>OBRA</v>
      </c>
      <c r="J800" s="10" t="str">
        <f ca="1">IFERROR(__xludf.DUMMYFUNCTION("""COMPUTED_VALUE"""),"Cumplir con normativa y reglamentos internos del programa en base a los objetivos.")</f>
        <v>Cumplir con normativa y reglamentos internos del programa en base a los objetivos.</v>
      </c>
      <c r="K800" s="71">
        <f ca="1">IFERROR(__xludf.DUMMYFUNCTION("""COMPUTED_VALUE"""),77205576)</f>
        <v>77205576</v>
      </c>
      <c r="L800" s="72">
        <f ca="1">IFERROR(__xludf.DUMMYFUNCTION("""COMPUTED_VALUE"""),0.500000003238108)</f>
        <v>0.500000003238108</v>
      </c>
      <c r="M800" s="10">
        <f ca="1">IFERROR(__xludf.DUMMYFUNCTION("""COMPUTED_VALUE"""),10109)</f>
        <v>10109</v>
      </c>
      <c r="N800" s="10" t="str">
        <f ca="1">IFERROR(__xludf.DUMMYFUNCTION("""COMPUTED_VALUE"""),"PMU")</f>
        <v>PMU</v>
      </c>
      <c r="O800" s="1"/>
      <c r="P800" s="1"/>
      <c r="Q800" s="1"/>
      <c r="R800" s="1"/>
      <c r="S800" s="1"/>
      <c r="T800" s="1"/>
      <c r="U800" s="1"/>
      <c r="V800" s="1"/>
      <c r="W800" s="1"/>
      <c r="X800" s="1"/>
      <c r="Y800" s="1"/>
      <c r="Z800" s="1"/>
    </row>
    <row r="801" spans="1:26" ht="12.75" customHeight="1">
      <c r="A801" s="1"/>
      <c r="B801" s="10" t="str">
        <f ca="1">IFERROR(__xludf.DUMMYFUNCTION("""COMPUTED_VALUE"""),"CONSTRUCCION AREA VERDE VILLA SANTA TERESITA, COMUNA DE PICHILEMU")</f>
        <v>CONSTRUCCION AREA VERDE VILLA SANTA TERESITA, COMUNA DE PICHILEMU</v>
      </c>
      <c r="C801" s="10" t="str">
        <f ca="1">IFERROR(__xludf.DUMMYFUNCTION("""COMPUTED_VALUE"""),"1-C-2023-3045")</f>
        <v>1-C-2023-3045</v>
      </c>
      <c r="D801" s="26"/>
      <c r="E801" s="10" t="str">
        <f ca="1">IFERROR(__xludf.DUMMYFUNCTION("""COMPUTED_VALUE"""),"Guía Operativa")</f>
        <v>Guía Operativa</v>
      </c>
      <c r="F801" s="10" t="str">
        <f ca="1">IFERROR(__xludf.DUMMYFUNCTION("""COMPUTED_VALUE"""),"MUNICIPALIDAD DE PICHILEMU")</f>
        <v>MUNICIPALIDAD DE PICHILEMU</v>
      </c>
      <c r="G801" s="71">
        <f ca="1">IFERROR(__xludf.DUMMYFUNCTION("""COMPUTED_VALUE"""),37757213)</f>
        <v>37757213</v>
      </c>
      <c r="H801" s="10" t="str">
        <f ca="1">IFERROR(__xludf.DUMMYFUNCTION("""COMPUTED_VALUE"""),"Resolución")</f>
        <v>Resolución</v>
      </c>
      <c r="I801" s="10" t="str">
        <f ca="1">IFERROR(__xludf.DUMMYFUNCTION("""COMPUTED_VALUE"""),"OBRA")</f>
        <v>OBRA</v>
      </c>
      <c r="J801" s="10" t="str">
        <f ca="1">IFERROR(__xludf.DUMMYFUNCTION("""COMPUTED_VALUE"""),"Cumplir con normativa y reglamentos internos del programa en base a los objetivos.")</f>
        <v>Cumplir con normativa y reglamentos internos del programa en base a los objetivos.</v>
      </c>
      <c r="K801" s="71">
        <f ca="1">IFERROR(__xludf.DUMMYFUNCTION("""COMPUTED_VALUE"""),18878607)</f>
        <v>18878607</v>
      </c>
      <c r="L801" s="72">
        <f ca="1">IFERROR(__xludf.DUMMYFUNCTION("""COMPUTED_VALUE"""),0.500000013242502)</f>
        <v>0.50000001324250198</v>
      </c>
      <c r="M801" s="10">
        <f ca="1">IFERROR(__xludf.DUMMYFUNCTION("""COMPUTED_VALUE"""),10347)</f>
        <v>10347</v>
      </c>
      <c r="N801" s="10" t="str">
        <f ca="1">IFERROR(__xludf.DUMMYFUNCTION("""COMPUTED_VALUE"""),"PMU")</f>
        <v>PMU</v>
      </c>
      <c r="O801" s="1"/>
      <c r="P801" s="1"/>
      <c r="Q801" s="1"/>
      <c r="R801" s="1"/>
      <c r="S801" s="1"/>
      <c r="T801" s="1"/>
      <c r="U801" s="1"/>
      <c r="V801" s="1"/>
      <c r="W801" s="1"/>
      <c r="X801" s="1"/>
      <c r="Y801" s="1"/>
      <c r="Z801" s="1"/>
    </row>
    <row r="802" spans="1:26" ht="12.75" customHeight="1">
      <c r="A802" s="1"/>
      <c r="B802" s="10" t="str">
        <f ca="1">IFERROR(__xludf.DUMMYFUNCTION("""COMPUTED_VALUE"""),"MEJORAMIENTO CANCHA CHICA OLIVAR ALTO")</f>
        <v>MEJORAMIENTO CANCHA CHICA OLIVAR ALTO</v>
      </c>
      <c r="C802" s="10" t="str">
        <f ca="1">IFERROR(__xludf.DUMMYFUNCTION("""COMPUTED_VALUE"""),"1-B-2024-322")</f>
        <v>1-B-2024-322</v>
      </c>
      <c r="D802" s="26"/>
      <c r="E802" s="10" t="str">
        <f ca="1">IFERROR(__xludf.DUMMYFUNCTION("""COMPUTED_VALUE"""),"Guía Operativa")</f>
        <v>Guía Operativa</v>
      </c>
      <c r="F802" s="10" t="str">
        <f ca="1">IFERROR(__xludf.DUMMYFUNCTION("""COMPUTED_VALUE"""),"MUNICIPALIDAD DE OLIVAR")</f>
        <v>MUNICIPALIDAD DE OLIVAR</v>
      </c>
      <c r="G802" s="71">
        <f ca="1">IFERROR(__xludf.DUMMYFUNCTION("""COMPUTED_VALUE"""),86503233)</f>
        <v>86503233</v>
      </c>
      <c r="H802" s="10" t="str">
        <f ca="1">IFERROR(__xludf.DUMMYFUNCTION("""COMPUTED_VALUE"""),"Resolución")</f>
        <v>Resolución</v>
      </c>
      <c r="I802" s="10" t="str">
        <f ca="1">IFERROR(__xludf.DUMMYFUNCTION("""COMPUTED_VALUE"""),"OBRA")</f>
        <v>OBRA</v>
      </c>
      <c r="J802" s="10" t="str">
        <f ca="1">IFERROR(__xludf.DUMMYFUNCTION("""COMPUTED_VALUE"""),"Cumplir con normativa y reglamentos internos del programa en base a los objetivos.")</f>
        <v>Cumplir con normativa y reglamentos internos del programa en base a los objetivos.</v>
      </c>
      <c r="K802" s="71">
        <f ca="1">IFERROR(__xludf.DUMMYFUNCTION("""COMPUTED_VALUE"""),86503233)</f>
        <v>86503233</v>
      </c>
      <c r="L802" s="72">
        <f ca="1">IFERROR(__xludf.DUMMYFUNCTION("""COMPUTED_VALUE"""),1)</f>
        <v>1</v>
      </c>
      <c r="M802" s="10">
        <f ca="1">IFERROR(__xludf.DUMMYFUNCTION("""COMPUTED_VALUE"""),10356)</f>
        <v>10356</v>
      </c>
      <c r="N802" s="10" t="str">
        <f ca="1">IFERROR(__xludf.DUMMYFUNCTION("""COMPUTED_VALUE"""),"PMU")</f>
        <v>PMU</v>
      </c>
      <c r="O802" s="1"/>
      <c r="P802" s="1"/>
      <c r="Q802" s="1"/>
      <c r="R802" s="1"/>
      <c r="S802" s="1"/>
      <c r="T802" s="1"/>
      <c r="U802" s="1"/>
      <c r="V802" s="1"/>
      <c r="W802" s="1"/>
      <c r="X802" s="1"/>
      <c r="Y802" s="1"/>
      <c r="Z802" s="1"/>
    </row>
    <row r="803" spans="1:26" ht="12.75" customHeight="1">
      <c r="A803" s="1"/>
      <c r="B803" s="10" t="str">
        <f ca="1">IFERROR(__xludf.DUMMYFUNCTION("""COMPUTED_VALUE"""),"CONSTRUCCION ILUMINACION CLUB DEPORTIVO NUMPAY")</f>
        <v>CONSTRUCCION ILUMINACION CLUB DEPORTIVO NUMPAY</v>
      </c>
      <c r="C803" s="10" t="str">
        <f ca="1">IFERROR(__xludf.DUMMYFUNCTION("""COMPUTED_VALUE"""),"1-C-2021-971")</f>
        <v>1-C-2021-971</v>
      </c>
      <c r="D803" s="26"/>
      <c r="E803" s="10" t="str">
        <f ca="1">IFERROR(__xludf.DUMMYFUNCTION("""COMPUTED_VALUE"""),"Guía Operativa")</f>
        <v>Guía Operativa</v>
      </c>
      <c r="F803" s="10" t="str">
        <f ca="1">IFERROR(__xludf.DUMMYFUNCTION("""COMPUTED_VALUE"""),"MUNICIPALIDAD DE MAULE")</f>
        <v>MUNICIPALIDAD DE MAULE</v>
      </c>
      <c r="G803" s="71">
        <f ca="1">IFERROR(__xludf.DUMMYFUNCTION("""COMPUTED_VALUE"""),74998051)</f>
        <v>74998051</v>
      </c>
      <c r="H803" s="10" t="str">
        <f ca="1">IFERROR(__xludf.DUMMYFUNCTION("""COMPUTED_VALUE"""),"Resolución")</f>
        <v>Resolución</v>
      </c>
      <c r="I803" s="10" t="str">
        <f ca="1">IFERROR(__xludf.DUMMYFUNCTION("""COMPUTED_VALUE"""),"OBRA")</f>
        <v>OBRA</v>
      </c>
      <c r="J803" s="10" t="str">
        <f ca="1">IFERROR(__xludf.DUMMYFUNCTION("""COMPUTED_VALUE"""),"Cumplir con normativa y reglamentos internos del programa en base a los objetivos.")</f>
        <v>Cumplir con normativa y reglamentos internos del programa en base a los objetivos.</v>
      </c>
      <c r="K803" s="71">
        <f ca="1">IFERROR(__xludf.DUMMYFUNCTION("""COMPUTED_VALUE"""),15008002)</f>
        <v>15008002</v>
      </c>
      <c r="L803" s="72">
        <f ca="1">IFERROR(__xludf.DUMMYFUNCTION("""COMPUTED_VALUE"""),1)</f>
        <v>1</v>
      </c>
      <c r="M803" s="10">
        <f ca="1">IFERROR(__xludf.DUMMYFUNCTION("""COMPUTED_VALUE"""),11517)</f>
        <v>11517</v>
      </c>
      <c r="N803" s="10" t="str">
        <f ca="1">IFERROR(__xludf.DUMMYFUNCTION("""COMPUTED_VALUE"""),"PMU")</f>
        <v>PMU</v>
      </c>
      <c r="O803" s="1"/>
      <c r="P803" s="1"/>
      <c r="Q803" s="1"/>
      <c r="R803" s="1"/>
      <c r="S803" s="1"/>
      <c r="T803" s="1"/>
      <c r="U803" s="1"/>
      <c r="V803" s="1"/>
      <c r="W803" s="1"/>
      <c r="X803" s="1"/>
      <c r="Y803" s="1"/>
      <c r="Z803" s="1"/>
    </row>
    <row r="804" spans="1:26" ht="12.75" customHeight="1">
      <c r="A804" s="1"/>
      <c r="B804" s="10" t="str">
        <f ca="1">IFERROR(__xludf.DUMMYFUNCTION("""COMPUTED_VALUE"""),"MEJORAMIENTO SEDE SOCIAL PUIPUYEN COMUNA DE YERBAS BUENAS")</f>
        <v>MEJORAMIENTO SEDE SOCIAL PUIPUYEN COMUNA DE YERBAS BUENAS</v>
      </c>
      <c r="C804" s="10" t="str">
        <f ca="1">IFERROR(__xludf.DUMMYFUNCTION("""COMPUTED_VALUE"""),"1-C-2023-274")</f>
        <v>1-C-2023-274</v>
      </c>
      <c r="D804" s="26"/>
      <c r="E804" s="10" t="str">
        <f ca="1">IFERROR(__xludf.DUMMYFUNCTION("""COMPUTED_VALUE"""),"Guía Operativa")</f>
        <v>Guía Operativa</v>
      </c>
      <c r="F804" s="10" t="str">
        <f ca="1">IFERROR(__xludf.DUMMYFUNCTION("""COMPUTED_VALUE"""),"MUNICIPALIDAD DE YERBAS BUENAS")</f>
        <v>MUNICIPALIDAD DE YERBAS BUENAS</v>
      </c>
      <c r="G804" s="71">
        <f ca="1">IFERROR(__xludf.DUMMYFUNCTION("""COMPUTED_VALUE"""),154400000)</f>
        <v>154400000</v>
      </c>
      <c r="H804" s="10" t="str">
        <f ca="1">IFERROR(__xludf.DUMMYFUNCTION("""COMPUTED_VALUE"""),"Resolución")</f>
        <v>Resolución</v>
      </c>
      <c r="I804" s="10" t="str">
        <f ca="1">IFERROR(__xludf.DUMMYFUNCTION("""COMPUTED_VALUE"""),"OBRA")</f>
        <v>OBRA</v>
      </c>
      <c r="J804" s="10" t="str">
        <f ca="1">IFERROR(__xludf.DUMMYFUNCTION("""COMPUTED_VALUE"""),"Cumplir con normativa y reglamentos internos del programa en base a los objetivos.")</f>
        <v>Cumplir con normativa y reglamentos internos del programa en base a los objetivos.</v>
      </c>
      <c r="K804" s="71">
        <f ca="1">IFERROR(__xludf.DUMMYFUNCTION("""COMPUTED_VALUE"""),77200000)</f>
        <v>77200000</v>
      </c>
      <c r="L804" s="72">
        <f ca="1">IFERROR(__xludf.DUMMYFUNCTION("""COMPUTED_VALUE"""),0.5)</f>
        <v>0.5</v>
      </c>
      <c r="M804" s="10">
        <f ca="1">IFERROR(__xludf.DUMMYFUNCTION("""COMPUTED_VALUE"""),10399)</f>
        <v>10399</v>
      </c>
      <c r="N804" s="10" t="str">
        <f ca="1">IFERROR(__xludf.DUMMYFUNCTION("""COMPUTED_VALUE"""),"PMU")</f>
        <v>PMU</v>
      </c>
      <c r="O804" s="1"/>
      <c r="P804" s="1"/>
      <c r="Q804" s="1"/>
      <c r="R804" s="1"/>
      <c r="S804" s="1"/>
      <c r="T804" s="1"/>
      <c r="U804" s="1"/>
      <c r="V804" s="1"/>
      <c r="W804" s="1"/>
      <c r="X804" s="1"/>
      <c r="Y804" s="1"/>
      <c r="Z804" s="1"/>
    </row>
    <row r="805" spans="1:26" ht="12.75" customHeight="1">
      <c r="A805" s="1"/>
      <c r="B805" s="10" t="str">
        <f ca="1">IFERROR(__xludf.DUMMYFUNCTION("""COMPUTED_VALUE"""),"CONSTRUCCION SEDE SOCIAL COIRONAL COMUNA DE YERBAS BUENAS")</f>
        <v>CONSTRUCCION SEDE SOCIAL COIRONAL COMUNA DE YERBAS BUENAS</v>
      </c>
      <c r="C805" s="10" t="str">
        <f ca="1">IFERROR(__xludf.DUMMYFUNCTION("""COMPUTED_VALUE"""),"1-C-2023-548")</f>
        <v>1-C-2023-548</v>
      </c>
      <c r="D805" s="26"/>
      <c r="E805" s="10" t="str">
        <f ca="1">IFERROR(__xludf.DUMMYFUNCTION("""COMPUTED_VALUE"""),"Guía Operativa")</f>
        <v>Guía Operativa</v>
      </c>
      <c r="F805" s="10" t="str">
        <f ca="1">IFERROR(__xludf.DUMMYFUNCTION("""COMPUTED_VALUE"""),"MUNICIPALIDAD DE YERBAS BUENAS")</f>
        <v>MUNICIPALIDAD DE YERBAS BUENAS</v>
      </c>
      <c r="G805" s="71">
        <f ca="1">IFERROR(__xludf.DUMMYFUNCTION("""COMPUTED_VALUE"""),154400000)</f>
        <v>154400000</v>
      </c>
      <c r="H805" s="10" t="str">
        <f ca="1">IFERROR(__xludf.DUMMYFUNCTION("""COMPUTED_VALUE"""),"Resolución")</f>
        <v>Resolución</v>
      </c>
      <c r="I805" s="10" t="str">
        <f ca="1">IFERROR(__xludf.DUMMYFUNCTION("""COMPUTED_VALUE"""),"OBRA")</f>
        <v>OBRA</v>
      </c>
      <c r="J805" s="10" t="str">
        <f ca="1">IFERROR(__xludf.DUMMYFUNCTION("""COMPUTED_VALUE"""),"Cumplir con normativa y reglamentos internos del programa en base a los objetivos.")</f>
        <v>Cumplir con normativa y reglamentos internos del programa en base a los objetivos.</v>
      </c>
      <c r="K805" s="71">
        <f ca="1">IFERROR(__xludf.DUMMYFUNCTION("""COMPUTED_VALUE"""),77200000)</f>
        <v>77200000</v>
      </c>
      <c r="L805" s="72">
        <f ca="1">IFERROR(__xludf.DUMMYFUNCTION("""COMPUTED_VALUE"""),0.5)</f>
        <v>0.5</v>
      </c>
      <c r="M805" s="10">
        <f ca="1">IFERROR(__xludf.DUMMYFUNCTION("""COMPUTED_VALUE"""),10399)</f>
        <v>10399</v>
      </c>
      <c r="N805" s="10" t="str">
        <f ca="1">IFERROR(__xludf.DUMMYFUNCTION("""COMPUTED_VALUE"""),"PMU")</f>
        <v>PMU</v>
      </c>
      <c r="O805" s="1"/>
      <c r="P805" s="1"/>
      <c r="Q805" s="1"/>
      <c r="R805" s="1"/>
      <c r="S805" s="1"/>
      <c r="T805" s="1"/>
      <c r="U805" s="1"/>
      <c r="V805" s="1"/>
      <c r="W805" s="1"/>
      <c r="X805" s="1"/>
      <c r="Y805" s="1"/>
      <c r="Z805" s="1"/>
    </row>
    <row r="806" spans="1:26" ht="12.75" customHeight="1">
      <c r="A806" s="1"/>
      <c r="B806" s="10" t="str">
        <f ca="1">IFERROR(__xludf.DUMMYFUNCTION("""COMPUTED_VALUE"""),"CONSTRUCCIÓN CENTRO DIURNO ADULTO MAYOR, CONSTITUCION")</f>
        <v>CONSTRUCCIÓN CENTRO DIURNO ADULTO MAYOR, CONSTITUCION</v>
      </c>
      <c r="C806" s="10" t="str">
        <f ca="1">IFERROR(__xludf.DUMMYFUNCTION("""COMPUTED_VALUE"""),"1-C-2023-973")</f>
        <v>1-C-2023-973</v>
      </c>
      <c r="D806" s="26"/>
      <c r="E806" s="10" t="str">
        <f ca="1">IFERROR(__xludf.DUMMYFUNCTION("""COMPUTED_VALUE"""),"Guía Operativa")</f>
        <v>Guía Operativa</v>
      </c>
      <c r="F806" s="10" t="str">
        <f ca="1">IFERROR(__xludf.DUMMYFUNCTION("""COMPUTED_VALUE"""),"MUNICIPALIDAD DE CONSTITUCIÓN")</f>
        <v>MUNICIPALIDAD DE CONSTITUCIÓN</v>
      </c>
      <c r="G806" s="71">
        <f ca="1">IFERROR(__xludf.DUMMYFUNCTION("""COMPUTED_VALUE"""),154356117)</f>
        <v>154356117</v>
      </c>
      <c r="H806" s="10" t="str">
        <f ca="1">IFERROR(__xludf.DUMMYFUNCTION("""COMPUTED_VALUE"""),"Resolución")</f>
        <v>Resolución</v>
      </c>
      <c r="I806" s="10" t="str">
        <f ca="1">IFERROR(__xludf.DUMMYFUNCTION("""COMPUTED_VALUE"""),"OBRA")</f>
        <v>OBRA</v>
      </c>
      <c r="J806" s="10" t="str">
        <f ca="1">IFERROR(__xludf.DUMMYFUNCTION("""COMPUTED_VALUE"""),"Cumplir con normativa y reglamentos internos del programa en base a los objetivos.")</f>
        <v>Cumplir con normativa y reglamentos internos del programa en base a los objetivos.</v>
      </c>
      <c r="K806" s="71">
        <f ca="1">IFERROR(__xludf.DUMMYFUNCTION("""COMPUTED_VALUE"""),77178050)</f>
        <v>77178050</v>
      </c>
      <c r="L806" s="72">
        <f ca="1">IFERROR(__xludf.DUMMYFUNCTION("""COMPUTED_VALUE"""),0.499999944932535)</f>
        <v>0.49999994493253502</v>
      </c>
      <c r="M806" s="10">
        <f ca="1">IFERROR(__xludf.DUMMYFUNCTION("""COMPUTED_VALUE"""),10360)</f>
        <v>10360</v>
      </c>
      <c r="N806" s="10" t="str">
        <f ca="1">IFERROR(__xludf.DUMMYFUNCTION("""COMPUTED_VALUE"""),"PMU")</f>
        <v>PMU</v>
      </c>
      <c r="O806" s="1"/>
      <c r="P806" s="1"/>
      <c r="Q806" s="1"/>
      <c r="R806" s="1"/>
      <c r="S806" s="1"/>
      <c r="T806" s="1"/>
      <c r="U806" s="1"/>
      <c r="V806" s="1"/>
      <c r="W806" s="1"/>
      <c r="X806" s="1"/>
      <c r="Y806" s="1"/>
      <c r="Z806" s="1"/>
    </row>
    <row r="807" spans="1:26" ht="12.75" customHeight="1">
      <c r="A807" s="1"/>
      <c r="B807" s="10" t="str">
        <f ca="1">IFERROR(__xludf.DUMMYFUNCTION("""COMPUTED_VALUE"""),"CONSTRUCCION CIERRE PERIMETRAL CANCHA SANTA GEMITA DE PUIPUYEN, COMUNA DE YERBAS BUENAS")</f>
        <v>CONSTRUCCION CIERRE PERIMETRAL CANCHA SANTA GEMITA DE PUIPUYEN, COMUNA DE YERBAS BUENAS</v>
      </c>
      <c r="C807" s="10" t="str">
        <f ca="1">IFERROR(__xludf.DUMMYFUNCTION("""COMPUTED_VALUE"""),"1-C-2023-1295")</f>
        <v>1-C-2023-1295</v>
      </c>
      <c r="D807" s="26"/>
      <c r="E807" s="10" t="str">
        <f ca="1">IFERROR(__xludf.DUMMYFUNCTION("""COMPUTED_VALUE"""),"Guía Operativa")</f>
        <v>Guía Operativa</v>
      </c>
      <c r="F807" s="10" t="str">
        <f ca="1">IFERROR(__xludf.DUMMYFUNCTION("""COMPUTED_VALUE"""),"MUNICIPALIDAD DE YERBAS BUENAS")</f>
        <v>MUNICIPALIDAD DE YERBAS BUENAS</v>
      </c>
      <c r="G807" s="71">
        <f ca="1">IFERROR(__xludf.DUMMYFUNCTION("""COMPUTED_VALUE"""),154400000)</f>
        <v>154400000</v>
      </c>
      <c r="H807" s="10" t="str">
        <f ca="1">IFERROR(__xludf.DUMMYFUNCTION("""COMPUTED_VALUE"""),"Resolución")</f>
        <v>Resolución</v>
      </c>
      <c r="I807" s="10" t="str">
        <f ca="1">IFERROR(__xludf.DUMMYFUNCTION("""COMPUTED_VALUE"""),"OBRA")</f>
        <v>OBRA</v>
      </c>
      <c r="J807" s="10" t="str">
        <f ca="1">IFERROR(__xludf.DUMMYFUNCTION("""COMPUTED_VALUE"""),"Cumplir con normativa y reglamentos internos del programa en base a los objetivos.")</f>
        <v>Cumplir con normativa y reglamentos internos del programa en base a los objetivos.</v>
      </c>
      <c r="K807" s="71">
        <f ca="1">IFERROR(__xludf.DUMMYFUNCTION("""COMPUTED_VALUE"""),77200000)</f>
        <v>77200000</v>
      </c>
      <c r="L807" s="72">
        <f ca="1">IFERROR(__xludf.DUMMYFUNCTION("""COMPUTED_VALUE"""),0.5)</f>
        <v>0.5</v>
      </c>
      <c r="M807" s="10">
        <f ca="1">IFERROR(__xludf.DUMMYFUNCTION("""COMPUTED_VALUE"""),10380)</f>
        <v>10380</v>
      </c>
      <c r="N807" s="10" t="str">
        <f ca="1">IFERROR(__xludf.DUMMYFUNCTION("""COMPUTED_VALUE"""),"PMU")</f>
        <v>PMU</v>
      </c>
      <c r="O807" s="1"/>
      <c r="P807" s="1"/>
      <c r="Q807" s="1"/>
      <c r="R807" s="1"/>
      <c r="S807" s="1"/>
      <c r="T807" s="1"/>
      <c r="U807" s="1"/>
      <c r="V807" s="1"/>
      <c r="W807" s="1"/>
      <c r="X807" s="1"/>
      <c r="Y807" s="1"/>
      <c r="Z807" s="1"/>
    </row>
    <row r="808" spans="1:26" ht="12.75" customHeight="1">
      <c r="A808" s="1"/>
      <c r="B808" s="10" t="str">
        <f ca="1">IFERROR(__xludf.DUMMYFUNCTION("""COMPUTED_VALUE"""),"[SATE] CONSTRUCCIÓN BODEGA MUNICIPAL, SECTOR ALQUIHUE, SAN JAVIER")</f>
        <v>[SATE] CONSTRUCCIÓN BODEGA MUNICIPAL, SECTOR ALQUIHUE, SAN JAVIER</v>
      </c>
      <c r="C808" s="10" t="str">
        <f ca="1">IFERROR(__xludf.DUMMYFUNCTION("""COMPUTED_VALUE"""),"1-C-2023-1434")</f>
        <v>1-C-2023-1434</v>
      </c>
      <c r="D808" s="26"/>
      <c r="E808" s="10" t="str">
        <f ca="1">IFERROR(__xludf.DUMMYFUNCTION("""COMPUTED_VALUE"""),"Guía Operativa")</f>
        <v>Guía Operativa</v>
      </c>
      <c r="F808" s="10" t="str">
        <f ca="1">IFERROR(__xludf.DUMMYFUNCTION("""COMPUTED_VALUE"""),"MUNICIPALIDAD DE SAN JAVIER")</f>
        <v>MUNICIPALIDAD DE SAN JAVIER</v>
      </c>
      <c r="G808" s="71">
        <f ca="1">IFERROR(__xludf.DUMMYFUNCTION("""COMPUTED_VALUE"""),111347947)</f>
        <v>111347947</v>
      </c>
      <c r="H808" s="10" t="str">
        <f ca="1">IFERROR(__xludf.DUMMYFUNCTION("""COMPUTED_VALUE"""),"Resolución")</f>
        <v>Resolución</v>
      </c>
      <c r="I808" s="10" t="str">
        <f ca="1">IFERROR(__xludf.DUMMYFUNCTION("""COMPUTED_VALUE"""),"OBRA")</f>
        <v>OBRA</v>
      </c>
      <c r="J808" s="10" t="str">
        <f ca="1">IFERROR(__xludf.DUMMYFUNCTION("""COMPUTED_VALUE"""),"Cumplir con normativa y reglamentos internos del programa en base a los objetivos.")</f>
        <v>Cumplir con normativa y reglamentos internos del programa en base a los objetivos.</v>
      </c>
      <c r="K808" s="71">
        <f ca="1">IFERROR(__xludf.DUMMYFUNCTION("""COMPUTED_VALUE"""),55673974)</f>
        <v>55673974</v>
      </c>
      <c r="L808" s="72">
        <f ca="1">IFERROR(__xludf.DUMMYFUNCTION("""COMPUTED_VALUE"""),0.500000004490428)</f>
        <v>0.50000000449042803</v>
      </c>
      <c r="M808" s="10">
        <f ca="1">IFERROR(__xludf.DUMMYFUNCTION("""COMPUTED_VALUE"""),10391)</f>
        <v>10391</v>
      </c>
      <c r="N808" s="10" t="str">
        <f ca="1">IFERROR(__xludf.DUMMYFUNCTION("""COMPUTED_VALUE"""),"PMU")</f>
        <v>PMU</v>
      </c>
      <c r="O808" s="1"/>
      <c r="P808" s="1"/>
      <c r="Q808" s="1"/>
      <c r="R808" s="1"/>
      <c r="S808" s="1"/>
      <c r="T808" s="1"/>
      <c r="U808" s="1"/>
      <c r="V808" s="1"/>
      <c r="W808" s="1"/>
      <c r="X808" s="1"/>
      <c r="Y808" s="1"/>
      <c r="Z808" s="1"/>
    </row>
    <row r="809" spans="1:26" ht="12.75" customHeight="1">
      <c r="A809" s="1"/>
      <c r="B809" s="10" t="str">
        <f ca="1">IFERROR(__xludf.DUMMYFUNCTION("""COMPUTED_VALUE"""),"MEJORAMIENTO EDIFICIO ANEXO MUNICIPAL, COMUNA DE PENCAHUE")</f>
        <v>MEJORAMIENTO EDIFICIO ANEXO MUNICIPAL, COMUNA DE PENCAHUE</v>
      </c>
      <c r="C809" s="10" t="str">
        <f ca="1">IFERROR(__xludf.DUMMYFUNCTION("""COMPUTED_VALUE"""),"1-B-2024-173")</f>
        <v>1-B-2024-173</v>
      </c>
      <c r="D809" s="26"/>
      <c r="E809" s="10" t="str">
        <f ca="1">IFERROR(__xludf.DUMMYFUNCTION("""COMPUTED_VALUE"""),"Guía Operativa")</f>
        <v>Guía Operativa</v>
      </c>
      <c r="F809" s="10" t="str">
        <f ca="1">IFERROR(__xludf.DUMMYFUNCTION("""COMPUTED_VALUE"""),"MUNICIPALIDAD DE PENCAHUE")</f>
        <v>MUNICIPALIDAD DE PENCAHUE</v>
      </c>
      <c r="G809" s="71">
        <f ca="1">IFERROR(__xludf.DUMMYFUNCTION("""COMPUTED_VALUE"""),105326607)</f>
        <v>105326607</v>
      </c>
      <c r="H809" s="10" t="str">
        <f ca="1">IFERROR(__xludf.DUMMYFUNCTION("""COMPUTED_VALUE"""),"Resolución")</f>
        <v>Resolución</v>
      </c>
      <c r="I809" s="10" t="str">
        <f ca="1">IFERROR(__xludf.DUMMYFUNCTION("""COMPUTED_VALUE"""),"OBRA")</f>
        <v>OBRA</v>
      </c>
      <c r="J809" s="10" t="str">
        <f ca="1">IFERROR(__xludf.DUMMYFUNCTION("""COMPUTED_VALUE"""),"Cumplir con normativa y reglamentos internos del programa en base a los objetivos.")</f>
        <v>Cumplir con normativa y reglamentos internos del programa en base a los objetivos.</v>
      </c>
      <c r="K809" s="71">
        <f ca="1">IFERROR(__xludf.DUMMYFUNCTION("""COMPUTED_VALUE"""),105326607)</f>
        <v>105326607</v>
      </c>
      <c r="L809" s="72">
        <f ca="1">IFERROR(__xludf.DUMMYFUNCTION("""COMPUTED_VALUE"""),1)</f>
        <v>1</v>
      </c>
      <c r="M809" s="10">
        <f ca="1">IFERROR(__xludf.DUMMYFUNCTION("""COMPUTED_VALUE"""),9769)</f>
        <v>9769</v>
      </c>
      <c r="N809" s="10" t="str">
        <f ca="1">IFERROR(__xludf.DUMMYFUNCTION("""COMPUTED_VALUE"""),"PMU")</f>
        <v>PMU</v>
      </c>
      <c r="O809" s="1"/>
      <c r="P809" s="1"/>
      <c r="Q809" s="1"/>
      <c r="R809" s="1"/>
      <c r="S809" s="1"/>
      <c r="T809" s="1"/>
      <c r="U809" s="1"/>
      <c r="V809" s="1"/>
      <c r="W809" s="1"/>
      <c r="X809" s="1"/>
      <c r="Y809" s="1"/>
      <c r="Z809" s="1"/>
    </row>
    <row r="810" spans="1:26" ht="12.75" customHeight="1">
      <c r="A810" s="1"/>
      <c r="B810" s="10" t="str">
        <f ca="1">IFERROR(__xludf.DUMMYFUNCTION("""COMPUTED_VALUE"""),"REPOSICION SEDE SOCIAL VILLA BICENTENARIO, COMUNA DE SAGRADA FAMILIA")</f>
        <v>REPOSICION SEDE SOCIAL VILLA BICENTENARIO, COMUNA DE SAGRADA FAMILIA</v>
      </c>
      <c r="C810" s="10" t="str">
        <f ca="1">IFERROR(__xludf.DUMMYFUNCTION("""COMPUTED_VALUE"""),"1-B-2024-233")</f>
        <v>1-B-2024-233</v>
      </c>
      <c r="D810" s="26"/>
      <c r="E810" s="10" t="str">
        <f ca="1">IFERROR(__xludf.DUMMYFUNCTION("""COMPUTED_VALUE"""),"Guía Operativa")</f>
        <v>Guía Operativa</v>
      </c>
      <c r="F810" s="10" t="str">
        <f ca="1">IFERROR(__xludf.DUMMYFUNCTION("""COMPUTED_VALUE"""),"MUNICIPALIDAD DE SAGRADA FAMILIA")</f>
        <v>MUNICIPALIDAD DE SAGRADA FAMILIA</v>
      </c>
      <c r="G810" s="71">
        <f ca="1">IFERROR(__xludf.DUMMYFUNCTION("""COMPUTED_VALUE"""),105320333)</f>
        <v>105320333</v>
      </c>
      <c r="H810" s="10" t="str">
        <f ca="1">IFERROR(__xludf.DUMMYFUNCTION("""COMPUTED_VALUE"""),"Resolución")</f>
        <v>Resolución</v>
      </c>
      <c r="I810" s="10" t="str">
        <f ca="1">IFERROR(__xludf.DUMMYFUNCTION("""COMPUTED_VALUE"""),"OBRA")</f>
        <v>OBRA</v>
      </c>
      <c r="J810" s="10" t="str">
        <f ca="1">IFERROR(__xludf.DUMMYFUNCTION("""COMPUTED_VALUE"""),"Cumplir con normativa y reglamentos internos del programa en base a los objetivos.")</f>
        <v>Cumplir con normativa y reglamentos internos del programa en base a los objetivos.</v>
      </c>
      <c r="K810" s="71">
        <f ca="1">IFERROR(__xludf.DUMMYFUNCTION("""COMPUTED_VALUE"""),105320333)</f>
        <v>105320333</v>
      </c>
      <c r="L810" s="72">
        <f ca="1">IFERROR(__xludf.DUMMYFUNCTION("""COMPUTED_VALUE"""),1)</f>
        <v>1</v>
      </c>
      <c r="M810" s="10">
        <f ca="1">IFERROR(__xludf.DUMMYFUNCTION("""COMPUTED_VALUE"""),10368)</f>
        <v>10368</v>
      </c>
      <c r="N810" s="10" t="str">
        <f ca="1">IFERROR(__xludf.DUMMYFUNCTION("""COMPUTED_VALUE"""),"PMU")</f>
        <v>PMU</v>
      </c>
      <c r="O810" s="1"/>
      <c r="P810" s="1"/>
      <c r="Q810" s="1"/>
      <c r="R810" s="1"/>
      <c r="S810" s="1"/>
      <c r="T810" s="1"/>
      <c r="U810" s="1"/>
      <c r="V810" s="1"/>
      <c r="W810" s="1"/>
      <c r="X810" s="1"/>
      <c r="Y810" s="1"/>
      <c r="Z810" s="1"/>
    </row>
    <row r="811" spans="1:26" ht="12.75" customHeight="1">
      <c r="A811" s="1"/>
      <c r="B811" s="10" t="str">
        <f ca="1">IFERROR(__xludf.DUMMYFUNCTION("""COMPUTED_VALUE"""),"MEJORAMIENTO ÁREA VERDE POBLACIÓN LOS CONQUISTADORES, LONGAVI")</f>
        <v>MEJORAMIENTO ÁREA VERDE POBLACIÓN LOS CONQUISTADORES, LONGAVI</v>
      </c>
      <c r="C811" s="10" t="str">
        <f ca="1">IFERROR(__xludf.DUMMYFUNCTION("""COMPUTED_VALUE"""),"1-B-2024-264")</f>
        <v>1-B-2024-264</v>
      </c>
      <c r="D811" s="26"/>
      <c r="E811" s="10" t="str">
        <f ca="1">IFERROR(__xludf.DUMMYFUNCTION("""COMPUTED_VALUE"""),"Guía Operativa")</f>
        <v>Guía Operativa</v>
      </c>
      <c r="F811" s="10" t="str">
        <f ca="1">IFERROR(__xludf.DUMMYFUNCTION("""COMPUTED_VALUE"""),"MUNICIPALIDAD DE LONGAVÍ")</f>
        <v>MUNICIPALIDAD DE LONGAVÍ</v>
      </c>
      <c r="G811" s="71">
        <f ca="1">IFERROR(__xludf.DUMMYFUNCTION("""COMPUTED_VALUE"""),58177560)</f>
        <v>58177560</v>
      </c>
      <c r="H811" s="10" t="str">
        <f ca="1">IFERROR(__xludf.DUMMYFUNCTION("""COMPUTED_VALUE"""),"Resolución")</f>
        <v>Resolución</v>
      </c>
      <c r="I811" s="10" t="str">
        <f ca="1">IFERROR(__xludf.DUMMYFUNCTION("""COMPUTED_VALUE"""),"OBRA")</f>
        <v>OBRA</v>
      </c>
      <c r="J811" s="10" t="str">
        <f ca="1">IFERROR(__xludf.DUMMYFUNCTION("""COMPUTED_VALUE"""),"Cumplir con normativa y reglamentos internos del programa en base a los objetivos.")</f>
        <v>Cumplir con normativa y reglamentos internos del programa en base a los objetivos.</v>
      </c>
      <c r="K811" s="71">
        <f ca="1">IFERROR(__xludf.DUMMYFUNCTION("""COMPUTED_VALUE"""),58177560)</f>
        <v>58177560</v>
      </c>
      <c r="L811" s="72">
        <f ca="1">IFERROR(__xludf.DUMMYFUNCTION("""COMPUTED_VALUE"""),1)</f>
        <v>1</v>
      </c>
      <c r="M811" s="10">
        <f ca="1">IFERROR(__xludf.DUMMYFUNCTION("""COMPUTED_VALUE"""),10366)</f>
        <v>10366</v>
      </c>
      <c r="N811" s="10" t="str">
        <f ca="1">IFERROR(__xludf.DUMMYFUNCTION("""COMPUTED_VALUE"""),"PMU")</f>
        <v>PMU</v>
      </c>
      <c r="O811" s="1"/>
      <c r="P811" s="1"/>
      <c r="Q811" s="1"/>
      <c r="R811" s="1"/>
      <c r="S811" s="1"/>
      <c r="T811" s="1"/>
      <c r="U811" s="1"/>
      <c r="V811" s="1"/>
      <c r="W811" s="1"/>
      <c r="X811" s="1"/>
      <c r="Y811" s="1"/>
      <c r="Z811" s="1"/>
    </row>
    <row r="812" spans="1:26" ht="12.75" customHeight="1">
      <c r="A812" s="1"/>
      <c r="B812" s="10" t="str">
        <f ca="1">IFERROR(__xludf.DUMMYFUNCTION("""COMPUTED_VALUE"""),"MEJORAMIENTO PLAZA VILLA DON FRANCISCO II")</f>
        <v>MEJORAMIENTO PLAZA VILLA DON FRANCISCO II</v>
      </c>
      <c r="C812" s="10" t="str">
        <f ca="1">IFERROR(__xludf.DUMMYFUNCTION("""COMPUTED_VALUE"""),"1-C-2024-1091")</f>
        <v>1-C-2024-1091</v>
      </c>
      <c r="D812" s="26"/>
      <c r="E812" s="10" t="str">
        <f ca="1">IFERROR(__xludf.DUMMYFUNCTION("""COMPUTED_VALUE"""),"Guía Operativa")</f>
        <v>Guía Operativa</v>
      </c>
      <c r="F812" s="10" t="str">
        <f ca="1">IFERROR(__xludf.DUMMYFUNCTION("""COMPUTED_VALUE"""),"MUNICIPALIDAD DE COLBÚN")</f>
        <v>MUNICIPALIDAD DE COLBÚN</v>
      </c>
      <c r="G812" s="71">
        <f ca="1">IFERROR(__xludf.DUMMYFUNCTION("""COMPUTED_VALUE"""),120140460)</f>
        <v>120140460</v>
      </c>
      <c r="H812" s="10" t="str">
        <f ca="1">IFERROR(__xludf.DUMMYFUNCTION("""COMPUTED_VALUE"""),"Resolución")</f>
        <v>Resolución</v>
      </c>
      <c r="I812" s="10" t="str">
        <f ca="1">IFERROR(__xludf.DUMMYFUNCTION("""COMPUTED_VALUE"""),"OBRA")</f>
        <v>OBRA</v>
      </c>
      <c r="J812" s="10" t="str">
        <f ca="1">IFERROR(__xludf.DUMMYFUNCTION("""COMPUTED_VALUE"""),"Cumplir con normativa y reglamentos internos del programa en base a los objetivos.")</f>
        <v>Cumplir con normativa y reglamentos internos del programa en base a los objetivos.</v>
      </c>
      <c r="K812" s="71">
        <f ca="1">IFERROR(__xludf.DUMMYFUNCTION("""COMPUTED_VALUE"""),60070230)</f>
        <v>60070230</v>
      </c>
      <c r="L812" s="72">
        <f ca="1">IFERROR(__xludf.DUMMYFUNCTION("""COMPUTED_VALUE"""),0.5)</f>
        <v>0.5</v>
      </c>
      <c r="M812" s="10">
        <f ca="1">IFERROR(__xludf.DUMMYFUNCTION("""COMPUTED_VALUE"""),10352)</f>
        <v>10352</v>
      </c>
      <c r="N812" s="10" t="str">
        <f ca="1">IFERROR(__xludf.DUMMYFUNCTION("""COMPUTED_VALUE"""),"PMU")</f>
        <v>PMU</v>
      </c>
      <c r="O812" s="1"/>
      <c r="P812" s="1"/>
      <c r="Q812" s="1"/>
      <c r="R812" s="1"/>
      <c r="S812" s="1"/>
      <c r="T812" s="1"/>
      <c r="U812" s="1"/>
      <c r="V812" s="1"/>
      <c r="W812" s="1"/>
      <c r="X812" s="1"/>
      <c r="Y812" s="1"/>
      <c r="Z812" s="1"/>
    </row>
    <row r="813" spans="1:26" ht="12.75" customHeight="1">
      <c r="A813" s="1"/>
      <c r="B813" s="10" t="str">
        <f ca="1">IFERROR(__xludf.DUMMYFUNCTION("""COMPUTED_VALUE"""),"[SATE] MEJORAMIENTO PLAZOLETA VILLA SANTA LUCÍA, COMUNA DE SANTA JUANA")</f>
        <v>[SATE] MEJORAMIENTO PLAZOLETA VILLA SANTA LUCÍA, COMUNA DE SANTA JUANA</v>
      </c>
      <c r="C813" s="10" t="str">
        <f ca="1">IFERROR(__xludf.DUMMYFUNCTION("""COMPUTED_VALUE"""),"1-C-2022-1497")</f>
        <v>1-C-2022-1497</v>
      </c>
      <c r="D813" s="26"/>
      <c r="E813" s="10" t="str">
        <f ca="1">IFERROR(__xludf.DUMMYFUNCTION("""COMPUTED_VALUE"""),"Guía Operativa")</f>
        <v>Guía Operativa</v>
      </c>
      <c r="F813" s="10" t="str">
        <f ca="1">IFERROR(__xludf.DUMMYFUNCTION("""COMPUTED_VALUE"""),"MUNICIPALIDAD DE SANTA JUANA")</f>
        <v>MUNICIPALIDAD DE SANTA JUANA</v>
      </c>
      <c r="G813" s="71">
        <f ca="1">IFERROR(__xludf.DUMMYFUNCTION("""COMPUTED_VALUE"""),107480761)</f>
        <v>107480761</v>
      </c>
      <c r="H813" s="10" t="str">
        <f ca="1">IFERROR(__xludf.DUMMYFUNCTION("""COMPUTED_VALUE"""),"Resolución")</f>
        <v>Resolución</v>
      </c>
      <c r="I813" s="10" t="str">
        <f ca="1">IFERROR(__xludf.DUMMYFUNCTION("""COMPUTED_VALUE"""),"OBRA")</f>
        <v>OBRA</v>
      </c>
      <c r="J813" s="10" t="str">
        <f ca="1">IFERROR(__xludf.DUMMYFUNCTION("""COMPUTED_VALUE"""),"Cumplir con normativa y reglamentos internos del programa en base a los objetivos.")</f>
        <v>Cumplir con normativa y reglamentos internos del programa en base a los objetivos.</v>
      </c>
      <c r="K813" s="71">
        <f ca="1">IFERROR(__xludf.DUMMYFUNCTION("""COMPUTED_VALUE"""),107480761)</f>
        <v>107480761</v>
      </c>
      <c r="L813" s="72">
        <f ca="1">IFERROR(__xludf.DUMMYFUNCTION("""COMPUTED_VALUE"""),1)</f>
        <v>1</v>
      </c>
      <c r="M813" s="10">
        <f ca="1">IFERROR(__xludf.DUMMYFUNCTION("""COMPUTED_VALUE"""),10038)</f>
        <v>10038</v>
      </c>
      <c r="N813" s="10" t="str">
        <f ca="1">IFERROR(__xludf.DUMMYFUNCTION("""COMPUTED_VALUE"""),"PMU")</f>
        <v>PMU</v>
      </c>
      <c r="O813" s="1"/>
      <c r="P813" s="1"/>
      <c r="Q813" s="1"/>
      <c r="R813" s="1"/>
      <c r="S813" s="1"/>
      <c r="T813" s="1"/>
      <c r="U813" s="1"/>
      <c r="V813" s="1"/>
      <c r="W813" s="1"/>
      <c r="X813" s="1"/>
      <c r="Y813" s="1"/>
      <c r="Z813" s="1"/>
    </row>
    <row r="814" spans="1:26" ht="12.75" customHeight="1">
      <c r="A814" s="1"/>
      <c r="B814" s="10" t="str">
        <f ca="1">IFERROR(__xludf.DUMMYFUNCTION("""COMPUTED_VALUE"""),"MEJORAMIENTO CANCHAS TEMUCO CHICO Y ANTIHUALA, COMUNA DE LOS ALAMOS")</f>
        <v>MEJORAMIENTO CANCHAS TEMUCO CHICO Y ANTIHUALA, COMUNA DE LOS ALAMOS</v>
      </c>
      <c r="C814" s="10" t="str">
        <f ca="1">IFERROR(__xludf.DUMMYFUNCTION("""COMPUTED_VALUE"""),"1-C-2022-1886")</f>
        <v>1-C-2022-1886</v>
      </c>
      <c r="D814" s="26"/>
      <c r="E814" s="10" t="str">
        <f ca="1">IFERROR(__xludf.DUMMYFUNCTION("""COMPUTED_VALUE"""),"Guía Operativa")</f>
        <v>Guía Operativa</v>
      </c>
      <c r="F814" s="10" t="str">
        <f ca="1">IFERROR(__xludf.DUMMYFUNCTION("""COMPUTED_VALUE"""),"MUNICIPALIDAD DE LOS ÁLAMOS")</f>
        <v>MUNICIPALIDAD DE LOS ÁLAMOS</v>
      </c>
      <c r="G814" s="71">
        <f ca="1">IFERROR(__xludf.DUMMYFUNCTION("""COMPUTED_VALUE"""),86743709)</f>
        <v>86743709</v>
      </c>
      <c r="H814" s="10" t="str">
        <f ca="1">IFERROR(__xludf.DUMMYFUNCTION("""COMPUTED_VALUE"""),"Resolución")</f>
        <v>Resolución</v>
      </c>
      <c r="I814" s="10" t="str">
        <f ca="1">IFERROR(__xludf.DUMMYFUNCTION("""COMPUTED_VALUE"""),"OBRA")</f>
        <v>OBRA</v>
      </c>
      <c r="J814" s="10" t="str">
        <f ca="1">IFERROR(__xludf.DUMMYFUNCTION("""COMPUTED_VALUE"""),"Cumplir con normativa y reglamentos internos del programa en base a los objetivos.")</f>
        <v>Cumplir con normativa y reglamentos internos del programa en base a los objetivos.</v>
      </c>
      <c r="K814" s="71">
        <f ca="1">IFERROR(__xludf.DUMMYFUNCTION("""COMPUTED_VALUE"""),86743709)</f>
        <v>86743709</v>
      </c>
      <c r="L814" s="72">
        <f ca="1">IFERROR(__xludf.DUMMYFUNCTION("""COMPUTED_VALUE"""),1)</f>
        <v>1</v>
      </c>
      <c r="M814" s="10">
        <f ca="1">IFERROR(__xludf.DUMMYFUNCTION("""COMPUTED_VALUE"""),9775)</f>
        <v>9775</v>
      </c>
      <c r="N814" s="10" t="str">
        <f ca="1">IFERROR(__xludf.DUMMYFUNCTION("""COMPUTED_VALUE"""),"PMU")</f>
        <v>PMU</v>
      </c>
      <c r="O814" s="1"/>
      <c r="P814" s="1"/>
      <c r="Q814" s="1"/>
      <c r="R814" s="1"/>
      <c r="S814" s="1"/>
      <c r="T814" s="1"/>
      <c r="U814" s="1"/>
      <c r="V814" s="1"/>
      <c r="W814" s="1"/>
      <c r="X814" s="1"/>
      <c r="Y814" s="1"/>
      <c r="Z814" s="1"/>
    </row>
    <row r="815" spans="1:26" ht="12.75" customHeight="1">
      <c r="A815" s="1"/>
      <c r="B815" s="10" t="str">
        <f ca="1">IFERROR(__xludf.DUMMYFUNCTION("""COMPUTED_VALUE"""),"[SATE] REPOSICIÓN SEDE Y CAMARINES CLUB DEPORTIVO SAN GABRIEL DE RIHUE, COMUNA NEGRETE")</f>
        <v>[SATE] REPOSICIÓN SEDE Y CAMARINES CLUB DEPORTIVO SAN GABRIEL DE RIHUE, COMUNA NEGRETE</v>
      </c>
      <c r="C815" s="10" t="str">
        <f ca="1">IFERROR(__xludf.DUMMYFUNCTION("""COMPUTED_VALUE"""),"1-C-2022-2541")</f>
        <v>1-C-2022-2541</v>
      </c>
      <c r="D815" s="26"/>
      <c r="E815" s="10" t="str">
        <f ca="1">IFERROR(__xludf.DUMMYFUNCTION("""COMPUTED_VALUE"""),"Guía Operativa")</f>
        <v>Guía Operativa</v>
      </c>
      <c r="F815" s="10" t="str">
        <f ca="1">IFERROR(__xludf.DUMMYFUNCTION("""COMPUTED_VALUE"""),"MUNICIPALIDAD DE NEGRETE")</f>
        <v>MUNICIPALIDAD DE NEGRETE</v>
      </c>
      <c r="G815" s="71">
        <f ca="1">IFERROR(__xludf.DUMMYFUNCTION("""COMPUTED_VALUE"""),154422499)</f>
        <v>154422499</v>
      </c>
      <c r="H815" s="10" t="str">
        <f ca="1">IFERROR(__xludf.DUMMYFUNCTION("""COMPUTED_VALUE"""),"Resolución")</f>
        <v>Resolución</v>
      </c>
      <c r="I815" s="10" t="str">
        <f ca="1">IFERROR(__xludf.DUMMYFUNCTION("""COMPUTED_VALUE"""),"OBRA")</f>
        <v>OBRA</v>
      </c>
      <c r="J815" s="10" t="str">
        <f ca="1">IFERROR(__xludf.DUMMYFUNCTION("""COMPUTED_VALUE"""),"Cumplir con normativa y reglamentos internos del programa en base a los objetivos.")</f>
        <v>Cumplir con normativa y reglamentos internos del programa en base a los objetivos.</v>
      </c>
      <c r="K815" s="71">
        <f ca="1">IFERROR(__xludf.DUMMYFUNCTION("""COMPUTED_VALUE"""),154422499)</f>
        <v>154422499</v>
      </c>
      <c r="L815" s="72">
        <f ca="1">IFERROR(__xludf.DUMMYFUNCTION("""COMPUTED_VALUE"""),1)</f>
        <v>1</v>
      </c>
      <c r="M815" s="10">
        <f ca="1">IFERROR(__xludf.DUMMYFUNCTION("""COMPUTED_VALUE"""),9775)</f>
        <v>9775</v>
      </c>
      <c r="N815" s="10" t="str">
        <f ca="1">IFERROR(__xludf.DUMMYFUNCTION("""COMPUTED_VALUE"""),"PMU")</f>
        <v>PMU</v>
      </c>
      <c r="O815" s="1"/>
      <c r="P815" s="1"/>
      <c r="Q815" s="1"/>
      <c r="R815" s="1"/>
      <c r="S815" s="1"/>
      <c r="T815" s="1"/>
      <c r="U815" s="1"/>
      <c r="V815" s="1"/>
      <c r="W815" s="1"/>
      <c r="X815" s="1"/>
      <c r="Y815" s="1"/>
      <c r="Z815" s="1"/>
    </row>
    <row r="816" spans="1:26" ht="12.75" customHeight="1">
      <c r="A816" s="1"/>
      <c r="B816" s="10" t="str">
        <f ca="1">IFERROR(__xludf.DUMMYFUNCTION("""COMPUTED_VALUE"""),"[SATE] REPOSICION Y MEJORAMIENTO DE CANAL AGUAS LLUVIAS SECTOR EL PORVENIR, CONTULMO")</f>
        <v>[SATE] REPOSICION Y MEJORAMIENTO DE CANAL AGUAS LLUVIAS SECTOR EL PORVENIR, CONTULMO</v>
      </c>
      <c r="C816" s="10" t="str">
        <f ca="1">IFERROR(__xludf.DUMMYFUNCTION("""COMPUTED_VALUE"""),"1-C-2023-446")</f>
        <v>1-C-2023-446</v>
      </c>
      <c r="D816" s="26"/>
      <c r="E816" s="10" t="str">
        <f ca="1">IFERROR(__xludf.DUMMYFUNCTION("""COMPUTED_VALUE"""),"Guía Operativa")</f>
        <v>Guía Operativa</v>
      </c>
      <c r="F816" s="10" t="str">
        <f ca="1">IFERROR(__xludf.DUMMYFUNCTION("""COMPUTED_VALUE"""),"MUNICIPALIDAD DE CONTULMO")</f>
        <v>MUNICIPALIDAD DE CONTULMO</v>
      </c>
      <c r="G816" s="71">
        <f ca="1">IFERROR(__xludf.DUMMYFUNCTION("""COMPUTED_VALUE"""),111047277)</f>
        <v>111047277</v>
      </c>
      <c r="H816" s="10" t="str">
        <f ca="1">IFERROR(__xludf.DUMMYFUNCTION("""COMPUTED_VALUE"""),"Resolución")</f>
        <v>Resolución</v>
      </c>
      <c r="I816" s="10" t="str">
        <f ca="1">IFERROR(__xludf.DUMMYFUNCTION("""COMPUTED_VALUE"""),"OBRA")</f>
        <v>OBRA</v>
      </c>
      <c r="J816" s="10" t="str">
        <f ca="1">IFERROR(__xludf.DUMMYFUNCTION("""COMPUTED_VALUE"""),"Cumplir con normativa y reglamentos internos del programa en base a los objetivos.")</f>
        <v>Cumplir con normativa y reglamentos internos del programa en base a los objetivos.</v>
      </c>
      <c r="K816" s="71">
        <f ca="1">IFERROR(__xludf.DUMMYFUNCTION("""COMPUTED_VALUE"""),111047277)</f>
        <v>111047277</v>
      </c>
      <c r="L816" s="72">
        <f ca="1">IFERROR(__xludf.DUMMYFUNCTION("""COMPUTED_VALUE"""),1)</f>
        <v>1</v>
      </c>
      <c r="M816" s="10">
        <f ca="1">IFERROR(__xludf.DUMMYFUNCTION("""COMPUTED_VALUE"""),9780)</f>
        <v>9780</v>
      </c>
      <c r="N816" s="10" t="str">
        <f ca="1">IFERROR(__xludf.DUMMYFUNCTION("""COMPUTED_VALUE"""),"PMU")</f>
        <v>PMU</v>
      </c>
      <c r="O816" s="1"/>
      <c r="P816" s="1"/>
      <c r="Q816" s="1"/>
      <c r="R816" s="1"/>
      <c r="S816" s="1"/>
      <c r="T816" s="1"/>
      <c r="U816" s="1"/>
      <c r="V816" s="1"/>
      <c r="W816" s="1"/>
      <c r="X816" s="1"/>
      <c r="Y816" s="1"/>
      <c r="Z816" s="1"/>
    </row>
    <row r="817" spans="1:26" ht="12.75" customHeight="1">
      <c r="A817" s="1"/>
      <c r="B817" s="10" t="str">
        <f ca="1">IFERROR(__xludf.DUMMYFUNCTION("""COMPUTED_VALUE"""),"INSTALACIÓN Y MEJORAMIENTO ÁREAS VERDES VILLA LOS CASTAÑOS HUEPIL,COMUNA DE TUCAPEL")</f>
        <v>INSTALACIÓN Y MEJORAMIENTO ÁREAS VERDES VILLA LOS CASTAÑOS HUEPIL,COMUNA DE TUCAPEL</v>
      </c>
      <c r="C817" s="10" t="str">
        <f ca="1">IFERROR(__xludf.DUMMYFUNCTION("""COMPUTED_VALUE"""),"1-C-2023-532")</f>
        <v>1-C-2023-532</v>
      </c>
      <c r="D817" s="26"/>
      <c r="E817" s="10" t="str">
        <f ca="1">IFERROR(__xludf.DUMMYFUNCTION("""COMPUTED_VALUE"""),"Guía Operativa")</f>
        <v>Guía Operativa</v>
      </c>
      <c r="F817" s="10" t="str">
        <f ca="1">IFERROR(__xludf.DUMMYFUNCTION("""COMPUTED_VALUE"""),"MUNICIPALIDAD DE TUCAPEL")</f>
        <v>MUNICIPALIDAD DE TUCAPEL</v>
      </c>
      <c r="G817" s="71">
        <f ca="1">IFERROR(__xludf.DUMMYFUNCTION("""COMPUTED_VALUE"""),130770833)</f>
        <v>130770833</v>
      </c>
      <c r="H817" s="10" t="str">
        <f ca="1">IFERROR(__xludf.DUMMYFUNCTION("""COMPUTED_VALUE"""),"Resolución")</f>
        <v>Resolución</v>
      </c>
      <c r="I817" s="10" t="str">
        <f ca="1">IFERROR(__xludf.DUMMYFUNCTION("""COMPUTED_VALUE"""),"OBRA")</f>
        <v>OBRA</v>
      </c>
      <c r="J817" s="10" t="str">
        <f ca="1">IFERROR(__xludf.DUMMYFUNCTION("""COMPUTED_VALUE"""),"Cumplir con normativa y reglamentos internos del programa en base a los objetivos.")</f>
        <v>Cumplir con normativa y reglamentos internos del programa en base a los objetivos.</v>
      </c>
      <c r="K817" s="71">
        <f ca="1">IFERROR(__xludf.DUMMYFUNCTION("""COMPUTED_VALUE"""),65385417)</f>
        <v>65385417</v>
      </c>
      <c r="L817" s="72">
        <f ca="1">IFERROR(__xludf.DUMMYFUNCTION("""COMPUTED_VALUE"""),0.500000003823482)</f>
        <v>0.50000000382348198</v>
      </c>
      <c r="M817" s="10">
        <f ca="1">IFERROR(__xludf.DUMMYFUNCTION("""COMPUTED_VALUE"""),10354)</f>
        <v>10354</v>
      </c>
      <c r="N817" s="10" t="str">
        <f ca="1">IFERROR(__xludf.DUMMYFUNCTION("""COMPUTED_VALUE"""),"PMU")</f>
        <v>PMU</v>
      </c>
      <c r="O817" s="1"/>
      <c r="P817" s="1"/>
      <c r="Q817" s="1"/>
      <c r="R817" s="1"/>
      <c r="S817" s="1"/>
      <c r="T817" s="1"/>
      <c r="U817" s="1"/>
      <c r="V817" s="1"/>
      <c r="W817" s="1"/>
      <c r="X817" s="1"/>
      <c r="Y817" s="1"/>
      <c r="Z817" s="1"/>
    </row>
    <row r="818" spans="1:26" ht="12.75" customHeight="1">
      <c r="A818" s="1"/>
      <c r="B818" s="10" t="str">
        <f ca="1">IFERROR(__xludf.DUMMYFUNCTION("""COMPUTED_VALUE"""),"[SATE] CONSTRUCCION HITO DE ACCESO ""MONUMENTO AL BOTERO NEGRETINO"", COMUNA DE NEGRETE")</f>
        <v>[SATE] CONSTRUCCION HITO DE ACCESO "MONUMENTO AL BOTERO NEGRETINO", COMUNA DE NEGRETE</v>
      </c>
      <c r="C818" s="10" t="str">
        <f ca="1">IFERROR(__xludf.DUMMYFUNCTION("""COMPUTED_VALUE"""),"1-C-2023-747")</f>
        <v>1-C-2023-747</v>
      </c>
      <c r="D818" s="26"/>
      <c r="E818" s="10" t="str">
        <f ca="1">IFERROR(__xludf.DUMMYFUNCTION("""COMPUTED_VALUE"""),"Guía Operativa")</f>
        <v>Guía Operativa</v>
      </c>
      <c r="F818" s="10" t="str">
        <f ca="1">IFERROR(__xludf.DUMMYFUNCTION("""COMPUTED_VALUE"""),"MUNICIPALIDAD DE NEGRETE")</f>
        <v>MUNICIPALIDAD DE NEGRETE</v>
      </c>
      <c r="G818" s="71">
        <f ca="1">IFERROR(__xludf.DUMMYFUNCTION("""COMPUTED_VALUE"""),154422499)</f>
        <v>154422499</v>
      </c>
      <c r="H818" s="10" t="str">
        <f ca="1">IFERROR(__xludf.DUMMYFUNCTION("""COMPUTED_VALUE"""),"Resolución")</f>
        <v>Resolución</v>
      </c>
      <c r="I818" s="10" t="str">
        <f ca="1">IFERROR(__xludf.DUMMYFUNCTION("""COMPUTED_VALUE"""),"OBRA")</f>
        <v>OBRA</v>
      </c>
      <c r="J818" s="10" t="str">
        <f ca="1">IFERROR(__xludf.DUMMYFUNCTION("""COMPUTED_VALUE"""),"Cumplir con normativa y reglamentos internos del programa en base a los objetivos.")</f>
        <v>Cumplir con normativa y reglamentos internos del programa en base a los objetivos.</v>
      </c>
      <c r="K818" s="71">
        <f ca="1">IFERROR(__xludf.DUMMYFUNCTION("""COMPUTED_VALUE"""),154422499)</f>
        <v>154422499</v>
      </c>
      <c r="L818" s="72">
        <f ca="1">IFERROR(__xludf.DUMMYFUNCTION("""COMPUTED_VALUE"""),1)</f>
        <v>1</v>
      </c>
      <c r="M818" s="10">
        <f ca="1">IFERROR(__xludf.DUMMYFUNCTION("""COMPUTED_VALUE"""),9772)</f>
        <v>9772</v>
      </c>
      <c r="N818" s="10" t="str">
        <f ca="1">IFERROR(__xludf.DUMMYFUNCTION("""COMPUTED_VALUE"""),"PMU")</f>
        <v>PMU</v>
      </c>
      <c r="O818" s="1"/>
      <c r="P818" s="1"/>
      <c r="Q818" s="1"/>
      <c r="R818" s="1"/>
      <c r="S818" s="1"/>
      <c r="T818" s="1"/>
      <c r="U818" s="1"/>
      <c r="V818" s="1"/>
      <c r="W818" s="1"/>
      <c r="X818" s="1"/>
      <c r="Y818" s="1"/>
      <c r="Z818" s="1"/>
    </row>
    <row r="819" spans="1:26" ht="12.75" customHeight="1">
      <c r="A819" s="1"/>
      <c r="B819" s="10" t="str">
        <f ca="1">IFERROR(__xludf.DUMMYFUNCTION("""COMPUTED_VALUE"""),"MEJORAMIENTO ESCUELA CURAMAVIDA, COMUNA DE SANTA JUANA")</f>
        <v>MEJORAMIENTO ESCUELA CURAMAVIDA, COMUNA DE SANTA JUANA</v>
      </c>
      <c r="C819" s="10" t="str">
        <f ca="1">IFERROR(__xludf.DUMMYFUNCTION("""COMPUTED_VALUE"""),"1-C-2023-771")</f>
        <v>1-C-2023-771</v>
      </c>
      <c r="D819" s="26"/>
      <c r="E819" s="10" t="str">
        <f ca="1">IFERROR(__xludf.DUMMYFUNCTION("""COMPUTED_VALUE"""),"Guía Operativa")</f>
        <v>Guía Operativa</v>
      </c>
      <c r="F819" s="10" t="str">
        <f ca="1">IFERROR(__xludf.DUMMYFUNCTION("""COMPUTED_VALUE"""),"MUNICIPALIDAD DE SANTA JUANA")</f>
        <v>MUNICIPALIDAD DE SANTA JUANA</v>
      </c>
      <c r="G819" s="71">
        <f ca="1">IFERROR(__xludf.DUMMYFUNCTION("""COMPUTED_VALUE"""),153993378)</f>
        <v>153993378</v>
      </c>
      <c r="H819" s="10" t="str">
        <f ca="1">IFERROR(__xludf.DUMMYFUNCTION("""COMPUTED_VALUE"""),"Resolución")</f>
        <v>Resolución</v>
      </c>
      <c r="I819" s="10" t="str">
        <f ca="1">IFERROR(__xludf.DUMMYFUNCTION("""COMPUTED_VALUE"""),"OBRA")</f>
        <v>OBRA</v>
      </c>
      <c r="J819" s="10" t="str">
        <f ca="1">IFERROR(__xludf.DUMMYFUNCTION("""COMPUTED_VALUE"""),"Cumplir con normativa y reglamentos internos del programa en base a los objetivos.")</f>
        <v>Cumplir con normativa y reglamentos internos del programa en base a los objetivos.</v>
      </c>
      <c r="K819" s="71">
        <f ca="1">IFERROR(__xludf.DUMMYFUNCTION("""COMPUTED_VALUE"""),153993378)</f>
        <v>153993378</v>
      </c>
      <c r="L819" s="72">
        <f ca="1">IFERROR(__xludf.DUMMYFUNCTION("""COMPUTED_VALUE"""),1)</f>
        <v>1</v>
      </c>
      <c r="M819" s="10">
        <f ca="1">IFERROR(__xludf.DUMMYFUNCTION("""COMPUTED_VALUE"""),10038)</f>
        <v>10038</v>
      </c>
      <c r="N819" s="10" t="str">
        <f ca="1">IFERROR(__xludf.DUMMYFUNCTION("""COMPUTED_VALUE"""),"PMU")</f>
        <v>PMU</v>
      </c>
      <c r="O819" s="1"/>
      <c r="P819" s="1"/>
      <c r="Q819" s="1"/>
      <c r="R819" s="1"/>
      <c r="S819" s="1"/>
      <c r="T819" s="1"/>
      <c r="U819" s="1"/>
      <c r="V819" s="1"/>
      <c r="W819" s="1"/>
      <c r="X819" s="1"/>
      <c r="Y819" s="1"/>
      <c r="Z819" s="1"/>
    </row>
    <row r="820" spans="1:26" ht="12.75" customHeight="1">
      <c r="A820" s="1"/>
      <c r="B820" s="10" t="str">
        <f ca="1">IFERROR(__xludf.DUMMYFUNCTION("""COMPUTED_VALUE"""),"[SATE] MEJORAMIENTO ESTACIONAMIENTOS Y OBRAS EXTERIORES LICEO B-55 CAUPOLICAN COMUNA DE LOS ALAMOS")</f>
        <v>[SATE] MEJORAMIENTO ESTACIONAMIENTOS Y OBRAS EXTERIORES LICEO B-55 CAUPOLICAN COMUNA DE LOS ALAMOS</v>
      </c>
      <c r="C820" s="10" t="str">
        <f ca="1">IFERROR(__xludf.DUMMYFUNCTION("""COMPUTED_VALUE"""),"1-C-2023-1517")</f>
        <v>1-C-2023-1517</v>
      </c>
      <c r="D820" s="26"/>
      <c r="E820" s="10" t="str">
        <f ca="1">IFERROR(__xludf.DUMMYFUNCTION("""COMPUTED_VALUE"""),"Guía Operativa")</f>
        <v>Guía Operativa</v>
      </c>
      <c r="F820" s="10" t="str">
        <f ca="1">IFERROR(__xludf.DUMMYFUNCTION("""COMPUTED_VALUE"""),"MUNICIPALIDAD DE LOS ÁLAMOS")</f>
        <v>MUNICIPALIDAD DE LOS ÁLAMOS</v>
      </c>
      <c r="G820" s="71">
        <f ca="1">IFERROR(__xludf.DUMMYFUNCTION("""COMPUTED_VALUE"""),133463148)</f>
        <v>133463148</v>
      </c>
      <c r="H820" s="10" t="str">
        <f ca="1">IFERROR(__xludf.DUMMYFUNCTION("""COMPUTED_VALUE"""),"Resolución")</f>
        <v>Resolución</v>
      </c>
      <c r="I820" s="10" t="str">
        <f ca="1">IFERROR(__xludf.DUMMYFUNCTION("""COMPUTED_VALUE"""),"OBRA")</f>
        <v>OBRA</v>
      </c>
      <c r="J820" s="10" t="str">
        <f ca="1">IFERROR(__xludf.DUMMYFUNCTION("""COMPUTED_VALUE"""),"Cumplir con normativa y reglamentos internos del programa en base a los objetivos.")</f>
        <v>Cumplir con normativa y reglamentos internos del programa en base a los objetivos.</v>
      </c>
      <c r="K820" s="71">
        <f ca="1">IFERROR(__xludf.DUMMYFUNCTION("""COMPUTED_VALUE"""),133463148)</f>
        <v>133463148</v>
      </c>
      <c r="L820" s="72">
        <f ca="1">IFERROR(__xludf.DUMMYFUNCTION("""COMPUTED_VALUE"""),1)</f>
        <v>1</v>
      </c>
      <c r="M820" s="10">
        <f ca="1">IFERROR(__xludf.DUMMYFUNCTION("""COMPUTED_VALUE"""),9775)</f>
        <v>9775</v>
      </c>
      <c r="N820" s="10" t="str">
        <f ca="1">IFERROR(__xludf.DUMMYFUNCTION("""COMPUTED_VALUE"""),"PMU")</f>
        <v>PMU</v>
      </c>
      <c r="O820" s="1"/>
      <c r="P820" s="1"/>
      <c r="Q820" s="1"/>
      <c r="R820" s="1"/>
      <c r="S820" s="1"/>
      <c r="T820" s="1"/>
      <c r="U820" s="1"/>
      <c r="V820" s="1"/>
      <c r="W820" s="1"/>
      <c r="X820" s="1"/>
      <c r="Y820" s="1"/>
      <c r="Z820" s="1"/>
    </row>
    <row r="821" spans="1:26" ht="12.75" customHeight="1">
      <c r="A821" s="1"/>
      <c r="B821" s="10" t="str">
        <f ca="1">IFERROR(__xludf.DUMMYFUNCTION("""COMPUTED_VALUE"""),"[SATE] MEJORAMIENTO PARQUE LAFKENMAPU, TIRÚA")</f>
        <v>[SATE] MEJORAMIENTO PARQUE LAFKENMAPU, TIRÚA</v>
      </c>
      <c r="C821" s="10" t="str">
        <f ca="1">IFERROR(__xludf.DUMMYFUNCTION("""COMPUTED_VALUE"""),"1-C-2023-1613")</f>
        <v>1-C-2023-1613</v>
      </c>
      <c r="D821" s="26"/>
      <c r="E821" s="10" t="str">
        <f ca="1">IFERROR(__xludf.DUMMYFUNCTION("""COMPUTED_VALUE"""),"Guía Operativa")</f>
        <v>Guía Operativa</v>
      </c>
      <c r="F821" s="10" t="str">
        <f ca="1">IFERROR(__xludf.DUMMYFUNCTION("""COMPUTED_VALUE"""),"MUNICIPALIDAD DE TIRÚA")</f>
        <v>MUNICIPALIDAD DE TIRÚA</v>
      </c>
      <c r="G821" s="71">
        <f ca="1">IFERROR(__xludf.DUMMYFUNCTION("""COMPUTED_VALUE"""),141325239)</f>
        <v>141325239</v>
      </c>
      <c r="H821" s="10" t="str">
        <f ca="1">IFERROR(__xludf.DUMMYFUNCTION("""COMPUTED_VALUE"""),"Resolución")</f>
        <v>Resolución</v>
      </c>
      <c r="I821" s="10" t="str">
        <f ca="1">IFERROR(__xludf.DUMMYFUNCTION("""COMPUTED_VALUE"""),"OBRA")</f>
        <v>OBRA</v>
      </c>
      <c r="J821" s="10" t="str">
        <f ca="1">IFERROR(__xludf.DUMMYFUNCTION("""COMPUTED_VALUE"""),"Cumplir con normativa y reglamentos internos del programa en base a los objetivos.")</f>
        <v>Cumplir con normativa y reglamentos internos del programa en base a los objetivos.</v>
      </c>
      <c r="K821" s="71">
        <f ca="1">IFERROR(__xludf.DUMMYFUNCTION("""COMPUTED_VALUE"""),141325239)</f>
        <v>141325239</v>
      </c>
      <c r="L821" s="72">
        <f ca="1">IFERROR(__xludf.DUMMYFUNCTION("""COMPUTED_VALUE"""),1)</f>
        <v>1</v>
      </c>
      <c r="M821" s="10">
        <f ca="1">IFERROR(__xludf.DUMMYFUNCTION("""COMPUTED_VALUE"""),10350)</f>
        <v>10350</v>
      </c>
      <c r="N821" s="10" t="str">
        <f ca="1">IFERROR(__xludf.DUMMYFUNCTION("""COMPUTED_VALUE"""),"PMU")</f>
        <v>PMU</v>
      </c>
      <c r="O821" s="1"/>
      <c r="P821" s="1"/>
      <c r="Q821" s="1"/>
      <c r="R821" s="1"/>
      <c r="S821" s="1"/>
      <c r="T821" s="1"/>
      <c r="U821" s="1"/>
      <c r="V821" s="1"/>
      <c r="W821" s="1"/>
      <c r="X821" s="1"/>
      <c r="Y821" s="1"/>
      <c r="Z821" s="1"/>
    </row>
    <row r="822" spans="1:26" ht="12.75" customHeight="1">
      <c r="A822" s="1"/>
      <c r="B822" s="10" t="str">
        <f ca="1">IFERROR(__xludf.DUMMYFUNCTION("""COMPUTED_VALUE"""),"[SATE] CONSTRUCCION DE SEDE COMUNITARIA EN SECTOR VILLA LAS ROSAS, ANTUCO")</f>
        <v>[SATE] CONSTRUCCION DE SEDE COMUNITARIA EN SECTOR VILLA LAS ROSAS, ANTUCO</v>
      </c>
      <c r="C822" s="10" t="str">
        <f ca="1">IFERROR(__xludf.DUMMYFUNCTION("""COMPUTED_VALUE"""),"1-C-2023-1728")</f>
        <v>1-C-2023-1728</v>
      </c>
      <c r="D822" s="26"/>
      <c r="E822" s="10" t="str">
        <f ca="1">IFERROR(__xludf.DUMMYFUNCTION("""COMPUTED_VALUE"""),"Guía Operativa")</f>
        <v>Guía Operativa</v>
      </c>
      <c r="F822" s="10" t="str">
        <f ca="1">IFERROR(__xludf.DUMMYFUNCTION("""COMPUTED_VALUE"""),"MUNICIPALIDAD DE ANTUCO")</f>
        <v>MUNICIPALIDAD DE ANTUCO</v>
      </c>
      <c r="G822" s="71">
        <f ca="1">IFERROR(__xludf.DUMMYFUNCTION("""COMPUTED_VALUE"""),98656759)</f>
        <v>98656759</v>
      </c>
      <c r="H822" s="10" t="str">
        <f ca="1">IFERROR(__xludf.DUMMYFUNCTION("""COMPUTED_VALUE"""),"Resolución")</f>
        <v>Resolución</v>
      </c>
      <c r="I822" s="10" t="str">
        <f ca="1">IFERROR(__xludf.DUMMYFUNCTION("""COMPUTED_VALUE"""),"OBRA")</f>
        <v>OBRA</v>
      </c>
      <c r="J822" s="10" t="str">
        <f ca="1">IFERROR(__xludf.DUMMYFUNCTION("""COMPUTED_VALUE"""),"Cumplir con normativa y reglamentos internos del programa en base a los objetivos.")</f>
        <v>Cumplir con normativa y reglamentos internos del programa en base a los objetivos.</v>
      </c>
      <c r="K822" s="71">
        <f ca="1">IFERROR(__xludf.DUMMYFUNCTION("""COMPUTED_VALUE"""),98656759)</f>
        <v>98656759</v>
      </c>
      <c r="L822" s="72">
        <f ca="1">IFERROR(__xludf.DUMMYFUNCTION("""COMPUTED_VALUE"""),1)</f>
        <v>1</v>
      </c>
      <c r="M822" s="10">
        <f ca="1">IFERROR(__xludf.DUMMYFUNCTION("""COMPUTED_VALUE"""),9618)</f>
        <v>9618</v>
      </c>
      <c r="N822" s="10" t="str">
        <f ca="1">IFERROR(__xludf.DUMMYFUNCTION("""COMPUTED_VALUE"""),"PMU")</f>
        <v>PMU</v>
      </c>
      <c r="O822" s="1"/>
      <c r="P822" s="1"/>
      <c r="Q822" s="1"/>
      <c r="R822" s="1"/>
      <c r="S822" s="1"/>
      <c r="T822" s="1"/>
      <c r="U822" s="1"/>
      <c r="V822" s="1"/>
      <c r="W822" s="1"/>
      <c r="X822" s="1"/>
      <c r="Y822" s="1"/>
      <c r="Z822" s="1"/>
    </row>
    <row r="823" spans="1:26" ht="12.75" customHeight="1">
      <c r="A823" s="1"/>
      <c r="B823" s="10" t="str">
        <f ca="1">IFERROR(__xludf.DUMMYFUNCTION("""COMPUTED_VALUE"""),"[SATE] MEJORAMIENTO CANCHA DE PASTO SINTÉTICO SECTOR VILLA LA GRANJA, MULCHÉN")</f>
        <v>[SATE] MEJORAMIENTO CANCHA DE PASTO SINTÉTICO SECTOR VILLA LA GRANJA, MULCHÉN</v>
      </c>
      <c r="C823" s="10" t="str">
        <f ca="1">IFERROR(__xludf.DUMMYFUNCTION("""COMPUTED_VALUE"""),"1-C-2023-1729")</f>
        <v>1-C-2023-1729</v>
      </c>
      <c r="D823" s="26"/>
      <c r="E823" s="10" t="str">
        <f ca="1">IFERROR(__xludf.DUMMYFUNCTION("""COMPUTED_VALUE"""),"Guía Operativa")</f>
        <v>Guía Operativa</v>
      </c>
      <c r="F823" s="10" t="str">
        <f ca="1">IFERROR(__xludf.DUMMYFUNCTION("""COMPUTED_VALUE"""),"MUNICIPALIDAD DE MULCHÉN")</f>
        <v>MUNICIPALIDAD DE MULCHÉN</v>
      </c>
      <c r="G823" s="71">
        <f ca="1">IFERROR(__xludf.DUMMYFUNCTION("""COMPUTED_VALUE"""),140000000)</f>
        <v>140000000</v>
      </c>
      <c r="H823" s="10" t="str">
        <f ca="1">IFERROR(__xludf.DUMMYFUNCTION("""COMPUTED_VALUE"""),"Resolución")</f>
        <v>Resolución</v>
      </c>
      <c r="I823" s="10" t="str">
        <f ca="1">IFERROR(__xludf.DUMMYFUNCTION("""COMPUTED_VALUE"""),"OBRA")</f>
        <v>OBRA</v>
      </c>
      <c r="J823" s="10" t="str">
        <f ca="1">IFERROR(__xludf.DUMMYFUNCTION("""COMPUTED_VALUE"""),"Cumplir con normativa y reglamentos internos del programa en base a los objetivos.")</f>
        <v>Cumplir con normativa y reglamentos internos del programa en base a los objetivos.</v>
      </c>
      <c r="K823" s="71">
        <f ca="1">IFERROR(__xludf.DUMMYFUNCTION("""COMPUTED_VALUE"""),140000000)</f>
        <v>140000000</v>
      </c>
      <c r="L823" s="72">
        <f ca="1">IFERROR(__xludf.DUMMYFUNCTION("""COMPUTED_VALUE"""),1)</f>
        <v>1</v>
      </c>
      <c r="M823" s="10">
        <f ca="1">IFERROR(__xludf.DUMMYFUNCTION("""COMPUTED_VALUE"""),9776)</f>
        <v>9776</v>
      </c>
      <c r="N823" s="10" t="str">
        <f ca="1">IFERROR(__xludf.DUMMYFUNCTION("""COMPUTED_VALUE"""),"PMU")</f>
        <v>PMU</v>
      </c>
      <c r="O823" s="1"/>
      <c r="P823" s="1"/>
      <c r="Q823" s="1"/>
      <c r="R823" s="1"/>
      <c r="S823" s="1"/>
      <c r="T823" s="1"/>
      <c r="U823" s="1"/>
      <c r="V823" s="1"/>
      <c r="W823" s="1"/>
      <c r="X823" s="1"/>
      <c r="Y823" s="1"/>
      <c r="Z823" s="1"/>
    </row>
    <row r="824" spans="1:26" ht="12.75" customHeight="1">
      <c r="A824" s="1"/>
      <c r="B824" s="10" t="str">
        <f ca="1">IFERROR(__xludf.DUMMYFUNCTION("""COMPUTED_VALUE"""),"[SATE] HABILITACIÓN SEDE SOCIAL LOS ARRAYANES, COMUNA DE ARAUCO")</f>
        <v>[SATE] HABILITACIÓN SEDE SOCIAL LOS ARRAYANES, COMUNA DE ARAUCO</v>
      </c>
      <c r="C824" s="10" t="str">
        <f ca="1">IFERROR(__xludf.DUMMYFUNCTION("""COMPUTED_VALUE"""),"1-C-2023-1731")</f>
        <v>1-C-2023-1731</v>
      </c>
      <c r="D824" s="26"/>
      <c r="E824" s="10" t="str">
        <f ca="1">IFERROR(__xludf.DUMMYFUNCTION("""COMPUTED_VALUE"""),"Guía Operativa")</f>
        <v>Guía Operativa</v>
      </c>
      <c r="F824" s="10" t="str">
        <f ca="1">IFERROR(__xludf.DUMMYFUNCTION("""COMPUTED_VALUE"""),"MUNICIPALIDAD DE ARAUCO")</f>
        <v>MUNICIPALIDAD DE ARAUCO</v>
      </c>
      <c r="G824" s="71">
        <f ca="1">IFERROR(__xludf.DUMMYFUNCTION("""COMPUTED_VALUE"""),94158870)</f>
        <v>94158870</v>
      </c>
      <c r="H824" s="10" t="str">
        <f ca="1">IFERROR(__xludf.DUMMYFUNCTION("""COMPUTED_VALUE"""),"Resolución")</f>
        <v>Resolución</v>
      </c>
      <c r="I824" s="10" t="str">
        <f ca="1">IFERROR(__xludf.DUMMYFUNCTION("""COMPUTED_VALUE"""),"OBRA")</f>
        <v>OBRA</v>
      </c>
      <c r="J824" s="10" t="str">
        <f ca="1">IFERROR(__xludf.DUMMYFUNCTION("""COMPUTED_VALUE"""),"Cumplir con normativa y reglamentos internos del programa en base a los objetivos.")</f>
        <v>Cumplir con normativa y reglamentos internos del programa en base a los objetivos.</v>
      </c>
      <c r="K824" s="71">
        <f ca="1">IFERROR(__xludf.DUMMYFUNCTION("""COMPUTED_VALUE"""),94158870)</f>
        <v>94158870</v>
      </c>
      <c r="L824" s="72">
        <f ca="1">IFERROR(__xludf.DUMMYFUNCTION("""COMPUTED_VALUE"""),1)</f>
        <v>1</v>
      </c>
      <c r="M824" s="10">
        <f ca="1">IFERROR(__xludf.DUMMYFUNCTION("""COMPUTED_VALUE"""),9887)</f>
        <v>9887</v>
      </c>
      <c r="N824" s="10" t="str">
        <f ca="1">IFERROR(__xludf.DUMMYFUNCTION("""COMPUTED_VALUE"""),"PMU")</f>
        <v>PMU</v>
      </c>
      <c r="O824" s="1"/>
      <c r="P824" s="1"/>
      <c r="Q824" s="1"/>
      <c r="R824" s="1"/>
      <c r="S824" s="1"/>
      <c r="T824" s="1"/>
      <c r="U824" s="1"/>
      <c r="V824" s="1"/>
      <c r="W824" s="1"/>
      <c r="X824" s="1"/>
      <c r="Y824" s="1"/>
      <c r="Z824" s="1"/>
    </row>
    <row r="825" spans="1:26" ht="12.75" customHeight="1">
      <c r="A825" s="1"/>
      <c r="B825" s="10" t="str">
        <f ca="1">IFERROR(__xludf.DUMMYFUNCTION("""COMPUTED_VALUE"""),"[SATE] CONSTRUCCIÓN Y REPOSICIÓN DE PARADEROS EN DIVERSOS PUNTOS DEL SECTOR URBANO DE HUALQUI")</f>
        <v>[SATE] CONSTRUCCIÓN Y REPOSICIÓN DE PARADEROS EN DIVERSOS PUNTOS DEL SECTOR URBANO DE HUALQUI</v>
      </c>
      <c r="C825" s="10" t="str">
        <f ca="1">IFERROR(__xludf.DUMMYFUNCTION("""COMPUTED_VALUE"""),"1-C-2023-1784")</f>
        <v>1-C-2023-1784</v>
      </c>
      <c r="D825" s="26"/>
      <c r="E825" s="10" t="str">
        <f ca="1">IFERROR(__xludf.DUMMYFUNCTION("""COMPUTED_VALUE"""),"Guía Operativa")</f>
        <v>Guía Operativa</v>
      </c>
      <c r="F825" s="10" t="str">
        <f ca="1">IFERROR(__xludf.DUMMYFUNCTION("""COMPUTED_VALUE"""),"MUNICIPALIDAD DE HUALQUI")</f>
        <v>MUNICIPALIDAD DE HUALQUI</v>
      </c>
      <c r="G825" s="71">
        <f ca="1">IFERROR(__xludf.DUMMYFUNCTION("""COMPUTED_VALUE"""),103038380)</f>
        <v>103038380</v>
      </c>
      <c r="H825" s="10" t="str">
        <f ca="1">IFERROR(__xludf.DUMMYFUNCTION("""COMPUTED_VALUE"""),"Resolución")</f>
        <v>Resolución</v>
      </c>
      <c r="I825" s="10" t="str">
        <f ca="1">IFERROR(__xludf.DUMMYFUNCTION("""COMPUTED_VALUE"""),"OBRA")</f>
        <v>OBRA</v>
      </c>
      <c r="J825" s="10" t="str">
        <f ca="1">IFERROR(__xludf.DUMMYFUNCTION("""COMPUTED_VALUE"""),"Cumplir con normativa y reglamentos internos del programa en base a los objetivos.")</f>
        <v>Cumplir con normativa y reglamentos internos del programa en base a los objetivos.</v>
      </c>
      <c r="K825" s="71">
        <f ca="1">IFERROR(__xludf.DUMMYFUNCTION("""COMPUTED_VALUE"""),103038380)</f>
        <v>103038380</v>
      </c>
      <c r="L825" s="72">
        <f ca="1">IFERROR(__xludf.DUMMYFUNCTION("""COMPUTED_VALUE"""),1)</f>
        <v>1</v>
      </c>
      <c r="M825" s="10">
        <f ca="1">IFERROR(__xludf.DUMMYFUNCTION("""COMPUTED_VALUE"""),9771)</f>
        <v>9771</v>
      </c>
      <c r="N825" s="10" t="str">
        <f ca="1">IFERROR(__xludf.DUMMYFUNCTION("""COMPUTED_VALUE"""),"PMU")</f>
        <v>PMU</v>
      </c>
      <c r="O825" s="1"/>
      <c r="P825" s="1"/>
      <c r="Q825" s="1"/>
      <c r="R825" s="1"/>
      <c r="S825" s="1"/>
      <c r="T825" s="1"/>
      <c r="U825" s="1"/>
      <c r="V825" s="1"/>
      <c r="W825" s="1"/>
      <c r="X825" s="1"/>
      <c r="Y825" s="1"/>
      <c r="Z825" s="1"/>
    </row>
    <row r="826" spans="1:26" ht="12.75" customHeight="1">
      <c r="A826" s="1"/>
      <c r="B826" s="10" t="str">
        <f ca="1">IFERROR(__xludf.DUMMYFUNCTION("""COMPUTED_VALUE"""),"REPOSICIÓN LUMINARIAS CANCHA UNIÓN MICHAIHUE, SAN PEDRO DE LA PAZ")</f>
        <v>REPOSICIÓN LUMINARIAS CANCHA UNIÓN MICHAIHUE, SAN PEDRO DE LA PAZ</v>
      </c>
      <c r="C826" s="10" t="str">
        <f ca="1">IFERROR(__xludf.DUMMYFUNCTION("""COMPUTED_VALUE"""),"1-C-2023-1973")</f>
        <v>1-C-2023-1973</v>
      </c>
      <c r="D826" s="26"/>
      <c r="E826" s="10" t="str">
        <f ca="1">IFERROR(__xludf.DUMMYFUNCTION("""COMPUTED_VALUE"""),"Guía Operativa")</f>
        <v>Guía Operativa</v>
      </c>
      <c r="F826" s="10" t="str">
        <f ca="1">IFERROR(__xludf.DUMMYFUNCTION("""COMPUTED_VALUE"""),"MUNICIPALIDAD DE SAN PEDRO DE LA PAZ")</f>
        <v>MUNICIPALIDAD DE SAN PEDRO DE LA PAZ</v>
      </c>
      <c r="G826" s="71">
        <f ca="1">IFERROR(__xludf.DUMMYFUNCTION("""COMPUTED_VALUE"""),42274750)</f>
        <v>42274750</v>
      </c>
      <c r="H826" s="10" t="str">
        <f ca="1">IFERROR(__xludf.DUMMYFUNCTION("""COMPUTED_VALUE"""),"Resolución")</f>
        <v>Resolución</v>
      </c>
      <c r="I826" s="10" t="str">
        <f ca="1">IFERROR(__xludf.DUMMYFUNCTION("""COMPUTED_VALUE"""),"OBRA")</f>
        <v>OBRA</v>
      </c>
      <c r="J826" s="10" t="str">
        <f ca="1">IFERROR(__xludf.DUMMYFUNCTION("""COMPUTED_VALUE"""),"Cumplir con normativa y reglamentos internos del programa en base a los objetivos.")</f>
        <v>Cumplir con normativa y reglamentos internos del programa en base a los objetivos.</v>
      </c>
      <c r="K826" s="71">
        <f ca="1">IFERROR(__xludf.DUMMYFUNCTION("""COMPUTED_VALUE"""),21137375)</f>
        <v>21137375</v>
      </c>
      <c r="L826" s="72">
        <f ca="1">IFERROR(__xludf.DUMMYFUNCTION("""COMPUTED_VALUE"""),0.5)</f>
        <v>0.5</v>
      </c>
      <c r="M826" s="10">
        <f ca="1">IFERROR(__xludf.DUMMYFUNCTION("""COMPUTED_VALUE"""),10361)</f>
        <v>10361</v>
      </c>
      <c r="N826" s="10" t="str">
        <f ca="1">IFERROR(__xludf.DUMMYFUNCTION("""COMPUTED_VALUE"""),"PMU")</f>
        <v>PMU</v>
      </c>
      <c r="O826" s="1"/>
      <c r="P826" s="1"/>
      <c r="Q826" s="1"/>
      <c r="R826" s="1"/>
      <c r="S826" s="1"/>
      <c r="T826" s="1"/>
      <c r="U826" s="1"/>
      <c r="V826" s="1"/>
      <c r="W826" s="1"/>
      <c r="X826" s="1"/>
      <c r="Y826" s="1"/>
      <c r="Z826" s="1"/>
    </row>
    <row r="827" spans="1:26" ht="12.75" customHeight="1">
      <c r="A827" s="1"/>
      <c r="B827" s="10" t="str">
        <f ca="1">IFERROR(__xludf.DUMMYFUNCTION("""COMPUTED_VALUE"""),"CONSTRUCCION CENTRO COMUNITARIO CALLAQUI ALTO BIOBIO")</f>
        <v>CONSTRUCCION CENTRO COMUNITARIO CALLAQUI ALTO BIOBIO</v>
      </c>
      <c r="C827" s="10" t="str">
        <f ca="1">IFERROR(__xludf.DUMMYFUNCTION("""COMPUTED_VALUE"""),"1-C-2023-2016")</f>
        <v>1-C-2023-2016</v>
      </c>
      <c r="D827" s="26"/>
      <c r="E827" s="10" t="str">
        <f ca="1">IFERROR(__xludf.DUMMYFUNCTION("""COMPUTED_VALUE"""),"Guía Operativa")</f>
        <v>Guía Operativa</v>
      </c>
      <c r="F827" s="10" t="str">
        <f ca="1">IFERROR(__xludf.DUMMYFUNCTION("""COMPUTED_VALUE"""),"MUNICIPALIDAD DE ALTO BIOBÍO")</f>
        <v>MUNICIPALIDAD DE ALTO BIOBÍO</v>
      </c>
      <c r="G827" s="71">
        <f ca="1">IFERROR(__xludf.DUMMYFUNCTION("""COMPUTED_VALUE"""),154498321)</f>
        <v>154498321</v>
      </c>
      <c r="H827" s="10" t="str">
        <f ca="1">IFERROR(__xludf.DUMMYFUNCTION("""COMPUTED_VALUE"""),"Resolución")</f>
        <v>Resolución</v>
      </c>
      <c r="I827" s="10" t="str">
        <f ca="1">IFERROR(__xludf.DUMMYFUNCTION("""COMPUTED_VALUE"""),"OBRA")</f>
        <v>OBRA</v>
      </c>
      <c r="J827" s="10" t="str">
        <f ca="1">IFERROR(__xludf.DUMMYFUNCTION("""COMPUTED_VALUE"""),"Cumplir con normativa y reglamentos internos del programa en base a los objetivos.")</f>
        <v>Cumplir con normativa y reglamentos internos del programa en base a los objetivos.</v>
      </c>
      <c r="K827" s="71">
        <f ca="1">IFERROR(__xludf.DUMMYFUNCTION("""COMPUTED_VALUE"""),154498321)</f>
        <v>154498321</v>
      </c>
      <c r="L827" s="72">
        <f ca="1">IFERROR(__xludf.DUMMYFUNCTION("""COMPUTED_VALUE"""),1)</f>
        <v>1</v>
      </c>
      <c r="M827" s="10">
        <f ca="1">IFERROR(__xludf.DUMMYFUNCTION("""COMPUTED_VALUE"""),10043)</f>
        <v>10043</v>
      </c>
      <c r="N827" s="10" t="str">
        <f ca="1">IFERROR(__xludf.DUMMYFUNCTION("""COMPUTED_VALUE"""),"PMU")</f>
        <v>PMU</v>
      </c>
      <c r="O827" s="1"/>
      <c r="P827" s="1"/>
      <c r="Q827" s="1"/>
      <c r="R827" s="1"/>
      <c r="S827" s="1"/>
      <c r="T827" s="1"/>
      <c r="U827" s="1"/>
      <c r="V827" s="1"/>
      <c r="W827" s="1"/>
      <c r="X827" s="1"/>
      <c r="Y827" s="1"/>
      <c r="Z827" s="1"/>
    </row>
    <row r="828" spans="1:26" ht="12.75" customHeight="1">
      <c r="A828" s="1"/>
      <c r="B828" s="10" t="str">
        <f ca="1">IFERROR(__xludf.DUMMYFUNCTION("""COMPUTED_VALUE"""),"[SATE] MEJORAMIENTO GRADERÍA PRINCIPAL ESTADIO MUNICIPAL, COMUNA DE FLORIDA")</f>
        <v>[SATE] MEJORAMIENTO GRADERÍA PRINCIPAL ESTADIO MUNICIPAL, COMUNA DE FLORIDA</v>
      </c>
      <c r="C828" s="10" t="str">
        <f ca="1">IFERROR(__xludf.DUMMYFUNCTION("""COMPUTED_VALUE"""),"1-C-2023-2211")</f>
        <v>1-C-2023-2211</v>
      </c>
      <c r="D828" s="26"/>
      <c r="E828" s="10" t="str">
        <f ca="1">IFERROR(__xludf.DUMMYFUNCTION("""COMPUTED_VALUE"""),"Guía Operativa")</f>
        <v>Guía Operativa</v>
      </c>
      <c r="F828" s="10" t="str">
        <f ca="1">IFERROR(__xludf.DUMMYFUNCTION("""COMPUTED_VALUE"""),"MUNICIPALIDAD DE FLORIDA")</f>
        <v>MUNICIPALIDAD DE FLORIDA</v>
      </c>
      <c r="G828" s="71">
        <f ca="1">IFERROR(__xludf.DUMMYFUNCTION("""COMPUTED_VALUE"""),161646745)</f>
        <v>161646745</v>
      </c>
      <c r="H828" s="10" t="str">
        <f ca="1">IFERROR(__xludf.DUMMYFUNCTION("""COMPUTED_VALUE"""),"Resolución")</f>
        <v>Resolución</v>
      </c>
      <c r="I828" s="10" t="str">
        <f ca="1">IFERROR(__xludf.DUMMYFUNCTION("""COMPUTED_VALUE"""),"OBRA")</f>
        <v>OBRA</v>
      </c>
      <c r="J828" s="10" t="str">
        <f ca="1">IFERROR(__xludf.DUMMYFUNCTION("""COMPUTED_VALUE"""),"Cumplir con normativa y reglamentos internos del programa en base a los objetivos.")</f>
        <v>Cumplir con normativa y reglamentos internos del programa en base a los objetivos.</v>
      </c>
      <c r="K828" s="71">
        <f ca="1">IFERROR(__xludf.DUMMYFUNCTION("""COMPUTED_VALUE"""),161646745)</f>
        <v>161646745</v>
      </c>
      <c r="L828" s="72">
        <f ca="1">IFERROR(__xludf.DUMMYFUNCTION("""COMPUTED_VALUE"""),1)</f>
        <v>1</v>
      </c>
      <c r="M828" s="10">
        <f ca="1">IFERROR(__xludf.DUMMYFUNCTION("""COMPUTED_VALUE"""),9777)</f>
        <v>9777</v>
      </c>
      <c r="N828" s="10" t="str">
        <f ca="1">IFERROR(__xludf.DUMMYFUNCTION("""COMPUTED_VALUE"""),"PMU")</f>
        <v>PMU</v>
      </c>
      <c r="O828" s="1"/>
      <c r="P828" s="1"/>
      <c r="Q828" s="1"/>
      <c r="R828" s="1"/>
      <c r="S828" s="1"/>
      <c r="T828" s="1"/>
      <c r="U828" s="1"/>
      <c r="V828" s="1"/>
      <c r="W828" s="1"/>
      <c r="X828" s="1"/>
      <c r="Y828" s="1"/>
      <c r="Z828" s="1"/>
    </row>
    <row r="829" spans="1:26" ht="12.75" customHeight="1">
      <c r="A829" s="1"/>
      <c r="B829" s="10" t="str">
        <f ca="1">IFERROR(__xludf.DUMMYFUNCTION("""COMPUTED_VALUE"""),"CONSTRUCCION DE MOSAICOS EN MUROS DE DIVERSOS ESPACIOS PÚBLICOS LOS ALAMOS")</f>
        <v>CONSTRUCCION DE MOSAICOS EN MUROS DE DIVERSOS ESPACIOS PÚBLICOS LOS ALAMOS</v>
      </c>
      <c r="C829" s="10" t="str">
        <f ca="1">IFERROR(__xludf.DUMMYFUNCTION("""COMPUTED_VALUE"""),"1-C-2023-3272")</f>
        <v>1-C-2023-3272</v>
      </c>
      <c r="D829" s="26"/>
      <c r="E829" s="10" t="str">
        <f ca="1">IFERROR(__xludf.DUMMYFUNCTION("""COMPUTED_VALUE"""),"Guía Operativa")</f>
        <v>Guía Operativa</v>
      </c>
      <c r="F829" s="10" t="str">
        <f ca="1">IFERROR(__xludf.DUMMYFUNCTION("""COMPUTED_VALUE"""),"MUNICIPALIDAD DE LOS ÁLAMOS")</f>
        <v>MUNICIPALIDAD DE LOS ÁLAMOS</v>
      </c>
      <c r="G829" s="71">
        <f ca="1">IFERROR(__xludf.DUMMYFUNCTION("""COMPUTED_VALUE"""),95520524)</f>
        <v>95520524</v>
      </c>
      <c r="H829" s="10" t="str">
        <f ca="1">IFERROR(__xludf.DUMMYFUNCTION("""COMPUTED_VALUE"""),"Resolución")</f>
        <v>Resolución</v>
      </c>
      <c r="I829" s="10" t="str">
        <f ca="1">IFERROR(__xludf.DUMMYFUNCTION("""COMPUTED_VALUE"""),"OBRA")</f>
        <v>OBRA</v>
      </c>
      <c r="J829" s="10" t="str">
        <f ca="1">IFERROR(__xludf.DUMMYFUNCTION("""COMPUTED_VALUE"""),"Cumplir con normativa y reglamentos internos del programa en base a los objetivos.")</f>
        <v>Cumplir con normativa y reglamentos internos del programa en base a los objetivos.</v>
      </c>
      <c r="K829" s="71">
        <f ca="1">IFERROR(__xludf.DUMMYFUNCTION("""COMPUTED_VALUE"""),95520524)</f>
        <v>95520524</v>
      </c>
      <c r="L829" s="72">
        <f ca="1">IFERROR(__xludf.DUMMYFUNCTION("""COMPUTED_VALUE"""),1)</f>
        <v>1</v>
      </c>
      <c r="M829" s="10">
        <f ca="1">IFERROR(__xludf.DUMMYFUNCTION("""COMPUTED_VALUE"""),9775)</f>
        <v>9775</v>
      </c>
      <c r="N829" s="10" t="str">
        <f ca="1">IFERROR(__xludf.DUMMYFUNCTION("""COMPUTED_VALUE"""),"PMU")</f>
        <v>PMU</v>
      </c>
      <c r="O829" s="1"/>
      <c r="P829" s="1"/>
      <c r="Q829" s="1"/>
      <c r="R829" s="1"/>
      <c r="S829" s="1"/>
      <c r="T829" s="1"/>
      <c r="U829" s="1"/>
      <c r="V829" s="1"/>
      <c r="W829" s="1"/>
      <c r="X829" s="1"/>
      <c r="Y829" s="1"/>
      <c r="Z829" s="1"/>
    </row>
    <row r="830" spans="1:26" ht="12.75" customHeight="1">
      <c r="A830" s="1"/>
      <c r="B830" s="10" t="str">
        <f ca="1">IFERROR(__xludf.DUMMYFUNCTION("""COMPUTED_VALUE"""),"REPOSICION VEREDAS ALCÁZAR ENTRE RICARDO VICUÑA Y LYNCH, RICARDO VICUÑA ENTRE ALCÁZAR Y COCHRANE,BULNES ENTRE ALCÁZAR Y CAMILO HENRÍQUEZ, LOS ÁNGELES.")</f>
        <v>REPOSICION VEREDAS ALCÁZAR ENTRE RICARDO VICUÑA Y LYNCH, RICARDO VICUÑA ENTRE ALCÁZAR Y COCHRANE,BULNES ENTRE ALCÁZAR Y CAMILO HENRÍQUEZ, LOS ÁNGELES.</v>
      </c>
      <c r="C830" s="10" t="str">
        <f ca="1">IFERROR(__xludf.DUMMYFUNCTION("""COMPUTED_VALUE"""),"1-C-2023-3466")</f>
        <v>1-C-2023-3466</v>
      </c>
      <c r="D830" s="26"/>
      <c r="E830" s="10" t="str">
        <f ca="1">IFERROR(__xludf.DUMMYFUNCTION("""COMPUTED_VALUE"""),"Guía Operativa")</f>
        <v>Guía Operativa</v>
      </c>
      <c r="F830" s="10" t="str">
        <f ca="1">IFERROR(__xludf.DUMMYFUNCTION("""COMPUTED_VALUE"""),"MUNICIPALIDAD DE LOS ÁNGELES")</f>
        <v>MUNICIPALIDAD DE LOS ÁNGELES</v>
      </c>
      <c r="G830" s="71">
        <f ca="1">IFERROR(__xludf.DUMMYFUNCTION("""COMPUTED_VALUE"""),155987532)</f>
        <v>155987532</v>
      </c>
      <c r="H830" s="10" t="str">
        <f ca="1">IFERROR(__xludf.DUMMYFUNCTION("""COMPUTED_VALUE"""),"Resolución")</f>
        <v>Resolución</v>
      </c>
      <c r="I830" s="10" t="str">
        <f ca="1">IFERROR(__xludf.DUMMYFUNCTION("""COMPUTED_VALUE"""),"OBRA")</f>
        <v>OBRA</v>
      </c>
      <c r="J830" s="10" t="str">
        <f ca="1">IFERROR(__xludf.DUMMYFUNCTION("""COMPUTED_VALUE"""),"Cumplir con normativa y reglamentos internos del programa en base a los objetivos.")</f>
        <v>Cumplir con normativa y reglamentos internos del programa en base a los objetivos.</v>
      </c>
      <c r="K830" s="71">
        <f ca="1">IFERROR(__xludf.DUMMYFUNCTION("""COMPUTED_VALUE"""),77993766)</f>
        <v>77993766</v>
      </c>
      <c r="L830" s="72">
        <f ca="1">IFERROR(__xludf.DUMMYFUNCTION("""COMPUTED_VALUE"""),0.5)</f>
        <v>0.5</v>
      </c>
      <c r="M830" s="10">
        <f ca="1">IFERROR(__xludf.DUMMYFUNCTION("""COMPUTED_VALUE"""),10351)</f>
        <v>10351</v>
      </c>
      <c r="N830" s="10" t="str">
        <f ca="1">IFERROR(__xludf.DUMMYFUNCTION("""COMPUTED_VALUE"""),"PMU")</f>
        <v>PMU</v>
      </c>
      <c r="O830" s="1"/>
      <c r="P830" s="1"/>
      <c r="Q830" s="1"/>
      <c r="R830" s="1"/>
      <c r="S830" s="1"/>
      <c r="T830" s="1"/>
      <c r="U830" s="1"/>
      <c r="V830" s="1"/>
      <c r="W830" s="1"/>
      <c r="X830" s="1"/>
      <c r="Y830" s="1"/>
      <c r="Z830" s="1"/>
    </row>
    <row r="831" spans="1:26" ht="12.75" customHeight="1">
      <c r="A831" s="1"/>
      <c r="B831" s="10" t="str">
        <f ca="1">IFERROR(__xludf.DUMMYFUNCTION("""COMPUTED_VALUE"""),"CONSERVACIÓN ESCUELA RURAL LOS CALLEJONES, SAN ROSENDO")</f>
        <v>CONSERVACIÓN ESCUELA RURAL LOS CALLEJONES, SAN ROSENDO</v>
      </c>
      <c r="C831" s="10" t="str">
        <f ca="1">IFERROR(__xludf.DUMMYFUNCTION("""COMPUTED_VALUE"""),"1-C-2024-174")</f>
        <v>1-C-2024-174</v>
      </c>
      <c r="D831" s="26"/>
      <c r="E831" s="10" t="str">
        <f ca="1">IFERROR(__xludf.DUMMYFUNCTION("""COMPUTED_VALUE"""),"Guía Operativa")</f>
        <v>Guía Operativa</v>
      </c>
      <c r="F831" s="10" t="str">
        <f ca="1">IFERROR(__xludf.DUMMYFUNCTION("""COMPUTED_VALUE"""),"MUNICIPALIDAD DE SAN ROSENDO")</f>
        <v>MUNICIPALIDAD DE SAN ROSENDO</v>
      </c>
      <c r="G831" s="71">
        <f ca="1">IFERROR(__xludf.DUMMYFUNCTION("""COMPUTED_VALUE"""),150000000)</f>
        <v>150000000</v>
      </c>
      <c r="H831" s="10" t="str">
        <f ca="1">IFERROR(__xludf.DUMMYFUNCTION("""COMPUTED_VALUE"""),"Resolución")</f>
        <v>Resolución</v>
      </c>
      <c r="I831" s="10" t="str">
        <f ca="1">IFERROR(__xludf.DUMMYFUNCTION("""COMPUTED_VALUE"""),"OBRA")</f>
        <v>OBRA</v>
      </c>
      <c r="J831" s="10" t="str">
        <f ca="1">IFERROR(__xludf.DUMMYFUNCTION("""COMPUTED_VALUE"""),"Cumplir con normativa y reglamentos internos del programa en base a los objetivos.")</f>
        <v>Cumplir con normativa y reglamentos internos del programa en base a los objetivos.</v>
      </c>
      <c r="K831" s="71">
        <f ca="1">IFERROR(__xludf.DUMMYFUNCTION("""COMPUTED_VALUE"""),150000000)</f>
        <v>150000000</v>
      </c>
      <c r="L831" s="72">
        <f ca="1">IFERROR(__xludf.DUMMYFUNCTION("""COMPUTED_VALUE"""),1)</f>
        <v>1</v>
      </c>
      <c r="M831" s="10">
        <f ca="1">IFERROR(__xludf.DUMMYFUNCTION("""COMPUTED_VALUE"""),9756)</f>
        <v>9756</v>
      </c>
      <c r="N831" s="10" t="str">
        <f ca="1">IFERROR(__xludf.DUMMYFUNCTION("""COMPUTED_VALUE"""),"PMU")</f>
        <v>PMU</v>
      </c>
      <c r="O831" s="1"/>
      <c r="P831" s="1"/>
      <c r="Q831" s="1"/>
      <c r="R831" s="1"/>
      <c r="S831" s="1"/>
      <c r="T831" s="1"/>
      <c r="U831" s="1"/>
      <c r="V831" s="1"/>
      <c r="W831" s="1"/>
      <c r="X831" s="1"/>
      <c r="Y831" s="1"/>
      <c r="Z831" s="1"/>
    </row>
    <row r="832" spans="1:26" ht="12.75" customHeight="1">
      <c r="A832" s="1"/>
      <c r="B832" s="10" t="str">
        <f ca="1">IFERROR(__xludf.DUMMYFUNCTION("""COMPUTED_VALUE"""),"[SATE] CONSTRUCCIÓN PUNTOS DE VENTA COSTANERA LARAQUETE, COMUNA DE ARAUCO")</f>
        <v>[SATE] CONSTRUCCIÓN PUNTOS DE VENTA COSTANERA LARAQUETE, COMUNA DE ARAUCO</v>
      </c>
      <c r="C832" s="10" t="str">
        <f ca="1">IFERROR(__xludf.DUMMYFUNCTION("""COMPUTED_VALUE"""),"1-C-2024-514")</f>
        <v>1-C-2024-514</v>
      </c>
      <c r="D832" s="26"/>
      <c r="E832" s="10" t="str">
        <f ca="1">IFERROR(__xludf.DUMMYFUNCTION("""COMPUTED_VALUE"""),"Guía Operativa")</f>
        <v>Guía Operativa</v>
      </c>
      <c r="F832" s="10" t="str">
        <f ca="1">IFERROR(__xludf.DUMMYFUNCTION("""COMPUTED_VALUE"""),"MUNICIPALIDAD DE ARAUCO")</f>
        <v>MUNICIPALIDAD DE ARAUCO</v>
      </c>
      <c r="G832" s="71">
        <f ca="1">IFERROR(__xludf.DUMMYFUNCTION("""COMPUTED_VALUE"""),161664900)</f>
        <v>161664900</v>
      </c>
      <c r="H832" s="10" t="str">
        <f ca="1">IFERROR(__xludf.DUMMYFUNCTION("""COMPUTED_VALUE"""),"Resolución")</f>
        <v>Resolución</v>
      </c>
      <c r="I832" s="10" t="str">
        <f ca="1">IFERROR(__xludf.DUMMYFUNCTION("""COMPUTED_VALUE"""),"OBRA")</f>
        <v>OBRA</v>
      </c>
      <c r="J832" s="10" t="str">
        <f ca="1">IFERROR(__xludf.DUMMYFUNCTION("""COMPUTED_VALUE"""),"Cumplir con normativa y reglamentos internos del programa en base a los objetivos.")</f>
        <v>Cumplir con normativa y reglamentos internos del programa en base a los objetivos.</v>
      </c>
      <c r="K832" s="71">
        <f ca="1">IFERROR(__xludf.DUMMYFUNCTION("""COMPUTED_VALUE"""),161664900)</f>
        <v>161664900</v>
      </c>
      <c r="L832" s="72">
        <f ca="1">IFERROR(__xludf.DUMMYFUNCTION("""COMPUTED_VALUE"""),1)</f>
        <v>1</v>
      </c>
      <c r="M832" s="10">
        <f ca="1">IFERROR(__xludf.DUMMYFUNCTION("""COMPUTED_VALUE"""),9887)</f>
        <v>9887</v>
      </c>
      <c r="N832" s="10" t="str">
        <f ca="1">IFERROR(__xludf.DUMMYFUNCTION("""COMPUTED_VALUE"""),"PMU")</f>
        <v>PMU</v>
      </c>
      <c r="O832" s="1"/>
      <c r="P832" s="1"/>
      <c r="Q832" s="1"/>
      <c r="R832" s="1"/>
      <c r="S832" s="1"/>
      <c r="T832" s="1"/>
      <c r="U832" s="1"/>
      <c r="V832" s="1"/>
      <c r="W832" s="1"/>
      <c r="X832" s="1"/>
      <c r="Y832" s="1"/>
      <c r="Z832" s="1"/>
    </row>
    <row r="833" spans="1:26" ht="12.75" customHeight="1">
      <c r="A833" s="1"/>
      <c r="B833" s="10" t="str">
        <f ca="1">IFERROR(__xludf.DUMMYFUNCTION("""COMPUTED_VALUE"""),"CONSTRUCCIÓN MULTICANCHA Y EQUIPAMIENTO COMPLEMENTARIO SECTOR HARAS EL LAJA, LOS ÁNGELES")</f>
        <v>CONSTRUCCIÓN MULTICANCHA Y EQUIPAMIENTO COMPLEMENTARIO SECTOR HARAS EL LAJA, LOS ÁNGELES</v>
      </c>
      <c r="C833" s="10" t="str">
        <f ca="1">IFERROR(__xludf.DUMMYFUNCTION("""COMPUTED_VALUE"""),"1-C-2024-561")</f>
        <v>1-C-2024-561</v>
      </c>
      <c r="D833" s="26"/>
      <c r="E833" s="10" t="str">
        <f ca="1">IFERROR(__xludf.DUMMYFUNCTION("""COMPUTED_VALUE"""),"Guía Operativa")</f>
        <v>Guía Operativa</v>
      </c>
      <c r="F833" s="10" t="str">
        <f ca="1">IFERROR(__xludf.DUMMYFUNCTION("""COMPUTED_VALUE"""),"MUNICIPALIDAD DE LOS ÁNGELES")</f>
        <v>MUNICIPALIDAD DE LOS ÁNGELES</v>
      </c>
      <c r="G833" s="71">
        <f ca="1">IFERROR(__xludf.DUMMYFUNCTION("""COMPUTED_VALUE"""),137388856)</f>
        <v>137388856</v>
      </c>
      <c r="H833" s="10" t="str">
        <f ca="1">IFERROR(__xludf.DUMMYFUNCTION("""COMPUTED_VALUE"""),"Resolución")</f>
        <v>Resolución</v>
      </c>
      <c r="I833" s="10" t="str">
        <f ca="1">IFERROR(__xludf.DUMMYFUNCTION("""COMPUTED_VALUE"""),"OBRA")</f>
        <v>OBRA</v>
      </c>
      <c r="J833" s="10" t="str">
        <f ca="1">IFERROR(__xludf.DUMMYFUNCTION("""COMPUTED_VALUE"""),"Cumplir con normativa y reglamentos internos del programa en base a los objetivos.")</f>
        <v>Cumplir con normativa y reglamentos internos del programa en base a los objetivos.</v>
      </c>
      <c r="K833" s="71">
        <f ca="1">IFERROR(__xludf.DUMMYFUNCTION("""COMPUTED_VALUE"""),68694428)</f>
        <v>68694428</v>
      </c>
      <c r="L833" s="72">
        <f ca="1">IFERROR(__xludf.DUMMYFUNCTION("""COMPUTED_VALUE"""),0.5)</f>
        <v>0.5</v>
      </c>
      <c r="M833" s="10">
        <f ca="1">IFERROR(__xludf.DUMMYFUNCTION("""COMPUTED_VALUE"""),10351)</f>
        <v>10351</v>
      </c>
      <c r="N833" s="10" t="str">
        <f ca="1">IFERROR(__xludf.DUMMYFUNCTION("""COMPUTED_VALUE"""),"PMU")</f>
        <v>PMU</v>
      </c>
      <c r="O833" s="1"/>
      <c r="P833" s="1"/>
      <c r="Q833" s="1"/>
      <c r="R833" s="1"/>
      <c r="S833" s="1"/>
      <c r="T833" s="1"/>
      <c r="U833" s="1"/>
      <c r="V833" s="1"/>
      <c r="W833" s="1"/>
      <c r="X833" s="1"/>
      <c r="Y833" s="1"/>
      <c r="Z833" s="1"/>
    </row>
    <row r="834" spans="1:26" ht="12.75" customHeight="1">
      <c r="A834" s="1"/>
      <c r="B834" s="10" t="str">
        <f ca="1">IFERROR(__xludf.DUMMYFUNCTION("""COMPUTED_VALUE"""),"1. REPOSICIÓN ACERAS EN CALLE LOS DIAGUITAS ENTRE CALLES VOLCÁN PUYEHUE Y VOLCÁN ISLUGA, POB. JORGE ALESSANDRI.")</f>
        <v>1. REPOSICIÓN ACERAS EN CALLE LOS DIAGUITAS ENTRE CALLES VOLCÁN PUYEHUE Y VOLCÁN ISLUGA, POB. JORGE ALESSANDRI.</v>
      </c>
      <c r="C834" s="10" t="str">
        <f ca="1">IFERROR(__xludf.DUMMYFUNCTION("""COMPUTED_VALUE"""),"1-K-2024-3")</f>
        <v>1-K-2024-3</v>
      </c>
      <c r="D834" s="26"/>
      <c r="E834" s="10" t="str">
        <f ca="1">IFERROR(__xludf.DUMMYFUNCTION("""COMPUTED_VALUE"""),"Guía Operativa")</f>
        <v>Guía Operativa</v>
      </c>
      <c r="F834" s="10" t="str">
        <f ca="1">IFERROR(__xludf.DUMMYFUNCTION("""COMPUTED_VALUE"""),"MUNICIPALIDAD DE CORONEL")</f>
        <v>MUNICIPALIDAD DE CORONEL</v>
      </c>
      <c r="G834" s="71">
        <f ca="1">IFERROR(__xludf.DUMMYFUNCTION("""COMPUTED_VALUE"""),54785895)</f>
        <v>54785895</v>
      </c>
      <c r="H834" s="10" t="str">
        <f ca="1">IFERROR(__xludf.DUMMYFUNCTION("""COMPUTED_VALUE"""),"Resolución")</f>
        <v>Resolución</v>
      </c>
      <c r="I834" s="10" t="str">
        <f ca="1">IFERROR(__xludf.DUMMYFUNCTION("""COMPUTED_VALUE"""),"OBRA")</f>
        <v>OBRA</v>
      </c>
      <c r="J834" s="10" t="str">
        <f ca="1">IFERROR(__xludf.DUMMYFUNCTION("""COMPUTED_VALUE"""),"Cumplir con normativa y reglamentos internos del programa en base a los objetivos.")</f>
        <v>Cumplir con normativa y reglamentos internos del programa en base a los objetivos.</v>
      </c>
      <c r="K834" s="71">
        <f ca="1">IFERROR(__xludf.DUMMYFUNCTION("""COMPUTED_VALUE"""),27392947)</f>
        <v>27392947</v>
      </c>
      <c r="L834" s="72">
        <f ca="1">IFERROR(__xludf.DUMMYFUNCTION("""COMPUTED_VALUE"""),0.499999990873563)</f>
        <v>0.499999990873563</v>
      </c>
      <c r="M834" s="10">
        <f ca="1">IFERROR(__xludf.DUMMYFUNCTION("""COMPUTED_VALUE"""),7703)</f>
        <v>7703</v>
      </c>
      <c r="N834" s="10" t="str">
        <f ca="1">IFERROR(__xludf.DUMMYFUNCTION("""COMPUTED_VALUE"""),"PMU")</f>
        <v>PMU</v>
      </c>
      <c r="O834" s="1"/>
      <c r="P834" s="1"/>
      <c r="Q834" s="1"/>
      <c r="R834" s="1"/>
      <c r="S834" s="1"/>
      <c r="T834" s="1"/>
      <c r="U834" s="1"/>
      <c r="V834" s="1"/>
      <c r="W834" s="1"/>
      <c r="X834" s="1"/>
      <c r="Y834" s="1"/>
      <c r="Z834" s="1"/>
    </row>
    <row r="835" spans="1:26" ht="12.75" customHeight="1">
      <c r="A835" s="1"/>
      <c r="B835" s="10" t="str">
        <f ca="1">IFERROR(__xludf.DUMMYFUNCTION("""COMPUTED_VALUE"""),"2. REPOSICIÓN ACERAS EN CALLE VOLCÁN VILLARRICA ENTRE CALLES LOS DIAGUITAS Y VOLCÁN TAKORA, POB. JORGE ALESSANDRI.")</f>
        <v>2. REPOSICIÓN ACERAS EN CALLE VOLCÁN VILLARRICA ENTRE CALLES LOS DIAGUITAS Y VOLCÁN TAKORA, POB. JORGE ALESSANDRI.</v>
      </c>
      <c r="C835" s="10" t="str">
        <f ca="1">IFERROR(__xludf.DUMMYFUNCTION("""COMPUTED_VALUE"""),"1-K-2024-4")</f>
        <v>1-K-2024-4</v>
      </c>
      <c r="D835" s="26"/>
      <c r="E835" s="10" t="str">
        <f ca="1">IFERROR(__xludf.DUMMYFUNCTION("""COMPUTED_VALUE"""),"Guía Operativa")</f>
        <v>Guía Operativa</v>
      </c>
      <c r="F835" s="10" t="str">
        <f ca="1">IFERROR(__xludf.DUMMYFUNCTION("""COMPUTED_VALUE"""),"MUNICIPALIDAD DE CORONEL")</f>
        <v>MUNICIPALIDAD DE CORONEL</v>
      </c>
      <c r="G835" s="71">
        <f ca="1">IFERROR(__xludf.DUMMYFUNCTION("""COMPUTED_VALUE"""),88219323)</f>
        <v>88219323</v>
      </c>
      <c r="H835" s="10" t="str">
        <f ca="1">IFERROR(__xludf.DUMMYFUNCTION("""COMPUTED_VALUE"""),"Resolución")</f>
        <v>Resolución</v>
      </c>
      <c r="I835" s="10" t="str">
        <f ca="1">IFERROR(__xludf.DUMMYFUNCTION("""COMPUTED_VALUE"""),"OBRA")</f>
        <v>OBRA</v>
      </c>
      <c r="J835" s="10" t="str">
        <f ca="1">IFERROR(__xludf.DUMMYFUNCTION("""COMPUTED_VALUE"""),"Cumplir con normativa y reglamentos internos del programa en base a los objetivos.")</f>
        <v>Cumplir con normativa y reglamentos internos del programa en base a los objetivos.</v>
      </c>
      <c r="K835" s="71">
        <f ca="1">IFERROR(__xludf.DUMMYFUNCTION("""COMPUTED_VALUE"""),44109661)</f>
        <v>44109661</v>
      </c>
      <c r="L835" s="72">
        <f ca="1">IFERROR(__xludf.DUMMYFUNCTION("""COMPUTED_VALUE"""),0.499999994332307)</f>
        <v>0.49999999433230702</v>
      </c>
      <c r="M835" s="10">
        <f ca="1">IFERROR(__xludf.DUMMYFUNCTION("""COMPUTED_VALUE"""),7785)</f>
        <v>7785</v>
      </c>
      <c r="N835" s="10" t="str">
        <f ca="1">IFERROR(__xludf.DUMMYFUNCTION("""COMPUTED_VALUE"""),"PMU")</f>
        <v>PMU</v>
      </c>
      <c r="O835" s="1"/>
      <c r="P835" s="1"/>
      <c r="Q835" s="1"/>
      <c r="R835" s="1"/>
      <c r="S835" s="1"/>
      <c r="T835" s="1"/>
      <c r="U835" s="1"/>
      <c r="V835" s="1"/>
      <c r="W835" s="1"/>
      <c r="X835" s="1"/>
      <c r="Y835" s="1"/>
      <c r="Z835" s="1"/>
    </row>
    <row r="836" spans="1:26" ht="12.75" customHeight="1">
      <c r="A836" s="1"/>
      <c r="B836" s="10" t="str">
        <f ca="1">IFERROR(__xludf.DUMMYFUNCTION("""COMPUTED_VALUE"""),"3. REPOSICIÓN ACERAS EN CALLE LOS DIAGUITAS ENTRE CALLES VOLCÁN LLULLAILLACO Y VOLCÁN VILLARRICA, POB. JORGE ALESSANDRI.")</f>
        <v>3. REPOSICIÓN ACERAS EN CALLE LOS DIAGUITAS ENTRE CALLES VOLCÁN LLULLAILLACO Y VOLCÁN VILLARRICA, POB. JORGE ALESSANDRI.</v>
      </c>
      <c r="C836" s="10" t="str">
        <f ca="1">IFERROR(__xludf.DUMMYFUNCTION("""COMPUTED_VALUE"""),"1-K-2024-5")</f>
        <v>1-K-2024-5</v>
      </c>
      <c r="D836" s="26"/>
      <c r="E836" s="10" t="str">
        <f ca="1">IFERROR(__xludf.DUMMYFUNCTION("""COMPUTED_VALUE"""),"Guía Operativa")</f>
        <v>Guía Operativa</v>
      </c>
      <c r="F836" s="10" t="str">
        <f ca="1">IFERROR(__xludf.DUMMYFUNCTION("""COMPUTED_VALUE"""),"MUNICIPALIDAD DE CORONEL")</f>
        <v>MUNICIPALIDAD DE CORONEL</v>
      </c>
      <c r="G836" s="71">
        <f ca="1">IFERROR(__xludf.DUMMYFUNCTION("""COMPUTED_VALUE"""),161211965)</f>
        <v>161211965</v>
      </c>
      <c r="H836" s="10" t="str">
        <f ca="1">IFERROR(__xludf.DUMMYFUNCTION("""COMPUTED_VALUE"""),"Resolución")</f>
        <v>Resolución</v>
      </c>
      <c r="I836" s="10" t="str">
        <f ca="1">IFERROR(__xludf.DUMMYFUNCTION("""COMPUTED_VALUE"""),"OBRA")</f>
        <v>OBRA</v>
      </c>
      <c r="J836" s="10" t="str">
        <f ca="1">IFERROR(__xludf.DUMMYFUNCTION("""COMPUTED_VALUE"""),"Cumplir con normativa y reglamentos internos del programa en base a los objetivos.")</f>
        <v>Cumplir con normativa y reglamentos internos del programa en base a los objetivos.</v>
      </c>
      <c r="K836" s="71">
        <f ca="1">IFERROR(__xludf.DUMMYFUNCTION("""COMPUTED_VALUE"""),78961929)</f>
        <v>78961929</v>
      </c>
      <c r="L836" s="72">
        <f ca="1">IFERROR(__xludf.DUMMYFUNCTION("""COMPUTED_VALUE"""),0.489801913896403)</f>
        <v>0.48980191389640299</v>
      </c>
      <c r="M836" s="10">
        <f ca="1">IFERROR(__xludf.DUMMYFUNCTION("""COMPUTED_VALUE"""),7784)</f>
        <v>7784</v>
      </c>
      <c r="N836" s="10" t="str">
        <f ca="1">IFERROR(__xludf.DUMMYFUNCTION("""COMPUTED_VALUE"""),"PMU")</f>
        <v>PMU</v>
      </c>
      <c r="O836" s="1"/>
      <c r="P836" s="1"/>
      <c r="Q836" s="1"/>
      <c r="R836" s="1"/>
      <c r="S836" s="1"/>
      <c r="T836" s="1"/>
      <c r="U836" s="1"/>
      <c r="V836" s="1"/>
      <c r="W836" s="1"/>
      <c r="X836" s="1"/>
      <c r="Y836" s="1"/>
      <c r="Z836" s="1"/>
    </row>
    <row r="837" spans="1:26" ht="12.75" customHeight="1">
      <c r="A837" s="1"/>
      <c r="B837" s="10" t="str">
        <f ca="1">IFERROR(__xludf.DUMMYFUNCTION("""COMPUTED_VALUE"""),"4. REPOSICIÓN ACERAS EN CALLE VOLCÁN VILLARRICA ENTRE CALLES LOS DIAGUITAS Y VOLCÁN SAN PEDRO, POB. JORGE ALESSANDRI.")</f>
        <v>4. REPOSICIÓN ACERAS EN CALLE VOLCÁN VILLARRICA ENTRE CALLES LOS DIAGUITAS Y VOLCÁN SAN PEDRO, POB. JORGE ALESSANDRI.</v>
      </c>
      <c r="C837" s="10" t="str">
        <f ca="1">IFERROR(__xludf.DUMMYFUNCTION("""COMPUTED_VALUE"""),"1-K-2024-6")</f>
        <v>1-K-2024-6</v>
      </c>
      <c r="D837" s="26"/>
      <c r="E837" s="10" t="str">
        <f ca="1">IFERROR(__xludf.DUMMYFUNCTION("""COMPUTED_VALUE"""),"Guía Operativa")</f>
        <v>Guía Operativa</v>
      </c>
      <c r="F837" s="10" t="str">
        <f ca="1">IFERROR(__xludf.DUMMYFUNCTION("""COMPUTED_VALUE"""),"MUNICIPALIDAD DE CORONEL")</f>
        <v>MUNICIPALIDAD DE CORONEL</v>
      </c>
      <c r="G837" s="71">
        <f ca="1">IFERROR(__xludf.DUMMYFUNCTION("""COMPUTED_VALUE"""),161294974)</f>
        <v>161294974</v>
      </c>
      <c r="H837" s="10" t="str">
        <f ca="1">IFERROR(__xludf.DUMMYFUNCTION("""COMPUTED_VALUE"""),"Resolución")</f>
        <v>Resolución</v>
      </c>
      <c r="I837" s="10" t="str">
        <f ca="1">IFERROR(__xludf.DUMMYFUNCTION("""COMPUTED_VALUE"""),"OBRA")</f>
        <v>OBRA</v>
      </c>
      <c r="J837" s="10" t="str">
        <f ca="1">IFERROR(__xludf.DUMMYFUNCTION("""COMPUTED_VALUE"""),"Cumplir con normativa y reglamentos internos del programa en base a los objetivos.")</f>
        <v>Cumplir con normativa y reglamentos internos del programa en base a los objetivos.</v>
      </c>
      <c r="K837" s="71">
        <f ca="1">IFERROR(__xludf.DUMMYFUNCTION("""COMPUTED_VALUE"""),79003434)</f>
        <v>79003434</v>
      </c>
      <c r="L837" s="72">
        <f ca="1">IFERROR(__xludf.DUMMYFUNCTION("""COMPUTED_VALUE"""),0.489807165349119)</f>
        <v>0.489807165349119</v>
      </c>
      <c r="M837" s="10">
        <f ca="1">IFERROR(__xludf.DUMMYFUNCTION("""COMPUTED_VALUE"""),8020)</f>
        <v>8020</v>
      </c>
      <c r="N837" s="10" t="str">
        <f ca="1">IFERROR(__xludf.DUMMYFUNCTION("""COMPUTED_VALUE"""),"PMU")</f>
        <v>PMU</v>
      </c>
      <c r="O837" s="1"/>
      <c r="P837" s="1"/>
      <c r="Q837" s="1"/>
      <c r="R837" s="1"/>
      <c r="S837" s="1"/>
      <c r="T837" s="1"/>
      <c r="U837" s="1"/>
      <c r="V837" s="1"/>
      <c r="W837" s="1"/>
      <c r="X837" s="1"/>
      <c r="Y837" s="1"/>
      <c r="Z837" s="1"/>
    </row>
    <row r="838" spans="1:26" ht="12.75" customHeight="1">
      <c r="A838" s="1"/>
      <c r="B838" s="10" t="str">
        <f ca="1">IFERROR(__xludf.DUMMYFUNCTION("""COMPUTED_VALUE"""),"5. REPOSICIÓN ACERAS EN CALLE LOS DIAGUITAS ENTRE CALLES VOLCÁN ISLUGA Y VOLCÁN LLULLAILLACO, POB. JORGE ALESSANDRI.")</f>
        <v>5. REPOSICIÓN ACERAS EN CALLE LOS DIAGUITAS ENTRE CALLES VOLCÁN ISLUGA Y VOLCÁN LLULLAILLACO, POB. JORGE ALESSANDRI.</v>
      </c>
      <c r="C838" s="10" t="str">
        <f ca="1">IFERROR(__xludf.DUMMYFUNCTION("""COMPUTED_VALUE"""),"1-K-2024-7")</f>
        <v>1-K-2024-7</v>
      </c>
      <c r="D838" s="26"/>
      <c r="E838" s="10" t="str">
        <f ca="1">IFERROR(__xludf.DUMMYFUNCTION("""COMPUTED_VALUE"""),"Guía Operativa")</f>
        <v>Guía Operativa</v>
      </c>
      <c r="F838" s="10" t="str">
        <f ca="1">IFERROR(__xludf.DUMMYFUNCTION("""COMPUTED_VALUE"""),"MUNICIPALIDAD DE CORONEL")</f>
        <v>MUNICIPALIDAD DE CORONEL</v>
      </c>
      <c r="G838" s="71">
        <f ca="1">IFERROR(__xludf.DUMMYFUNCTION("""COMPUTED_VALUE"""),91952595)</f>
        <v>91952595</v>
      </c>
      <c r="H838" s="10" t="str">
        <f ca="1">IFERROR(__xludf.DUMMYFUNCTION("""COMPUTED_VALUE"""),"Resolución")</f>
        <v>Resolución</v>
      </c>
      <c r="I838" s="10" t="str">
        <f ca="1">IFERROR(__xludf.DUMMYFUNCTION("""COMPUTED_VALUE"""),"OBRA")</f>
        <v>OBRA</v>
      </c>
      <c r="J838" s="10" t="str">
        <f ca="1">IFERROR(__xludf.DUMMYFUNCTION("""COMPUTED_VALUE"""),"Cumplir con normativa y reglamentos internos del programa en base a los objetivos.")</f>
        <v>Cumplir con normativa y reglamentos internos del programa en base a los objetivos.</v>
      </c>
      <c r="K838" s="71">
        <f ca="1">IFERROR(__xludf.DUMMYFUNCTION("""COMPUTED_VALUE"""),45976297)</f>
        <v>45976297</v>
      </c>
      <c r="L838" s="72">
        <f ca="1">IFERROR(__xludf.DUMMYFUNCTION("""COMPUTED_VALUE"""),0.499999994562415)</f>
        <v>0.49999999456241501</v>
      </c>
      <c r="M838" s="10">
        <f ca="1">IFERROR(__xludf.DUMMYFUNCTION("""COMPUTED_VALUE"""),7710)</f>
        <v>7710</v>
      </c>
      <c r="N838" s="10" t="str">
        <f ca="1">IFERROR(__xludf.DUMMYFUNCTION("""COMPUTED_VALUE"""),"PMU")</f>
        <v>PMU</v>
      </c>
      <c r="O838" s="1"/>
      <c r="P838" s="1"/>
      <c r="Q838" s="1"/>
      <c r="R838" s="1"/>
      <c r="S838" s="1"/>
      <c r="T838" s="1"/>
      <c r="U838" s="1"/>
      <c r="V838" s="1"/>
      <c r="W838" s="1"/>
      <c r="X838" s="1"/>
      <c r="Y838" s="1"/>
      <c r="Z838" s="1"/>
    </row>
    <row r="839" spans="1:26" ht="12.75" customHeight="1">
      <c r="A839" s="1"/>
      <c r="B839" s="10" t="str">
        <f ca="1">IFERROR(__xludf.DUMMYFUNCTION("""COMPUTED_VALUE"""),"6. MEJORAMIENTO GRADERÍAS EN MULTICANCHA DE CALLE LOS ALERCES, POB. LAGUNILLAS")</f>
        <v>6. MEJORAMIENTO GRADERÍAS EN MULTICANCHA DE CALLE LOS ALERCES, POB. LAGUNILLAS</v>
      </c>
      <c r="C839" s="10" t="str">
        <f ca="1">IFERROR(__xludf.DUMMYFUNCTION("""COMPUTED_VALUE"""),"1-K-2024-8")</f>
        <v>1-K-2024-8</v>
      </c>
      <c r="D839" s="26"/>
      <c r="E839" s="10" t="str">
        <f ca="1">IFERROR(__xludf.DUMMYFUNCTION("""COMPUTED_VALUE"""),"Guía Operativa")</f>
        <v>Guía Operativa</v>
      </c>
      <c r="F839" s="10" t="str">
        <f ca="1">IFERROR(__xludf.DUMMYFUNCTION("""COMPUTED_VALUE"""),"MUNICIPALIDAD DE CORONEL")</f>
        <v>MUNICIPALIDAD DE CORONEL</v>
      </c>
      <c r="G839" s="71">
        <f ca="1">IFERROR(__xludf.DUMMYFUNCTION("""COMPUTED_VALUE"""),161206146)</f>
        <v>161206146</v>
      </c>
      <c r="H839" s="10" t="str">
        <f ca="1">IFERROR(__xludf.DUMMYFUNCTION("""COMPUTED_VALUE"""),"Resolución")</f>
        <v>Resolución</v>
      </c>
      <c r="I839" s="10" t="str">
        <f ca="1">IFERROR(__xludf.DUMMYFUNCTION("""COMPUTED_VALUE"""),"OBRA")</f>
        <v>OBRA</v>
      </c>
      <c r="J839" s="10" t="str">
        <f ca="1">IFERROR(__xludf.DUMMYFUNCTION("""COMPUTED_VALUE"""),"Cumplir con normativa y reglamentos internos del programa en base a los objetivos.")</f>
        <v>Cumplir con normativa y reglamentos internos del programa en base a los objetivos.</v>
      </c>
      <c r="K839" s="71">
        <f ca="1">IFERROR(__xludf.DUMMYFUNCTION("""COMPUTED_VALUE"""),78959020)</f>
        <v>78959020</v>
      </c>
      <c r="L839" s="72">
        <f ca="1">IFERROR(__xludf.DUMMYFUNCTION("""COMPUTED_VALUE"""),0.489801548881393)</f>
        <v>0.48980154888139299</v>
      </c>
      <c r="M839" s="10">
        <f ca="1">IFERROR(__xludf.DUMMYFUNCTION("""COMPUTED_VALUE"""),7703)</f>
        <v>7703</v>
      </c>
      <c r="N839" s="10" t="str">
        <f ca="1">IFERROR(__xludf.DUMMYFUNCTION("""COMPUTED_VALUE"""),"PMU")</f>
        <v>PMU</v>
      </c>
      <c r="O839" s="1"/>
      <c r="P839" s="1"/>
      <c r="Q839" s="1"/>
      <c r="R839" s="1"/>
      <c r="S839" s="1"/>
      <c r="T839" s="1"/>
      <c r="U839" s="1"/>
      <c r="V839" s="1"/>
      <c r="W839" s="1"/>
      <c r="X839" s="1"/>
      <c r="Y839" s="1"/>
      <c r="Z839" s="1"/>
    </row>
    <row r="840" spans="1:26" ht="12.75" customHeight="1">
      <c r="A840" s="1"/>
      <c r="B840" s="10" t="str">
        <f ca="1">IFERROR(__xludf.DUMMYFUNCTION("""COMPUTED_VALUE"""),"7. REPOSICIÓN ACERAS EN CALLE LOS NOGALES ENTRE CALLES LOS SAUCES Y LOS GUAYACANES, POB. LAGUNILLAS.")</f>
        <v>7. REPOSICIÓN ACERAS EN CALLE LOS NOGALES ENTRE CALLES LOS SAUCES Y LOS GUAYACANES, POB. LAGUNILLAS.</v>
      </c>
      <c r="C840" s="10" t="str">
        <f ca="1">IFERROR(__xludf.DUMMYFUNCTION("""COMPUTED_VALUE"""),"1-K-2024-9")</f>
        <v>1-K-2024-9</v>
      </c>
      <c r="D840" s="26"/>
      <c r="E840" s="10" t="str">
        <f ca="1">IFERROR(__xludf.DUMMYFUNCTION("""COMPUTED_VALUE"""),"Guía Operativa")</f>
        <v>Guía Operativa</v>
      </c>
      <c r="F840" s="10" t="str">
        <f ca="1">IFERROR(__xludf.DUMMYFUNCTION("""COMPUTED_VALUE"""),"MUNICIPALIDAD DE CORONEL")</f>
        <v>MUNICIPALIDAD DE CORONEL</v>
      </c>
      <c r="G840" s="71">
        <f ca="1">IFERROR(__xludf.DUMMYFUNCTION("""COMPUTED_VALUE"""),92454638)</f>
        <v>92454638</v>
      </c>
      <c r="H840" s="10" t="str">
        <f ca="1">IFERROR(__xludf.DUMMYFUNCTION("""COMPUTED_VALUE"""),"Resolución")</f>
        <v>Resolución</v>
      </c>
      <c r="I840" s="10" t="str">
        <f ca="1">IFERROR(__xludf.DUMMYFUNCTION("""COMPUTED_VALUE"""),"OBRA")</f>
        <v>OBRA</v>
      </c>
      <c r="J840" s="10" t="str">
        <f ca="1">IFERROR(__xludf.DUMMYFUNCTION("""COMPUTED_VALUE"""),"Cumplir con normativa y reglamentos internos del programa en base a los objetivos.")</f>
        <v>Cumplir con normativa y reglamentos internos del programa en base a los objetivos.</v>
      </c>
      <c r="K840" s="71">
        <f ca="1">IFERROR(__xludf.DUMMYFUNCTION("""COMPUTED_VALUE"""),44583266)</f>
        <v>44583266</v>
      </c>
      <c r="L840" s="72">
        <f ca="1">IFERROR(__xludf.DUMMYFUNCTION("""COMPUTED_VALUE"""),0.482217733630626)</f>
        <v>0.48221773363062598</v>
      </c>
      <c r="M840" s="10">
        <f ca="1">IFERROR(__xludf.DUMMYFUNCTION("""COMPUTED_VALUE"""),7703)</f>
        <v>7703</v>
      </c>
      <c r="N840" s="10" t="str">
        <f ca="1">IFERROR(__xludf.DUMMYFUNCTION("""COMPUTED_VALUE"""),"PMU")</f>
        <v>PMU</v>
      </c>
      <c r="O840" s="1"/>
      <c r="P840" s="1"/>
      <c r="Q840" s="1"/>
      <c r="R840" s="1"/>
      <c r="S840" s="1"/>
      <c r="T840" s="1"/>
      <c r="U840" s="1"/>
      <c r="V840" s="1"/>
      <c r="W840" s="1"/>
      <c r="X840" s="1"/>
      <c r="Y840" s="1"/>
      <c r="Z840" s="1"/>
    </row>
    <row r="841" spans="1:26" ht="12.75" customHeight="1">
      <c r="A841" s="1"/>
      <c r="B841" s="10" t="str">
        <f ca="1">IFERROR(__xludf.DUMMYFUNCTION("""COMPUTED_VALUE"""),"8. REPOSICIÓN ACERAS EN CALLE LOS NOGALES ENTRE CALLES LAS QUILAS Y LOS RADALES, POB. LAGUNILLAS.")</f>
        <v>8. REPOSICIÓN ACERAS EN CALLE LOS NOGALES ENTRE CALLES LAS QUILAS Y LOS RADALES, POB. LAGUNILLAS.</v>
      </c>
      <c r="C841" s="10" t="str">
        <f ca="1">IFERROR(__xludf.DUMMYFUNCTION("""COMPUTED_VALUE"""),"1-K-2024-10")</f>
        <v>1-K-2024-10</v>
      </c>
      <c r="D841" s="26"/>
      <c r="E841" s="10" t="str">
        <f ca="1">IFERROR(__xludf.DUMMYFUNCTION("""COMPUTED_VALUE"""),"Guía Operativa")</f>
        <v>Guía Operativa</v>
      </c>
      <c r="F841" s="10" t="str">
        <f ca="1">IFERROR(__xludf.DUMMYFUNCTION("""COMPUTED_VALUE"""),"MUNICIPALIDAD DE CORONEL")</f>
        <v>MUNICIPALIDAD DE CORONEL</v>
      </c>
      <c r="G841" s="71">
        <f ca="1">IFERROR(__xludf.DUMMYFUNCTION("""COMPUTED_VALUE"""),87997983)</f>
        <v>87997983</v>
      </c>
      <c r="H841" s="10" t="str">
        <f ca="1">IFERROR(__xludf.DUMMYFUNCTION("""COMPUTED_VALUE"""),"Resolución")</f>
        <v>Resolución</v>
      </c>
      <c r="I841" s="10" t="str">
        <f ca="1">IFERROR(__xludf.DUMMYFUNCTION("""COMPUTED_VALUE"""),"OBRA")</f>
        <v>OBRA</v>
      </c>
      <c r="J841" s="10" t="str">
        <f ca="1">IFERROR(__xludf.DUMMYFUNCTION("""COMPUTED_VALUE"""),"Cumplir con normativa y reglamentos internos del programa en base a los objetivos.")</f>
        <v>Cumplir con normativa y reglamentos internos del programa en base a los objetivos.</v>
      </c>
      <c r="K841" s="71">
        <f ca="1">IFERROR(__xludf.DUMMYFUNCTION("""COMPUTED_VALUE"""),42354938)</f>
        <v>42354938</v>
      </c>
      <c r="L841" s="72">
        <f ca="1">IFERROR(__xludf.DUMMYFUNCTION("""COMPUTED_VALUE"""),0.481317145644122)</f>
        <v>0.48131714564412198</v>
      </c>
      <c r="M841" s="10">
        <f ca="1">IFERROR(__xludf.DUMMYFUNCTION("""COMPUTED_VALUE"""),7785)</f>
        <v>7785</v>
      </c>
      <c r="N841" s="10" t="str">
        <f ca="1">IFERROR(__xludf.DUMMYFUNCTION("""COMPUTED_VALUE"""),"PMU")</f>
        <v>PMU</v>
      </c>
      <c r="O841" s="1"/>
      <c r="P841" s="1"/>
      <c r="Q841" s="1"/>
      <c r="R841" s="1"/>
      <c r="S841" s="1"/>
      <c r="T841" s="1"/>
      <c r="U841" s="1"/>
      <c r="V841" s="1"/>
      <c r="W841" s="1"/>
      <c r="X841" s="1"/>
      <c r="Y841" s="1"/>
      <c r="Z841" s="1"/>
    </row>
    <row r="842" spans="1:26" ht="12.75" customHeight="1">
      <c r="A842" s="1"/>
      <c r="B842" s="10" t="str">
        <f ca="1">IFERROR(__xludf.DUMMYFUNCTION("""COMPUTED_VALUE"""),"9. REPOSICIÓN ACERAS EN CALLE LOS PALOMARES ENTRE CALLES LOS GUINDOS Y LOS NARANJOS, POB. LAGUNILLAS")</f>
        <v>9. REPOSICIÓN ACERAS EN CALLE LOS PALOMARES ENTRE CALLES LOS GUINDOS Y LOS NARANJOS, POB. LAGUNILLAS</v>
      </c>
      <c r="C842" s="10" t="str">
        <f ca="1">IFERROR(__xludf.DUMMYFUNCTION("""COMPUTED_VALUE"""),"1-K-2024-11")</f>
        <v>1-K-2024-11</v>
      </c>
      <c r="D842" s="26"/>
      <c r="E842" s="10" t="str">
        <f ca="1">IFERROR(__xludf.DUMMYFUNCTION("""COMPUTED_VALUE"""),"Guía Operativa")</f>
        <v>Guía Operativa</v>
      </c>
      <c r="F842" s="10" t="str">
        <f ca="1">IFERROR(__xludf.DUMMYFUNCTION("""COMPUTED_VALUE"""),"MUNICIPALIDAD DE CORONEL")</f>
        <v>MUNICIPALIDAD DE CORONEL</v>
      </c>
      <c r="G842" s="71">
        <f ca="1">IFERROR(__xludf.DUMMYFUNCTION("""COMPUTED_VALUE"""),91696715)</f>
        <v>91696715</v>
      </c>
      <c r="H842" s="10" t="str">
        <f ca="1">IFERROR(__xludf.DUMMYFUNCTION("""COMPUTED_VALUE"""),"Resolución")</f>
        <v>Resolución</v>
      </c>
      <c r="I842" s="10" t="str">
        <f ca="1">IFERROR(__xludf.DUMMYFUNCTION("""COMPUTED_VALUE"""),"OBRA")</f>
        <v>OBRA</v>
      </c>
      <c r="J842" s="10" t="str">
        <f ca="1">IFERROR(__xludf.DUMMYFUNCTION("""COMPUTED_VALUE"""),"Cumplir con normativa y reglamentos internos del programa en base a los objetivos.")</f>
        <v>Cumplir con normativa y reglamentos internos del programa en base a los objetivos.</v>
      </c>
      <c r="K842" s="71">
        <f ca="1">IFERROR(__xludf.DUMMYFUNCTION("""COMPUTED_VALUE"""),45848357)</f>
        <v>45848357</v>
      </c>
      <c r="L842" s="72">
        <f ca="1">IFERROR(__xludf.DUMMYFUNCTION("""COMPUTED_VALUE"""),0.499999994547242)</f>
        <v>0.49999999454724198</v>
      </c>
      <c r="M842" s="10">
        <f ca="1">IFERROR(__xludf.DUMMYFUNCTION("""COMPUTED_VALUE"""),7703)</f>
        <v>7703</v>
      </c>
      <c r="N842" s="10" t="str">
        <f ca="1">IFERROR(__xludf.DUMMYFUNCTION("""COMPUTED_VALUE"""),"PMU")</f>
        <v>PMU</v>
      </c>
      <c r="O842" s="1"/>
      <c r="P842" s="1"/>
      <c r="Q842" s="1"/>
      <c r="R842" s="1"/>
      <c r="S842" s="1"/>
      <c r="T842" s="1"/>
      <c r="U842" s="1"/>
      <c r="V842" s="1"/>
      <c r="W842" s="1"/>
      <c r="X842" s="1"/>
      <c r="Y842" s="1"/>
      <c r="Z842" s="1"/>
    </row>
    <row r="843" spans="1:26" ht="12.75" customHeight="1">
      <c r="A843" s="1"/>
      <c r="B843" s="10" t="str">
        <f ca="1">IFERROR(__xludf.DUMMYFUNCTION("""COMPUTED_VALUE"""),"11. REPOSICIÓN CIERRE PERIMETRAL MULTICANCHA DE CALLE LOS NOTROS, POB. LAGUNILLAS.")</f>
        <v>11. REPOSICIÓN CIERRE PERIMETRAL MULTICANCHA DE CALLE LOS NOTROS, POB. LAGUNILLAS.</v>
      </c>
      <c r="C843" s="10" t="str">
        <f ca="1">IFERROR(__xludf.DUMMYFUNCTION("""COMPUTED_VALUE"""),"1-K-2024-13")</f>
        <v>1-K-2024-13</v>
      </c>
      <c r="D843" s="26"/>
      <c r="E843" s="10" t="str">
        <f ca="1">IFERROR(__xludf.DUMMYFUNCTION("""COMPUTED_VALUE"""),"Guía Operativa")</f>
        <v>Guía Operativa</v>
      </c>
      <c r="F843" s="10" t="str">
        <f ca="1">IFERROR(__xludf.DUMMYFUNCTION("""COMPUTED_VALUE"""),"MUNICIPALIDAD DE CORONEL")</f>
        <v>MUNICIPALIDAD DE CORONEL</v>
      </c>
      <c r="G843" s="71">
        <f ca="1">IFERROR(__xludf.DUMMYFUNCTION("""COMPUTED_VALUE"""),160524191)</f>
        <v>160524191</v>
      </c>
      <c r="H843" s="10" t="str">
        <f ca="1">IFERROR(__xludf.DUMMYFUNCTION("""COMPUTED_VALUE"""),"Resolución")</f>
        <v>Resolución</v>
      </c>
      <c r="I843" s="10" t="str">
        <f ca="1">IFERROR(__xludf.DUMMYFUNCTION("""COMPUTED_VALUE"""),"OBRA")</f>
        <v>OBRA</v>
      </c>
      <c r="J843" s="10" t="str">
        <f ca="1">IFERROR(__xludf.DUMMYFUNCTION("""COMPUTED_VALUE"""),"Cumplir con normativa y reglamentos internos del programa en base a los objetivos.")</f>
        <v>Cumplir con normativa y reglamentos internos del programa en base a los objetivos.</v>
      </c>
      <c r="K843" s="71">
        <f ca="1">IFERROR(__xludf.DUMMYFUNCTION("""COMPUTED_VALUE"""),75329936)</f>
        <v>75329936</v>
      </c>
      <c r="L843" s="72">
        <f ca="1">IFERROR(__xludf.DUMMYFUNCTION("""COMPUTED_VALUE"""),0.469274665274594)</f>
        <v>0.46927466527459399</v>
      </c>
      <c r="M843" s="10">
        <f ca="1">IFERROR(__xludf.DUMMYFUNCTION("""COMPUTED_VALUE"""),7703)</f>
        <v>7703</v>
      </c>
      <c r="N843" s="10" t="str">
        <f ca="1">IFERROR(__xludf.DUMMYFUNCTION("""COMPUTED_VALUE"""),"PMU")</f>
        <v>PMU</v>
      </c>
      <c r="O843" s="1"/>
      <c r="P843" s="1"/>
      <c r="Q843" s="1"/>
      <c r="R843" s="1"/>
      <c r="S843" s="1"/>
      <c r="T843" s="1"/>
      <c r="U843" s="1"/>
      <c r="V843" s="1"/>
      <c r="W843" s="1"/>
      <c r="X843" s="1"/>
      <c r="Y843" s="1"/>
      <c r="Z843" s="1"/>
    </row>
    <row r="844" spans="1:26" ht="12.75" customHeight="1">
      <c r="A844" s="1"/>
      <c r="B844" s="10" t="str">
        <f ca="1">IFERROR(__xludf.DUMMYFUNCTION("""COMPUTED_VALUE"""),"13. REPOSICIÓN ACERAS EN CALLE MANUEL MONTT ENTRE CALLES LA CENTRAL Y UNO NORTE, POB. PEDRO AGUIRRE CERDA.")</f>
        <v>13. REPOSICIÓN ACERAS EN CALLE MANUEL MONTT ENTRE CALLES LA CENTRAL Y UNO NORTE, POB. PEDRO AGUIRRE CERDA.</v>
      </c>
      <c r="C844" s="10" t="str">
        <f ca="1">IFERROR(__xludf.DUMMYFUNCTION("""COMPUTED_VALUE"""),"1-K-2024-15")</f>
        <v>1-K-2024-15</v>
      </c>
      <c r="D844" s="26"/>
      <c r="E844" s="10" t="str">
        <f ca="1">IFERROR(__xludf.DUMMYFUNCTION("""COMPUTED_VALUE"""),"Guía Operativa")</f>
        <v>Guía Operativa</v>
      </c>
      <c r="F844" s="10" t="str">
        <f ca="1">IFERROR(__xludf.DUMMYFUNCTION("""COMPUTED_VALUE"""),"MUNICIPALIDAD DE CORONEL")</f>
        <v>MUNICIPALIDAD DE CORONEL</v>
      </c>
      <c r="G844" s="71">
        <f ca="1">IFERROR(__xludf.DUMMYFUNCTION("""COMPUTED_VALUE"""),159562764)</f>
        <v>159562764</v>
      </c>
      <c r="H844" s="10" t="str">
        <f ca="1">IFERROR(__xludf.DUMMYFUNCTION("""COMPUTED_VALUE"""),"Resolución")</f>
        <v>Resolución</v>
      </c>
      <c r="I844" s="10" t="str">
        <f ca="1">IFERROR(__xludf.DUMMYFUNCTION("""COMPUTED_VALUE"""),"OBRA")</f>
        <v>OBRA</v>
      </c>
      <c r="J844" s="10" t="str">
        <f ca="1">IFERROR(__xludf.DUMMYFUNCTION("""COMPUTED_VALUE"""),"Cumplir con normativa y reglamentos internos del programa en base a los objetivos.")</f>
        <v>Cumplir con normativa y reglamentos internos del programa en base a los objetivos.</v>
      </c>
      <c r="K844" s="71">
        <f ca="1">IFERROR(__xludf.DUMMYFUNCTION("""COMPUTED_VALUE"""),78137329)</f>
        <v>78137329</v>
      </c>
      <c r="L844" s="72">
        <f ca="1">IFERROR(__xludf.DUMMYFUNCTION("""COMPUTED_VALUE"""),0.489696512151168)</f>
        <v>0.489696512151168</v>
      </c>
      <c r="M844" s="10">
        <f ca="1">IFERROR(__xludf.DUMMYFUNCTION("""COMPUTED_VALUE"""),7785)</f>
        <v>7785</v>
      </c>
      <c r="N844" s="10" t="str">
        <f ca="1">IFERROR(__xludf.DUMMYFUNCTION("""COMPUTED_VALUE"""),"PMU")</f>
        <v>PMU</v>
      </c>
      <c r="O844" s="1"/>
      <c r="P844" s="1"/>
      <c r="Q844" s="1"/>
      <c r="R844" s="1"/>
      <c r="S844" s="1"/>
      <c r="T844" s="1"/>
      <c r="U844" s="1"/>
      <c r="V844" s="1"/>
      <c r="W844" s="1"/>
      <c r="X844" s="1"/>
      <c r="Y844" s="1"/>
      <c r="Z844" s="1"/>
    </row>
    <row r="845" spans="1:26" ht="12.75" customHeight="1">
      <c r="A845" s="1"/>
      <c r="B845" s="10" t="str">
        <f ca="1">IFERROR(__xludf.DUMMYFUNCTION("""COMPUTED_VALUE"""),"14. REPOSICIÓN ACERAS EN CALLE LOS NOGALES ENTRE CALLES LOS RADALES Y LAS ARAUCARIAS, POB. LAGUNILLAS.")</f>
        <v>14. REPOSICIÓN ACERAS EN CALLE LOS NOGALES ENTRE CALLES LOS RADALES Y LAS ARAUCARIAS, POB. LAGUNILLAS.</v>
      </c>
      <c r="C845" s="10" t="str">
        <f ca="1">IFERROR(__xludf.DUMMYFUNCTION("""COMPUTED_VALUE"""),"1-K-2024-16")</f>
        <v>1-K-2024-16</v>
      </c>
      <c r="D845" s="26"/>
      <c r="E845" s="10" t="str">
        <f ca="1">IFERROR(__xludf.DUMMYFUNCTION("""COMPUTED_VALUE"""),"Guía Operativa")</f>
        <v>Guía Operativa</v>
      </c>
      <c r="F845" s="10" t="str">
        <f ca="1">IFERROR(__xludf.DUMMYFUNCTION("""COMPUTED_VALUE"""),"MUNICIPALIDAD DE CORONEL")</f>
        <v>MUNICIPALIDAD DE CORONEL</v>
      </c>
      <c r="G845" s="71">
        <f ca="1">IFERROR(__xludf.DUMMYFUNCTION("""COMPUTED_VALUE"""),88150243)</f>
        <v>88150243</v>
      </c>
      <c r="H845" s="10" t="str">
        <f ca="1">IFERROR(__xludf.DUMMYFUNCTION("""COMPUTED_VALUE"""),"Resolución")</f>
        <v>Resolución</v>
      </c>
      <c r="I845" s="10" t="str">
        <f ca="1">IFERROR(__xludf.DUMMYFUNCTION("""COMPUTED_VALUE"""),"OBRA")</f>
        <v>OBRA</v>
      </c>
      <c r="J845" s="10" t="str">
        <f ca="1">IFERROR(__xludf.DUMMYFUNCTION("""COMPUTED_VALUE"""),"Cumplir con normativa y reglamentos internos del programa en base a los objetivos.")</f>
        <v>Cumplir con normativa y reglamentos internos del programa en base a los objetivos.</v>
      </c>
      <c r="K845" s="71">
        <f ca="1">IFERROR(__xludf.DUMMYFUNCTION("""COMPUTED_VALUE"""),44075121)</f>
        <v>44075121</v>
      </c>
      <c r="L845" s="72">
        <f ca="1">IFERROR(__xludf.DUMMYFUNCTION("""COMPUTED_VALUE"""),0.499999994327865)</f>
        <v>0.49999999432786502</v>
      </c>
      <c r="M845" s="10">
        <f ca="1">IFERROR(__xludf.DUMMYFUNCTION("""COMPUTED_VALUE"""),7784)</f>
        <v>7784</v>
      </c>
      <c r="N845" s="10" t="str">
        <f ca="1">IFERROR(__xludf.DUMMYFUNCTION("""COMPUTED_VALUE"""),"PMU")</f>
        <v>PMU</v>
      </c>
      <c r="O845" s="1"/>
      <c r="P845" s="1"/>
      <c r="Q845" s="1"/>
      <c r="R845" s="1"/>
      <c r="S845" s="1"/>
      <c r="T845" s="1"/>
      <c r="U845" s="1"/>
      <c r="V845" s="1"/>
      <c r="W845" s="1"/>
      <c r="X845" s="1"/>
      <c r="Y845" s="1"/>
      <c r="Z845" s="1"/>
    </row>
    <row r="846" spans="1:26" ht="12.75" customHeight="1">
      <c r="A846" s="1"/>
      <c r="B846" s="10" t="str">
        <f ca="1">IFERROR(__xludf.DUMMYFUNCTION("""COMPUTED_VALUE"""),"CONSTRUCCION MURO DE CONTENCION,CALLE LOS SAUCES ESQUINA R.SCHNEIDER, POBLACION SANTA ROSA")</f>
        <v>CONSTRUCCION MURO DE CONTENCION,CALLE LOS SAUCES ESQUINA R.SCHNEIDER, POBLACION SANTA ROSA</v>
      </c>
      <c r="C846" s="10" t="str">
        <f ca="1">IFERROR(__xludf.DUMMYFUNCTION("""COMPUTED_VALUE"""),"1-K-2024-17")</f>
        <v>1-K-2024-17</v>
      </c>
      <c r="D846" s="26"/>
      <c r="E846" s="10" t="str">
        <f ca="1">IFERROR(__xludf.DUMMYFUNCTION("""COMPUTED_VALUE"""),"Guía Operativa")</f>
        <v>Guía Operativa</v>
      </c>
      <c r="F846" s="10" t="str">
        <f ca="1">IFERROR(__xludf.DUMMYFUNCTION("""COMPUTED_VALUE"""),"MUNICIPALIDAD DE PENCO")</f>
        <v>MUNICIPALIDAD DE PENCO</v>
      </c>
      <c r="G846" s="71">
        <f ca="1">IFERROR(__xludf.DUMMYFUNCTION("""COMPUTED_VALUE"""),92148134)</f>
        <v>92148134</v>
      </c>
      <c r="H846" s="10" t="str">
        <f ca="1">IFERROR(__xludf.DUMMYFUNCTION("""COMPUTED_VALUE"""),"Resolución")</f>
        <v>Resolución</v>
      </c>
      <c r="I846" s="10" t="str">
        <f ca="1">IFERROR(__xludf.DUMMYFUNCTION("""COMPUTED_VALUE"""),"OBRA")</f>
        <v>OBRA</v>
      </c>
      <c r="J846" s="10" t="str">
        <f ca="1">IFERROR(__xludf.DUMMYFUNCTION("""COMPUTED_VALUE"""),"Cumplir con normativa y reglamentos internos del programa en base a los objetivos.")</f>
        <v>Cumplir con normativa y reglamentos internos del programa en base a los objetivos.</v>
      </c>
      <c r="K846" s="71">
        <f ca="1">IFERROR(__xludf.DUMMYFUNCTION("""COMPUTED_VALUE"""),42921267)</f>
        <v>42921267</v>
      </c>
      <c r="L846" s="72">
        <f ca="1">IFERROR(__xludf.DUMMYFUNCTION("""COMPUTED_VALUE"""),0.465785525293436)</f>
        <v>0.46578552529343598</v>
      </c>
      <c r="M846" s="10">
        <f ca="1">IFERROR(__xludf.DUMMYFUNCTION("""COMPUTED_VALUE"""),8059)</f>
        <v>8059</v>
      </c>
      <c r="N846" s="10" t="str">
        <f ca="1">IFERROR(__xludf.DUMMYFUNCTION("""COMPUTED_VALUE"""),"PMU")</f>
        <v>PMU</v>
      </c>
      <c r="O846" s="1"/>
      <c r="P846" s="1"/>
      <c r="Q846" s="1"/>
      <c r="R846" s="1"/>
      <c r="S846" s="1"/>
      <c r="T846" s="1"/>
      <c r="U846" s="1"/>
      <c r="V846" s="1"/>
      <c r="W846" s="1"/>
      <c r="X846" s="1"/>
      <c r="Y846" s="1"/>
      <c r="Z846" s="1"/>
    </row>
    <row r="847" spans="1:26" ht="12.75" customHeight="1">
      <c r="A847" s="1"/>
      <c r="B847" s="10" t="str">
        <f ca="1">IFERROR(__xludf.DUMMYFUNCTION("""COMPUTED_VALUE"""),"REPOSICION DE ACERAS, CALLE ROBLES ENTRE OHIGGINS Y CARRERA (ACERA NORTE)")</f>
        <v>REPOSICION DE ACERAS, CALLE ROBLES ENTRE OHIGGINS Y CARRERA (ACERA NORTE)</v>
      </c>
      <c r="C847" s="10" t="str">
        <f ca="1">IFERROR(__xludf.DUMMYFUNCTION("""COMPUTED_VALUE"""),"1-K-2024-18")</f>
        <v>1-K-2024-18</v>
      </c>
      <c r="D847" s="26"/>
      <c r="E847" s="10" t="str">
        <f ca="1">IFERROR(__xludf.DUMMYFUNCTION("""COMPUTED_VALUE"""),"Guía Operativa")</f>
        <v>Guía Operativa</v>
      </c>
      <c r="F847" s="10" t="str">
        <f ca="1">IFERROR(__xludf.DUMMYFUNCTION("""COMPUTED_VALUE"""),"MUNICIPALIDAD DE PENCO")</f>
        <v>MUNICIPALIDAD DE PENCO</v>
      </c>
      <c r="G847" s="71">
        <f ca="1">IFERROR(__xludf.DUMMYFUNCTION("""COMPUTED_VALUE"""),80988635)</f>
        <v>80988635</v>
      </c>
      <c r="H847" s="10" t="str">
        <f ca="1">IFERROR(__xludf.DUMMYFUNCTION("""COMPUTED_VALUE"""),"Resolución")</f>
        <v>Resolución</v>
      </c>
      <c r="I847" s="10" t="str">
        <f ca="1">IFERROR(__xludf.DUMMYFUNCTION("""COMPUTED_VALUE"""),"OBRA")</f>
        <v>OBRA</v>
      </c>
      <c r="J847" s="10" t="str">
        <f ca="1">IFERROR(__xludf.DUMMYFUNCTION("""COMPUTED_VALUE"""),"Cumplir con normativa y reglamentos internos del programa en base a los objetivos.")</f>
        <v>Cumplir con normativa y reglamentos internos del programa en base a los objetivos.</v>
      </c>
      <c r="K847" s="71">
        <f ca="1">IFERROR(__xludf.DUMMYFUNCTION("""COMPUTED_VALUE"""),38917917)</f>
        <v>38917917</v>
      </c>
      <c r="L847" s="72">
        <f ca="1">IFERROR(__xludf.DUMMYFUNCTION("""COMPUTED_VALUE"""),0.480535534399363)</f>
        <v>0.48053553439936297</v>
      </c>
      <c r="M847" s="10">
        <f ca="1">IFERROR(__xludf.DUMMYFUNCTION("""COMPUTED_VALUE"""),8059)</f>
        <v>8059</v>
      </c>
      <c r="N847" s="10" t="str">
        <f ca="1">IFERROR(__xludf.DUMMYFUNCTION("""COMPUTED_VALUE"""),"PMU")</f>
        <v>PMU</v>
      </c>
      <c r="O847" s="1"/>
      <c r="P847" s="1"/>
      <c r="Q847" s="1"/>
      <c r="R847" s="1"/>
      <c r="S847" s="1"/>
      <c r="T847" s="1"/>
      <c r="U847" s="1"/>
      <c r="V847" s="1"/>
      <c r="W847" s="1"/>
      <c r="X847" s="1"/>
      <c r="Y847" s="1"/>
      <c r="Z847" s="1"/>
    </row>
    <row r="848" spans="1:26" ht="12.75" customHeight="1">
      <c r="A848" s="1"/>
      <c r="B848" s="10" t="str">
        <f ca="1">IFERROR(__xludf.DUMMYFUNCTION("""COMPUTED_VALUE"""),"RECUPERACION DE AREA VERDE,DESDE PASARELA A PSJE.SAN ANDRES, POBLACION SAN JORGE")</f>
        <v>RECUPERACION DE AREA VERDE,DESDE PASARELA A PSJE.SAN ANDRES, POBLACION SAN JORGE</v>
      </c>
      <c r="C848" s="10" t="str">
        <f ca="1">IFERROR(__xludf.DUMMYFUNCTION("""COMPUTED_VALUE"""),"1-K-2024-19")</f>
        <v>1-K-2024-19</v>
      </c>
      <c r="D848" s="26"/>
      <c r="E848" s="10" t="str">
        <f ca="1">IFERROR(__xludf.DUMMYFUNCTION("""COMPUTED_VALUE"""),"Guía Operativa")</f>
        <v>Guía Operativa</v>
      </c>
      <c r="F848" s="10" t="str">
        <f ca="1">IFERROR(__xludf.DUMMYFUNCTION("""COMPUTED_VALUE"""),"MUNICIPALIDAD DE PENCO")</f>
        <v>MUNICIPALIDAD DE PENCO</v>
      </c>
      <c r="G848" s="71">
        <f ca="1">IFERROR(__xludf.DUMMYFUNCTION("""COMPUTED_VALUE"""),62395730)</f>
        <v>62395730</v>
      </c>
      <c r="H848" s="10" t="str">
        <f ca="1">IFERROR(__xludf.DUMMYFUNCTION("""COMPUTED_VALUE"""),"Resolución")</f>
        <v>Resolución</v>
      </c>
      <c r="I848" s="10" t="str">
        <f ca="1">IFERROR(__xludf.DUMMYFUNCTION("""COMPUTED_VALUE"""),"OBRA")</f>
        <v>OBRA</v>
      </c>
      <c r="J848" s="10" t="str">
        <f ca="1">IFERROR(__xludf.DUMMYFUNCTION("""COMPUTED_VALUE"""),"Cumplir con normativa y reglamentos internos del programa en base a los objetivos.")</f>
        <v>Cumplir con normativa y reglamentos internos del programa en base a los objetivos.</v>
      </c>
      <c r="K848" s="71">
        <f ca="1">IFERROR(__xludf.DUMMYFUNCTION("""COMPUTED_VALUE"""),31197865)</f>
        <v>31197865</v>
      </c>
      <c r="L848" s="72">
        <f ca="1">IFERROR(__xludf.DUMMYFUNCTION("""COMPUTED_VALUE"""),0.5)</f>
        <v>0.5</v>
      </c>
      <c r="M848" s="10">
        <f ca="1">IFERROR(__xludf.DUMMYFUNCTION("""COMPUTED_VALUE"""),8059)</f>
        <v>8059</v>
      </c>
      <c r="N848" s="10" t="str">
        <f ca="1">IFERROR(__xludf.DUMMYFUNCTION("""COMPUTED_VALUE"""),"PMU")</f>
        <v>PMU</v>
      </c>
      <c r="O848" s="1"/>
      <c r="P848" s="1"/>
      <c r="Q848" s="1"/>
      <c r="R848" s="1"/>
      <c r="S848" s="1"/>
      <c r="T848" s="1"/>
      <c r="U848" s="1"/>
      <c r="V848" s="1"/>
      <c r="W848" s="1"/>
      <c r="X848" s="1"/>
      <c r="Y848" s="1"/>
      <c r="Z848" s="1"/>
    </row>
    <row r="849" spans="1:26" ht="12.75" customHeight="1">
      <c r="A849" s="1"/>
      <c r="B849" s="10" t="str">
        <f ca="1">IFERROR(__xludf.DUMMYFUNCTION("""COMPUTED_VALUE"""),"CONSTRUCCION DE AREA VERDE, PROLONGACION CALLE 4, ACCESO VILLA BELEN")</f>
        <v>CONSTRUCCION DE AREA VERDE, PROLONGACION CALLE 4, ACCESO VILLA BELEN</v>
      </c>
      <c r="C849" s="10" t="str">
        <f ca="1">IFERROR(__xludf.DUMMYFUNCTION("""COMPUTED_VALUE"""),"1-K-2024-20")</f>
        <v>1-K-2024-20</v>
      </c>
      <c r="D849" s="26"/>
      <c r="E849" s="10" t="str">
        <f ca="1">IFERROR(__xludf.DUMMYFUNCTION("""COMPUTED_VALUE"""),"Guía Operativa")</f>
        <v>Guía Operativa</v>
      </c>
      <c r="F849" s="10" t="str">
        <f ca="1">IFERROR(__xludf.DUMMYFUNCTION("""COMPUTED_VALUE"""),"MUNICIPALIDAD DE PENCO")</f>
        <v>MUNICIPALIDAD DE PENCO</v>
      </c>
      <c r="G849" s="71">
        <f ca="1">IFERROR(__xludf.DUMMYFUNCTION("""COMPUTED_VALUE"""),73967506)</f>
        <v>73967506</v>
      </c>
      <c r="H849" s="10" t="str">
        <f ca="1">IFERROR(__xludf.DUMMYFUNCTION("""COMPUTED_VALUE"""),"Resolución")</f>
        <v>Resolución</v>
      </c>
      <c r="I849" s="10" t="str">
        <f ca="1">IFERROR(__xludf.DUMMYFUNCTION("""COMPUTED_VALUE"""),"OBRA")</f>
        <v>OBRA</v>
      </c>
      <c r="J849" s="10" t="str">
        <f ca="1">IFERROR(__xludf.DUMMYFUNCTION("""COMPUTED_VALUE"""),"Cumplir con normativa y reglamentos internos del programa en base a los objetivos.")</f>
        <v>Cumplir con normativa y reglamentos internos del programa en base a los objetivos.</v>
      </c>
      <c r="K849" s="71">
        <f ca="1">IFERROR(__xludf.DUMMYFUNCTION("""COMPUTED_VALUE"""),35407353)</f>
        <v>35407353</v>
      </c>
      <c r="L849" s="72">
        <f ca="1">IFERROR(__xludf.DUMMYFUNCTION("""COMPUTED_VALUE"""),0.478687938998511)</f>
        <v>0.47868793899851098</v>
      </c>
      <c r="M849" s="10">
        <f ca="1">IFERROR(__xludf.DUMMYFUNCTION("""COMPUTED_VALUE"""),8059)</f>
        <v>8059</v>
      </c>
      <c r="N849" s="10" t="str">
        <f ca="1">IFERROR(__xludf.DUMMYFUNCTION("""COMPUTED_VALUE"""),"PMU")</f>
        <v>PMU</v>
      </c>
      <c r="O849" s="1"/>
      <c r="P849" s="1"/>
      <c r="Q849" s="1"/>
      <c r="R849" s="1"/>
      <c r="S849" s="1"/>
      <c r="T849" s="1"/>
      <c r="U849" s="1"/>
      <c r="V849" s="1"/>
      <c r="W849" s="1"/>
      <c r="X849" s="1"/>
      <c r="Y849" s="1"/>
      <c r="Z849" s="1"/>
    </row>
    <row r="850" spans="1:26" ht="12.75" customHeight="1">
      <c r="A850" s="1"/>
      <c r="B850" s="10" t="str">
        <f ca="1">IFERROR(__xludf.DUMMYFUNCTION("""COMPUTED_VALUE"""),"RECUPERACION DE AREA VERDE, ACERA CALLE FRESIA, ENTRE RENE MENDOZA Y DAVID QUIROGA")</f>
        <v>RECUPERACION DE AREA VERDE, ACERA CALLE FRESIA, ENTRE RENE MENDOZA Y DAVID QUIROGA</v>
      </c>
      <c r="C850" s="10" t="str">
        <f ca="1">IFERROR(__xludf.DUMMYFUNCTION("""COMPUTED_VALUE"""),"1-K-2024-21")</f>
        <v>1-K-2024-21</v>
      </c>
      <c r="D850" s="26"/>
      <c r="E850" s="10" t="str">
        <f ca="1">IFERROR(__xludf.DUMMYFUNCTION("""COMPUTED_VALUE"""),"Guía Operativa")</f>
        <v>Guía Operativa</v>
      </c>
      <c r="F850" s="10" t="str">
        <f ca="1">IFERROR(__xludf.DUMMYFUNCTION("""COMPUTED_VALUE"""),"MUNICIPALIDAD DE PENCO")</f>
        <v>MUNICIPALIDAD DE PENCO</v>
      </c>
      <c r="G850" s="71">
        <f ca="1">IFERROR(__xludf.DUMMYFUNCTION("""COMPUTED_VALUE"""),86660350)</f>
        <v>86660350</v>
      </c>
      <c r="H850" s="10" t="str">
        <f ca="1">IFERROR(__xludf.DUMMYFUNCTION("""COMPUTED_VALUE"""),"Resolución")</f>
        <v>Resolución</v>
      </c>
      <c r="I850" s="10" t="str">
        <f ca="1">IFERROR(__xludf.DUMMYFUNCTION("""COMPUTED_VALUE"""),"OBRA")</f>
        <v>OBRA</v>
      </c>
      <c r="J850" s="10" t="str">
        <f ca="1">IFERROR(__xludf.DUMMYFUNCTION("""COMPUTED_VALUE"""),"Cumplir con normativa y reglamentos internos del programa en base a los objetivos.")</f>
        <v>Cumplir con normativa y reglamentos internos del programa en base a los objetivos.</v>
      </c>
      <c r="K850" s="71">
        <f ca="1">IFERROR(__xludf.DUMMYFUNCTION("""COMPUTED_VALUE"""),43330175)</f>
        <v>43330175</v>
      </c>
      <c r="L850" s="72">
        <f ca="1">IFERROR(__xludf.DUMMYFUNCTION("""COMPUTED_VALUE"""),0.5)</f>
        <v>0.5</v>
      </c>
      <c r="M850" s="10">
        <f ca="1">IFERROR(__xludf.DUMMYFUNCTION("""COMPUTED_VALUE"""),8061)</f>
        <v>8061</v>
      </c>
      <c r="N850" s="10" t="str">
        <f ca="1">IFERROR(__xludf.DUMMYFUNCTION("""COMPUTED_VALUE"""),"PMU")</f>
        <v>PMU</v>
      </c>
      <c r="O850" s="1"/>
      <c r="P850" s="1"/>
      <c r="Q850" s="1"/>
      <c r="R850" s="1"/>
      <c r="S850" s="1"/>
      <c r="T850" s="1"/>
      <c r="U850" s="1"/>
      <c r="V850" s="1"/>
      <c r="W850" s="1"/>
      <c r="X850" s="1"/>
      <c r="Y850" s="1"/>
      <c r="Z850" s="1"/>
    </row>
    <row r="851" spans="1:26" ht="12.75" customHeight="1">
      <c r="A851" s="1"/>
      <c r="B851" s="10" t="str">
        <f ca="1">IFERROR(__xludf.DUMMYFUNCTION("""COMPUTED_VALUE"""),"MEJORAMIENTO ACERA, PABELLÓN CLODOMIRO VELOSO, LOTA.")</f>
        <v>MEJORAMIENTO ACERA, PABELLÓN CLODOMIRO VELOSO, LOTA.</v>
      </c>
      <c r="C851" s="10" t="str">
        <f ca="1">IFERROR(__xludf.DUMMYFUNCTION("""COMPUTED_VALUE"""),"1-K-2024-24")</f>
        <v>1-K-2024-24</v>
      </c>
      <c r="D851" s="26"/>
      <c r="E851" s="10" t="str">
        <f ca="1">IFERROR(__xludf.DUMMYFUNCTION("""COMPUTED_VALUE"""),"Guía Operativa")</f>
        <v>Guía Operativa</v>
      </c>
      <c r="F851" s="10" t="str">
        <f ca="1">IFERROR(__xludf.DUMMYFUNCTION("""COMPUTED_VALUE"""),"MUNICIPALIDAD DE LOTA")</f>
        <v>MUNICIPALIDAD DE LOTA</v>
      </c>
      <c r="G851" s="71">
        <f ca="1">IFERROR(__xludf.DUMMYFUNCTION("""COMPUTED_VALUE"""),158182521)</f>
        <v>158182521</v>
      </c>
      <c r="H851" s="10" t="str">
        <f ca="1">IFERROR(__xludf.DUMMYFUNCTION("""COMPUTED_VALUE"""),"Resolución")</f>
        <v>Resolución</v>
      </c>
      <c r="I851" s="10" t="str">
        <f ca="1">IFERROR(__xludf.DUMMYFUNCTION("""COMPUTED_VALUE"""),"OBRA")</f>
        <v>OBRA</v>
      </c>
      <c r="J851" s="10" t="str">
        <f ca="1">IFERROR(__xludf.DUMMYFUNCTION("""COMPUTED_VALUE"""),"Cumplir con normativa y reglamentos internos del programa en base a los objetivos.")</f>
        <v>Cumplir con normativa y reglamentos internos del programa en base a los objetivos.</v>
      </c>
      <c r="K851" s="71">
        <f ca="1">IFERROR(__xludf.DUMMYFUNCTION("""COMPUTED_VALUE"""),77502160)</f>
        <v>77502160</v>
      </c>
      <c r="L851" s="72">
        <f ca="1">IFERROR(__xludf.DUMMYFUNCTION("""COMPUTED_VALUE"""),0.489954006991708)</f>
        <v>0.48995400699170799</v>
      </c>
      <c r="M851" s="10">
        <f ca="1">IFERROR(__xludf.DUMMYFUNCTION("""COMPUTED_VALUE"""),8060)</f>
        <v>8060</v>
      </c>
      <c r="N851" s="10" t="str">
        <f ca="1">IFERROR(__xludf.DUMMYFUNCTION("""COMPUTED_VALUE"""),"PMU")</f>
        <v>PMU</v>
      </c>
      <c r="O851" s="1"/>
      <c r="P851" s="1"/>
      <c r="Q851" s="1"/>
      <c r="R851" s="1"/>
      <c r="S851" s="1"/>
      <c r="T851" s="1"/>
      <c r="U851" s="1"/>
      <c r="V851" s="1"/>
      <c r="W851" s="1"/>
      <c r="X851" s="1"/>
      <c r="Y851" s="1"/>
      <c r="Z851" s="1"/>
    </row>
    <row r="852" spans="1:26" ht="12.75" customHeight="1">
      <c r="A852" s="1"/>
      <c r="B852" s="10" t="str">
        <f ca="1">IFERROR(__xludf.DUMMYFUNCTION("""COMPUTED_VALUE"""),"REPARACIÓN BACHE PJE. D. GODOY Y CALLE CHILOÉ; PBL. VILLA ISIDORA, LOTA.")</f>
        <v>REPARACIÓN BACHE PJE. D. GODOY Y CALLE CHILOÉ; PBL. VILLA ISIDORA, LOTA.</v>
      </c>
      <c r="C852" s="10" t="str">
        <f ca="1">IFERROR(__xludf.DUMMYFUNCTION("""COMPUTED_VALUE"""),"1-K-2024-25")</f>
        <v>1-K-2024-25</v>
      </c>
      <c r="D852" s="26"/>
      <c r="E852" s="10" t="str">
        <f ca="1">IFERROR(__xludf.DUMMYFUNCTION("""COMPUTED_VALUE"""),"Guía Operativa")</f>
        <v>Guía Operativa</v>
      </c>
      <c r="F852" s="10" t="str">
        <f ca="1">IFERROR(__xludf.DUMMYFUNCTION("""COMPUTED_VALUE"""),"MUNICIPALIDAD DE LOTA")</f>
        <v>MUNICIPALIDAD DE LOTA</v>
      </c>
      <c r="G852" s="71">
        <f ca="1">IFERROR(__xludf.DUMMYFUNCTION("""COMPUTED_VALUE"""),149786438)</f>
        <v>149786438</v>
      </c>
      <c r="H852" s="10" t="str">
        <f ca="1">IFERROR(__xludf.DUMMYFUNCTION("""COMPUTED_VALUE"""),"Resolución")</f>
        <v>Resolución</v>
      </c>
      <c r="I852" s="10" t="str">
        <f ca="1">IFERROR(__xludf.DUMMYFUNCTION("""COMPUTED_VALUE"""),"OBRA")</f>
        <v>OBRA</v>
      </c>
      <c r="J852" s="10" t="str">
        <f ca="1">IFERROR(__xludf.DUMMYFUNCTION("""COMPUTED_VALUE"""),"Cumplir con normativa y reglamentos internos del programa en base a los objetivos.")</f>
        <v>Cumplir con normativa y reglamentos internos del programa en base a los objetivos.</v>
      </c>
      <c r="K852" s="71">
        <f ca="1">IFERROR(__xludf.DUMMYFUNCTION("""COMPUTED_VALUE"""),73304119)</f>
        <v>73304119</v>
      </c>
      <c r="L852" s="72">
        <f ca="1">IFERROR(__xludf.DUMMYFUNCTION("""COMPUTED_VALUE"""),0.489390895322579)</f>
        <v>0.48939089532257901</v>
      </c>
      <c r="M852" s="10">
        <f ca="1">IFERROR(__xludf.DUMMYFUNCTION("""COMPUTED_VALUE"""),8055)</f>
        <v>8055</v>
      </c>
      <c r="N852" s="10" t="str">
        <f ca="1">IFERROR(__xludf.DUMMYFUNCTION("""COMPUTED_VALUE"""),"PMU")</f>
        <v>PMU</v>
      </c>
      <c r="O852" s="1"/>
      <c r="P852" s="1"/>
      <c r="Q852" s="1"/>
      <c r="R852" s="1"/>
      <c r="S852" s="1"/>
      <c r="T852" s="1"/>
      <c r="U852" s="1"/>
      <c r="V852" s="1"/>
      <c r="W852" s="1"/>
      <c r="X852" s="1"/>
      <c r="Y852" s="1"/>
      <c r="Z852" s="1"/>
    </row>
    <row r="853" spans="1:26" ht="12.75" customHeight="1">
      <c r="A853" s="1"/>
      <c r="B853" s="10" t="str">
        <f ca="1">IFERROR(__xludf.DUMMYFUNCTION("""COMPUTED_VALUE"""),"CONSTRUCIÓN DE RESALTOS REUDCTORES DE VELOCIDAD EN: AVDA. DEL PARQUE, LOTA")</f>
        <v>CONSTRUCIÓN DE RESALTOS REUDCTORES DE VELOCIDAD EN: AVDA. DEL PARQUE, LOTA</v>
      </c>
      <c r="C853" s="10" t="str">
        <f ca="1">IFERROR(__xludf.DUMMYFUNCTION("""COMPUTED_VALUE"""),"1-K-2024-26")</f>
        <v>1-K-2024-26</v>
      </c>
      <c r="D853" s="26"/>
      <c r="E853" s="10" t="str">
        <f ca="1">IFERROR(__xludf.DUMMYFUNCTION("""COMPUTED_VALUE"""),"Guía Operativa")</f>
        <v>Guía Operativa</v>
      </c>
      <c r="F853" s="10" t="str">
        <f ca="1">IFERROR(__xludf.DUMMYFUNCTION("""COMPUTED_VALUE"""),"MUNICIPALIDAD DE LOTA")</f>
        <v>MUNICIPALIDAD DE LOTA</v>
      </c>
      <c r="G853" s="71">
        <f ca="1">IFERROR(__xludf.DUMMYFUNCTION("""COMPUTED_VALUE"""),155237469)</f>
        <v>155237469</v>
      </c>
      <c r="H853" s="10" t="str">
        <f ca="1">IFERROR(__xludf.DUMMYFUNCTION("""COMPUTED_VALUE"""),"Resolución")</f>
        <v>Resolución</v>
      </c>
      <c r="I853" s="10" t="str">
        <f ca="1">IFERROR(__xludf.DUMMYFUNCTION("""COMPUTED_VALUE"""),"OBRA")</f>
        <v>OBRA</v>
      </c>
      <c r="J853" s="10" t="str">
        <f ca="1">IFERROR(__xludf.DUMMYFUNCTION("""COMPUTED_VALUE"""),"Cumplir con normativa y reglamentos internos del programa en base a los objetivos.")</f>
        <v>Cumplir con normativa y reglamentos internos del programa en base a los objetivos.</v>
      </c>
      <c r="K853" s="71">
        <f ca="1">IFERROR(__xludf.DUMMYFUNCTION("""COMPUTED_VALUE"""),74384434)</f>
        <v>74384434</v>
      </c>
      <c r="L853" s="72">
        <f ca="1">IFERROR(__xludf.DUMMYFUNCTION("""COMPUTED_VALUE"""),0.479165464878843)</f>
        <v>0.47916546487884298</v>
      </c>
      <c r="M853" s="10">
        <f ca="1">IFERROR(__xludf.DUMMYFUNCTION("""COMPUTED_VALUE"""),8055)</f>
        <v>8055</v>
      </c>
      <c r="N853" s="10" t="str">
        <f ca="1">IFERROR(__xludf.DUMMYFUNCTION("""COMPUTED_VALUE"""),"PMU")</f>
        <v>PMU</v>
      </c>
      <c r="O853" s="1"/>
      <c r="P853" s="1"/>
      <c r="Q853" s="1"/>
      <c r="R853" s="1"/>
      <c r="S853" s="1"/>
      <c r="T853" s="1"/>
      <c r="U853" s="1"/>
      <c r="V853" s="1"/>
      <c r="W853" s="1"/>
      <c r="X853" s="1"/>
      <c r="Y853" s="1"/>
      <c r="Z853" s="1"/>
    </row>
    <row r="854" spans="1:26" ht="12.75" customHeight="1">
      <c r="A854" s="1"/>
      <c r="B854" s="10" t="str">
        <f ca="1">IFERROR(__xludf.DUMMYFUNCTION("""COMPUTED_VALUE"""),"COLOCACIÓN CIERRE DE PROTECCIÓN, CALLE LOS AVELLANOS POBL. G. MISTRAL, LOTA.")</f>
        <v>COLOCACIÓN CIERRE DE PROTECCIÓN, CALLE LOS AVELLANOS POBL. G. MISTRAL, LOTA.</v>
      </c>
      <c r="C854" s="10" t="str">
        <f ca="1">IFERROR(__xludf.DUMMYFUNCTION("""COMPUTED_VALUE"""),"1-K-2024-27")</f>
        <v>1-K-2024-27</v>
      </c>
      <c r="D854" s="26"/>
      <c r="E854" s="10" t="str">
        <f ca="1">IFERROR(__xludf.DUMMYFUNCTION("""COMPUTED_VALUE"""),"Guía Operativa")</f>
        <v>Guía Operativa</v>
      </c>
      <c r="F854" s="10" t="str">
        <f ca="1">IFERROR(__xludf.DUMMYFUNCTION("""COMPUTED_VALUE"""),"MUNICIPALIDAD DE LOTA")</f>
        <v>MUNICIPALIDAD DE LOTA</v>
      </c>
      <c r="G854" s="71">
        <f ca="1">IFERROR(__xludf.DUMMYFUNCTION("""COMPUTED_VALUE"""),153941467)</f>
        <v>153941467</v>
      </c>
      <c r="H854" s="10" t="str">
        <f ca="1">IFERROR(__xludf.DUMMYFUNCTION("""COMPUTED_VALUE"""),"Resolución")</f>
        <v>Resolución</v>
      </c>
      <c r="I854" s="10" t="str">
        <f ca="1">IFERROR(__xludf.DUMMYFUNCTION("""COMPUTED_VALUE"""),"OBRA")</f>
        <v>OBRA</v>
      </c>
      <c r="J854" s="10" t="str">
        <f ca="1">IFERROR(__xludf.DUMMYFUNCTION("""COMPUTED_VALUE"""),"Cumplir con normativa y reglamentos internos del programa en base a los objetivos.")</f>
        <v>Cumplir con normativa y reglamentos internos del programa en base a los objetivos.</v>
      </c>
      <c r="K854" s="71">
        <f ca="1">IFERROR(__xludf.DUMMYFUNCTION("""COMPUTED_VALUE"""),76970734)</f>
        <v>76970734</v>
      </c>
      <c r="L854" s="72">
        <f ca="1">IFERROR(__xludf.DUMMYFUNCTION("""COMPUTED_VALUE"""),0.500000003247987)</f>
        <v>0.50000000324798699</v>
      </c>
      <c r="M854" s="10">
        <f ca="1">IFERROR(__xludf.DUMMYFUNCTION("""COMPUTED_VALUE"""),8060)</f>
        <v>8060</v>
      </c>
      <c r="N854" s="10" t="str">
        <f ca="1">IFERROR(__xludf.DUMMYFUNCTION("""COMPUTED_VALUE"""),"PMU")</f>
        <v>PMU</v>
      </c>
      <c r="O854" s="1"/>
      <c r="P854" s="1"/>
      <c r="Q854" s="1"/>
      <c r="R854" s="1"/>
      <c r="S854" s="1"/>
      <c r="T854" s="1"/>
      <c r="U854" s="1"/>
      <c r="V854" s="1"/>
      <c r="W854" s="1"/>
      <c r="X854" s="1"/>
      <c r="Y854" s="1"/>
      <c r="Z854" s="1"/>
    </row>
    <row r="855" spans="1:26" ht="12.75" customHeight="1">
      <c r="A855" s="1"/>
      <c r="B855" s="10" t="str">
        <f ca="1">IFERROR(__xludf.DUMMYFUNCTION("""COMPUTED_VALUE"""),"MEJORAMIENTO VIAL ENTRE: CALLE PIQUE ALBERTO Y PJE. VICTORIA POBL. VILLA LOS HÉROES, LOTA.")</f>
        <v>MEJORAMIENTO VIAL ENTRE: CALLE PIQUE ALBERTO Y PJE. VICTORIA POBL. VILLA LOS HÉROES, LOTA.</v>
      </c>
      <c r="C855" s="10" t="str">
        <f ca="1">IFERROR(__xludf.DUMMYFUNCTION("""COMPUTED_VALUE"""),"1-K-2024-28")</f>
        <v>1-K-2024-28</v>
      </c>
      <c r="D855" s="26"/>
      <c r="E855" s="10" t="str">
        <f ca="1">IFERROR(__xludf.DUMMYFUNCTION("""COMPUTED_VALUE"""),"Guía Operativa")</f>
        <v>Guía Operativa</v>
      </c>
      <c r="F855" s="10" t="str">
        <f ca="1">IFERROR(__xludf.DUMMYFUNCTION("""COMPUTED_VALUE"""),"MUNICIPALIDAD DE LOTA")</f>
        <v>MUNICIPALIDAD DE LOTA</v>
      </c>
      <c r="G855" s="71">
        <f ca="1">IFERROR(__xludf.DUMMYFUNCTION("""COMPUTED_VALUE"""),159710160)</f>
        <v>159710160</v>
      </c>
      <c r="H855" s="10" t="str">
        <f ca="1">IFERROR(__xludf.DUMMYFUNCTION("""COMPUTED_VALUE"""),"Resolución")</f>
        <v>Resolución</v>
      </c>
      <c r="I855" s="10" t="str">
        <f ca="1">IFERROR(__xludf.DUMMYFUNCTION("""COMPUTED_VALUE"""),"OBRA")</f>
        <v>OBRA</v>
      </c>
      <c r="J855" s="10" t="str">
        <f ca="1">IFERROR(__xludf.DUMMYFUNCTION("""COMPUTED_VALUE"""),"Cumplir con normativa y reglamentos internos del programa en base a los objetivos.")</f>
        <v>Cumplir con normativa y reglamentos internos del programa en base a los objetivos.</v>
      </c>
      <c r="K855" s="71">
        <f ca="1">IFERROR(__xludf.DUMMYFUNCTION("""COMPUTED_VALUE"""),79855080)</f>
        <v>79855080</v>
      </c>
      <c r="L855" s="72">
        <f ca="1">IFERROR(__xludf.DUMMYFUNCTION("""COMPUTED_VALUE"""),0.5)</f>
        <v>0.5</v>
      </c>
      <c r="M855" s="10">
        <f ca="1">IFERROR(__xludf.DUMMYFUNCTION("""COMPUTED_VALUE"""),8055)</f>
        <v>8055</v>
      </c>
      <c r="N855" s="10" t="str">
        <f ca="1">IFERROR(__xludf.DUMMYFUNCTION("""COMPUTED_VALUE"""),"PMU")</f>
        <v>PMU</v>
      </c>
      <c r="O855" s="1"/>
      <c r="P855" s="1"/>
      <c r="Q855" s="1"/>
      <c r="R855" s="1"/>
      <c r="S855" s="1"/>
      <c r="T855" s="1"/>
      <c r="U855" s="1"/>
      <c r="V855" s="1"/>
      <c r="W855" s="1"/>
      <c r="X855" s="1"/>
      <c r="Y855" s="1"/>
      <c r="Z855" s="1"/>
    </row>
    <row r="856" spans="1:26" ht="12.75" customHeight="1">
      <c r="A856" s="1"/>
      <c r="B856" s="10" t="str">
        <f ca="1">IFERROR(__xludf.DUMMYFUNCTION("""COMPUTED_VALUE"""),"CONSTRUCCIÓN MURO DE CONTENCIÓN PJE. O´HIGGINS 2 POBL. LIBERTAD, LOTA.")</f>
        <v>CONSTRUCCIÓN MURO DE CONTENCIÓN PJE. O´HIGGINS 2 POBL. LIBERTAD, LOTA.</v>
      </c>
      <c r="C856" s="10" t="str">
        <f ca="1">IFERROR(__xludf.DUMMYFUNCTION("""COMPUTED_VALUE"""),"1-K-2024-32")</f>
        <v>1-K-2024-32</v>
      </c>
      <c r="D856" s="26"/>
      <c r="E856" s="10" t="str">
        <f ca="1">IFERROR(__xludf.DUMMYFUNCTION("""COMPUTED_VALUE"""),"Guía Operativa")</f>
        <v>Guía Operativa</v>
      </c>
      <c r="F856" s="10" t="str">
        <f ca="1">IFERROR(__xludf.DUMMYFUNCTION("""COMPUTED_VALUE"""),"MUNICIPALIDAD DE LOTA")</f>
        <v>MUNICIPALIDAD DE LOTA</v>
      </c>
      <c r="G856" s="71">
        <f ca="1">IFERROR(__xludf.DUMMYFUNCTION("""COMPUTED_VALUE"""),155591417)</f>
        <v>155591417</v>
      </c>
      <c r="H856" s="10" t="str">
        <f ca="1">IFERROR(__xludf.DUMMYFUNCTION("""COMPUTED_VALUE"""),"Resolución")</f>
        <v>Resolución</v>
      </c>
      <c r="I856" s="10" t="str">
        <f ca="1">IFERROR(__xludf.DUMMYFUNCTION("""COMPUTED_VALUE"""),"OBRA")</f>
        <v>OBRA</v>
      </c>
      <c r="J856" s="10" t="str">
        <f ca="1">IFERROR(__xludf.DUMMYFUNCTION("""COMPUTED_VALUE"""),"Cumplir con normativa y reglamentos internos del programa en base a los objetivos.")</f>
        <v>Cumplir con normativa y reglamentos internos del programa en base a los objetivos.</v>
      </c>
      <c r="K856" s="71">
        <f ca="1">IFERROR(__xludf.DUMMYFUNCTION("""COMPUTED_VALUE"""),77795708)</f>
        <v>77795708</v>
      </c>
      <c r="L856" s="72">
        <f ca="1">IFERROR(__xludf.DUMMYFUNCTION("""COMPUTED_VALUE"""),0.499999996786455)</f>
        <v>0.49999999678645501</v>
      </c>
      <c r="M856" s="10">
        <f ca="1">IFERROR(__xludf.DUMMYFUNCTION("""COMPUTED_VALUE"""),8026)</f>
        <v>8026</v>
      </c>
      <c r="N856" s="10" t="str">
        <f ca="1">IFERROR(__xludf.DUMMYFUNCTION("""COMPUTED_VALUE"""),"PMU")</f>
        <v>PMU</v>
      </c>
      <c r="O856" s="1"/>
      <c r="P856" s="1"/>
      <c r="Q856" s="1"/>
      <c r="R856" s="1"/>
      <c r="S856" s="1"/>
      <c r="T856" s="1"/>
      <c r="U856" s="1"/>
      <c r="V856" s="1"/>
      <c r="W856" s="1"/>
      <c r="X856" s="1"/>
      <c r="Y856" s="1"/>
      <c r="Z856" s="1"/>
    </row>
    <row r="857" spans="1:26" ht="12.75" customHeight="1">
      <c r="A857" s="1"/>
      <c r="B857" s="10" t="str">
        <f ca="1">IFERROR(__xludf.DUMMYFUNCTION("""COMPUTED_VALUE"""),"COLOCACIÓN BARRERA DE CONTENCIÓN Y PASAMANOS PJE. SAN MARTÍN Y SENDA BIO-BIO POBL. SOTOMAYOR, LOTA.")</f>
        <v>COLOCACIÓN BARRERA DE CONTENCIÓN Y PASAMANOS PJE. SAN MARTÍN Y SENDA BIO-BIO POBL. SOTOMAYOR, LOTA.</v>
      </c>
      <c r="C857" s="10" t="str">
        <f ca="1">IFERROR(__xludf.DUMMYFUNCTION("""COMPUTED_VALUE"""),"1-K-2024-34")</f>
        <v>1-K-2024-34</v>
      </c>
      <c r="D857" s="26"/>
      <c r="E857" s="10" t="str">
        <f ca="1">IFERROR(__xludf.DUMMYFUNCTION("""COMPUTED_VALUE"""),"Guía Operativa")</f>
        <v>Guía Operativa</v>
      </c>
      <c r="F857" s="10" t="str">
        <f ca="1">IFERROR(__xludf.DUMMYFUNCTION("""COMPUTED_VALUE"""),"MUNICIPALIDAD DE LOTA")</f>
        <v>MUNICIPALIDAD DE LOTA</v>
      </c>
      <c r="G857" s="71">
        <f ca="1">IFERROR(__xludf.DUMMYFUNCTION("""COMPUTED_VALUE"""),150959737)</f>
        <v>150959737</v>
      </c>
      <c r="H857" s="10" t="str">
        <f ca="1">IFERROR(__xludf.DUMMYFUNCTION("""COMPUTED_VALUE"""),"Resolución")</f>
        <v>Resolución</v>
      </c>
      <c r="I857" s="10" t="str">
        <f ca="1">IFERROR(__xludf.DUMMYFUNCTION("""COMPUTED_VALUE"""),"OBRA")</f>
        <v>OBRA</v>
      </c>
      <c r="J857" s="10" t="str">
        <f ca="1">IFERROR(__xludf.DUMMYFUNCTION("""COMPUTED_VALUE"""),"Cumplir con normativa y reglamentos internos del programa en base a los objetivos.")</f>
        <v>Cumplir con normativa y reglamentos internos del programa en base a los objetivos.</v>
      </c>
      <c r="K857" s="71">
        <f ca="1">IFERROR(__xludf.DUMMYFUNCTION("""COMPUTED_VALUE"""),75479868)</f>
        <v>75479868</v>
      </c>
      <c r="L857" s="72">
        <f ca="1">IFERROR(__xludf.DUMMYFUNCTION("""COMPUTED_VALUE"""),0.499999996687858)</f>
        <v>0.49999999668785799</v>
      </c>
      <c r="M857" s="10">
        <f ca="1">IFERROR(__xludf.DUMMYFUNCTION("""COMPUTED_VALUE"""),8053)</f>
        <v>8053</v>
      </c>
      <c r="N857" s="10" t="str">
        <f ca="1">IFERROR(__xludf.DUMMYFUNCTION("""COMPUTED_VALUE"""),"PMU")</f>
        <v>PMU</v>
      </c>
      <c r="O857" s="1"/>
      <c r="P857" s="1"/>
      <c r="Q857" s="1"/>
      <c r="R857" s="1"/>
      <c r="S857" s="1"/>
      <c r="T857" s="1"/>
      <c r="U857" s="1"/>
      <c r="V857" s="1"/>
      <c r="W857" s="1"/>
      <c r="X857" s="1"/>
      <c r="Y857" s="1"/>
      <c r="Z857" s="1"/>
    </row>
    <row r="858" spans="1:26" ht="12.75" customHeight="1">
      <c r="A858" s="1"/>
      <c r="B858" s="10" t="str">
        <f ca="1">IFERROR(__xludf.DUMMYFUNCTION("""COMPUTED_VALUE"""),"REPARACIÓN BACHE PJE. AVDA. EL MORRO, POBL. EL MORRO, LOTA.")</f>
        <v>REPARACIÓN BACHE PJE. AVDA. EL MORRO, POBL. EL MORRO, LOTA.</v>
      </c>
      <c r="C858" s="10" t="str">
        <f ca="1">IFERROR(__xludf.DUMMYFUNCTION("""COMPUTED_VALUE"""),"1-K-2024-35")</f>
        <v>1-K-2024-35</v>
      </c>
      <c r="D858" s="26"/>
      <c r="E858" s="10" t="str">
        <f ca="1">IFERROR(__xludf.DUMMYFUNCTION("""COMPUTED_VALUE"""),"Guía Operativa")</f>
        <v>Guía Operativa</v>
      </c>
      <c r="F858" s="10" t="str">
        <f ca="1">IFERROR(__xludf.DUMMYFUNCTION("""COMPUTED_VALUE"""),"MUNICIPALIDAD DE LOTA")</f>
        <v>MUNICIPALIDAD DE LOTA</v>
      </c>
      <c r="G858" s="71">
        <f ca="1">IFERROR(__xludf.DUMMYFUNCTION("""COMPUTED_VALUE"""),150846943)</f>
        <v>150846943</v>
      </c>
      <c r="H858" s="10" t="str">
        <f ca="1">IFERROR(__xludf.DUMMYFUNCTION("""COMPUTED_VALUE"""),"Resolución")</f>
        <v>Resolución</v>
      </c>
      <c r="I858" s="10" t="str">
        <f ca="1">IFERROR(__xludf.DUMMYFUNCTION("""COMPUTED_VALUE"""),"OBRA")</f>
        <v>OBRA</v>
      </c>
      <c r="J858" s="10" t="str">
        <f ca="1">IFERROR(__xludf.DUMMYFUNCTION("""COMPUTED_VALUE"""),"Cumplir con normativa y reglamentos internos del programa en base a los objetivos.")</f>
        <v>Cumplir con normativa y reglamentos internos del programa en base a los objetivos.</v>
      </c>
      <c r="K858" s="71">
        <f ca="1">IFERROR(__xludf.DUMMYFUNCTION("""COMPUTED_VALUE"""),69010971)</f>
        <v>69010971</v>
      </c>
      <c r="L858" s="72">
        <f ca="1">IFERROR(__xludf.DUMMYFUNCTION("""COMPUTED_VALUE"""),0.457490020198818)</f>
        <v>0.45749002019881801</v>
      </c>
      <c r="M858" s="10">
        <f ca="1">IFERROR(__xludf.DUMMYFUNCTION("""COMPUTED_VALUE"""),8060)</f>
        <v>8060</v>
      </c>
      <c r="N858" s="10" t="str">
        <f ca="1">IFERROR(__xludf.DUMMYFUNCTION("""COMPUTED_VALUE"""),"PMU")</f>
        <v>PMU</v>
      </c>
      <c r="O858" s="1"/>
      <c r="P858" s="1"/>
      <c r="Q858" s="1"/>
      <c r="R858" s="1"/>
      <c r="S858" s="1"/>
      <c r="T858" s="1"/>
      <c r="U858" s="1"/>
      <c r="V858" s="1"/>
      <c r="W858" s="1"/>
      <c r="X858" s="1"/>
      <c r="Y858" s="1"/>
      <c r="Z858" s="1"/>
    </row>
    <row r="859" spans="1:26" ht="12.75" customHeight="1">
      <c r="A859" s="1"/>
      <c r="B859" s="10" t="str">
        <f ca="1">IFERROR(__xludf.DUMMYFUNCTION("""COMPUTED_VALUE"""),"CONSTRUCCIÓN DE REFUGIO PEATONAL CALLE BALDOMERO LILLO SECTOR CESFAM SAR LOTA ALTO, LOTA.")</f>
        <v>CONSTRUCCIÓN DE REFUGIO PEATONAL CALLE BALDOMERO LILLO SECTOR CESFAM SAR LOTA ALTO, LOTA.</v>
      </c>
      <c r="C859" s="10" t="str">
        <f ca="1">IFERROR(__xludf.DUMMYFUNCTION("""COMPUTED_VALUE"""),"1-K-2024-39")</f>
        <v>1-K-2024-39</v>
      </c>
      <c r="D859" s="26"/>
      <c r="E859" s="10" t="str">
        <f ca="1">IFERROR(__xludf.DUMMYFUNCTION("""COMPUTED_VALUE"""),"Guía Operativa")</f>
        <v>Guía Operativa</v>
      </c>
      <c r="F859" s="10" t="str">
        <f ca="1">IFERROR(__xludf.DUMMYFUNCTION("""COMPUTED_VALUE"""),"MUNICIPALIDAD DE LOTA")</f>
        <v>MUNICIPALIDAD DE LOTA</v>
      </c>
      <c r="G859" s="71">
        <f ca="1">IFERROR(__xludf.DUMMYFUNCTION("""COMPUTED_VALUE"""),159799961)</f>
        <v>159799961</v>
      </c>
      <c r="H859" s="10" t="str">
        <f ca="1">IFERROR(__xludf.DUMMYFUNCTION("""COMPUTED_VALUE"""),"Resolución")</f>
        <v>Resolución</v>
      </c>
      <c r="I859" s="10" t="str">
        <f ca="1">IFERROR(__xludf.DUMMYFUNCTION("""COMPUTED_VALUE"""),"OBRA")</f>
        <v>OBRA</v>
      </c>
      <c r="J859" s="10" t="str">
        <f ca="1">IFERROR(__xludf.DUMMYFUNCTION("""COMPUTED_VALUE"""),"Cumplir con normativa y reglamentos internos del programa en base a los objetivos.")</f>
        <v>Cumplir con normativa y reglamentos internos del programa en base a los objetivos.</v>
      </c>
      <c r="K859" s="71">
        <f ca="1">IFERROR(__xludf.DUMMYFUNCTION("""COMPUTED_VALUE"""),76721780)</f>
        <v>76721780</v>
      </c>
      <c r="L859" s="72">
        <f ca="1">IFERROR(__xludf.DUMMYFUNCTION("""COMPUTED_VALUE"""),0.480111381253716)</f>
        <v>0.480111381253716</v>
      </c>
      <c r="M859" s="10">
        <f ca="1">IFERROR(__xludf.DUMMYFUNCTION("""COMPUTED_VALUE"""),8060)</f>
        <v>8060</v>
      </c>
      <c r="N859" s="10" t="str">
        <f ca="1">IFERROR(__xludf.DUMMYFUNCTION("""COMPUTED_VALUE"""),"PMU")</f>
        <v>PMU</v>
      </c>
      <c r="O859" s="1"/>
      <c r="P859" s="1"/>
      <c r="Q859" s="1"/>
      <c r="R859" s="1"/>
      <c r="S859" s="1"/>
      <c r="T859" s="1"/>
      <c r="U859" s="1"/>
      <c r="V859" s="1"/>
      <c r="W859" s="1"/>
      <c r="X859" s="1"/>
      <c r="Y859" s="1"/>
      <c r="Z859" s="1"/>
    </row>
    <row r="860" spans="1:26" ht="12.75" customHeight="1">
      <c r="A860" s="1"/>
      <c r="B860" s="10" t="str">
        <f ca="1">IFERROR(__xludf.DUMMYFUNCTION("""COMPUTED_VALUE"""),"MEJORAMIENTO DE PASAMANOS PJE. O´HIGGINS SECTOR CALERO SUR, LOTA.")</f>
        <v>MEJORAMIENTO DE PASAMANOS PJE. O´HIGGINS SECTOR CALERO SUR, LOTA.</v>
      </c>
      <c r="C860" s="10" t="str">
        <f ca="1">IFERROR(__xludf.DUMMYFUNCTION("""COMPUTED_VALUE"""),"1-K-2024-40")</f>
        <v>1-K-2024-40</v>
      </c>
      <c r="D860" s="26"/>
      <c r="E860" s="10" t="str">
        <f ca="1">IFERROR(__xludf.DUMMYFUNCTION("""COMPUTED_VALUE"""),"Guía Operativa")</f>
        <v>Guía Operativa</v>
      </c>
      <c r="F860" s="10" t="str">
        <f ca="1">IFERROR(__xludf.DUMMYFUNCTION("""COMPUTED_VALUE"""),"MUNICIPALIDAD DE LOTA")</f>
        <v>MUNICIPALIDAD DE LOTA</v>
      </c>
      <c r="G860" s="71">
        <f ca="1">IFERROR(__xludf.DUMMYFUNCTION("""COMPUTED_VALUE"""),154350494)</f>
        <v>154350494</v>
      </c>
      <c r="H860" s="10" t="str">
        <f ca="1">IFERROR(__xludf.DUMMYFUNCTION("""COMPUTED_VALUE"""),"Resolución")</f>
        <v>Resolución</v>
      </c>
      <c r="I860" s="10" t="str">
        <f ca="1">IFERROR(__xludf.DUMMYFUNCTION("""COMPUTED_VALUE"""),"OBRA")</f>
        <v>OBRA</v>
      </c>
      <c r="J860" s="10" t="str">
        <f ca="1">IFERROR(__xludf.DUMMYFUNCTION("""COMPUTED_VALUE"""),"Cumplir con normativa y reglamentos internos del programa en base a los objetivos.")</f>
        <v>Cumplir con normativa y reglamentos internos del programa en base a los objetivos.</v>
      </c>
      <c r="K860" s="71">
        <f ca="1">IFERROR(__xludf.DUMMYFUNCTION("""COMPUTED_VALUE"""),77175247)</f>
        <v>77175247</v>
      </c>
      <c r="L860" s="72">
        <f ca="1">IFERROR(__xludf.DUMMYFUNCTION("""COMPUTED_VALUE"""),0.5)</f>
        <v>0.5</v>
      </c>
      <c r="M860" s="10">
        <f ca="1">IFERROR(__xludf.DUMMYFUNCTION("""COMPUTED_VALUE"""),8053)</f>
        <v>8053</v>
      </c>
      <c r="N860" s="10" t="str">
        <f ca="1">IFERROR(__xludf.DUMMYFUNCTION("""COMPUTED_VALUE"""),"PMU")</f>
        <v>PMU</v>
      </c>
      <c r="O860" s="1"/>
      <c r="P860" s="1"/>
      <c r="Q860" s="1"/>
      <c r="R860" s="1"/>
      <c r="S860" s="1"/>
      <c r="T860" s="1"/>
      <c r="U860" s="1"/>
      <c r="V860" s="1"/>
      <c r="W860" s="1"/>
      <c r="X860" s="1"/>
      <c r="Y860" s="1"/>
      <c r="Z860" s="1"/>
    </row>
    <row r="861" spans="1:26" ht="12.75" customHeight="1">
      <c r="A861" s="1"/>
      <c r="B861" s="10" t="str">
        <f ca="1">IFERROR(__xludf.DUMMYFUNCTION("""COMPUTED_VALUE"""),"MEJORAMIENTO DEFENSA CAMINERA SECTOR SAN MARTÍN, LOTA.")</f>
        <v>MEJORAMIENTO DEFENSA CAMINERA SECTOR SAN MARTÍN, LOTA.</v>
      </c>
      <c r="C861" s="10" t="str">
        <f ca="1">IFERROR(__xludf.DUMMYFUNCTION("""COMPUTED_VALUE"""),"1-K-2024-41")</f>
        <v>1-K-2024-41</v>
      </c>
      <c r="D861" s="26"/>
      <c r="E861" s="10" t="str">
        <f ca="1">IFERROR(__xludf.DUMMYFUNCTION("""COMPUTED_VALUE"""),"Guía Operativa")</f>
        <v>Guía Operativa</v>
      </c>
      <c r="F861" s="10" t="str">
        <f ca="1">IFERROR(__xludf.DUMMYFUNCTION("""COMPUTED_VALUE"""),"MUNICIPALIDAD DE LOTA")</f>
        <v>MUNICIPALIDAD DE LOTA</v>
      </c>
      <c r="G861" s="71">
        <f ca="1">IFERROR(__xludf.DUMMYFUNCTION("""COMPUTED_VALUE"""),156989864)</f>
        <v>156989864</v>
      </c>
      <c r="H861" s="10" t="str">
        <f ca="1">IFERROR(__xludf.DUMMYFUNCTION("""COMPUTED_VALUE"""),"Resolución")</f>
        <v>Resolución</v>
      </c>
      <c r="I861" s="10" t="str">
        <f ca="1">IFERROR(__xludf.DUMMYFUNCTION("""COMPUTED_VALUE"""),"OBRA")</f>
        <v>OBRA</v>
      </c>
      <c r="J861" s="10" t="str">
        <f ca="1">IFERROR(__xludf.DUMMYFUNCTION("""COMPUTED_VALUE"""),"Cumplir con normativa y reglamentos internos del programa en base a los objetivos.")</f>
        <v>Cumplir con normativa y reglamentos internos del programa en base a los objetivos.</v>
      </c>
      <c r="K861" s="71">
        <f ca="1">IFERROR(__xludf.DUMMYFUNCTION("""COMPUTED_VALUE"""),78494932)</f>
        <v>78494932</v>
      </c>
      <c r="L861" s="72">
        <f ca="1">IFERROR(__xludf.DUMMYFUNCTION("""COMPUTED_VALUE"""),0.5)</f>
        <v>0.5</v>
      </c>
      <c r="M861" s="10">
        <f ca="1">IFERROR(__xludf.DUMMYFUNCTION("""COMPUTED_VALUE"""),8055)</f>
        <v>8055</v>
      </c>
      <c r="N861" s="10" t="str">
        <f ca="1">IFERROR(__xludf.DUMMYFUNCTION("""COMPUTED_VALUE"""),"PMU")</f>
        <v>PMU</v>
      </c>
      <c r="O861" s="1"/>
      <c r="P861" s="1"/>
      <c r="Q861" s="1"/>
      <c r="R861" s="1"/>
      <c r="S861" s="1"/>
      <c r="T861" s="1"/>
      <c r="U861" s="1"/>
      <c r="V861" s="1"/>
      <c r="W861" s="1"/>
      <c r="X861" s="1"/>
      <c r="Y861" s="1"/>
      <c r="Z861" s="1"/>
    </row>
    <row r="862" spans="1:26" ht="12.75" customHeight="1">
      <c r="A862" s="1"/>
      <c r="B862" s="10" t="str">
        <f ca="1">IFERROR(__xludf.DUMMYFUNCTION("""COMPUTED_VALUE"""),"MEJORAMIENTO PASAMANOS SECTOR LAUTARO, LOTA.")</f>
        <v>MEJORAMIENTO PASAMANOS SECTOR LAUTARO, LOTA.</v>
      </c>
      <c r="C862" s="10" t="str">
        <f ca="1">IFERROR(__xludf.DUMMYFUNCTION("""COMPUTED_VALUE"""),"1-K-2024-42")</f>
        <v>1-K-2024-42</v>
      </c>
      <c r="D862" s="26"/>
      <c r="E862" s="10" t="str">
        <f ca="1">IFERROR(__xludf.DUMMYFUNCTION("""COMPUTED_VALUE"""),"Guía Operativa")</f>
        <v>Guía Operativa</v>
      </c>
      <c r="F862" s="10" t="str">
        <f ca="1">IFERROR(__xludf.DUMMYFUNCTION("""COMPUTED_VALUE"""),"MUNICIPALIDAD DE LOTA")</f>
        <v>MUNICIPALIDAD DE LOTA</v>
      </c>
      <c r="G862" s="71">
        <f ca="1">IFERROR(__xludf.DUMMYFUNCTION("""COMPUTED_VALUE"""),151307217)</f>
        <v>151307217</v>
      </c>
      <c r="H862" s="10" t="str">
        <f ca="1">IFERROR(__xludf.DUMMYFUNCTION("""COMPUTED_VALUE"""),"Resolución")</f>
        <v>Resolución</v>
      </c>
      <c r="I862" s="10" t="str">
        <f ca="1">IFERROR(__xludf.DUMMYFUNCTION("""COMPUTED_VALUE"""),"OBRA")</f>
        <v>OBRA</v>
      </c>
      <c r="J862" s="10" t="str">
        <f ca="1">IFERROR(__xludf.DUMMYFUNCTION("""COMPUTED_VALUE"""),"Cumplir con normativa y reglamentos internos del programa en base a los objetivos.")</f>
        <v>Cumplir con normativa y reglamentos internos del programa en base a los objetivos.</v>
      </c>
      <c r="K862" s="71">
        <f ca="1">IFERROR(__xludf.DUMMYFUNCTION("""COMPUTED_VALUE"""),73932508)</f>
        <v>73932508</v>
      </c>
      <c r="L862" s="72">
        <f ca="1">IFERROR(__xludf.DUMMYFUNCTION("""COMPUTED_VALUE"""),0.488625126189453)</f>
        <v>0.48862512618945297</v>
      </c>
      <c r="M862" s="10">
        <f ca="1">IFERROR(__xludf.DUMMYFUNCTION("""COMPUTED_VALUE"""),8060)</f>
        <v>8060</v>
      </c>
      <c r="N862" s="10" t="str">
        <f ca="1">IFERROR(__xludf.DUMMYFUNCTION("""COMPUTED_VALUE"""),"PMU")</f>
        <v>PMU</v>
      </c>
      <c r="O862" s="1"/>
      <c r="P862" s="1"/>
      <c r="Q862" s="1"/>
      <c r="R862" s="1"/>
      <c r="S862" s="1"/>
      <c r="T862" s="1"/>
      <c r="U862" s="1"/>
      <c r="V862" s="1"/>
      <c r="W862" s="1"/>
      <c r="X862" s="1"/>
      <c r="Y862" s="1"/>
      <c r="Z862" s="1"/>
    </row>
    <row r="863" spans="1:26" ht="12.75" customHeight="1">
      <c r="A863" s="1"/>
      <c r="B863" s="10" t="str">
        <f ca="1">IFERROR(__xludf.DUMMYFUNCTION("""COMPUTED_VALUE"""),"MEJORAMIENTO MURO DE CONTENCIÓN CALLE L. MEDEL SECTOR ISIDORA GOYENECHEA, LOTA.")</f>
        <v>MEJORAMIENTO MURO DE CONTENCIÓN CALLE L. MEDEL SECTOR ISIDORA GOYENECHEA, LOTA.</v>
      </c>
      <c r="C863" s="10" t="str">
        <f ca="1">IFERROR(__xludf.DUMMYFUNCTION("""COMPUTED_VALUE"""),"1-K-2024-43")</f>
        <v>1-K-2024-43</v>
      </c>
      <c r="D863" s="26"/>
      <c r="E863" s="10" t="str">
        <f ca="1">IFERROR(__xludf.DUMMYFUNCTION("""COMPUTED_VALUE"""),"Guía Operativa")</f>
        <v>Guía Operativa</v>
      </c>
      <c r="F863" s="10" t="str">
        <f ca="1">IFERROR(__xludf.DUMMYFUNCTION("""COMPUTED_VALUE"""),"MUNICIPALIDAD DE LOTA")</f>
        <v>MUNICIPALIDAD DE LOTA</v>
      </c>
      <c r="G863" s="71">
        <f ca="1">IFERROR(__xludf.DUMMYFUNCTION("""COMPUTED_VALUE"""),160758351)</f>
        <v>160758351</v>
      </c>
      <c r="H863" s="10" t="str">
        <f ca="1">IFERROR(__xludf.DUMMYFUNCTION("""COMPUTED_VALUE"""),"Resolución")</f>
        <v>Resolución</v>
      </c>
      <c r="I863" s="10" t="str">
        <f ca="1">IFERROR(__xludf.DUMMYFUNCTION("""COMPUTED_VALUE"""),"OBRA")</f>
        <v>OBRA</v>
      </c>
      <c r="J863" s="10" t="str">
        <f ca="1">IFERROR(__xludf.DUMMYFUNCTION("""COMPUTED_VALUE"""),"Cumplir con normativa y reglamentos internos del programa en base a los objetivos.")</f>
        <v>Cumplir con normativa y reglamentos internos del programa en base a los objetivos.</v>
      </c>
      <c r="K863" s="71">
        <f ca="1">IFERROR(__xludf.DUMMYFUNCTION("""COMPUTED_VALUE"""),78733975)</f>
        <v>78733975</v>
      </c>
      <c r="L863" s="72">
        <f ca="1">IFERROR(__xludf.DUMMYFUNCTION("""COMPUTED_VALUE"""),0.489766002887153)</f>
        <v>0.489766002887153</v>
      </c>
      <c r="M863" s="10">
        <f ca="1">IFERROR(__xludf.DUMMYFUNCTION("""COMPUTED_VALUE"""),8055)</f>
        <v>8055</v>
      </c>
      <c r="N863" s="10" t="str">
        <f ca="1">IFERROR(__xludf.DUMMYFUNCTION("""COMPUTED_VALUE"""),"PMU")</f>
        <v>PMU</v>
      </c>
      <c r="O863" s="1"/>
      <c r="P863" s="1"/>
      <c r="Q863" s="1"/>
      <c r="R863" s="1"/>
      <c r="S863" s="1"/>
      <c r="T863" s="1"/>
      <c r="U863" s="1"/>
      <c r="V863" s="1"/>
      <c r="W863" s="1"/>
      <c r="X863" s="1"/>
      <c r="Y863" s="1"/>
      <c r="Z863" s="1"/>
    </row>
    <row r="864" spans="1:26" ht="12.75" customHeight="1">
      <c r="A864" s="1"/>
      <c r="B864" s="10" t="str">
        <f ca="1">IFERROR(__xludf.DUMMYFUNCTION("""COMPUTED_VALUE"""),"REPOSICIÓN DE ACERA Y CONSTRUCCIÓN DE PASAMANOS PASAJE LAS LILAS SECTOR VISTA HERMOSA, LOTA.")</f>
        <v>REPOSICIÓN DE ACERA Y CONSTRUCCIÓN DE PASAMANOS PASAJE LAS LILAS SECTOR VISTA HERMOSA, LOTA.</v>
      </c>
      <c r="C864" s="10" t="str">
        <f ca="1">IFERROR(__xludf.DUMMYFUNCTION("""COMPUTED_VALUE"""),"1-K-2024-44")</f>
        <v>1-K-2024-44</v>
      </c>
      <c r="D864" s="26"/>
      <c r="E864" s="10" t="str">
        <f ca="1">IFERROR(__xludf.DUMMYFUNCTION("""COMPUTED_VALUE"""),"Guía Operativa")</f>
        <v>Guía Operativa</v>
      </c>
      <c r="F864" s="10" t="str">
        <f ca="1">IFERROR(__xludf.DUMMYFUNCTION("""COMPUTED_VALUE"""),"MUNICIPALIDAD DE LOTA")</f>
        <v>MUNICIPALIDAD DE LOTA</v>
      </c>
      <c r="G864" s="71">
        <f ca="1">IFERROR(__xludf.DUMMYFUNCTION("""COMPUTED_VALUE"""),153513674)</f>
        <v>153513674</v>
      </c>
      <c r="H864" s="10" t="str">
        <f ca="1">IFERROR(__xludf.DUMMYFUNCTION("""COMPUTED_VALUE"""),"Resolución")</f>
        <v>Resolución</v>
      </c>
      <c r="I864" s="10" t="str">
        <f ca="1">IFERROR(__xludf.DUMMYFUNCTION("""COMPUTED_VALUE"""),"OBRA")</f>
        <v>OBRA</v>
      </c>
      <c r="J864" s="10" t="str">
        <f ca="1">IFERROR(__xludf.DUMMYFUNCTION("""COMPUTED_VALUE"""),"Cumplir con normativa y reglamentos internos del programa en base a los objetivos.")</f>
        <v>Cumplir con normativa y reglamentos internos del programa en base a los objetivos.</v>
      </c>
      <c r="K864" s="71">
        <f ca="1">IFERROR(__xludf.DUMMYFUNCTION("""COMPUTED_VALUE"""),75167737)</f>
        <v>75167737</v>
      </c>
      <c r="L864" s="72">
        <f ca="1">IFERROR(__xludf.DUMMYFUNCTION("""COMPUTED_VALUE"""),0.489648479131572)</f>
        <v>0.489648479131572</v>
      </c>
      <c r="M864" s="10">
        <f ca="1">IFERROR(__xludf.DUMMYFUNCTION("""COMPUTED_VALUE"""),8055)</f>
        <v>8055</v>
      </c>
      <c r="N864" s="10" t="str">
        <f ca="1">IFERROR(__xludf.DUMMYFUNCTION("""COMPUTED_VALUE"""),"PMU")</f>
        <v>PMU</v>
      </c>
      <c r="O864" s="1"/>
      <c r="P864" s="1"/>
      <c r="Q864" s="1"/>
      <c r="R864" s="1"/>
      <c r="S864" s="1"/>
      <c r="T864" s="1"/>
      <c r="U864" s="1"/>
      <c r="V864" s="1"/>
      <c r="W864" s="1"/>
      <c r="X864" s="1"/>
      <c r="Y864" s="1"/>
      <c r="Z864" s="1"/>
    </row>
    <row r="865" spans="1:26" ht="12.75" customHeight="1">
      <c r="A865" s="1"/>
      <c r="B865" s="10" t="str">
        <f ca="1">IFERROR(__xludf.DUMMYFUNCTION("""COMPUTED_VALUE"""),"CONSTRUCCIÓN REDUCTOR DE VELOCIDAD CALLE LAUTARO SECTOR SAN MARTIN, LOTA.")</f>
        <v>CONSTRUCCIÓN REDUCTOR DE VELOCIDAD CALLE LAUTARO SECTOR SAN MARTIN, LOTA.</v>
      </c>
      <c r="C865" s="10" t="str">
        <f ca="1">IFERROR(__xludf.DUMMYFUNCTION("""COMPUTED_VALUE"""),"1-K-2024-45")</f>
        <v>1-K-2024-45</v>
      </c>
      <c r="D865" s="26"/>
      <c r="E865" s="10" t="str">
        <f ca="1">IFERROR(__xludf.DUMMYFUNCTION("""COMPUTED_VALUE"""),"Guía Operativa")</f>
        <v>Guía Operativa</v>
      </c>
      <c r="F865" s="10" t="str">
        <f ca="1">IFERROR(__xludf.DUMMYFUNCTION("""COMPUTED_VALUE"""),"MUNICIPALIDAD DE LOTA")</f>
        <v>MUNICIPALIDAD DE LOTA</v>
      </c>
      <c r="G865" s="71">
        <f ca="1">IFERROR(__xludf.DUMMYFUNCTION("""COMPUTED_VALUE"""),153723735)</f>
        <v>153723735</v>
      </c>
      <c r="H865" s="10" t="str">
        <f ca="1">IFERROR(__xludf.DUMMYFUNCTION("""COMPUTED_VALUE"""),"Resolución")</f>
        <v>Resolución</v>
      </c>
      <c r="I865" s="10" t="str">
        <f ca="1">IFERROR(__xludf.DUMMYFUNCTION("""COMPUTED_VALUE"""),"OBRA")</f>
        <v>OBRA</v>
      </c>
      <c r="J865" s="10" t="str">
        <f ca="1">IFERROR(__xludf.DUMMYFUNCTION("""COMPUTED_VALUE"""),"Cumplir con normativa y reglamentos internos del programa en base a los objetivos.")</f>
        <v>Cumplir con normativa y reglamentos internos del programa en base a los objetivos.</v>
      </c>
      <c r="K865" s="71">
        <f ca="1">IFERROR(__xludf.DUMMYFUNCTION("""COMPUTED_VALUE"""),76861867)</f>
        <v>76861867</v>
      </c>
      <c r="L865" s="72">
        <f ca="1">IFERROR(__xludf.DUMMYFUNCTION("""COMPUTED_VALUE"""),0.499999996747411)</f>
        <v>0.49999999674741102</v>
      </c>
      <c r="M865" s="10">
        <f ca="1">IFERROR(__xludf.DUMMYFUNCTION("""COMPUTED_VALUE"""),8022)</f>
        <v>8022</v>
      </c>
      <c r="N865" s="10" t="str">
        <f ca="1">IFERROR(__xludf.DUMMYFUNCTION("""COMPUTED_VALUE"""),"PMU")</f>
        <v>PMU</v>
      </c>
      <c r="O865" s="1"/>
      <c r="P865" s="1"/>
      <c r="Q865" s="1"/>
      <c r="R865" s="1"/>
      <c r="S865" s="1"/>
      <c r="T865" s="1"/>
      <c r="U865" s="1"/>
      <c r="V865" s="1"/>
      <c r="W865" s="1"/>
      <c r="X865" s="1"/>
      <c r="Y865" s="1"/>
      <c r="Z865" s="1"/>
    </row>
    <row r="866" spans="1:26" ht="12.75" customHeight="1">
      <c r="A866" s="1"/>
      <c r="B866" s="10" t="str">
        <f ca="1">IFERROR(__xludf.DUMMYFUNCTION("""COMPUTED_VALUE"""),"CONSTRUCCIÓN PASAMANOS CALLE N°2 SECTOR SAN MARTÍN, LOTA.")</f>
        <v>CONSTRUCCIÓN PASAMANOS CALLE N°2 SECTOR SAN MARTÍN, LOTA.</v>
      </c>
      <c r="C866" s="10" t="str">
        <f ca="1">IFERROR(__xludf.DUMMYFUNCTION("""COMPUTED_VALUE"""),"1-K-2024-46")</f>
        <v>1-K-2024-46</v>
      </c>
      <c r="D866" s="26"/>
      <c r="E866" s="10" t="str">
        <f ca="1">IFERROR(__xludf.DUMMYFUNCTION("""COMPUTED_VALUE"""),"Guía Operativa")</f>
        <v>Guía Operativa</v>
      </c>
      <c r="F866" s="10" t="str">
        <f ca="1">IFERROR(__xludf.DUMMYFUNCTION("""COMPUTED_VALUE"""),"MUNICIPALIDAD DE LOTA")</f>
        <v>MUNICIPALIDAD DE LOTA</v>
      </c>
      <c r="G866" s="71">
        <f ca="1">IFERROR(__xludf.DUMMYFUNCTION("""COMPUTED_VALUE"""),151622215)</f>
        <v>151622215</v>
      </c>
      <c r="H866" s="10" t="str">
        <f ca="1">IFERROR(__xludf.DUMMYFUNCTION("""COMPUTED_VALUE"""),"Resolución")</f>
        <v>Resolución</v>
      </c>
      <c r="I866" s="10" t="str">
        <f ca="1">IFERROR(__xludf.DUMMYFUNCTION("""COMPUTED_VALUE"""),"OBRA")</f>
        <v>OBRA</v>
      </c>
      <c r="J866" s="10" t="str">
        <f ca="1">IFERROR(__xludf.DUMMYFUNCTION("""COMPUTED_VALUE"""),"Cumplir con normativa y reglamentos internos del programa en base a los objetivos.")</f>
        <v>Cumplir con normativa y reglamentos internos del programa en base a los objetivos.</v>
      </c>
      <c r="K866" s="71">
        <f ca="1">IFERROR(__xludf.DUMMYFUNCTION("""COMPUTED_VALUE"""),75811107)</f>
        <v>75811107</v>
      </c>
      <c r="L866" s="72">
        <f ca="1">IFERROR(__xludf.DUMMYFUNCTION("""COMPUTED_VALUE"""),0.49999999670233)</f>
        <v>0.49999999670232997</v>
      </c>
      <c r="M866" s="10">
        <f ca="1">IFERROR(__xludf.DUMMYFUNCTION("""COMPUTED_VALUE"""),8053)</f>
        <v>8053</v>
      </c>
      <c r="N866" s="10" t="str">
        <f ca="1">IFERROR(__xludf.DUMMYFUNCTION("""COMPUTED_VALUE"""),"PMU")</f>
        <v>PMU</v>
      </c>
      <c r="O866" s="1"/>
      <c r="P866" s="1"/>
      <c r="Q866" s="1"/>
      <c r="R866" s="1"/>
      <c r="S866" s="1"/>
      <c r="T866" s="1"/>
      <c r="U866" s="1"/>
      <c r="V866" s="1"/>
      <c r="W866" s="1"/>
      <c r="X866" s="1"/>
      <c r="Y866" s="1"/>
      <c r="Z866" s="1"/>
    </row>
    <row r="867" spans="1:26" ht="12.75" customHeight="1">
      <c r="A867" s="1"/>
      <c r="B867" s="10" t="str">
        <f ca="1">IFERROR(__xludf.DUMMYFUNCTION("""COMPUTED_VALUE"""),"CONSTRUCCIÓN DEFENSA CAMIONERA Y REPOSICIÓN DE PASAMANOS CALLE GALVARINO SECTOR CENTRO DE LOTA.")</f>
        <v>CONSTRUCCIÓN DEFENSA CAMIONERA Y REPOSICIÓN DE PASAMANOS CALLE GALVARINO SECTOR CENTRO DE LOTA.</v>
      </c>
      <c r="C867" s="10" t="str">
        <f ca="1">IFERROR(__xludf.DUMMYFUNCTION("""COMPUTED_VALUE"""),"1-K-2024-47")</f>
        <v>1-K-2024-47</v>
      </c>
      <c r="D867" s="26"/>
      <c r="E867" s="10" t="str">
        <f ca="1">IFERROR(__xludf.DUMMYFUNCTION("""COMPUTED_VALUE"""),"Guía Operativa")</f>
        <v>Guía Operativa</v>
      </c>
      <c r="F867" s="10" t="str">
        <f ca="1">IFERROR(__xludf.DUMMYFUNCTION("""COMPUTED_VALUE"""),"MUNICIPALIDAD DE LOTA")</f>
        <v>MUNICIPALIDAD DE LOTA</v>
      </c>
      <c r="G867" s="71">
        <f ca="1">IFERROR(__xludf.DUMMYFUNCTION("""COMPUTED_VALUE"""),156335325)</f>
        <v>156335325</v>
      </c>
      <c r="H867" s="10" t="str">
        <f ca="1">IFERROR(__xludf.DUMMYFUNCTION("""COMPUTED_VALUE"""),"Resolución")</f>
        <v>Resolución</v>
      </c>
      <c r="I867" s="10" t="str">
        <f ca="1">IFERROR(__xludf.DUMMYFUNCTION("""COMPUTED_VALUE"""),"OBRA")</f>
        <v>OBRA</v>
      </c>
      <c r="J867" s="10" t="str">
        <f ca="1">IFERROR(__xludf.DUMMYFUNCTION("""COMPUTED_VALUE"""),"Cumplir con normativa y reglamentos internos del programa en base a los objetivos.")</f>
        <v>Cumplir con normativa y reglamentos internos del programa en base a los objetivos.</v>
      </c>
      <c r="K867" s="71">
        <f ca="1">IFERROR(__xludf.DUMMYFUNCTION("""COMPUTED_VALUE"""),78167662)</f>
        <v>78167662</v>
      </c>
      <c r="L867" s="72">
        <f ca="1">IFERROR(__xludf.DUMMYFUNCTION("""COMPUTED_VALUE"""),0.499999996801746)</f>
        <v>0.49999999680174601</v>
      </c>
      <c r="M867" s="10">
        <f ca="1">IFERROR(__xludf.DUMMYFUNCTION("""COMPUTED_VALUE"""),8060)</f>
        <v>8060</v>
      </c>
      <c r="N867" s="10" t="str">
        <f ca="1">IFERROR(__xludf.DUMMYFUNCTION("""COMPUTED_VALUE"""),"PMU")</f>
        <v>PMU</v>
      </c>
      <c r="O867" s="1"/>
      <c r="P867" s="1"/>
      <c r="Q867" s="1"/>
      <c r="R867" s="1"/>
      <c r="S867" s="1"/>
      <c r="T867" s="1"/>
      <c r="U867" s="1"/>
      <c r="V867" s="1"/>
      <c r="W867" s="1"/>
      <c r="X867" s="1"/>
      <c r="Y867" s="1"/>
      <c r="Z867" s="1"/>
    </row>
    <row r="868" spans="1:26" ht="12.75" customHeight="1">
      <c r="A868" s="1"/>
      <c r="B868" s="10" t="str">
        <f ca="1">IFERROR(__xludf.DUMMYFUNCTION("""COMPUTED_VALUE"""),"CONSTRUCCIÓN MIRADOR JULIO MONTT SECTOR CALERO SUR, LOTA.")</f>
        <v>CONSTRUCCIÓN MIRADOR JULIO MONTT SECTOR CALERO SUR, LOTA.</v>
      </c>
      <c r="C868" s="10" t="str">
        <f ca="1">IFERROR(__xludf.DUMMYFUNCTION("""COMPUTED_VALUE"""),"1-K-2024-48")</f>
        <v>1-K-2024-48</v>
      </c>
      <c r="D868" s="26"/>
      <c r="E868" s="10" t="str">
        <f ca="1">IFERROR(__xludf.DUMMYFUNCTION("""COMPUTED_VALUE"""),"Guía Operativa")</f>
        <v>Guía Operativa</v>
      </c>
      <c r="F868" s="10" t="str">
        <f ca="1">IFERROR(__xludf.DUMMYFUNCTION("""COMPUTED_VALUE"""),"MUNICIPALIDAD DE LOTA")</f>
        <v>MUNICIPALIDAD DE LOTA</v>
      </c>
      <c r="G868" s="71">
        <f ca="1">IFERROR(__xludf.DUMMYFUNCTION("""COMPUTED_VALUE"""),159159152)</f>
        <v>159159152</v>
      </c>
      <c r="H868" s="10" t="str">
        <f ca="1">IFERROR(__xludf.DUMMYFUNCTION("""COMPUTED_VALUE"""),"Resolución")</f>
        <v>Resolución</v>
      </c>
      <c r="I868" s="10" t="str">
        <f ca="1">IFERROR(__xludf.DUMMYFUNCTION("""COMPUTED_VALUE"""),"OBRA")</f>
        <v>OBRA</v>
      </c>
      <c r="J868" s="10" t="str">
        <f ca="1">IFERROR(__xludf.DUMMYFUNCTION("""COMPUTED_VALUE"""),"Cumplir con normativa y reglamentos internos del programa en base a los objetivos.")</f>
        <v>Cumplir con normativa y reglamentos internos del programa en base a los objetivos.</v>
      </c>
      <c r="K868" s="71">
        <f ca="1">IFERROR(__xludf.DUMMYFUNCTION("""COMPUTED_VALUE"""),79579576)</f>
        <v>79579576</v>
      </c>
      <c r="L868" s="72">
        <f ca="1">IFERROR(__xludf.DUMMYFUNCTION("""COMPUTED_VALUE"""),0.5)</f>
        <v>0.5</v>
      </c>
      <c r="M868" s="10">
        <f ca="1">IFERROR(__xludf.DUMMYFUNCTION("""COMPUTED_VALUE"""),8060)</f>
        <v>8060</v>
      </c>
      <c r="N868" s="10" t="str">
        <f ca="1">IFERROR(__xludf.DUMMYFUNCTION("""COMPUTED_VALUE"""),"PMU")</f>
        <v>PMU</v>
      </c>
      <c r="O868" s="1"/>
      <c r="P868" s="1"/>
      <c r="Q868" s="1"/>
      <c r="R868" s="1"/>
      <c r="S868" s="1"/>
      <c r="T868" s="1"/>
      <c r="U868" s="1"/>
      <c r="V868" s="1"/>
      <c r="W868" s="1"/>
      <c r="X868" s="1"/>
      <c r="Y868" s="1"/>
      <c r="Z868" s="1"/>
    </row>
    <row r="869" spans="1:26" ht="12.75" customHeight="1">
      <c r="A869" s="1"/>
      <c r="B869" s="10" t="str">
        <f ca="1">IFERROR(__xludf.DUMMYFUNCTION("""COMPUTED_VALUE"""),"CONSTRUCCIÓN MURO DE CONTENCIÓN Y MEJORAMIENTO DE ACERA ENTRE CALLES LAS GOLONDRINAS Y LOS ZORZALES SECTOR CANTERA, LOTA.")</f>
        <v>CONSTRUCCIÓN MURO DE CONTENCIÓN Y MEJORAMIENTO DE ACERA ENTRE CALLES LAS GOLONDRINAS Y LOS ZORZALES SECTOR CANTERA, LOTA.</v>
      </c>
      <c r="C869" s="10" t="str">
        <f ca="1">IFERROR(__xludf.DUMMYFUNCTION("""COMPUTED_VALUE"""),"1-K-2024-49")</f>
        <v>1-K-2024-49</v>
      </c>
      <c r="D869" s="26"/>
      <c r="E869" s="10" t="str">
        <f ca="1">IFERROR(__xludf.DUMMYFUNCTION("""COMPUTED_VALUE"""),"Guía Operativa")</f>
        <v>Guía Operativa</v>
      </c>
      <c r="F869" s="10" t="str">
        <f ca="1">IFERROR(__xludf.DUMMYFUNCTION("""COMPUTED_VALUE"""),"MUNICIPALIDAD DE LOTA")</f>
        <v>MUNICIPALIDAD DE LOTA</v>
      </c>
      <c r="G869" s="71">
        <f ca="1">IFERROR(__xludf.DUMMYFUNCTION("""COMPUTED_VALUE"""),157657476)</f>
        <v>157657476</v>
      </c>
      <c r="H869" s="10" t="str">
        <f ca="1">IFERROR(__xludf.DUMMYFUNCTION("""COMPUTED_VALUE"""),"Resolución")</f>
        <v>Resolución</v>
      </c>
      <c r="I869" s="10" t="str">
        <f ca="1">IFERROR(__xludf.DUMMYFUNCTION("""COMPUTED_VALUE"""),"OBRA")</f>
        <v>OBRA</v>
      </c>
      <c r="J869" s="10" t="str">
        <f ca="1">IFERROR(__xludf.DUMMYFUNCTION("""COMPUTED_VALUE"""),"Cumplir con normativa y reglamentos internos del programa en base a los objetivos.")</f>
        <v>Cumplir con normativa y reglamentos internos del programa en base a los objetivos.</v>
      </c>
      <c r="K869" s="71">
        <f ca="1">IFERROR(__xludf.DUMMYFUNCTION("""COMPUTED_VALUE"""),77239638)</f>
        <v>77239638</v>
      </c>
      <c r="L869" s="72">
        <f ca="1">IFERROR(__xludf.DUMMYFUNCTION("""COMPUTED_VALUE"""),0.48992055410046)</f>
        <v>0.48992055410045998</v>
      </c>
      <c r="M869" s="10">
        <f ca="1">IFERROR(__xludf.DUMMYFUNCTION("""COMPUTED_VALUE"""),8053)</f>
        <v>8053</v>
      </c>
      <c r="N869" s="10" t="str">
        <f ca="1">IFERROR(__xludf.DUMMYFUNCTION("""COMPUTED_VALUE"""),"PMU")</f>
        <v>PMU</v>
      </c>
      <c r="O869" s="1"/>
      <c r="P869" s="1"/>
      <c r="Q869" s="1"/>
      <c r="R869" s="1"/>
      <c r="S869" s="1"/>
      <c r="T869" s="1"/>
      <c r="U869" s="1"/>
      <c r="V869" s="1"/>
      <c r="W869" s="1"/>
      <c r="X869" s="1"/>
      <c r="Y869" s="1"/>
      <c r="Z869" s="1"/>
    </row>
    <row r="870" spans="1:26" ht="12.75" customHeight="1">
      <c r="A870" s="1"/>
      <c r="B870" s="10" t="str">
        <f ca="1">IFERROR(__xludf.DUMMYFUNCTION("""COMPUTED_VALUE"""),"CONSTRUCCIÓN PASAMANOS SECTOR 21 DE MAYO, LOTA.")</f>
        <v>CONSTRUCCIÓN PASAMANOS SECTOR 21 DE MAYO, LOTA.</v>
      </c>
      <c r="C870" s="10" t="str">
        <f ca="1">IFERROR(__xludf.DUMMYFUNCTION("""COMPUTED_VALUE"""),"1-K-2024-50")</f>
        <v>1-K-2024-50</v>
      </c>
      <c r="D870" s="26"/>
      <c r="E870" s="10" t="str">
        <f ca="1">IFERROR(__xludf.DUMMYFUNCTION("""COMPUTED_VALUE"""),"Guía Operativa")</f>
        <v>Guía Operativa</v>
      </c>
      <c r="F870" s="10" t="str">
        <f ca="1">IFERROR(__xludf.DUMMYFUNCTION("""COMPUTED_VALUE"""),"MUNICIPALIDAD DE LOTA")</f>
        <v>MUNICIPALIDAD DE LOTA</v>
      </c>
      <c r="G870" s="71">
        <f ca="1">IFERROR(__xludf.DUMMYFUNCTION("""COMPUTED_VALUE"""),150836261)</f>
        <v>150836261</v>
      </c>
      <c r="H870" s="10" t="str">
        <f ca="1">IFERROR(__xludf.DUMMYFUNCTION("""COMPUTED_VALUE"""),"Resolución")</f>
        <v>Resolución</v>
      </c>
      <c r="I870" s="10" t="str">
        <f ca="1">IFERROR(__xludf.DUMMYFUNCTION("""COMPUTED_VALUE"""),"OBRA")</f>
        <v>OBRA</v>
      </c>
      <c r="J870" s="10" t="str">
        <f ca="1">IFERROR(__xludf.DUMMYFUNCTION("""COMPUTED_VALUE"""),"Cumplir con normativa y reglamentos internos del programa en base a los objetivos.")</f>
        <v>Cumplir con normativa y reglamentos internos del programa en base a los objetivos.</v>
      </c>
      <c r="K870" s="71">
        <f ca="1">IFERROR(__xludf.DUMMYFUNCTION("""COMPUTED_VALUE"""),75418131)</f>
        <v>75418131</v>
      </c>
      <c r="L870" s="72">
        <f ca="1">IFERROR(__xludf.DUMMYFUNCTION("""COMPUTED_VALUE"""),0.500000003314852)</f>
        <v>0.50000000331485195</v>
      </c>
      <c r="M870" s="10">
        <f ca="1">IFERROR(__xludf.DUMMYFUNCTION("""COMPUTED_VALUE"""),8053)</f>
        <v>8053</v>
      </c>
      <c r="N870" s="10" t="str">
        <f ca="1">IFERROR(__xludf.DUMMYFUNCTION("""COMPUTED_VALUE"""),"PMU")</f>
        <v>PMU</v>
      </c>
      <c r="O870" s="1"/>
      <c r="P870" s="1"/>
      <c r="Q870" s="1"/>
      <c r="R870" s="1"/>
      <c r="S870" s="1"/>
      <c r="T870" s="1"/>
      <c r="U870" s="1"/>
      <c r="V870" s="1"/>
      <c r="W870" s="1"/>
      <c r="X870" s="1"/>
      <c r="Y870" s="1"/>
      <c r="Z870" s="1"/>
    </row>
    <row r="871" spans="1:26" ht="12.75" customHeight="1">
      <c r="A871" s="1"/>
      <c r="B871" s="10" t="str">
        <f ca="1">IFERROR(__xludf.DUMMYFUNCTION("""COMPUTED_VALUE"""),"CONSTRUCCIÓNM REDUCTOR DE VELOCIDAD CALLE CAUPOLICAN SECTOR SAN MARTIN, LOTA.")</f>
        <v>CONSTRUCCIÓNM REDUCTOR DE VELOCIDAD CALLE CAUPOLICAN SECTOR SAN MARTIN, LOTA.</v>
      </c>
      <c r="C871" s="10" t="str">
        <f ca="1">IFERROR(__xludf.DUMMYFUNCTION("""COMPUTED_VALUE"""),"1-K-2024-51")</f>
        <v>1-K-2024-51</v>
      </c>
      <c r="D871" s="26"/>
      <c r="E871" s="10" t="str">
        <f ca="1">IFERROR(__xludf.DUMMYFUNCTION("""COMPUTED_VALUE"""),"Guía Operativa")</f>
        <v>Guía Operativa</v>
      </c>
      <c r="F871" s="10" t="str">
        <f ca="1">IFERROR(__xludf.DUMMYFUNCTION("""COMPUTED_VALUE"""),"MUNICIPALIDAD DE LOTA")</f>
        <v>MUNICIPALIDAD DE LOTA</v>
      </c>
      <c r="G871" s="71">
        <f ca="1">IFERROR(__xludf.DUMMYFUNCTION("""COMPUTED_VALUE"""),154021775)</f>
        <v>154021775</v>
      </c>
      <c r="H871" s="10" t="str">
        <f ca="1">IFERROR(__xludf.DUMMYFUNCTION("""COMPUTED_VALUE"""),"Resolución")</f>
        <v>Resolución</v>
      </c>
      <c r="I871" s="10" t="str">
        <f ca="1">IFERROR(__xludf.DUMMYFUNCTION("""COMPUTED_VALUE"""),"OBRA")</f>
        <v>OBRA</v>
      </c>
      <c r="J871" s="10" t="str">
        <f ca="1">IFERROR(__xludf.DUMMYFUNCTION("""COMPUTED_VALUE"""),"Cumplir con normativa y reglamentos internos del programa en base a los objetivos.")</f>
        <v>Cumplir con normativa y reglamentos internos del programa en base a los objetivos.</v>
      </c>
      <c r="K871" s="71">
        <f ca="1">IFERROR(__xludf.DUMMYFUNCTION("""COMPUTED_VALUE"""),77010896)</f>
        <v>77010896</v>
      </c>
      <c r="L871" s="72">
        <f ca="1">IFERROR(__xludf.DUMMYFUNCTION("""COMPUTED_VALUE"""),0.500000055187002)</f>
        <v>0.50000005518700197</v>
      </c>
      <c r="M871" s="10">
        <f ca="1">IFERROR(__xludf.DUMMYFUNCTION("""COMPUTED_VALUE"""),8060)</f>
        <v>8060</v>
      </c>
      <c r="N871" s="10" t="str">
        <f ca="1">IFERROR(__xludf.DUMMYFUNCTION("""COMPUTED_VALUE"""),"PMU")</f>
        <v>PMU</v>
      </c>
      <c r="O871" s="1"/>
      <c r="P871" s="1"/>
      <c r="Q871" s="1"/>
      <c r="R871" s="1"/>
      <c r="S871" s="1"/>
      <c r="T871" s="1"/>
      <c r="U871" s="1"/>
      <c r="V871" s="1"/>
      <c r="W871" s="1"/>
      <c r="X871" s="1"/>
      <c r="Y871" s="1"/>
      <c r="Z871" s="1"/>
    </row>
    <row r="872" spans="1:26" ht="12.75" customHeight="1">
      <c r="A872" s="1"/>
      <c r="B872" s="10" t="str">
        <f ca="1">IFERROR(__xludf.DUMMYFUNCTION("""COMPUTED_VALUE"""),"10. REPOSICIÓN ACERAS EN CALLE LOS NOGALES ENTRE CALLES LOS GUAYACANES Y LOS NOTROS, POB. LAGUNILLAS.")</f>
        <v>10. REPOSICIÓN ACERAS EN CALLE LOS NOGALES ENTRE CALLES LOS GUAYACANES Y LOS NOTROS, POB. LAGUNILLAS.</v>
      </c>
      <c r="C872" s="10" t="str">
        <f ca="1">IFERROR(__xludf.DUMMYFUNCTION("""COMPUTED_VALUE"""),"1-K-2024-52")</f>
        <v>1-K-2024-52</v>
      </c>
      <c r="D872" s="26"/>
      <c r="E872" s="10" t="str">
        <f ca="1">IFERROR(__xludf.DUMMYFUNCTION("""COMPUTED_VALUE"""),"Guía Operativa")</f>
        <v>Guía Operativa</v>
      </c>
      <c r="F872" s="10" t="str">
        <f ca="1">IFERROR(__xludf.DUMMYFUNCTION("""COMPUTED_VALUE"""),"MUNICIPALIDAD DE CORONEL")</f>
        <v>MUNICIPALIDAD DE CORONEL</v>
      </c>
      <c r="G872" s="71">
        <f ca="1">IFERROR(__xludf.DUMMYFUNCTION("""COMPUTED_VALUE"""),157750572)</f>
        <v>157750572</v>
      </c>
      <c r="H872" s="10" t="str">
        <f ca="1">IFERROR(__xludf.DUMMYFUNCTION("""COMPUTED_VALUE"""),"Resolución")</f>
        <v>Resolución</v>
      </c>
      <c r="I872" s="10" t="str">
        <f ca="1">IFERROR(__xludf.DUMMYFUNCTION("""COMPUTED_VALUE"""),"OBRA")</f>
        <v>OBRA</v>
      </c>
      <c r="J872" s="10" t="str">
        <f ca="1">IFERROR(__xludf.DUMMYFUNCTION("""COMPUTED_VALUE"""),"Cumplir con normativa y reglamentos internos del programa en base a los objetivos.")</f>
        <v>Cumplir con normativa y reglamentos internos del programa en base a los objetivos.</v>
      </c>
      <c r="K872" s="71">
        <f ca="1">IFERROR(__xludf.DUMMYFUNCTION("""COMPUTED_VALUE"""),75587180)</f>
        <v>75587180</v>
      </c>
      <c r="L872" s="72">
        <f ca="1">IFERROR(__xludf.DUMMYFUNCTION("""COMPUTED_VALUE"""),0.479156297449114)</f>
        <v>0.47915629744911398</v>
      </c>
      <c r="M872" s="10">
        <f ca="1">IFERROR(__xludf.DUMMYFUNCTION("""COMPUTED_VALUE"""),8020)</f>
        <v>8020</v>
      </c>
      <c r="N872" s="10" t="str">
        <f ca="1">IFERROR(__xludf.DUMMYFUNCTION("""COMPUTED_VALUE"""),"PMU")</f>
        <v>PMU</v>
      </c>
      <c r="O872" s="1"/>
      <c r="P872" s="1"/>
      <c r="Q872" s="1"/>
      <c r="R872" s="1"/>
      <c r="S872" s="1"/>
      <c r="T872" s="1"/>
      <c r="U872" s="1"/>
      <c r="V872" s="1"/>
      <c r="W872" s="1"/>
      <c r="X872" s="1"/>
      <c r="Y872" s="1"/>
      <c r="Z872" s="1"/>
    </row>
    <row r="873" spans="1:26" ht="12.75" customHeight="1">
      <c r="A873" s="1"/>
      <c r="B873" s="10" t="str">
        <f ca="1">IFERROR(__xludf.DUMMYFUNCTION("""COMPUTED_VALUE"""),"COLOCACIÓN DE VALLA PEATONAL FRONTIS ESCUELA BALDOMERO LILLO, LOTA.")</f>
        <v>COLOCACIÓN DE VALLA PEATONAL FRONTIS ESCUELA BALDOMERO LILLO, LOTA.</v>
      </c>
      <c r="C873" s="10" t="str">
        <f ca="1">IFERROR(__xludf.DUMMYFUNCTION("""COMPUTED_VALUE"""),"1-K-2024-53")</f>
        <v>1-K-2024-53</v>
      </c>
      <c r="D873" s="26"/>
      <c r="E873" s="10" t="str">
        <f ca="1">IFERROR(__xludf.DUMMYFUNCTION("""COMPUTED_VALUE"""),"Guía Operativa")</f>
        <v>Guía Operativa</v>
      </c>
      <c r="F873" s="10" t="str">
        <f ca="1">IFERROR(__xludf.DUMMYFUNCTION("""COMPUTED_VALUE"""),"MUNICIPALIDAD DE LOTA")</f>
        <v>MUNICIPALIDAD DE LOTA</v>
      </c>
      <c r="G873" s="71">
        <f ca="1">IFERROR(__xludf.DUMMYFUNCTION("""COMPUTED_VALUE"""),160090155)</f>
        <v>160090155</v>
      </c>
      <c r="H873" s="10" t="str">
        <f ca="1">IFERROR(__xludf.DUMMYFUNCTION("""COMPUTED_VALUE"""),"Resolución")</f>
        <v>Resolución</v>
      </c>
      <c r="I873" s="10" t="str">
        <f ca="1">IFERROR(__xludf.DUMMYFUNCTION("""COMPUTED_VALUE"""),"OBRA")</f>
        <v>OBRA</v>
      </c>
      <c r="J873" s="10" t="str">
        <f ca="1">IFERROR(__xludf.DUMMYFUNCTION("""COMPUTED_VALUE"""),"Cumplir con normativa y reglamentos internos del programa en base a los objetivos.")</f>
        <v>Cumplir con normativa y reglamentos internos del programa en base a los objetivos.</v>
      </c>
      <c r="K873" s="71">
        <f ca="1">IFERROR(__xludf.DUMMYFUNCTION("""COMPUTED_VALUE"""),76866977)</f>
        <v>76866977</v>
      </c>
      <c r="L873" s="72">
        <f ca="1">IFERROR(__xludf.DUMMYFUNCTION("""COMPUTED_VALUE"""),0.480148057824042)</f>
        <v>0.48014805782404202</v>
      </c>
      <c r="M873" s="10">
        <f ca="1">IFERROR(__xludf.DUMMYFUNCTION("""COMPUTED_VALUE"""),8053)</f>
        <v>8053</v>
      </c>
      <c r="N873" s="10" t="str">
        <f ca="1">IFERROR(__xludf.DUMMYFUNCTION("""COMPUTED_VALUE"""),"PMU")</f>
        <v>PMU</v>
      </c>
      <c r="O873" s="1"/>
      <c r="P873" s="1"/>
      <c r="Q873" s="1"/>
      <c r="R873" s="1"/>
      <c r="S873" s="1"/>
      <c r="T873" s="1"/>
      <c r="U873" s="1"/>
      <c r="V873" s="1"/>
      <c r="W873" s="1"/>
      <c r="X873" s="1"/>
      <c r="Y873" s="1"/>
      <c r="Z873" s="1"/>
    </row>
    <row r="874" spans="1:26" ht="12.75" customHeight="1">
      <c r="A874" s="1"/>
      <c r="B874" s="10" t="str">
        <f ca="1">IFERROR(__xludf.DUMMYFUNCTION("""COMPUTED_VALUE"""),"INSTALACIÓN JUEGOS PLAZA TRES PINOS, LOS ÁLAMOS")</f>
        <v>INSTALACIÓN JUEGOS PLAZA TRES PINOS, LOS ÁLAMOS</v>
      </c>
      <c r="C874" s="10" t="str">
        <f ca="1">IFERROR(__xludf.DUMMYFUNCTION("""COMPUTED_VALUE"""),"1-K-2024-56")</f>
        <v>1-K-2024-56</v>
      </c>
      <c r="D874" s="26"/>
      <c r="E874" s="10" t="str">
        <f ca="1">IFERROR(__xludf.DUMMYFUNCTION("""COMPUTED_VALUE"""),"Guía Operativa")</f>
        <v>Guía Operativa</v>
      </c>
      <c r="F874" s="10" t="str">
        <f ca="1">IFERROR(__xludf.DUMMYFUNCTION("""COMPUTED_VALUE"""),"MUNICIPALIDAD DE LOS ÁLAMOS")</f>
        <v>MUNICIPALIDAD DE LOS ÁLAMOS</v>
      </c>
      <c r="G874" s="71">
        <f ca="1">IFERROR(__xludf.DUMMYFUNCTION("""COMPUTED_VALUE"""),107176032)</f>
        <v>107176032</v>
      </c>
      <c r="H874" s="10" t="str">
        <f ca="1">IFERROR(__xludf.DUMMYFUNCTION("""COMPUTED_VALUE"""),"Resolución")</f>
        <v>Resolución</v>
      </c>
      <c r="I874" s="10" t="str">
        <f ca="1">IFERROR(__xludf.DUMMYFUNCTION("""COMPUTED_VALUE"""),"OBRA")</f>
        <v>OBRA</v>
      </c>
      <c r="J874" s="10" t="str">
        <f ca="1">IFERROR(__xludf.DUMMYFUNCTION("""COMPUTED_VALUE"""),"Cumplir con normativa y reglamentos internos del programa en base a los objetivos.")</f>
        <v>Cumplir con normativa y reglamentos internos del programa en base a los objetivos.</v>
      </c>
      <c r="K874" s="71">
        <f ca="1">IFERROR(__xludf.DUMMYFUNCTION("""COMPUTED_VALUE"""),50300816)</f>
        <v>50300816</v>
      </c>
      <c r="L874" s="72">
        <f ca="1">IFERROR(__xludf.DUMMYFUNCTION("""COMPUTED_VALUE"""),0.46932896340107)</f>
        <v>0.46932896340107</v>
      </c>
      <c r="M874" s="10">
        <f ca="1">IFERROR(__xludf.DUMMYFUNCTION("""COMPUTED_VALUE"""),8023)</f>
        <v>8023</v>
      </c>
      <c r="N874" s="10" t="str">
        <f ca="1">IFERROR(__xludf.DUMMYFUNCTION("""COMPUTED_VALUE"""),"PMU")</f>
        <v>PMU</v>
      </c>
      <c r="O874" s="1"/>
      <c r="P874" s="1"/>
      <c r="Q874" s="1"/>
      <c r="R874" s="1"/>
      <c r="S874" s="1"/>
      <c r="T874" s="1"/>
      <c r="U874" s="1"/>
      <c r="V874" s="1"/>
      <c r="W874" s="1"/>
      <c r="X874" s="1"/>
      <c r="Y874" s="1"/>
      <c r="Z874" s="1"/>
    </row>
    <row r="875" spans="1:26" ht="12.75" customHeight="1">
      <c r="A875" s="1"/>
      <c r="B875" s="10" t="str">
        <f ca="1">IFERROR(__xludf.DUMMYFUNCTION("""COMPUTED_VALUE"""),"MEJORAMIENTO AREA VERDE N°6 VILLA ESPERANZA, LOS ÁLAMOS")</f>
        <v>MEJORAMIENTO AREA VERDE N°6 VILLA ESPERANZA, LOS ÁLAMOS</v>
      </c>
      <c r="C875" s="10" t="str">
        <f ca="1">IFERROR(__xludf.DUMMYFUNCTION("""COMPUTED_VALUE"""),"1-K-2024-57")</f>
        <v>1-K-2024-57</v>
      </c>
      <c r="D875" s="26"/>
      <c r="E875" s="10" t="str">
        <f ca="1">IFERROR(__xludf.DUMMYFUNCTION("""COMPUTED_VALUE"""),"Guía Operativa")</f>
        <v>Guía Operativa</v>
      </c>
      <c r="F875" s="10" t="str">
        <f ca="1">IFERROR(__xludf.DUMMYFUNCTION("""COMPUTED_VALUE"""),"MUNICIPALIDAD DE LOS ÁLAMOS")</f>
        <v>MUNICIPALIDAD DE LOS ÁLAMOS</v>
      </c>
      <c r="G875" s="71">
        <f ca="1">IFERROR(__xludf.DUMMYFUNCTION("""COMPUTED_VALUE"""),109413424)</f>
        <v>109413424</v>
      </c>
      <c r="H875" s="10" t="str">
        <f ca="1">IFERROR(__xludf.DUMMYFUNCTION("""COMPUTED_VALUE"""),"Resolución")</f>
        <v>Resolución</v>
      </c>
      <c r="I875" s="10" t="str">
        <f ca="1">IFERROR(__xludf.DUMMYFUNCTION("""COMPUTED_VALUE"""),"OBRA")</f>
        <v>OBRA</v>
      </c>
      <c r="J875" s="10" t="str">
        <f ca="1">IFERROR(__xludf.DUMMYFUNCTION("""COMPUTED_VALUE"""),"Cumplir con normativa y reglamentos internos del programa en base a los objetivos.")</f>
        <v>Cumplir con normativa y reglamentos internos del programa en base a los objetivos.</v>
      </c>
      <c r="K875" s="71">
        <f ca="1">IFERROR(__xludf.DUMMYFUNCTION("""COMPUTED_VALUE"""),54706712)</f>
        <v>54706712</v>
      </c>
      <c r="L875" s="72">
        <f ca="1">IFERROR(__xludf.DUMMYFUNCTION("""COMPUTED_VALUE"""),0.5)</f>
        <v>0.5</v>
      </c>
      <c r="M875" s="10">
        <f ca="1">IFERROR(__xludf.DUMMYFUNCTION("""COMPUTED_VALUE"""),8058)</f>
        <v>8058</v>
      </c>
      <c r="N875" s="10" t="str">
        <f ca="1">IFERROR(__xludf.DUMMYFUNCTION("""COMPUTED_VALUE"""),"PMU")</f>
        <v>PMU</v>
      </c>
      <c r="O875" s="1"/>
      <c r="P875" s="1"/>
      <c r="Q875" s="1"/>
      <c r="R875" s="1"/>
      <c r="S875" s="1"/>
      <c r="T875" s="1"/>
      <c r="U875" s="1"/>
      <c r="V875" s="1"/>
      <c r="W875" s="1"/>
      <c r="X875" s="1"/>
      <c r="Y875" s="1"/>
      <c r="Z875" s="1"/>
    </row>
    <row r="876" spans="1:26" ht="12.75" customHeight="1">
      <c r="A876" s="1"/>
      <c r="B876" s="10" t="str">
        <f ca="1">IFERROR(__xludf.DUMMYFUNCTION("""COMPUTED_VALUE"""),"MEJORAMIENTO AREA VERDE N°7 VILLA ESPERANZA, LOS ÁLAMOS")</f>
        <v>MEJORAMIENTO AREA VERDE N°7 VILLA ESPERANZA, LOS ÁLAMOS</v>
      </c>
      <c r="C876" s="10" t="str">
        <f ca="1">IFERROR(__xludf.DUMMYFUNCTION("""COMPUTED_VALUE"""),"1-K-2024-58")</f>
        <v>1-K-2024-58</v>
      </c>
      <c r="D876" s="26"/>
      <c r="E876" s="10" t="str">
        <f ca="1">IFERROR(__xludf.DUMMYFUNCTION("""COMPUTED_VALUE"""),"Guía Operativa")</f>
        <v>Guía Operativa</v>
      </c>
      <c r="F876" s="10" t="str">
        <f ca="1">IFERROR(__xludf.DUMMYFUNCTION("""COMPUTED_VALUE"""),"MUNICIPALIDAD DE LOS ÁLAMOS")</f>
        <v>MUNICIPALIDAD DE LOS ÁLAMOS</v>
      </c>
      <c r="G876" s="71">
        <f ca="1">IFERROR(__xludf.DUMMYFUNCTION("""COMPUTED_VALUE"""),118930529)</f>
        <v>118930529</v>
      </c>
      <c r="H876" s="10" t="str">
        <f ca="1">IFERROR(__xludf.DUMMYFUNCTION("""COMPUTED_VALUE"""),"Resolución")</f>
        <v>Resolución</v>
      </c>
      <c r="I876" s="10" t="str">
        <f ca="1">IFERROR(__xludf.DUMMYFUNCTION("""COMPUTED_VALUE"""),"OBRA")</f>
        <v>OBRA</v>
      </c>
      <c r="J876" s="10" t="str">
        <f ca="1">IFERROR(__xludf.DUMMYFUNCTION("""COMPUTED_VALUE"""),"Cumplir con normativa y reglamentos internos del programa en base a los objetivos.")</f>
        <v>Cumplir con normativa y reglamentos internos del programa en base a los objetivos.</v>
      </c>
      <c r="K876" s="71">
        <f ca="1">IFERROR(__xludf.DUMMYFUNCTION("""COMPUTED_VALUE"""),57821664)</f>
        <v>57821664</v>
      </c>
      <c r="L876" s="72">
        <f ca="1">IFERROR(__xludf.DUMMYFUNCTION("""COMPUTED_VALUE"""),0.486180163211079)</f>
        <v>0.48618016321107899</v>
      </c>
      <c r="M876" s="10">
        <f ca="1">IFERROR(__xludf.DUMMYFUNCTION("""COMPUTED_VALUE"""),8058)</f>
        <v>8058</v>
      </c>
      <c r="N876" s="10" t="str">
        <f ca="1">IFERROR(__xludf.DUMMYFUNCTION("""COMPUTED_VALUE"""),"PMU")</f>
        <v>PMU</v>
      </c>
      <c r="O876" s="1"/>
      <c r="P876" s="1"/>
      <c r="Q876" s="1"/>
      <c r="R876" s="1"/>
      <c r="S876" s="1"/>
      <c r="T876" s="1"/>
      <c r="U876" s="1"/>
      <c r="V876" s="1"/>
      <c r="W876" s="1"/>
      <c r="X876" s="1"/>
      <c r="Y876" s="1"/>
      <c r="Z876" s="1"/>
    </row>
    <row r="877" spans="1:26" ht="12.75" customHeight="1">
      <c r="A877" s="1"/>
      <c r="B877" s="10" t="str">
        <f ca="1">IFERROR(__xludf.DUMMYFUNCTION("""COMPUTED_VALUE"""),"REPOSICIÓN VEREDA AVDA. DIEGO DE ALMAGRO, ENTRE CALLE BOCAHUE Y CALLE NAHUELBUTA ANTIHUALA, LOS ÁLAMOS")</f>
        <v>REPOSICIÓN VEREDA AVDA. DIEGO DE ALMAGRO, ENTRE CALLE BOCAHUE Y CALLE NAHUELBUTA ANTIHUALA, LOS ÁLAMOS</v>
      </c>
      <c r="C877" s="10" t="str">
        <f ca="1">IFERROR(__xludf.DUMMYFUNCTION("""COMPUTED_VALUE"""),"1-K-2024-59")</f>
        <v>1-K-2024-59</v>
      </c>
      <c r="D877" s="26"/>
      <c r="E877" s="10" t="str">
        <f ca="1">IFERROR(__xludf.DUMMYFUNCTION("""COMPUTED_VALUE"""),"Guía Operativa")</f>
        <v>Guía Operativa</v>
      </c>
      <c r="F877" s="10" t="str">
        <f ca="1">IFERROR(__xludf.DUMMYFUNCTION("""COMPUTED_VALUE"""),"MUNICIPALIDAD DE LOS ÁLAMOS")</f>
        <v>MUNICIPALIDAD DE LOS ÁLAMOS</v>
      </c>
      <c r="G877" s="71">
        <f ca="1">IFERROR(__xludf.DUMMYFUNCTION("""COMPUTED_VALUE"""),110977193)</f>
        <v>110977193</v>
      </c>
      <c r="H877" s="10" t="str">
        <f ca="1">IFERROR(__xludf.DUMMYFUNCTION("""COMPUTED_VALUE"""),"Resolución")</f>
        <v>Resolución</v>
      </c>
      <c r="I877" s="10" t="str">
        <f ca="1">IFERROR(__xludf.DUMMYFUNCTION("""COMPUTED_VALUE"""),"OBRA")</f>
        <v>OBRA</v>
      </c>
      <c r="J877" s="10" t="str">
        <f ca="1">IFERROR(__xludf.DUMMYFUNCTION("""COMPUTED_VALUE"""),"Cumplir con normativa y reglamentos internos del programa en base a los objetivos.")</f>
        <v>Cumplir con normativa y reglamentos internos del programa en base a los objetivos.</v>
      </c>
      <c r="K877" s="71">
        <f ca="1">IFERROR(__xludf.DUMMYFUNCTION("""COMPUTED_VALUE"""),55488596)</f>
        <v>55488596</v>
      </c>
      <c r="L877" s="72">
        <f ca="1">IFERROR(__xludf.DUMMYFUNCTION("""COMPUTED_VALUE"""),0.499999995494569)</f>
        <v>0.49999999549456903</v>
      </c>
      <c r="M877" s="10">
        <f ca="1">IFERROR(__xludf.DUMMYFUNCTION("""COMPUTED_VALUE"""),8025)</f>
        <v>8025</v>
      </c>
      <c r="N877" s="10" t="str">
        <f ca="1">IFERROR(__xludf.DUMMYFUNCTION("""COMPUTED_VALUE"""),"PMU")</f>
        <v>PMU</v>
      </c>
      <c r="O877" s="1"/>
      <c r="P877" s="1"/>
      <c r="Q877" s="1"/>
      <c r="R877" s="1"/>
      <c r="S877" s="1"/>
      <c r="T877" s="1"/>
      <c r="U877" s="1"/>
      <c r="V877" s="1"/>
      <c r="W877" s="1"/>
      <c r="X877" s="1"/>
      <c r="Y877" s="1"/>
      <c r="Z877" s="1"/>
    </row>
    <row r="878" spans="1:26" ht="12.75" customHeight="1">
      <c r="A878" s="1"/>
      <c r="B878" s="10" t="str">
        <f ca="1">IFERROR(__xludf.DUMMYFUNCTION("""COMPUTED_VALUE"""),"REPOSICIÓN VEREDA AVDA. DIEGO DE ALMAGRO ENTRE CALLE PORTALES Y PASAJE S/N ANTIHUALA, LOS ÁLAMOS")</f>
        <v>REPOSICIÓN VEREDA AVDA. DIEGO DE ALMAGRO ENTRE CALLE PORTALES Y PASAJE S/N ANTIHUALA, LOS ÁLAMOS</v>
      </c>
      <c r="C878" s="10" t="str">
        <f ca="1">IFERROR(__xludf.DUMMYFUNCTION("""COMPUTED_VALUE"""),"1-K-2024-60")</f>
        <v>1-K-2024-60</v>
      </c>
      <c r="D878" s="26"/>
      <c r="E878" s="10" t="str">
        <f ca="1">IFERROR(__xludf.DUMMYFUNCTION("""COMPUTED_VALUE"""),"Guía Operativa")</f>
        <v>Guía Operativa</v>
      </c>
      <c r="F878" s="10" t="str">
        <f ca="1">IFERROR(__xludf.DUMMYFUNCTION("""COMPUTED_VALUE"""),"MUNICIPALIDAD DE LOS ÁLAMOS")</f>
        <v>MUNICIPALIDAD DE LOS ÁLAMOS</v>
      </c>
      <c r="G878" s="71">
        <f ca="1">IFERROR(__xludf.DUMMYFUNCTION("""COMPUTED_VALUE"""),115092789)</f>
        <v>115092789</v>
      </c>
      <c r="H878" s="10" t="str">
        <f ca="1">IFERROR(__xludf.DUMMYFUNCTION("""COMPUTED_VALUE"""),"Resolución")</f>
        <v>Resolución</v>
      </c>
      <c r="I878" s="10" t="str">
        <f ca="1">IFERROR(__xludf.DUMMYFUNCTION("""COMPUTED_VALUE"""),"OBRA")</f>
        <v>OBRA</v>
      </c>
      <c r="J878" s="10" t="str">
        <f ca="1">IFERROR(__xludf.DUMMYFUNCTION("""COMPUTED_VALUE"""),"Cumplir con normativa y reglamentos internos del programa en base a los objetivos.")</f>
        <v>Cumplir con normativa y reglamentos internos del programa en base a los objetivos.</v>
      </c>
      <c r="K878" s="71">
        <f ca="1">IFERROR(__xludf.DUMMYFUNCTION("""COMPUTED_VALUE"""),57546394)</f>
        <v>57546394</v>
      </c>
      <c r="L878" s="72">
        <f ca="1">IFERROR(__xludf.DUMMYFUNCTION("""COMPUTED_VALUE"""),0.499999995655679)</f>
        <v>0.49999999565567899</v>
      </c>
      <c r="M878" s="10">
        <f ca="1">IFERROR(__xludf.DUMMYFUNCTION("""COMPUTED_VALUE"""),8025)</f>
        <v>8025</v>
      </c>
      <c r="N878" s="10" t="str">
        <f ca="1">IFERROR(__xludf.DUMMYFUNCTION("""COMPUTED_VALUE"""),"PMU")</f>
        <v>PMU</v>
      </c>
      <c r="O878" s="1"/>
      <c r="P878" s="1"/>
      <c r="Q878" s="1"/>
      <c r="R878" s="1"/>
      <c r="S878" s="1"/>
      <c r="T878" s="1"/>
      <c r="U878" s="1"/>
      <c r="V878" s="1"/>
      <c r="W878" s="1"/>
      <c r="X878" s="1"/>
      <c r="Y878" s="1"/>
      <c r="Z878" s="1"/>
    </row>
    <row r="879" spans="1:26" ht="12.75" customHeight="1">
      <c r="A879" s="1"/>
      <c r="B879" s="10" t="str">
        <f ca="1">IFERROR(__xludf.DUMMYFUNCTION("""COMPUTED_VALUE"""),"REPOSICIÓN VEREDA AVDA. LAS ARAUCARIAS ENTRE CALLE LAS GOLONDRINAS Y CALLE BARROS ARANA TRES PINOS, LOS ÁLAMOS")</f>
        <v>REPOSICIÓN VEREDA AVDA. LAS ARAUCARIAS ENTRE CALLE LAS GOLONDRINAS Y CALLE BARROS ARANA TRES PINOS, LOS ÁLAMOS</v>
      </c>
      <c r="C879" s="10" t="str">
        <f ca="1">IFERROR(__xludf.DUMMYFUNCTION("""COMPUTED_VALUE"""),"1-K-2024-61")</f>
        <v>1-K-2024-61</v>
      </c>
      <c r="D879" s="26"/>
      <c r="E879" s="10" t="str">
        <f ca="1">IFERROR(__xludf.DUMMYFUNCTION("""COMPUTED_VALUE"""),"Guía Operativa")</f>
        <v>Guía Operativa</v>
      </c>
      <c r="F879" s="10" t="str">
        <f ca="1">IFERROR(__xludf.DUMMYFUNCTION("""COMPUTED_VALUE"""),"MUNICIPALIDAD DE LOS ÁLAMOS")</f>
        <v>MUNICIPALIDAD DE LOS ÁLAMOS</v>
      </c>
      <c r="G879" s="71">
        <f ca="1">IFERROR(__xludf.DUMMYFUNCTION("""COMPUTED_VALUE"""),111140807)</f>
        <v>111140807</v>
      </c>
      <c r="H879" s="10" t="str">
        <f ca="1">IFERROR(__xludf.DUMMYFUNCTION("""COMPUTED_VALUE"""),"Resolución")</f>
        <v>Resolución</v>
      </c>
      <c r="I879" s="10" t="str">
        <f ca="1">IFERROR(__xludf.DUMMYFUNCTION("""COMPUTED_VALUE"""),"OBRA")</f>
        <v>OBRA</v>
      </c>
      <c r="J879" s="10" t="str">
        <f ca="1">IFERROR(__xludf.DUMMYFUNCTION("""COMPUTED_VALUE"""),"Cumplir con normativa y reglamentos internos del programa en base a los objetivos.")</f>
        <v>Cumplir con normativa y reglamentos internos del programa en base a los objetivos.</v>
      </c>
      <c r="K879" s="71">
        <f ca="1">IFERROR(__xludf.DUMMYFUNCTION("""COMPUTED_VALUE"""),53926803)</f>
        <v>53926803</v>
      </c>
      <c r="L879" s="72">
        <f ca="1">IFERROR(__xludf.DUMMYFUNCTION("""COMPUTED_VALUE"""),0.485211547906071)</f>
        <v>0.48521154790607102</v>
      </c>
      <c r="M879" s="10">
        <f ca="1">IFERROR(__xludf.DUMMYFUNCTION("""COMPUTED_VALUE"""),8025)</f>
        <v>8025</v>
      </c>
      <c r="N879" s="10" t="str">
        <f ca="1">IFERROR(__xludf.DUMMYFUNCTION("""COMPUTED_VALUE"""),"PMU")</f>
        <v>PMU</v>
      </c>
      <c r="O879" s="1"/>
      <c r="P879" s="1"/>
      <c r="Q879" s="1"/>
      <c r="R879" s="1"/>
      <c r="S879" s="1"/>
      <c r="T879" s="1"/>
      <c r="U879" s="1"/>
      <c r="V879" s="1"/>
      <c r="W879" s="1"/>
      <c r="X879" s="1"/>
      <c r="Y879" s="1"/>
      <c r="Z879" s="1"/>
    </row>
    <row r="880" spans="1:26" ht="12.75" customHeight="1">
      <c r="A880" s="1"/>
      <c r="B880" s="10" t="str">
        <f ca="1">IFERROR(__xludf.DUMMYFUNCTION("""COMPUTED_VALUE"""),"REPOSICIÓN VEREDA AVDA. PEDRO DE VALDIVIA ENTRE CALLE MANUEL MONTT Y PASAJE S/N TEMUCO CHICO, LOS ÁLAMOS")</f>
        <v>REPOSICIÓN VEREDA AVDA. PEDRO DE VALDIVIA ENTRE CALLE MANUEL MONTT Y PASAJE S/N TEMUCO CHICO, LOS ÁLAMOS</v>
      </c>
      <c r="C880" s="10" t="str">
        <f ca="1">IFERROR(__xludf.DUMMYFUNCTION("""COMPUTED_VALUE"""),"1-K-2024-62")</f>
        <v>1-K-2024-62</v>
      </c>
      <c r="D880" s="26"/>
      <c r="E880" s="10" t="str">
        <f ca="1">IFERROR(__xludf.DUMMYFUNCTION("""COMPUTED_VALUE"""),"Guía Operativa")</f>
        <v>Guía Operativa</v>
      </c>
      <c r="F880" s="10" t="str">
        <f ca="1">IFERROR(__xludf.DUMMYFUNCTION("""COMPUTED_VALUE"""),"MUNICIPALIDAD DE LOS ÁLAMOS")</f>
        <v>MUNICIPALIDAD DE LOS ÁLAMOS</v>
      </c>
      <c r="G880" s="71">
        <f ca="1">IFERROR(__xludf.DUMMYFUNCTION("""COMPUTED_VALUE"""),113460939)</f>
        <v>113460939</v>
      </c>
      <c r="H880" s="10" t="str">
        <f ca="1">IFERROR(__xludf.DUMMYFUNCTION("""COMPUTED_VALUE"""),"Resolución")</f>
        <v>Resolución</v>
      </c>
      <c r="I880" s="10" t="str">
        <f ca="1">IFERROR(__xludf.DUMMYFUNCTION("""COMPUTED_VALUE"""),"OBRA")</f>
        <v>OBRA</v>
      </c>
      <c r="J880" s="10" t="str">
        <f ca="1">IFERROR(__xludf.DUMMYFUNCTION("""COMPUTED_VALUE"""),"Cumplir con normativa y reglamentos internos del programa en base a los objetivos.")</f>
        <v>Cumplir con normativa y reglamentos internos del programa en base a los objetivos.</v>
      </c>
      <c r="K880" s="71">
        <f ca="1">IFERROR(__xludf.DUMMYFUNCTION("""COMPUTED_VALUE"""),56730469)</f>
        <v>56730469</v>
      </c>
      <c r="L880" s="72">
        <f ca="1">IFERROR(__xludf.DUMMYFUNCTION("""COMPUTED_VALUE"""),0.499999995593197)</f>
        <v>0.49999999559319702</v>
      </c>
      <c r="M880" s="10">
        <f ca="1">IFERROR(__xludf.DUMMYFUNCTION("""COMPUTED_VALUE"""),8025)</f>
        <v>8025</v>
      </c>
      <c r="N880" s="10" t="str">
        <f ca="1">IFERROR(__xludf.DUMMYFUNCTION("""COMPUTED_VALUE"""),"PMU")</f>
        <v>PMU</v>
      </c>
      <c r="O880" s="1"/>
      <c r="P880" s="1"/>
      <c r="Q880" s="1"/>
      <c r="R880" s="1"/>
      <c r="S880" s="1"/>
      <c r="T880" s="1"/>
      <c r="U880" s="1"/>
      <c r="V880" s="1"/>
      <c r="W880" s="1"/>
      <c r="X880" s="1"/>
      <c r="Y880" s="1"/>
      <c r="Z880" s="1"/>
    </row>
    <row r="881" spans="1:26" ht="12.75" customHeight="1">
      <c r="A881" s="1"/>
      <c r="B881" s="10" t="str">
        <f ca="1">IFERROR(__xludf.DUMMYFUNCTION("""COMPUTED_VALUE"""),"REPOSICIÓN VEREDA CALLE LOS FRUTILLARES ENTRE CALLE ARTURO PRAT Y AVDA DIEGO PORTALES, CERRO ALTO, LOS ÁLAMOS")</f>
        <v>REPOSICIÓN VEREDA CALLE LOS FRUTILLARES ENTRE CALLE ARTURO PRAT Y AVDA DIEGO PORTALES, CERRO ALTO, LOS ÁLAMOS</v>
      </c>
      <c r="C881" s="10" t="str">
        <f ca="1">IFERROR(__xludf.DUMMYFUNCTION("""COMPUTED_VALUE"""),"1-K-2024-63")</f>
        <v>1-K-2024-63</v>
      </c>
      <c r="D881" s="26"/>
      <c r="E881" s="10" t="str">
        <f ca="1">IFERROR(__xludf.DUMMYFUNCTION("""COMPUTED_VALUE"""),"Guía Operativa")</f>
        <v>Guía Operativa</v>
      </c>
      <c r="F881" s="10" t="str">
        <f ca="1">IFERROR(__xludf.DUMMYFUNCTION("""COMPUTED_VALUE"""),"MUNICIPALIDAD DE LOS ÁLAMOS")</f>
        <v>MUNICIPALIDAD DE LOS ÁLAMOS</v>
      </c>
      <c r="G881" s="71">
        <f ca="1">IFERROR(__xludf.DUMMYFUNCTION("""COMPUTED_VALUE"""),113080307)</f>
        <v>113080307</v>
      </c>
      <c r="H881" s="10" t="str">
        <f ca="1">IFERROR(__xludf.DUMMYFUNCTION("""COMPUTED_VALUE"""),"Resolución")</f>
        <v>Resolución</v>
      </c>
      <c r="I881" s="10" t="str">
        <f ca="1">IFERROR(__xludf.DUMMYFUNCTION("""COMPUTED_VALUE"""),"OBRA")</f>
        <v>OBRA</v>
      </c>
      <c r="J881" s="10" t="str">
        <f ca="1">IFERROR(__xludf.DUMMYFUNCTION("""COMPUTED_VALUE"""),"Cumplir con normativa y reglamentos internos del programa en base a los objetivos.")</f>
        <v>Cumplir con normativa y reglamentos internos del programa en base a los objetivos.</v>
      </c>
      <c r="K881" s="71">
        <f ca="1">IFERROR(__xludf.DUMMYFUNCTION("""COMPUTED_VALUE"""),54896553)</f>
        <v>54896553</v>
      </c>
      <c r="L881" s="72">
        <f ca="1">IFERROR(__xludf.DUMMYFUNCTION("""COMPUTED_VALUE"""),0.485465192449468)</f>
        <v>0.48546519244946801</v>
      </c>
      <c r="M881" s="10">
        <f ca="1">IFERROR(__xludf.DUMMYFUNCTION("""COMPUTED_VALUE"""),8021)</f>
        <v>8021</v>
      </c>
      <c r="N881" s="10" t="str">
        <f ca="1">IFERROR(__xludf.DUMMYFUNCTION("""COMPUTED_VALUE"""),"PMU")</f>
        <v>PMU</v>
      </c>
      <c r="O881" s="1"/>
      <c r="P881" s="1"/>
      <c r="Q881" s="1"/>
      <c r="R881" s="1"/>
      <c r="S881" s="1"/>
      <c r="T881" s="1"/>
      <c r="U881" s="1"/>
      <c r="V881" s="1"/>
      <c r="W881" s="1"/>
      <c r="X881" s="1"/>
      <c r="Y881" s="1"/>
      <c r="Z881" s="1"/>
    </row>
    <row r="882" spans="1:26" ht="12.75" customHeight="1">
      <c r="A882" s="1"/>
      <c r="B882" s="10" t="str">
        <f ca="1">IFERROR(__xludf.DUMMYFUNCTION("""COMPUTED_VALUE"""),"REPOSICIÓN VEREDA CALLE 18 DE SEPTIEMBRE ENTRE CALLE ANDALIO VIGUERAS Y CALLE PEDRO EYHERAMENDY, JJVV LOS ALAMOS CENTRO, LOS ÁLAMOS")</f>
        <v>REPOSICIÓN VEREDA CALLE 18 DE SEPTIEMBRE ENTRE CALLE ANDALIO VIGUERAS Y CALLE PEDRO EYHERAMENDY, JJVV LOS ALAMOS CENTRO, LOS ÁLAMOS</v>
      </c>
      <c r="C882" s="10" t="str">
        <f ca="1">IFERROR(__xludf.DUMMYFUNCTION("""COMPUTED_VALUE"""),"1-K-2024-64")</f>
        <v>1-K-2024-64</v>
      </c>
      <c r="D882" s="26"/>
      <c r="E882" s="10" t="str">
        <f ca="1">IFERROR(__xludf.DUMMYFUNCTION("""COMPUTED_VALUE"""),"Guía Operativa")</f>
        <v>Guía Operativa</v>
      </c>
      <c r="F882" s="10" t="str">
        <f ca="1">IFERROR(__xludf.DUMMYFUNCTION("""COMPUTED_VALUE"""),"MUNICIPALIDAD DE LOS ÁLAMOS")</f>
        <v>MUNICIPALIDAD DE LOS ÁLAMOS</v>
      </c>
      <c r="G882" s="71">
        <f ca="1">IFERROR(__xludf.DUMMYFUNCTION("""COMPUTED_VALUE"""),110845303)</f>
        <v>110845303</v>
      </c>
      <c r="H882" s="10" t="str">
        <f ca="1">IFERROR(__xludf.DUMMYFUNCTION("""COMPUTED_VALUE"""),"Resolución")</f>
        <v>Resolución</v>
      </c>
      <c r="I882" s="10" t="str">
        <f ca="1">IFERROR(__xludf.DUMMYFUNCTION("""COMPUTED_VALUE"""),"OBRA")</f>
        <v>OBRA</v>
      </c>
      <c r="J882" s="10" t="str">
        <f ca="1">IFERROR(__xludf.DUMMYFUNCTION("""COMPUTED_VALUE"""),"Cumplir con normativa y reglamentos internos del programa en base a los objetivos.")</f>
        <v>Cumplir con normativa y reglamentos internos del programa en base a los objetivos.</v>
      </c>
      <c r="K882" s="71">
        <f ca="1">IFERROR(__xludf.DUMMYFUNCTION("""COMPUTED_VALUE"""),55422651)</f>
        <v>55422651</v>
      </c>
      <c r="L882" s="72">
        <f ca="1">IFERROR(__xludf.DUMMYFUNCTION("""COMPUTED_VALUE"""),0.499999995489209)</f>
        <v>0.49999999548920898</v>
      </c>
      <c r="M882" s="10">
        <f ca="1">IFERROR(__xludf.DUMMYFUNCTION("""COMPUTED_VALUE"""),8021)</f>
        <v>8021</v>
      </c>
      <c r="N882" s="10" t="str">
        <f ca="1">IFERROR(__xludf.DUMMYFUNCTION("""COMPUTED_VALUE"""),"PMU")</f>
        <v>PMU</v>
      </c>
      <c r="O882" s="1"/>
      <c r="P882" s="1"/>
      <c r="Q882" s="1"/>
      <c r="R882" s="1"/>
      <c r="S882" s="1"/>
      <c r="T882" s="1"/>
      <c r="U882" s="1"/>
      <c r="V882" s="1"/>
      <c r="W882" s="1"/>
      <c r="X882" s="1"/>
      <c r="Y882" s="1"/>
      <c r="Z882" s="1"/>
    </row>
    <row r="883" spans="1:26" ht="12.75" customHeight="1">
      <c r="A883" s="1"/>
      <c r="B883" s="10" t="str">
        <f ca="1">IFERROR(__xludf.DUMMYFUNCTION("""COMPUTED_VALUE"""),"REPOSICIÓN VEREDA CALLE ANDALIO VIGUERAS ENTRE CALLE LUIS SAEZ MORA Y CALLE 18 DE SEPTIEMBRE, JJVV GABRIELA MISTRAL, LOS ÁLAMOS")</f>
        <v>REPOSICIÓN VEREDA CALLE ANDALIO VIGUERAS ENTRE CALLE LUIS SAEZ MORA Y CALLE 18 DE SEPTIEMBRE, JJVV GABRIELA MISTRAL, LOS ÁLAMOS</v>
      </c>
      <c r="C883" s="10" t="str">
        <f ca="1">IFERROR(__xludf.DUMMYFUNCTION("""COMPUTED_VALUE"""),"1-K-2024-65")</f>
        <v>1-K-2024-65</v>
      </c>
      <c r="D883" s="26"/>
      <c r="E883" s="10" t="str">
        <f ca="1">IFERROR(__xludf.DUMMYFUNCTION("""COMPUTED_VALUE"""),"Guía Operativa")</f>
        <v>Guía Operativa</v>
      </c>
      <c r="F883" s="10" t="str">
        <f ca="1">IFERROR(__xludf.DUMMYFUNCTION("""COMPUTED_VALUE"""),"MUNICIPALIDAD DE LOS ÁLAMOS")</f>
        <v>MUNICIPALIDAD DE LOS ÁLAMOS</v>
      </c>
      <c r="G883" s="71">
        <f ca="1">IFERROR(__xludf.DUMMYFUNCTION("""COMPUTED_VALUE"""),110389947)</f>
        <v>110389947</v>
      </c>
      <c r="H883" s="10" t="str">
        <f ca="1">IFERROR(__xludf.DUMMYFUNCTION("""COMPUTED_VALUE"""),"Resolución")</f>
        <v>Resolución</v>
      </c>
      <c r="I883" s="10" t="str">
        <f ca="1">IFERROR(__xludf.DUMMYFUNCTION("""COMPUTED_VALUE"""),"OBRA")</f>
        <v>OBRA</v>
      </c>
      <c r="J883" s="10" t="str">
        <f ca="1">IFERROR(__xludf.DUMMYFUNCTION("""COMPUTED_VALUE"""),"Cumplir con normativa y reglamentos internos del programa en base a los objetivos.")</f>
        <v>Cumplir con normativa y reglamentos internos del programa en base a los objetivos.</v>
      </c>
      <c r="K883" s="71">
        <f ca="1">IFERROR(__xludf.DUMMYFUNCTION("""COMPUTED_VALUE"""),55194973)</f>
        <v>55194973</v>
      </c>
      <c r="L883" s="72">
        <f ca="1">IFERROR(__xludf.DUMMYFUNCTION("""COMPUTED_VALUE"""),0.499999995470602)</f>
        <v>0.49999999547060198</v>
      </c>
      <c r="M883" s="10">
        <f ca="1">IFERROR(__xludf.DUMMYFUNCTION("""COMPUTED_VALUE"""),8058)</f>
        <v>8058</v>
      </c>
      <c r="N883" s="10" t="str">
        <f ca="1">IFERROR(__xludf.DUMMYFUNCTION("""COMPUTED_VALUE"""),"PMU")</f>
        <v>PMU</v>
      </c>
      <c r="O883" s="1"/>
      <c r="P883" s="1"/>
      <c r="Q883" s="1"/>
      <c r="R883" s="1"/>
      <c r="S883" s="1"/>
      <c r="T883" s="1"/>
      <c r="U883" s="1"/>
      <c r="V883" s="1"/>
      <c r="W883" s="1"/>
      <c r="X883" s="1"/>
      <c r="Y883" s="1"/>
      <c r="Z883" s="1"/>
    </row>
    <row r="884" spans="1:26" ht="12.75" customHeight="1">
      <c r="A884" s="1"/>
      <c r="B884" s="10" t="str">
        <f ca="1">IFERROR(__xludf.DUMMYFUNCTION("""COMPUTED_VALUE"""),"REPOSICIÓN VEREDA CALLE LA VIRGEN ENTRE CALLE ARTURO PRAT Y AVDA DIEGO PORTALES CERRO ALTO, LOS ÁLAMOS")</f>
        <v>REPOSICIÓN VEREDA CALLE LA VIRGEN ENTRE CALLE ARTURO PRAT Y AVDA DIEGO PORTALES CERRO ALTO, LOS ÁLAMOS</v>
      </c>
      <c r="C884" s="10" t="str">
        <f ca="1">IFERROR(__xludf.DUMMYFUNCTION("""COMPUTED_VALUE"""),"1-K-2024-66")</f>
        <v>1-K-2024-66</v>
      </c>
      <c r="D884" s="26"/>
      <c r="E884" s="10" t="str">
        <f ca="1">IFERROR(__xludf.DUMMYFUNCTION("""COMPUTED_VALUE"""),"Guía Operativa")</f>
        <v>Guía Operativa</v>
      </c>
      <c r="F884" s="10" t="str">
        <f ca="1">IFERROR(__xludf.DUMMYFUNCTION("""COMPUTED_VALUE"""),"MUNICIPALIDAD DE LOS ÁLAMOS")</f>
        <v>MUNICIPALIDAD DE LOS ÁLAMOS</v>
      </c>
      <c r="G884" s="71">
        <f ca="1">IFERROR(__xludf.DUMMYFUNCTION("""COMPUTED_VALUE"""),112139137)</f>
        <v>112139137</v>
      </c>
      <c r="H884" s="10" t="str">
        <f ca="1">IFERROR(__xludf.DUMMYFUNCTION("""COMPUTED_VALUE"""),"Resolución")</f>
        <v>Resolución</v>
      </c>
      <c r="I884" s="10" t="str">
        <f ca="1">IFERROR(__xludf.DUMMYFUNCTION("""COMPUTED_VALUE"""),"OBRA")</f>
        <v>OBRA</v>
      </c>
      <c r="J884" s="10" t="str">
        <f ca="1">IFERROR(__xludf.DUMMYFUNCTION("""COMPUTED_VALUE"""),"Cumplir con normativa y reglamentos internos del programa en base a los objetivos.")</f>
        <v>Cumplir con normativa y reglamentos internos del programa en base a los objetivos.</v>
      </c>
      <c r="K884" s="71">
        <f ca="1">IFERROR(__xludf.DUMMYFUNCTION("""COMPUTED_VALUE"""),56069568)</f>
        <v>56069568</v>
      </c>
      <c r="L884" s="72">
        <f ca="1">IFERROR(__xludf.DUMMYFUNCTION("""COMPUTED_VALUE"""),0.499999995541253)</f>
        <v>0.49999999554125302</v>
      </c>
      <c r="M884" s="10">
        <f ca="1">IFERROR(__xludf.DUMMYFUNCTION("""COMPUTED_VALUE"""),8023)</f>
        <v>8023</v>
      </c>
      <c r="N884" s="10" t="str">
        <f ca="1">IFERROR(__xludf.DUMMYFUNCTION("""COMPUTED_VALUE"""),"PMU")</f>
        <v>PMU</v>
      </c>
      <c r="O884" s="1"/>
      <c r="P884" s="1"/>
      <c r="Q884" s="1"/>
      <c r="R884" s="1"/>
      <c r="S884" s="1"/>
      <c r="T884" s="1"/>
      <c r="U884" s="1"/>
      <c r="V884" s="1"/>
      <c r="W884" s="1"/>
      <c r="X884" s="1"/>
      <c r="Y884" s="1"/>
      <c r="Z884" s="1"/>
    </row>
    <row r="885" spans="1:26" ht="12.75" customHeight="1">
      <c r="A885" s="1"/>
      <c r="B885" s="10" t="str">
        <f ca="1">IFERROR(__xludf.DUMMYFUNCTION("""COMPUTED_VALUE"""),"REPOSICIÓN VEREDA CALLE LAS ROSAS ENTRE AREA VERDE Y PASAJE LOS JAZMINES TRES PINOS, LOS ÁLAMOS")</f>
        <v>REPOSICIÓN VEREDA CALLE LAS ROSAS ENTRE AREA VERDE Y PASAJE LOS JAZMINES TRES PINOS, LOS ÁLAMOS</v>
      </c>
      <c r="C885" s="10" t="str">
        <f ca="1">IFERROR(__xludf.DUMMYFUNCTION("""COMPUTED_VALUE"""),"1-K-2024-67")</f>
        <v>1-K-2024-67</v>
      </c>
      <c r="D885" s="26"/>
      <c r="E885" s="10" t="str">
        <f ca="1">IFERROR(__xludf.DUMMYFUNCTION("""COMPUTED_VALUE"""),"Guía Operativa")</f>
        <v>Guía Operativa</v>
      </c>
      <c r="F885" s="10" t="str">
        <f ca="1">IFERROR(__xludf.DUMMYFUNCTION("""COMPUTED_VALUE"""),"MUNICIPALIDAD DE LOS ÁLAMOS")</f>
        <v>MUNICIPALIDAD DE LOS ÁLAMOS</v>
      </c>
      <c r="G885" s="71">
        <f ca="1">IFERROR(__xludf.DUMMYFUNCTION("""COMPUTED_VALUE"""),110611172)</f>
        <v>110611172</v>
      </c>
      <c r="H885" s="10" t="str">
        <f ca="1">IFERROR(__xludf.DUMMYFUNCTION("""COMPUTED_VALUE"""),"Resolución")</f>
        <v>Resolución</v>
      </c>
      <c r="I885" s="10" t="str">
        <f ca="1">IFERROR(__xludf.DUMMYFUNCTION("""COMPUTED_VALUE"""),"OBRA")</f>
        <v>OBRA</v>
      </c>
      <c r="J885" s="10" t="str">
        <f ca="1">IFERROR(__xludf.DUMMYFUNCTION("""COMPUTED_VALUE"""),"Cumplir con normativa y reglamentos internos del programa en base a los objetivos.")</f>
        <v>Cumplir con normativa y reglamentos internos del programa en base a los objetivos.</v>
      </c>
      <c r="K885" s="71">
        <f ca="1">IFERROR(__xludf.DUMMYFUNCTION("""COMPUTED_VALUE"""),53661986)</f>
        <v>53661986</v>
      </c>
      <c r="L885" s="72">
        <f ca="1">IFERROR(__xludf.DUMMYFUNCTION("""COMPUTED_VALUE"""),0.485140741479531)</f>
        <v>0.48514074147953101</v>
      </c>
      <c r="M885" s="10">
        <f ca="1">IFERROR(__xludf.DUMMYFUNCTION("""COMPUTED_VALUE"""),8025)</f>
        <v>8025</v>
      </c>
      <c r="N885" s="10" t="str">
        <f ca="1">IFERROR(__xludf.DUMMYFUNCTION("""COMPUTED_VALUE"""),"PMU")</f>
        <v>PMU</v>
      </c>
      <c r="O885" s="1"/>
      <c r="P885" s="1"/>
      <c r="Q885" s="1"/>
      <c r="R885" s="1"/>
      <c r="S885" s="1"/>
      <c r="T885" s="1"/>
      <c r="U885" s="1"/>
      <c r="V885" s="1"/>
      <c r="W885" s="1"/>
      <c r="X885" s="1"/>
      <c r="Y885" s="1"/>
      <c r="Z885" s="1"/>
    </row>
    <row r="886" spans="1:26" ht="12.75" customHeight="1">
      <c r="A886" s="1"/>
      <c r="B886" s="10" t="str">
        <f ca="1">IFERROR(__xludf.DUMMYFUNCTION("""COMPUTED_VALUE"""),"REPOSICIÓN VEREDA CALLE MANUEL RODRIGUEZ ENTRE CALLE LUIS SAEZ MORA Y CALLE 18 DE SEPTIEMBRE, JJVV SIMON CARVALLO, LOS ÁLAMOS")</f>
        <v>REPOSICIÓN VEREDA CALLE MANUEL RODRIGUEZ ENTRE CALLE LUIS SAEZ MORA Y CALLE 18 DE SEPTIEMBRE, JJVV SIMON CARVALLO, LOS ÁLAMOS</v>
      </c>
      <c r="C886" s="10" t="str">
        <f ca="1">IFERROR(__xludf.DUMMYFUNCTION("""COMPUTED_VALUE"""),"1-K-2024-68")</f>
        <v>1-K-2024-68</v>
      </c>
      <c r="D886" s="26"/>
      <c r="E886" s="10" t="str">
        <f ca="1">IFERROR(__xludf.DUMMYFUNCTION("""COMPUTED_VALUE"""),"Guía Operativa")</f>
        <v>Guía Operativa</v>
      </c>
      <c r="F886" s="10" t="str">
        <f ca="1">IFERROR(__xludf.DUMMYFUNCTION("""COMPUTED_VALUE"""),"MUNICIPALIDAD DE LOS ÁLAMOS")</f>
        <v>MUNICIPALIDAD DE LOS ÁLAMOS</v>
      </c>
      <c r="G886" s="71">
        <f ca="1">IFERROR(__xludf.DUMMYFUNCTION("""COMPUTED_VALUE"""),116275292)</f>
        <v>116275292</v>
      </c>
      <c r="H886" s="10" t="str">
        <f ca="1">IFERROR(__xludf.DUMMYFUNCTION("""COMPUTED_VALUE"""),"Resolución")</f>
        <v>Resolución</v>
      </c>
      <c r="I886" s="10" t="str">
        <f ca="1">IFERROR(__xludf.DUMMYFUNCTION("""COMPUTED_VALUE"""),"OBRA")</f>
        <v>OBRA</v>
      </c>
      <c r="J886" s="10" t="str">
        <f ca="1">IFERROR(__xludf.DUMMYFUNCTION("""COMPUTED_VALUE"""),"Cumplir con normativa y reglamentos internos del programa en base a los objetivos.")</f>
        <v>Cumplir con normativa y reglamentos internos del programa en base a los objetivos.</v>
      </c>
      <c r="K886" s="71">
        <f ca="1">IFERROR(__xludf.DUMMYFUNCTION("""COMPUTED_VALUE"""),56494046)</f>
        <v>56494046</v>
      </c>
      <c r="L886" s="72">
        <f ca="1">IFERROR(__xludf.DUMMYFUNCTION("""COMPUTED_VALUE"""),0.485864580757191)</f>
        <v>0.48586458075719102</v>
      </c>
      <c r="M886" s="10">
        <f ca="1">IFERROR(__xludf.DUMMYFUNCTION("""COMPUTED_VALUE"""),8056)</f>
        <v>8056</v>
      </c>
      <c r="N886" s="10" t="str">
        <f ca="1">IFERROR(__xludf.DUMMYFUNCTION("""COMPUTED_VALUE"""),"PMU")</f>
        <v>PMU</v>
      </c>
      <c r="O886" s="1"/>
      <c r="P886" s="1"/>
      <c r="Q886" s="1"/>
      <c r="R886" s="1"/>
      <c r="S886" s="1"/>
      <c r="T886" s="1"/>
      <c r="U886" s="1"/>
      <c r="V886" s="1"/>
      <c r="W886" s="1"/>
      <c r="X886" s="1"/>
      <c r="Y886" s="1"/>
      <c r="Z886" s="1"/>
    </row>
    <row r="887" spans="1:26" ht="12.75" customHeight="1">
      <c r="A887" s="1"/>
      <c r="B887" s="10" t="str">
        <f ca="1">IFERROR(__xludf.DUMMYFUNCTION("""COMPUTED_VALUE"""),"REPOSICIÓN VEREDA CALLE BERNARDO O´HIGGINS ENTRE CALLE TENIENTE MERINO Y CALLE MANUEL RODRIGUEZ, JJVV GABRIELA MISTRAL, LOS ÁLAMOS")</f>
        <v>REPOSICIÓN VEREDA CALLE BERNARDO O´HIGGINS ENTRE CALLE TENIENTE MERINO Y CALLE MANUEL RODRIGUEZ, JJVV GABRIELA MISTRAL, LOS ÁLAMOS</v>
      </c>
      <c r="C887" s="10" t="str">
        <f ca="1">IFERROR(__xludf.DUMMYFUNCTION("""COMPUTED_VALUE"""),"1-K-2024-69")</f>
        <v>1-K-2024-69</v>
      </c>
      <c r="D887" s="26"/>
      <c r="E887" s="10" t="str">
        <f ca="1">IFERROR(__xludf.DUMMYFUNCTION("""COMPUTED_VALUE"""),"Guía Operativa")</f>
        <v>Guía Operativa</v>
      </c>
      <c r="F887" s="10" t="str">
        <f ca="1">IFERROR(__xludf.DUMMYFUNCTION("""COMPUTED_VALUE"""),"MUNICIPALIDAD DE LOS ÁLAMOS")</f>
        <v>MUNICIPALIDAD DE LOS ÁLAMOS</v>
      </c>
      <c r="G887" s="71">
        <f ca="1">IFERROR(__xludf.DUMMYFUNCTION("""COMPUTED_VALUE"""),115043788)</f>
        <v>115043788</v>
      </c>
      <c r="H887" s="10" t="str">
        <f ca="1">IFERROR(__xludf.DUMMYFUNCTION("""COMPUTED_VALUE"""),"Resolución")</f>
        <v>Resolución</v>
      </c>
      <c r="I887" s="10" t="str">
        <f ca="1">IFERROR(__xludf.DUMMYFUNCTION("""COMPUTED_VALUE"""),"OBRA")</f>
        <v>OBRA</v>
      </c>
      <c r="J887" s="10" t="str">
        <f ca="1">IFERROR(__xludf.DUMMYFUNCTION("""COMPUTED_VALUE"""),"Cumplir con normativa y reglamentos internos del programa en base a los objetivos.")</f>
        <v>Cumplir con normativa y reglamentos internos del programa en base a los objetivos.</v>
      </c>
      <c r="K887" s="71">
        <f ca="1">IFERROR(__xludf.DUMMYFUNCTION("""COMPUTED_VALUE"""),57521894)</f>
        <v>57521894</v>
      </c>
      <c r="L887" s="72">
        <f ca="1">IFERROR(__xludf.DUMMYFUNCTION("""COMPUTED_VALUE"""),0.5)</f>
        <v>0.5</v>
      </c>
      <c r="M887" s="10">
        <f ca="1">IFERROR(__xludf.DUMMYFUNCTION("""COMPUTED_VALUE"""),8021)</f>
        <v>8021</v>
      </c>
      <c r="N887" s="10" t="str">
        <f ca="1">IFERROR(__xludf.DUMMYFUNCTION("""COMPUTED_VALUE"""),"PMU")</f>
        <v>PMU</v>
      </c>
      <c r="O887" s="1"/>
      <c r="P887" s="1"/>
      <c r="Q887" s="1"/>
      <c r="R887" s="1"/>
      <c r="S887" s="1"/>
      <c r="T887" s="1"/>
      <c r="U887" s="1"/>
      <c r="V887" s="1"/>
      <c r="W887" s="1"/>
      <c r="X887" s="1"/>
      <c r="Y887" s="1"/>
      <c r="Z887" s="1"/>
    </row>
    <row r="888" spans="1:26" ht="12.75" customHeight="1">
      <c r="A888" s="1"/>
      <c r="B888" s="10" t="str">
        <f ca="1">IFERROR(__xludf.DUMMYFUNCTION("""COMPUTED_VALUE"""),"REPOSICIÓN VEREDA CALLE BERNARDO O´HIGGINS ENTRE PASAJE S/N Y PASAJE LOS COIGUES ANTIHUALA, LOS ÁLAMOS")</f>
        <v>REPOSICIÓN VEREDA CALLE BERNARDO O´HIGGINS ENTRE PASAJE S/N Y PASAJE LOS COIGUES ANTIHUALA, LOS ÁLAMOS</v>
      </c>
      <c r="C888" s="10" t="str">
        <f ca="1">IFERROR(__xludf.DUMMYFUNCTION("""COMPUTED_VALUE"""),"1-K-2024-70")</f>
        <v>1-K-2024-70</v>
      </c>
      <c r="D888" s="26"/>
      <c r="E888" s="10" t="str">
        <f ca="1">IFERROR(__xludf.DUMMYFUNCTION("""COMPUTED_VALUE"""),"Guía Operativa")</f>
        <v>Guía Operativa</v>
      </c>
      <c r="F888" s="10" t="str">
        <f ca="1">IFERROR(__xludf.DUMMYFUNCTION("""COMPUTED_VALUE"""),"MUNICIPALIDAD DE LOS ÁLAMOS")</f>
        <v>MUNICIPALIDAD DE LOS ÁLAMOS</v>
      </c>
      <c r="G888" s="71">
        <f ca="1">IFERROR(__xludf.DUMMYFUNCTION("""COMPUTED_VALUE"""),108555331)</f>
        <v>108555331</v>
      </c>
      <c r="H888" s="10" t="str">
        <f ca="1">IFERROR(__xludf.DUMMYFUNCTION("""COMPUTED_VALUE"""),"Resolución")</f>
        <v>Resolución</v>
      </c>
      <c r="I888" s="10" t="str">
        <f ca="1">IFERROR(__xludf.DUMMYFUNCTION("""COMPUTED_VALUE"""),"OBRA")</f>
        <v>OBRA</v>
      </c>
      <c r="J888" s="10" t="str">
        <f ca="1">IFERROR(__xludf.DUMMYFUNCTION("""COMPUTED_VALUE"""),"Cumplir con normativa y reglamentos internos del programa en base a los objetivos.")</f>
        <v>Cumplir con normativa y reglamentos internos del programa en base a los objetivos.</v>
      </c>
      <c r="K888" s="71">
        <f ca="1">IFERROR(__xludf.DUMMYFUNCTION("""COMPUTED_VALUE"""),52634065)</f>
        <v>52634065</v>
      </c>
      <c r="L888" s="72">
        <f ca="1">IFERROR(__xludf.DUMMYFUNCTION("""COMPUTED_VALUE"""),0.484859329478715)</f>
        <v>0.48485932947871502</v>
      </c>
      <c r="M888" s="10">
        <f ca="1">IFERROR(__xludf.DUMMYFUNCTION("""COMPUTED_VALUE"""),8025)</f>
        <v>8025</v>
      </c>
      <c r="N888" s="10" t="str">
        <f ca="1">IFERROR(__xludf.DUMMYFUNCTION("""COMPUTED_VALUE"""),"PMU")</f>
        <v>PMU</v>
      </c>
      <c r="O888" s="1"/>
      <c r="P888" s="1"/>
      <c r="Q888" s="1"/>
      <c r="R888" s="1"/>
      <c r="S888" s="1"/>
      <c r="T888" s="1"/>
      <c r="U888" s="1"/>
      <c r="V888" s="1"/>
      <c r="W888" s="1"/>
      <c r="X888" s="1"/>
      <c r="Y888" s="1"/>
      <c r="Z888" s="1"/>
    </row>
    <row r="889" spans="1:26" ht="12.75" customHeight="1">
      <c r="A889" s="1"/>
      <c r="B889" s="10" t="str">
        <f ca="1">IFERROR(__xludf.DUMMYFUNCTION("""COMPUTED_VALUE"""),"12. REPOSICIÓN ACERAS EN CALLE DEMOCRACIA ENTRE CALLES LAUTARO Y BALMACEDA, SECTOR CORONEL CENTRO.")</f>
        <v>12. REPOSICIÓN ACERAS EN CALLE DEMOCRACIA ENTRE CALLES LAUTARO Y BALMACEDA, SECTOR CORONEL CENTRO.</v>
      </c>
      <c r="C889" s="10" t="str">
        <f ca="1">IFERROR(__xludf.DUMMYFUNCTION("""COMPUTED_VALUE"""),"1-K-2024-71")</f>
        <v>1-K-2024-71</v>
      </c>
      <c r="D889" s="26"/>
      <c r="E889" s="10" t="str">
        <f ca="1">IFERROR(__xludf.DUMMYFUNCTION("""COMPUTED_VALUE"""),"Guía Operativa")</f>
        <v>Guía Operativa</v>
      </c>
      <c r="F889" s="10" t="str">
        <f ca="1">IFERROR(__xludf.DUMMYFUNCTION("""COMPUTED_VALUE"""),"MUNICIPALIDAD DE CORONEL")</f>
        <v>MUNICIPALIDAD DE CORONEL</v>
      </c>
      <c r="G889" s="71">
        <f ca="1">IFERROR(__xludf.DUMMYFUNCTION("""COMPUTED_VALUE"""),161593777)</f>
        <v>161593777</v>
      </c>
      <c r="H889" s="10" t="str">
        <f ca="1">IFERROR(__xludf.DUMMYFUNCTION("""COMPUTED_VALUE"""),"Resolución")</f>
        <v>Resolución</v>
      </c>
      <c r="I889" s="10" t="str">
        <f ca="1">IFERROR(__xludf.DUMMYFUNCTION("""COMPUTED_VALUE"""),"OBRA")</f>
        <v>OBRA</v>
      </c>
      <c r="J889" s="10" t="str">
        <f ca="1">IFERROR(__xludf.DUMMYFUNCTION("""COMPUTED_VALUE"""),"Cumplir con normativa y reglamentos internos del programa en base a los objetivos.")</f>
        <v>Cumplir con normativa y reglamentos internos del programa en base a los objetivos.</v>
      </c>
      <c r="K889" s="71">
        <f ca="1">IFERROR(__xludf.DUMMYFUNCTION("""COMPUTED_VALUE"""),80796888)</f>
        <v>80796888</v>
      </c>
      <c r="L889" s="72">
        <f ca="1">IFERROR(__xludf.DUMMYFUNCTION("""COMPUTED_VALUE"""),0.499999996905821)</f>
        <v>0.49999999690582098</v>
      </c>
      <c r="M889" s="10">
        <f ca="1">IFERROR(__xludf.DUMMYFUNCTION("""COMPUTED_VALUE"""),7710)</f>
        <v>7710</v>
      </c>
      <c r="N889" s="10" t="str">
        <f ca="1">IFERROR(__xludf.DUMMYFUNCTION("""COMPUTED_VALUE"""),"PMU")</f>
        <v>PMU</v>
      </c>
      <c r="O889" s="1"/>
      <c r="P889" s="1"/>
      <c r="Q889" s="1"/>
      <c r="R889" s="1"/>
      <c r="S889" s="1"/>
      <c r="T889" s="1"/>
      <c r="U889" s="1"/>
      <c r="V889" s="1"/>
      <c r="W889" s="1"/>
      <c r="X889" s="1"/>
      <c r="Y889" s="1"/>
      <c r="Z889" s="1"/>
    </row>
    <row r="890" spans="1:26" ht="12.75" customHeight="1">
      <c r="A890" s="1"/>
      <c r="B890" s="10" t="str">
        <f ca="1">IFERROR(__xludf.DUMMYFUNCTION("""COMPUTED_VALUE"""),"CONSTRUCCION ILUMINACION ORNAMENTAL PLAZA LOS AROMOS")</f>
        <v>CONSTRUCCION ILUMINACION ORNAMENTAL PLAZA LOS AROMOS</v>
      </c>
      <c r="C890" s="10" t="str">
        <f ca="1">IFERROR(__xludf.DUMMYFUNCTION("""COMPUTED_VALUE"""),"1-K-2024-72")</f>
        <v>1-K-2024-72</v>
      </c>
      <c r="D890" s="26"/>
      <c r="E890" s="10" t="str">
        <f ca="1">IFERROR(__xludf.DUMMYFUNCTION("""COMPUTED_VALUE"""),"Guía Operativa")</f>
        <v>Guía Operativa</v>
      </c>
      <c r="F890" s="10" t="str">
        <f ca="1">IFERROR(__xludf.DUMMYFUNCTION("""COMPUTED_VALUE"""),"MUNICIPALIDAD DE LEBU")</f>
        <v>MUNICIPALIDAD DE LEBU</v>
      </c>
      <c r="G890" s="71">
        <f ca="1">IFERROR(__xludf.DUMMYFUNCTION("""COMPUTED_VALUE"""),71669107)</f>
        <v>71669107</v>
      </c>
      <c r="H890" s="10" t="str">
        <f ca="1">IFERROR(__xludf.DUMMYFUNCTION("""COMPUTED_VALUE"""),"Resolución")</f>
        <v>Resolución</v>
      </c>
      <c r="I890" s="10" t="str">
        <f ca="1">IFERROR(__xludf.DUMMYFUNCTION("""COMPUTED_VALUE"""),"OBRA")</f>
        <v>OBRA</v>
      </c>
      <c r="J890" s="10" t="str">
        <f ca="1">IFERROR(__xludf.DUMMYFUNCTION("""COMPUTED_VALUE"""),"Cumplir con normativa y reglamentos internos del programa en base a los objetivos.")</f>
        <v>Cumplir con normativa y reglamentos internos del programa en base a los objetivos.</v>
      </c>
      <c r="K890" s="71">
        <f ca="1">IFERROR(__xludf.DUMMYFUNCTION("""COMPUTED_VALUE"""),35834553)</f>
        <v>35834553</v>
      </c>
      <c r="L890" s="72">
        <f ca="1">IFERROR(__xludf.DUMMYFUNCTION("""COMPUTED_VALUE"""),0.499999993023493)</f>
        <v>0.49999999302349302</v>
      </c>
      <c r="M890" s="10">
        <f ca="1">IFERROR(__xludf.DUMMYFUNCTION("""COMPUTED_VALUE"""),8024)</f>
        <v>8024</v>
      </c>
      <c r="N890" s="10" t="str">
        <f ca="1">IFERROR(__xludf.DUMMYFUNCTION("""COMPUTED_VALUE"""),"PMU")</f>
        <v>PMU</v>
      </c>
      <c r="O890" s="1"/>
      <c r="P890" s="1"/>
      <c r="Q890" s="1"/>
      <c r="R890" s="1"/>
      <c r="S890" s="1"/>
      <c r="T890" s="1"/>
      <c r="U890" s="1"/>
      <c r="V890" s="1"/>
      <c r="W890" s="1"/>
      <c r="X890" s="1"/>
      <c r="Y890" s="1"/>
      <c r="Z890" s="1"/>
    </row>
    <row r="891" spans="1:26" ht="12.75" customHeight="1">
      <c r="A891" s="1"/>
      <c r="B891" s="10" t="str">
        <f ca="1">IFERROR(__xludf.DUMMYFUNCTION("""COMPUTED_VALUE"""),"CONSTRUCCIÓN DE ALUMBRADO PÚBLICO SANTA ROSA, LEBU")</f>
        <v>CONSTRUCCIÓN DE ALUMBRADO PÚBLICO SANTA ROSA, LEBU</v>
      </c>
      <c r="C891" s="10" t="str">
        <f ca="1">IFERROR(__xludf.DUMMYFUNCTION("""COMPUTED_VALUE"""),"1-K-2024-73")</f>
        <v>1-K-2024-73</v>
      </c>
      <c r="D891" s="26"/>
      <c r="E891" s="10" t="str">
        <f ca="1">IFERROR(__xludf.DUMMYFUNCTION("""COMPUTED_VALUE"""),"Guía Operativa")</f>
        <v>Guía Operativa</v>
      </c>
      <c r="F891" s="10" t="str">
        <f ca="1">IFERROR(__xludf.DUMMYFUNCTION("""COMPUTED_VALUE"""),"MUNICIPALIDAD DE LEBU")</f>
        <v>MUNICIPALIDAD DE LEBU</v>
      </c>
      <c r="G891" s="71">
        <f ca="1">IFERROR(__xludf.DUMMYFUNCTION("""COMPUTED_VALUE"""),71669107)</f>
        <v>71669107</v>
      </c>
      <c r="H891" s="10" t="str">
        <f ca="1">IFERROR(__xludf.DUMMYFUNCTION("""COMPUTED_VALUE"""),"Resolución")</f>
        <v>Resolución</v>
      </c>
      <c r="I891" s="10" t="str">
        <f ca="1">IFERROR(__xludf.DUMMYFUNCTION("""COMPUTED_VALUE"""),"OBRA")</f>
        <v>OBRA</v>
      </c>
      <c r="J891" s="10" t="str">
        <f ca="1">IFERROR(__xludf.DUMMYFUNCTION("""COMPUTED_VALUE"""),"Cumplir con normativa y reglamentos internos del programa en base a los objetivos.")</f>
        <v>Cumplir con normativa y reglamentos internos del programa en base a los objetivos.</v>
      </c>
      <c r="K891" s="71">
        <f ca="1">IFERROR(__xludf.DUMMYFUNCTION("""COMPUTED_VALUE"""),35834553)</f>
        <v>35834553</v>
      </c>
      <c r="L891" s="72">
        <f ca="1">IFERROR(__xludf.DUMMYFUNCTION("""COMPUTED_VALUE"""),0.499999993023493)</f>
        <v>0.49999999302349302</v>
      </c>
      <c r="M891" s="10">
        <f ca="1">IFERROR(__xludf.DUMMYFUNCTION("""COMPUTED_VALUE"""),8024)</f>
        <v>8024</v>
      </c>
      <c r="N891" s="10" t="str">
        <f ca="1">IFERROR(__xludf.DUMMYFUNCTION("""COMPUTED_VALUE"""),"PMU")</f>
        <v>PMU</v>
      </c>
      <c r="O891" s="1"/>
      <c r="P891" s="1"/>
      <c r="Q891" s="1"/>
      <c r="R891" s="1"/>
      <c r="S891" s="1"/>
      <c r="T891" s="1"/>
      <c r="U891" s="1"/>
      <c r="V891" s="1"/>
      <c r="W891" s="1"/>
      <c r="X891" s="1"/>
      <c r="Y891" s="1"/>
      <c r="Z891" s="1"/>
    </row>
    <row r="892" spans="1:26" ht="12.75" customHeight="1">
      <c r="A892" s="1"/>
      <c r="B892" s="10" t="str">
        <f ca="1">IFERROR(__xludf.DUMMYFUNCTION("""COMPUTED_VALUE"""),"MEJORAMIENTO DE ALUMBRADO PÚBLICO EN CARLOS IBÁÑEZ DEL CAMPO, LEBU")</f>
        <v>MEJORAMIENTO DE ALUMBRADO PÚBLICO EN CARLOS IBÁÑEZ DEL CAMPO, LEBU</v>
      </c>
      <c r="C892" s="10" t="str">
        <f ca="1">IFERROR(__xludf.DUMMYFUNCTION("""COMPUTED_VALUE"""),"1-K-2024-74")</f>
        <v>1-K-2024-74</v>
      </c>
      <c r="D892" s="26"/>
      <c r="E892" s="10" t="str">
        <f ca="1">IFERROR(__xludf.DUMMYFUNCTION("""COMPUTED_VALUE"""),"Guía Operativa")</f>
        <v>Guía Operativa</v>
      </c>
      <c r="F892" s="10" t="str">
        <f ca="1">IFERROR(__xludf.DUMMYFUNCTION("""COMPUTED_VALUE"""),"MUNICIPALIDAD DE LEBU")</f>
        <v>MUNICIPALIDAD DE LEBU</v>
      </c>
      <c r="G892" s="71">
        <f ca="1">IFERROR(__xludf.DUMMYFUNCTION("""COMPUTED_VALUE"""),75243127)</f>
        <v>75243127</v>
      </c>
      <c r="H892" s="10" t="str">
        <f ca="1">IFERROR(__xludf.DUMMYFUNCTION("""COMPUTED_VALUE"""),"Resolución")</f>
        <v>Resolución</v>
      </c>
      <c r="I892" s="10" t="str">
        <f ca="1">IFERROR(__xludf.DUMMYFUNCTION("""COMPUTED_VALUE"""),"OBRA")</f>
        <v>OBRA</v>
      </c>
      <c r="J892" s="10" t="str">
        <f ca="1">IFERROR(__xludf.DUMMYFUNCTION("""COMPUTED_VALUE"""),"Cumplir con normativa y reglamentos internos del programa en base a los objetivos.")</f>
        <v>Cumplir con normativa y reglamentos internos del programa en base a los objetivos.</v>
      </c>
      <c r="K892" s="71">
        <f ca="1">IFERROR(__xludf.DUMMYFUNCTION("""COMPUTED_VALUE"""),37621563)</f>
        <v>37621563</v>
      </c>
      <c r="L892" s="72">
        <f ca="1">IFERROR(__xludf.DUMMYFUNCTION("""COMPUTED_VALUE"""),0.499999993354874)</f>
        <v>0.49999999335487399</v>
      </c>
      <c r="M892" s="10">
        <f ca="1">IFERROR(__xludf.DUMMYFUNCTION("""COMPUTED_VALUE"""),8019)</f>
        <v>8019</v>
      </c>
      <c r="N892" s="10" t="str">
        <f ca="1">IFERROR(__xludf.DUMMYFUNCTION("""COMPUTED_VALUE"""),"PMU")</f>
        <v>PMU</v>
      </c>
      <c r="O892" s="1"/>
      <c r="P892" s="1"/>
      <c r="Q892" s="1"/>
      <c r="R892" s="1"/>
      <c r="S892" s="1"/>
      <c r="T892" s="1"/>
      <c r="U892" s="1"/>
      <c r="V892" s="1"/>
      <c r="W892" s="1"/>
      <c r="X892" s="1"/>
      <c r="Y892" s="1"/>
      <c r="Z892" s="1"/>
    </row>
    <row r="893" spans="1:26" ht="12.75" customHeight="1">
      <c r="A893" s="1"/>
      <c r="B893" s="10" t="str">
        <f ca="1">IFERROR(__xludf.DUMMYFUNCTION("""COMPUTED_VALUE"""),"CONSTRUCCIÓN DE ALUMBRADO PÚBLICO SECTOR TRANCALCO, COMUNA DE LEBU")</f>
        <v>CONSTRUCCIÓN DE ALUMBRADO PÚBLICO SECTOR TRANCALCO, COMUNA DE LEBU</v>
      </c>
      <c r="C893" s="10" t="str">
        <f ca="1">IFERROR(__xludf.DUMMYFUNCTION("""COMPUTED_VALUE"""),"1-K-2024-75")</f>
        <v>1-K-2024-75</v>
      </c>
      <c r="D893" s="26"/>
      <c r="E893" s="10" t="str">
        <f ca="1">IFERROR(__xludf.DUMMYFUNCTION("""COMPUTED_VALUE"""),"Guía Operativa")</f>
        <v>Guía Operativa</v>
      </c>
      <c r="F893" s="10" t="str">
        <f ca="1">IFERROR(__xludf.DUMMYFUNCTION("""COMPUTED_VALUE"""),"MUNICIPALIDAD DE LEBU")</f>
        <v>MUNICIPALIDAD DE LEBU</v>
      </c>
      <c r="G893" s="71">
        <f ca="1">IFERROR(__xludf.DUMMYFUNCTION("""COMPUTED_VALUE"""),75236211)</f>
        <v>75236211</v>
      </c>
      <c r="H893" s="10" t="str">
        <f ca="1">IFERROR(__xludf.DUMMYFUNCTION("""COMPUTED_VALUE"""),"Resolución")</f>
        <v>Resolución</v>
      </c>
      <c r="I893" s="10" t="str">
        <f ca="1">IFERROR(__xludf.DUMMYFUNCTION("""COMPUTED_VALUE"""),"OBRA")</f>
        <v>OBRA</v>
      </c>
      <c r="J893" s="10" t="str">
        <f ca="1">IFERROR(__xludf.DUMMYFUNCTION("""COMPUTED_VALUE"""),"Cumplir con normativa y reglamentos internos del programa en base a los objetivos.")</f>
        <v>Cumplir con normativa y reglamentos internos del programa en base a los objetivos.</v>
      </c>
      <c r="K893" s="71">
        <f ca="1">IFERROR(__xludf.DUMMYFUNCTION("""COMPUTED_VALUE"""),34310505)</f>
        <v>34310505</v>
      </c>
      <c r="L893" s="72">
        <f ca="1">IFERROR(__xludf.DUMMYFUNCTION("""COMPUTED_VALUE"""),0.456037120210639)</f>
        <v>0.45603712021063902</v>
      </c>
      <c r="M893" s="10">
        <f ca="1">IFERROR(__xludf.DUMMYFUNCTION("""COMPUTED_VALUE"""),8019)</f>
        <v>8019</v>
      </c>
      <c r="N893" s="10" t="str">
        <f ca="1">IFERROR(__xludf.DUMMYFUNCTION("""COMPUTED_VALUE"""),"PMU")</f>
        <v>PMU</v>
      </c>
      <c r="O893" s="1"/>
      <c r="P893" s="1"/>
      <c r="Q893" s="1"/>
      <c r="R893" s="1"/>
      <c r="S893" s="1"/>
      <c r="T893" s="1"/>
      <c r="U893" s="1"/>
      <c r="V893" s="1"/>
      <c r="W893" s="1"/>
      <c r="X893" s="1"/>
      <c r="Y893" s="1"/>
      <c r="Z893" s="1"/>
    </row>
    <row r="894" spans="1:26" ht="12.75" customHeight="1">
      <c r="A894" s="1"/>
      <c r="B894" s="10" t="str">
        <f ca="1">IFERROR(__xludf.DUMMYFUNCTION("""COMPUTED_VALUE"""),"MEJORAMIENTO ACERA, CALLE ARNOLDO COURAD POBL. POLVORÍN 3, LOTA.")</f>
        <v>MEJORAMIENTO ACERA, CALLE ARNOLDO COURAD POBL. POLVORÍN 3, LOTA.</v>
      </c>
      <c r="C894" s="10" t="str">
        <f ca="1">IFERROR(__xludf.DUMMYFUNCTION("""COMPUTED_VALUE"""),"1-K-2024-78")</f>
        <v>1-K-2024-78</v>
      </c>
      <c r="D894" s="26"/>
      <c r="E894" s="10" t="str">
        <f ca="1">IFERROR(__xludf.DUMMYFUNCTION("""COMPUTED_VALUE"""),"Guía Operativa")</f>
        <v>Guía Operativa</v>
      </c>
      <c r="F894" s="10" t="str">
        <f ca="1">IFERROR(__xludf.DUMMYFUNCTION("""COMPUTED_VALUE"""),"MUNICIPALIDAD DE LOTA")</f>
        <v>MUNICIPALIDAD DE LOTA</v>
      </c>
      <c r="G894" s="71">
        <f ca="1">IFERROR(__xludf.DUMMYFUNCTION("""COMPUTED_VALUE"""),154096776)</f>
        <v>154096776</v>
      </c>
      <c r="H894" s="10" t="str">
        <f ca="1">IFERROR(__xludf.DUMMYFUNCTION("""COMPUTED_VALUE"""),"Resolución")</f>
        <v>Resolución</v>
      </c>
      <c r="I894" s="10" t="str">
        <f ca="1">IFERROR(__xludf.DUMMYFUNCTION("""COMPUTED_VALUE"""),"OBRA")</f>
        <v>OBRA</v>
      </c>
      <c r="J894" s="10" t="str">
        <f ca="1">IFERROR(__xludf.DUMMYFUNCTION("""COMPUTED_VALUE"""),"Cumplir con normativa y reglamentos internos del programa en base a los objetivos.")</f>
        <v>Cumplir con normativa y reglamentos internos del programa en base a los objetivos.</v>
      </c>
      <c r="K894" s="71">
        <f ca="1">IFERROR(__xludf.DUMMYFUNCTION("""COMPUTED_VALUE"""),45459288)</f>
        <v>45459288</v>
      </c>
      <c r="L894" s="72">
        <f ca="1">IFERROR(__xludf.DUMMYFUNCTION("""COMPUTED_VALUE"""),0.295004796206768)</f>
        <v>0.29500479620676801</v>
      </c>
      <c r="M894" s="10">
        <f ca="1">IFERROR(__xludf.DUMMYFUNCTION("""COMPUTED_VALUE"""),8053)</f>
        <v>8053</v>
      </c>
      <c r="N894" s="10" t="str">
        <f ca="1">IFERROR(__xludf.DUMMYFUNCTION("""COMPUTED_VALUE"""),"PMU")</f>
        <v>PMU</v>
      </c>
      <c r="O894" s="1"/>
      <c r="P894" s="1"/>
      <c r="Q894" s="1"/>
      <c r="R894" s="1"/>
      <c r="S894" s="1"/>
      <c r="T894" s="1"/>
      <c r="U894" s="1"/>
      <c r="V894" s="1"/>
      <c r="W894" s="1"/>
      <c r="X894" s="1"/>
      <c r="Y894" s="1"/>
      <c r="Z894" s="1"/>
    </row>
    <row r="895" spans="1:26" ht="12.75" customHeight="1">
      <c r="A895" s="1"/>
      <c r="B895" s="10" t="str">
        <f ca="1">IFERROR(__xludf.DUMMYFUNCTION("""COMPUTED_VALUE"""),"MEJORAMIENTO DE ACERA CALLE MARIHUEÑO SECTOR COLCURA, LOTA")</f>
        <v>MEJORAMIENTO DE ACERA CALLE MARIHUEÑO SECTOR COLCURA, LOTA</v>
      </c>
      <c r="C895" s="10" t="str">
        <f ca="1">IFERROR(__xludf.DUMMYFUNCTION("""COMPUTED_VALUE"""),"1-K-2024-80")</f>
        <v>1-K-2024-80</v>
      </c>
      <c r="D895" s="26"/>
      <c r="E895" s="10" t="str">
        <f ca="1">IFERROR(__xludf.DUMMYFUNCTION("""COMPUTED_VALUE"""),"Guía Operativa")</f>
        <v>Guía Operativa</v>
      </c>
      <c r="F895" s="10" t="str">
        <f ca="1">IFERROR(__xludf.DUMMYFUNCTION("""COMPUTED_VALUE"""),"MUNICIPALIDAD DE LOTA")</f>
        <v>MUNICIPALIDAD DE LOTA</v>
      </c>
      <c r="G895" s="71">
        <f ca="1">IFERROR(__xludf.DUMMYFUNCTION("""COMPUTED_VALUE"""),154164847)</f>
        <v>154164847</v>
      </c>
      <c r="H895" s="10" t="str">
        <f ca="1">IFERROR(__xludf.DUMMYFUNCTION("""COMPUTED_VALUE"""),"Resolución")</f>
        <v>Resolución</v>
      </c>
      <c r="I895" s="10" t="str">
        <f ca="1">IFERROR(__xludf.DUMMYFUNCTION("""COMPUTED_VALUE"""),"OBRA")</f>
        <v>OBRA</v>
      </c>
      <c r="J895" s="10" t="str">
        <f ca="1">IFERROR(__xludf.DUMMYFUNCTION("""COMPUTED_VALUE"""),"Cumplir con normativa y reglamentos internos del programa en base a los objetivos.")</f>
        <v>Cumplir con normativa y reglamentos internos del programa en base a los objetivos.</v>
      </c>
      <c r="K895" s="71">
        <f ca="1">IFERROR(__xludf.DUMMYFUNCTION("""COMPUTED_VALUE"""),75437223)</f>
        <v>75437223</v>
      </c>
      <c r="L895" s="72">
        <f ca="1">IFERROR(__xludf.DUMMYFUNCTION("""COMPUTED_VALUE"""),0.489328303228556)</f>
        <v>0.48932830322855603</v>
      </c>
      <c r="M895" s="10">
        <f ca="1">IFERROR(__xludf.DUMMYFUNCTION("""COMPUTED_VALUE"""),8053)</f>
        <v>8053</v>
      </c>
      <c r="N895" s="10" t="str">
        <f ca="1">IFERROR(__xludf.DUMMYFUNCTION("""COMPUTED_VALUE"""),"PMU")</f>
        <v>PMU</v>
      </c>
      <c r="O895" s="1"/>
      <c r="P895" s="1"/>
      <c r="Q895" s="1"/>
      <c r="R895" s="1"/>
      <c r="S895" s="1"/>
      <c r="T895" s="1"/>
      <c r="U895" s="1"/>
      <c r="V895" s="1"/>
      <c r="W895" s="1"/>
      <c r="X895" s="1"/>
      <c r="Y895" s="1"/>
      <c r="Z895" s="1"/>
    </row>
    <row r="896" spans="1:26" ht="12.75" customHeight="1">
      <c r="A896" s="1"/>
      <c r="B896" s="10" t="str">
        <f ca="1">IFERROR(__xludf.DUMMYFUNCTION("""COMPUTED_VALUE"""),"MEJORAMIENTO PLATABANDA ACERA CALLE LIBERTAD Y CALLE O´HIGGINS, LOS ÁLAMOS")</f>
        <v>MEJORAMIENTO PLATABANDA ACERA CALLE LIBERTAD Y CALLE O´HIGGINS, LOS ÁLAMOS</v>
      </c>
      <c r="C896" s="10" t="str">
        <f ca="1">IFERROR(__xludf.DUMMYFUNCTION("""COMPUTED_VALUE"""),"1-C-2024-1493")</f>
        <v>1-C-2024-1493</v>
      </c>
      <c r="D896" s="26"/>
      <c r="E896" s="10" t="str">
        <f ca="1">IFERROR(__xludf.DUMMYFUNCTION("""COMPUTED_VALUE"""),"Guía Operativa")</f>
        <v>Guía Operativa</v>
      </c>
      <c r="F896" s="10" t="str">
        <f ca="1">IFERROR(__xludf.DUMMYFUNCTION("""COMPUTED_VALUE"""),"MUNICIPALIDAD DE LOS ÁLAMOS")</f>
        <v>MUNICIPALIDAD DE LOS ÁLAMOS</v>
      </c>
      <c r="G896" s="71">
        <f ca="1">IFERROR(__xludf.DUMMYFUNCTION("""COMPUTED_VALUE"""),154885354)</f>
        <v>154885354</v>
      </c>
      <c r="H896" s="10" t="str">
        <f ca="1">IFERROR(__xludf.DUMMYFUNCTION("""COMPUTED_VALUE"""),"Resolución")</f>
        <v>Resolución</v>
      </c>
      <c r="I896" s="10" t="str">
        <f ca="1">IFERROR(__xludf.DUMMYFUNCTION("""COMPUTED_VALUE"""),"OBRA")</f>
        <v>OBRA</v>
      </c>
      <c r="J896" s="10" t="str">
        <f ca="1">IFERROR(__xludf.DUMMYFUNCTION("""COMPUTED_VALUE"""),"Cumplir con normativa y reglamentos internos del programa en base a los objetivos.")</f>
        <v>Cumplir con normativa y reglamentos internos del programa en base a los objetivos.</v>
      </c>
      <c r="K896" s="71">
        <f ca="1">IFERROR(__xludf.DUMMYFUNCTION("""COMPUTED_VALUE"""),154885354)</f>
        <v>154885354</v>
      </c>
      <c r="L896" s="72">
        <f ca="1">IFERROR(__xludf.DUMMYFUNCTION("""COMPUTED_VALUE"""),1)</f>
        <v>1</v>
      </c>
      <c r="M896" s="10">
        <f ca="1">IFERROR(__xludf.DUMMYFUNCTION("""COMPUTED_VALUE"""),10363)</f>
        <v>10363</v>
      </c>
      <c r="N896" s="10" t="str">
        <f ca="1">IFERROR(__xludf.DUMMYFUNCTION("""COMPUTED_VALUE"""),"PMU")</f>
        <v>PMU</v>
      </c>
      <c r="O896" s="1"/>
      <c r="P896" s="1"/>
      <c r="Q896" s="1"/>
      <c r="R896" s="1"/>
      <c r="S896" s="1"/>
      <c r="T896" s="1"/>
      <c r="U896" s="1"/>
      <c r="V896" s="1"/>
      <c r="W896" s="1"/>
      <c r="X896" s="1"/>
      <c r="Y896" s="1"/>
      <c r="Z896" s="1"/>
    </row>
    <row r="897" spans="1:26" ht="12.75" customHeight="1">
      <c r="A897" s="1"/>
      <c r="B897" s="10" t="str">
        <f ca="1">IFERROR(__xludf.DUMMYFUNCTION("""COMPUTED_VALUE"""),"MEJORAMIENTO PLATABANDA ACERA CALLE PEDRO EYHERAMENDY, ENTRE CALLE LUIS SAEZ MORA Y CALLE INDEPENDENCIA, LOS ÁLAMOS")</f>
        <v>MEJORAMIENTO PLATABANDA ACERA CALLE PEDRO EYHERAMENDY, ENTRE CALLE LUIS SAEZ MORA Y CALLE INDEPENDENCIA, LOS ÁLAMOS</v>
      </c>
      <c r="C897" s="10" t="str">
        <f ca="1">IFERROR(__xludf.DUMMYFUNCTION("""COMPUTED_VALUE"""),"1-C-2024-1494")</f>
        <v>1-C-2024-1494</v>
      </c>
      <c r="D897" s="26"/>
      <c r="E897" s="10" t="str">
        <f ca="1">IFERROR(__xludf.DUMMYFUNCTION("""COMPUTED_VALUE"""),"Guía Operativa")</f>
        <v>Guía Operativa</v>
      </c>
      <c r="F897" s="10" t="str">
        <f ca="1">IFERROR(__xludf.DUMMYFUNCTION("""COMPUTED_VALUE"""),"MUNICIPALIDAD DE LOS ÁLAMOS")</f>
        <v>MUNICIPALIDAD DE LOS ÁLAMOS</v>
      </c>
      <c r="G897" s="71">
        <f ca="1">IFERROR(__xludf.DUMMYFUNCTION("""COMPUTED_VALUE"""),145165902)</f>
        <v>145165902</v>
      </c>
      <c r="H897" s="10" t="str">
        <f ca="1">IFERROR(__xludf.DUMMYFUNCTION("""COMPUTED_VALUE"""),"Resolución")</f>
        <v>Resolución</v>
      </c>
      <c r="I897" s="10" t="str">
        <f ca="1">IFERROR(__xludf.DUMMYFUNCTION("""COMPUTED_VALUE"""),"OBRA")</f>
        <v>OBRA</v>
      </c>
      <c r="J897" s="10" t="str">
        <f ca="1">IFERROR(__xludf.DUMMYFUNCTION("""COMPUTED_VALUE"""),"Cumplir con normativa y reglamentos internos del programa en base a los objetivos.")</f>
        <v>Cumplir con normativa y reglamentos internos del programa en base a los objetivos.</v>
      </c>
      <c r="K897" s="71">
        <f ca="1">IFERROR(__xludf.DUMMYFUNCTION("""COMPUTED_VALUE"""),145165902)</f>
        <v>145165902</v>
      </c>
      <c r="L897" s="72">
        <f ca="1">IFERROR(__xludf.DUMMYFUNCTION("""COMPUTED_VALUE"""),1)</f>
        <v>1</v>
      </c>
      <c r="M897" s="10">
        <f ca="1">IFERROR(__xludf.DUMMYFUNCTION("""COMPUTED_VALUE"""),10363)</f>
        <v>10363</v>
      </c>
      <c r="N897" s="10" t="str">
        <f ca="1">IFERROR(__xludf.DUMMYFUNCTION("""COMPUTED_VALUE"""),"PMU")</f>
        <v>PMU</v>
      </c>
      <c r="O897" s="1"/>
      <c r="P897" s="1"/>
      <c r="Q897" s="1"/>
      <c r="R897" s="1"/>
      <c r="S897" s="1"/>
      <c r="T897" s="1"/>
      <c r="U897" s="1"/>
      <c r="V897" s="1"/>
      <c r="W897" s="1"/>
      <c r="X897" s="1"/>
      <c r="Y897" s="1"/>
      <c r="Z897" s="1"/>
    </row>
    <row r="898" spans="1:26" ht="12.75" customHeight="1">
      <c r="A898" s="1"/>
      <c r="B898" s="10" t="str">
        <f ca="1">IFERROR(__xludf.DUMMYFUNCTION("""COMPUTED_VALUE"""),"MEJORAMIENTO PLATABANDA ACERA CALLE LAUTARO, ENTRE CALLE PILPILCO Y CALLE GABRIELA MISTRAL, CERRO ALTO, LOS ÁLAMOS")</f>
        <v>MEJORAMIENTO PLATABANDA ACERA CALLE LAUTARO, ENTRE CALLE PILPILCO Y CALLE GABRIELA MISTRAL, CERRO ALTO, LOS ÁLAMOS</v>
      </c>
      <c r="C898" s="10" t="str">
        <f ca="1">IFERROR(__xludf.DUMMYFUNCTION("""COMPUTED_VALUE"""),"1-C-2024-1495")</f>
        <v>1-C-2024-1495</v>
      </c>
      <c r="D898" s="26"/>
      <c r="E898" s="10" t="str">
        <f ca="1">IFERROR(__xludf.DUMMYFUNCTION("""COMPUTED_VALUE"""),"Guía Operativa")</f>
        <v>Guía Operativa</v>
      </c>
      <c r="F898" s="10" t="str">
        <f ca="1">IFERROR(__xludf.DUMMYFUNCTION("""COMPUTED_VALUE"""),"MUNICIPALIDAD DE LOS ÁLAMOS")</f>
        <v>MUNICIPALIDAD DE LOS ÁLAMOS</v>
      </c>
      <c r="G898" s="71">
        <f ca="1">IFERROR(__xludf.DUMMYFUNCTION("""COMPUTED_VALUE"""),161530173)</f>
        <v>161530173</v>
      </c>
      <c r="H898" s="10" t="str">
        <f ca="1">IFERROR(__xludf.DUMMYFUNCTION("""COMPUTED_VALUE"""),"Resolución")</f>
        <v>Resolución</v>
      </c>
      <c r="I898" s="10" t="str">
        <f ca="1">IFERROR(__xludf.DUMMYFUNCTION("""COMPUTED_VALUE"""),"OBRA")</f>
        <v>OBRA</v>
      </c>
      <c r="J898" s="10" t="str">
        <f ca="1">IFERROR(__xludf.DUMMYFUNCTION("""COMPUTED_VALUE"""),"Cumplir con normativa y reglamentos internos del programa en base a los objetivos.")</f>
        <v>Cumplir con normativa y reglamentos internos del programa en base a los objetivos.</v>
      </c>
      <c r="K898" s="71">
        <f ca="1">IFERROR(__xludf.DUMMYFUNCTION("""COMPUTED_VALUE"""),161530173)</f>
        <v>161530173</v>
      </c>
      <c r="L898" s="72">
        <f ca="1">IFERROR(__xludf.DUMMYFUNCTION("""COMPUTED_VALUE"""),1)</f>
        <v>1</v>
      </c>
      <c r="M898" s="10">
        <f ca="1">IFERROR(__xludf.DUMMYFUNCTION("""COMPUTED_VALUE"""),10363)</f>
        <v>10363</v>
      </c>
      <c r="N898" s="10" t="str">
        <f ca="1">IFERROR(__xludf.DUMMYFUNCTION("""COMPUTED_VALUE"""),"PMU")</f>
        <v>PMU</v>
      </c>
      <c r="O898" s="1"/>
      <c r="P898" s="1"/>
      <c r="Q898" s="1"/>
      <c r="R898" s="1"/>
      <c r="S898" s="1"/>
      <c r="T898" s="1"/>
      <c r="U898" s="1"/>
      <c r="V898" s="1"/>
      <c r="W898" s="1"/>
      <c r="X898" s="1"/>
      <c r="Y898" s="1"/>
      <c r="Z898" s="1"/>
    </row>
    <row r="899" spans="1:26" ht="12.75" customHeight="1">
      <c r="A899" s="1"/>
      <c r="B899" s="10" t="str">
        <f ca="1">IFERROR(__xludf.DUMMYFUNCTION("""COMPUTED_VALUE"""),"MEJORAMIENTO Y REPARACION ESCUELA DE LENGUAJE RAYEN ANTU")</f>
        <v>MEJORAMIENTO Y REPARACION ESCUELA DE LENGUAJE RAYEN ANTU</v>
      </c>
      <c r="C899" s="10" t="str">
        <f ca="1">IFERROR(__xludf.DUMMYFUNCTION("""COMPUTED_VALUE"""),"1-C-2024-1540")</f>
        <v>1-C-2024-1540</v>
      </c>
      <c r="D899" s="26"/>
      <c r="E899" s="10" t="str">
        <f ca="1">IFERROR(__xludf.DUMMYFUNCTION("""COMPUTED_VALUE"""),"Guía Operativa")</f>
        <v>Guía Operativa</v>
      </c>
      <c r="F899" s="10" t="str">
        <f ca="1">IFERROR(__xludf.DUMMYFUNCTION("""COMPUTED_VALUE"""),"MUNICIPALIDAD DE CURANILAHUE")</f>
        <v>MUNICIPALIDAD DE CURANILAHUE</v>
      </c>
      <c r="G899" s="71">
        <f ca="1">IFERROR(__xludf.DUMMYFUNCTION("""COMPUTED_VALUE"""),117032690)</f>
        <v>117032690</v>
      </c>
      <c r="H899" s="10" t="str">
        <f ca="1">IFERROR(__xludf.DUMMYFUNCTION("""COMPUTED_VALUE"""),"Resolución")</f>
        <v>Resolución</v>
      </c>
      <c r="I899" s="10" t="str">
        <f ca="1">IFERROR(__xludf.DUMMYFUNCTION("""COMPUTED_VALUE"""),"OBRA")</f>
        <v>OBRA</v>
      </c>
      <c r="J899" s="10" t="str">
        <f ca="1">IFERROR(__xludf.DUMMYFUNCTION("""COMPUTED_VALUE"""),"Cumplir con normativa y reglamentos internos del programa en base a los objetivos.")</f>
        <v>Cumplir con normativa y reglamentos internos del programa en base a los objetivos.</v>
      </c>
      <c r="K899" s="71">
        <f ca="1">IFERROR(__xludf.DUMMYFUNCTION("""COMPUTED_VALUE"""),117032690)</f>
        <v>117032690</v>
      </c>
      <c r="L899" s="72">
        <f ca="1">IFERROR(__xludf.DUMMYFUNCTION("""COMPUTED_VALUE"""),1)</f>
        <v>1</v>
      </c>
      <c r="M899" s="10">
        <f ca="1">IFERROR(__xludf.DUMMYFUNCTION("""COMPUTED_VALUE"""),10364)</f>
        <v>10364</v>
      </c>
      <c r="N899" s="10" t="str">
        <f ca="1">IFERROR(__xludf.DUMMYFUNCTION("""COMPUTED_VALUE"""),"PMU")</f>
        <v>PMU</v>
      </c>
      <c r="O899" s="1"/>
      <c r="P899" s="1"/>
      <c r="Q899" s="1"/>
      <c r="R899" s="1"/>
      <c r="S899" s="1"/>
      <c r="T899" s="1"/>
      <c r="U899" s="1"/>
      <c r="V899" s="1"/>
      <c r="W899" s="1"/>
      <c r="X899" s="1"/>
      <c r="Y899" s="1"/>
      <c r="Z899" s="1"/>
    </row>
    <row r="900" spans="1:26" ht="12.75" customHeight="1">
      <c r="A900" s="1"/>
      <c r="B900" s="10" t="str">
        <f ca="1">IFERROR(__xludf.DUMMYFUNCTION("""COMPUTED_VALUE"""),"MEJORAMIENTO ESCUELA E-765 COLICO SUR")</f>
        <v>MEJORAMIENTO ESCUELA E-765 COLICO SUR</v>
      </c>
      <c r="C900" s="10" t="str">
        <f ca="1">IFERROR(__xludf.DUMMYFUNCTION("""COMPUTED_VALUE"""),"1-C-2024-1541")</f>
        <v>1-C-2024-1541</v>
      </c>
      <c r="D900" s="26"/>
      <c r="E900" s="10" t="str">
        <f ca="1">IFERROR(__xludf.DUMMYFUNCTION("""COMPUTED_VALUE"""),"Guía Operativa")</f>
        <v>Guía Operativa</v>
      </c>
      <c r="F900" s="10" t="str">
        <f ca="1">IFERROR(__xludf.DUMMYFUNCTION("""COMPUTED_VALUE"""),"MUNICIPALIDAD DE CURANILAHUE")</f>
        <v>MUNICIPALIDAD DE CURANILAHUE</v>
      </c>
      <c r="G900" s="71">
        <f ca="1">IFERROR(__xludf.DUMMYFUNCTION("""COMPUTED_VALUE"""),117504188)</f>
        <v>117504188</v>
      </c>
      <c r="H900" s="10" t="str">
        <f ca="1">IFERROR(__xludf.DUMMYFUNCTION("""COMPUTED_VALUE"""),"Resolución")</f>
        <v>Resolución</v>
      </c>
      <c r="I900" s="10" t="str">
        <f ca="1">IFERROR(__xludf.DUMMYFUNCTION("""COMPUTED_VALUE"""),"OBRA")</f>
        <v>OBRA</v>
      </c>
      <c r="J900" s="10" t="str">
        <f ca="1">IFERROR(__xludf.DUMMYFUNCTION("""COMPUTED_VALUE"""),"Cumplir con normativa y reglamentos internos del programa en base a los objetivos.")</f>
        <v>Cumplir con normativa y reglamentos internos del programa en base a los objetivos.</v>
      </c>
      <c r="K900" s="71">
        <f ca="1">IFERROR(__xludf.DUMMYFUNCTION("""COMPUTED_VALUE"""),117504188)</f>
        <v>117504188</v>
      </c>
      <c r="L900" s="72">
        <f ca="1">IFERROR(__xludf.DUMMYFUNCTION("""COMPUTED_VALUE"""),1)</f>
        <v>1</v>
      </c>
      <c r="M900" s="10">
        <f ca="1">IFERROR(__xludf.DUMMYFUNCTION("""COMPUTED_VALUE"""),10364)</f>
        <v>10364</v>
      </c>
      <c r="N900" s="10" t="str">
        <f ca="1">IFERROR(__xludf.DUMMYFUNCTION("""COMPUTED_VALUE"""),"PMU")</f>
        <v>PMU</v>
      </c>
      <c r="O900" s="1"/>
      <c r="P900" s="1"/>
      <c r="Q900" s="1"/>
      <c r="R900" s="1"/>
      <c r="S900" s="1"/>
      <c r="T900" s="1"/>
      <c r="U900" s="1"/>
      <c r="V900" s="1"/>
      <c r="W900" s="1"/>
      <c r="X900" s="1"/>
      <c r="Y900" s="1"/>
      <c r="Z900" s="1"/>
    </row>
    <row r="901" spans="1:26" ht="12.75" customHeight="1">
      <c r="A901" s="1"/>
      <c r="B901" s="10" t="str">
        <f ca="1">IFERROR(__xludf.DUMMYFUNCTION("""COMPUTED_VALUE"""),"[SATE] CONSTRUCCIÓN SEÑALÉTICA TURÍSTICA E INFORMATIVA CURARREHUE, ZOIT ARAUCANÍA LACUSTRE")</f>
        <v>[SATE] CONSTRUCCIÓN SEÑALÉTICA TURÍSTICA E INFORMATIVA CURARREHUE, ZOIT ARAUCANÍA LACUSTRE</v>
      </c>
      <c r="C901" s="10" t="str">
        <f ca="1">IFERROR(__xludf.DUMMYFUNCTION("""COMPUTED_VALUE"""),"1-C-2022-1072")</f>
        <v>1-C-2022-1072</v>
      </c>
      <c r="D901" s="26"/>
      <c r="E901" s="10" t="str">
        <f ca="1">IFERROR(__xludf.DUMMYFUNCTION("""COMPUTED_VALUE"""),"Guía Operativa")</f>
        <v>Guía Operativa</v>
      </c>
      <c r="F901" s="10" t="str">
        <f ca="1">IFERROR(__xludf.DUMMYFUNCTION("""COMPUTED_VALUE"""),"MUNICIPALIDAD DE CURARREHUE")</f>
        <v>MUNICIPALIDAD DE CURARREHUE</v>
      </c>
      <c r="G901" s="71">
        <f ca="1">IFERROR(__xludf.DUMMYFUNCTION("""COMPUTED_VALUE"""),59425896)</f>
        <v>59425896</v>
      </c>
      <c r="H901" s="10" t="str">
        <f ca="1">IFERROR(__xludf.DUMMYFUNCTION("""COMPUTED_VALUE"""),"Resolución")</f>
        <v>Resolución</v>
      </c>
      <c r="I901" s="10" t="str">
        <f ca="1">IFERROR(__xludf.DUMMYFUNCTION("""COMPUTED_VALUE"""),"OBRA")</f>
        <v>OBRA</v>
      </c>
      <c r="J901" s="10" t="str">
        <f ca="1">IFERROR(__xludf.DUMMYFUNCTION("""COMPUTED_VALUE"""),"Cumplir con normativa y reglamentos internos del programa en base a los objetivos.")</f>
        <v>Cumplir con normativa y reglamentos internos del programa en base a los objetivos.</v>
      </c>
      <c r="K901" s="71">
        <f ca="1">IFERROR(__xludf.DUMMYFUNCTION("""COMPUTED_VALUE"""),59425896)</f>
        <v>59425896</v>
      </c>
      <c r="L901" s="72">
        <f ca="1">IFERROR(__xludf.DUMMYFUNCTION("""COMPUTED_VALUE"""),1)</f>
        <v>1</v>
      </c>
      <c r="M901" s="10">
        <f ca="1">IFERROR(__xludf.DUMMYFUNCTION("""COMPUTED_VALUE"""),9430)</f>
        <v>9430</v>
      </c>
      <c r="N901" s="10" t="str">
        <f ca="1">IFERROR(__xludf.DUMMYFUNCTION("""COMPUTED_VALUE"""),"PMU")</f>
        <v>PMU</v>
      </c>
      <c r="O901" s="1"/>
      <c r="P901" s="1"/>
      <c r="Q901" s="1"/>
      <c r="R901" s="1"/>
      <c r="S901" s="1"/>
      <c r="T901" s="1"/>
      <c r="U901" s="1"/>
      <c r="V901" s="1"/>
      <c r="W901" s="1"/>
      <c r="X901" s="1"/>
      <c r="Y901" s="1"/>
      <c r="Z901" s="1"/>
    </row>
    <row r="902" spans="1:26" ht="12.75" customHeight="1">
      <c r="A902" s="1"/>
      <c r="B902" s="10" t="str">
        <f ca="1">IFERROR(__xludf.DUMMYFUNCTION("""COMPUTED_VALUE"""),"CONSTRUCCIÓN ESPACIO MULTIUSO, SERVICIOS Y CIERRE PERIMETRAL CEMENTERIO MONTRE, COMUNA DE PERQUENCO")</f>
        <v>CONSTRUCCIÓN ESPACIO MULTIUSO, SERVICIOS Y CIERRE PERIMETRAL CEMENTERIO MONTRE, COMUNA DE PERQUENCO</v>
      </c>
      <c r="C902" s="10" t="str">
        <f ca="1">IFERROR(__xludf.DUMMYFUNCTION("""COMPUTED_VALUE"""),"1-C-2022-2265")</f>
        <v>1-C-2022-2265</v>
      </c>
      <c r="D902" s="26"/>
      <c r="E902" s="10" t="str">
        <f ca="1">IFERROR(__xludf.DUMMYFUNCTION("""COMPUTED_VALUE"""),"Guía Operativa")</f>
        <v>Guía Operativa</v>
      </c>
      <c r="F902" s="10" t="str">
        <f ca="1">IFERROR(__xludf.DUMMYFUNCTION("""COMPUTED_VALUE"""),"MUNICIPALIDAD DE PERQUENCO")</f>
        <v>MUNICIPALIDAD DE PERQUENCO</v>
      </c>
      <c r="G902" s="71">
        <f ca="1">IFERROR(__xludf.DUMMYFUNCTION("""COMPUTED_VALUE"""),155196211)</f>
        <v>155196211</v>
      </c>
      <c r="H902" s="10" t="str">
        <f ca="1">IFERROR(__xludf.DUMMYFUNCTION("""COMPUTED_VALUE"""),"Resolución")</f>
        <v>Resolución</v>
      </c>
      <c r="I902" s="10" t="str">
        <f ca="1">IFERROR(__xludf.DUMMYFUNCTION("""COMPUTED_VALUE"""),"OBRA")</f>
        <v>OBRA</v>
      </c>
      <c r="J902" s="10" t="str">
        <f ca="1">IFERROR(__xludf.DUMMYFUNCTION("""COMPUTED_VALUE"""),"Cumplir con normativa y reglamentos internos del programa en base a los objetivos.")</f>
        <v>Cumplir con normativa y reglamentos internos del programa en base a los objetivos.</v>
      </c>
      <c r="K902" s="71">
        <f ca="1">IFERROR(__xludf.DUMMYFUNCTION("""COMPUTED_VALUE"""),155196211)</f>
        <v>155196211</v>
      </c>
      <c r="L902" s="72">
        <f ca="1">IFERROR(__xludf.DUMMYFUNCTION("""COMPUTED_VALUE"""),1)</f>
        <v>1</v>
      </c>
      <c r="M902" s="10">
        <f ca="1">IFERROR(__xludf.DUMMYFUNCTION("""COMPUTED_VALUE"""),9355)</f>
        <v>9355</v>
      </c>
      <c r="N902" s="10" t="str">
        <f ca="1">IFERROR(__xludf.DUMMYFUNCTION("""COMPUTED_VALUE"""),"PMU")</f>
        <v>PMU</v>
      </c>
      <c r="O902" s="1"/>
      <c r="P902" s="1"/>
      <c r="Q902" s="1"/>
      <c r="R902" s="1"/>
      <c r="S902" s="1"/>
      <c r="T902" s="1"/>
      <c r="U902" s="1"/>
      <c r="V902" s="1"/>
      <c r="W902" s="1"/>
      <c r="X902" s="1"/>
      <c r="Y902" s="1"/>
      <c r="Z902" s="1"/>
    </row>
    <row r="903" spans="1:26" ht="12.75" customHeight="1">
      <c r="A903" s="1"/>
      <c r="B903" s="10" t="str">
        <f ca="1">IFERROR(__xludf.DUMMYFUNCTION("""COMPUTED_VALUE"""),"CONSTRUCCIÓN ESPACIO MULTIUSO, SERVICIOS Y CIERRE PERIMETRAL CEMENTERIO JACINTA MILLALÉN, COMUNA DE PERQUENCO.")</f>
        <v>CONSTRUCCIÓN ESPACIO MULTIUSO, SERVICIOS Y CIERRE PERIMETRAL CEMENTERIO JACINTA MILLALÉN, COMUNA DE PERQUENCO.</v>
      </c>
      <c r="C903" s="10" t="str">
        <f ca="1">IFERROR(__xludf.DUMMYFUNCTION("""COMPUTED_VALUE"""),"1-C-2022-2402")</f>
        <v>1-C-2022-2402</v>
      </c>
      <c r="D903" s="26"/>
      <c r="E903" s="10" t="str">
        <f ca="1">IFERROR(__xludf.DUMMYFUNCTION("""COMPUTED_VALUE"""),"Guía Operativa")</f>
        <v>Guía Operativa</v>
      </c>
      <c r="F903" s="10" t="str">
        <f ca="1">IFERROR(__xludf.DUMMYFUNCTION("""COMPUTED_VALUE"""),"MUNICIPALIDAD DE PERQUENCO")</f>
        <v>MUNICIPALIDAD DE PERQUENCO</v>
      </c>
      <c r="G903" s="71">
        <f ca="1">IFERROR(__xludf.DUMMYFUNCTION("""COMPUTED_VALUE"""),139387957)</f>
        <v>139387957</v>
      </c>
      <c r="H903" s="10" t="str">
        <f ca="1">IFERROR(__xludf.DUMMYFUNCTION("""COMPUTED_VALUE"""),"Resolución")</f>
        <v>Resolución</v>
      </c>
      <c r="I903" s="10" t="str">
        <f ca="1">IFERROR(__xludf.DUMMYFUNCTION("""COMPUTED_VALUE"""),"OBRA")</f>
        <v>OBRA</v>
      </c>
      <c r="J903" s="10" t="str">
        <f ca="1">IFERROR(__xludf.DUMMYFUNCTION("""COMPUTED_VALUE"""),"Cumplir con normativa y reglamentos internos del programa en base a los objetivos.")</f>
        <v>Cumplir con normativa y reglamentos internos del programa en base a los objetivos.</v>
      </c>
      <c r="K903" s="71">
        <f ca="1">IFERROR(__xludf.DUMMYFUNCTION("""COMPUTED_VALUE"""),139387957)</f>
        <v>139387957</v>
      </c>
      <c r="L903" s="72">
        <f ca="1">IFERROR(__xludf.DUMMYFUNCTION("""COMPUTED_VALUE"""),1)</f>
        <v>1</v>
      </c>
      <c r="M903" s="10">
        <f ca="1">IFERROR(__xludf.DUMMYFUNCTION("""COMPUTED_VALUE"""),9355)</f>
        <v>9355</v>
      </c>
      <c r="N903" s="10" t="str">
        <f ca="1">IFERROR(__xludf.DUMMYFUNCTION("""COMPUTED_VALUE"""),"PMU")</f>
        <v>PMU</v>
      </c>
      <c r="O903" s="1"/>
      <c r="P903" s="1"/>
      <c r="Q903" s="1"/>
      <c r="R903" s="1"/>
      <c r="S903" s="1"/>
      <c r="T903" s="1"/>
      <c r="U903" s="1"/>
      <c r="V903" s="1"/>
      <c r="W903" s="1"/>
      <c r="X903" s="1"/>
      <c r="Y903" s="1"/>
      <c r="Z903" s="1"/>
    </row>
    <row r="904" spans="1:26" ht="12.75" customHeight="1">
      <c r="A904" s="1"/>
      <c r="B904" s="10" t="str">
        <f ca="1">IFERROR(__xludf.DUMMYFUNCTION("""COMPUTED_VALUE"""),"SPD MEJORAMIENTO PLAZA VILLA LAS ARAUCARIAS, LONCOCHE")</f>
        <v>SPD MEJORAMIENTO PLAZA VILLA LAS ARAUCARIAS, LONCOCHE</v>
      </c>
      <c r="C904" s="10" t="str">
        <f ca="1">IFERROR(__xludf.DUMMYFUNCTION("""COMPUTED_VALUE"""),"1-SPD-2022-438")</f>
        <v>1-SPD-2022-438</v>
      </c>
      <c r="D904" s="26"/>
      <c r="E904" s="10" t="str">
        <f ca="1">IFERROR(__xludf.DUMMYFUNCTION("""COMPUTED_VALUE"""),"Guía Operativa")</f>
        <v>Guía Operativa</v>
      </c>
      <c r="F904" s="10" t="str">
        <f ca="1">IFERROR(__xludf.DUMMYFUNCTION("""COMPUTED_VALUE"""),"MUNICIPALIDAD DE LONCOCHE")</f>
        <v>MUNICIPALIDAD DE LONCOCHE</v>
      </c>
      <c r="G904" s="71">
        <f ca="1">IFERROR(__xludf.DUMMYFUNCTION("""COMPUTED_VALUE"""),74999998)</f>
        <v>74999998</v>
      </c>
      <c r="H904" s="10" t="str">
        <f ca="1">IFERROR(__xludf.DUMMYFUNCTION("""COMPUTED_VALUE"""),"Resolución")</f>
        <v>Resolución</v>
      </c>
      <c r="I904" s="10" t="str">
        <f ca="1">IFERROR(__xludf.DUMMYFUNCTION("""COMPUTED_VALUE"""),"OBRA")</f>
        <v>OBRA</v>
      </c>
      <c r="J904" s="10" t="str">
        <f ca="1">IFERROR(__xludf.DUMMYFUNCTION("""COMPUTED_VALUE"""),"Cumplir con normativa y reglamentos internos del programa en base a los objetivos.")</f>
        <v>Cumplir con normativa y reglamentos internos del programa en base a los objetivos.</v>
      </c>
      <c r="K904" s="71">
        <f ca="1">IFERROR(__xludf.DUMMYFUNCTION("""COMPUTED_VALUE"""),74999998)</f>
        <v>74999998</v>
      </c>
      <c r="L904" s="72">
        <f ca="1">IFERROR(__xludf.DUMMYFUNCTION("""COMPUTED_VALUE"""),1)</f>
        <v>1</v>
      </c>
      <c r="M904" s="10">
        <f ca="1">IFERROR(__xludf.DUMMYFUNCTION("""COMPUTED_VALUE"""),9757)</f>
        <v>9757</v>
      </c>
      <c r="N904" s="10" t="str">
        <f ca="1">IFERROR(__xludf.DUMMYFUNCTION("""COMPUTED_VALUE"""),"PMU")</f>
        <v>PMU</v>
      </c>
      <c r="O904" s="1"/>
      <c r="P904" s="1"/>
      <c r="Q904" s="1"/>
      <c r="R904" s="1"/>
      <c r="S904" s="1"/>
      <c r="T904" s="1"/>
      <c r="U904" s="1"/>
      <c r="V904" s="1"/>
      <c r="W904" s="1"/>
      <c r="X904" s="1"/>
      <c r="Y904" s="1"/>
      <c r="Z904" s="1"/>
    </row>
    <row r="905" spans="1:26" ht="12.75" customHeight="1">
      <c r="A905" s="1"/>
      <c r="B905" s="10" t="str">
        <f ca="1">IFERROR(__xludf.DUMMYFUNCTION("""COMPUTED_VALUE"""),"[SATE] CONSTRUCCIÓN SEDE SOCIAL LOS ARRAYANES, COMUNA DE ANGOL")</f>
        <v>[SATE] CONSTRUCCIÓN SEDE SOCIAL LOS ARRAYANES, COMUNA DE ANGOL</v>
      </c>
      <c r="C905" s="10" t="str">
        <f ca="1">IFERROR(__xludf.DUMMYFUNCTION("""COMPUTED_VALUE"""),"1-C-2023-128")</f>
        <v>1-C-2023-128</v>
      </c>
      <c r="D905" s="26"/>
      <c r="E905" s="10" t="str">
        <f ca="1">IFERROR(__xludf.DUMMYFUNCTION("""COMPUTED_VALUE"""),"Guía Operativa")</f>
        <v>Guía Operativa</v>
      </c>
      <c r="F905" s="10" t="str">
        <f ca="1">IFERROR(__xludf.DUMMYFUNCTION("""COMPUTED_VALUE"""),"MUNICIPALIDAD DE ANGOL")</f>
        <v>MUNICIPALIDAD DE ANGOL</v>
      </c>
      <c r="G905" s="71">
        <f ca="1">IFERROR(__xludf.DUMMYFUNCTION("""COMPUTED_VALUE"""),88264250)</f>
        <v>88264250</v>
      </c>
      <c r="H905" s="10" t="str">
        <f ca="1">IFERROR(__xludf.DUMMYFUNCTION("""COMPUTED_VALUE"""),"Resolución")</f>
        <v>Resolución</v>
      </c>
      <c r="I905" s="10" t="str">
        <f ca="1">IFERROR(__xludf.DUMMYFUNCTION("""COMPUTED_VALUE"""),"OBRA")</f>
        <v>OBRA</v>
      </c>
      <c r="J905" s="10" t="str">
        <f ca="1">IFERROR(__xludf.DUMMYFUNCTION("""COMPUTED_VALUE"""),"Cumplir con normativa y reglamentos internos del programa en base a los objetivos.")</f>
        <v>Cumplir con normativa y reglamentos internos del programa en base a los objetivos.</v>
      </c>
      <c r="K905" s="71">
        <f ca="1">IFERROR(__xludf.DUMMYFUNCTION("""COMPUTED_VALUE"""),88264250)</f>
        <v>88264250</v>
      </c>
      <c r="L905" s="72">
        <f ca="1">IFERROR(__xludf.DUMMYFUNCTION("""COMPUTED_VALUE"""),1)</f>
        <v>1</v>
      </c>
      <c r="M905" s="10">
        <f ca="1">IFERROR(__xludf.DUMMYFUNCTION("""COMPUTED_VALUE"""),9437)</f>
        <v>9437</v>
      </c>
      <c r="N905" s="10" t="str">
        <f ca="1">IFERROR(__xludf.DUMMYFUNCTION("""COMPUTED_VALUE"""),"PMU")</f>
        <v>PMU</v>
      </c>
      <c r="O905" s="1"/>
      <c r="P905" s="1"/>
      <c r="Q905" s="1"/>
      <c r="R905" s="1"/>
      <c r="S905" s="1"/>
      <c r="T905" s="1"/>
      <c r="U905" s="1"/>
      <c r="V905" s="1"/>
      <c r="W905" s="1"/>
      <c r="X905" s="1"/>
      <c r="Y905" s="1"/>
      <c r="Z905" s="1"/>
    </row>
    <row r="906" spans="1:26" ht="12.75" customHeight="1">
      <c r="A906" s="1"/>
      <c r="B906" s="10" t="str">
        <f ca="1">IFERROR(__xludf.DUMMYFUNCTION("""COMPUTED_VALUE"""),"[SATE] CONSTRUCCION Y REPOSICION DE SEÑALETICA VIAL, DEMARCACIONES Y RESALTOS REDUCTORES DE VELOCIDAD, COMUNA DE RENAICO")</f>
        <v>[SATE] CONSTRUCCION Y REPOSICION DE SEÑALETICA VIAL, DEMARCACIONES Y RESALTOS REDUCTORES DE VELOCIDAD, COMUNA DE RENAICO</v>
      </c>
      <c r="C906" s="10" t="str">
        <f ca="1">IFERROR(__xludf.DUMMYFUNCTION("""COMPUTED_VALUE"""),"1-C-2023-141")</f>
        <v>1-C-2023-141</v>
      </c>
      <c r="D906" s="26"/>
      <c r="E906" s="10" t="str">
        <f ca="1">IFERROR(__xludf.DUMMYFUNCTION("""COMPUTED_VALUE"""),"Guía Operativa")</f>
        <v>Guía Operativa</v>
      </c>
      <c r="F906" s="10" t="str">
        <f ca="1">IFERROR(__xludf.DUMMYFUNCTION("""COMPUTED_VALUE"""),"MUNICIPALIDAD DE RENAICO")</f>
        <v>MUNICIPALIDAD DE RENAICO</v>
      </c>
      <c r="G906" s="71">
        <f ca="1">IFERROR(__xludf.DUMMYFUNCTION("""COMPUTED_VALUE"""),146547197)</f>
        <v>146547197</v>
      </c>
      <c r="H906" s="10" t="str">
        <f ca="1">IFERROR(__xludf.DUMMYFUNCTION("""COMPUTED_VALUE"""),"Resolución")</f>
        <v>Resolución</v>
      </c>
      <c r="I906" s="10" t="str">
        <f ca="1">IFERROR(__xludf.DUMMYFUNCTION("""COMPUTED_VALUE"""),"OBRA")</f>
        <v>OBRA</v>
      </c>
      <c r="J906" s="10" t="str">
        <f ca="1">IFERROR(__xludf.DUMMYFUNCTION("""COMPUTED_VALUE"""),"Cumplir con normativa y reglamentos internos del programa en base a los objetivos.")</f>
        <v>Cumplir con normativa y reglamentos internos del programa en base a los objetivos.</v>
      </c>
      <c r="K906" s="71">
        <f ca="1">IFERROR(__xludf.DUMMYFUNCTION("""COMPUTED_VALUE"""),146547197)</f>
        <v>146547197</v>
      </c>
      <c r="L906" s="72">
        <f ca="1">IFERROR(__xludf.DUMMYFUNCTION("""COMPUTED_VALUE"""),1)</f>
        <v>1</v>
      </c>
      <c r="M906" s="10">
        <f ca="1">IFERROR(__xludf.DUMMYFUNCTION("""COMPUTED_VALUE"""),9428)</f>
        <v>9428</v>
      </c>
      <c r="N906" s="10" t="str">
        <f ca="1">IFERROR(__xludf.DUMMYFUNCTION("""COMPUTED_VALUE"""),"PMU")</f>
        <v>PMU</v>
      </c>
      <c r="O906" s="1"/>
      <c r="P906" s="1"/>
      <c r="Q906" s="1"/>
      <c r="R906" s="1"/>
      <c r="S906" s="1"/>
      <c r="T906" s="1"/>
      <c r="U906" s="1"/>
      <c r="V906" s="1"/>
      <c r="W906" s="1"/>
      <c r="X906" s="1"/>
      <c r="Y906" s="1"/>
      <c r="Z906" s="1"/>
    </row>
    <row r="907" spans="1:26" ht="12.75" customHeight="1">
      <c r="A907" s="1"/>
      <c r="B907" s="10" t="str">
        <f ca="1">IFERROR(__xludf.DUMMYFUNCTION("""COMPUTED_VALUE"""),"[SATE] CONSTRUCCION SEDE PORTAL LOS LAGOS, COMUNA DE RENAICO")</f>
        <v>[SATE] CONSTRUCCION SEDE PORTAL LOS LAGOS, COMUNA DE RENAICO</v>
      </c>
      <c r="C907" s="10" t="str">
        <f ca="1">IFERROR(__xludf.DUMMYFUNCTION("""COMPUTED_VALUE"""),"1-C-2023-148")</f>
        <v>1-C-2023-148</v>
      </c>
      <c r="D907" s="26"/>
      <c r="E907" s="10" t="str">
        <f ca="1">IFERROR(__xludf.DUMMYFUNCTION("""COMPUTED_VALUE"""),"Guía Operativa")</f>
        <v>Guía Operativa</v>
      </c>
      <c r="F907" s="10" t="str">
        <f ca="1">IFERROR(__xludf.DUMMYFUNCTION("""COMPUTED_VALUE"""),"MUNICIPALIDAD DE RENAICO")</f>
        <v>MUNICIPALIDAD DE RENAICO</v>
      </c>
      <c r="G907" s="71">
        <f ca="1">IFERROR(__xludf.DUMMYFUNCTION("""COMPUTED_VALUE"""),141416956)</f>
        <v>141416956</v>
      </c>
      <c r="H907" s="10" t="str">
        <f ca="1">IFERROR(__xludf.DUMMYFUNCTION("""COMPUTED_VALUE"""),"Resolución")</f>
        <v>Resolución</v>
      </c>
      <c r="I907" s="10" t="str">
        <f ca="1">IFERROR(__xludf.DUMMYFUNCTION("""COMPUTED_VALUE"""),"OBRA")</f>
        <v>OBRA</v>
      </c>
      <c r="J907" s="10" t="str">
        <f ca="1">IFERROR(__xludf.DUMMYFUNCTION("""COMPUTED_VALUE"""),"Cumplir con normativa y reglamentos internos del programa en base a los objetivos.")</f>
        <v>Cumplir con normativa y reglamentos internos del programa en base a los objetivos.</v>
      </c>
      <c r="K907" s="71">
        <f ca="1">IFERROR(__xludf.DUMMYFUNCTION("""COMPUTED_VALUE"""),141416956)</f>
        <v>141416956</v>
      </c>
      <c r="L907" s="72">
        <f ca="1">IFERROR(__xludf.DUMMYFUNCTION("""COMPUTED_VALUE"""),1)</f>
        <v>1</v>
      </c>
      <c r="M907" s="10">
        <f ca="1">IFERROR(__xludf.DUMMYFUNCTION("""COMPUTED_VALUE"""),9428)</f>
        <v>9428</v>
      </c>
      <c r="N907" s="10" t="str">
        <f ca="1">IFERROR(__xludf.DUMMYFUNCTION("""COMPUTED_VALUE"""),"PMU")</f>
        <v>PMU</v>
      </c>
      <c r="O907" s="1"/>
      <c r="P907" s="1"/>
      <c r="Q907" s="1"/>
      <c r="R907" s="1"/>
      <c r="S907" s="1"/>
      <c r="T907" s="1"/>
      <c r="U907" s="1"/>
      <c r="V907" s="1"/>
      <c r="W907" s="1"/>
      <c r="X907" s="1"/>
      <c r="Y907" s="1"/>
      <c r="Z907" s="1"/>
    </row>
    <row r="908" spans="1:26" ht="12.75" customHeight="1">
      <c r="A908" s="1"/>
      <c r="B908" s="10" t="str">
        <f ca="1">IFERROR(__xludf.DUMMYFUNCTION("""COMPUTED_VALUE"""),"CONSTRUCCION ESPACIO MULTIUSO, COMUNIDAD LORENZO NECUL, COMUNA DE PERQUENCO")</f>
        <v>CONSTRUCCION ESPACIO MULTIUSO, COMUNIDAD LORENZO NECUL, COMUNA DE PERQUENCO</v>
      </c>
      <c r="C908" s="10" t="str">
        <f ca="1">IFERROR(__xludf.DUMMYFUNCTION("""COMPUTED_VALUE"""),"1-C-2023-2205")</f>
        <v>1-C-2023-2205</v>
      </c>
      <c r="D908" s="26"/>
      <c r="E908" s="10" t="str">
        <f ca="1">IFERROR(__xludf.DUMMYFUNCTION("""COMPUTED_VALUE"""),"Guía Operativa")</f>
        <v>Guía Operativa</v>
      </c>
      <c r="F908" s="10" t="str">
        <f ca="1">IFERROR(__xludf.DUMMYFUNCTION("""COMPUTED_VALUE"""),"MUNICIPALIDAD DE PERQUENCO")</f>
        <v>MUNICIPALIDAD DE PERQUENCO</v>
      </c>
      <c r="G908" s="71">
        <f ca="1">IFERROR(__xludf.DUMMYFUNCTION("""COMPUTED_VALUE"""),160518199)</f>
        <v>160518199</v>
      </c>
      <c r="H908" s="10" t="str">
        <f ca="1">IFERROR(__xludf.DUMMYFUNCTION("""COMPUTED_VALUE"""),"Resolución")</f>
        <v>Resolución</v>
      </c>
      <c r="I908" s="10" t="str">
        <f ca="1">IFERROR(__xludf.DUMMYFUNCTION("""COMPUTED_VALUE"""),"OBRA")</f>
        <v>OBRA</v>
      </c>
      <c r="J908" s="10" t="str">
        <f ca="1">IFERROR(__xludf.DUMMYFUNCTION("""COMPUTED_VALUE"""),"Cumplir con normativa y reglamentos internos del programa en base a los objetivos.")</f>
        <v>Cumplir con normativa y reglamentos internos del programa en base a los objetivos.</v>
      </c>
      <c r="K908" s="71">
        <f ca="1">IFERROR(__xludf.DUMMYFUNCTION("""COMPUTED_VALUE"""),160518199)</f>
        <v>160518199</v>
      </c>
      <c r="L908" s="72">
        <f ca="1">IFERROR(__xludf.DUMMYFUNCTION("""COMPUTED_VALUE"""),1)</f>
        <v>1</v>
      </c>
      <c r="M908" s="10">
        <f ca="1">IFERROR(__xludf.DUMMYFUNCTION("""COMPUTED_VALUE"""),9355)</f>
        <v>9355</v>
      </c>
      <c r="N908" s="10" t="str">
        <f ca="1">IFERROR(__xludf.DUMMYFUNCTION("""COMPUTED_VALUE"""),"PMU")</f>
        <v>PMU</v>
      </c>
      <c r="O908" s="1"/>
      <c r="P908" s="1"/>
      <c r="Q908" s="1"/>
      <c r="R908" s="1"/>
      <c r="S908" s="1"/>
      <c r="T908" s="1"/>
      <c r="U908" s="1"/>
      <c r="V908" s="1"/>
      <c r="W908" s="1"/>
      <c r="X908" s="1"/>
      <c r="Y908" s="1"/>
      <c r="Z908" s="1"/>
    </row>
    <row r="909" spans="1:26" ht="12.75" customHeight="1">
      <c r="A909" s="1"/>
      <c r="B909" s="10" t="str">
        <f ca="1">IFERROR(__xludf.DUMMYFUNCTION("""COMPUTED_VALUE"""),"REPOSICIÓN Y CONSTRUCCIÓN DE CIERRE PERIMETRAL DEPENDENCIAS MUNICIPALES LOCALIDAD DE RADAL, COMUNA DE FREIRE")</f>
        <v>REPOSICIÓN Y CONSTRUCCIÓN DE CIERRE PERIMETRAL DEPENDENCIAS MUNICIPALES LOCALIDAD DE RADAL, COMUNA DE FREIRE</v>
      </c>
      <c r="C909" s="10" t="str">
        <f ca="1">IFERROR(__xludf.DUMMYFUNCTION("""COMPUTED_VALUE"""),"1-C-2023-2837")</f>
        <v>1-C-2023-2837</v>
      </c>
      <c r="D909" s="26"/>
      <c r="E909" s="10" t="str">
        <f ca="1">IFERROR(__xludf.DUMMYFUNCTION("""COMPUTED_VALUE"""),"Guía Operativa")</f>
        <v>Guía Operativa</v>
      </c>
      <c r="F909" s="10" t="str">
        <f ca="1">IFERROR(__xludf.DUMMYFUNCTION("""COMPUTED_VALUE"""),"MUNICIPALIDAD DE FREIRE")</f>
        <v>MUNICIPALIDAD DE FREIRE</v>
      </c>
      <c r="G909" s="71">
        <f ca="1">IFERROR(__xludf.DUMMYFUNCTION("""COMPUTED_VALUE"""),46054961)</f>
        <v>46054961</v>
      </c>
      <c r="H909" s="10" t="str">
        <f ca="1">IFERROR(__xludf.DUMMYFUNCTION("""COMPUTED_VALUE"""),"Resolución")</f>
        <v>Resolución</v>
      </c>
      <c r="I909" s="10" t="str">
        <f ca="1">IFERROR(__xludf.DUMMYFUNCTION("""COMPUTED_VALUE"""),"OBRA")</f>
        <v>OBRA</v>
      </c>
      <c r="J909" s="10" t="str">
        <f ca="1">IFERROR(__xludf.DUMMYFUNCTION("""COMPUTED_VALUE"""),"Cumplir con normativa y reglamentos internos del programa en base a los objetivos.")</f>
        <v>Cumplir con normativa y reglamentos internos del programa en base a los objetivos.</v>
      </c>
      <c r="K909" s="71">
        <f ca="1">IFERROR(__xludf.DUMMYFUNCTION("""COMPUTED_VALUE"""),46054961)</f>
        <v>46054961</v>
      </c>
      <c r="L909" s="72">
        <f ca="1">IFERROR(__xludf.DUMMYFUNCTION("""COMPUTED_VALUE"""),1)</f>
        <v>1</v>
      </c>
      <c r="M909" s="10">
        <f ca="1">IFERROR(__xludf.DUMMYFUNCTION("""COMPUTED_VALUE"""),9668)</f>
        <v>9668</v>
      </c>
      <c r="N909" s="10" t="str">
        <f ca="1">IFERROR(__xludf.DUMMYFUNCTION("""COMPUTED_VALUE"""),"PMU")</f>
        <v>PMU</v>
      </c>
      <c r="O909" s="1"/>
      <c r="P909" s="1"/>
      <c r="Q909" s="1"/>
      <c r="R909" s="1"/>
      <c r="S909" s="1"/>
      <c r="T909" s="1"/>
      <c r="U909" s="1"/>
      <c r="V909" s="1"/>
      <c r="W909" s="1"/>
      <c r="X909" s="1"/>
      <c r="Y909" s="1"/>
      <c r="Z909" s="1"/>
    </row>
    <row r="910" spans="1:26" ht="12.75" customHeight="1">
      <c r="A910" s="1"/>
      <c r="B910" s="10" t="str">
        <f ca="1">IFERROR(__xludf.DUMMYFUNCTION("""COMPUTED_VALUE"""),"REPOSICIÓN SEÑALETICA URBANA Y CONSTRUCCION REDUCTORES DE VELOCIDAD PAILAHUEQUE, COMUNA DE ERCILLA")</f>
        <v>REPOSICIÓN SEÑALETICA URBANA Y CONSTRUCCION REDUCTORES DE VELOCIDAD PAILAHUEQUE, COMUNA DE ERCILLA</v>
      </c>
      <c r="C910" s="10" t="str">
        <f ca="1">IFERROR(__xludf.DUMMYFUNCTION("""COMPUTED_VALUE"""),"1-C-2024-3")</f>
        <v>1-C-2024-3</v>
      </c>
      <c r="D910" s="26"/>
      <c r="E910" s="10" t="str">
        <f ca="1">IFERROR(__xludf.DUMMYFUNCTION("""COMPUTED_VALUE"""),"Guía Operativa")</f>
        <v>Guía Operativa</v>
      </c>
      <c r="F910" s="10" t="str">
        <f ca="1">IFERROR(__xludf.DUMMYFUNCTION("""COMPUTED_VALUE"""),"MUNICIPALIDAD DE ERCILLA")</f>
        <v>MUNICIPALIDAD DE ERCILLA</v>
      </c>
      <c r="G910" s="71">
        <f ca="1">IFERROR(__xludf.DUMMYFUNCTION("""COMPUTED_VALUE"""),124375443)</f>
        <v>124375443</v>
      </c>
      <c r="H910" s="10" t="str">
        <f ca="1">IFERROR(__xludf.DUMMYFUNCTION("""COMPUTED_VALUE"""),"Resolución")</f>
        <v>Resolución</v>
      </c>
      <c r="I910" s="10" t="str">
        <f ca="1">IFERROR(__xludf.DUMMYFUNCTION("""COMPUTED_VALUE"""),"OBRA")</f>
        <v>OBRA</v>
      </c>
      <c r="J910" s="10" t="str">
        <f ca="1">IFERROR(__xludf.DUMMYFUNCTION("""COMPUTED_VALUE"""),"Cumplir con normativa y reglamentos internos del programa en base a los objetivos.")</f>
        <v>Cumplir con normativa y reglamentos internos del programa en base a los objetivos.</v>
      </c>
      <c r="K910" s="71">
        <f ca="1">IFERROR(__xludf.DUMMYFUNCTION("""COMPUTED_VALUE"""),124375443)</f>
        <v>124375443</v>
      </c>
      <c r="L910" s="72">
        <f ca="1">IFERROR(__xludf.DUMMYFUNCTION("""COMPUTED_VALUE"""),1)</f>
        <v>1</v>
      </c>
      <c r="M910" s="10">
        <f ca="1">IFERROR(__xludf.DUMMYFUNCTION("""COMPUTED_VALUE"""),10006)</f>
        <v>10006</v>
      </c>
      <c r="N910" s="10" t="str">
        <f ca="1">IFERROR(__xludf.DUMMYFUNCTION("""COMPUTED_VALUE"""),"PMU")</f>
        <v>PMU</v>
      </c>
      <c r="O910" s="1"/>
      <c r="P910" s="1"/>
      <c r="Q910" s="1"/>
      <c r="R910" s="1"/>
      <c r="S910" s="1"/>
      <c r="T910" s="1"/>
      <c r="U910" s="1"/>
      <c r="V910" s="1"/>
      <c r="W910" s="1"/>
      <c r="X910" s="1"/>
      <c r="Y910" s="1"/>
      <c r="Z910" s="1"/>
    </row>
    <row r="911" spans="1:26" ht="12.75" customHeight="1">
      <c r="A911" s="1"/>
      <c r="B911" s="10" t="str">
        <f ca="1">IFERROR(__xludf.DUMMYFUNCTION("""COMPUTED_VALUE"""),"HABILITACIÓN DE BAHÍAS DE ESTACIONAMIENTOS Y CONSTRUCCIÓN DE REDUCTORES DE VELOCIDAD EN DIVERSOS SECTORES, PURÉN")</f>
        <v>HABILITACIÓN DE BAHÍAS DE ESTACIONAMIENTOS Y CONSTRUCCIÓN DE REDUCTORES DE VELOCIDAD EN DIVERSOS SECTORES, PURÉN</v>
      </c>
      <c r="C911" s="10" t="str">
        <f ca="1">IFERROR(__xludf.DUMMYFUNCTION("""COMPUTED_VALUE"""),"1-B-2024-403")</f>
        <v>1-B-2024-403</v>
      </c>
      <c r="D911" s="26"/>
      <c r="E911" s="10" t="str">
        <f ca="1">IFERROR(__xludf.DUMMYFUNCTION("""COMPUTED_VALUE"""),"Guía Operativa")</f>
        <v>Guía Operativa</v>
      </c>
      <c r="F911" s="10" t="str">
        <f ca="1">IFERROR(__xludf.DUMMYFUNCTION("""COMPUTED_VALUE"""),"MUNICIPALIDAD DE PURÉN")</f>
        <v>MUNICIPALIDAD DE PURÉN</v>
      </c>
      <c r="G911" s="71">
        <f ca="1">IFERROR(__xludf.DUMMYFUNCTION("""COMPUTED_VALUE"""),92172781)</f>
        <v>92172781</v>
      </c>
      <c r="H911" s="10" t="str">
        <f ca="1">IFERROR(__xludf.DUMMYFUNCTION("""COMPUTED_VALUE"""),"Resolución")</f>
        <v>Resolución</v>
      </c>
      <c r="I911" s="10" t="str">
        <f ca="1">IFERROR(__xludf.DUMMYFUNCTION("""COMPUTED_VALUE"""),"OBRA")</f>
        <v>OBRA</v>
      </c>
      <c r="J911" s="10" t="str">
        <f ca="1">IFERROR(__xludf.DUMMYFUNCTION("""COMPUTED_VALUE"""),"Cumplir con normativa y reglamentos internos del programa en base a los objetivos.")</f>
        <v>Cumplir con normativa y reglamentos internos del programa en base a los objetivos.</v>
      </c>
      <c r="K911" s="71">
        <f ca="1">IFERROR(__xludf.DUMMYFUNCTION("""COMPUTED_VALUE"""),92172781)</f>
        <v>92172781</v>
      </c>
      <c r="L911" s="72">
        <f ca="1">IFERROR(__xludf.DUMMYFUNCTION("""COMPUTED_VALUE"""),1)</f>
        <v>1</v>
      </c>
      <c r="M911" s="10">
        <f ca="1">IFERROR(__xludf.DUMMYFUNCTION("""COMPUTED_VALUE"""),10375)</f>
        <v>10375</v>
      </c>
      <c r="N911" s="10" t="str">
        <f ca="1">IFERROR(__xludf.DUMMYFUNCTION("""COMPUTED_VALUE"""),"PMU")</f>
        <v>PMU</v>
      </c>
      <c r="O911" s="1"/>
      <c r="P911" s="1"/>
      <c r="Q911" s="1"/>
      <c r="R911" s="1"/>
      <c r="S911" s="1"/>
      <c r="T911" s="1"/>
      <c r="U911" s="1"/>
      <c r="V911" s="1"/>
      <c r="W911" s="1"/>
      <c r="X911" s="1"/>
      <c r="Y911" s="1"/>
      <c r="Z911" s="1"/>
    </row>
    <row r="912" spans="1:26" ht="12.75" customHeight="1">
      <c r="A912" s="1"/>
      <c r="B912" s="10" t="str">
        <f ca="1">IFERROR(__xludf.DUMMYFUNCTION("""COMPUTED_VALUE"""),"INSTALACIÓN LUMINARIA LED ORNAMENTALES CALLE JANEQUEO, COMUNA DE ERCILLA")</f>
        <v>INSTALACIÓN LUMINARIA LED ORNAMENTALES CALLE JANEQUEO, COMUNA DE ERCILLA</v>
      </c>
      <c r="C912" s="10" t="str">
        <f ca="1">IFERROR(__xludf.DUMMYFUNCTION("""COMPUTED_VALUE"""),"1-B-2024-416")</f>
        <v>1-B-2024-416</v>
      </c>
      <c r="D912" s="26"/>
      <c r="E912" s="10" t="str">
        <f ca="1">IFERROR(__xludf.DUMMYFUNCTION("""COMPUTED_VALUE"""),"Guía Operativa")</f>
        <v>Guía Operativa</v>
      </c>
      <c r="F912" s="10" t="str">
        <f ca="1">IFERROR(__xludf.DUMMYFUNCTION("""COMPUTED_VALUE"""),"MUNICIPALIDAD DE ERCILLA")</f>
        <v>MUNICIPALIDAD DE ERCILLA</v>
      </c>
      <c r="G912" s="71">
        <f ca="1">IFERROR(__xludf.DUMMYFUNCTION("""COMPUTED_VALUE"""),91899745)</f>
        <v>91899745</v>
      </c>
      <c r="H912" s="10" t="str">
        <f ca="1">IFERROR(__xludf.DUMMYFUNCTION("""COMPUTED_VALUE"""),"Resolución")</f>
        <v>Resolución</v>
      </c>
      <c r="I912" s="10" t="str">
        <f ca="1">IFERROR(__xludf.DUMMYFUNCTION("""COMPUTED_VALUE"""),"OBRA")</f>
        <v>OBRA</v>
      </c>
      <c r="J912" s="10" t="str">
        <f ca="1">IFERROR(__xludf.DUMMYFUNCTION("""COMPUTED_VALUE"""),"Cumplir con normativa y reglamentos internos del programa en base a los objetivos.")</f>
        <v>Cumplir con normativa y reglamentos internos del programa en base a los objetivos.</v>
      </c>
      <c r="K912" s="71">
        <f ca="1">IFERROR(__xludf.DUMMYFUNCTION("""COMPUTED_VALUE"""),91899745)</f>
        <v>91899745</v>
      </c>
      <c r="L912" s="72">
        <f ca="1">IFERROR(__xludf.DUMMYFUNCTION("""COMPUTED_VALUE"""),1)</f>
        <v>1</v>
      </c>
      <c r="M912" s="10">
        <f ca="1">IFERROR(__xludf.DUMMYFUNCTION("""COMPUTED_VALUE"""),10365)</f>
        <v>10365</v>
      </c>
      <c r="N912" s="10" t="str">
        <f ca="1">IFERROR(__xludf.DUMMYFUNCTION("""COMPUTED_VALUE"""),"PMU")</f>
        <v>PMU</v>
      </c>
      <c r="O912" s="1"/>
      <c r="P912" s="1"/>
      <c r="Q912" s="1"/>
      <c r="R912" s="1"/>
      <c r="S912" s="1"/>
      <c r="T912" s="1"/>
      <c r="U912" s="1"/>
      <c r="V912" s="1"/>
      <c r="W912" s="1"/>
      <c r="X912" s="1"/>
      <c r="Y912" s="1"/>
      <c r="Z912" s="1"/>
    </row>
    <row r="913" spans="1:26" ht="12.75" customHeight="1">
      <c r="A913" s="1"/>
      <c r="B913" s="10" t="str">
        <f ca="1">IFERROR(__xludf.DUMMYFUNCTION("""COMPUTED_VALUE"""),"CONSTRUCCIÓN SEDE SOCIAL VILLA CORDILLERA, COMUNA DE ANGOL")</f>
        <v>CONSTRUCCIÓN SEDE SOCIAL VILLA CORDILLERA, COMUNA DE ANGOL</v>
      </c>
      <c r="C913" s="10" t="str">
        <f ca="1">IFERROR(__xludf.DUMMYFUNCTION("""COMPUTED_VALUE"""),"1-B-2024-439")</f>
        <v>1-B-2024-439</v>
      </c>
      <c r="D913" s="26"/>
      <c r="E913" s="10" t="str">
        <f ca="1">IFERROR(__xludf.DUMMYFUNCTION("""COMPUTED_VALUE"""),"Guía Operativa")</f>
        <v>Guía Operativa</v>
      </c>
      <c r="F913" s="10" t="str">
        <f ca="1">IFERROR(__xludf.DUMMYFUNCTION("""COMPUTED_VALUE"""),"MUNICIPALIDAD DE ANGOL")</f>
        <v>MUNICIPALIDAD DE ANGOL</v>
      </c>
      <c r="G913" s="71">
        <f ca="1">IFERROR(__xludf.DUMMYFUNCTION("""COMPUTED_VALUE"""),92172781)</f>
        <v>92172781</v>
      </c>
      <c r="H913" s="10" t="str">
        <f ca="1">IFERROR(__xludf.DUMMYFUNCTION("""COMPUTED_VALUE"""),"Resolución")</f>
        <v>Resolución</v>
      </c>
      <c r="I913" s="10" t="str">
        <f ca="1">IFERROR(__xludf.DUMMYFUNCTION("""COMPUTED_VALUE"""),"OBRA")</f>
        <v>OBRA</v>
      </c>
      <c r="J913" s="10" t="str">
        <f ca="1">IFERROR(__xludf.DUMMYFUNCTION("""COMPUTED_VALUE"""),"Cumplir con normativa y reglamentos internos del programa en base a los objetivos.")</f>
        <v>Cumplir con normativa y reglamentos internos del programa en base a los objetivos.</v>
      </c>
      <c r="K913" s="71">
        <f ca="1">IFERROR(__xludf.DUMMYFUNCTION("""COMPUTED_VALUE"""),92172781)</f>
        <v>92172781</v>
      </c>
      <c r="L913" s="72">
        <f ca="1">IFERROR(__xludf.DUMMYFUNCTION("""COMPUTED_VALUE"""),1)</f>
        <v>1</v>
      </c>
      <c r="M913" s="10">
        <f ca="1">IFERROR(__xludf.DUMMYFUNCTION("""COMPUTED_VALUE"""),9182)</f>
        <v>9182</v>
      </c>
      <c r="N913" s="10" t="str">
        <f ca="1">IFERROR(__xludf.DUMMYFUNCTION("""COMPUTED_VALUE"""),"PMU")</f>
        <v>PMU</v>
      </c>
      <c r="O913" s="1"/>
      <c r="P913" s="1"/>
      <c r="Q913" s="1"/>
      <c r="R913" s="1"/>
      <c r="S913" s="1"/>
      <c r="T913" s="1"/>
      <c r="U913" s="1"/>
      <c r="V913" s="1"/>
      <c r="W913" s="1"/>
      <c r="X913" s="1"/>
      <c r="Y913" s="1"/>
      <c r="Z913" s="1"/>
    </row>
    <row r="914" spans="1:26" ht="12.75" customHeight="1">
      <c r="A914" s="1"/>
      <c r="B914" s="10" t="str">
        <f ca="1">IFERROR(__xludf.DUMMYFUNCTION("""COMPUTED_VALUE"""),"MEJORAMIENTO CEMENTERIO MINAS HUIMPIL, COMUNA DE GALVARINO")</f>
        <v>MEJORAMIENTO CEMENTERIO MINAS HUIMPIL, COMUNA DE GALVARINO</v>
      </c>
      <c r="C914" s="10" t="str">
        <f ca="1">IFERROR(__xludf.DUMMYFUNCTION("""COMPUTED_VALUE"""),"1-B-2024-461")</f>
        <v>1-B-2024-461</v>
      </c>
      <c r="D914" s="26"/>
      <c r="E914" s="10" t="str">
        <f ca="1">IFERROR(__xludf.DUMMYFUNCTION("""COMPUTED_VALUE"""),"Guía Operativa")</f>
        <v>Guía Operativa</v>
      </c>
      <c r="F914" s="10" t="str">
        <f ca="1">IFERROR(__xludf.DUMMYFUNCTION("""COMPUTED_VALUE"""),"MUNICIPALIDAD DE GALVARINO")</f>
        <v>MUNICIPALIDAD DE GALVARINO</v>
      </c>
      <c r="G914" s="71">
        <f ca="1">IFERROR(__xludf.DUMMYFUNCTION("""COMPUTED_VALUE"""),92172781)</f>
        <v>92172781</v>
      </c>
      <c r="H914" s="10" t="str">
        <f ca="1">IFERROR(__xludf.DUMMYFUNCTION("""COMPUTED_VALUE"""),"Resolución")</f>
        <v>Resolución</v>
      </c>
      <c r="I914" s="10" t="str">
        <f ca="1">IFERROR(__xludf.DUMMYFUNCTION("""COMPUTED_VALUE"""),"OBRA")</f>
        <v>OBRA</v>
      </c>
      <c r="J914" s="10" t="str">
        <f ca="1">IFERROR(__xludf.DUMMYFUNCTION("""COMPUTED_VALUE"""),"Cumplir con normativa y reglamentos internos del programa en base a los objetivos.")</f>
        <v>Cumplir con normativa y reglamentos internos del programa en base a los objetivos.</v>
      </c>
      <c r="K914" s="71">
        <f ca="1">IFERROR(__xludf.DUMMYFUNCTION("""COMPUTED_VALUE"""),92172781)</f>
        <v>92172781</v>
      </c>
      <c r="L914" s="72">
        <f ca="1">IFERROR(__xludf.DUMMYFUNCTION("""COMPUTED_VALUE"""),1)</f>
        <v>1</v>
      </c>
      <c r="M914" s="10">
        <f ca="1">IFERROR(__xludf.DUMMYFUNCTION("""COMPUTED_VALUE"""),10393)</f>
        <v>10393</v>
      </c>
      <c r="N914" s="10" t="str">
        <f ca="1">IFERROR(__xludf.DUMMYFUNCTION("""COMPUTED_VALUE"""),"PMU")</f>
        <v>PMU</v>
      </c>
      <c r="O914" s="1"/>
      <c r="P914" s="1"/>
      <c r="Q914" s="1"/>
      <c r="R914" s="1"/>
      <c r="S914" s="1"/>
      <c r="T914" s="1"/>
      <c r="U914" s="1"/>
      <c r="V914" s="1"/>
      <c r="W914" s="1"/>
      <c r="X914" s="1"/>
      <c r="Y914" s="1"/>
      <c r="Z914" s="1"/>
    </row>
    <row r="915" spans="1:26" ht="12.75" customHeight="1">
      <c r="A915" s="1"/>
      <c r="B915" s="10" t="str">
        <f ca="1">IFERROR(__xludf.DUMMYFUNCTION("""COMPUTED_VALUE"""),"""REPOSICIÓN VEREDAS, SECTOR GIMNASIO PATRICIO PHILLIPS, COMUNA DE TRAIGUÉN""")</f>
        <v>"REPOSICIÓN VEREDAS, SECTOR GIMNASIO PATRICIO PHILLIPS, COMUNA DE TRAIGUÉN"</v>
      </c>
      <c r="C915" s="10" t="str">
        <f ca="1">IFERROR(__xludf.DUMMYFUNCTION("""COMPUTED_VALUE"""),"1-B-2024-464")</f>
        <v>1-B-2024-464</v>
      </c>
      <c r="D915" s="26"/>
      <c r="E915" s="10" t="str">
        <f ca="1">IFERROR(__xludf.DUMMYFUNCTION("""COMPUTED_VALUE"""),"Guía Operativa")</f>
        <v>Guía Operativa</v>
      </c>
      <c r="F915" s="10" t="str">
        <f ca="1">IFERROR(__xludf.DUMMYFUNCTION("""COMPUTED_VALUE"""),"MUNICIPALIDAD DE TRAIGUÉN")</f>
        <v>MUNICIPALIDAD DE TRAIGUÉN</v>
      </c>
      <c r="G915" s="71">
        <f ca="1">IFERROR(__xludf.DUMMYFUNCTION("""COMPUTED_VALUE"""),92172781)</f>
        <v>92172781</v>
      </c>
      <c r="H915" s="10" t="str">
        <f ca="1">IFERROR(__xludf.DUMMYFUNCTION("""COMPUTED_VALUE"""),"Resolución")</f>
        <v>Resolución</v>
      </c>
      <c r="I915" s="10" t="str">
        <f ca="1">IFERROR(__xludf.DUMMYFUNCTION("""COMPUTED_VALUE"""),"OBRA")</f>
        <v>OBRA</v>
      </c>
      <c r="J915" s="10" t="str">
        <f ca="1">IFERROR(__xludf.DUMMYFUNCTION("""COMPUTED_VALUE"""),"Cumplir con normativa y reglamentos internos del programa en base a los objetivos.")</f>
        <v>Cumplir con normativa y reglamentos internos del programa en base a los objetivos.</v>
      </c>
      <c r="K915" s="71">
        <f ca="1">IFERROR(__xludf.DUMMYFUNCTION("""COMPUTED_VALUE"""),92172781)</f>
        <v>92172781</v>
      </c>
      <c r="L915" s="72">
        <f ca="1">IFERROR(__xludf.DUMMYFUNCTION("""COMPUTED_VALUE"""),1)</f>
        <v>1</v>
      </c>
      <c r="M915" s="10">
        <f ca="1">IFERROR(__xludf.DUMMYFUNCTION("""COMPUTED_VALUE"""),10390)</f>
        <v>10390</v>
      </c>
      <c r="N915" s="10" t="str">
        <f ca="1">IFERROR(__xludf.DUMMYFUNCTION("""COMPUTED_VALUE"""),"PMU")</f>
        <v>PMU</v>
      </c>
      <c r="O915" s="1"/>
      <c r="P915" s="1"/>
      <c r="Q915" s="1"/>
      <c r="R915" s="1"/>
      <c r="S915" s="1"/>
      <c r="T915" s="1"/>
      <c r="U915" s="1"/>
      <c r="V915" s="1"/>
      <c r="W915" s="1"/>
      <c r="X915" s="1"/>
      <c r="Y915" s="1"/>
      <c r="Z915" s="1"/>
    </row>
    <row r="916" spans="1:26" ht="12.75" customHeight="1">
      <c r="A916" s="1"/>
      <c r="B916" s="10" t="str">
        <f ca="1">IFERROR(__xludf.DUMMYFUNCTION("""COMPUTED_VALUE"""),"CONSTRUCCIÓN DE GARITAS CAMINERAS, RUTA VILLARRICA - LICAN RAY, COMUNA DE VILLARRICA")</f>
        <v>CONSTRUCCIÓN DE GARITAS CAMINERAS, RUTA VILLARRICA - LICAN RAY, COMUNA DE VILLARRICA</v>
      </c>
      <c r="C916" s="10" t="str">
        <f ca="1">IFERROR(__xludf.DUMMYFUNCTION("""COMPUTED_VALUE"""),"1-B-2024-504")</f>
        <v>1-B-2024-504</v>
      </c>
      <c r="D916" s="26"/>
      <c r="E916" s="10" t="str">
        <f ca="1">IFERROR(__xludf.DUMMYFUNCTION("""COMPUTED_VALUE"""),"Guía Operativa")</f>
        <v>Guía Operativa</v>
      </c>
      <c r="F916" s="10" t="str">
        <f ca="1">IFERROR(__xludf.DUMMYFUNCTION("""COMPUTED_VALUE"""),"MUNICIPALIDAD DE VILLARRICA")</f>
        <v>MUNICIPALIDAD DE VILLARRICA</v>
      </c>
      <c r="G916" s="71">
        <f ca="1">IFERROR(__xludf.DUMMYFUNCTION("""COMPUTED_VALUE"""),92172781)</f>
        <v>92172781</v>
      </c>
      <c r="H916" s="10" t="str">
        <f ca="1">IFERROR(__xludf.DUMMYFUNCTION("""COMPUTED_VALUE"""),"Resolución")</f>
        <v>Resolución</v>
      </c>
      <c r="I916" s="10" t="str">
        <f ca="1">IFERROR(__xludf.DUMMYFUNCTION("""COMPUTED_VALUE"""),"OBRA")</f>
        <v>OBRA</v>
      </c>
      <c r="J916" s="10" t="str">
        <f ca="1">IFERROR(__xludf.DUMMYFUNCTION("""COMPUTED_VALUE"""),"Cumplir con normativa y reglamentos internos del programa en base a los objetivos.")</f>
        <v>Cumplir con normativa y reglamentos internos del programa en base a los objetivos.</v>
      </c>
      <c r="K916" s="71">
        <f ca="1">IFERROR(__xludf.DUMMYFUNCTION("""COMPUTED_VALUE"""),92172781)</f>
        <v>92172781</v>
      </c>
      <c r="L916" s="72">
        <f ca="1">IFERROR(__xludf.DUMMYFUNCTION("""COMPUTED_VALUE"""),1)</f>
        <v>1</v>
      </c>
      <c r="M916" s="10">
        <f ca="1">IFERROR(__xludf.DUMMYFUNCTION("""COMPUTED_VALUE"""),10341)</f>
        <v>10341</v>
      </c>
      <c r="N916" s="10" t="str">
        <f ca="1">IFERROR(__xludf.DUMMYFUNCTION("""COMPUTED_VALUE"""),"PMU")</f>
        <v>PMU</v>
      </c>
      <c r="O916" s="1"/>
      <c r="P916" s="1"/>
      <c r="Q916" s="1"/>
      <c r="R916" s="1"/>
      <c r="S916" s="1"/>
      <c r="T916" s="1"/>
      <c r="U916" s="1"/>
      <c r="V916" s="1"/>
      <c r="W916" s="1"/>
      <c r="X916" s="1"/>
      <c r="Y916" s="1"/>
      <c r="Z916" s="1"/>
    </row>
    <row r="917" spans="1:26" ht="12.75" customHeight="1">
      <c r="A917" s="1"/>
      <c r="B917" s="10" t="str">
        <f ca="1">IFERROR(__xludf.DUMMYFUNCTION("""COMPUTED_VALUE"""),"MEJORAMIENTO ESPACIO PÚBLICO ACCESO QUINO; CALLE G. MISTRAL LADO SUR Y Q. BARBOSA LADO PONIENTE, QUINO, VICTORIA")</f>
        <v>MEJORAMIENTO ESPACIO PÚBLICO ACCESO QUINO; CALLE G. MISTRAL LADO SUR Y Q. BARBOSA LADO PONIENTE, QUINO, VICTORIA</v>
      </c>
      <c r="C917" s="10" t="str">
        <f ca="1">IFERROR(__xludf.DUMMYFUNCTION("""COMPUTED_VALUE"""),"1-B-2024-505")</f>
        <v>1-B-2024-505</v>
      </c>
      <c r="D917" s="26"/>
      <c r="E917" s="10" t="str">
        <f ca="1">IFERROR(__xludf.DUMMYFUNCTION("""COMPUTED_VALUE"""),"Guía Operativa")</f>
        <v>Guía Operativa</v>
      </c>
      <c r="F917" s="10" t="str">
        <f ca="1">IFERROR(__xludf.DUMMYFUNCTION("""COMPUTED_VALUE"""),"MUNICIPALIDAD DE VICTORIA")</f>
        <v>MUNICIPALIDAD DE VICTORIA</v>
      </c>
      <c r="G917" s="71">
        <f ca="1">IFERROR(__xludf.DUMMYFUNCTION("""COMPUTED_VALUE"""),92172781)</f>
        <v>92172781</v>
      </c>
      <c r="H917" s="10" t="str">
        <f ca="1">IFERROR(__xludf.DUMMYFUNCTION("""COMPUTED_VALUE"""),"Resolución")</f>
        <v>Resolución</v>
      </c>
      <c r="I917" s="10" t="str">
        <f ca="1">IFERROR(__xludf.DUMMYFUNCTION("""COMPUTED_VALUE"""),"OBRA")</f>
        <v>OBRA</v>
      </c>
      <c r="J917" s="10" t="str">
        <f ca="1">IFERROR(__xludf.DUMMYFUNCTION("""COMPUTED_VALUE"""),"Cumplir con normativa y reglamentos internos del programa en base a los objetivos.")</f>
        <v>Cumplir con normativa y reglamentos internos del programa en base a los objetivos.</v>
      </c>
      <c r="K917" s="71">
        <f ca="1">IFERROR(__xludf.DUMMYFUNCTION("""COMPUTED_VALUE"""),92172781)</f>
        <v>92172781</v>
      </c>
      <c r="L917" s="72">
        <f ca="1">IFERROR(__xludf.DUMMYFUNCTION("""COMPUTED_VALUE"""),1)</f>
        <v>1</v>
      </c>
      <c r="M917" s="10">
        <f ca="1">IFERROR(__xludf.DUMMYFUNCTION("""COMPUTED_VALUE"""),10398)</f>
        <v>10398</v>
      </c>
      <c r="N917" s="10" t="str">
        <f ca="1">IFERROR(__xludf.DUMMYFUNCTION("""COMPUTED_VALUE"""),"PMU")</f>
        <v>PMU</v>
      </c>
      <c r="O917" s="1"/>
      <c r="P917" s="1"/>
      <c r="Q917" s="1"/>
      <c r="R917" s="1"/>
      <c r="S917" s="1"/>
      <c r="T917" s="1"/>
      <c r="U917" s="1"/>
      <c r="V917" s="1"/>
      <c r="W917" s="1"/>
      <c r="X917" s="1"/>
      <c r="Y917" s="1"/>
      <c r="Z917" s="1"/>
    </row>
    <row r="918" spans="1:26" ht="12.75" customHeight="1">
      <c r="A918" s="1"/>
      <c r="B918" s="10" t="str">
        <f ca="1">IFERROR(__xludf.DUMMYFUNCTION("""COMPUTED_VALUE"""),"CONSTRUCCIÓN DE RUKA INTERCULTURAL EN CESFAM MONSEÑOR VALECH, SECTOR BOYECO, TEMUCO")</f>
        <v>CONSTRUCCIÓN DE RUKA INTERCULTURAL EN CESFAM MONSEÑOR VALECH, SECTOR BOYECO, TEMUCO</v>
      </c>
      <c r="C918" s="10" t="str">
        <f ca="1">IFERROR(__xludf.DUMMYFUNCTION("""COMPUTED_VALUE"""),"1-B-2024-512")</f>
        <v>1-B-2024-512</v>
      </c>
      <c r="D918" s="26"/>
      <c r="E918" s="10" t="str">
        <f ca="1">IFERROR(__xludf.DUMMYFUNCTION("""COMPUTED_VALUE"""),"Guía Operativa")</f>
        <v>Guía Operativa</v>
      </c>
      <c r="F918" s="10" t="str">
        <f ca="1">IFERROR(__xludf.DUMMYFUNCTION("""COMPUTED_VALUE"""),"MUNICIPALIDAD DE TEMUCO")</f>
        <v>MUNICIPALIDAD DE TEMUCO</v>
      </c>
      <c r="G918" s="71">
        <f ca="1">IFERROR(__xludf.DUMMYFUNCTION("""COMPUTED_VALUE"""),92172789)</f>
        <v>92172789</v>
      </c>
      <c r="H918" s="10" t="str">
        <f ca="1">IFERROR(__xludf.DUMMYFUNCTION("""COMPUTED_VALUE"""),"Resolución")</f>
        <v>Resolución</v>
      </c>
      <c r="I918" s="10" t="str">
        <f ca="1">IFERROR(__xludf.DUMMYFUNCTION("""COMPUTED_VALUE"""),"OBRA")</f>
        <v>OBRA</v>
      </c>
      <c r="J918" s="10" t="str">
        <f ca="1">IFERROR(__xludf.DUMMYFUNCTION("""COMPUTED_VALUE"""),"Cumplir con normativa y reglamentos internos del programa en base a los objetivos.")</f>
        <v>Cumplir con normativa y reglamentos internos del programa en base a los objetivos.</v>
      </c>
      <c r="K918" s="71">
        <f ca="1">IFERROR(__xludf.DUMMYFUNCTION("""COMPUTED_VALUE"""),92172789)</f>
        <v>92172789</v>
      </c>
      <c r="L918" s="72">
        <f ca="1">IFERROR(__xludf.DUMMYFUNCTION("""COMPUTED_VALUE"""),1)</f>
        <v>1</v>
      </c>
      <c r="M918" s="10">
        <f ca="1">IFERROR(__xludf.DUMMYFUNCTION("""COMPUTED_VALUE"""),10357)</f>
        <v>10357</v>
      </c>
      <c r="N918" s="10" t="str">
        <f ca="1">IFERROR(__xludf.DUMMYFUNCTION("""COMPUTED_VALUE"""),"PMU")</f>
        <v>PMU</v>
      </c>
      <c r="O918" s="1"/>
      <c r="P918" s="1"/>
      <c r="Q918" s="1"/>
      <c r="R918" s="1"/>
      <c r="S918" s="1"/>
      <c r="T918" s="1"/>
      <c r="U918" s="1"/>
      <c r="V918" s="1"/>
      <c r="W918" s="1"/>
      <c r="X918" s="1"/>
      <c r="Y918" s="1"/>
      <c r="Z918" s="1"/>
    </row>
    <row r="919" spans="1:26" ht="12.75" customHeight="1">
      <c r="A919" s="1"/>
      <c r="B919" s="10" t="str">
        <f ca="1">IFERROR(__xludf.DUMMYFUNCTION("""COMPUTED_VALUE"""),"MEJORAMIENTO EQUIPAMIENTO PARQUE MUNICIPAL LUMACO")</f>
        <v>MEJORAMIENTO EQUIPAMIENTO PARQUE MUNICIPAL LUMACO</v>
      </c>
      <c r="C919" s="10" t="str">
        <f ca="1">IFERROR(__xludf.DUMMYFUNCTION("""COMPUTED_VALUE"""),"1-B-2024-525")</f>
        <v>1-B-2024-525</v>
      </c>
      <c r="D919" s="26"/>
      <c r="E919" s="10" t="str">
        <f ca="1">IFERROR(__xludf.DUMMYFUNCTION("""COMPUTED_VALUE"""),"Guía Operativa")</f>
        <v>Guía Operativa</v>
      </c>
      <c r="F919" s="10" t="str">
        <f ca="1">IFERROR(__xludf.DUMMYFUNCTION("""COMPUTED_VALUE"""),"MUNICIPALIDAD DE LUMACO")</f>
        <v>MUNICIPALIDAD DE LUMACO</v>
      </c>
      <c r="G919" s="71">
        <f ca="1">IFERROR(__xludf.DUMMYFUNCTION("""COMPUTED_VALUE"""),92172779)</f>
        <v>92172779</v>
      </c>
      <c r="H919" s="10" t="str">
        <f ca="1">IFERROR(__xludf.DUMMYFUNCTION("""COMPUTED_VALUE"""),"Resolución")</f>
        <v>Resolución</v>
      </c>
      <c r="I919" s="10" t="str">
        <f ca="1">IFERROR(__xludf.DUMMYFUNCTION("""COMPUTED_VALUE"""),"OBRA")</f>
        <v>OBRA</v>
      </c>
      <c r="J919" s="10" t="str">
        <f ca="1">IFERROR(__xludf.DUMMYFUNCTION("""COMPUTED_VALUE"""),"Cumplir con normativa y reglamentos internos del programa en base a los objetivos.")</f>
        <v>Cumplir con normativa y reglamentos internos del programa en base a los objetivos.</v>
      </c>
      <c r="K919" s="71">
        <f ca="1">IFERROR(__xludf.DUMMYFUNCTION("""COMPUTED_VALUE"""),92172779)</f>
        <v>92172779</v>
      </c>
      <c r="L919" s="72">
        <f ca="1">IFERROR(__xludf.DUMMYFUNCTION("""COMPUTED_VALUE"""),1)</f>
        <v>1</v>
      </c>
      <c r="M919" s="10">
        <f ca="1">IFERROR(__xludf.DUMMYFUNCTION("""COMPUTED_VALUE"""),10378)</f>
        <v>10378</v>
      </c>
      <c r="N919" s="10" t="str">
        <f ca="1">IFERROR(__xludf.DUMMYFUNCTION("""COMPUTED_VALUE"""),"PMU")</f>
        <v>PMU</v>
      </c>
      <c r="O919" s="1"/>
      <c r="P919" s="1"/>
      <c r="Q919" s="1"/>
      <c r="R919" s="1"/>
      <c r="S919" s="1"/>
      <c r="T919" s="1"/>
      <c r="U919" s="1"/>
      <c r="V919" s="1"/>
      <c r="W919" s="1"/>
      <c r="X919" s="1"/>
      <c r="Y919" s="1"/>
      <c r="Z919" s="1"/>
    </row>
    <row r="920" spans="1:26" ht="12.75" customHeight="1">
      <c r="A920" s="1"/>
      <c r="B920" s="10" t="str">
        <f ca="1">IFERROR(__xludf.DUMMYFUNCTION("""COMPUTED_VALUE"""),"MEJORAMIENTO SISTEMA DE ILUMINACIÓN ESTADIO MUNICIPAL DE FRUTILLAR")</f>
        <v>MEJORAMIENTO SISTEMA DE ILUMINACIÓN ESTADIO MUNICIPAL DE FRUTILLAR</v>
      </c>
      <c r="C920" s="10" t="str">
        <f ca="1">IFERROR(__xludf.DUMMYFUNCTION("""COMPUTED_VALUE"""),"1-C-2023-7")</f>
        <v>1-C-2023-7</v>
      </c>
      <c r="D920" s="26"/>
      <c r="E920" s="10" t="str">
        <f ca="1">IFERROR(__xludf.DUMMYFUNCTION("""COMPUTED_VALUE"""),"Guía Operativa")</f>
        <v>Guía Operativa</v>
      </c>
      <c r="F920" s="10" t="str">
        <f ca="1">IFERROR(__xludf.DUMMYFUNCTION("""COMPUTED_VALUE"""),"MUNICIPALIDAD DE FRUTILLAR")</f>
        <v>MUNICIPALIDAD DE FRUTILLAR</v>
      </c>
      <c r="G920" s="71">
        <f ca="1">IFERROR(__xludf.DUMMYFUNCTION("""COMPUTED_VALUE"""),120042529)</f>
        <v>120042529</v>
      </c>
      <c r="H920" s="10" t="str">
        <f ca="1">IFERROR(__xludf.DUMMYFUNCTION("""COMPUTED_VALUE"""),"Resolución")</f>
        <v>Resolución</v>
      </c>
      <c r="I920" s="10" t="str">
        <f ca="1">IFERROR(__xludf.DUMMYFUNCTION("""COMPUTED_VALUE"""),"OBRA")</f>
        <v>OBRA</v>
      </c>
      <c r="J920" s="10" t="str">
        <f ca="1">IFERROR(__xludf.DUMMYFUNCTION("""COMPUTED_VALUE"""),"Cumplir con normativa y reglamentos internos del programa en base a los objetivos.")</f>
        <v>Cumplir con normativa y reglamentos internos del programa en base a los objetivos.</v>
      </c>
      <c r="K920" s="71">
        <f ca="1">IFERROR(__xludf.DUMMYFUNCTION("""COMPUTED_VALUE"""),60021265)</f>
        <v>60021265</v>
      </c>
      <c r="L920" s="72">
        <f ca="1">IFERROR(__xludf.DUMMYFUNCTION("""COMPUTED_VALUE"""),0.50000000416519)</f>
        <v>0.50000000416518997</v>
      </c>
      <c r="M920" s="10">
        <f ca="1">IFERROR(__xludf.DUMMYFUNCTION("""COMPUTED_VALUE"""),10015)</f>
        <v>10015</v>
      </c>
      <c r="N920" s="10" t="str">
        <f ca="1">IFERROR(__xludf.DUMMYFUNCTION("""COMPUTED_VALUE"""),"PMU")</f>
        <v>PMU</v>
      </c>
      <c r="O920" s="1"/>
      <c r="P920" s="1"/>
      <c r="Q920" s="1"/>
      <c r="R920" s="1"/>
      <c r="S920" s="1"/>
      <c r="T920" s="1"/>
      <c r="U920" s="1"/>
      <c r="V920" s="1"/>
      <c r="W920" s="1"/>
      <c r="X920" s="1"/>
      <c r="Y920" s="1"/>
      <c r="Z920" s="1"/>
    </row>
    <row r="921" spans="1:26" ht="12.75" customHeight="1">
      <c r="A921" s="1"/>
      <c r="B921" s="10" t="str">
        <f ca="1">IFERROR(__xludf.DUMMYFUNCTION("""COMPUTED_VALUE"""),"MEJORAMIENTO MULTICANCHA OTTO NEUMAN, COMUNA DE PURRANQUE")</f>
        <v>MEJORAMIENTO MULTICANCHA OTTO NEUMAN, COMUNA DE PURRANQUE</v>
      </c>
      <c r="C921" s="10" t="str">
        <f ca="1">IFERROR(__xludf.DUMMYFUNCTION("""COMPUTED_VALUE"""),"1-C-2023-777")</f>
        <v>1-C-2023-777</v>
      </c>
      <c r="D921" s="26"/>
      <c r="E921" s="10" t="str">
        <f ca="1">IFERROR(__xludf.DUMMYFUNCTION("""COMPUTED_VALUE"""),"Guía Operativa")</f>
        <v>Guía Operativa</v>
      </c>
      <c r="F921" s="10" t="str">
        <f ca="1">IFERROR(__xludf.DUMMYFUNCTION("""COMPUTED_VALUE"""),"MUNICIPALIDAD DE PURRANQUE")</f>
        <v>MUNICIPALIDAD DE PURRANQUE</v>
      </c>
      <c r="G921" s="71">
        <f ca="1">IFERROR(__xludf.DUMMYFUNCTION("""COMPUTED_VALUE"""),79541645)</f>
        <v>79541645</v>
      </c>
      <c r="H921" s="10" t="str">
        <f ca="1">IFERROR(__xludf.DUMMYFUNCTION("""COMPUTED_VALUE"""),"Resolución")</f>
        <v>Resolución</v>
      </c>
      <c r="I921" s="10" t="str">
        <f ca="1">IFERROR(__xludf.DUMMYFUNCTION("""COMPUTED_VALUE"""),"OBRA")</f>
        <v>OBRA</v>
      </c>
      <c r="J921" s="10" t="str">
        <f ca="1">IFERROR(__xludf.DUMMYFUNCTION("""COMPUTED_VALUE"""),"Cumplir con normativa y reglamentos internos del programa en base a los objetivos.")</f>
        <v>Cumplir con normativa y reglamentos internos del programa en base a los objetivos.</v>
      </c>
      <c r="K921" s="71">
        <f ca="1">IFERROR(__xludf.DUMMYFUNCTION("""COMPUTED_VALUE"""),39770823)</f>
        <v>39770823</v>
      </c>
      <c r="L921" s="72">
        <f ca="1">IFERROR(__xludf.DUMMYFUNCTION("""COMPUTED_VALUE"""),0.500000006286015)</f>
        <v>0.50000000628601504</v>
      </c>
      <c r="M921" s="10">
        <f ca="1">IFERROR(__xludf.DUMMYFUNCTION("""COMPUTED_VALUE"""),9889)</f>
        <v>9889</v>
      </c>
      <c r="N921" s="10" t="str">
        <f ca="1">IFERROR(__xludf.DUMMYFUNCTION("""COMPUTED_VALUE"""),"PMU")</f>
        <v>PMU</v>
      </c>
      <c r="O921" s="1"/>
      <c r="P921" s="1"/>
      <c r="Q921" s="1"/>
      <c r="R921" s="1"/>
      <c r="S921" s="1"/>
      <c r="T921" s="1"/>
      <c r="U921" s="1"/>
      <c r="V921" s="1"/>
      <c r="W921" s="1"/>
      <c r="X921" s="1"/>
      <c r="Y921" s="1"/>
      <c r="Z921" s="1"/>
    </row>
    <row r="922" spans="1:26" ht="12.75" customHeight="1">
      <c r="A922" s="1"/>
      <c r="B922" s="10" t="str">
        <f ca="1">IFERROR(__xludf.DUMMYFUNCTION("""COMPUTED_VALUE"""),"SATE CONSTRUCCION GARITAS CAMINERAS SECTOR NORTE, COMUNA DE QUINCHAO")</f>
        <v>SATE CONSTRUCCION GARITAS CAMINERAS SECTOR NORTE, COMUNA DE QUINCHAO</v>
      </c>
      <c r="C922" s="10" t="str">
        <f ca="1">IFERROR(__xludf.DUMMYFUNCTION("""COMPUTED_VALUE"""),"1-C-2023-1652")</f>
        <v>1-C-2023-1652</v>
      </c>
      <c r="D922" s="26"/>
      <c r="E922" s="10" t="str">
        <f ca="1">IFERROR(__xludf.DUMMYFUNCTION("""COMPUTED_VALUE"""),"Guía Operativa")</f>
        <v>Guía Operativa</v>
      </c>
      <c r="F922" s="10" t="str">
        <f ca="1">IFERROR(__xludf.DUMMYFUNCTION("""COMPUTED_VALUE"""),"MUNICIPALIDAD DE QUINCHAO")</f>
        <v>MUNICIPALIDAD DE QUINCHAO</v>
      </c>
      <c r="G922" s="71">
        <f ca="1">IFERROR(__xludf.DUMMYFUNCTION("""COMPUTED_VALUE"""),140789563)</f>
        <v>140789563</v>
      </c>
      <c r="H922" s="10" t="str">
        <f ca="1">IFERROR(__xludf.DUMMYFUNCTION("""COMPUTED_VALUE"""),"Resolución")</f>
        <v>Resolución</v>
      </c>
      <c r="I922" s="10" t="str">
        <f ca="1">IFERROR(__xludf.DUMMYFUNCTION("""COMPUTED_VALUE"""),"OBRA")</f>
        <v>OBRA</v>
      </c>
      <c r="J922" s="10" t="str">
        <f ca="1">IFERROR(__xludf.DUMMYFUNCTION("""COMPUTED_VALUE"""),"Cumplir con normativa y reglamentos internos del programa en base a los objetivos.")</f>
        <v>Cumplir con normativa y reglamentos internos del programa en base a los objetivos.</v>
      </c>
      <c r="K922" s="71">
        <f ca="1">IFERROR(__xludf.DUMMYFUNCTION("""COMPUTED_VALUE"""),70394782)</f>
        <v>70394782</v>
      </c>
      <c r="L922" s="72">
        <f ca="1">IFERROR(__xludf.DUMMYFUNCTION("""COMPUTED_VALUE"""),0.500000003551399)</f>
        <v>0.50000000355139895</v>
      </c>
      <c r="M922" s="10">
        <f ca="1">IFERROR(__xludf.DUMMYFUNCTION("""COMPUTED_VALUE"""),10008)</f>
        <v>10008</v>
      </c>
      <c r="N922" s="10" t="str">
        <f ca="1">IFERROR(__xludf.DUMMYFUNCTION("""COMPUTED_VALUE"""),"PMU")</f>
        <v>PMU</v>
      </c>
      <c r="O922" s="1"/>
      <c r="P922" s="1"/>
      <c r="Q922" s="1"/>
      <c r="R922" s="1"/>
      <c r="S922" s="1"/>
      <c r="T922" s="1"/>
      <c r="U922" s="1"/>
      <c r="V922" s="1"/>
      <c r="W922" s="1"/>
      <c r="X922" s="1"/>
      <c r="Y922" s="1"/>
      <c r="Z922" s="1"/>
    </row>
    <row r="923" spans="1:26" ht="12.75" customHeight="1">
      <c r="A923" s="1"/>
      <c r="B923" s="10" t="str">
        <f ca="1">IFERROR(__xludf.DUMMYFUNCTION("""COMPUTED_VALUE"""),"[SATE] CONSTRUCCIÓN SEDE SOCIAL CLUB DEPORTIVO PAMPAS GRANDES, COMUNA DE PUERTO OCTAY")</f>
        <v>[SATE] CONSTRUCCIÓN SEDE SOCIAL CLUB DEPORTIVO PAMPAS GRANDES, COMUNA DE PUERTO OCTAY</v>
      </c>
      <c r="C923" s="10" t="str">
        <f ca="1">IFERROR(__xludf.DUMMYFUNCTION("""COMPUTED_VALUE"""),"1-C-2023-1718")</f>
        <v>1-C-2023-1718</v>
      </c>
      <c r="D923" s="26"/>
      <c r="E923" s="10" t="str">
        <f ca="1">IFERROR(__xludf.DUMMYFUNCTION("""COMPUTED_VALUE"""),"Guía Operativa")</f>
        <v>Guía Operativa</v>
      </c>
      <c r="F923" s="10" t="str">
        <f ca="1">IFERROR(__xludf.DUMMYFUNCTION("""COMPUTED_VALUE"""),"MUNICIPALIDAD DE PUERTO OCTAY")</f>
        <v>MUNICIPALIDAD DE PUERTO OCTAY</v>
      </c>
      <c r="G923" s="71">
        <f ca="1">IFERROR(__xludf.DUMMYFUNCTION("""COMPUTED_VALUE"""),160279302)</f>
        <v>160279302</v>
      </c>
      <c r="H923" s="10" t="str">
        <f ca="1">IFERROR(__xludf.DUMMYFUNCTION("""COMPUTED_VALUE"""),"Resolución")</f>
        <v>Resolución</v>
      </c>
      <c r="I923" s="10" t="str">
        <f ca="1">IFERROR(__xludf.DUMMYFUNCTION("""COMPUTED_VALUE"""),"OBRA")</f>
        <v>OBRA</v>
      </c>
      <c r="J923" s="10" t="str">
        <f ca="1">IFERROR(__xludf.DUMMYFUNCTION("""COMPUTED_VALUE"""),"Cumplir con normativa y reglamentos internos del programa en base a los objetivos.")</f>
        <v>Cumplir con normativa y reglamentos internos del programa en base a los objetivos.</v>
      </c>
      <c r="K923" s="71">
        <f ca="1">IFERROR(__xludf.DUMMYFUNCTION("""COMPUTED_VALUE"""),80139651)</f>
        <v>80139651</v>
      </c>
      <c r="L923" s="72">
        <f ca="1">IFERROR(__xludf.DUMMYFUNCTION("""COMPUTED_VALUE"""),0.5)</f>
        <v>0.5</v>
      </c>
      <c r="M923" s="10">
        <f ca="1">IFERROR(__xludf.DUMMYFUNCTION("""COMPUTED_VALUE"""),10026)</f>
        <v>10026</v>
      </c>
      <c r="N923" s="10" t="str">
        <f ca="1">IFERROR(__xludf.DUMMYFUNCTION("""COMPUTED_VALUE"""),"PMU")</f>
        <v>PMU</v>
      </c>
      <c r="O923" s="1"/>
      <c r="P923" s="1"/>
      <c r="Q923" s="1"/>
      <c r="R923" s="1"/>
      <c r="S923" s="1"/>
      <c r="T923" s="1"/>
      <c r="U923" s="1"/>
      <c r="V923" s="1"/>
      <c r="W923" s="1"/>
      <c r="X923" s="1"/>
      <c r="Y923" s="1"/>
      <c r="Z923" s="1"/>
    </row>
    <row r="924" spans="1:26" ht="12.75" customHeight="1">
      <c r="A924" s="1"/>
      <c r="B924" s="10" t="str">
        <f ca="1">IFERROR(__xludf.DUMMYFUNCTION("""COMPUTED_VALUE"""),"CONSTRUCCION CANCHA SINTETICA L.A.B.O., CURACO DE VELEZ")</f>
        <v>CONSTRUCCION CANCHA SINTETICA L.A.B.O., CURACO DE VELEZ</v>
      </c>
      <c r="C924" s="10" t="str">
        <f ca="1">IFERROR(__xludf.DUMMYFUNCTION("""COMPUTED_VALUE"""),"1-C-2023-1820")</f>
        <v>1-C-2023-1820</v>
      </c>
      <c r="D924" s="26"/>
      <c r="E924" s="10" t="str">
        <f ca="1">IFERROR(__xludf.DUMMYFUNCTION("""COMPUTED_VALUE"""),"Guía Operativa")</f>
        <v>Guía Operativa</v>
      </c>
      <c r="F924" s="10" t="str">
        <f ca="1">IFERROR(__xludf.DUMMYFUNCTION("""COMPUTED_VALUE"""),"MUNICIPALIDAD DE CURACO DE VÉLEZ")</f>
        <v>MUNICIPALIDAD DE CURACO DE VÉLEZ</v>
      </c>
      <c r="G924" s="71">
        <f ca="1">IFERROR(__xludf.DUMMYFUNCTION("""COMPUTED_VALUE"""),153050997)</f>
        <v>153050997</v>
      </c>
      <c r="H924" s="10" t="str">
        <f ca="1">IFERROR(__xludf.DUMMYFUNCTION("""COMPUTED_VALUE"""),"Resolución")</f>
        <v>Resolución</v>
      </c>
      <c r="I924" s="10" t="str">
        <f ca="1">IFERROR(__xludf.DUMMYFUNCTION("""COMPUTED_VALUE"""),"OBRA")</f>
        <v>OBRA</v>
      </c>
      <c r="J924" s="10" t="str">
        <f ca="1">IFERROR(__xludf.DUMMYFUNCTION("""COMPUTED_VALUE"""),"Cumplir con normativa y reglamentos internos del programa en base a los objetivos.")</f>
        <v>Cumplir con normativa y reglamentos internos del programa en base a los objetivos.</v>
      </c>
      <c r="K924" s="71">
        <f ca="1">IFERROR(__xludf.DUMMYFUNCTION("""COMPUTED_VALUE"""),76525499)</f>
        <v>76525499</v>
      </c>
      <c r="L924" s="72">
        <f ca="1">IFERROR(__xludf.DUMMYFUNCTION("""COMPUTED_VALUE"""),0.500000003266885)</f>
        <v>0.50000000326688498</v>
      </c>
      <c r="M924" s="10">
        <f ca="1">IFERROR(__xludf.DUMMYFUNCTION("""COMPUTED_VALUE"""),10383)</f>
        <v>10383</v>
      </c>
      <c r="N924" s="10" t="str">
        <f ca="1">IFERROR(__xludf.DUMMYFUNCTION("""COMPUTED_VALUE"""),"PMU")</f>
        <v>PMU</v>
      </c>
      <c r="O924" s="1"/>
      <c r="P924" s="1"/>
      <c r="Q924" s="1"/>
      <c r="R924" s="1"/>
      <c r="S924" s="1"/>
      <c r="T924" s="1"/>
      <c r="U924" s="1"/>
      <c r="V924" s="1"/>
      <c r="W924" s="1"/>
      <c r="X924" s="1"/>
      <c r="Y924" s="1"/>
      <c r="Z924" s="1"/>
    </row>
    <row r="925" spans="1:26" ht="12.75" customHeight="1">
      <c r="A925" s="1"/>
      <c r="B925" s="10" t="str">
        <f ca="1">IFERROR(__xludf.DUMMYFUNCTION("""COMPUTED_VALUE"""),"MEJORAMIENTO Y CONSERVACIÓN ESTADIO JOEL FRITZ, COMUNA DE ANCUD")</f>
        <v>MEJORAMIENTO Y CONSERVACIÓN ESTADIO JOEL FRITZ, COMUNA DE ANCUD</v>
      </c>
      <c r="C925" s="10" t="str">
        <f ca="1">IFERROR(__xludf.DUMMYFUNCTION("""COMPUTED_VALUE"""),"1-C-2023-2672")</f>
        <v>1-C-2023-2672</v>
      </c>
      <c r="D925" s="26"/>
      <c r="E925" s="10" t="str">
        <f ca="1">IFERROR(__xludf.DUMMYFUNCTION("""COMPUTED_VALUE"""),"Guía Operativa")</f>
        <v>Guía Operativa</v>
      </c>
      <c r="F925" s="10" t="str">
        <f ca="1">IFERROR(__xludf.DUMMYFUNCTION("""COMPUTED_VALUE"""),"MUNICIPALIDAD DE ANCUD")</f>
        <v>MUNICIPALIDAD DE ANCUD</v>
      </c>
      <c r="G925" s="71">
        <f ca="1">IFERROR(__xludf.DUMMYFUNCTION("""COMPUTED_VALUE"""),153397054)</f>
        <v>153397054</v>
      </c>
      <c r="H925" s="10" t="str">
        <f ca="1">IFERROR(__xludf.DUMMYFUNCTION("""COMPUTED_VALUE"""),"Resolución")</f>
        <v>Resolución</v>
      </c>
      <c r="I925" s="10" t="str">
        <f ca="1">IFERROR(__xludf.DUMMYFUNCTION("""COMPUTED_VALUE"""),"OBRA")</f>
        <v>OBRA</v>
      </c>
      <c r="J925" s="10" t="str">
        <f ca="1">IFERROR(__xludf.DUMMYFUNCTION("""COMPUTED_VALUE"""),"Cumplir con normativa y reglamentos internos del programa en base a los objetivos.")</f>
        <v>Cumplir con normativa y reglamentos internos del programa en base a los objetivos.</v>
      </c>
      <c r="K925" s="71">
        <f ca="1">IFERROR(__xludf.DUMMYFUNCTION("""COMPUTED_VALUE"""),76698527)</f>
        <v>76698527</v>
      </c>
      <c r="L925" s="72">
        <f ca="1">IFERROR(__xludf.DUMMYFUNCTION("""COMPUTED_VALUE"""),0.5)</f>
        <v>0.5</v>
      </c>
      <c r="M925" s="10">
        <f ca="1">IFERROR(__xludf.DUMMYFUNCTION("""COMPUTED_VALUE"""),10024)</f>
        <v>10024</v>
      </c>
      <c r="N925" s="10" t="str">
        <f ca="1">IFERROR(__xludf.DUMMYFUNCTION("""COMPUTED_VALUE"""),"PMU")</f>
        <v>PMU</v>
      </c>
      <c r="O925" s="1"/>
      <c r="P925" s="1"/>
      <c r="Q925" s="1"/>
      <c r="R925" s="1"/>
      <c r="S925" s="1"/>
      <c r="T925" s="1"/>
      <c r="U925" s="1"/>
      <c r="V925" s="1"/>
      <c r="W925" s="1"/>
      <c r="X925" s="1"/>
      <c r="Y925" s="1"/>
      <c r="Z925" s="1"/>
    </row>
    <row r="926" spans="1:26" ht="12.75" customHeight="1">
      <c r="A926" s="1"/>
      <c r="B926" s="10" t="str">
        <f ca="1">IFERROR(__xludf.DUMMYFUNCTION("""COMPUTED_VALUE"""),"MEJORAMIENTO CALLE 21 DE MAYO EN NUEVA BRAUNAU, COMUNA DE PUERTO VARAS")</f>
        <v>MEJORAMIENTO CALLE 21 DE MAYO EN NUEVA BRAUNAU, COMUNA DE PUERTO VARAS</v>
      </c>
      <c r="C926" s="10" t="str">
        <f ca="1">IFERROR(__xludf.DUMMYFUNCTION("""COMPUTED_VALUE"""),"1-C-2023-3102")</f>
        <v>1-C-2023-3102</v>
      </c>
      <c r="D926" s="26"/>
      <c r="E926" s="10" t="str">
        <f ca="1">IFERROR(__xludf.DUMMYFUNCTION("""COMPUTED_VALUE"""),"Guía Operativa")</f>
        <v>Guía Operativa</v>
      </c>
      <c r="F926" s="10" t="str">
        <f ca="1">IFERROR(__xludf.DUMMYFUNCTION("""COMPUTED_VALUE"""),"MUNICIPALIDAD DE PUERTO VARAS")</f>
        <v>MUNICIPALIDAD DE PUERTO VARAS</v>
      </c>
      <c r="G926" s="71">
        <f ca="1">IFERROR(__xludf.DUMMYFUNCTION("""COMPUTED_VALUE"""),101729507)</f>
        <v>101729507</v>
      </c>
      <c r="H926" s="10" t="str">
        <f ca="1">IFERROR(__xludf.DUMMYFUNCTION("""COMPUTED_VALUE"""),"Resolución")</f>
        <v>Resolución</v>
      </c>
      <c r="I926" s="10" t="str">
        <f ca="1">IFERROR(__xludf.DUMMYFUNCTION("""COMPUTED_VALUE"""),"OBRA")</f>
        <v>OBRA</v>
      </c>
      <c r="J926" s="10" t="str">
        <f ca="1">IFERROR(__xludf.DUMMYFUNCTION("""COMPUTED_VALUE"""),"Cumplir con normativa y reglamentos internos del programa en base a los objetivos.")</f>
        <v>Cumplir con normativa y reglamentos internos del programa en base a los objetivos.</v>
      </c>
      <c r="K926" s="71">
        <f ca="1">IFERROR(__xludf.DUMMYFUNCTION("""COMPUTED_VALUE"""),50864754)</f>
        <v>50864754</v>
      </c>
      <c r="L926" s="72">
        <f ca="1">IFERROR(__xludf.DUMMYFUNCTION("""COMPUTED_VALUE"""),0.500000004914994)</f>
        <v>0.50000000491499397</v>
      </c>
      <c r="M926" s="10">
        <f ca="1">IFERROR(__xludf.DUMMYFUNCTION("""COMPUTED_VALUE"""),10012)</f>
        <v>10012</v>
      </c>
      <c r="N926" s="10" t="str">
        <f ca="1">IFERROR(__xludf.DUMMYFUNCTION("""COMPUTED_VALUE"""),"PMU")</f>
        <v>PMU</v>
      </c>
      <c r="O926" s="1"/>
      <c r="P926" s="1"/>
      <c r="Q926" s="1"/>
      <c r="R926" s="1"/>
      <c r="S926" s="1"/>
      <c r="T926" s="1"/>
      <c r="U926" s="1"/>
      <c r="V926" s="1"/>
      <c r="W926" s="1"/>
      <c r="X926" s="1"/>
      <c r="Y926" s="1"/>
      <c r="Z926" s="1"/>
    </row>
    <row r="927" spans="1:26" ht="12.75" customHeight="1">
      <c r="A927" s="1"/>
      <c r="B927" s="10" t="str">
        <f ca="1">IFERROR(__xludf.DUMMYFUNCTION("""COMPUTED_VALUE"""),"CONSTRUCCIÓN PATIO TECHADO ESCUELA MONTEMAR, COMUNA DE QUEMCHI.")</f>
        <v>CONSTRUCCIÓN PATIO TECHADO ESCUELA MONTEMAR, COMUNA DE QUEMCHI.</v>
      </c>
      <c r="C927" s="10" t="str">
        <f ca="1">IFERROR(__xludf.DUMMYFUNCTION("""COMPUTED_VALUE"""),"1-C-2023-3339")</f>
        <v>1-C-2023-3339</v>
      </c>
      <c r="D927" s="26"/>
      <c r="E927" s="10" t="str">
        <f ca="1">IFERROR(__xludf.DUMMYFUNCTION("""COMPUTED_VALUE"""),"Guía Operativa")</f>
        <v>Guía Operativa</v>
      </c>
      <c r="F927" s="10" t="str">
        <f ca="1">IFERROR(__xludf.DUMMYFUNCTION("""COMPUTED_VALUE"""),"MUNICIPALIDAD DE QUEMCHI")</f>
        <v>MUNICIPALIDAD DE QUEMCHI</v>
      </c>
      <c r="G927" s="71">
        <f ca="1">IFERROR(__xludf.DUMMYFUNCTION("""COMPUTED_VALUE"""),150599074)</f>
        <v>150599074</v>
      </c>
      <c r="H927" s="10" t="str">
        <f ca="1">IFERROR(__xludf.DUMMYFUNCTION("""COMPUTED_VALUE"""),"Resolución")</f>
        <v>Resolución</v>
      </c>
      <c r="I927" s="10" t="str">
        <f ca="1">IFERROR(__xludf.DUMMYFUNCTION("""COMPUTED_VALUE"""),"OBRA")</f>
        <v>OBRA</v>
      </c>
      <c r="J927" s="10" t="str">
        <f ca="1">IFERROR(__xludf.DUMMYFUNCTION("""COMPUTED_VALUE"""),"Cumplir con normativa y reglamentos internos del programa en base a los objetivos.")</f>
        <v>Cumplir con normativa y reglamentos internos del programa en base a los objetivos.</v>
      </c>
      <c r="K927" s="71">
        <f ca="1">IFERROR(__xludf.DUMMYFUNCTION("""COMPUTED_VALUE"""),75299537)</f>
        <v>75299537</v>
      </c>
      <c r="L927" s="72">
        <f ca="1">IFERROR(__xludf.DUMMYFUNCTION("""COMPUTED_VALUE"""),0.5)</f>
        <v>0.5</v>
      </c>
      <c r="M927" s="10">
        <f ca="1">IFERROR(__xludf.DUMMYFUNCTION("""COMPUTED_VALUE"""),10010)</f>
        <v>10010</v>
      </c>
      <c r="N927" s="10" t="str">
        <f ca="1">IFERROR(__xludf.DUMMYFUNCTION("""COMPUTED_VALUE"""),"PMU")</f>
        <v>PMU</v>
      </c>
      <c r="O927" s="1"/>
      <c r="P927" s="1"/>
      <c r="Q927" s="1"/>
      <c r="R927" s="1"/>
      <c r="S927" s="1"/>
      <c r="T927" s="1"/>
      <c r="U927" s="1"/>
      <c r="V927" s="1"/>
      <c r="W927" s="1"/>
      <c r="X927" s="1"/>
      <c r="Y927" s="1"/>
      <c r="Z927" s="1"/>
    </row>
    <row r="928" spans="1:26" ht="12.75" customHeight="1">
      <c r="A928" s="1"/>
      <c r="B928" s="10" t="str">
        <f ca="1">IFERROR(__xludf.DUMMYFUNCTION("""COMPUTED_VALUE"""),"CONSTRUCCIÓN MULTICANCHA BRISAS DE MIRASUR 2")</f>
        <v>CONSTRUCCIÓN MULTICANCHA BRISAS DE MIRASUR 2</v>
      </c>
      <c r="C928" s="10" t="str">
        <f ca="1">IFERROR(__xludf.DUMMYFUNCTION("""COMPUTED_VALUE"""),"1-C-2023-3444")</f>
        <v>1-C-2023-3444</v>
      </c>
      <c r="D928" s="26"/>
      <c r="E928" s="10" t="str">
        <f ca="1">IFERROR(__xludf.DUMMYFUNCTION("""COMPUTED_VALUE"""),"Guía Operativa")</f>
        <v>Guía Operativa</v>
      </c>
      <c r="F928" s="10" t="str">
        <f ca="1">IFERROR(__xludf.DUMMYFUNCTION("""COMPUTED_VALUE"""),"MUNICIPALIDAD DE OSORNO")</f>
        <v>MUNICIPALIDAD DE OSORNO</v>
      </c>
      <c r="G928" s="71">
        <f ca="1">IFERROR(__xludf.DUMMYFUNCTION("""COMPUTED_VALUE"""),75623762)</f>
        <v>75623762</v>
      </c>
      <c r="H928" s="10" t="str">
        <f ca="1">IFERROR(__xludf.DUMMYFUNCTION("""COMPUTED_VALUE"""),"Resolución")</f>
        <v>Resolución</v>
      </c>
      <c r="I928" s="10" t="str">
        <f ca="1">IFERROR(__xludf.DUMMYFUNCTION("""COMPUTED_VALUE"""),"OBRA")</f>
        <v>OBRA</v>
      </c>
      <c r="J928" s="10" t="str">
        <f ca="1">IFERROR(__xludf.DUMMYFUNCTION("""COMPUTED_VALUE"""),"Cumplir con normativa y reglamentos internos del programa en base a los objetivos.")</f>
        <v>Cumplir con normativa y reglamentos internos del programa en base a los objetivos.</v>
      </c>
      <c r="K928" s="71">
        <f ca="1">IFERROR(__xludf.DUMMYFUNCTION("""COMPUTED_VALUE"""),37811881)</f>
        <v>37811881</v>
      </c>
      <c r="L928" s="72">
        <f ca="1">IFERROR(__xludf.DUMMYFUNCTION("""COMPUTED_VALUE"""),0.5)</f>
        <v>0.5</v>
      </c>
      <c r="M928" s="10">
        <f ca="1">IFERROR(__xludf.DUMMYFUNCTION("""COMPUTED_VALUE"""),10018)</f>
        <v>10018</v>
      </c>
      <c r="N928" s="10" t="str">
        <f ca="1">IFERROR(__xludf.DUMMYFUNCTION("""COMPUTED_VALUE"""),"PMU")</f>
        <v>PMU</v>
      </c>
      <c r="O928" s="1"/>
      <c r="P928" s="1"/>
      <c r="Q928" s="1"/>
      <c r="R928" s="1"/>
      <c r="S928" s="1"/>
      <c r="T928" s="1"/>
      <c r="U928" s="1"/>
      <c r="V928" s="1"/>
      <c r="W928" s="1"/>
      <c r="X928" s="1"/>
      <c r="Y928" s="1"/>
      <c r="Z928" s="1"/>
    </row>
    <row r="929" spans="1:26" ht="12.75" customHeight="1">
      <c r="A929" s="1"/>
      <c r="B929" s="10" t="str">
        <f ca="1">IFERROR(__xludf.DUMMYFUNCTION("""COMPUTED_VALUE"""),"MEJORAMIENTO ESTADIO DE TEGUALDA")</f>
        <v>MEJORAMIENTO ESTADIO DE TEGUALDA</v>
      </c>
      <c r="C929" s="10" t="str">
        <f ca="1">IFERROR(__xludf.DUMMYFUNCTION("""COMPUTED_VALUE"""),"1-C-2024-211")</f>
        <v>1-C-2024-211</v>
      </c>
      <c r="D929" s="26"/>
      <c r="E929" s="10" t="str">
        <f ca="1">IFERROR(__xludf.DUMMYFUNCTION("""COMPUTED_VALUE"""),"Guía Operativa")</f>
        <v>Guía Operativa</v>
      </c>
      <c r="F929" s="10" t="str">
        <f ca="1">IFERROR(__xludf.DUMMYFUNCTION("""COMPUTED_VALUE"""),"MUNICIPALIDAD DE FRESIA")</f>
        <v>MUNICIPALIDAD DE FRESIA</v>
      </c>
      <c r="G929" s="71">
        <f ca="1">IFERROR(__xludf.DUMMYFUNCTION("""COMPUTED_VALUE"""),161664998)</f>
        <v>161664998</v>
      </c>
      <c r="H929" s="10" t="str">
        <f ca="1">IFERROR(__xludf.DUMMYFUNCTION("""COMPUTED_VALUE"""),"Resolución")</f>
        <v>Resolución</v>
      </c>
      <c r="I929" s="10" t="str">
        <f ca="1">IFERROR(__xludf.DUMMYFUNCTION("""COMPUTED_VALUE"""),"OBRA")</f>
        <v>OBRA</v>
      </c>
      <c r="J929" s="10" t="str">
        <f ca="1">IFERROR(__xludf.DUMMYFUNCTION("""COMPUTED_VALUE"""),"Cumplir con normativa y reglamentos internos del programa en base a los objetivos.")</f>
        <v>Cumplir con normativa y reglamentos internos del programa en base a los objetivos.</v>
      </c>
      <c r="K929" s="71">
        <f ca="1">IFERROR(__xludf.DUMMYFUNCTION("""COMPUTED_VALUE"""),80832499)</f>
        <v>80832499</v>
      </c>
      <c r="L929" s="72">
        <f ca="1">IFERROR(__xludf.DUMMYFUNCTION("""COMPUTED_VALUE"""),0.5)</f>
        <v>0.5</v>
      </c>
      <c r="M929" s="10">
        <f ca="1">IFERROR(__xludf.DUMMYFUNCTION("""COMPUTED_VALUE"""),10025)</f>
        <v>10025</v>
      </c>
      <c r="N929" s="10" t="str">
        <f ca="1">IFERROR(__xludf.DUMMYFUNCTION("""COMPUTED_VALUE"""),"PMU")</f>
        <v>PMU</v>
      </c>
      <c r="O929" s="1"/>
      <c r="P929" s="1"/>
      <c r="Q929" s="1"/>
      <c r="R929" s="1"/>
      <c r="S929" s="1"/>
      <c r="T929" s="1"/>
      <c r="U929" s="1"/>
      <c r="V929" s="1"/>
      <c r="W929" s="1"/>
      <c r="X929" s="1"/>
      <c r="Y929" s="1"/>
      <c r="Z929" s="1"/>
    </row>
    <row r="930" spans="1:26" ht="12.75" customHeight="1">
      <c r="A930" s="1"/>
      <c r="B930" s="10" t="str">
        <f ca="1">IFERROR(__xludf.DUMMYFUNCTION("""COMPUTED_VALUE"""),"CONSTRUCCIÓN PASARELA PEATONAL EL BLANCO SECTOR ESPOLÓN, FUTALEUFÚ")</f>
        <v>CONSTRUCCIÓN PASARELA PEATONAL EL BLANCO SECTOR ESPOLÓN, FUTALEUFÚ</v>
      </c>
      <c r="C930" s="10" t="str">
        <f ca="1">IFERROR(__xludf.DUMMYFUNCTION("""COMPUTED_VALUE"""),"1-C-2024-231")</f>
        <v>1-C-2024-231</v>
      </c>
      <c r="D930" s="26"/>
      <c r="E930" s="10" t="str">
        <f ca="1">IFERROR(__xludf.DUMMYFUNCTION("""COMPUTED_VALUE"""),"Guía Operativa")</f>
        <v>Guía Operativa</v>
      </c>
      <c r="F930" s="10" t="str">
        <f ca="1">IFERROR(__xludf.DUMMYFUNCTION("""COMPUTED_VALUE"""),"MUNICIPALIDAD DE FUTALEUFÚ")</f>
        <v>MUNICIPALIDAD DE FUTALEUFÚ</v>
      </c>
      <c r="G930" s="71">
        <f ca="1">IFERROR(__xludf.DUMMYFUNCTION("""COMPUTED_VALUE"""),161664499)</f>
        <v>161664499</v>
      </c>
      <c r="H930" s="10" t="str">
        <f ca="1">IFERROR(__xludf.DUMMYFUNCTION("""COMPUTED_VALUE"""),"Resolución")</f>
        <v>Resolución</v>
      </c>
      <c r="I930" s="10" t="str">
        <f ca="1">IFERROR(__xludf.DUMMYFUNCTION("""COMPUTED_VALUE"""),"OBRA")</f>
        <v>OBRA</v>
      </c>
      <c r="J930" s="10" t="str">
        <f ca="1">IFERROR(__xludf.DUMMYFUNCTION("""COMPUTED_VALUE"""),"Cumplir con normativa y reglamentos internos del programa en base a los objetivos.")</f>
        <v>Cumplir con normativa y reglamentos internos del programa en base a los objetivos.</v>
      </c>
      <c r="K930" s="71">
        <f ca="1">IFERROR(__xludf.DUMMYFUNCTION("""COMPUTED_VALUE"""),80832250)</f>
        <v>80832250</v>
      </c>
      <c r="L930" s="72">
        <f ca="1">IFERROR(__xludf.DUMMYFUNCTION("""COMPUTED_VALUE"""),0.500000003092825)</f>
        <v>0.500000003092825</v>
      </c>
      <c r="M930" s="10">
        <f ca="1">IFERROR(__xludf.DUMMYFUNCTION("""COMPUTED_VALUE"""),10014)</f>
        <v>10014</v>
      </c>
      <c r="N930" s="10" t="str">
        <f ca="1">IFERROR(__xludf.DUMMYFUNCTION("""COMPUTED_VALUE"""),"PMU")</f>
        <v>PMU</v>
      </c>
      <c r="O930" s="1"/>
      <c r="P930" s="1"/>
      <c r="Q930" s="1"/>
      <c r="R930" s="1"/>
      <c r="S930" s="1"/>
      <c r="T930" s="1"/>
      <c r="U930" s="1"/>
      <c r="V930" s="1"/>
      <c r="W930" s="1"/>
      <c r="X930" s="1"/>
      <c r="Y930" s="1"/>
      <c r="Z930" s="1"/>
    </row>
    <row r="931" spans="1:26" ht="12.75" customHeight="1">
      <c r="A931" s="1"/>
      <c r="B931" s="10" t="str">
        <f ca="1">IFERROR(__xludf.DUMMYFUNCTION("""COMPUTED_VALUE"""),"PAVIMENTACIÓN Y AGUAS LLUVIAS CALLE COMERCIO, MAICOLPUÉ")</f>
        <v>PAVIMENTACIÓN Y AGUAS LLUVIAS CALLE COMERCIO, MAICOLPUÉ</v>
      </c>
      <c r="C931" s="10" t="str">
        <f ca="1">IFERROR(__xludf.DUMMYFUNCTION("""COMPUTED_VALUE"""),"1-C-2024-277")</f>
        <v>1-C-2024-277</v>
      </c>
      <c r="D931" s="26"/>
      <c r="E931" s="10" t="str">
        <f ca="1">IFERROR(__xludf.DUMMYFUNCTION("""COMPUTED_VALUE"""),"Guía Operativa")</f>
        <v>Guía Operativa</v>
      </c>
      <c r="F931" s="10" t="str">
        <f ca="1">IFERROR(__xludf.DUMMYFUNCTION("""COMPUTED_VALUE"""),"MUNICIPALIDAD DE SAN JUAN DE LA COSTA")</f>
        <v>MUNICIPALIDAD DE SAN JUAN DE LA COSTA</v>
      </c>
      <c r="G931" s="71">
        <f ca="1">IFERROR(__xludf.DUMMYFUNCTION("""COMPUTED_VALUE"""),70393060)</f>
        <v>70393060</v>
      </c>
      <c r="H931" s="10" t="str">
        <f ca="1">IFERROR(__xludf.DUMMYFUNCTION("""COMPUTED_VALUE"""),"Resolución")</f>
        <v>Resolución</v>
      </c>
      <c r="I931" s="10" t="str">
        <f ca="1">IFERROR(__xludf.DUMMYFUNCTION("""COMPUTED_VALUE"""),"OBRA")</f>
        <v>OBRA</v>
      </c>
      <c r="J931" s="10" t="str">
        <f ca="1">IFERROR(__xludf.DUMMYFUNCTION("""COMPUTED_VALUE"""),"Cumplir con normativa y reglamentos internos del programa en base a los objetivos.")</f>
        <v>Cumplir con normativa y reglamentos internos del programa en base a los objetivos.</v>
      </c>
      <c r="K931" s="71">
        <f ca="1">IFERROR(__xludf.DUMMYFUNCTION("""COMPUTED_VALUE"""),35196530)</f>
        <v>35196530</v>
      </c>
      <c r="L931" s="72">
        <f ca="1">IFERROR(__xludf.DUMMYFUNCTION("""COMPUTED_VALUE"""),0.5)</f>
        <v>0.5</v>
      </c>
      <c r="M931" s="10">
        <f ca="1">IFERROR(__xludf.DUMMYFUNCTION("""COMPUTED_VALUE"""),9890)</f>
        <v>9890</v>
      </c>
      <c r="N931" s="10" t="str">
        <f ca="1">IFERROR(__xludf.DUMMYFUNCTION("""COMPUTED_VALUE"""),"PMU")</f>
        <v>PMU</v>
      </c>
      <c r="O931" s="1"/>
      <c r="P931" s="1"/>
      <c r="Q931" s="1"/>
      <c r="R931" s="1"/>
      <c r="S931" s="1"/>
      <c r="T931" s="1"/>
      <c r="U931" s="1"/>
      <c r="V931" s="1"/>
      <c r="W931" s="1"/>
      <c r="X931" s="1"/>
      <c r="Y931" s="1"/>
      <c r="Z931" s="1"/>
    </row>
    <row r="932" spans="1:26" ht="12.75" customHeight="1">
      <c r="A932" s="1"/>
      <c r="B932" s="10" t="str">
        <f ca="1">IFERROR(__xludf.DUMMYFUNCTION("""COMPUTED_VALUE"""),"CONSTRUCCIÓN SEDE SOCIAL SAN RAFAEL BAJO, CALBUCO")</f>
        <v>CONSTRUCCIÓN SEDE SOCIAL SAN RAFAEL BAJO, CALBUCO</v>
      </c>
      <c r="C932" s="10" t="str">
        <f ca="1">IFERROR(__xludf.DUMMYFUNCTION("""COMPUTED_VALUE"""),"1-C-2024-456")</f>
        <v>1-C-2024-456</v>
      </c>
      <c r="D932" s="26"/>
      <c r="E932" s="10" t="str">
        <f ca="1">IFERROR(__xludf.DUMMYFUNCTION("""COMPUTED_VALUE"""),"Guía Operativa")</f>
        <v>Guía Operativa</v>
      </c>
      <c r="F932" s="10" t="str">
        <f ca="1">IFERROR(__xludf.DUMMYFUNCTION("""COMPUTED_VALUE"""),"MUNICIPALIDAD DE CALBUCO")</f>
        <v>MUNICIPALIDAD DE CALBUCO</v>
      </c>
      <c r="G932" s="71">
        <f ca="1">IFERROR(__xludf.DUMMYFUNCTION("""COMPUTED_VALUE"""),161113511)</f>
        <v>161113511</v>
      </c>
      <c r="H932" s="10" t="str">
        <f ca="1">IFERROR(__xludf.DUMMYFUNCTION("""COMPUTED_VALUE"""),"Resolución")</f>
        <v>Resolución</v>
      </c>
      <c r="I932" s="10" t="str">
        <f ca="1">IFERROR(__xludf.DUMMYFUNCTION("""COMPUTED_VALUE"""),"OBRA")</f>
        <v>OBRA</v>
      </c>
      <c r="J932" s="10" t="str">
        <f ca="1">IFERROR(__xludf.DUMMYFUNCTION("""COMPUTED_VALUE"""),"Cumplir con normativa y reglamentos internos del programa en base a los objetivos.")</f>
        <v>Cumplir con normativa y reglamentos internos del programa en base a los objetivos.</v>
      </c>
      <c r="K932" s="71">
        <f ca="1">IFERROR(__xludf.DUMMYFUNCTION("""COMPUTED_VALUE"""),80556756)</f>
        <v>80556756</v>
      </c>
      <c r="L932" s="72">
        <f ca="1">IFERROR(__xludf.DUMMYFUNCTION("""COMPUTED_VALUE"""),0.500000003103402)</f>
        <v>0.50000000310340198</v>
      </c>
      <c r="M932" s="10">
        <f ca="1">IFERROR(__xludf.DUMMYFUNCTION("""COMPUTED_VALUE"""),10003)</f>
        <v>10003</v>
      </c>
      <c r="N932" s="10" t="str">
        <f ca="1">IFERROR(__xludf.DUMMYFUNCTION("""COMPUTED_VALUE"""),"PMU")</f>
        <v>PMU</v>
      </c>
      <c r="O932" s="1"/>
      <c r="P932" s="1"/>
      <c r="Q932" s="1"/>
      <c r="R932" s="1"/>
      <c r="S932" s="1"/>
      <c r="T932" s="1"/>
      <c r="U932" s="1"/>
      <c r="V932" s="1"/>
      <c r="W932" s="1"/>
      <c r="X932" s="1"/>
      <c r="Y932" s="1"/>
      <c r="Z932" s="1"/>
    </row>
    <row r="933" spans="1:26" ht="12.75" customHeight="1">
      <c r="A933" s="1"/>
      <c r="B933" s="10" t="str">
        <f ca="1">IFERROR(__xludf.DUMMYFUNCTION("""COMPUTED_VALUE"""),"MEJORAMIENTO PLAZA MAICOLPUÉ, PLAYA CENTRAL, SAN JUAN DE LA COSTA")</f>
        <v>MEJORAMIENTO PLAZA MAICOLPUÉ, PLAYA CENTRAL, SAN JUAN DE LA COSTA</v>
      </c>
      <c r="C933" s="10" t="str">
        <f ca="1">IFERROR(__xludf.DUMMYFUNCTION("""COMPUTED_VALUE"""),"1-B-2024-82")</f>
        <v>1-B-2024-82</v>
      </c>
      <c r="D933" s="26"/>
      <c r="E933" s="10" t="str">
        <f ca="1">IFERROR(__xludf.DUMMYFUNCTION("""COMPUTED_VALUE"""),"Guía Operativa")</f>
        <v>Guía Operativa</v>
      </c>
      <c r="F933" s="10" t="str">
        <f ca="1">IFERROR(__xludf.DUMMYFUNCTION("""COMPUTED_VALUE"""),"MUNICIPALIDAD DE SAN JUAN DE LA COSTA")</f>
        <v>MUNICIPALIDAD DE SAN JUAN DE LA COSTA</v>
      </c>
      <c r="G933" s="71">
        <f ca="1">IFERROR(__xludf.DUMMYFUNCTION("""COMPUTED_VALUE"""),83148629)</f>
        <v>83148629</v>
      </c>
      <c r="H933" s="10" t="str">
        <f ca="1">IFERROR(__xludf.DUMMYFUNCTION("""COMPUTED_VALUE"""),"Resolución")</f>
        <v>Resolución</v>
      </c>
      <c r="I933" s="10" t="str">
        <f ca="1">IFERROR(__xludf.DUMMYFUNCTION("""COMPUTED_VALUE"""),"OBRA")</f>
        <v>OBRA</v>
      </c>
      <c r="J933" s="10" t="str">
        <f ca="1">IFERROR(__xludf.DUMMYFUNCTION("""COMPUTED_VALUE"""),"Cumplir con normativa y reglamentos internos del programa en base a los objetivos.")</f>
        <v>Cumplir con normativa y reglamentos internos del programa en base a los objetivos.</v>
      </c>
      <c r="K933" s="71">
        <f ca="1">IFERROR(__xludf.DUMMYFUNCTION("""COMPUTED_VALUE"""),83148629)</f>
        <v>83148629</v>
      </c>
      <c r="L933" s="72">
        <f ca="1">IFERROR(__xludf.DUMMYFUNCTION("""COMPUTED_VALUE"""),1)</f>
        <v>1</v>
      </c>
      <c r="M933" s="10">
        <f ca="1">IFERROR(__xludf.DUMMYFUNCTION("""COMPUTED_VALUE"""),10387)</f>
        <v>10387</v>
      </c>
      <c r="N933" s="10" t="str">
        <f ca="1">IFERROR(__xludf.DUMMYFUNCTION("""COMPUTED_VALUE"""),"PMU")</f>
        <v>PMU</v>
      </c>
      <c r="O933" s="1"/>
      <c r="P933" s="1"/>
      <c r="Q933" s="1"/>
      <c r="R933" s="1"/>
      <c r="S933" s="1"/>
      <c r="T933" s="1"/>
      <c r="U933" s="1"/>
      <c r="V933" s="1"/>
      <c r="W933" s="1"/>
      <c r="X933" s="1"/>
      <c r="Y933" s="1"/>
      <c r="Z933" s="1"/>
    </row>
    <row r="934" spans="1:26" ht="12.75" customHeight="1">
      <c r="A934" s="1"/>
      <c r="B934" s="10" t="str">
        <f ca="1">IFERROR(__xludf.DUMMYFUNCTION("""COMPUTED_VALUE"""),"MEJORAMIENTO ESPACIO PUBLICO, CIRCUITO PLAZA DE ARMAS, COMUNA DE QUELLON")</f>
        <v>MEJORAMIENTO ESPACIO PUBLICO, CIRCUITO PLAZA DE ARMAS, COMUNA DE QUELLON</v>
      </c>
      <c r="C934" s="10" t="str">
        <f ca="1">IFERROR(__xludf.DUMMYFUNCTION("""COMPUTED_VALUE"""),"1-B-2024-156")</f>
        <v>1-B-2024-156</v>
      </c>
      <c r="D934" s="26"/>
      <c r="E934" s="10" t="str">
        <f ca="1">IFERROR(__xludf.DUMMYFUNCTION("""COMPUTED_VALUE"""),"Guía Operativa")</f>
        <v>Guía Operativa</v>
      </c>
      <c r="F934" s="10" t="str">
        <f ca="1">IFERROR(__xludf.DUMMYFUNCTION("""COMPUTED_VALUE"""),"MUNICIPALIDAD DE QUELLÓN")</f>
        <v>MUNICIPALIDAD DE QUELLÓN</v>
      </c>
      <c r="G934" s="71">
        <f ca="1">IFERROR(__xludf.DUMMYFUNCTION("""COMPUTED_VALUE"""),83148620)</f>
        <v>83148620</v>
      </c>
      <c r="H934" s="10" t="str">
        <f ca="1">IFERROR(__xludf.DUMMYFUNCTION("""COMPUTED_VALUE"""),"Resolución")</f>
        <v>Resolución</v>
      </c>
      <c r="I934" s="10" t="str">
        <f ca="1">IFERROR(__xludf.DUMMYFUNCTION("""COMPUTED_VALUE"""),"OBRA")</f>
        <v>OBRA</v>
      </c>
      <c r="J934" s="10" t="str">
        <f ca="1">IFERROR(__xludf.DUMMYFUNCTION("""COMPUTED_VALUE"""),"Cumplir con normativa y reglamentos internos del programa en base a los objetivos.")</f>
        <v>Cumplir con normativa y reglamentos internos del programa en base a los objetivos.</v>
      </c>
      <c r="K934" s="71">
        <f ca="1">IFERROR(__xludf.DUMMYFUNCTION("""COMPUTED_VALUE"""),83148620)</f>
        <v>83148620</v>
      </c>
      <c r="L934" s="72">
        <f ca="1">IFERROR(__xludf.DUMMYFUNCTION("""COMPUTED_VALUE"""),1)</f>
        <v>1</v>
      </c>
      <c r="M934" s="10">
        <f ca="1">IFERROR(__xludf.DUMMYFUNCTION("""COMPUTED_VALUE"""),10367)</f>
        <v>10367</v>
      </c>
      <c r="N934" s="10" t="str">
        <f ca="1">IFERROR(__xludf.DUMMYFUNCTION("""COMPUTED_VALUE"""),"PMU")</f>
        <v>PMU</v>
      </c>
      <c r="O934" s="1"/>
      <c r="P934" s="1"/>
      <c r="Q934" s="1"/>
      <c r="R934" s="1"/>
      <c r="S934" s="1"/>
      <c r="T934" s="1"/>
      <c r="U934" s="1"/>
      <c r="V934" s="1"/>
      <c r="W934" s="1"/>
      <c r="X934" s="1"/>
      <c r="Y934" s="1"/>
      <c r="Z934" s="1"/>
    </row>
    <row r="935" spans="1:26" ht="12.75" customHeight="1">
      <c r="A935" s="1"/>
      <c r="B935" s="10" t="str">
        <f ca="1">IFERROR(__xludf.DUMMYFUNCTION("""COMPUTED_VALUE"""),"CONSTRUCCIÓN ALUMBRADO PUBLICO FOTOVOLTAICO ISLA DE ACUI, QUEILEN")</f>
        <v>CONSTRUCCIÓN ALUMBRADO PUBLICO FOTOVOLTAICO ISLA DE ACUI, QUEILEN</v>
      </c>
      <c r="C935" s="10" t="str">
        <f ca="1">IFERROR(__xludf.DUMMYFUNCTION("""COMPUTED_VALUE"""),"1-C-2024-866")</f>
        <v>1-C-2024-866</v>
      </c>
      <c r="D935" s="26"/>
      <c r="E935" s="10" t="str">
        <f ca="1">IFERROR(__xludf.DUMMYFUNCTION("""COMPUTED_VALUE"""),"Guía Operativa")</f>
        <v>Guía Operativa</v>
      </c>
      <c r="F935" s="10" t="str">
        <f ca="1">IFERROR(__xludf.DUMMYFUNCTION("""COMPUTED_VALUE"""),"MUNICIPALIDAD DE QUEILÉN")</f>
        <v>MUNICIPALIDAD DE QUEILÉN</v>
      </c>
      <c r="G935" s="71">
        <f ca="1">IFERROR(__xludf.DUMMYFUNCTION("""COMPUTED_VALUE"""),161608000)</f>
        <v>161608000</v>
      </c>
      <c r="H935" s="10" t="str">
        <f ca="1">IFERROR(__xludf.DUMMYFUNCTION("""COMPUTED_VALUE"""),"Resolución")</f>
        <v>Resolución</v>
      </c>
      <c r="I935" s="10" t="str">
        <f ca="1">IFERROR(__xludf.DUMMYFUNCTION("""COMPUTED_VALUE"""),"OBRA")</f>
        <v>OBRA</v>
      </c>
      <c r="J935" s="10" t="str">
        <f ca="1">IFERROR(__xludf.DUMMYFUNCTION("""COMPUTED_VALUE"""),"Cumplir con normativa y reglamentos internos del programa en base a los objetivos.")</f>
        <v>Cumplir con normativa y reglamentos internos del programa en base a los objetivos.</v>
      </c>
      <c r="K935" s="71">
        <f ca="1">IFERROR(__xludf.DUMMYFUNCTION("""COMPUTED_VALUE"""),80804000)</f>
        <v>80804000</v>
      </c>
      <c r="L935" s="72">
        <f ca="1">IFERROR(__xludf.DUMMYFUNCTION("""COMPUTED_VALUE"""),0.5)</f>
        <v>0.5</v>
      </c>
      <c r="M935" s="10">
        <f ca="1">IFERROR(__xludf.DUMMYFUNCTION("""COMPUTED_VALUE"""),10011)</f>
        <v>10011</v>
      </c>
      <c r="N935" s="10" t="str">
        <f ca="1">IFERROR(__xludf.DUMMYFUNCTION("""COMPUTED_VALUE"""),"PMU")</f>
        <v>PMU</v>
      </c>
      <c r="O935" s="1"/>
      <c r="P935" s="1"/>
      <c r="Q935" s="1"/>
      <c r="R935" s="1"/>
      <c r="S935" s="1"/>
      <c r="T935" s="1"/>
      <c r="U935" s="1"/>
      <c r="V935" s="1"/>
      <c r="W935" s="1"/>
      <c r="X935" s="1"/>
      <c r="Y935" s="1"/>
      <c r="Z935" s="1"/>
    </row>
    <row r="936" spans="1:26" ht="12.75" customHeight="1">
      <c r="A936" s="1"/>
      <c r="B936" s="10" t="str">
        <f ca="1">IFERROR(__xludf.DUMMYFUNCTION("""COMPUTED_VALUE"""),"[SATE] MEJORAMIENTO DEMARCACIÓN PINTURA SEÑALETICA VIAL COCHRANE")</f>
        <v>[SATE] MEJORAMIENTO DEMARCACIÓN PINTURA SEÑALETICA VIAL COCHRANE</v>
      </c>
      <c r="C936" s="10" t="str">
        <f ca="1">IFERROR(__xludf.DUMMYFUNCTION("""COMPUTED_VALUE"""),"1-C-2023-1089")</f>
        <v>1-C-2023-1089</v>
      </c>
      <c r="D936" s="26"/>
      <c r="E936" s="10" t="str">
        <f ca="1">IFERROR(__xludf.DUMMYFUNCTION("""COMPUTED_VALUE"""),"Guía Operativa")</f>
        <v>Guía Operativa</v>
      </c>
      <c r="F936" s="10" t="str">
        <f ca="1">IFERROR(__xludf.DUMMYFUNCTION("""COMPUTED_VALUE"""),"MUNICIPALIDAD DE COCHRANE")</f>
        <v>MUNICIPALIDAD DE COCHRANE</v>
      </c>
      <c r="G936" s="71">
        <f ca="1">IFERROR(__xludf.DUMMYFUNCTION("""COMPUTED_VALUE"""),150000000)</f>
        <v>150000000</v>
      </c>
      <c r="H936" s="10" t="str">
        <f ca="1">IFERROR(__xludf.DUMMYFUNCTION("""COMPUTED_VALUE"""),"Resolución")</f>
        <v>Resolución</v>
      </c>
      <c r="I936" s="10" t="str">
        <f ca="1">IFERROR(__xludf.DUMMYFUNCTION("""COMPUTED_VALUE"""),"OBRA")</f>
        <v>OBRA</v>
      </c>
      <c r="J936" s="10" t="str">
        <f ca="1">IFERROR(__xludf.DUMMYFUNCTION("""COMPUTED_VALUE"""),"Cumplir con normativa y reglamentos internos del programa en base a los objetivos.")</f>
        <v>Cumplir con normativa y reglamentos internos del programa en base a los objetivos.</v>
      </c>
      <c r="K936" s="71">
        <f ca="1">IFERROR(__xludf.DUMMYFUNCTION("""COMPUTED_VALUE"""),150000000)</f>
        <v>150000000</v>
      </c>
      <c r="L936" s="72">
        <f ca="1">IFERROR(__xludf.DUMMYFUNCTION("""COMPUTED_VALUE"""),1)</f>
        <v>1</v>
      </c>
      <c r="M936" s="10">
        <f ca="1">IFERROR(__xludf.DUMMYFUNCTION("""COMPUTED_VALUE"""),9191)</f>
        <v>9191</v>
      </c>
      <c r="N936" s="10" t="str">
        <f ca="1">IFERROR(__xludf.DUMMYFUNCTION("""COMPUTED_VALUE"""),"PMU")</f>
        <v>PMU</v>
      </c>
      <c r="O936" s="1"/>
      <c r="P936" s="1"/>
      <c r="Q936" s="1"/>
      <c r="R936" s="1"/>
      <c r="S936" s="1"/>
      <c r="T936" s="1"/>
      <c r="U936" s="1"/>
      <c r="V936" s="1"/>
      <c r="W936" s="1"/>
      <c r="X936" s="1"/>
      <c r="Y936" s="1"/>
      <c r="Z936" s="1"/>
    </row>
    <row r="937" spans="1:26" ht="12.75" customHeight="1">
      <c r="A937" s="1"/>
      <c r="B937" s="10" t="str">
        <f ca="1">IFERROR(__xludf.DUMMYFUNCTION("""COMPUTED_VALUE"""),"REPOSICIÓN ACERAS CALLE MICHIMALONCO PUERTO AYSÉN")</f>
        <v>REPOSICIÓN ACERAS CALLE MICHIMALONCO PUERTO AYSÉN</v>
      </c>
      <c r="C937" s="10" t="str">
        <f ca="1">IFERROR(__xludf.DUMMYFUNCTION("""COMPUTED_VALUE"""),"1-C-2023-1547")</f>
        <v>1-C-2023-1547</v>
      </c>
      <c r="D937" s="26"/>
      <c r="E937" s="10" t="str">
        <f ca="1">IFERROR(__xludf.DUMMYFUNCTION("""COMPUTED_VALUE"""),"Guía Operativa")</f>
        <v>Guía Operativa</v>
      </c>
      <c r="F937" s="10" t="str">
        <f ca="1">IFERROR(__xludf.DUMMYFUNCTION("""COMPUTED_VALUE"""),"MUNICIPALIDAD DE AYSÉN")</f>
        <v>MUNICIPALIDAD DE AYSÉN</v>
      </c>
      <c r="G937" s="71">
        <f ca="1">IFERROR(__xludf.DUMMYFUNCTION("""COMPUTED_VALUE"""),111568483)</f>
        <v>111568483</v>
      </c>
      <c r="H937" s="10" t="str">
        <f ca="1">IFERROR(__xludf.DUMMYFUNCTION("""COMPUTED_VALUE"""),"Resolución")</f>
        <v>Resolución</v>
      </c>
      <c r="I937" s="10" t="str">
        <f ca="1">IFERROR(__xludf.DUMMYFUNCTION("""COMPUTED_VALUE"""),"OBRA")</f>
        <v>OBRA</v>
      </c>
      <c r="J937" s="10" t="str">
        <f ca="1">IFERROR(__xludf.DUMMYFUNCTION("""COMPUTED_VALUE"""),"Cumplir con normativa y reglamentos internos del programa en base a los objetivos.")</f>
        <v>Cumplir con normativa y reglamentos internos del programa en base a los objetivos.</v>
      </c>
      <c r="K937" s="71">
        <f ca="1">IFERROR(__xludf.DUMMYFUNCTION("""COMPUTED_VALUE"""),111568483)</f>
        <v>111568483</v>
      </c>
      <c r="L937" s="72">
        <f ca="1">IFERROR(__xludf.DUMMYFUNCTION("""COMPUTED_VALUE"""),1)</f>
        <v>1</v>
      </c>
      <c r="M937" s="10">
        <f ca="1">IFERROR(__xludf.DUMMYFUNCTION("""COMPUTED_VALUE"""),9193)</f>
        <v>9193</v>
      </c>
      <c r="N937" s="10" t="str">
        <f ca="1">IFERROR(__xludf.DUMMYFUNCTION("""COMPUTED_VALUE"""),"PMU")</f>
        <v>PMU</v>
      </c>
      <c r="O937" s="1"/>
      <c r="P937" s="1"/>
      <c r="Q937" s="1"/>
      <c r="R937" s="1"/>
      <c r="S937" s="1"/>
      <c r="T937" s="1"/>
      <c r="U937" s="1"/>
      <c r="V937" s="1"/>
      <c r="W937" s="1"/>
      <c r="X937" s="1"/>
      <c r="Y937" s="1"/>
      <c r="Z937" s="1"/>
    </row>
    <row r="938" spans="1:26" ht="12.75" customHeight="1">
      <c r="A938" s="1"/>
      <c r="B938" s="10" t="str">
        <f ca="1">IFERROR(__xludf.DUMMYFUNCTION("""COMPUTED_VALUE"""),"MEJORAMIENTO ENVOLVENTE TÉRMICA PRIMER PISO EDIFICIO CONSISTORIAL, PUERTO AYSÉN.")</f>
        <v>MEJORAMIENTO ENVOLVENTE TÉRMICA PRIMER PISO EDIFICIO CONSISTORIAL, PUERTO AYSÉN.</v>
      </c>
      <c r="C938" s="10" t="str">
        <f ca="1">IFERROR(__xludf.DUMMYFUNCTION("""COMPUTED_VALUE"""),"1-C-2023-1817")</f>
        <v>1-C-2023-1817</v>
      </c>
      <c r="D938" s="26"/>
      <c r="E938" s="10" t="str">
        <f ca="1">IFERROR(__xludf.DUMMYFUNCTION("""COMPUTED_VALUE"""),"Guía Operativa")</f>
        <v>Guía Operativa</v>
      </c>
      <c r="F938" s="10" t="str">
        <f ca="1">IFERROR(__xludf.DUMMYFUNCTION("""COMPUTED_VALUE"""),"MUNICIPALIDAD DE AYSÉN")</f>
        <v>MUNICIPALIDAD DE AYSÉN</v>
      </c>
      <c r="G938" s="71">
        <f ca="1">IFERROR(__xludf.DUMMYFUNCTION("""COMPUTED_VALUE"""),151662072)</f>
        <v>151662072</v>
      </c>
      <c r="H938" s="10" t="str">
        <f ca="1">IFERROR(__xludf.DUMMYFUNCTION("""COMPUTED_VALUE"""),"Resolución")</f>
        <v>Resolución</v>
      </c>
      <c r="I938" s="10" t="str">
        <f ca="1">IFERROR(__xludf.DUMMYFUNCTION("""COMPUTED_VALUE"""),"OBRA")</f>
        <v>OBRA</v>
      </c>
      <c r="J938" s="10" t="str">
        <f ca="1">IFERROR(__xludf.DUMMYFUNCTION("""COMPUTED_VALUE"""),"Cumplir con normativa y reglamentos internos del programa en base a los objetivos.")</f>
        <v>Cumplir con normativa y reglamentos internos del programa en base a los objetivos.</v>
      </c>
      <c r="K938" s="71">
        <f ca="1">IFERROR(__xludf.DUMMYFUNCTION("""COMPUTED_VALUE"""),151662072)</f>
        <v>151662072</v>
      </c>
      <c r="L938" s="72">
        <f ca="1">IFERROR(__xludf.DUMMYFUNCTION("""COMPUTED_VALUE"""),1)</f>
        <v>1</v>
      </c>
      <c r="M938" s="10">
        <f ca="1">IFERROR(__xludf.DUMMYFUNCTION("""COMPUTED_VALUE"""),9193)</f>
        <v>9193</v>
      </c>
      <c r="N938" s="10" t="str">
        <f ca="1">IFERROR(__xludf.DUMMYFUNCTION("""COMPUTED_VALUE"""),"PMU")</f>
        <v>PMU</v>
      </c>
      <c r="O938" s="1"/>
      <c r="P938" s="1"/>
      <c r="Q938" s="1"/>
      <c r="R938" s="1"/>
      <c r="S938" s="1"/>
      <c r="T938" s="1"/>
      <c r="U938" s="1"/>
      <c r="V938" s="1"/>
      <c r="W938" s="1"/>
      <c r="X938" s="1"/>
      <c r="Y938" s="1"/>
      <c r="Z938" s="1"/>
    </row>
    <row r="939" spans="1:26" ht="12.75" customHeight="1">
      <c r="A939" s="1"/>
      <c r="B939" s="10" t="str">
        <f ca="1">IFERROR(__xludf.DUMMYFUNCTION("""COMPUTED_VALUE"""),"REPOSICIÓN ACERAS CALLE EUSEBIO IBAR VILLA MAÑIHUALES")</f>
        <v>REPOSICIÓN ACERAS CALLE EUSEBIO IBAR VILLA MAÑIHUALES</v>
      </c>
      <c r="C939" s="10" t="str">
        <f ca="1">IFERROR(__xludf.DUMMYFUNCTION("""COMPUTED_VALUE"""),"1-C-2023-2083")</f>
        <v>1-C-2023-2083</v>
      </c>
      <c r="D939" s="26"/>
      <c r="E939" s="10" t="str">
        <f ca="1">IFERROR(__xludf.DUMMYFUNCTION("""COMPUTED_VALUE"""),"Guía Operativa")</f>
        <v>Guía Operativa</v>
      </c>
      <c r="F939" s="10" t="str">
        <f ca="1">IFERROR(__xludf.DUMMYFUNCTION("""COMPUTED_VALUE"""),"MUNICIPALIDAD DE AYSÉN")</f>
        <v>MUNICIPALIDAD DE AYSÉN</v>
      </c>
      <c r="G939" s="71">
        <f ca="1">IFERROR(__xludf.DUMMYFUNCTION("""COMPUTED_VALUE"""),151188296)</f>
        <v>151188296</v>
      </c>
      <c r="H939" s="10" t="str">
        <f ca="1">IFERROR(__xludf.DUMMYFUNCTION("""COMPUTED_VALUE"""),"Resolución")</f>
        <v>Resolución</v>
      </c>
      <c r="I939" s="10" t="str">
        <f ca="1">IFERROR(__xludf.DUMMYFUNCTION("""COMPUTED_VALUE"""),"OBRA")</f>
        <v>OBRA</v>
      </c>
      <c r="J939" s="10" t="str">
        <f ca="1">IFERROR(__xludf.DUMMYFUNCTION("""COMPUTED_VALUE"""),"Cumplir con normativa y reglamentos internos del programa en base a los objetivos.")</f>
        <v>Cumplir con normativa y reglamentos internos del programa en base a los objetivos.</v>
      </c>
      <c r="K939" s="71">
        <f ca="1">IFERROR(__xludf.DUMMYFUNCTION("""COMPUTED_VALUE"""),151188296)</f>
        <v>151188296</v>
      </c>
      <c r="L939" s="72">
        <f ca="1">IFERROR(__xludf.DUMMYFUNCTION("""COMPUTED_VALUE"""),1)</f>
        <v>1</v>
      </c>
      <c r="M939" s="10">
        <f ca="1">IFERROR(__xludf.DUMMYFUNCTION("""COMPUTED_VALUE"""),9193)</f>
        <v>9193</v>
      </c>
      <c r="N939" s="10" t="str">
        <f ca="1">IFERROR(__xludf.DUMMYFUNCTION("""COMPUTED_VALUE"""),"PMU")</f>
        <v>PMU</v>
      </c>
      <c r="O939" s="1"/>
      <c r="P939" s="1"/>
      <c r="Q939" s="1"/>
      <c r="R939" s="1"/>
      <c r="S939" s="1"/>
      <c r="T939" s="1"/>
      <c r="U939" s="1"/>
      <c r="V939" s="1"/>
      <c r="W939" s="1"/>
      <c r="X939" s="1"/>
      <c r="Y939" s="1"/>
      <c r="Z939" s="1"/>
    </row>
    <row r="940" spans="1:26" ht="12.75" customHeight="1">
      <c r="A940" s="1"/>
      <c r="B940" s="10" t="str">
        <f ca="1">IFERROR(__xludf.DUMMYFUNCTION("""COMPUTED_VALUE"""),"REPOSICION ACERA NORTE RUTA X-566, ESTERO COPA")</f>
        <v>REPOSICION ACERA NORTE RUTA X-566, ESTERO COPA</v>
      </c>
      <c r="C940" s="10" t="str">
        <f ca="1">IFERROR(__xludf.DUMMYFUNCTION("""COMPUTED_VALUE"""),"1-C-2023-2179")</f>
        <v>1-C-2023-2179</v>
      </c>
      <c r="D940" s="26"/>
      <c r="E940" s="10" t="str">
        <f ca="1">IFERROR(__xludf.DUMMYFUNCTION("""COMPUTED_VALUE"""),"Guía Operativa")</f>
        <v>Guía Operativa</v>
      </c>
      <c r="F940" s="10" t="str">
        <f ca="1">IFERROR(__xludf.DUMMYFUNCTION("""COMPUTED_VALUE"""),"MUNICIPALIDAD DE AYSÉN")</f>
        <v>MUNICIPALIDAD DE AYSÉN</v>
      </c>
      <c r="G940" s="71">
        <f ca="1">IFERROR(__xludf.DUMMYFUNCTION("""COMPUTED_VALUE"""),147873866)</f>
        <v>147873866</v>
      </c>
      <c r="H940" s="10" t="str">
        <f ca="1">IFERROR(__xludf.DUMMYFUNCTION("""COMPUTED_VALUE"""),"Resolución")</f>
        <v>Resolución</v>
      </c>
      <c r="I940" s="10" t="str">
        <f ca="1">IFERROR(__xludf.DUMMYFUNCTION("""COMPUTED_VALUE"""),"OBRA")</f>
        <v>OBRA</v>
      </c>
      <c r="J940" s="10" t="str">
        <f ca="1">IFERROR(__xludf.DUMMYFUNCTION("""COMPUTED_VALUE"""),"Cumplir con normativa y reglamentos internos del programa en base a los objetivos.")</f>
        <v>Cumplir con normativa y reglamentos internos del programa en base a los objetivos.</v>
      </c>
      <c r="K940" s="71">
        <f ca="1">IFERROR(__xludf.DUMMYFUNCTION("""COMPUTED_VALUE"""),147873866)</f>
        <v>147873866</v>
      </c>
      <c r="L940" s="72">
        <f ca="1">IFERROR(__xludf.DUMMYFUNCTION("""COMPUTED_VALUE"""),1)</f>
        <v>1</v>
      </c>
      <c r="M940" s="10">
        <f ca="1">IFERROR(__xludf.DUMMYFUNCTION("""COMPUTED_VALUE"""),9193)</f>
        <v>9193</v>
      </c>
      <c r="N940" s="10" t="str">
        <f ca="1">IFERROR(__xludf.DUMMYFUNCTION("""COMPUTED_VALUE"""),"PMU")</f>
        <v>PMU</v>
      </c>
      <c r="O940" s="1"/>
      <c r="P940" s="1"/>
      <c r="Q940" s="1"/>
      <c r="R940" s="1"/>
      <c r="S940" s="1"/>
      <c r="T940" s="1"/>
      <c r="U940" s="1"/>
      <c r="V940" s="1"/>
      <c r="W940" s="1"/>
      <c r="X940" s="1"/>
      <c r="Y940" s="1"/>
      <c r="Z940" s="1"/>
    </row>
    <row r="941" spans="1:26" ht="12.75" customHeight="1">
      <c r="A941" s="1"/>
      <c r="B941" s="10" t="str">
        <f ca="1">IFERROR(__xludf.DUMMYFUNCTION("""COMPUTED_VALUE"""),"REPOSICIÓN Y EXTENSIÓN SELLO ALTA FRICCIÓN CALLE LUIS BÁEZ")</f>
        <v>REPOSICIÓN Y EXTENSIÓN SELLO ALTA FRICCIÓN CALLE LUIS BÁEZ</v>
      </c>
      <c r="C941" s="10" t="str">
        <f ca="1">IFERROR(__xludf.DUMMYFUNCTION("""COMPUTED_VALUE"""),"1-C-2023-2383")</f>
        <v>1-C-2023-2383</v>
      </c>
      <c r="D941" s="26"/>
      <c r="E941" s="10" t="str">
        <f ca="1">IFERROR(__xludf.DUMMYFUNCTION("""COMPUTED_VALUE"""),"Guía Operativa")</f>
        <v>Guía Operativa</v>
      </c>
      <c r="F941" s="10" t="str">
        <f ca="1">IFERROR(__xludf.DUMMYFUNCTION("""COMPUTED_VALUE"""),"MUNICIPALIDAD DE COCHRANE")</f>
        <v>MUNICIPALIDAD DE COCHRANE</v>
      </c>
      <c r="G941" s="71">
        <f ca="1">IFERROR(__xludf.DUMMYFUNCTION("""COMPUTED_VALUE"""),153466722)</f>
        <v>153466722</v>
      </c>
      <c r="H941" s="10" t="str">
        <f ca="1">IFERROR(__xludf.DUMMYFUNCTION("""COMPUTED_VALUE"""),"Resolución")</f>
        <v>Resolución</v>
      </c>
      <c r="I941" s="10" t="str">
        <f ca="1">IFERROR(__xludf.DUMMYFUNCTION("""COMPUTED_VALUE"""),"OBRA")</f>
        <v>OBRA</v>
      </c>
      <c r="J941" s="10" t="str">
        <f ca="1">IFERROR(__xludf.DUMMYFUNCTION("""COMPUTED_VALUE"""),"Cumplir con normativa y reglamentos internos del programa en base a los objetivos.")</f>
        <v>Cumplir con normativa y reglamentos internos del programa en base a los objetivos.</v>
      </c>
      <c r="K941" s="71">
        <f ca="1">IFERROR(__xludf.DUMMYFUNCTION("""COMPUTED_VALUE"""),153466722)</f>
        <v>153466722</v>
      </c>
      <c r="L941" s="72">
        <f ca="1">IFERROR(__xludf.DUMMYFUNCTION("""COMPUTED_VALUE"""),1)</f>
        <v>1</v>
      </c>
      <c r="M941" s="10">
        <f ca="1">IFERROR(__xludf.DUMMYFUNCTION("""COMPUTED_VALUE"""),9191)</f>
        <v>9191</v>
      </c>
      <c r="N941" s="10" t="str">
        <f ca="1">IFERROR(__xludf.DUMMYFUNCTION("""COMPUTED_VALUE"""),"PMU")</f>
        <v>PMU</v>
      </c>
      <c r="O941" s="1"/>
      <c r="P941" s="1"/>
      <c r="Q941" s="1"/>
      <c r="R941" s="1"/>
      <c r="S941" s="1"/>
      <c r="T941" s="1"/>
      <c r="U941" s="1"/>
      <c r="V941" s="1"/>
      <c r="W941" s="1"/>
      <c r="X941" s="1"/>
      <c r="Y941" s="1"/>
      <c r="Z941" s="1"/>
    </row>
    <row r="942" spans="1:26" ht="12.75" customHeight="1">
      <c r="A942" s="1"/>
      <c r="B942" s="10" t="str">
        <f ca="1">IFERROR(__xludf.DUMMYFUNCTION("""COMPUTED_VALUE"""),"CONSTRUCCIÓN SELLO ALTA FRICCIÓN SECTOR ANTIGUO COCHRANE")</f>
        <v>CONSTRUCCIÓN SELLO ALTA FRICCIÓN SECTOR ANTIGUO COCHRANE</v>
      </c>
      <c r="C942" s="10" t="str">
        <f ca="1">IFERROR(__xludf.DUMMYFUNCTION("""COMPUTED_VALUE"""),"1-C-2023-2419")</f>
        <v>1-C-2023-2419</v>
      </c>
      <c r="D942" s="26"/>
      <c r="E942" s="10" t="str">
        <f ca="1">IFERROR(__xludf.DUMMYFUNCTION("""COMPUTED_VALUE"""),"Guía Operativa")</f>
        <v>Guía Operativa</v>
      </c>
      <c r="F942" s="10" t="str">
        <f ca="1">IFERROR(__xludf.DUMMYFUNCTION("""COMPUTED_VALUE"""),"MUNICIPALIDAD DE COCHRANE")</f>
        <v>MUNICIPALIDAD DE COCHRANE</v>
      </c>
      <c r="G942" s="71">
        <f ca="1">IFERROR(__xludf.DUMMYFUNCTION("""COMPUTED_VALUE"""),141807158)</f>
        <v>141807158</v>
      </c>
      <c r="H942" s="10" t="str">
        <f ca="1">IFERROR(__xludf.DUMMYFUNCTION("""COMPUTED_VALUE"""),"Resolución")</f>
        <v>Resolución</v>
      </c>
      <c r="I942" s="10" t="str">
        <f ca="1">IFERROR(__xludf.DUMMYFUNCTION("""COMPUTED_VALUE"""),"OBRA")</f>
        <v>OBRA</v>
      </c>
      <c r="J942" s="10" t="str">
        <f ca="1">IFERROR(__xludf.DUMMYFUNCTION("""COMPUTED_VALUE"""),"Cumplir con normativa y reglamentos internos del programa en base a los objetivos.")</f>
        <v>Cumplir con normativa y reglamentos internos del programa en base a los objetivos.</v>
      </c>
      <c r="K942" s="71">
        <f ca="1">IFERROR(__xludf.DUMMYFUNCTION("""COMPUTED_VALUE"""),141807158)</f>
        <v>141807158</v>
      </c>
      <c r="L942" s="72">
        <f ca="1">IFERROR(__xludf.DUMMYFUNCTION("""COMPUTED_VALUE"""),1)</f>
        <v>1</v>
      </c>
      <c r="M942" s="10">
        <f ca="1">IFERROR(__xludf.DUMMYFUNCTION("""COMPUTED_VALUE"""),9191)</f>
        <v>9191</v>
      </c>
      <c r="N942" s="10" t="str">
        <f ca="1">IFERROR(__xludf.DUMMYFUNCTION("""COMPUTED_VALUE"""),"PMU")</f>
        <v>PMU</v>
      </c>
      <c r="O942" s="1"/>
      <c r="P942" s="1"/>
      <c r="Q942" s="1"/>
      <c r="R942" s="1"/>
      <c r="S942" s="1"/>
      <c r="T942" s="1"/>
      <c r="U942" s="1"/>
      <c r="V942" s="1"/>
      <c r="W942" s="1"/>
      <c r="X942" s="1"/>
      <c r="Y942" s="1"/>
      <c r="Z942" s="1"/>
    </row>
    <row r="943" spans="1:26" ht="12.75" customHeight="1">
      <c r="A943" s="1"/>
      <c r="B943" s="10" t="str">
        <f ca="1">IFERROR(__xludf.DUMMYFUNCTION("""COMPUTED_VALUE"""),"MEJORAMIENTO DELIMITACION VIAL CALLES TENIENTE MERINO, DR STEFFEN Y ALFREDO STANGE, COCHRANE")</f>
        <v>MEJORAMIENTO DELIMITACION VIAL CALLES TENIENTE MERINO, DR STEFFEN Y ALFREDO STANGE, COCHRANE</v>
      </c>
      <c r="C943" s="10" t="str">
        <f ca="1">IFERROR(__xludf.DUMMYFUNCTION("""COMPUTED_VALUE"""),"1-C-2023-2462")</f>
        <v>1-C-2023-2462</v>
      </c>
      <c r="D943" s="26"/>
      <c r="E943" s="10" t="str">
        <f ca="1">IFERROR(__xludf.DUMMYFUNCTION("""COMPUTED_VALUE"""),"Guía Operativa")</f>
        <v>Guía Operativa</v>
      </c>
      <c r="F943" s="10" t="str">
        <f ca="1">IFERROR(__xludf.DUMMYFUNCTION("""COMPUTED_VALUE"""),"MUNICIPALIDAD DE COCHRANE")</f>
        <v>MUNICIPALIDAD DE COCHRANE</v>
      </c>
      <c r="G943" s="71">
        <f ca="1">IFERROR(__xludf.DUMMYFUNCTION("""COMPUTED_VALUE"""),148500000)</f>
        <v>148500000</v>
      </c>
      <c r="H943" s="10" t="str">
        <f ca="1">IFERROR(__xludf.DUMMYFUNCTION("""COMPUTED_VALUE"""),"Resolución")</f>
        <v>Resolución</v>
      </c>
      <c r="I943" s="10" t="str">
        <f ca="1">IFERROR(__xludf.DUMMYFUNCTION("""COMPUTED_VALUE"""),"OBRA")</f>
        <v>OBRA</v>
      </c>
      <c r="J943" s="10" t="str">
        <f ca="1">IFERROR(__xludf.DUMMYFUNCTION("""COMPUTED_VALUE"""),"Cumplir con normativa y reglamentos internos del programa en base a los objetivos.")</f>
        <v>Cumplir con normativa y reglamentos internos del programa en base a los objetivos.</v>
      </c>
      <c r="K943" s="71">
        <f ca="1">IFERROR(__xludf.DUMMYFUNCTION("""COMPUTED_VALUE"""),148500000)</f>
        <v>148500000</v>
      </c>
      <c r="L943" s="72">
        <f ca="1">IFERROR(__xludf.DUMMYFUNCTION("""COMPUTED_VALUE"""),1)</f>
        <v>1</v>
      </c>
      <c r="M943" s="10">
        <f ca="1">IFERROR(__xludf.DUMMYFUNCTION("""COMPUTED_VALUE"""),9191)</f>
        <v>9191</v>
      </c>
      <c r="N943" s="10" t="str">
        <f ca="1">IFERROR(__xludf.DUMMYFUNCTION("""COMPUTED_VALUE"""),"PMU")</f>
        <v>PMU</v>
      </c>
      <c r="O943" s="1"/>
      <c r="P943" s="1"/>
      <c r="Q943" s="1"/>
      <c r="R943" s="1"/>
      <c r="S943" s="1"/>
      <c r="T943" s="1"/>
      <c r="U943" s="1"/>
      <c r="V943" s="1"/>
      <c r="W943" s="1"/>
      <c r="X943" s="1"/>
      <c r="Y943" s="1"/>
      <c r="Z943" s="1"/>
    </row>
    <row r="944" spans="1:26" ht="12.75" customHeight="1">
      <c r="A944" s="1"/>
      <c r="B944" s="10" t="str">
        <f ca="1">IFERROR(__xludf.DUMMYFUNCTION("""COMPUTED_VALUE"""),"MEJORAMIENTO PINTURA VIAL CALLES VICENTE PREVISKE Y POBLACIÓN VUELO PATAGÓN, COCHRANE")</f>
        <v>MEJORAMIENTO PINTURA VIAL CALLES VICENTE PREVISKE Y POBLACIÓN VUELO PATAGÓN, COCHRANE</v>
      </c>
      <c r="C944" s="10" t="str">
        <f ca="1">IFERROR(__xludf.DUMMYFUNCTION("""COMPUTED_VALUE"""),"1-C-2023-2574")</f>
        <v>1-C-2023-2574</v>
      </c>
      <c r="D944" s="26"/>
      <c r="E944" s="10" t="str">
        <f ca="1">IFERROR(__xludf.DUMMYFUNCTION("""COMPUTED_VALUE"""),"Guía Operativa")</f>
        <v>Guía Operativa</v>
      </c>
      <c r="F944" s="10" t="str">
        <f ca="1">IFERROR(__xludf.DUMMYFUNCTION("""COMPUTED_VALUE"""),"MUNICIPALIDAD DE COCHRANE")</f>
        <v>MUNICIPALIDAD DE COCHRANE</v>
      </c>
      <c r="G944" s="71">
        <f ca="1">IFERROR(__xludf.DUMMYFUNCTION("""COMPUTED_VALUE"""),81000000)</f>
        <v>81000000</v>
      </c>
      <c r="H944" s="10" t="str">
        <f ca="1">IFERROR(__xludf.DUMMYFUNCTION("""COMPUTED_VALUE"""),"Resolución")</f>
        <v>Resolución</v>
      </c>
      <c r="I944" s="10" t="str">
        <f ca="1">IFERROR(__xludf.DUMMYFUNCTION("""COMPUTED_VALUE"""),"OBRA")</f>
        <v>OBRA</v>
      </c>
      <c r="J944" s="10" t="str">
        <f ca="1">IFERROR(__xludf.DUMMYFUNCTION("""COMPUTED_VALUE"""),"Cumplir con normativa y reglamentos internos del programa en base a los objetivos.")</f>
        <v>Cumplir con normativa y reglamentos internos del programa en base a los objetivos.</v>
      </c>
      <c r="K944" s="71">
        <f ca="1">IFERROR(__xludf.DUMMYFUNCTION("""COMPUTED_VALUE"""),81000000)</f>
        <v>81000000</v>
      </c>
      <c r="L944" s="72">
        <f ca="1">IFERROR(__xludf.DUMMYFUNCTION("""COMPUTED_VALUE"""),1)</f>
        <v>1</v>
      </c>
      <c r="M944" s="10">
        <f ca="1">IFERROR(__xludf.DUMMYFUNCTION("""COMPUTED_VALUE"""),9191)</f>
        <v>9191</v>
      </c>
      <c r="N944" s="10" t="str">
        <f ca="1">IFERROR(__xludf.DUMMYFUNCTION("""COMPUTED_VALUE"""),"PMU")</f>
        <v>PMU</v>
      </c>
      <c r="O944" s="1"/>
      <c r="P944" s="1"/>
      <c r="Q944" s="1"/>
      <c r="R944" s="1"/>
      <c r="S944" s="1"/>
      <c r="T944" s="1"/>
      <c r="U944" s="1"/>
      <c r="V944" s="1"/>
      <c r="W944" s="1"/>
      <c r="X944" s="1"/>
      <c r="Y944" s="1"/>
      <c r="Z944" s="1"/>
    </row>
    <row r="945" spans="1:26" ht="12.75" customHeight="1">
      <c r="A945" s="1"/>
      <c r="B945" s="10" t="str">
        <f ca="1">IFERROR(__xludf.DUMMYFUNCTION("""COMPUTED_VALUE"""),"CONSTRUCCIÓN Y REPOSICIÓN ACERA ORIENTE ACCESO TERMINAL MARÍTIMO, PUERTO CHACABUCO")</f>
        <v>CONSTRUCCIÓN Y REPOSICIÓN ACERA ORIENTE ACCESO TERMINAL MARÍTIMO, PUERTO CHACABUCO</v>
      </c>
      <c r="C945" s="10" t="str">
        <f ca="1">IFERROR(__xludf.DUMMYFUNCTION("""COMPUTED_VALUE"""),"1-C-2023-3087")</f>
        <v>1-C-2023-3087</v>
      </c>
      <c r="D945" s="26"/>
      <c r="E945" s="10" t="str">
        <f ca="1">IFERROR(__xludf.DUMMYFUNCTION("""COMPUTED_VALUE"""),"Guía Operativa")</f>
        <v>Guía Operativa</v>
      </c>
      <c r="F945" s="10" t="str">
        <f ca="1">IFERROR(__xludf.DUMMYFUNCTION("""COMPUTED_VALUE"""),"MUNICIPALIDAD DE AYSÉN")</f>
        <v>MUNICIPALIDAD DE AYSÉN</v>
      </c>
      <c r="G945" s="71">
        <f ca="1">IFERROR(__xludf.DUMMYFUNCTION("""COMPUTED_VALUE"""),69674356)</f>
        <v>69674356</v>
      </c>
      <c r="H945" s="10" t="str">
        <f ca="1">IFERROR(__xludf.DUMMYFUNCTION("""COMPUTED_VALUE"""),"Resolución")</f>
        <v>Resolución</v>
      </c>
      <c r="I945" s="10" t="str">
        <f ca="1">IFERROR(__xludf.DUMMYFUNCTION("""COMPUTED_VALUE"""),"OBRA")</f>
        <v>OBRA</v>
      </c>
      <c r="J945" s="10" t="str">
        <f ca="1">IFERROR(__xludf.DUMMYFUNCTION("""COMPUTED_VALUE"""),"Cumplir con normativa y reglamentos internos del programa en base a los objetivos.")</f>
        <v>Cumplir con normativa y reglamentos internos del programa en base a los objetivos.</v>
      </c>
      <c r="K945" s="71">
        <f ca="1">IFERROR(__xludf.DUMMYFUNCTION("""COMPUTED_VALUE"""),69674356)</f>
        <v>69674356</v>
      </c>
      <c r="L945" s="72">
        <f ca="1">IFERROR(__xludf.DUMMYFUNCTION("""COMPUTED_VALUE"""),1)</f>
        <v>1</v>
      </c>
      <c r="M945" s="10">
        <f ca="1">IFERROR(__xludf.DUMMYFUNCTION("""COMPUTED_VALUE"""),9666)</f>
        <v>9666</v>
      </c>
      <c r="N945" s="10" t="str">
        <f ca="1">IFERROR(__xludf.DUMMYFUNCTION("""COMPUTED_VALUE"""),"PMU")</f>
        <v>PMU</v>
      </c>
      <c r="O945" s="1"/>
      <c r="P945" s="1"/>
      <c r="Q945" s="1"/>
      <c r="R945" s="1"/>
      <c r="S945" s="1"/>
      <c r="T945" s="1"/>
      <c r="U945" s="1"/>
      <c r="V945" s="1"/>
      <c r="W945" s="1"/>
      <c r="X945" s="1"/>
      <c r="Y945" s="1"/>
      <c r="Z945" s="1"/>
    </row>
    <row r="946" spans="1:26" ht="12.75" customHeight="1">
      <c r="A946" s="1"/>
      <c r="B946" s="10" t="str">
        <f ca="1">IFERROR(__xludf.DUMMYFUNCTION("""COMPUTED_VALUE"""),"REPOSICIÓN CERCOS Y MEJORAMIENTO AREAS VERDES BAHIA MURTA Y PUERTO RIO TRANQUILO, COMUNA DE RIO IBAÑEZ")</f>
        <v>REPOSICIÓN CERCOS Y MEJORAMIENTO AREAS VERDES BAHIA MURTA Y PUERTO RIO TRANQUILO, COMUNA DE RIO IBAÑEZ</v>
      </c>
      <c r="C946" s="10" t="str">
        <f ca="1">IFERROR(__xludf.DUMMYFUNCTION("""COMPUTED_VALUE"""),"1-B-2024-162")</f>
        <v>1-B-2024-162</v>
      </c>
      <c r="D946" s="26"/>
      <c r="E946" s="10" t="str">
        <f ca="1">IFERROR(__xludf.DUMMYFUNCTION("""COMPUTED_VALUE"""),"Guía Operativa")</f>
        <v>Guía Operativa</v>
      </c>
      <c r="F946" s="10" t="str">
        <f ca="1">IFERROR(__xludf.DUMMYFUNCTION("""COMPUTED_VALUE"""),"MUNICIPALIDAD DE RÍO IBÁÑEZ")</f>
        <v>MUNICIPALIDAD DE RÍO IBÁÑEZ</v>
      </c>
      <c r="G946" s="71">
        <f ca="1">IFERROR(__xludf.DUMMYFUNCTION("""COMPUTED_VALUE"""),66136106)</f>
        <v>66136106</v>
      </c>
      <c r="H946" s="10" t="str">
        <f ca="1">IFERROR(__xludf.DUMMYFUNCTION("""COMPUTED_VALUE"""),"Resolución")</f>
        <v>Resolución</v>
      </c>
      <c r="I946" s="10" t="str">
        <f ca="1">IFERROR(__xludf.DUMMYFUNCTION("""COMPUTED_VALUE"""),"OBRA")</f>
        <v>OBRA</v>
      </c>
      <c r="J946" s="10" t="str">
        <f ca="1">IFERROR(__xludf.DUMMYFUNCTION("""COMPUTED_VALUE"""),"Cumplir con normativa y reglamentos internos del programa en base a los objetivos.")</f>
        <v>Cumplir con normativa y reglamentos internos del programa en base a los objetivos.</v>
      </c>
      <c r="K946" s="71">
        <f ca="1">IFERROR(__xludf.DUMMYFUNCTION("""COMPUTED_VALUE"""),66136106)</f>
        <v>66136106</v>
      </c>
      <c r="L946" s="72">
        <f ca="1">IFERROR(__xludf.DUMMYFUNCTION("""COMPUTED_VALUE"""),1)</f>
        <v>1</v>
      </c>
      <c r="M946" s="10">
        <f ca="1">IFERROR(__xludf.DUMMYFUNCTION("""COMPUTED_VALUE"""),9342)</f>
        <v>9342</v>
      </c>
      <c r="N946" s="10" t="str">
        <f ca="1">IFERROR(__xludf.DUMMYFUNCTION("""COMPUTED_VALUE"""),"PMU")</f>
        <v>PMU</v>
      </c>
      <c r="O946" s="1"/>
      <c r="P946" s="1"/>
      <c r="Q946" s="1"/>
      <c r="R946" s="1"/>
      <c r="S946" s="1"/>
      <c r="T946" s="1"/>
      <c r="U946" s="1"/>
      <c r="V946" s="1"/>
      <c r="W946" s="1"/>
      <c r="X946" s="1"/>
      <c r="Y946" s="1"/>
      <c r="Z946" s="1"/>
    </row>
    <row r="947" spans="1:26" ht="12.75" customHeight="1">
      <c r="A947" s="1"/>
      <c r="B947" s="10" t="str">
        <f ca="1">IFERROR(__xludf.DUMMYFUNCTION("""COMPUTED_VALUE"""),"REPARACIÓN SEÑALETICA TURISTICA COMUNAL Y HABILITACIÓN DE ESPACIOS PARA PUESTOS DE VENTA EN VILLA CERRO CASTILLO, COMUNA RIO IBAÑEZ")</f>
        <v>REPARACIÓN SEÑALETICA TURISTICA COMUNAL Y HABILITACIÓN DE ESPACIOS PARA PUESTOS DE VENTA EN VILLA CERRO CASTILLO, COMUNA RIO IBAÑEZ</v>
      </c>
      <c r="C947" s="10" t="str">
        <f ca="1">IFERROR(__xludf.DUMMYFUNCTION("""COMPUTED_VALUE"""),"1-B-2024-163")</f>
        <v>1-B-2024-163</v>
      </c>
      <c r="D947" s="26"/>
      <c r="E947" s="10" t="str">
        <f ca="1">IFERROR(__xludf.DUMMYFUNCTION("""COMPUTED_VALUE"""),"Guía Operativa")</f>
        <v>Guía Operativa</v>
      </c>
      <c r="F947" s="10" t="str">
        <f ca="1">IFERROR(__xludf.DUMMYFUNCTION("""COMPUTED_VALUE"""),"MUNICIPALIDAD DE RÍO IBÁÑEZ")</f>
        <v>MUNICIPALIDAD DE RÍO IBÁÑEZ</v>
      </c>
      <c r="G947" s="71">
        <f ca="1">IFERROR(__xludf.DUMMYFUNCTION("""COMPUTED_VALUE"""),38863894)</f>
        <v>38863894</v>
      </c>
      <c r="H947" s="10" t="str">
        <f ca="1">IFERROR(__xludf.DUMMYFUNCTION("""COMPUTED_VALUE"""),"Resolución")</f>
        <v>Resolución</v>
      </c>
      <c r="I947" s="10" t="str">
        <f ca="1">IFERROR(__xludf.DUMMYFUNCTION("""COMPUTED_VALUE"""),"OBRA")</f>
        <v>OBRA</v>
      </c>
      <c r="J947" s="10" t="str">
        <f ca="1">IFERROR(__xludf.DUMMYFUNCTION("""COMPUTED_VALUE"""),"Cumplir con normativa y reglamentos internos del programa en base a los objetivos.")</f>
        <v>Cumplir con normativa y reglamentos internos del programa en base a los objetivos.</v>
      </c>
      <c r="K947" s="71">
        <f ca="1">IFERROR(__xludf.DUMMYFUNCTION("""COMPUTED_VALUE"""),38863894)</f>
        <v>38863894</v>
      </c>
      <c r="L947" s="72">
        <f ca="1">IFERROR(__xludf.DUMMYFUNCTION("""COMPUTED_VALUE"""),1)</f>
        <v>1</v>
      </c>
      <c r="M947" s="10">
        <f ca="1">IFERROR(__xludf.DUMMYFUNCTION("""COMPUTED_VALUE"""),9342)</f>
        <v>9342</v>
      </c>
      <c r="N947" s="10" t="str">
        <f ca="1">IFERROR(__xludf.DUMMYFUNCTION("""COMPUTED_VALUE"""),"PMU")</f>
        <v>PMU</v>
      </c>
      <c r="O947" s="1"/>
      <c r="P947" s="1"/>
      <c r="Q947" s="1"/>
      <c r="R947" s="1"/>
      <c r="S947" s="1"/>
      <c r="T947" s="1"/>
      <c r="U947" s="1"/>
      <c r="V947" s="1"/>
      <c r="W947" s="1"/>
      <c r="X947" s="1"/>
      <c r="Y947" s="1"/>
      <c r="Z947" s="1"/>
    </row>
    <row r="948" spans="1:26" ht="12.75" customHeight="1">
      <c r="A948" s="1"/>
      <c r="B948" s="10" t="str">
        <f ca="1">IFERROR(__xludf.DUMMYFUNCTION("""COMPUTED_VALUE"""),"[SATE] MEJORAMIENTO PASARELAS DE MADERA, PUERTO TORO")</f>
        <v>[SATE] MEJORAMIENTO PASARELAS DE MADERA, PUERTO TORO</v>
      </c>
      <c r="C948" s="10" t="str">
        <f ca="1">IFERROR(__xludf.DUMMYFUNCTION("""COMPUTED_VALUE"""),"1-C-2023-939")</f>
        <v>1-C-2023-939</v>
      </c>
      <c r="D948" s="26"/>
      <c r="E948" s="10" t="str">
        <f ca="1">IFERROR(__xludf.DUMMYFUNCTION("""COMPUTED_VALUE"""),"Guía Operativa")</f>
        <v>Guía Operativa</v>
      </c>
      <c r="F948" s="10" t="str">
        <f ca="1">IFERROR(__xludf.DUMMYFUNCTION("""COMPUTED_VALUE"""),"MUNICIPALIDAD DE CABO DE HORNOS")</f>
        <v>MUNICIPALIDAD DE CABO DE HORNOS</v>
      </c>
      <c r="G948" s="71">
        <f ca="1">IFERROR(__xludf.DUMMYFUNCTION("""COMPUTED_VALUE"""),146276594)</f>
        <v>146276594</v>
      </c>
      <c r="H948" s="10" t="str">
        <f ca="1">IFERROR(__xludf.DUMMYFUNCTION("""COMPUTED_VALUE"""),"Resolución")</f>
        <v>Resolución</v>
      </c>
      <c r="I948" s="10" t="str">
        <f ca="1">IFERROR(__xludf.DUMMYFUNCTION("""COMPUTED_VALUE"""),"OBRA")</f>
        <v>OBRA</v>
      </c>
      <c r="J948" s="10" t="str">
        <f ca="1">IFERROR(__xludf.DUMMYFUNCTION("""COMPUTED_VALUE"""),"Cumplir con normativa y reglamentos internos del programa en base a los objetivos.")</f>
        <v>Cumplir con normativa y reglamentos internos del programa en base a los objetivos.</v>
      </c>
      <c r="K948" s="71">
        <f ca="1">IFERROR(__xludf.DUMMYFUNCTION("""COMPUTED_VALUE"""),73138297)</f>
        <v>73138297</v>
      </c>
      <c r="L948" s="72">
        <f ca="1">IFERROR(__xludf.DUMMYFUNCTION("""COMPUTED_VALUE"""),0.5)</f>
        <v>0.5</v>
      </c>
      <c r="M948" s="10">
        <f ca="1">IFERROR(__xludf.DUMMYFUNCTION("""COMPUTED_VALUE"""),9886)</f>
        <v>9886</v>
      </c>
      <c r="N948" s="10" t="str">
        <f ca="1">IFERROR(__xludf.DUMMYFUNCTION("""COMPUTED_VALUE"""),"PMU")</f>
        <v>PMU</v>
      </c>
      <c r="O948" s="1"/>
      <c r="P948" s="1"/>
      <c r="Q948" s="1"/>
      <c r="R948" s="1"/>
      <c r="S948" s="1"/>
      <c r="T948" s="1"/>
      <c r="U948" s="1"/>
      <c r="V948" s="1"/>
      <c r="W948" s="1"/>
      <c r="X948" s="1"/>
      <c r="Y948" s="1"/>
      <c r="Z948" s="1"/>
    </row>
    <row r="949" spans="1:26" ht="12.75" customHeight="1">
      <c r="A949" s="1"/>
      <c r="B949" s="10" t="str">
        <f ca="1">IFERROR(__xludf.DUMMYFUNCTION("""COMPUTED_VALUE"""),"CSV MEJORAMIENTO AREA VERDE Y PLAZOLETA JUAN WILLIAMS, PUNTA ARENAS")</f>
        <v>CSV MEJORAMIENTO AREA VERDE Y PLAZOLETA JUAN WILLIAMS, PUNTA ARENAS</v>
      </c>
      <c r="C949" s="10" t="str">
        <f ca="1">IFERROR(__xludf.DUMMYFUNCTION("""COMPUTED_VALUE"""),"1-C-2023-2774")</f>
        <v>1-C-2023-2774</v>
      </c>
      <c r="D949" s="26"/>
      <c r="E949" s="10" t="str">
        <f ca="1">IFERROR(__xludf.DUMMYFUNCTION("""COMPUTED_VALUE"""),"Guía Operativa")</f>
        <v>Guía Operativa</v>
      </c>
      <c r="F949" s="10" t="str">
        <f ca="1">IFERROR(__xludf.DUMMYFUNCTION("""COMPUTED_VALUE"""),"MUNICIPALIDAD DE PUNTA ARENAS")</f>
        <v>MUNICIPALIDAD DE PUNTA ARENAS</v>
      </c>
      <c r="G949" s="71">
        <f ca="1">IFERROR(__xludf.DUMMYFUNCTION("""COMPUTED_VALUE"""),148943914)</f>
        <v>148943914</v>
      </c>
      <c r="H949" s="10" t="str">
        <f ca="1">IFERROR(__xludf.DUMMYFUNCTION("""COMPUTED_VALUE"""),"Resolución")</f>
        <v>Resolución</v>
      </c>
      <c r="I949" s="10" t="str">
        <f ca="1">IFERROR(__xludf.DUMMYFUNCTION("""COMPUTED_VALUE"""),"OBRA")</f>
        <v>OBRA</v>
      </c>
      <c r="J949" s="10" t="str">
        <f ca="1">IFERROR(__xludf.DUMMYFUNCTION("""COMPUTED_VALUE"""),"Cumplir con normativa y reglamentos internos del programa en base a los objetivos.")</f>
        <v>Cumplir con normativa y reglamentos internos del programa en base a los objetivos.</v>
      </c>
      <c r="K949" s="71">
        <f ca="1">IFERROR(__xludf.DUMMYFUNCTION("""COMPUTED_VALUE"""),74471957)</f>
        <v>74471957</v>
      </c>
      <c r="L949" s="72">
        <f ca="1">IFERROR(__xludf.DUMMYFUNCTION("""COMPUTED_VALUE"""),0.5)</f>
        <v>0.5</v>
      </c>
      <c r="M949" s="10">
        <f ca="1">IFERROR(__xludf.DUMMYFUNCTION("""COMPUTED_VALUE"""),10039)</f>
        <v>10039</v>
      </c>
      <c r="N949" s="10" t="str">
        <f ca="1">IFERROR(__xludf.DUMMYFUNCTION("""COMPUTED_VALUE"""),"PMU")</f>
        <v>PMU</v>
      </c>
      <c r="O949" s="1"/>
      <c r="P949" s="1"/>
      <c r="Q949" s="1"/>
      <c r="R949" s="1"/>
      <c r="S949" s="1"/>
      <c r="T949" s="1"/>
      <c r="U949" s="1"/>
      <c r="V949" s="1"/>
      <c r="W949" s="1"/>
      <c r="X949" s="1"/>
      <c r="Y949" s="1"/>
      <c r="Z949" s="1"/>
    </row>
    <row r="950" spans="1:26" ht="12.75" customHeight="1">
      <c r="A950" s="1"/>
      <c r="B950" s="10" t="str">
        <f ca="1">IFERROR(__xludf.DUMMYFUNCTION("""COMPUTED_VALUE"""),"CONSTRUCCIÓN DEL CENTRO ADULTO MAYOR, VILLA LO MARCOLETA")</f>
        <v>CONSTRUCCIÓN DEL CENTRO ADULTO MAYOR, VILLA LO MARCOLETA</v>
      </c>
      <c r="C950" s="10" t="str">
        <f ca="1">IFERROR(__xludf.DUMMYFUNCTION("""COMPUTED_VALUE"""),"1-C-2015-2527")</f>
        <v>1-C-2015-2527</v>
      </c>
      <c r="D950" s="26"/>
      <c r="E950" s="10" t="str">
        <f ca="1">IFERROR(__xludf.DUMMYFUNCTION("""COMPUTED_VALUE"""),"Guía Operativa")</f>
        <v>Guía Operativa</v>
      </c>
      <c r="F950" s="10" t="str">
        <f ca="1">IFERROR(__xludf.DUMMYFUNCTION("""COMPUTED_VALUE"""),"MUNICIPALIDAD DE QUILICURA")</f>
        <v>MUNICIPALIDAD DE QUILICURA</v>
      </c>
      <c r="G950" s="71">
        <f ca="1">IFERROR(__xludf.DUMMYFUNCTION("""COMPUTED_VALUE"""),59778867)</f>
        <v>59778867</v>
      </c>
      <c r="H950" s="10" t="str">
        <f ca="1">IFERROR(__xludf.DUMMYFUNCTION("""COMPUTED_VALUE"""),"Resolución")</f>
        <v>Resolución</v>
      </c>
      <c r="I950" s="10" t="str">
        <f ca="1">IFERROR(__xludf.DUMMYFUNCTION("""COMPUTED_VALUE"""),"OBRA")</f>
        <v>OBRA</v>
      </c>
      <c r="J950" s="10" t="str">
        <f ca="1">IFERROR(__xludf.DUMMYFUNCTION("""COMPUTED_VALUE"""),"Cumplir con normativa y reglamentos internos del programa en base a los objetivos.")</f>
        <v>Cumplir con normativa y reglamentos internos del programa en base a los objetivos.</v>
      </c>
      <c r="K950" s="71">
        <f ca="1">IFERROR(__xludf.DUMMYFUNCTION("""COMPUTED_VALUE"""),2779199)</f>
        <v>2779199</v>
      </c>
      <c r="L950" s="72">
        <f ca="1">IFERROR(__xludf.DUMMYFUNCTION("""COMPUTED_VALUE"""),1)</f>
        <v>1</v>
      </c>
      <c r="M950" s="10">
        <f ca="1">IFERROR(__xludf.DUMMYFUNCTION("""COMPUTED_VALUE"""),37961)</f>
        <v>37961</v>
      </c>
      <c r="N950" s="10" t="str">
        <f ca="1">IFERROR(__xludf.DUMMYFUNCTION("""COMPUTED_VALUE"""),"PMU")</f>
        <v>PMU</v>
      </c>
      <c r="O950" s="1"/>
      <c r="P950" s="1"/>
      <c r="Q950" s="1"/>
      <c r="R950" s="1"/>
      <c r="S950" s="1"/>
      <c r="T950" s="1"/>
      <c r="U950" s="1"/>
      <c r="V950" s="1"/>
      <c r="W950" s="1"/>
      <c r="X950" s="1"/>
      <c r="Y950" s="1"/>
      <c r="Z950" s="1"/>
    </row>
    <row r="951" spans="1:26" ht="12.75" customHeight="1">
      <c r="A951" s="1"/>
      <c r="B951" s="10" t="str">
        <f ca="1">IFERROR(__xludf.DUMMYFUNCTION("""COMPUTED_VALUE"""),"MEJORAMIENTO MULTICANCHA VILLA CANADA SUR, COMUNA DE ÑUÑOA")</f>
        <v>MEJORAMIENTO MULTICANCHA VILLA CANADA SUR, COMUNA DE ÑUÑOA</v>
      </c>
      <c r="C951" s="10" t="str">
        <f ca="1">IFERROR(__xludf.DUMMYFUNCTION("""COMPUTED_VALUE"""),"1-C-2018-862")</f>
        <v>1-C-2018-862</v>
      </c>
      <c r="D951" s="26"/>
      <c r="E951" s="10" t="str">
        <f ca="1">IFERROR(__xludf.DUMMYFUNCTION("""COMPUTED_VALUE"""),"Guía Operativa")</f>
        <v>Guía Operativa</v>
      </c>
      <c r="F951" s="10" t="str">
        <f ca="1">IFERROR(__xludf.DUMMYFUNCTION("""COMPUTED_VALUE"""),"MUNICIPALIDAD DE ÑUÑOA")</f>
        <v>MUNICIPALIDAD DE ÑUÑOA</v>
      </c>
      <c r="G951" s="71">
        <f ca="1">IFERROR(__xludf.DUMMYFUNCTION("""COMPUTED_VALUE"""),51266850)</f>
        <v>51266850</v>
      </c>
      <c r="H951" s="10" t="str">
        <f ca="1">IFERROR(__xludf.DUMMYFUNCTION("""COMPUTED_VALUE"""),"Resolución")</f>
        <v>Resolución</v>
      </c>
      <c r="I951" s="10" t="str">
        <f ca="1">IFERROR(__xludf.DUMMYFUNCTION("""COMPUTED_VALUE"""),"OBRA")</f>
        <v>OBRA</v>
      </c>
      <c r="J951" s="10" t="str">
        <f ca="1">IFERROR(__xludf.DUMMYFUNCTION("""COMPUTED_VALUE"""),"Cumplir con normativa y reglamentos internos del programa en base a los objetivos.")</f>
        <v>Cumplir con normativa y reglamentos internos del programa en base a los objetivos.</v>
      </c>
      <c r="K951" s="71">
        <f ca="1">IFERROR(__xludf.DUMMYFUNCTION("""COMPUTED_VALUE"""),10500469)</f>
        <v>10500469</v>
      </c>
      <c r="L951" s="72">
        <f ca="1">IFERROR(__xludf.DUMMYFUNCTION("""COMPUTED_VALUE"""),0.904819859226771)</f>
        <v>0.90481985922677099</v>
      </c>
      <c r="M951" s="10">
        <f ca="1">IFERROR(__xludf.DUMMYFUNCTION("""COMPUTED_VALUE"""),9533)</f>
        <v>9533</v>
      </c>
      <c r="N951" s="10" t="str">
        <f ca="1">IFERROR(__xludf.DUMMYFUNCTION("""COMPUTED_VALUE"""),"PMU")</f>
        <v>PMU</v>
      </c>
      <c r="O951" s="1"/>
      <c r="P951" s="1"/>
      <c r="Q951" s="1"/>
      <c r="R951" s="1"/>
      <c r="S951" s="1"/>
      <c r="T951" s="1"/>
      <c r="U951" s="1"/>
      <c r="V951" s="1"/>
      <c r="W951" s="1"/>
      <c r="X951" s="1"/>
      <c r="Y951" s="1"/>
      <c r="Z951" s="1"/>
    </row>
    <row r="952" spans="1:26" ht="12.75" customHeight="1">
      <c r="A952" s="1"/>
      <c r="B952" s="10" t="str">
        <f ca="1">IFERROR(__xludf.DUMMYFUNCTION("""COMPUTED_VALUE"""),"SPD AMPLIACION CAMARAS DE VIGILANCIA, COMUNA DE BUIN")</f>
        <v>SPD AMPLIACION CAMARAS DE VIGILANCIA, COMUNA DE BUIN</v>
      </c>
      <c r="C952" s="10" t="str">
        <f ca="1">IFERROR(__xludf.DUMMYFUNCTION("""COMPUTED_VALUE"""),"1-C-2020-127")</f>
        <v>1-C-2020-127</v>
      </c>
      <c r="D952" s="26"/>
      <c r="E952" s="10" t="str">
        <f ca="1">IFERROR(__xludf.DUMMYFUNCTION("""COMPUTED_VALUE"""),"Guía Operativa")</f>
        <v>Guía Operativa</v>
      </c>
      <c r="F952" s="10" t="str">
        <f ca="1">IFERROR(__xludf.DUMMYFUNCTION("""COMPUTED_VALUE"""),"MUNICIPALIDAD DE BUIN")</f>
        <v>MUNICIPALIDAD DE BUIN</v>
      </c>
      <c r="G952" s="71">
        <f ca="1">IFERROR(__xludf.DUMMYFUNCTION("""COMPUTED_VALUE"""),59775080)</f>
        <v>59775080</v>
      </c>
      <c r="H952" s="10" t="str">
        <f ca="1">IFERROR(__xludf.DUMMYFUNCTION("""COMPUTED_VALUE"""),"Resolución")</f>
        <v>Resolución</v>
      </c>
      <c r="I952" s="10" t="str">
        <f ca="1">IFERROR(__xludf.DUMMYFUNCTION("""COMPUTED_VALUE"""),"OBRA")</f>
        <v>OBRA</v>
      </c>
      <c r="J952" s="10" t="str">
        <f ca="1">IFERROR(__xludf.DUMMYFUNCTION("""COMPUTED_VALUE"""),"Cumplir con normativa y reglamentos internos del programa en base a los objetivos.")</f>
        <v>Cumplir con normativa y reglamentos internos del programa en base a los objetivos.</v>
      </c>
      <c r="K952" s="71">
        <f ca="1">IFERROR(__xludf.DUMMYFUNCTION("""COMPUTED_VALUE"""),5757444)</f>
        <v>5757444</v>
      </c>
      <c r="L952" s="72">
        <f ca="1">IFERROR(__xludf.DUMMYFUNCTION("""COMPUTED_VALUE"""),0.796318465822212)</f>
        <v>0.796318465822212</v>
      </c>
      <c r="M952" s="10">
        <f ca="1">IFERROR(__xludf.DUMMYFUNCTION("""COMPUTED_VALUE"""),9556)</f>
        <v>9556</v>
      </c>
      <c r="N952" s="10" t="str">
        <f ca="1">IFERROR(__xludf.DUMMYFUNCTION("""COMPUTED_VALUE"""),"PMU")</f>
        <v>PMU</v>
      </c>
      <c r="O952" s="1"/>
      <c r="P952" s="1"/>
      <c r="Q952" s="1"/>
      <c r="R952" s="1"/>
      <c r="S952" s="1"/>
      <c r="T952" s="1"/>
      <c r="U952" s="1"/>
      <c r="V952" s="1"/>
      <c r="W952" s="1"/>
      <c r="X952" s="1"/>
      <c r="Y952" s="1"/>
      <c r="Z952" s="1"/>
    </row>
    <row r="953" spans="1:26" ht="12.75" customHeight="1">
      <c r="A953" s="1"/>
      <c r="B953" s="10" t="str">
        <f ca="1">IFERROR(__xludf.DUMMYFUNCTION("""COMPUTED_VALUE"""),"REPOSICIÓN MULTICANCHA ANDRÓMEDA, BARRIO SOL PONIENTE, MAIPÚ")</f>
        <v>REPOSICIÓN MULTICANCHA ANDRÓMEDA, BARRIO SOL PONIENTE, MAIPÚ</v>
      </c>
      <c r="C953" s="10" t="str">
        <f ca="1">IFERROR(__xludf.DUMMYFUNCTION("""COMPUTED_VALUE"""),"1-C-2020-1278 [FET]")</f>
        <v>1-C-2020-1278 [FET]</v>
      </c>
      <c r="D953" s="26"/>
      <c r="E953" s="10" t="str">
        <f ca="1">IFERROR(__xludf.DUMMYFUNCTION("""COMPUTED_VALUE"""),"Guía Operativa")</f>
        <v>Guía Operativa</v>
      </c>
      <c r="F953" s="10" t="str">
        <f ca="1">IFERROR(__xludf.DUMMYFUNCTION("""COMPUTED_VALUE"""),"MUNICIPALIDAD DE MAIPÚ")</f>
        <v>MUNICIPALIDAD DE MAIPÚ</v>
      </c>
      <c r="G953" s="71">
        <f ca="1">IFERROR(__xludf.DUMMYFUNCTION("""COMPUTED_VALUE"""),87191826)</f>
        <v>87191826</v>
      </c>
      <c r="H953" s="10" t="str">
        <f ca="1">IFERROR(__xludf.DUMMYFUNCTION("""COMPUTED_VALUE"""),"Resolución")</f>
        <v>Resolución</v>
      </c>
      <c r="I953" s="10" t="str">
        <f ca="1">IFERROR(__xludf.DUMMYFUNCTION("""COMPUTED_VALUE"""),"OBRA")</f>
        <v>OBRA</v>
      </c>
      <c r="J953" s="10" t="str">
        <f ca="1">IFERROR(__xludf.DUMMYFUNCTION("""COMPUTED_VALUE"""),"Cumplir con normativa y reglamentos internos del programa en base a los objetivos.")</f>
        <v>Cumplir con normativa y reglamentos internos del programa en base a los objetivos.</v>
      </c>
      <c r="K953" s="71">
        <f ca="1">IFERROR(__xludf.DUMMYFUNCTION("""COMPUTED_VALUE"""),19519352)</f>
        <v>19519352</v>
      </c>
      <c r="L953" s="72">
        <f ca="1">IFERROR(__xludf.DUMMYFUNCTION("""COMPUTED_VALUE"""),1)</f>
        <v>1</v>
      </c>
      <c r="M953" s="10">
        <f ca="1">IFERROR(__xludf.DUMMYFUNCTION("""COMPUTED_VALUE"""),4754)</f>
        <v>4754</v>
      </c>
      <c r="N953" s="10" t="str">
        <f ca="1">IFERROR(__xludf.DUMMYFUNCTION("""COMPUTED_VALUE"""),"PMU")</f>
        <v>PMU</v>
      </c>
      <c r="O953" s="1"/>
      <c r="P953" s="1"/>
      <c r="Q953" s="1"/>
      <c r="R953" s="1"/>
      <c r="S953" s="1"/>
      <c r="T953" s="1"/>
      <c r="U953" s="1"/>
      <c r="V953" s="1"/>
      <c r="W953" s="1"/>
      <c r="X953" s="1"/>
      <c r="Y953" s="1"/>
      <c r="Z953" s="1"/>
    </row>
    <row r="954" spans="1:26" ht="12.75" customHeight="1">
      <c r="A954" s="1"/>
      <c r="B954" s="10" t="str">
        <f ca="1">IFERROR(__xludf.DUMMYFUNCTION("""COMPUTED_VALUE"""),"SPD AUMENTO DEL SISTEMA DE TELEVIGILANCIA, ZONA CRITICA DE LA COMUNA DE SANTIAGO")</f>
        <v>SPD AUMENTO DEL SISTEMA DE TELEVIGILANCIA, ZONA CRITICA DE LA COMUNA DE SANTIAGO</v>
      </c>
      <c r="C954" s="10" t="str">
        <f ca="1">IFERROR(__xludf.DUMMYFUNCTION("""COMPUTED_VALUE"""),"1-C-2020-1282")</f>
        <v>1-C-2020-1282</v>
      </c>
      <c r="D954" s="26"/>
      <c r="E954" s="10" t="str">
        <f ca="1">IFERROR(__xludf.DUMMYFUNCTION("""COMPUTED_VALUE"""),"Guía Operativa")</f>
        <v>Guía Operativa</v>
      </c>
      <c r="F954" s="10" t="str">
        <f ca="1">IFERROR(__xludf.DUMMYFUNCTION("""COMPUTED_VALUE"""),"MUNICIPALIDAD DE SANTIAGO")</f>
        <v>MUNICIPALIDAD DE SANTIAGO</v>
      </c>
      <c r="G954" s="71">
        <f ca="1">IFERROR(__xludf.DUMMYFUNCTION("""COMPUTED_VALUE"""),59329053)</f>
        <v>59329053</v>
      </c>
      <c r="H954" s="10" t="str">
        <f ca="1">IFERROR(__xludf.DUMMYFUNCTION("""COMPUTED_VALUE"""),"Resolución")</f>
        <v>Resolución</v>
      </c>
      <c r="I954" s="10" t="str">
        <f ca="1">IFERROR(__xludf.DUMMYFUNCTION("""COMPUTED_VALUE"""),"OBRA")</f>
        <v>OBRA</v>
      </c>
      <c r="J954" s="10" t="str">
        <f ca="1">IFERROR(__xludf.DUMMYFUNCTION("""COMPUTED_VALUE"""),"Cumplir con normativa y reglamentos internos del programa en base a los objetivos.")</f>
        <v>Cumplir con normativa y reglamentos internos del programa en base a los objetivos.</v>
      </c>
      <c r="K954" s="71">
        <f ca="1">IFERROR(__xludf.DUMMYFUNCTION("""COMPUTED_VALUE"""),21820050)</f>
        <v>21820050</v>
      </c>
      <c r="L954" s="72">
        <f ca="1">IFERROR(__xludf.DUMMYFUNCTION("""COMPUTED_VALUE"""),0.8677801919407)</f>
        <v>0.8677801919407</v>
      </c>
      <c r="M954" s="10">
        <f ca="1">IFERROR(__xludf.DUMMYFUNCTION("""COMPUTED_VALUE"""),8207)</f>
        <v>8207</v>
      </c>
      <c r="N954" s="10" t="str">
        <f ca="1">IFERROR(__xludf.DUMMYFUNCTION("""COMPUTED_VALUE"""),"PMU")</f>
        <v>PMU</v>
      </c>
      <c r="O954" s="1"/>
      <c r="P954" s="1"/>
      <c r="Q954" s="1"/>
      <c r="R954" s="1"/>
      <c r="S954" s="1"/>
      <c r="T954" s="1"/>
      <c r="U954" s="1"/>
      <c r="V954" s="1"/>
      <c r="W954" s="1"/>
      <c r="X954" s="1"/>
      <c r="Y954" s="1"/>
      <c r="Z954" s="1"/>
    </row>
    <row r="955" spans="1:26" ht="12.75" customHeight="1">
      <c r="A955" s="1"/>
      <c r="B955" s="10" t="str">
        <f ca="1">IFERROR(__xludf.DUMMYFUNCTION("""COMPUTED_VALUE"""),"MEJORAMIENTO ZONA DE JUEGOS INFANTILES PLATABANDA YUNGAY, COMUNA DE SANTIAGO")</f>
        <v>MEJORAMIENTO ZONA DE JUEGOS INFANTILES PLATABANDA YUNGAY, COMUNA DE SANTIAGO</v>
      </c>
      <c r="C955" s="10" t="str">
        <f ca="1">IFERROR(__xludf.DUMMYFUNCTION("""COMPUTED_VALUE"""),"1-C-2022-1632")</f>
        <v>1-C-2022-1632</v>
      </c>
      <c r="D955" s="26"/>
      <c r="E955" s="10" t="str">
        <f ca="1">IFERROR(__xludf.DUMMYFUNCTION("""COMPUTED_VALUE"""),"Guía Operativa")</f>
        <v>Guía Operativa</v>
      </c>
      <c r="F955" s="10" t="str">
        <f ca="1">IFERROR(__xludf.DUMMYFUNCTION("""COMPUTED_VALUE"""),"MUNICIPALIDAD DE SANTIAGO")</f>
        <v>MUNICIPALIDAD DE SANTIAGO</v>
      </c>
      <c r="G955" s="71">
        <f ca="1">IFERROR(__xludf.DUMMYFUNCTION("""COMPUTED_VALUE"""),134029690)</f>
        <v>134029690</v>
      </c>
      <c r="H955" s="10" t="str">
        <f ca="1">IFERROR(__xludf.DUMMYFUNCTION("""COMPUTED_VALUE"""),"Resolución")</f>
        <v>Resolución</v>
      </c>
      <c r="I955" s="10" t="str">
        <f ca="1">IFERROR(__xludf.DUMMYFUNCTION("""COMPUTED_VALUE"""),"OBRA")</f>
        <v>OBRA</v>
      </c>
      <c r="J955" s="10" t="str">
        <f ca="1">IFERROR(__xludf.DUMMYFUNCTION("""COMPUTED_VALUE"""),"Cumplir con normativa y reglamentos internos del programa en base a los objetivos.")</f>
        <v>Cumplir con normativa y reglamentos internos del programa en base a los objetivos.</v>
      </c>
      <c r="K955" s="71">
        <f ca="1">IFERROR(__xludf.DUMMYFUNCTION("""COMPUTED_VALUE"""),67014845)</f>
        <v>67014845</v>
      </c>
      <c r="L955" s="72">
        <f ca="1">IFERROR(__xludf.DUMMYFUNCTION("""COMPUTED_VALUE"""),0.5)</f>
        <v>0.5</v>
      </c>
      <c r="M955" s="10">
        <f ca="1">IFERROR(__xludf.DUMMYFUNCTION("""COMPUTED_VALUE"""),10337)</f>
        <v>10337</v>
      </c>
      <c r="N955" s="10" t="str">
        <f ca="1">IFERROR(__xludf.DUMMYFUNCTION("""COMPUTED_VALUE"""),"PMU")</f>
        <v>PMU</v>
      </c>
      <c r="O955" s="1"/>
      <c r="P955" s="1"/>
      <c r="Q955" s="1"/>
      <c r="R955" s="1"/>
      <c r="S955" s="1"/>
      <c r="T955" s="1"/>
      <c r="U955" s="1"/>
      <c r="V955" s="1"/>
      <c r="W955" s="1"/>
      <c r="X955" s="1"/>
      <c r="Y955" s="1"/>
      <c r="Z955" s="1"/>
    </row>
    <row r="956" spans="1:26" ht="12.75" customHeight="1">
      <c r="A956" s="1"/>
      <c r="B956" s="10" t="str">
        <f ca="1">IFERROR(__xludf.DUMMYFUNCTION("""COMPUTED_VALUE"""),"CONSTRUCCION ZONA DE JUEGOS INFANTILES PLAZA ANDACOLLO, COMUNA DE SANTIAGO")</f>
        <v>CONSTRUCCION ZONA DE JUEGOS INFANTILES PLAZA ANDACOLLO, COMUNA DE SANTIAGO</v>
      </c>
      <c r="C956" s="10" t="str">
        <f ca="1">IFERROR(__xludf.DUMMYFUNCTION("""COMPUTED_VALUE"""),"1-C-2022-1633")</f>
        <v>1-C-2022-1633</v>
      </c>
      <c r="D956" s="26"/>
      <c r="E956" s="10" t="str">
        <f ca="1">IFERROR(__xludf.DUMMYFUNCTION("""COMPUTED_VALUE"""),"Guía Operativa")</f>
        <v>Guía Operativa</v>
      </c>
      <c r="F956" s="10" t="str">
        <f ca="1">IFERROR(__xludf.DUMMYFUNCTION("""COMPUTED_VALUE"""),"MUNICIPALIDAD DE SANTIAGO")</f>
        <v>MUNICIPALIDAD DE SANTIAGO</v>
      </c>
      <c r="G956" s="71">
        <f ca="1">IFERROR(__xludf.DUMMYFUNCTION("""COMPUTED_VALUE"""),95359728)</f>
        <v>95359728</v>
      </c>
      <c r="H956" s="10" t="str">
        <f ca="1">IFERROR(__xludf.DUMMYFUNCTION("""COMPUTED_VALUE"""),"Resolución")</f>
        <v>Resolución</v>
      </c>
      <c r="I956" s="10" t="str">
        <f ca="1">IFERROR(__xludf.DUMMYFUNCTION("""COMPUTED_VALUE"""),"OBRA")</f>
        <v>OBRA</v>
      </c>
      <c r="J956" s="10" t="str">
        <f ca="1">IFERROR(__xludf.DUMMYFUNCTION("""COMPUTED_VALUE"""),"Cumplir con normativa y reglamentos internos del programa en base a los objetivos.")</f>
        <v>Cumplir con normativa y reglamentos internos del programa en base a los objetivos.</v>
      </c>
      <c r="K956" s="71">
        <f ca="1">IFERROR(__xludf.DUMMYFUNCTION("""COMPUTED_VALUE"""),47679864)</f>
        <v>47679864</v>
      </c>
      <c r="L956" s="72">
        <f ca="1">IFERROR(__xludf.DUMMYFUNCTION("""COMPUTED_VALUE"""),0.5)</f>
        <v>0.5</v>
      </c>
      <c r="M956" s="10">
        <f ca="1">IFERROR(__xludf.DUMMYFUNCTION("""COMPUTED_VALUE"""),10337)</f>
        <v>10337</v>
      </c>
      <c r="N956" s="10" t="str">
        <f ca="1">IFERROR(__xludf.DUMMYFUNCTION("""COMPUTED_VALUE"""),"PMU")</f>
        <v>PMU</v>
      </c>
      <c r="O956" s="1"/>
      <c r="P956" s="1"/>
      <c r="Q956" s="1"/>
      <c r="R956" s="1"/>
      <c r="S956" s="1"/>
      <c r="T956" s="1"/>
      <c r="U956" s="1"/>
      <c r="V956" s="1"/>
      <c r="W956" s="1"/>
      <c r="X956" s="1"/>
      <c r="Y956" s="1"/>
      <c r="Z956" s="1"/>
    </row>
    <row r="957" spans="1:26" ht="12.75" customHeight="1">
      <c r="A957" s="1"/>
      <c r="B957" s="10" t="str">
        <f ca="1">IFERROR(__xludf.DUMMYFUNCTION("""COMPUTED_VALUE"""),"MEJORAMIENTO DE JUEGOS INFANTILES PLAZA DE LOS NIÑOS, COMUNA DE SANTIAGO")</f>
        <v>MEJORAMIENTO DE JUEGOS INFANTILES PLAZA DE LOS NIÑOS, COMUNA DE SANTIAGO</v>
      </c>
      <c r="C957" s="10" t="str">
        <f ca="1">IFERROR(__xludf.DUMMYFUNCTION("""COMPUTED_VALUE"""),"1-C-2022-1634")</f>
        <v>1-C-2022-1634</v>
      </c>
      <c r="D957" s="26"/>
      <c r="E957" s="10" t="str">
        <f ca="1">IFERROR(__xludf.DUMMYFUNCTION("""COMPUTED_VALUE"""),"Guía Operativa")</f>
        <v>Guía Operativa</v>
      </c>
      <c r="F957" s="10" t="str">
        <f ca="1">IFERROR(__xludf.DUMMYFUNCTION("""COMPUTED_VALUE"""),"MUNICIPALIDAD DE SANTIAGO")</f>
        <v>MUNICIPALIDAD DE SANTIAGO</v>
      </c>
      <c r="G957" s="71">
        <f ca="1">IFERROR(__xludf.DUMMYFUNCTION("""COMPUTED_VALUE"""),160884341)</f>
        <v>160884341</v>
      </c>
      <c r="H957" s="10" t="str">
        <f ca="1">IFERROR(__xludf.DUMMYFUNCTION("""COMPUTED_VALUE"""),"Resolución")</f>
        <v>Resolución</v>
      </c>
      <c r="I957" s="10" t="str">
        <f ca="1">IFERROR(__xludf.DUMMYFUNCTION("""COMPUTED_VALUE"""),"OBRA")</f>
        <v>OBRA</v>
      </c>
      <c r="J957" s="10" t="str">
        <f ca="1">IFERROR(__xludf.DUMMYFUNCTION("""COMPUTED_VALUE"""),"Cumplir con normativa y reglamentos internos del programa en base a los objetivos.")</f>
        <v>Cumplir con normativa y reglamentos internos del programa en base a los objetivos.</v>
      </c>
      <c r="K957" s="71">
        <f ca="1">IFERROR(__xludf.DUMMYFUNCTION("""COMPUTED_VALUE"""),80442171)</f>
        <v>80442171</v>
      </c>
      <c r="L957" s="72">
        <f ca="1">IFERROR(__xludf.DUMMYFUNCTION("""COMPUTED_VALUE"""),0.500000003107822)</f>
        <v>0.500000003107822</v>
      </c>
      <c r="M957" s="10">
        <f ca="1">IFERROR(__xludf.DUMMYFUNCTION("""COMPUTED_VALUE"""),10337)</f>
        <v>10337</v>
      </c>
      <c r="N957" s="10" t="str">
        <f ca="1">IFERROR(__xludf.DUMMYFUNCTION("""COMPUTED_VALUE"""),"PMU")</f>
        <v>PMU</v>
      </c>
      <c r="O957" s="1"/>
      <c r="P957" s="1"/>
      <c r="Q957" s="1"/>
      <c r="R957" s="1"/>
      <c r="S957" s="1"/>
      <c r="T957" s="1"/>
      <c r="U957" s="1"/>
      <c r="V957" s="1"/>
      <c r="W957" s="1"/>
      <c r="X957" s="1"/>
      <c r="Y957" s="1"/>
      <c r="Z957" s="1"/>
    </row>
    <row r="958" spans="1:26" ht="12.75" customHeight="1">
      <c r="A958" s="1"/>
      <c r="B958" s="10" t="str">
        <f ca="1">IFERROR(__xludf.DUMMYFUNCTION("""COMPUTED_VALUE"""),"MEJORAMIENTO MULTICANCHA FEDERICO ERRAZURIZ Y JOSE JOAQUIN PEREZ")</f>
        <v>MEJORAMIENTO MULTICANCHA FEDERICO ERRAZURIZ Y JOSE JOAQUIN PEREZ</v>
      </c>
      <c r="C958" s="10" t="str">
        <f ca="1">IFERROR(__xludf.DUMMYFUNCTION("""COMPUTED_VALUE"""),"1-C-2023-714")</f>
        <v>1-C-2023-714</v>
      </c>
      <c r="D958" s="26"/>
      <c r="E958" s="10" t="str">
        <f ca="1">IFERROR(__xludf.DUMMYFUNCTION("""COMPUTED_VALUE"""),"Guía Operativa")</f>
        <v>Guía Operativa</v>
      </c>
      <c r="F958" s="10" t="str">
        <f ca="1">IFERROR(__xludf.DUMMYFUNCTION("""COMPUTED_VALUE"""),"MUNICIPALIDAD DE TALAGANTE")</f>
        <v>MUNICIPALIDAD DE TALAGANTE</v>
      </c>
      <c r="G958" s="71">
        <f ca="1">IFERROR(__xludf.DUMMYFUNCTION("""COMPUTED_VALUE"""),151290826)</f>
        <v>151290826</v>
      </c>
      <c r="H958" s="10" t="str">
        <f ca="1">IFERROR(__xludf.DUMMYFUNCTION("""COMPUTED_VALUE"""),"Resolución")</f>
        <v>Resolución</v>
      </c>
      <c r="I958" s="10" t="str">
        <f ca="1">IFERROR(__xludf.DUMMYFUNCTION("""COMPUTED_VALUE"""),"OBRA")</f>
        <v>OBRA</v>
      </c>
      <c r="J958" s="10" t="str">
        <f ca="1">IFERROR(__xludf.DUMMYFUNCTION("""COMPUTED_VALUE"""),"Cumplir con normativa y reglamentos internos del programa en base a los objetivos.")</f>
        <v>Cumplir con normativa y reglamentos internos del programa en base a los objetivos.</v>
      </c>
      <c r="K958" s="71">
        <f ca="1">IFERROR(__xludf.DUMMYFUNCTION("""COMPUTED_VALUE"""),75645413)</f>
        <v>75645413</v>
      </c>
      <c r="L958" s="72">
        <f ca="1">IFERROR(__xludf.DUMMYFUNCTION("""COMPUTED_VALUE"""),0.5)</f>
        <v>0.5</v>
      </c>
      <c r="M958" s="10">
        <f ca="1">IFERROR(__xludf.DUMMYFUNCTION("""COMPUTED_VALUE"""),10385)</f>
        <v>10385</v>
      </c>
      <c r="N958" s="10" t="str">
        <f ca="1">IFERROR(__xludf.DUMMYFUNCTION("""COMPUTED_VALUE"""),"PMU")</f>
        <v>PMU</v>
      </c>
      <c r="O958" s="1"/>
      <c r="P958" s="1"/>
      <c r="Q958" s="1"/>
      <c r="R958" s="1"/>
      <c r="S958" s="1"/>
      <c r="T958" s="1"/>
      <c r="U958" s="1"/>
      <c r="V958" s="1"/>
      <c r="W958" s="1"/>
      <c r="X958" s="1"/>
      <c r="Y958" s="1"/>
      <c r="Z958" s="1"/>
    </row>
    <row r="959" spans="1:26" ht="12.75" customHeight="1">
      <c r="A959" s="1"/>
      <c r="B959" s="10" t="str">
        <f ca="1">IFERROR(__xludf.DUMMYFUNCTION("""COMPUTED_VALUE"""),"MEJORAMIENTO PLAZA CHOROMBO ALTO")</f>
        <v>MEJORAMIENTO PLAZA CHOROMBO ALTO</v>
      </c>
      <c r="C959" s="10" t="str">
        <f ca="1">IFERROR(__xludf.DUMMYFUNCTION("""COMPUTED_VALUE"""),"1-C-2023-758")</f>
        <v>1-C-2023-758</v>
      </c>
      <c r="D959" s="26"/>
      <c r="E959" s="10" t="str">
        <f ca="1">IFERROR(__xludf.DUMMYFUNCTION("""COMPUTED_VALUE"""),"Guía Operativa")</f>
        <v>Guía Operativa</v>
      </c>
      <c r="F959" s="10" t="str">
        <f ca="1">IFERROR(__xludf.DUMMYFUNCTION("""COMPUTED_VALUE"""),"MUNICIPALIDAD DE MARÍA PINTO")</f>
        <v>MUNICIPALIDAD DE MARÍA PINTO</v>
      </c>
      <c r="G959" s="71">
        <f ca="1">IFERROR(__xludf.DUMMYFUNCTION("""COMPUTED_VALUE"""),154422422)</f>
        <v>154422422</v>
      </c>
      <c r="H959" s="10" t="str">
        <f ca="1">IFERROR(__xludf.DUMMYFUNCTION("""COMPUTED_VALUE"""),"Resolución")</f>
        <v>Resolución</v>
      </c>
      <c r="I959" s="10" t="str">
        <f ca="1">IFERROR(__xludf.DUMMYFUNCTION("""COMPUTED_VALUE"""),"OBRA")</f>
        <v>OBRA</v>
      </c>
      <c r="J959" s="10" t="str">
        <f ca="1">IFERROR(__xludf.DUMMYFUNCTION("""COMPUTED_VALUE"""),"Cumplir con normativa y reglamentos internos del programa en base a los objetivos.")</f>
        <v>Cumplir con normativa y reglamentos internos del programa en base a los objetivos.</v>
      </c>
      <c r="K959" s="71">
        <f ca="1">IFERROR(__xludf.DUMMYFUNCTION("""COMPUTED_VALUE"""),77211211)</f>
        <v>77211211</v>
      </c>
      <c r="L959" s="72">
        <f ca="1">IFERROR(__xludf.DUMMYFUNCTION("""COMPUTED_VALUE"""),0.5)</f>
        <v>0.5</v>
      </c>
      <c r="M959" s="10">
        <f ca="1">IFERROR(__xludf.DUMMYFUNCTION("""COMPUTED_VALUE"""),10032)</f>
        <v>10032</v>
      </c>
      <c r="N959" s="10" t="str">
        <f ca="1">IFERROR(__xludf.DUMMYFUNCTION("""COMPUTED_VALUE"""),"PMU")</f>
        <v>PMU</v>
      </c>
      <c r="O959" s="1"/>
      <c r="P959" s="1"/>
      <c r="Q959" s="1"/>
      <c r="R959" s="1"/>
      <c r="S959" s="1"/>
      <c r="T959" s="1"/>
      <c r="U959" s="1"/>
      <c r="V959" s="1"/>
      <c r="W959" s="1"/>
      <c r="X959" s="1"/>
      <c r="Y959" s="1"/>
      <c r="Z959" s="1"/>
    </row>
    <row r="960" spans="1:26" ht="12.75" customHeight="1">
      <c r="A960" s="1"/>
      <c r="B960" s="10" t="str">
        <f ca="1">IFERROR(__xludf.DUMMYFUNCTION("""COMPUTED_VALUE"""),"CONSTRUCCIÓN CICLORECREOVÍA EDUCATIVA PARQUE TRES PONIENTE COMUNA DE MAIPÚ")</f>
        <v>CONSTRUCCIÓN CICLORECREOVÍA EDUCATIVA PARQUE TRES PONIENTE COMUNA DE MAIPÚ</v>
      </c>
      <c r="C960" s="10" t="str">
        <f ca="1">IFERROR(__xludf.DUMMYFUNCTION("""COMPUTED_VALUE"""),"1-C-2023-1810")</f>
        <v>1-C-2023-1810</v>
      </c>
      <c r="D960" s="26"/>
      <c r="E960" s="10" t="str">
        <f ca="1">IFERROR(__xludf.DUMMYFUNCTION("""COMPUTED_VALUE"""),"Guía Operativa")</f>
        <v>Guía Operativa</v>
      </c>
      <c r="F960" s="10" t="str">
        <f ca="1">IFERROR(__xludf.DUMMYFUNCTION("""COMPUTED_VALUE"""),"MUNICIPALIDAD DE MAIPÚ")</f>
        <v>MUNICIPALIDAD DE MAIPÚ</v>
      </c>
      <c r="G960" s="71">
        <f ca="1">IFERROR(__xludf.DUMMYFUNCTION("""COMPUTED_VALUE"""),156060436)</f>
        <v>156060436</v>
      </c>
      <c r="H960" s="10" t="str">
        <f ca="1">IFERROR(__xludf.DUMMYFUNCTION("""COMPUTED_VALUE"""),"Resolución")</f>
        <v>Resolución</v>
      </c>
      <c r="I960" s="10" t="str">
        <f ca="1">IFERROR(__xludf.DUMMYFUNCTION("""COMPUTED_VALUE"""),"OBRA")</f>
        <v>OBRA</v>
      </c>
      <c r="J960" s="10" t="str">
        <f ca="1">IFERROR(__xludf.DUMMYFUNCTION("""COMPUTED_VALUE"""),"Cumplir con normativa y reglamentos internos del programa en base a los objetivos.")</f>
        <v>Cumplir con normativa y reglamentos internos del programa en base a los objetivos.</v>
      </c>
      <c r="K960" s="71">
        <f ca="1">IFERROR(__xludf.DUMMYFUNCTION("""COMPUTED_VALUE"""),78030218)</f>
        <v>78030218</v>
      </c>
      <c r="L960" s="72">
        <f ca="1">IFERROR(__xludf.DUMMYFUNCTION("""COMPUTED_VALUE"""),0.5)</f>
        <v>0.5</v>
      </c>
      <c r="M960" s="10">
        <f ca="1">IFERROR(__xludf.DUMMYFUNCTION("""COMPUTED_VALUE"""),10049)</f>
        <v>10049</v>
      </c>
      <c r="N960" s="10" t="str">
        <f ca="1">IFERROR(__xludf.DUMMYFUNCTION("""COMPUTED_VALUE"""),"PMU")</f>
        <v>PMU</v>
      </c>
      <c r="O960" s="1"/>
      <c r="P960" s="1"/>
      <c r="Q960" s="1"/>
      <c r="R960" s="1"/>
      <c r="S960" s="1"/>
      <c r="T960" s="1"/>
      <c r="U960" s="1"/>
      <c r="V960" s="1"/>
      <c r="W960" s="1"/>
      <c r="X960" s="1"/>
      <c r="Y960" s="1"/>
      <c r="Z960" s="1"/>
    </row>
    <row r="961" spans="1:26" ht="12.75" customHeight="1">
      <c r="A961" s="1"/>
      <c r="B961" s="10" t="str">
        <f ca="1">IFERROR(__xludf.DUMMYFUNCTION("""COMPUTED_VALUE"""),"MEJORAMIENTO MULTICANCHA PADRE HURTADO II COMUNA LA GRANJA")</f>
        <v>MEJORAMIENTO MULTICANCHA PADRE HURTADO II COMUNA LA GRANJA</v>
      </c>
      <c r="C961" s="10" t="str">
        <f ca="1">IFERROR(__xludf.DUMMYFUNCTION("""COMPUTED_VALUE"""),"1-C-2023-1832")</f>
        <v>1-C-2023-1832</v>
      </c>
      <c r="D961" s="26"/>
      <c r="E961" s="10" t="str">
        <f ca="1">IFERROR(__xludf.DUMMYFUNCTION("""COMPUTED_VALUE"""),"Guía Operativa")</f>
        <v>Guía Operativa</v>
      </c>
      <c r="F961" s="10" t="str">
        <f ca="1">IFERROR(__xludf.DUMMYFUNCTION("""COMPUTED_VALUE"""),"MUNICIPALIDAD DE LA GRANJA")</f>
        <v>MUNICIPALIDAD DE LA GRANJA</v>
      </c>
      <c r="G961" s="71">
        <f ca="1">IFERROR(__xludf.DUMMYFUNCTION("""COMPUTED_VALUE"""),153464297)</f>
        <v>153464297</v>
      </c>
      <c r="H961" s="10" t="str">
        <f ca="1">IFERROR(__xludf.DUMMYFUNCTION("""COMPUTED_VALUE"""),"Resolución")</f>
        <v>Resolución</v>
      </c>
      <c r="I961" s="10" t="str">
        <f ca="1">IFERROR(__xludf.DUMMYFUNCTION("""COMPUTED_VALUE"""),"OBRA")</f>
        <v>OBRA</v>
      </c>
      <c r="J961" s="10" t="str">
        <f ca="1">IFERROR(__xludf.DUMMYFUNCTION("""COMPUTED_VALUE"""),"Cumplir con normativa y reglamentos internos del programa en base a los objetivos.")</f>
        <v>Cumplir con normativa y reglamentos internos del programa en base a los objetivos.</v>
      </c>
      <c r="K961" s="71">
        <f ca="1">IFERROR(__xludf.DUMMYFUNCTION("""COMPUTED_VALUE"""),76732149)</f>
        <v>76732149</v>
      </c>
      <c r="L961" s="72">
        <f ca="1">IFERROR(__xludf.DUMMYFUNCTION("""COMPUTED_VALUE"""),0.500000003258086)</f>
        <v>0.50000000325808602</v>
      </c>
      <c r="M961" s="10">
        <f ca="1">IFERROR(__xludf.DUMMYFUNCTION("""COMPUTED_VALUE"""),10009)</f>
        <v>10009</v>
      </c>
      <c r="N961" s="10" t="str">
        <f ca="1">IFERROR(__xludf.DUMMYFUNCTION("""COMPUTED_VALUE"""),"PMU")</f>
        <v>PMU</v>
      </c>
      <c r="O961" s="1"/>
      <c r="P961" s="1"/>
      <c r="Q961" s="1"/>
      <c r="R961" s="1"/>
      <c r="S961" s="1"/>
      <c r="T961" s="1"/>
      <c r="U961" s="1"/>
      <c r="V961" s="1"/>
      <c r="W961" s="1"/>
      <c r="X961" s="1"/>
      <c r="Y961" s="1"/>
      <c r="Z961" s="1"/>
    </row>
    <row r="962" spans="1:26" ht="12.75" customHeight="1">
      <c r="A962" s="1"/>
      <c r="B962" s="10" t="str">
        <f ca="1">IFERROR(__xludf.DUMMYFUNCTION("""COMPUTED_VALUE"""),"MEJORAMIENTO MULTICANCHA LAS PALMERAS")</f>
        <v>MEJORAMIENTO MULTICANCHA LAS PALMERAS</v>
      </c>
      <c r="C962" s="10" t="str">
        <f ca="1">IFERROR(__xludf.DUMMYFUNCTION("""COMPUTED_VALUE"""),"1-C-2023-1928")</f>
        <v>1-C-2023-1928</v>
      </c>
      <c r="D962" s="26"/>
      <c r="E962" s="10" t="str">
        <f ca="1">IFERROR(__xludf.DUMMYFUNCTION("""COMPUTED_VALUE"""),"Guía Operativa")</f>
        <v>Guía Operativa</v>
      </c>
      <c r="F962" s="10" t="str">
        <f ca="1">IFERROR(__xludf.DUMMYFUNCTION("""COMPUTED_VALUE"""),"MUNICIPALIDAD DE LO ESPEJO")</f>
        <v>MUNICIPALIDAD DE LO ESPEJO</v>
      </c>
      <c r="G962" s="71">
        <f ca="1">IFERROR(__xludf.DUMMYFUNCTION("""COMPUTED_VALUE"""),154417418)</f>
        <v>154417418</v>
      </c>
      <c r="H962" s="10" t="str">
        <f ca="1">IFERROR(__xludf.DUMMYFUNCTION("""COMPUTED_VALUE"""),"Resolución")</f>
        <v>Resolución</v>
      </c>
      <c r="I962" s="10" t="str">
        <f ca="1">IFERROR(__xludf.DUMMYFUNCTION("""COMPUTED_VALUE"""),"OBRA")</f>
        <v>OBRA</v>
      </c>
      <c r="J962" s="10" t="str">
        <f ca="1">IFERROR(__xludf.DUMMYFUNCTION("""COMPUTED_VALUE"""),"Cumplir con normativa y reglamentos internos del programa en base a los objetivos.")</f>
        <v>Cumplir con normativa y reglamentos internos del programa en base a los objetivos.</v>
      </c>
      <c r="K962" s="71">
        <f ca="1">IFERROR(__xludf.DUMMYFUNCTION("""COMPUTED_VALUE"""),77208709)</f>
        <v>77208709</v>
      </c>
      <c r="L962" s="72">
        <f ca="1">IFERROR(__xludf.DUMMYFUNCTION("""COMPUTED_VALUE"""),0.5)</f>
        <v>0.5</v>
      </c>
      <c r="M962" s="10">
        <f ca="1">IFERROR(__xludf.DUMMYFUNCTION("""COMPUTED_VALUE"""),10017)</f>
        <v>10017</v>
      </c>
      <c r="N962" s="10" t="str">
        <f ca="1">IFERROR(__xludf.DUMMYFUNCTION("""COMPUTED_VALUE"""),"PMU")</f>
        <v>PMU</v>
      </c>
      <c r="O962" s="1"/>
      <c r="P962" s="1"/>
      <c r="Q962" s="1"/>
      <c r="R962" s="1"/>
      <c r="S962" s="1"/>
      <c r="T962" s="1"/>
      <c r="U962" s="1"/>
      <c r="V962" s="1"/>
      <c r="W962" s="1"/>
      <c r="X962" s="1"/>
      <c r="Y962" s="1"/>
      <c r="Z962" s="1"/>
    </row>
    <row r="963" spans="1:26" ht="12.75" customHeight="1">
      <c r="A963" s="1"/>
      <c r="B963" s="10" t="str">
        <f ca="1">IFERROR(__xludf.DUMMYFUNCTION("""COMPUTED_VALUE"""),"MEJORAMIENTO DE PLAZA CRUZ DE PIEDRA NORTE COMUNA DE PUDAHUEL")</f>
        <v>MEJORAMIENTO DE PLAZA CRUZ DE PIEDRA NORTE COMUNA DE PUDAHUEL</v>
      </c>
      <c r="C963" s="10" t="str">
        <f ca="1">IFERROR(__xludf.DUMMYFUNCTION("""COMPUTED_VALUE"""),"1-C-2023-2059")</f>
        <v>1-C-2023-2059</v>
      </c>
      <c r="D963" s="26"/>
      <c r="E963" s="10" t="str">
        <f ca="1">IFERROR(__xludf.DUMMYFUNCTION("""COMPUTED_VALUE"""),"Guía Operativa")</f>
        <v>Guía Operativa</v>
      </c>
      <c r="F963" s="10" t="str">
        <f ca="1">IFERROR(__xludf.DUMMYFUNCTION("""COMPUTED_VALUE"""),"MUNICIPALIDAD DE PUDAHUEL")</f>
        <v>MUNICIPALIDAD DE PUDAHUEL</v>
      </c>
      <c r="G963" s="71">
        <f ca="1">IFERROR(__xludf.DUMMYFUNCTION("""COMPUTED_VALUE"""),131194398)</f>
        <v>131194398</v>
      </c>
      <c r="H963" s="10" t="str">
        <f ca="1">IFERROR(__xludf.DUMMYFUNCTION("""COMPUTED_VALUE"""),"Resolución")</f>
        <v>Resolución</v>
      </c>
      <c r="I963" s="10" t="str">
        <f ca="1">IFERROR(__xludf.DUMMYFUNCTION("""COMPUTED_VALUE"""),"OBRA")</f>
        <v>OBRA</v>
      </c>
      <c r="J963" s="10" t="str">
        <f ca="1">IFERROR(__xludf.DUMMYFUNCTION("""COMPUTED_VALUE"""),"Cumplir con normativa y reglamentos internos del programa en base a los objetivos.")</f>
        <v>Cumplir con normativa y reglamentos internos del programa en base a los objetivos.</v>
      </c>
      <c r="K963" s="71">
        <f ca="1">IFERROR(__xludf.DUMMYFUNCTION("""COMPUTED_VALUE"""),65597199)</f>
        <v>65597199</v>
      </c>
      <c r="L963" s="72">
        <f ca="1">IFERROR(__xludf.DUMMYFUNCTION("""COMPUTED_VALUE"""),0.5)</f>
        <v>0.5</v>
      </c>
      <c r="M963" s="10">
        <f ca="1">IFERROR(__xludf.DUMMYFUNCTION("""COMPUTED_VALUE"""),10046)</f>
        <v>10046</v>
      </c>
      <c r="N963" s="10" t="str">
        <f ca="1">IFERROR(__xludf.DUMMYFUNCTION("""COMPUTED_VALUE"""),"PMU")</f>
        <v>PMU</v>
      </c>
      <c r="O963" s="1"/>
      <c r="P963" s="1"/>
      <c r="Q963" s="1"/>
      <c r="R963" s="1"/>
      <c r="S963" s="1"/>
      <c r="T963" s="1"/>
      <c r="U963" s="1"/>
      <c r="V963" s="1"/>
      <c r="W963" s="1"/>
      <c r="X963" s="1"/>
      <c r="Y963" s="1"/>
      <c r="Z963" s="1"/>
    </row>
    <row r="964" spans="1:26" ht="12.75" customHeight="1">
      <c r="A964" s="1"/>
      <c r="B964" s="10" t="str">
        <f ca="1">IFERROR(__xludf.DUMMYFUNCTION("""COMPUTED_VALUE"""),"REPOSICIÓN DE VEREDAS EN AV. SAN MARTIN, ENTRE INTENDENTE SAAVEDRA Y JOSE FRANCISCO VERGARA, QUILICURA")</f>
        <v>REPOSICIÓN DE VEREDAS EN AV. SAN MARTIN, ENTRE INTENDENTE SAAVEDRA Y JOSE FRANCISCO VERGARA, QUILICURA</v>
      </c>
      <c r="C964" s="10" t="str">
        <f ca="1">IFERROR(__xludf.DUMMYFUNCTION("""COMPUTED_VALUE"""),"1-C-2023-2094")</f>
        <v>1-C-2023-2094</v>
      </c>
      <c r="D964" s="26"/>
      <c r="E964" s="10" t="str">
        <f ca="1">IFERROR(__xludf.DUMMYFUNCTION("""COMPUTED_VALUE"""),"Guía Operativa")</f>
        <v>Guía Operativa</v>
      </c>
      <c r="F964" s="10" t="str">
        <f ca="1">IFERROR(__xludf.DUMMYFUNCTION("""COMPUTED_VALUE"""),"MUNICIPALIDAD DE QUILICURA")</f>
        <v>MUNICIPALIDAD DE QUILICURA</v>
      </c>
      <c r="G964" s="71">
        <f ca="1">IFERROR(__xludf.DUMMYFUNCTION("""COMPUTED_VALUE"""),145979606)</f>
        <v>145979606</v>
      </c>
      <c r="H964" s="10" t="str">
        <f ca="1">IFERROR(__xludf.DUMMYFUNCTION("""COMPUTED_VALUE"""),"Resolución")</f>
        <v>Resolución</v>
      </c>
      <c r="I964" s="10" t="str">
        <f ca="1">IFERROR(__xludf.DUMMYFUNCTION("""COMPUTED_VALUE"""),"OBRA")</f>
        <v>OBRA</v>
      </c>
      <c r="J964" s="10" t="str">
        <f ca="1">IFERROR(__xludf.DUMMYFUNCTION("""COMPUTED_VALUE"""),"Cumplir con normativa y reglamentos internos del programa en base a los objetivos.")</f>
        <v>Cumplir con normativa y reglamentos internos del programa en base a los objetivos.</v>
      </c>
      <c r="K964" s="71">
        <f ca="1">IFERROR(__xludf.DUMMYFUNCTION("""COMPUTED_VALUE"""),72989803)</f>
        <v>72989803</v>
      </c>
      <c r="L964" s="72">
        <f ca="1">IFERROR(__xludf.DUMMYFUNCTION("""COMPUTED_VALUE"""),0.5)</f>
        <v>0.5</v>
      </c>
      <c r="M964" s="10">
        <f ca="1">IFERROR(__xludf.DUMMYFUNCTION("""COMPUTED_VALUE"""),10339)</f>
        <v>10339</v>
      </c>
      <c r="N964" s="10" t="str">
        <f ca="1">IFERROR(__xludf.DUMMYFUNCTION("""COMPUTED_VALUE"""),"PMU")</f>
        <v>PMU</v>
      </c>
      <c r="O964" s="1"/>
      <c r="P964" s="1"/>
      <c r="Q964" s="1"/>
      <c r="R964" s="1"/>
      <c r="S964" s="1"/>
      <c r="T964" s="1"/>
      <c r="U964" s="1"/>
      <c r="V964" s="1"/>
      <c r="W964" s="1"/>
      <c r="X964" s="1"/>
      <c r="Y964" s="1"/>
      <c r="Z964" s="1"/>
    </row>
    <row r="965" spans="1:26" ht="12.75" customHeight="1">
      <c r="A965" s="1"/>
      <c r="B965" s="10" t="str">
        <f ca="1">IFERROR(__xludf.DUMMYFUNCTION("""COMPUTED_VALUE"""),"REPOSICIÓN DE CALZADA EN DIFERENTES PASAJES, VILLA JARDIN DEL NORTE II, QUILICURA")</f>
        <v>REPOSICIÓN DE CALZADA EN DIFERENTES PASAJES, VILLA JARDIN DEL NORTE II, QUILICURA</v>
      </c>
      <c r="C965" s="10" t="str">
        <f ca="1">IFERROR(__xludf.DUMMYFUNCTION("""COMPUTED_VALUE"""),"1-C-2023-2095")</f>
        <v>1-C-2023-2095</v>
      </c>
      <c r="D965" s="26"/>
      <c r="E965" s="10" t="str">
        <f ca="1">IFERROR(__xludf.DUMMYFUNCTION("""COMPUTED_VALUE"""),"Guía Operativa")</f>
        <v>Guía Operativa</v>
      </c>
      <c r="F965" s="10" t="str">
        <f ca="1">IFERROR(__xludf.DUMMYFUNCTION("""COMPUTED_VALUE"""),"MUNICIPALIDAD DE QUILICURA")</f>
        <v>MUNICIPALIDAD DE QUILICURA</v>
      </c>
      <c r="G965" s="71">
        <f ca="1">IFERROR(__xludf.DUMMYFUNCTION("""COMPUTED_VALUE"""),140813328)</f>
        <v>140813328</v>
      </c>
      <c r="H965" s="10" t="str">
        <f ca="1">IFERROR(__xludf.DUMMYFUNCTION("""COMPUTED_VALUE"""),"Resolución")</f>
        <v>Resolución</v>
      </c>
      <c r="I965" s="10" t="str">
        <f ca="1">IFERROR(__xludf.DUMMYFUNCTION("""COMPUTED_VALUE"""),"OBRA")</f>
        <v>OBRA</v>
      </c>
      <c r="J965" s="10" t="str">
        <f ca="1">IFERROR(__xludf.DUMMYFUNCTION("""COMPUTED_VALUE"""),"Cumplir con normativa y reglamentos internos del programa en base a los objetivos.")</f>
        <v>Cumplir con normativa y reglamentos internos del programa en base a los objetivos.</v>
      </c>
      <c r="K965" s="71">
        <f ca="1">IFERROR(__xludf.DUMMYFUNCTION("""COMPUTED_VALUE"""),70406664)</f>
        <v>70406664</v>
      </c>
      <c r="L965" s="72">
        <f ca="1">IFERROR(__xludf.DUMMYFUNCTION("""COMPUTED_VALUE"""),0.5)</f>
        <v>0.5</v>
      </c>
      <c r="M965" s="10">
        <f ca="1">IFERROR(__xludf.DUMMYFUNCTION("""COMPUTED_VALUE"""),10339)</f>
        <v>10339</v>
      </c>
      <c r="N965" s="10" t="str">
        <f ca="1">IFERROR(__xludf.DUMMYFUNCTION("""COMPUTED_VALUE"""),"PMU")</f>
        <v>PMU</v>
      </c>
      <c r="O965" s="1"/>
      <c r="P965" s="1"/>
      <c r="Q965" s="1"/>
      <c r="R965" s="1"/>
      <c r="S965" s="1"/>
      <c r="T965" s="1"/>
      <c r="U965" s="1"/>
      <c r="V965" s="1"/>
      <c r="W965" s="1"/>
      <c r="X965" s="1"/>
      <c r="Y965" s="1"/>
      <c r="Z965" s="1"/>
    </row>
    <row r="966" spans="1:26" ht="12.75" customHeight="1">
      <c r="A966" s="1"/>
      <c r="B966" s="10" t="str">
        <f ca="1">IFERROR(__xludf.DUMMYFUNCTION("""COMPUTED_VALUE"""),"MEJORAMIENTO INTEGRAL PLAZA TIERRA DEL FUEGO COMUNA PUDAHUEL")</f>
        <v>MEJORAMIENTO INTEGRAL PLAZA TIERRA DEL FUEGO COMUNA PUDAHUEL</v>
      </c>
      <c r="C966" s="10" t="str">
        <f ca="1">IFERROR(__xludf.DUMMYFUNCTION("""COMPUTED_VALUE"""),"1-C-2023-2165")</f>
        <v>1-C-2023-2165</v>
      </c>
      <c r="D966" s="26"/>
      <c r="E966" s="10" t="str">
        <f ca="1">IFERROR(__xludf.DUMMYFUNCTION("""COMPUTED_VALUE"""),"Guía Operativa")</f>
        <v>Guía Operativa</v>
      </c>
      <c r="F966" s="10" t="str">
        <f ca="1">IFERROR(__xludf.DUMMYFUNCTION("""COMPUTED_VALUE"""),"MUNICIPALIDAD DE PUDAHUEL")</f>
        <v>MUNICIPALIDAD DE PUDAHUEL</v>
      </c>
      <c r="G966" s="71">
        <f ca="1">IFERROR(__xludf.DUMMYFUNCTION("""COMPUTED_VALUE"""),142680683)</f>
        <v>142680683</v>
      </c>
      <c r="H966" s="10" t="str">
        <f ca="1">IFERROR(__xludf.DUMMYFUNCTION("""COMPUTED_VALUE"""),"Resolución")</f>
        <v>Resolución</v>
      </c>
      <c r="I966" s="10" t="str">
        <f ca="1">IFERROR(__xludf.DUMMYFUNCTION("""COMPUTED_VALUE"""),"OBRA")</f>
        <v>OBRA</v>
      </c>
      <c r="J966" s="10" t="str">
        <f ca="1">IFERROR(__xludf.DUMMYFUNCTION("""COMPUTED_VALUE"""),"Cumplir con normativa y reglamentos internos del programa en base a los objetivos.")</f>
        <v>Cumplir con normativa y reglamentos internos del programa en base a los objetivos.</v>
      </c>
      <c r="K966" s="71">
        <f ca="1">IFERROR(__xludf.DUMMYFUNCTION("""COMPUTED_VALUE"""),71340342)</f>
        <v>71340342</v>
      </c>
      <c r="L966" s="72">
        <f ca="1">IFERROR(__xludf.DUMMYFUNCTION("""COMPUTED_VALUE"""),0.500000003504328)</f>
        <v>0.50000000350432805</v>
      </c>
      <c r="M966" s="10">
        <f ca="1">IFERROR(__xludf.DUMMYFUNCTION("""COMPUTED_VALUE"""),10046)</f>
        <v>10046</v>
      </c>
      <c r="N966" s="10" t="str">
        <f ca="1">IFERROR(__xludf.DUMMYFUNCTION("""COMPUTED_VALUE"""),"PMU")</f>
        <v>PMU</v>
      </c>
      <c r="O966" s="1"/>
      <c r="P966" s="1"/>
      <c r="Q966" s="1"/>
      <c r="R966" s="1"/>
      <c r="S966" s="1"/>
      <c r="T966" s="1"/>
      <c r="U966" s="1"/>
      <c r="V966" s="1"/>
      <c r="W966" s="1"/>
      <c r="X966" s="1"/>
      <c r="Y966" s="1"/>
      <c r="Z966" s="1"/>
    </row>
    <row r="967" spans="1:26" ht="12.75" customHeight="1">
      <c r="A967" s="1"/>
      <c r="B967" s="10" t="str">
        <f ca="1">IFERROR(__xludf.DUMMYFUNCTION("""COMPUTED_VALUE"""),"CONSTRUCCIÓN CIERRO PERIMETRAL ÁREA VERDE Y AREA EQUIPAMIENTO, VILLA CUARZO")</f>
        <v>CONSTRUCCIÓN CIERRO PERIMETRAL ÁREA VERDE Y AREA EQUIPAMIENTO, VILLA CUARZO</v>
      </c>
      <c r="C967" s="10" t="str">
        <f ca="1">IFERROR(__xludf.DUMMYFUNCTION("""COMPUTED_VALUE"""),"1-C-2023-2433")</f>
        <v>1-C-2023-2433</v>
      </c>
      <c r="D967" s="26"/>
      <c r="E967" s="10" t="str">
        <f ca="1">IFERROR(__xludf.DUMMYFUNCTION("""COMPUTED_VALUE"""),"Guía Operativa")</f>
        <v>Guía Operativa</v>
      </c>
      <c r="F967" s="10" t="str">
        <f ca="1">IFERROR(__xludf.DUMMYFUNCTION("""COMPUTED_VALUE"""),"MUNICIPALIDAD DE EL MONTE")</f>
        <v>MUNICIPALIDAD DE EL MONTE</v>
      </c>
      <c r="G967" s="71">
        <f ca="1">IFERROR(__xludf.DUMMYFUNCTION("""COMPUTED_VALUE"""),63907942)</f>
        <v>63907942</v>
      </c>
      <c r="H967" s="10" t="str">
        <f ca="1">IFERROR(__xludf.DUMMYFUNCTION("""COMPUTED_VALUE"""),"Resolución")</f>
        <v>Resolución</v>
      </c>
      <c r="I967" s="10" t="str">
        <f ca="1">IFERROR(__xludf.DUMMYFUNCTION("""COMPUTED_VALUE"""),"OBRA")</f>
        <v>OBRA</v>
      </c>
      <c r="J967" s="10" t="str">
        <f ca="1">IFERROR(__xludf.DUMMYFUNCTION("""COMPUTED_VALUE"""),"Cumplir con normativa y reglamentos internos del programa en base a los objetivos.")</f>
        <v>Cumplir con normativa y reglamentos internos del programa en base a los objetivos.</v>
      </c>
      <c r="K967" s="71">
        <f ca="1">IFERROR(__xludf.DUMMYFUNCTION("""COMPUTED_VALUE"""),31953971)</f>
        <v>31953971</v>
      </c>
      <c r="L967" s="72">
        <f ca="1">IFERROR(__xludf.DUMMYFUNCTION("""COMPUTED_VALUE"""),0.5)</f>
        <v>0.5</v>
      </c>
      <c r="M967" s="10">
        <f ca="1">IFERROR(__xludf.DUMMYFUNCTION("""COMPUTED_VALUE"""),10035)</f>
        <v>10035</v>
      </c>
      <c r="N967" s="10" t="str">
        <f ca="1">IFERROR(__xludf.DUMMYFUNCTION("""COMPUTED_VALUE"""),"PMU")</f>
        <v>PMU</v>
      </c>
      <c r="O967" s="1"/>
      <c r="P967" s="1"/>
      <c r="Q967" s="1"/>
      <c r="R967" s="1"/>
      <c r="S967" s="1"/>
      <c r="T967" s="1"/>
      <c r="U967" s="1"/>
      <c r="V967" s="1"/>
      <c r="W967" s="1"/>
      <c r="X967" s="1"/>
      <c r="Y967" s="1"/>
      <c r="Z967" s="1"/>
    </row>
    <row r="968" spans="1:26" ht="12.75" customHeight="1">
      <c r="A968" s="1"/>
      <c r="B968" s="10" t="str">
        <f ca="1">IFERROR(__xludf.DUMMYFUNCTION("""COMPUTED_VALUE"""),"MEJORAMIENTO ALUMBRADO PEATONAL AVENIDA DORSAL")</f>
        <v>MEJORAMIENTO ALUMBRADO PEATONAL AVENIDA DORSAL</v>
      </c>
      <c r="C968" s="10" t="str">
        <f ca="1">IFERROR(__xludf.DUMMYFUNCTION("""COMPUTED_VALUE"""),"1-C-2023-2662")</f>
        <v>1-C-2023-2662</v>
      </c>
      <c r="D968" s="26"/>
      <c r="E968" s="10" t="str">
        <f ca="1">IFERROR(__xludf.DUMMYFUNCTION("""COMPUTED_VALUE"""),"Guía Operativa")</f>
        <v>Guía Operativa</v>
      </c>
      <c r="F968" s="10" t="str">
        <f ca="1">IFERROR(__xludf.DUMMYFUNCTION("""COMPUTED_VALUE"""),"MUNICIPALIDAD DE LO PRADO")</f>
        <v>MUNICIPALIDAD DE LO PRADO</v>
      </c>
      <c r="G968" s="71">
        <f ca="1">IFERROR(__xludf.DUMMYFUNCTION("""COMPUTED_VALUE"""),154408881)</f>
        <v>154408881</v>
      </c>
      <c r="H968" s="10" t="str">
        <f ca="1">IFERROR(__xludf.DUMMYFUNCTION("""COMPUTED_VALUE"""),"Resolución")</f>
        <v>Resolución</v>
      </c>
      <c r="I968" s="10" t="str">
        <f ca="1">IFERROR(__xludf.DUMMYFUNCTION("""COMPUTED_VALUE"""),"OBRA")</f>
        <v>OBRA</v>
      </c>
      <c r="J968" s="10" t="str">
        <f ca="1">IFERROR(__xludf.DUMMYFUNCTION("""COMPUTED_VALUE"""),"Cumplir con normativa y reglamentos internos del programa en base a los objetivos.")</f>
        <v>Cumplir con normativa y reglamentos internos del programa en base a los objetivos.</v>
      </c>
      <c r="K968" s="71">
        <f ca="1">IFERROR(__xludf.DUMMYFUNCTION("""COMPUTED_VALUE"""),77204441)</f>
        <v>77204441</v>
      </c>
      <c r="L968" s="72">
        <f ca="1">IFERROR(__xludf.DUMMYFUNCTION("""COMPUTED_VALUE"""),0.500000003238155)</f>
        <v>0.50000000323815497</v>
      </c>
      <c r="M968" s="10">
        <f ca="1">IFERROR(__xludf.DUMMYFUNCTION("""COMPUTED_VALUE"""),10048)</f>
        <v>10048</v>
      </c>
      <c r="N968" s="10" t="str">
        <f ca="1">IFERROR(__xludf.DUMMYFUNCTION("""COMPUTED_VALUE"""),"PMU")</f>
        <v>PMU</v>
      </c>
      <c r="O968" s="1"/>
      <c r="P968" s="1"/>
      <c r="Q968" s="1"/>
      <c r="R968" s="1"/>
      <c r="S968" s="1"/>
      <c r="T968" s="1"/>
      <c r="U968" s="1"/>
      <c r="V968" s="1"/>
      <c r="W968" s="1"/>
      <c r="X968" s="1"/>
      <c r="Y968" s="1"/>
      <c r="Z968" s="1"/>
    </row>
    <row r="969" spans="1:26" ht="12.75" customHeight="1">
      <c r="A969" s="1"/>
      <c r="B969" s="10" t="str">
        <f ca="1">IFERROR(__xludf.DUMMYFUNCTION("""COMPUTED_VALUE"""),"MEJORAMIENTO ESPACIO PÚBLICO EJE CLUB HÍPICO ENTRE ENRIQUE MATTE Y FÉLIX WEINGARDNERT, COMUNA DE PEDRO AGUIRRE CERDA")</f>
        <v>MEJORAMIENTO ESPACIO PÚBLICO EJE CLUB HÍPICO ENTRE ENRIQUE MATTE Y FÉLIX WEINGARDNERT, COMUNA DE PEDRO AGUIRRE CERDA</v>
      </c>
      <c r="C969" s="10" t="str">
        <f ca="1">IFERROR(__xludf.DUMMYFUNCTION("""COMPUTED_VALUE"""),"1-C-2023-2814")</f>
        <v>1-C-2023-2814</v>
      </c>
      <c r="D969" s="26"/>
      <c r="E969" s="10" t="str">
        <f ca="1">IFERROR(__xludf.DUMMYFUNCTION("""COMPUTED_VALUE"""),"Guía Operativa")</f>
        <v>Guía Operativa</v>
      </c>
      <c r="F969" s="10" t="str">
        <f ca="1">IFERROR(__xludf.DUMMYFUNCTION("""COMPUTED_VALUE"""),"MUNICIPALIDAD DE PEDRO AGUIRRE CERDA")</f>
        <v>MUNICIPALIDAD DE PEDRO AGUIRRE CERDA</v>
      </c>
      <c r="G969" s="71">
        <f ca="1">IFERROR(__xludf.DUMMYFUNCTION("""COMPUTED_VALUE"""),132654426)</f>
        <v>132654426</v>
      </c>
      <c r="H969" s="10" t="str">
        <f ca="1">IFERROR(__xludf.DUMMYFUNCTION("""COMPUTED_VALUE"""),"Resolución")</f>
        <v>Resolución</v>
      </c>
      <c r="I969" s="10" t="str">
        <f ca="1">IFERROR(__xludf.DUMMYFUNCTION("""COMPUTED_VALUE"""),"OBRA")</f>
        <v>OBRA</v>
      </c>
      <c r="J969" s="10" t="str">
        <f ca="1">IFERROR(__xludf.DUMMYFUNCTION("""COMPUTED_VALUE"""),"Cumplir con normativa y reglamentos internos del programa en base a los objetivos.")</f>
        <v>Cumplir con normativa y reglamentos internos del programa en base a los objetivos.</v>
      </c>
      <c r="K969" s="71">
        <f ca="1">IFERROR(__xludf.DUMMYFUNCTION("""COMPUTED_VALUE"""),66327213)</f>
        <v>66327213</v>
      </c>
      <c r="L969" s="72">
        <f ca="1">IFERROR(__xludf.DUMMYFUNCTION("""COMPUTED_VALUE"""),0.5)</f>
        <v>0.5</v>
      </c>
      <c r="M969" s="10">
        <f ca="1">IFERROR(__xludf.DUMMYFUNCTION("""COMPUTED_VALUE"""),10045)</f>
        <v>10045</v>
      </c>
      <c r="N969" s="10" t="str">
        <f ca="1">IFERROR(__xludf.DUMMYFUNCTION("""COMPUTED_VALUE"""),"PMU")</f>
        <v>PMU</v>
      </c>
      <c r="O969" s="1"/>
      <c r="P969" s="1"/>
      <c r="Q969" s="1"/>
      <c r="R969" s="1"/>
      <c r="S969" s="1"/>
      <c r="T969" s="1"/>
      <c r="U969" s="1"/>
      <c r="V969" s="1"/>
      <c r="W969" s="1"/>
      <c r="X969" s="1"/>
      <c r="Y969" s="1"/>
      <c r="Z969" s="1"/>
    </row>
    <row r="970" spans="1:26" ht="12.75" customHeight="1">
      <c r="A970" s="1"/>
      <c r="B970" s="10" t="str">
        <f ca="1">IFERROR(__xludf.DUMMYFUNCTION("""COMPUTED_VALUE"""),"REPOSICIÓN E INSTALACIÓN DE LUMINARIAS PÚBLICAS BARRIO MODELOS, COMUNA DE TALAGANTE")</f>
        <v>REPOSICIÓN E INSTALACIÓN DE LUMINARIAS PÚBLICAS BARRIO MODELOS, COMUNA DE TALAGANTE</v>
      </c>
      <c r="C970" s="10" t="str">
        <f ca="1">IFERROR(__xludf.DUMMYFUNCTION("""COMPUTED_VALUE"""),"1-C-2023-2904")</f>
        <v>1-C-2023-2904</v>
      </c>
      <c r="D970" s="26"/>
      <c r="E970" s="10" t="str">
        <f ca="1">IFERROR(__xludf.DUMMYFUNCTION("""COMPUTED_VALUE"""),"Guía Operativa")</f>
        <v>Guía Operativa</v>
      </c>
      <c r="F970" s="10" t="str">
        <f ca="1">IFERROR(__xludf.DUMMYFUNCTION("""COMPUTED_VALUE"""),"MUNICIPALIDAD DE TALAGANTE")</f>
        <v>MUNICIPALIDAD DE TALAGANTE</v>
      </c>
      <c r="G970" s="71">
        <f ca="1">IFERROR(__xludf.DUMMYFUNCTION("""COMPUTED_VALUE"""),145725625)</f>
        <v>145725625</v>
      </c>
      <c r="H970" s="10" t="str">
        <f ca="1">IFERROR(__xludf.DUMMYFUNCTION("""COMPUTED_VALUE"""),"Resolución")</f>
        <v>Resolución</v>
      </c>
      <c r="I970" s="10" t="str">
        <f ca="1">IFERROR(__xludf.DUMMYFUNCTION("""COMPUTED_VALUE"""),"OBRA")</f>
        <v>OBRA</v>
      </c>
      <c r="J970" s="10" t="str">
        <f ca="1">IFERROR(__xludf.DUMMYFUNCTION("""COMPUTED_VALUE"""),"Cumplir con normativa y reglamentos internos del programa en base a los objetivos.")</f>
        <v>Cumplir con normativa y reglamentos internos del programa en base a los objetivos.</v>
      </c>
      <c r="K970" s="71">
        <f ca="1">IFERROR(__xludf.DUMMYFUNCTION("""COMPUTED_VALUE"""),72862813)</f>
        <v>72862813</v>
      </c>
      <c r="L970" s="72">
        <f ca="1">IFERROR(__xludf.DUMMYFUNCTION("""COMPUTED_VALUE"""),0.500000003431105)</f>
        <v>0.50000000343110496</v>
      </c>
      <c r="M970" s="10">
        <f ca="1">IFERROR(__xludf.DUMMYFUNCTION("""COMPUTED_VALUE"""),10385)</f>
        <v>10385</v>
      </c>
      <c r="N970" s="10" t="str">
        <f ca="1">IFERROR(__xludf.DUMMYFUNCTION("""COMPUTED_VALUE"""),"PMU")</f>
        <v>PMU</v>
      </c>
      <c r="O970" s="1"/>
      <c r="P970" s="1"/>
      <c r="Q970" s="1"/>
      <c r="R970" s="1"/>
      <c r="S970" s="1"/>
      <c r="T970" s="1"/>
      <c r="U970" s="1"/>
      <c r="V970" s="1"/>
      <c r="W970" s="1"/>
      <c r="X970" s="1"/>
      <c r="Y970" s="1"/>
      <c r="Z970" s="1"/>
    </row>
    <row r="971" spans="1:26" ht="12.75" customHeight="1">
      <c r="A971" s="1"/>
      <c r="B971" s="10" t="str">
        <f ca="1">IFERROR(__xludf.DUMMYFUNCTION("""COMPUTED_VALUE"""),"MEJORAMIENTO PLAZA LOS LIRIOS, VILLA SAN MIGUEL")</f>
        <v>MEJORAMIENTO PLAZA LOS LIRIOS, VILLA SAN MIGUEL</v>
      </c>
      <c r="C971" s="10" t="str">
        <f ca="1">IFERROR(__xludf.DUMMYFUNCTION("""COMPUTED_VALUE"""),"1-C-2023-2912")</f>
        <v>1-C-2023-2912</v>
      </c>
      <c r="D971" s="26"/>
      <c r="E971" s="10" t="str">
        <f ca="1">IFERROR(__xludf.DUMMYFUNCTION("""COMPUTED_VALUE"""),"Guía Operativa")</f>
        <v>Guía Operativa</v>
      </c>
      <c r="F971" s="10" t="str">
        <f ca="1">IFERROR(__xludf.DUMMYFUNCTION("""COMPUTED_VALUE"""),"MUNICIPALIDAD DE SAN MIGUEL")</f>
        <v>MUNICIPALIDAD DE SAN MIGUEL</v>
      </c>
      <c r="G971" s="71">
        <f ca="1">IFERROR(__xludf.DUMMYFUNCTION("""COMPUTED_VALUE"""),154270315)</f>
        <v>154270315</v>
      </c>
      <c r="H971" s="10" t="str">
        <f ca="1">IFERROR(__xludf.DUMMYFUNCTION("""COMPUTED_VALUE"""),"Resolución")</f>
        <v>Resolución</v>
      </c>
      <c r="I971" s="10" t="str">
        <f ca="1">IFERROR(__xludf.DUMMYFUNCTION("""COMPUTED_VALUE"""),"OBRA")</f>
        <v>OBRA</v>
      </c>
      <c r="J971" s="10" t="str">
        <f ca="1">IFERROR(__xludf.DUMMYFUNCTION("""COMPUTED_VALUE"""),"Cumplir con normativa y reglamentos internos del programa en base a los objetivos.")</f>
        <v>Cumplir con normativa y reglamentos internos del programa en base a los objetivos.</v>
      </c>
      <c r="K971" s="71">
        <f ca="1">IFERROR(__xludf.DUMMYFUNCTION("""COMPUTED_VALUE"""),77135158)</f>
        <v>77135158</v>
      </c>
      <c r="L971" s="72">
        <f ca="1">IFERROR(__xludf.DUMMYFUNCTION("""COMPUTED_VALUE"""),0.500000003241064)</f>
        <v>0.50000000324106397</v>
      </c>
      <c r="M971" s="10">
        <f ca="1">IFERROR(__xludf.DUMMYFUNCTION("""COMPUTED_VALUE"""),10338)</f>
        <v>10338</v>
      </c>
      <c r="N971" s="10" t="str">
        <f ca="1">IFERROR(__xludf.DUMMYFUNCTION("""COMPUTED_VALUE"""),"PMU")</f>
        <v>PMU</v>
      </c>
      <c r="O971" s="1"/>
      <c r="P971" s="1"/>
      <c r="Q971" s="1"/>
      <c r="R971" s="1"/>
      <c r="S971" s="1"/>
      <c r="T971" s="1"/>
      <c r="U971" s="1"/>
      <c r="V971" s="1"/>
      <c r="W971" s="1"/>
      <c r="X971" s="1"/>
      <c r="Y971" s="1"/>
      <c r="Z971" s="1"/>
    </row>
    <row r="972" spans="1:26" ht="12.75" customHeight="1">
      <c r="A972" s="1"/>
      <c r="B972" s="10" t="str">
        <f ca="1">IFERROR(__xludf.DUMMYFUNCTION("""COMPUTED_VALUE"""),"REPOSICION PAVIMENTOS PASAJES RICHMOND, AKRON, ERNEST HEMINGWAY.")</f>
        <v>REPOSICION PAVIMENTOS PASAJES RICHMOND, AKRON, ERNEST HEMINGWAY.</v>
      </c>
      <c r="C972" s="10" t="str">
        <f ca="1">IFERROR(__xludf.DUMMYFUNCTION("""COMPUTED_VALUE"""),"1-C-2023-3060")</f>
        <v>1-C-2023-3060</v>
      </c>
      <c r="D972" s="26"/>
      <c r="E972" s="10" t="str">
        <f ca="1">IFERROR(__xludf.DUMMYFUNCTION("""COMPUTED_VALUE"""),"Guía Operativa")</f>
        <v>Guía Operativa</v>
      </c>
      <c r="F972" s="10" t="str">
        <f ca="1">IFERROR(__xludf.DUMMYFUNCTION("""COMPUTED_VALUE"""),"MUNICIPALIDAD DE LO PRADO")</f>
        <v>MUNICIPALIDAD DE LO PRADO</v>
      </c>
      <c r="G972" s="71">
        <f ca="1">IFERROR(__xludf.DUMMYFUNCTION("""COMPUTED_VALUE"""),150470567)</f>
        <v>150470567</v>
      </c>
      <c r="H972" s="10" t="str">
        <f ca="1">IFERROR(__xludf.DUMMYFUNCTION("""COMPUTED_VALUE"""),"Resolución")</f>
        <v>Resolución</v>
      </c>
      <c r="I972" s="10" t="str">
        <f ca="1">IFERROR(__xludf.DUMMYFUNCTION("""COMPUTED_VALUE"""),"OBRA")</f>
        <v>OBRA</v>
      </c>
      <c r="J972" s="10" t="str">
        <f ca="1">IFERROR(__xludf.DUMMYFUNCTION("""COMPUTED_VALUE"""),"Cumplir con normativa y reglamentos internos del programa en base a los objetivos.")</f>
        <v>Cumplir con normativa y reglamentos internos del programa en base a los objetivos.</v>
      </c>
      <c r="K972" s="71">
        <f ca="1">IFERROR(__xludf.DUMMYFUNCTION("""COMPUTED_VALUE"""),75235284)</f>
        <v>75235284</v>
      </c>
      <c r="L972" s="72">
        <f ca="1">IFERROR(__xludf.DUMMYFUNCTION("""COMPUTED_VALUE"""),0.500000003322909)</f>
        <v>0.50000000332290895</v>
      </c>
      <c r="M972" s="10">
        <f ca="1">IFERROR(__xludf.DUMMYFUNCTION("""COMPUTED_VALUE"""),10048)</f>
        <v>10048</v>
      </c>
      <c r="N972" s="10" t="str">
        <f ca="1">IFERROR(__xludf.DUMMYFUNCTION("""COMPUTED_VALUE"""),"PMU")</f>
        <v>PMU</v>
      </c>
      <c r="O972" s="1"/>
      <c r="P972" s="1"/>
      <c r="Q972" s="1"/>
      <c r="R972" s="1"/>
      <c r="S972" s="1"/>
      <c r="T972" s="1"/>
      <c r="U972" s="1"/>
      <c r="V972" s="1"/>
      <c r="W972" s="1"/>
      <c r="X972" s="1"/>
      <c r="Y972" s="1"/>
      <c r="Z972" s="1"/>
    </row>
    <row r="973" spans="1:26" ht="12.75" customHeight="1">
      <c r="A973" s="1"/>
      <c r="B973" s="10" t="str">
        <f ca="1">IFERROR(__xludf.DUMMYFUNCTION("""COMPUTED_VALUE"""),"MEJORAMIENTO ÁREA VERDE PLAZA ZAÑARTU, COMUNA DE ÑUÑOA")</f>
        <v>MEJORAMIENTO ÁREA VERDE PLAZA ZAÑARTU, COMUNA DE ÑUÑOA</v>
      </c>
      <c r="C973" s="10" t="str">
        <f ca="1">IFERROR(__xludf.DUMMYFUNCTION("""COMPUTED_VALUE"""),"1-C-2023-3144")</f>
        <v>1-C-2023-3144</v>
      </c>
      <c r="D973" s="26"/>
      <c r="E973" s="10" t="str">
        <f ca="1">IFERROR(__xludf.DUMMYFUNCTION("""COMPUTED_VALUE"""),"Guía Operativa")</f>
        <v>Guía Operativa</v>
      </c>
      <c r="F973" s="10" t="str">
        <f ca="1">IFERROR(__xludf.DUMMYFUNCTION("""COMPUTED_VALUE"""),"MUNICIPALIDAD DE ÑUÑOA")</f>
        <v>MUNICIPALIDAD DE ÑUÑOA</v>
      </c>
      <c r="G973" s="71">
        <f ca="1">IFERROR(__xludf.DUMMYFUNCTION("""COMPUTED_VALUE"""),149634318)</f>
        <v>149634318</v>
      </c>
      <c r="H973" s="10" t="str">
        <f ca="1">IFERROR(__xludf.DUMMYFUNCTION("""COMPUTED_VALUE"""),"Resolución")</f>
        <v>Resolución</v>
      </c>
      <c r="I973" s="10" t="str">
        <f ca="1">IFERROR(__xludf.DUMMYFUNCTION("""COMPUTED_VALUE"""),"OBRA")</f>
        <v>OBRA</v>
      </c>
      <c r="J973" s="10" t="str">
        <f ca="1">IFERROR(__xludf.DUMMYFUNCTION("""COMPUTED_VALUE"""),"Cumplir con normativa y reglamentos internos del programa en base a los objetivos.")</f>
        <v>Cumplir con normativa y reglamentos internos del programa en base a los objetivos.</v>
      </c>
      <c r="K973" s="71">
        <f ca="1">IFERROR(__xludf.DUMMYFUNCTION("""COMPUTED_VALUE"""),74817159)</f>
        <v>74817159</v>
      </c>
      <c r="L973" s="72">
        <f ca="1">IFERROR(__xludf.DUMMYFUNCTION("""COMPUTED_VALUE"""),0.5)</f>
        <v>0.5</v>
      </c>
      <c r="M973" s="10">
        <f ca="1">IFERROR(__xludf.DUMMYFUNCTION("""COMPUTED_VALUE"""),10046)</f>
        <v>10046</v>
      </c>
      <c r="N973" s="10" t="str">
        <f ca="1">IFERROR(__xludf.DUMMYFUNCTION("""COMPUTED_VALUE"""),"PMU")</f>
        <v>PMU</v>
      </c>
      <c r="O973" s="1"/>
      <c r="P973" s="1"/>
      <c r="Q973" s="1"/>
      <c r="R973" s="1"/>
      <c r="S973" s="1"/>
      <c r="T973" s="1"/>
      <c r="U973" s="1"/>
      <c r="V973" s="1"/>
      <c r="W973" s="1"/>
      <c r="X973" s="1"/>
      <c r="Y973" s="1"/>
      <c r="Z973" s="1"/>
    </row>
    <row r="974" spans="1:26" ht="12.75" customHeight="1">
      <c r="A974" s="1"/>
      <c r="B974" s="10" t="str">
        <f ca="1">IFERROR(__xludf.DUMMYFUNCTION("""COMPUTED_VALUE"""),"REPOSICIÓN DE VEREDAS CALLE JULIO ZEGERS ENTRE BROWN NORTE Y ÁNGEL CRUCHAGA, COMUA DE ÑUÑOA")</f>
        <v>REPOSICIÓN DE VEREDAS CALLE JULIO ZEGERS ENTRE BROWN NORTE Y ÁNGEL CRUCHAGA, COMUA DE ÑUÑOA</v>
      </c>
      <c r="C974" s="10" t="str">
        <f ca="1">IFERROR(__xludf.DUMMYFUNCTION("""COMPUTED_VALUE"""),"1-C-2023-3204")</f>
        <v>1-C-2023-3204</v>
      </c>
      <c r="D974" s="26"/>
      <c r="E974" s="10" t="str">
        <f ca="1">IFERROR(__xludf.DUMMYFUNCTION("""COMPUTED_VALUE"""),"Guía Operativa")</f>
        <v>Guía Operativa</v>
      </c>
      <c r="F974" s="10" t="str">
        <f ca="1">IFERROR(__xludf.DUMMYFUNCTION("""COMPUTED_VALUE"""),"MUNICIPALIDAD DE ÑUÑOA")</f>
        <v>MUNICIPALIDAD DE ÑUÑOA</v>
      </c>
      <c r="G974" s="71">
        <f ca="1">IFERROR(__xludf.DUMMYFUNCTION("""COMPUTED_VALUE"""),134399129)</f>
        <v>134399129</v>
      </c>
      <c r="H974" s="10" t="str">
        <f ca="1">IFERROR(__xludf.DUMMYFUNCTION("""COMPUTED_VALUE"""),"Resolución")</f>
        <v>Resolución</v>
      </c>
      <c r="I974" s="10" t="str">
        <f ca="1">IFERROR(__xludf.DUMMYFUNCTION("""COMPUTED_VALUE"""),"OBRA")</f>
        <v>OBRA</v>
      </c>
      <c r="J974" s="10" t="str">
        <f ca="1">IFERROR(__xludf.DUMMYFUNCTION("""COMPUTED_VALUE"""),"Cumplir con normativa y reglamentos internos del programa en base a los objetivos.")</f>
        <v>Cumplir con normativa y reglamentos internos del programa en base a los objetivos.</v>
      </c>
      <c r="K974" s="71">
        <f ca="1">IFERROR(__xludf.DUMMYFUNCTION("""COMPUTED_VALUE"""),67199565)</f>
        <v>67199565</v>
      </c>
      <c r="L974" s="72">
        <f ca="1">IFERROR(__xludf.DUMMYFUNCTION("""COMPUTED_VALUE"""),0.500000003720262)</f>
        <v>0.50000000372026199</v>
      </c>
      <c r="M974" s="10">
        <f ca="1">IFERROR(__xludf.DUMMYFUNCTION("""COMPUTED_VALUE"""),10046)</f>
        <v>10046</v>
      </c>
      <c r="N974" s="10" t="str">
        <f ca="1">IFERROR(__xludf.DUMMYFUNCTION("""COMPUTED_VALUE"""),"PMU")</f>
        <v>PMU</v>
      </c>
      <c r="O974" s="1"/>
      <c r="P974" s="1"/>
      <c r="Q974" s="1"/>
      <c r="R974" s="1"/>
      <c r="S974" s="1"/>
      <c r="T974" s="1"/>
      <c r="U974" s="1"/>
      <c r="V974" s="1"/>
      <c r="W974" s="1"/>
      <c r="X974" s="1"/>
      <c r="Y974" s="1"/>
      <c r="Z974" s="1"/>
    </row>
    <row r="975" spans="1:26" ht="12.75" customHeight="1">
      <c r="A975" s="1"/>
      <c r="B975" s="10" t="str">
        <f ca="1">IFERROR(__xludf.DUMMYFUNCTION("""COMPUTED_VALUE"""),"CONSTRUCCIÓN DE CRUCE SEMAFORIZADO GRAN AVENIDA, INTERSECCIÓN CURIÑANCA")</f>
        <v>CONSTRUCCIÓN DE CRUCE SEMAFORIZADO GRAN AVENIDA, INTERSECCIÓN CURIÑANCA</v>
      </c>
      <c r="C975" s="10" t="str">
        <f ca="1">IFERROR(__xludf.DUMMYFUNCTION("""COMPUTED_VALUE"""),"1-C-2023-3454")</f>
        <v>1-C-2023-3454</v>
      </c>
      <c r="D975" s="26"/>
      <c r="E975" s="10" t="str">
        <f ca="1">IFERROR(__xludf.DUMMYFUNCTION("""COMPUTED_VALUE"""),"Guía Operativa")</f>
        <v>Guía Operativa</v>
      </c>
      <c r="F975" s="10" t="str">
        <f ca="1">IFERROR(__xludf.DUMMYFUNCTION("""COMPUTED_VALUE"""),"MUNICIPALIDAD DE SAN MIGUEL")</f>
        <v>MUNICIPALIDAD DE SAN MIGUEL</v>
      </c>
      <c r="G975" s="71">
        <f ca="1">IFERROR(__xludf.DUMMYFUNCTION("""COMPUTED_VALUE"""),109000000)</f>
        <v>109000000</v>
      </c>
      <c r="H975" s="10" t="str">
        <f ca="1">IFERROR(__xludf.DUMMYFUNCTION("""COMPUTED_VALUE"""),"Resolución")</f>
        <v>Resolución</v>
      </c>
      <c r="I975" s="10" t="str">
        <f ca="1">IFERROR(__xludf.DUMMYFUNCTION("""COMPUTED_VALUE"""),"OBRA")</f>
        <v>OBRA</v>
      </c>
      <c r="J975" s="10" t="str">
        <f ca="1">IFERROR(__xludf.DUMMYFUNCTION("""COMPUTED_VALUE"""),"Cumplir con normativa y reglamentos internos del programa en base a los objetivos.")</f>
        <v>Cumplir con normativa y reglamentos internos del programa en base a los objetivos.</v>
      </c>
      <c r="K975" s="71">
        <f ca="1">IFERROR(__xludf.DUMMYFUNCTION("""COMPUTED_VALUE"""),54500000)</f>
        <v>54500000</v>
      </c>
      <c r="L975" s="72">
        <f ca="1">IFERROR(__xludf.DUMMYFUNCTION("""COMPUTED_VALUE"""),0.5)</f>
        <v>0.5</v>
      </c>
      <c r="M975" s="10">
        <f ca="1">IFERROR(__xludf.DUMMYFUNCTION("""COMPUTED_VALUE"""),10338)</f>
        <v>10338</v>
      </c>
      <c r="N975" s="10" t="str">
        <f ca="1">IFERROR(__xludf.DUMMYFUNCTION("""COMPUTED_VALUE"""),"PMU")</f>
        <v>PMU</v>
      </c>
      <c r="O975" s="1"/>
      <c r="P975" s="1"/>
      <c r="Q975" s="1"/>
      <c r="R975" s="1"/>
      <c r="S975" s="1"/>
      <c r="T975" s="1"/>
      <c r="U975" s="1"/>
      <c r="V975" s="1"/>
      <c r="W975" s="1"/>
      <c r="X975" s="1"/>
      <c r="Y975" s="1"/>
      <c r="Z975" s="1"/>
    </row>
    <row r="976" spans="1:26" ht="12.75" customHeight="1">
      <c r="A976" s="1"/>
      <c r="B976" s="10" t="str">
        <f ca="1">IFERROR(__xludf.DUMMYFUNCTION("""COMPUTED_VALUE"""),"MEJORAMIENTO PLATABANDA CALLE LAS ACACIAS, ESTACION CENTRAL")</f>
        <v>MEJORAMIENTO PLATABANDA CALLE LAS ACACIAS, ESTACION CENTRAL</v>
      </c>
      <c r="C976" s="10" t="str">
        <f ca="1">IFERROR(__xludf.DUMMYFUNCTION("""COMPUTED_VALUE"""),"1-C-2024-18")</f>
        <v>1-C-2024-18</v>
      </c>
      <c r="D976" s="26"/>
      <c r="E976" s="10" t="str">
        <f ca="1">IFERROR(__xludf.DUMMYFUNCTION("""COMPUTED_VALUE"""),"Guía Operativa")</f>
        <v>Guía Operativa</v>
      </c>
      <c r="F976" s="10" t="str">
        <f ca="1">IFERROR(__xludf.DUMMYFUNCTION("""COMPUTED_VALUE"""),"MUNICIPALIDAD DE ESTACIÓN CENTRAL")</f>
        <v>MUNICIPALIDAD DE ESTACIÓN CENTRAL</v>
      </c>
      <c r="G976" s="71">
        <f ca="1">IFERROR(__xludf.DUMMYFUNCTION("""COMPUTED_VALUE"""),108653841)</f>
        <v>108653841</v>
      </c>
      <c r="H976" s="10" t="str">
        <f ca="1">IFERROR(__xludf.DUMMYFUNCTION("""COMPUTED_VALUE"""),"Resolución")</f>
        <v>Resolución</v>
      </c>
      <c r="I976" s="10" t="str">
        <f ca="1">IFERROR(__xludf.DUMMYFUNCTION("""COMPUTED_VALUE"""),"OBRA")</f>
        <v>OBRA</v>
      </c>
      <c r="J976" s="10" t="str">
        <f ca="1">IFERROR(__xludf.DUMMYFUNCTION("""COMPUTED_VALUE"""),"Cumplir con normativa y reglamentos internos del programa en base a los objetivos.")</f>
        <v>Cumplir con normativa y reglamentos internos del programa en base a los objetivos.</v>
      </c>
      <c r="K976" s="71">
        <f ca="1">IFERROR(__xludf.DUMMYFUNCTION("""COMPUTED_VALUE"""),54326921)</f>
        <v>54326921</v>
      </c>
      <c r="L976" s="72">
        <f ca="1">IFERROR(__xludf.DUMMYFUNCTION("""COMPUTED_VALUE"""),0.50000000460177)</f>
        <v>0.50000000460176997</v>
      </c>
      <c r="M976" s="10">
        <f ca="1">IFERROR(__xludf.DUMMYFUNCTION("""COMPUTED_VALUE"""),9885)</f>
        <v>9885</v>
      </c>
      <c r="N976" s="10" t="str">
        <f ca="1">IFERROR(__xludf.DUMMYFUNCTION("""COMPUTED_VALUE"""),"PMU")</f>
        <v>PMU</v>
      </c>
      <c r="O976" s="1"/>
      <c r="P976" s="1"/>
      <c r="Q976" s="1"/>
      <c r="R976" s="1"/>
      <c r="S976" s="1"/>
      <c r="T976" s="1"/>
      <c r="U976" s="1"/>
      <c r="V976" s="1"/>
      <c r="W976" s="1"/>
      <c r="X976" s="1"/>
      <c r="Y976" s="1"/>
      <c r="Z976" s="1"/>
    </row>
    <row r="977" spans="1:26" ht="12.75" customHeight="1">
      <c r="A977" s="1"/>
      <c r="B977" s="10" t="str">
        <f ca="1">IFERROR(__xludf.DUMMYFUNCTION("""COMPUTED_VALUE"""),"MEJORAMIENTO DE CRUCES SEMAFORIZADOS CON DEMARCACIÓN DE CONVIVENCIA VIAL, COMUNA DE SAN MIGUEL")</f>
        <v>MEJORAMIENTO DE CRUCES SEMAFORIZADOS CON DEMARCACIÓN DE CONVIVENCIA VIAL, COMUNA DE SAN MIGUEL</v>
      </c>
      <c r="C977" s="10" t="str">
        <f ca="1">IFERROR(__xludf.DUMMYFUNCTION("""COMPUTED_VALUE"""),"1-C-2024-451")</f>
        <v>1-C-2024-451</v>
      </c>
      <c r="D977" s="26"/>
      <c r="E977" s="10" t="str">
        <f ca="1">IFERROR(__xludf.DUMMYFUNCTION("""COMPUTED_VALUE"""),"Guía Operativa")</f>
        <v>Guía Operativa</v>
      </c>
      <c r="F977" s="10" t="str">
        <f ca="1">IFERROR(__xludf.DUMMYFUNCTION("""COMPUTED_VALUE"""),"MUNICIPALIDAD DE SAN MIGUEL")</f>
        <v>MUNICIPALIDAD DE SAN MIGUEL</v>
      </c>
      <c r="G977" s="71">
        <f ca="1">IFERROR(__xludf.DUMMYFUNCTION("""COMPUTED_VALUE"""),121277510)</f>
        <v>121277510</v>
      </c>
      <c r="H977" s="10" t="str">
        <f ca="1">IFERROR(__xludf.DUMMYFUNCTION("""COMPUTED_VALUE"""),"Resolución")</f>
        <v>Resolución</v>
      </c>
      <c r="I977" s="10" t="str">
        <f ca="1">IFERROR(__xludf.DUMMYFUNCTION("""COMPUTED_VALUE"""),"OBRA")</f>
        <v>OBRA</v>
      </c>
      <c r="J977" s="10" t="str">
        <f ca="1">IFERROR(__xludf.DUMMYFUNCTION("""COMPUTED_VALUE"""),"Cumplir con normativa y reglamentos internos del programa en base a los objetivos.")</f>
        <v>Cumplir con normativa y reglamentos internos del programa en base a los objetivos.</v>
      </c>
      <c r="K977" s="71">
        <f ca="1">IFERROR(__xludf.DUMMYFUNCTION("""COMPUTED_VALUE"""),60638755)</f>
        <v>60638755</v>
      </c>
      <c r="L977" s="72">
        <f ca="1">IFERROR(__xludf.DUMMYFUNCTION("""COMPUTED_VALUE"""),0.5)</f>
        <v>0.5</v>
      </c>
      <c r="M977" s="10">
        <f ca="1">IFERROR(__xludf.DUMMYFUNCTION("""COMPUTED_VALUE"""),10338)</f>
        <v>10338</v>
      </c>
      <c r="N977" s="10" t="str">
        <f ca="1">IFERROR(__xludf.DUMMYFUNCTION("""COMPUTED_VALUE"""),"PMU")</f>
        <v>PMU</v>
      </c>
      <c r="O977" s="1"/>
      <c r="P977" s="1"/>
      <c r="Q977" s="1"/>
      <c r="R977" s="1"/>
      <c r="S977" s="1"/>
      <c r="T977" s="1"/>
      <c r="U977" s="1"/>
      <c r="V977" s="1"/>
      <c r="W977" s="1"/>
      <c r="X977" s="1"/>
      <c r="Y977" s="1"/>
      <c r="Z977" s="1"/>
    </row>
    <row r="978" spans="1:26" ht="12.75" customHeight="1">
      <c r="A978" s="1"/>
      <c r="B978" s="10" t="str">
        <f ca="1">IFERROR(__xludf.DUMMYFUNCTION("""COMPUTED_VALUE"""),"MEJORAMIENTO MULTICANCHA 9 ORIENTE COMUNA DE LA GRANJA")</f>
        <v>MEJORAMIENTO MULTICANCHA 9 ORIENTE COMUNA DE LA GRANJA</v>
      </c>
      <c r="C978" s="10" t="str">
        <f ca="1">IFERROR(__xludf.DUMMYFUNCTION("""COMPUTED_VALUE"""),"1-B-2024-135")</f>
        <v>1-B-2024-135</v>
      </c>
      <c r="D978" s="26"/>
      <c r="E978" s="10" t="str">
        <f ca="1">IFERROR(__xludf.DUMMYFUNCTION("""COMPUTED_VALUE"""),"Guía Operativa")</f>
        <v>Guía Operativa</v>
      </c>
      <c r="F978" s="10" t="str">
        <f ca="1">IFERROR(__xludf.DUMMYFUNCTION("""COMPUTED_VALUE"""),"MUNICIPALIDAD DE LA GRANJA")</f>
        <v>MUNICIPALIDAD DE LA GRANJA</v>
      </c>
      <c r="G978" s="71">
        <f ca="1">IFERROR(__xludf.DUMMYFUNCTION("""COMPUTED_VALUE"""),155468145)</f>
        <v>155468145</v>
      </c>
      <c r="H978" s="10" t="str">
        <f ca="1">IFERROR(__xludf.DUMMYFUNCTION("""COMPUTED_VALUE"""),"Resolución")</f>
        <v>Resolución</v>
      </c>
      <c r="I978" s="10" t="str">
        <f ca="1">IFERROR(__xludf.DUMMYFUNCTION("""COMPUTED_VALUE"""),"OBRA")</f>
        <v>OBRA</v>
      </c>
      <c r="J978" s="10" t="str">
        <f ca="1">IFERROR(__xludf.DUMMYFUNCTION("""COMPUTED_VALUE"""),"Cumplir con normativa y reglamentos internos del programa en base a los objetivos.")</f>
        <v>Cumplir con normativa y reglamentos internos del programa en base a los objetivos.</v>
      </c>
      <c r="K978" s="71">
        <f ca="1">IFERROR(__xludf.DUMMYFUNCTION("""COMPUTED_VALUE"""),155468145)</f>
        <v>155468145</v>
      </c>
      <c r="L978" s="72">
        <f ca="1">IFERROR(__xludf.DUMMYFUNCTION("""COMPUTED_VALUE"""),1)</f>
        <v>1</v>
      </c>
      <c r="M978" s="10">
        <f ca="1">IFERROR(__xludf.DUMMYFUNCTION("""COMPUTED_VALUE"""),10386)</f>
        <v>10386</v>
      </c>
      <c r="N978" s="10" t="str">
        <f ca="1">IFERROR(__xludf.DUMMYFUNCTION("""COMPUTED_VALUE"""),"PMU")</f>
        <v>PMU</v>
      </c>
      <c r="O978" s="1"/>
      <c r="P978" s="1"/>
      <c r="Q978" s="1"/>
      <c r="R978" s="1"/>
      <c r="S978" s="1"/>
      <c r="T978" s="1"/>
      <c r="U978" s="1"/>
      <c r="V978" s="1"/>
      <c r="W978" s="1"/>
      <c r="X978" s="1"/>
      <c r="Y978" s="1"/>
      <c r="Z978" s="1"/>
    </row>
    <row r="979" spans="1:26" ht="12.75" customHeight="1">
      <c r="A979" s="1"/>
      <c r="B979" s="10" t="str">
        <f ca="1">IFERROR(__xludf.DUMMYFUNCTION("""COMPUTED_VALUE"""),"REPOSICIÓN MULTICANCHA LA CAMPIÑA DE NOS")</f>
        <v>REPOSICIÓN MULTICANCHA LA CAMPIÑA DE NOS</v>
      </c>
      <c r="C979" s="10" t="str">
        <f ca="1">IFERROR(__xludf.DUMMYFUNCTION("""COMPUTED_VALUE"""),"1-B-2024-141")</f>
        <v>1-B-2024-141</v>
      </c>
      <c r="D979" s="26"/>
      <c r="E979" s="10" t="str">
        <f ca="1">IFERROR(__xludf.DUMMYFUNCTION("""COMPUTED_VALUE"""),"Guía Operativa")</f>
        <v>Guía Operativa</v>
      </c>
      <c r="F979" s="10" t="str">
        <f ca="1">IFERROR(__xludf.DUMMYFUNCTION("""COMPUTED_VALUE"""),"MUNICIPALIDAD DE SAN BERNARDO")</f>
        <v>MUNICIPALIDAD DE SAN BERNARDO</v>
      </c>
      <c r="G979" s="71">
        <f ca="1">IFERROR(__xludf.DUMMYFUNCTION("""COMPUTED_VALUE"""),78660934)</f>
        <v>78660934</v>
      </c>
      <c r="H979" s="10" t="str">
        <f ca="1">IFERROR(__xludf.DUMMYFUNCTION("""COMPUTED_VALUE"""),"Resolución")</f>
        <v>Resolución</v>
      </c>
      <c r="I979" s="10" t="str">
        <f ca="1">IFERROR(__xludf.DUMMYFUNCTION("""COMPUTED_VALUE"""),"OBRA")</f>
        <v>OBRA</v>
      </c>
      <c r="J979" s="10" t="str">
        <f ca="1">IFERROR(__xludf.DUMMYFUNCTION("""COMPUTED_VALUE"""),"Cumplir con normativa y reglamentos internos del programa en base a los objetivos.")</f>
        <v>Cumplir con normativa y reglamentos internos del programa en base a los objetivos.</v>
      </c>
      <c r="K979" s="71">
        <f ca="1">IFERROR(__xludf.DUMMYFUNCTION("""COMPUTED_VALUE"""),78660934)</f>
        <v>78660934</v>
      </c>
      <c r="L979" s="72">
        <f ca="1">IFERROR(__xludf.DUMMYFUNCTION("""COMPUTED_VALUE"""),1)</f>
        <v>1</v>
      </c>
      <c r="M979" s="10">
        <f ca="1">IFERROR(__xludf.DUMMYFUNCTION("""COMPUTED_VALUE"""),10358)</f>
        <v>10358</v>
      </c>
      <c r="N979" s="10" t="str">
        <f ca="1">IFERROR(__xludf.DUMMYFUNCTION("""COMPUTED_VALUE"""),"PMU")</f>
        <v>PMU</v>
      </c>
      <c r="O979" s="1"/>
      <c r="P979" s="1"/>
      <c r="Q979" s="1"/>
      <c r="R979" s="1"/>
      <c r="S979" s="1"/>
      <c r="T979" s="1"/>
      <c r="U979" s="1"/>
      <c r="V979" s="1"/>
      <c r="W979" s="1"/>
      <c r="X979" s="1"/>
      <c r="Y979" s="1"/>
      <c r="Z979" s="1"/>
    </row>
    <row r="980" spans="1:26" ht="12.75" customHeight="1">
      <c r="A980" s="1"/>
      <c r="B980" s="10" t="str">
        <f ca="1">IFERROR(__xludf.DUMMYFUNCTION("""COMPUTED_VALUE"""),"MEJORAMIENTO MULTICANCHA LOS COPIHUES")</f>
        <v>MEJORAMIENTO MULTICANCHA LOS COPIHUES</v>
      </c>
      <c r="C980" s="10" t="str">
        <f ca="1">IFERROR(__xludf.DUMMYFUNCTION("""COMPUTED_VALUE"""),"1-C-2024-737")</f>
        <v>1-C-2024-737</v>
      </c>
      <c r="D980" s="26"/>
      <c r="E980" s="10" t="str">
        <f ca="1">IFERROR(__xludf.DUMMYFUNCTION("""COMPUTED_VALUE"""),"Guía Operativa")</f>
        <v>Guía Operativa</v>
      </c>
      <c r="F980" s="10" t="str">
        <f ca="1">IFERROR(__xludf.DUMMYFUNCTION("""COMPUTED_VALUE"""),"MUNICIPALIDAD DE LO ESPEJO")</f>
        <v>MUNICIPALIDAD DE LO ESPEJO</v>
      </c>
      <c r="G980" s="71">
        <f ca="1">IFERROR(__xludf.DUMMYFUNCTION("""COMPUTED_VALUE"""),150212290)</f>
        <v>150212290</v>
      </c>
      <c r="H980" s="10" t="str">
        <f ca="1">IFERROR(__xludf.DUMMYFUNCTION("""COMPUTED_VALUE"""),"Resolución")</f>
        <v>Resolución</v>
      </c>
      <c r="I980" s="10" t="str">
        <f ca="1">IFERROR(__xludf.DUMMYFUNCTION("""COMPUTED_VALUE"""),"OBRA")</f>
        <v>OBRA</v>
      </c>
      <c r="J980" s="10" t="str">
        <f ca="1">IFERROR(__xludf.DUMMYFUNCTION("""COMPUTED_VALUE"""),"Cumplir con normativa y reglamentos internos del programa en base a los objetivos.")</f>
        <v>Cumplir con normativa y reglamentos internos del programa en base a los objetivos.</v>
      </c>
      <c r="K980" s="71">
        <f ca="1">IFERROR(__xludf.DUMMYFUNCTION("""COMPUTED_VALUE"""),75106145)</f>
        <v>75106145</v>
      </c>
      <c r="L980" s="72">
        <f ca="1">IFERROR(__xludf.DUMMYFUNCTION("""COMPUTED_VALUE"""),0.5)</f>
        <v>0.5</v>
      </c>
      <c r="M980" s="10">
        <f ca="1">IFERROR(__xludf.DUMMYFUNCTION("""COMPUTED_VALUE"""),10017)</f>
        <v>10017</v>
      </c>
      <c r="N980" s="10" t="str">
        <f ca="1">IFERROR(__xludf.DUMMYFUNCTION("""COMPUTED_VALUE"""),"PMU")</f>
        <v>PMU</v>
      </c>
      <c r="O980" s="1"/>
      <c r="P980" s="1"/>
      <c r="Q980" s="1"/>
      <c r="R980" s="1"/>
      <c r="S980" s="1"/>
      <c r="T980" s="1"/>
      <c r="U980" s="1"/>
      <c r="V980" s="1"/>
      <c r="W980" s="1"/>
      <c r="X980" s="1"/>
      <c r="Y980" s="1"/>
      <c r="Z980" s="1"/>
    </row>
    <row r="981" spans="1:26" ht="12.75" customHeight="1">
      <c r="A981" s="1"/>
      <c r="B981" s="10" t="str">
        <f ca="1">IFERROR(__xludf.DUMMYFUNCTION("""COMPUTED_VALUE"""),"REPOSICIÓN PASTO SINTÉTICO CANCHA DE FÚTBOL ESTADIO JULIO COVARRUBIAS, COMUNA DE PADRE HURTADO")</f>
        <v>REPOSICIÓN PASTO SINTÉTICO CANCHA DE FÚTBOL ESTADIO JULIO COVARRUBIAS, COMUNA DE PADRE HURTADO</v>
      </c>
      <c r="C981" s="10" t="str">
        <f ca="1">IFERROR(__xludf.DUMMYFUNCTION("""COMPUTED_VALUE"""),"1-B-2024-179")</f>
        <v>1-B-2024-179</v>
      </c>
      <c r="D981" s="26"/>
      <c r="E981" s="10" t="str">
        <f ca="1">IFERROR(__xludf.DUMMYFUNCTION("""COMPUTED_VALUE"""),"Guía Operativa")</f>
        <v>Guía Operativa</v>
      </c>
      <c r="F981" s="10" t="str">
        <f ca="1">IFERROR(__xludf.DUMMYFUNCTION("""COMPUTED_VALUE"""),"MUNICIPALIDAD DE PADRE HURTADO")</f>
        <v>MUNICIPALIDAD DE PADRE HURTADO</v>
      </c>
      <c r="G981" s="71">
        <f ca="1">IFERROR(__xludf.DUMMYFUNCTION("""COMPUTED_VALUE"""),160831958)</f>
        <v>160831958</v>
      </c>
      <c r="H981" s="10" t="str">
        <f ca="1">IFERROR(__xludf.DUMMYFUNCTION("""COMPUTED_VALUE"""),"Resolución")</f>
        <v>Resolución</v>
      </c>
      <c r="I981" s="10" t="str">
        <f ca="1">IFERROR(__xludf.DUMMYFUNCTION("""COMPUTED_VALUE"""),"OBRA")</f>
        <v>OBRA</v>
      </c>
      <c r="J981" s="10" t="str">
        <f ca="1">IFERROR(__xludf.DUMMYFUNCTION("""COMPUTED_VALUE"""),"Cumplir con normativa y reglamentos internos del programa en base a los objetivos.")</f>
        <v>Cumplir con normativa y reglamentos internos del programa en base a los objetivos.</v>
      </c>
      <c r="K981" s="71">
        <f ca="1">IFERROR(__xludf.DUMMYFUNCTION("""COMPUTED_VALUE"""),160831958)</f>
        <v>160831958</v>
      </c>
      <c r="L981" s="72">
        <f ca="1">IFERROR(__xludf.DUMMYFUNCTION("""COMPUTED_VALUE"""),1)</f>
        <v>1</v>
      </c>
      <c r="M981" s="10">
        <f ca="1">IFERROR(__xludf.DUMMYFUNCTION("""COMPUTED_VALUE"""),10372)</f>
        <v>10372</v>
      </c>
      <c r="N981" s="10" t="str">
        <f ca="1">IFERROR(__xludf.DUMMYFUNCTION("""COMPUTED_VALUE"""),"PMU")</f>
        <v>PMU</v>
      </c>
      <c r="O981" s="1"/>
      <c r="P981" s="1"/>
      <c r="Q981" s="1"/>
      <c r="R981" s="1"/>
      <c r="S981" s="1"/>
      <c r="T981" s="1"/>
      <c r="U981" s="1"/>
      <c r="V981" s="1"/>
      <c r="W981" s="1"/>
      <c r="X981" s="1"/>
      <c r="Y981" s="1"/>
      <c r="Z981" s="1"/>
    </row>
    <row r="982" spans="1:26" ht="12.75" customHeight="1">
      <c r="A982" s="1"/>
      <c r="B982" s="10" t="str">
        <f ca="1">IFERROR(__xludf.DUMMYFUNCTION("""COMPUTED_VALUE"""),"CONSTRUCCION SEDE SOCIAL SECTOR TORIBIO LARRAIN, COMUNA DE PEÑAFLOR")</f>
        <v>CONSTRUCCION SEDE SOCIAL SECTOR TORIBIO LARRAIN, COMUNA DE PEÑAFLOR</v>
      </c>
      <c r="C982" s="10" t="str">
        <f ca="1">IFERROR(__xludf.DUMMYFUNCTION("""COMPUTED_VALUE"""),"1-B-2024-183")</f>
        <v>1-B-2024-183</v>
      </c>
      <c r="D982" s="26"/>
      <c r="E982" s="10" t="str">
        <f ca="1">IFERROR(__xludf.DUMMYFUNCTION("""COMPUTED_VALUE"""),"Guía Operativa")</f>
        <v>Guía Operativa</v>
      </c>
      <c r="F982" s="10" t="str">
        <f ca="1">IFERROR(__xludf.DUMMYFUNCTION("""COMPUTED_VALUE"""),"MUNICIPALIDAD DE PEÑAFLOR")</f>
        <v>MUNICIPALIDAD DE PEÑAFLOR</v>
      </c>
      <c r="G982" s="71">
        <f ca="1">IFERROR(__xludf.DUMMYFUNCTION("""COMPUTED_VALUE"""),161664993)</f>
        <v>161664993</v>
      </c>
      <c r="H982" s="10" t="str">
        <f ca="1">IFERROR(__xludf.DUMMYFUNCTION("""COMPUTED_VALUE"""),"Resolución")</f>
        <v>Resolución</v>
      </c>
      <c r="I982" s="10" t="str">
        <f ca="1">IFERROR(__xludf.DUMMYFUNCTION("""COMPUTED_VALUE"""),"OBRA")</f>
        <v>OBRA</v>
      </c>
      <c r="J982" s="10" t="str">
        <f ca="1">IFERROR(__xludf.DUMMYFUNCTION("""COMPUTED_VALUE"""),"Cumplir con normativa y reglamentos internos del programa en base a los objetivos.")</f>
        <v>Cumplir con normativa y reglamentos internos del programa en base a los objetivos.</v>
      </c>
      <c r="K982" s="71">
        <f ca="1">IFERROR(__xludf.DUMMYFUNCTION("""COMPUTED_VALUE"""),161664993)</f>
        <v>161664993</v>
      </c>
      <c r="L982" s="72">
        <f ca="1">IFERROR(__xludf.DUMMYFUNCTION("""COMPUTED_VALUE"""),1)</f>
        <v>1</v>
      </c>
      <c r="M982" s="10">
        <f ca="1">IFERROR(__xludf.DUMMYFUNCTION("""COMPUTED_VALUE"""),10384)</f>
        <v>10384</v>
      </c>
      <c r="N982" s="10" t="str">
        <f ca="1">IFERROR(__xludf.DUMMYFUNCTION("""COMPUTED_VALUE"""),"PMU")</f>
        <v>PMU</v>
      </c>
      <c r="O982" s="1"/>
      <c r="P982" s="1"/>
      <c r="Q982" s="1"/>
      <c r="R982" s="1"/>
      <c r="S982" s="1"/>
      <c r="T982" s="1"/>
      <c r="U982" s="1"/>
      <c r="V982" s="1"/>
      <c r="W982" s="1"/>
      <c r="X982" s="1"/>
      <c r="Y982" s="1"/>
      <c r="Z982" s="1"/>
    </row>
    <row r="983" spans="1:26" ht="12.75" customHeight="1">
      <c r="A983" s="1"/>
      <c r="B983" s="10" t="str">
        <f ca="1">IFERROR(__xludf.DUMMYFUNCTION("""COMPUTED_VALUE"""),"MEJORAMIENTO DE ACCESOS A JUEGOS INFANTILES, COMUNA DE COLINA")</f>
        <v>MEJORAMIENTO DE ACCESOS A JUEGOS INFANTILES, COMUNA DE COLINA</v>
      </c>
      <c r="C983" s="10" t="str">
        <f ca="1">IFERROR(__xludf.DUMMYFUNCTION("""COMPUTED_VALUE"""),"1-B-2024-189")</f>
        <v>1-B-2024-189</v>
      </c>
      <c r="D983" s="26"/>
      <c r="E983" s="10" t="str">
        <f ca="1">IFERROR(__xludf.DUMMYFUNCTION("""COMPUTED_VALUE"""),"Guía Operativa")</f>
        <v>Guía Operativa</v>
      </c>
      <c r="F983" s="10" t="str">
        <f ca="1">IFERROR(__xludf.DUMMYFUNCTION("""COMPUTED_VALUE"""),"MUNICIPALIDAD DE COLINA")</f>
        <v>MUNICIPALIDAD DE COLINA</v>
      </c>
      <c r="G983" s="71">
        <f ca="1">IFERROR(__xludf.DUMMYFUNCTION("""COMPUTED_VALUE"""),68651409)</f>
        <v>68651409</v>
      </c>
      <c r="H983" s="10" t="str">
        <f ca="1">IFERROR(__xludf.DUMMYFUNCTION("""COMPUTED_VALUE"""),"Resolución")</f>
        <v>Resolución</v>
      </c>
      <c r="I983" s="10" t="str">
        <f ca="1">IFERROR(__xludf.DUMMYFUNCTION("""COMPUTED_VALUE"""),"OBRA")</f>
        <v>OBRA</v>
      </c>
      <c r="J983" s="10" t="str">
        <f ca="1">IFERROR(__xludf.DUMMYFUNCTION("""COMPUTED_VALUE"""),"Cumplir con normativa y reglamentos internos del programa en base a los objetivos.")</f>
        <v>Cumplir con normativa y reglamentos internos del programa en base a los objetivos.</v>
      </c>
      <c r="K983" s="71">
        <f ca="1">IFERROR(__xludf.DUMMYFUNCTION("""COMPUTED_VALUE"""),68651409)</f>
        <v>68651409</v>
      </c>
      <c r="L983" s="72">
        <f ca="1">IFERROR(__xludf.DUMMYFUNCTION("""COMPUTED_VALUE"""),1)</f>
        <v>1</v>
      </c>
      <c r="M983" s="10">
        <f ca="1">IFERROR(__xludf.DUMMYFUNCTION("""COMPUTED_VALUE"""),10340)</f>
        <v>10340</v>
      </c>
      <c r="N983" s="10" t="str">
        <f ca="1">IFERROR(__xludf.DUMMYFUNCTION("""COMPUTED_VALUE"""),"PMU")</f>
        <v>PMU</v>
      </c>
      <c r="O983" s="1"/>
      <c r="P983" s="1"/>
      <c r="Q983" s="1"/>
      <c r="R983" s="1"/>
      <c r="S983" s="1"/>
      <c r="T983" s="1"/>
      <c r="U983" s="1"/>
      <c r="V983" s="1"/>
      <c r="W983" s="1"/>
      <c r="X983" s="1"/>
      <c r="Y983" s="1"/>
      <c r="Z983" s="1"/>
    </row>
    <row r="984" spans="1:26" ht="12.75" customHeight="1">
      <c r="A984" s="1"/>
      <c r="B984" s="10" t="str">
        <f ca="1">IFERROR(__xludf.DUMMYFUNCTION("""COMPUTED_VALUE"""),"CONSERVACIÓN DE REDUCTORES DE VELOCIDAD EN DIVERSOS SECTORES DE LA COMUNA, LA CISTERNA.")</f>
        <v>CONSERVACIÓN DE REDUCTORES DE VELOCIDAD EN DIVERSOS SECTORES DE LA COMUNA, LA CISTERNA.</v>
      </c>
      <c r="C984" s="10" t="str">
        <f ca="1">IFERROR(__xludf.DUMMYFUNCTION("""COMPUTED_VALUE"""),"1-B-2024-218")</f>
        <v>1-B-2024-218</v>
      </c>
      <c r="D984" s="26"/>
      <c r="E984" s="10" t="str">
        <f ca="1">IFERROR(__xludf.DUMMYFUNCTION("""COMPUTED_VALUE"""),"Guía Operativa")</f>
        <v>Guía Operativa</v>
      </c>
      <c r="F984" s="10" t="str">
        <f ca="1">IFERROR(__xludf.DUMMYFUNCTION("""COMPUTED_VALUE"""),"MUNICIPALIDAD DE LA CISTERNA")</f>
        <v>MUNICIPALIDAD DE LA CISTERNA</v>
      </c>
      <c r="G984" s="71">
        <f ca="1">IFERROR(__xludf.DUMMYFUNCTION("""COMPUTED_VALUE"""),134225507)</f>
        <v>134225507</v>
      </c>
      <c r="H984" s="10" t="str">
        <f ca="1">IFERROR(__xludf.DUMMYFUNCTION("""COMPUTED_VALUE"""),"Resolución")</f>
        <v>Resolución</v>
      </c>
      <c r="I984" s="10" t="str">
        <f ca="1">IFERROR(__xludf.DUMMYFUNCTION("""COMPUTED_VALUE"""),"OBRA")</f>
        <v>OBRA</v>
      </c>
      <c r="J984" s="10" t="str">
        <f ca="1">IFERROR(__xludf.DUMMYFUNCTION("""COMPUTED_VALUE"""),"Cumplir con normativa y reglamentos internos del programa en base a los objetivos.")</f>
        <v>Cumplir con normativa y reglamentos internos del programa en base a los objetivos.</v>
      </c>
      <c r="K984" s="71">
        <f ca="1">IFERROR(__xludf.DUMMYFUNCTION("""COMPUTED_VALUE"""),134225507)</f>
        <v>134225507</v>
      </c>
      <c r="L984" s="72">
        <f ca="1">IFERROR(__xludf.DUMMYFUNCTION("""COMPUTED_VALUE"""),1)</f>
        <v>1</v>
      </c>
      <c r="M984" s="10">
        <f ca="1">IFERROR(__xludf.DUMMYFUNCTION("""COMPUTED_VALUE"""),10389)</f>
        <v>10389</v>
      </c>
      <c r="N984" s="10" t="str">
        <f ca="1">IFERROR(__xludf.DUMMYFUNCTION("""COMPUTED_VALUE"""),"PMU")</f>
        <v>PMU</v>
      </c>
      <c r="O984" s="1"/>
      <c r="P984" s="1"/>
      <c r="Q984" s="1"/>
      <c r="R984" s="1"/>
      <c r="S984" s="1"/>
      <c r="T984" s="1"/>
      <c r="U984" s="1"/>
      <c r="V984" s="1"/>
      <c r="W984" s="1"/>
      <c r="X984" s="1"/>
      <c r="Y984" s="1"/>
      <c r="Z984" s="1"/>
    </row>
    <row r="985" spans="1:26" ht="12.75" customHeight="1">
      <c r="A985" s="1"/>
      <c r="B985" s="10" t="str">
        <f ca="1">IFERROR(__xludf.DUMMYFUNCTION("""COMPUTED_VALUE"""),"MEJORAMIENTO MULTICANCHA ISLA SAN FELIX COMUNA DE LA GRANJA")</f>
        <v>MEJORAMIENTO MULTICANCHA ISLA SAN FELIX COMUNA DE LA GRANJA</v>
      </c>
      <c r="C985" s="10" t="str">
        <f ca="1">IFERROR(__xludf.DUMMYFUNCTION("""COMPUTED_VALUE"""),"1-B-2024-242")</f>
        <v>1-B-2024-242</v>
      </c>
      <c r="D985" s="26"/>
      <c r="E985" s="10" t="str">
        <f ca="1">IFERROR(__xludf.DUMMYFUNCTION("""COMPUTED_VALUE"""),"Guía Operativa")</f>
        <v>Guía Operativa</v>
      </c>
      <c r="F985" s="10" t="str">
        <f ca="1">IFERROR(__xludf.DUMMYFUNCTION("""COMPUTED_VALUE"""),"MUNICIPALIDAD DE LA GRANJA")</f>
        <v>MUNICIPALIDAD DE LA GRANJA</v>
      </c>
      <c r="G985" s="71">
        <f ca="1">IFERROR(__xludf.DUMMYFUNCTION("""COMPUTED_VALUE"""),130367907)</f>
        <v>130367907</v>
      </c>
      <c r="H985" s="10" t="str">
        <f ca="1">IFERROR(__xludf.DUMMYFUNCTION("""COMPUTED_VALUE"""),"Resolución")</f>
        <v>Resolución</v>
      </c>
      <c r="I985" s="10" t="str">
        <f ca="1">IFERROR(__xludf.DUMMYFUNCTION("""COMPUTED_VALUE"""),"OBRA")</f>
        <v>OBRA</v>
      </c>
      <c r="J985" s="10" t="str">
        <f ca="1">IFERROR(__xludf.DUMMYFUNCTION("""COMPUTED_VALUE"""),"Cumplir con normativa y reglamentos internos del programa en base a los objetivos.")</f>
        <v>Cumplir con normativa y reglamentos internos del programa en base a los objetivos.</v>
      </c>
      <c r="K985" s="71">
        <f ca="1">IFERROR(__xludf.DUMMYFUNCTION("""COMPUTED_VALUE"""),130367907)</f>
        <v>130367907</v>
      </c>
      <c r="L985" s="72">
        <f ca="1">IFERROR(__xludf.DUMMYFUNCTION("""COMPUTED_VALUE"""),1)</f>
        <v>1</v>
      </c>
      <c r="M985" s="10">
        <f ca="1">IFERROR(__xludf.DUMMYFUNCTION("""COMPUTED_VALUE"""),10370)</f>
        <v>10370</v>
      </c>
      <c r="N985" s="10" t="str">
        <f ca="1">IFERROR(__xludf.DUMMYFUNCTION("""COMPUTED_VALUE"""),"PMU")</f>
        <v>PMU</v>
      </c>
      <c r="O985" s="1"/>
      <c r="P985" s="1"/>
      <c r="Q985" s="1"/>
      <c r="R985" s="1"/>
      <c r="S985" s="1"/>
      <c r="T985" s="1"/>
      <c r="U985" s="1"/>
      <c r="V985" s="1"/>
      <c r="W985" s="1"/>
      <c r="X985" s="1"/>
      <c r="Y985" s="1"/>
      <c r="Z985" s="1"/>
    </row>
    <row r="986" spans="1:26" ht="12.75" customHeight="1">
      <c r="A986" s="1"/>
      <c r="B986" s="10" t="str">
        <f ca="1">IFERROR(__xludf.DUMMYFUNCTION("""COMPUTED_VALUE"""),"REPOSICIÓN CIERRE DE CANCHA ESTADIO CALERA DE TANGO")</f>
        <v>REPOSICIÓN CIERRE DE CANCHA ESTADIO CALERA DE TANGO</v>
      </c>
      <c r="C986" s="10" t="str">
        <f ca="1">IFERROR(__xludf.DUMMYFUNCTION("""COMPUTED_VALUE"""),"1-B-2024-329")</f>
        <v>1-B-2024-329</v>
      </c>
      <c r="D986" s="26"/>
      <c r="E986" s="10" t="str">
        <f ca="1">IFERROR(__xludf.DUMMYFUNCTION("""COMPUTED_VALUE"""),"Guía Operativa")</f>
        <v>Guía Operativa</v>
      </c>
      <c r="F986" s="10" t="str">
        <f ca="1">IFERROR(__xludf.DUMMYFUNCTION("""COMPUTED_VALUE"""),"MUNICIPALIDAD DE CALERA DE TANGO")</f>
        <v>MUNICIPALIDAD DE CALERA DE TANGO</v>
      </c>
      <c r="G986" s="71">
        <f ca="1">IFERROR(__xludf.DUMMYFUNCTION("""COMPUTED_VALUE"""),159621678)</f>
        <v>159621678</v>
      </c>
      <c r="H986" s="10" t="str">
        <f ca="1">IFERROR(__xludf.DUMMYFUNCTION("""COMPUTED_VALUE"""),"Resolución")</f>
        <v>Resolución</v>
      </c>
      <c r="I986" s="10" t="str">
        <f ca="1">IFERROR(__xludf.DUMMYFUNCTION("""COMPUTED_VALUE"""),"OBRA")</f>
        <v>OBRA</v>
      </c>
      <c r="J986" s="10" t="str">
        <f ca="1">IFERROR(__xludf.DUMMYFUNCTION("""COMPUTED_VALUE"""),"Cumplir con normativa y reglamentos internos del programa en base a los objetivos.")</f>
        <v>Cumplir con normativa y reglamentos internos del programa en base a los objetivos.</v>
      </c>
      <c r="K986" s="71">
        <f ca="1">IFERROR(__xludf.DUMMYFUNCTION("""COMPUTED_VALUE"""),159621678)</f>
        <v>159621678</v>
      </c>
      <c r="L986" s="72">
        <f ca="1">IFERROR(__xludf.DUMMYFUNCTION("""COMPUTED_VALUE"""),1)</f>
        <v>1</v>
      </c>
      <c r="M986" s="10">
        <f ca="1">IFERROR(__xludf.DUMMYFUNCTION("""COMPUTED_VALUE"""),9782)</f>
        <v>9782</v>
      </c>
      <c r="N986" s="10" t="str">
        <f ca="1">IFERROR(__xludf.DUMMYFUNCTION("""COMPUTED_VALUE"""),"PMU")</f>
        <v>PMU</v>
      </c>
      <c r="O986" s="1"/>
      <c r="P986" s="1"/>
      <c r="Q986" s="1"/>
      <c r="R986" s="1"/>
      <c r="S986" s="1"/>
      <c r="T986" s="1"/>
      <c r="U986" s="1"/>
      <c r="V986" s="1"/>
      <c r="W986" s="1"/>
      <c r="X986" s="1"/>
      <c r="Y986" s="1"/>
      <c r="Z986" s="1"/>
    </row>
    <row r="987" spans="1:26" ht="12.75" customHeight="1">
      <c r="A987" s="1"/>
      <c r="B987" s="10" t="str">
        <f ca="1">IFERROR(__xludf.DUMMYFUNCTION("""COMPUTED_VALUE"""),"CONSTRUCCIÓN LUMINARIAS CICLOVIA CALLE SANTA INES, SECTOR LA ISLITA, COMUNA DE ISLA DE MAIPO")</f>
        <v>CONSTRUCCIÓN LUMINARIAS CICLOVIA CALLE SANTA INES, SECTOR LA ISLITA, COMUNA DE ISLA DE MAIPO</v>
      </c>
      <c r="C987" s="10" t="str">
        <f ca="1">IFERROR(__xludf.DUMMYFUNCTION("""COMPUTED_VALUE"""),"1-B-2024-471")</f>
        <v>1-B-2024-471</v>
      </c>
      <c r="D987" s="26"/>
      <c r="E987" s="10" t="str">
        <f ca="1">IFERROR(__xludf.DUMMYFUNCTION("""COMPUTED_VALUE"""),"Guía Operativa")</f>
        <v>Guía Operativa</v>
      </c>
      <c r="F987" s="10" t="str">
        <f ca="1">IFERROR(__xludf.DUMMYFUNCTION("""COMPUTED_VALUE"""),"MUNICIPALIDAD DE ISLA DE MAIPO")</f>
        <v>MUNICIPALIDAD DE ISLA DE MAIPO</v>
      </c>
      <c r="G987" s="71">
        <f ca="1">IFERROR(__xludf.DUMMYFUNCTION("""COMPUTED_VALUE"""),160604128)</f>
        <v>160604128</v>
      </c>
      <c r="H987" s="10" t="str">
        <f ca="1">IFERROR(__xludf.DUMMYFUNCTION("""COMPUTED_VALUE"""),"Resolución")</f>
        <v>Resolución</v>
      </c>
      <c r="I987" s="10" t="str">
        <f ca="1">IFERROR(__xludf.DUMMYFUNCTION("""COMPUTED_VALUE"""),"OBRA")</f>
        <v>OBRA</v>
      </c>
      <c r="J987" s="10" t="str">
        <f ca="1">IFERROR(__xludf.DUMMYFUNCTION("""COMPUTED_VALUE"""),"Cumplir con normativa y reglamentos internos del programa en base a los objetivos.")</f>
        <v>Cumplir con normativa y reglamentos internos del programa en base a los objetivos.</v>
      </c>
      <c r="K987" s="71">
        <f ca="1">IFERROR(__xludf.DUMMYFUNCTION("""COMPUTED_VALUE"""),160604128)</f>
        <v>160604128</v>
      </c>
      <c r="L987" s="72">
        <f ca="1">IFERROR(__xludf.DUMMYFUNCTION("""COMPUTED_VALUE"""),1)</f>
        <v>1</v>
      </c>
      <c r="M987" s="10">
        <f ca="1">IFERROR(__xludf.DUMMYFUNCTION("""COMPUTED_VALUE"""),10355)</f>
        <v>10355</v>
      </c>
      <c r="N987" s="10" t="str">
        <f ca="1">IFERROR(__xludf.DUMMYFUNCTION("""COMPUTED_VALUE"""),"PMU")</f>
        <v>PMU</v>
      </c>
      <c r="O987" s="1"/>
      <c r="P987" s="1"/>
      <c r="Q987" s="1"/>
      <c r="R987" s="1"/>
      <c r="S987" s="1"/>
      <c r="T987" s="1"/>
      <c r="U987" s="1"/>
      <c r="V987" s="1"/>
      <c r="W987" s="1"/>
      <c r="X987" s="1"/>
      <c r="Y987" s="1"/>
      <c r="Z987" s="1"/>
    </row>
    <row r="988" spans="1:26" ht="12.75" customHeight="1">
      <c r="A988" s="1"/>
      <c r="B988" s="10" t="str">
        <f ca="1">IFERROR(__xludf.DUMMYFUNCTION("""COMPUTED_VALUE"""),"[SATE] AMPLIACIÓN CENTRO ADULTO MAYOR, COMUNA DE PAILLACO")</f>
        <v>[SATE] AMPLIACIÓN CENTRO ADULTO MAYOR, COMUNA DE PAILLACO</v>
      </c>
      <c r="C988" s="10" t="str">
        <f ca="1">IFERROR(__xludf.DUMMYFUNCTION("""COMPUTED_VALUE"""),"1-C-2023-1471")</f>
        <v>1-C-2023-1471</v>
      </c>
      <c r="D988" s="26"/>
      <c r="E988" s="10" t="str">
        <f ca="1">IFERROR(__xludf.DUMMYFUNCTION("""COMPUTED_VALUE"""),"Guía Operativa")</f>
        <v>Guía Operativa</v>
      </c>
      <c r="F988" s="10" t="str">
        <f ca="1">IFERROR(__xludf.DUMMYFUNCTION("""COMPUTED_VALUE"""),"MUNICIPALIDAD DE PAILLACO")</f>
        <v>MUNICIPALIDAD DE PAILLACO</v>
      </c>
      <c r="G988" s="71">
        <f ca="1">IFERROR(__xludf.DUMMYFUNCTION("""COMPUTED_VALUE"""),100055784)</f>
        <v>100055784</v>
      </c>
      <c r="H988" s="10" t="str">
        <f ca="1">IFERROR(__xludf.DUMMYFUNCTION("""COMPUTED_VALUE"""),"Resolución")</f>
        <v>Resolución</v>
      </c>
      <c r="I988" s="10" t="str">
        <f ca="1">IFERROR(__xludf.DUMMYFUNCTION("""COMPUTED_VALUE"""),"OBRA")</f>
        <v>OBRA</v>
      </c>
      <c r="J988" s="10" t="str">
        <f ca="1">IFERROR(__xludf.DUMMYFUNCTION("""COMPUTED_VALUE"""),"Cumplir con normativa y reglamentos internos del programa en base a los objetivos.")</f>
        <v>Cumplir con normativa y reglamentos internos del programa en base a los objetivos.</v>
      </c>
      <c r="K988" s="71">
        <f ca="1">IFERROR(__xludf.DUMMYFUNCTION("""COMPUTED_VALUE"""),100055784)</f>
        <v>100055784</v>
      </c>
      <c r="L988" s="72">
        <f ca="1">IFERROR(__xludf.DUMMYFUNCTION("""COMPUTED_VALUE"""),1)</f>
        <v>1</v>
      </c>
      <c r="M988" s="10">
        <f ca="1">IFERROR(__xludf.DUMMYFUNCTION("""COMPUTED_VALUE"""),10013)</f>
        <v>10013</v>
      </c>
      <c r="N988" s="10" t="str">
        <f ca="1">IFERROR(__xludf.DUMMYFUNCTION("""COMPUTED_VALUE"""),"PMU")</f>
        <v>PMU</v>
      </c>
      <c r="O988" s="1"/>
      <c r="P988" s="1"/>
      <c r="Q988" s="1"/>
      <c r="R988" s="1"/>
      <c r="S988" s="1"/>
      <c r="T988" s="1"/>
      <c r="U988" s="1"/>
      <c r="V988" s="1"/>
      <c r="W988" s="1"/>
      <c r="X988" s="1"/>
      <c r="Y988" s="1"/>
      <c r="Z988" s="1"/>
    </row>
    <row r="989" spans="1:26" ht="12.75" customHeight="1">
      <c r="A989" s="1"/>
      <c r="B989" s="10" t="str">
        <f ca="1">IFERROR(__xludf.DUMMYFUNCTION("""COMPUTED_VALUE"""),"CONSTRUCCIÓN CENTRO CLÍNICO VETERINARIO")</f>
        <v>CONSTRUCCIÓN CENTRO CLÍNICO VETERINARIO</v>
      </c>
      <c r="C989" s="10" t="str">
        <f ca="1">IFERROR(__xludf.DUMMYFUNCTION("""COMPUTED_VALUE"""),"1-C-2023-1578")</f>
        <v>1-C-2023-1578</v>
      </c>
      <c r="D989" s="26"/>
      <c r="E989" s="10" t="str">
        <f ca="1">IFERROR(__xludf.DUMMYFUNCTION("""COMPUTED_VALUE"""),"Guía Operativa")</f>
        <v>Guía Operativa</v>
      </c>
      <c r="F989" s="10" t="str">
        <f ca="1">IFERROR(__xludf.DUMMYFUNCTION("""COMPUTED_VALUE"""),"MUNICIPALIDAD DE PAILLACO")</f>
        <v>MUNICIPALIDAD DE PAILLACO</v>
      </c>
      <c r="G989" s="71">
        <f ca="1">IFERROR(__xludf.DUMMYFUNCTION("""COMPUTED_VALUE"""),154422370)</f>
        <v>154422370</v>
      </c>
      <c r="H989" s="10" t="str">
        <f ca="1">IFERROR(__xludf.DUMMYFUNCTION("""COMPUTED_VALUE"""),"Resolución")</f>
        <v>Resolución</v>
      </c>
      <c r="I989" s="10" t="str">
        <f ca="1">IFERROR(__xludf.DUMMYFUNCTION("""COMPUTED_VALUE"""),"OBRA")</f>
        <v>OBRA</v>
      </c>
      <c r="J989" s="10" t="str">
        <f ca="1">IFERROR(__xludf.DUMMYFUNCTION("""COMPUTED_VALUE"""),"Cumplir con normativa y reglamentos internos del programa en base a los objetivos.")</f>
        <v>Cumplir con normativa y reglamentos internos del programa en base a los objetivos.</v>
      </c>
      <c r="K989" s="71">
        <f ca="1">IFERROR(__xludf.DUMMYFUNCTION("""COMPUTED_VALUE"""),154422370)</f>
        <v>154422370</v>
      </c>
      <c r="L989" s="72">
        <f ca="1">IFERROR(__xludf.DUMMYFUNCTION("""COMPUTED_VALUE"""),1)</f>
        <v>1</v>
      </c>
      <c r="M989" s="10">
        <f ca="1">IFERROR(__xludf.DUMMYFUNCTION("""COMPUTED_VALUE"""),10369)</f>
        <v>10369</v>
      </c>
      <c r="N989" s="10" t="str">
        <f ca="1">IFERROR(__xludf.DUMMYFUNCTION("""COMPUTED_VALUE"""),"PMU")</f>
        <v>PMU</v>
      </c>
      <c r="O989" s="1"/>
      <c r="P989" s="1"/>
      <c r="Q989" s="1"/>
      <c r="R989" s="1"/>
      <c r="S989" s="1"/>
      <c r="T989" s="1"/>
      <c r="U989" s="1"/>
      <c r="V989" s="1"/>
      <c r="W989" s="1"/>
      <c r="X989" s="1"/>
      <c r="Y989" s="1"/>
      <c r="Z989" s="1"/>
    </row>
    <row r="990" spans="1:26" ht="12.75" customHeight="1">
      <c r="A990" s="1"/>
      <c r="B990" s="10" t="str">
        <f ca="1">IFERROR(__xludf.DUMMYFUNCTION("""COMPUTED_VALUE"""),"CONSTRUCCIÓN SALAS DE CLASES ESCUELA PROYECTO DE FUTURO, PAILLACO")</f>
        <v>CONSTRUCCIÓN SALAS DE CLASES ESCUELA PROYECTO DE FUTURO, PAILLACO</v>
      </c>
      <c r="C990" s="10" t="str">
        <f ca="1">IFERROR(__xludf.DUMMYFUNCTION("""COMPUTED_VALUE"""),"1-C-2023-3147")</f>
        <v>1-C-2023-3147</v>
      </c>
      <c r="D990" s="26"/>
      <c r="E990" s="10" t="str">
        <f ca="1">IFERROR(__xludf.DUMMYFUNCTION("""COMPUTED_VALUE"""),"Guía Operativa")</f>
        <v>Guía Operativa</v>
      </c>
      <c r="F990" s="10" t="str">
        <f ca="1">IFERROR(__xludf.DUMMYFUNCTION("""COMPUTED_VALUE"""),"MUNICIPALIDAD DE PAILLACO")</f>
        <v>MUNICIPALIDAD DE PAILLACO</v>
      </c>
      <c r="G990" s="71">
        <f ca="1">IFERROR(__xludf.DUMMYFUNCTION("""COMPUTED_VALUE"""),69195311)</f>
        <v>69195311</v>
      </c>
      <c r="H990" s="10" t="str">
        <f ca="1">IFERROR(__xludf.DUMMYFUNCTION("""COMPUTED_VALUE"""),"Resolución")</f>
        <v>Resolución</v>
      </c>
      <c r="I990" s="10" t="str">
        <f ca="1">IFERROR(__xludf.DUMMYFUNCTION("""COMPUTED_VALUE"""),"OBRA")</f>
        <v>OBRA</v>
      </c>
      <c r="J990" s="10" t="str">
        <f ca="1">IFERROR(__xludf.DUMMYFUNCTION("""COMPUTED_VALUE"""),"Cumplir con normativa y reglamentos internos del programa en base a los objetivos.")</f>
        <v>Cumplir con normativa y reglamentos internos del programa en base a los objetivos.</v>
      </c>
      <c r="K990" s="71">
        <f ca="1">IFERROR(__xludf.DUMMYFUNCTION("""COMPUTED_VALUE"""),69195311)</f>
        <v>69195311</v>
      </c>
      <c r="L990" s="72">
        <f ca="1">IFERROR(__xludf.DUMMYFUNCTION("""COMPUTED_VALUE"""),1)</f>
        <v>1</v>
      </c>
      <c r="M990" s="10">
        <f ca="1">IFERROR(__xludf.DUMMYFUNCTION("""COMPUTED_VALUE"""),10013)</f>
        <v>10013</v>
      </c>
      <c r="N990" s="10" t="str">
        <f ca="1">IFERROR(__xludf.DUMMYFUNCTION("""COMPUTED_VALUE"""),"PMU")</f>
        <v>PMU</v>
      </c>
      <c r="O990" s="1"/>
      <c r="P990" s="1"/>
      <c r="Q990" s="1"/>
      <c r="R990" s="1"/>
      <c r="S990" s="1"/>
      <c r="T990" s="1"/>
      <c r="U990" s="1"/>
      <c r="V990" s="1"/>
      <c r="W990" s="1"/>
      <c r="X990" s="1"/>
      <c r="Y990" s="1"/>
      <c r="Z990" s="1"/>
    </row>
    <row r="991" spans="1:26" ht="12.75" customHeight="1">
      <c r="A991" s="1"/>
      <c r="B991" s="10" t="str">
        <f ca="1">IFERROR(__xludf.DUMMYFUNCTION("""COMPUTED_VALUE"""),"CONSTRUCCION PLAZA DE JUEGOS INCLUSIVOS CALLE MAIPU, CORRAL")</f>
        <v>CONSTRUCCION PLAZA DE JUEGOS INCLUSIVOS CALLE MAIPU, CORRAL</v>
      </c>
      <c r="C991" s="10" t="str">
        <f ca="1">IFERROR(__xludf.DUMMYFUNCTION("""COMPUTED_VALUE"""),"1-B-2024-253")</f>
        <v>1-B-2024-253</v>
      </c>
      <c r="D991" s="26"/>
      <c r="E991" s="10" t="str">
        <f ca="1">IFERROR(__xludf.DUMMYFUNCTION("""COMPUTED_VALUE"""),"Guía Operativa")</f>
        <v>Guía Operativa</v>
      </c>
      <c r="F991" s="10" t="str">
        <f ca="1">IFERROR(__xludf.DUMMYFUNCTION("""COMPUTED_VALUE"""),"MUNICIPALIDAD DE CORRAL")</f>
        <v>MUNICIPALIDAD DE CORRAL</v>
      </c>
      <c r="G991" s="71">
        <f ca="1">IFERROR(__xludf.DUMMYFUNCTION("""COMPUTED_VALUE"""),101817238)</f>
        <v>101817238</v>
      </c>
      <c r="H991" s="10" t="str">
        <f ca="1">IFERROR(__xludf.DUMMYFUNCTION("""COMPUTED_VALUE"""),"Resolución")</f>
        <v>Resolución</v>
      </c>
      <c r="I991" s="10" t="str">
        <f ca="1">IFERROR(__xludf.DUMMYFUNCTION("""COMPUTED_VALUE"""),"OBRA")</f>
        <v>OBRA</v>
      </c>
      <c r="J991" s="10" t="str">
        <f ca="1">IFERROR(__xludf.DUMMYFUNCTION("""COMPUTED_VALUE"""),"Cumplir con normativa y reglamentos internos del programa en base a los objetivos.")</f>
        <v>Cumplir con normativa y reglamentos internos del programa en base a los objetivos.</v>
      </c>
      <c r="K991" s="71">
        <f ca="1">IFERROR(__xludf.DUMMYFUNCTION("""COMPUTED_VALUE"""),101817238)</f>
        <v>101817238</v>
      </c>
      <c r="L991" s="72">
        <f ca="1">IFERROR(__xludf.DUMMYFUNCTION("""COMPUTED_VALUE"""),1)</f>
        <v>1</v>
      </c>
      <c r="M991" s="10">
        <f ca="1">IFERROR(__xludf.DUMMYFUNCTION("""COMPUTED_VALUE"""),10388)</f>
        <v>10388</v>
      </c>
      <c r="N991" s="10" t="str">
        <f ca="1">IFERROR(__xludf.DUMMYFUNCTION("""COMPUTED_VALUE"""),"PMU")</f>
        <v>PMU</v>
      </c>
      <c r="O991" s="1"/>
      <c r="P991" s="1"/>
      <c r="Q991" s="1"/>
      <c r="R991" s="1"/>
      <c r="S991" s="1"/>
      <c r="T991" s="1"/>
      <c r="U991" s="1"/>
      <c r="V991" s="1"/>
      <c r="W991" s="1"/>
      <c r="X991" s="1"/>
      <c r="Y991" s="1"/>
      <c r="Z991" s="1"/>
    </row>
    <row r="992" spans="1:26" ht="12.75" customHeight="1">
      <c r="A992" s="1"/>
      <c r="B992" s="10" t="str">
        <f ca="1">IFERROR(__xludf.DUMMYFUNCTION("""COMPUTED_VALUE"""),"MEJORAMIENTO TECHUMBRE CENTRO CULTURAL ESTACIÓN, PAILLACO")</f>
        <v>MEJORAMIENTO TECHUMBRE CENTRO CULTURAL ESTACIÓN, PAILLACO</v>
      </c>
      <c r="C992" s="10" t="str">
        <f ca="1">IFERROR(__xludf.DUMMYFUNCTION("""COMPUTED_VALUE"""),"1-B-2024-345")</f>
        <v>1-B-2024-345</v>
      </c>
      <c r="D992" s="26"/>
      <c r="E992" s="10" t="str">
        <f ca="1">IFERROR(__xludf.DUMMYFUNCTION("""COMPUTED_VALUE"""),"Guía Operativa")</f>
        <v>Guía Operativa</v>
      </c>
      <c r="F992" s="10" t="str">
        <f ca="1">IFERROR(__xludf.DUMMYFUNCTION("""COMPUTED_VALUE"""),"MUNICIPALIDAD DE PAILLACO")</f>
        <v>MUNICIPALIDAD DE PAILLACO</v>
      </c>
      <c r="G992" s="71">
        <f ca="1">IFERROR(__xludf.DUMMYFUNCTION("""COMPUTED_VALUE"""),101727706)</f>
        <v>101727706</v>
      </c>
      <c r="H992" s="10" t="str">
        <f ca="1">IFERROR(__xludf.DUMMYFUNCTION("""COMPUTED_VALUE"""),"Resolución")</f>
        <v>Resolución</v>
      </c>
      <c r="I992" s="10" t="str">
        <f ca="1">IFERROR(__xludf.DUMMYFUNCTION("""COMPUTED_VALUE"""),"OBRA")</f>
        <v>OBRA</v>
      </c>
      <c r="J992" s="10" t="str">
        <f ca="1">IFERROR(__xludf.DUMMYFUNCTION("""COMPUTED_VALUE"""),"Cumplir con normativa y reglamentos internos del programa en base a los objetivos.")</f>
        <v>Cumplir con normativa y reglamentos internos del programa en base a los objetivos.</v>
      </c>
      <c r="K992" s="71">
        <f ca="1">IFERROR(__xludf.DUMMYFUNCTION("""COMPUTED_VALUE"""),101727706)</f>
        <v>101727706</v>
      </c>
      <c r="L992" s="72">
        <f ca="1">IFERROR(__xludf.DUMMYFUNCTION("""COMPUTED_VALUE"""),1)</f>
        <v>1</v>
      </c>
      <c r="M992" s="10">
        <f ca="1">IFERROR(__xludf.DUMMYFUNCTION("""COMPUTED_VALUE"""),10395)</f>
        <v>10395</v>
      </c>
      <c r="N992" s="10" t="str">
        <f ca="1">IFERROR(__xludf.DUMMYFUNCTION("""COMPUTED_VALUE"""),"PMU")</f>
        <v>PMU</v>
      </c>
      <c r="O992" s="1"/>
      <c r="P992" s="1"/>
      <c r="Q992" s="1"/>
      <c r="R992" s="1"/>
      <c r="S992" s="1"/>
      <c r="T992" s="1"/>
      <c r="U992" s="1"/>
      <c r="V992" s="1"/>
      <c r="W992" s="1"/>
      <c r="X992" s="1"/>
      <c r="Y992" s="1"/>
      <c r="Z992" s="1"/>
    </row>
    <row r="993" spans="1:26" ht="12.75" customHeight="1">
      <c r="A993" s="1"/>
      <c r="B993" s="10" t="str">
        <f ca="1">IFERROR(__xludf.DUMMYFUNCTION("""COMPUTED_VALUE"""),"MEJORAMIENTO SALA ADULTO MAYOR DE VISVIRI, COMUNA DE GENERAL LAGOS")</f>
        <v>MEJORAMIENTO SALA ADULTO MAYOR DE VISVIRI, COMUNA DE GENERAL LAGOS</v>
      </c>
      <c r="C993" s="10" t="str">
        <f ca="1">IFERROR(__xludf.DUMMYFUNCTION("""COMPUTED_VALUE"""),"1-B-2024-385")</f>
        <v>1-B-2024-385</v>
      </c>
      <c r="D993" s="26"/>
      <c r="E993" s="10" t="str">
        <f ca="1">IFERROR(__xludf.DUMMYFUNCTION("""COMPUTED_VALUE"""),"Guía Operativa")</f>
        <v>Guía Operativa</v>
      </c>
      <c r="F993" s="10" t="str">
        <f ca="1">IFERROR(__xludf.DUMMYFUNCTION("""COMPUTED_VALUE"""),"MUNICIPALIDAD DE GENERAL LAGOS")</f>
        <v>MUNICIPALIDAD DE GENERAL LAGOS</v>
      </c>
      <c r="G993" s="71">
        <f ca="1">IFERROR(__xludf.DUMMYFUNCTION("""COMPUTED_VALUE"""),115250249)</f>
        <v>115250249</v>
      </c>
      <c r="H993" s="10" t="str">
        <f ca="1">IFERROR(__xludf.DUMMYFUNCTION("""COMPUTED_VALUE"""),"Resolución")</f>
        <v>Resolución</v>
      </c>
      <c r="I993" s="10" t="str">
        <f ca="1">IFERROR(__xludf.DUMMYFUNCTION("""COMPUTED_VALUE"""),"OBRA")</f>
        <v>OBRA</v>
      </c>
      <c r="J993" s="10" t="str">
        <f ca="1">IFERROR(__xludf.DUMMYFUNCTION("""COMPUTED_VALUE"""),"Cumplir con normativa y reglamentos internos del programa en base a los objetivos.")</f>
        <v>Cumplir con normativa y reglamentos internos del programa en base a los objetivos.</v>
      </c>
      <c r="K993" s="71">
        <f ca="1">IFERROR(__xludf.DUMMYFUNCTION("""COMPUTED_VALUE"""),115250249)</f>
        <v>115250249</v>
      </c>
      <c r="L993" s="72">
        <f ca="1">IFERROR(__xludf.DUMMYFUNCTION("""COMPUTED_VALUE"""),1)</f>
        <v>1</v>
      </c>
      <c r="M993" s="10">
        <f ca="1">IFERROR(__xludf.DUMMYFUNCTION("""COMPUTED_VALUE"""),10331)</f>
        <v>10331</v>
      </c>
      <c r="N993" s="10" t="str">
        <f ca="1">IFERROR(__xludf.DUMMYFUNCTION("""COMPUTED_VALUE"""),"PMU")</f>
        <v>PMU</v>
      </c>
      <c r="O993" s="1"/>
      <c r="P993" s="1"/>
      <c r="Q993" s="1"/>
      <c r="R993" s="1"/>
      <c r="S993" s="1"/>
      <c r="T993" s="1"/>
      <c r="U993" s="1"/>
      <c r="V993" s="1"/>
      <c r="W993" s="1"/>
      <c r="X993" s="1"/>
      <c r="Y993" s="1"/>
      <c r="Z993" s="1"/>
    </row>
    <row r="994" spans="1:26" ht="12.75" customHeight="1">
      <c r="A994" s="1"/>
      <c r="B994" s="10" t="str">
        <f ca="1">IFERROR(__xludf.DUMMYFUNCTION("""COMPUTED_VALUE"""),"CONSTRUCCION MEJORAMIENTO DE AREAS DE ESPARCIMIENTO FAMILIAR Y DEPORTIVO, COMUNA DE RANQUIL")</f>
        <v>CONSTRUCCION MEJORAMIENTO DE AREAS DE ESPARCIMIENTO FAMILIAR Y DEPORTIVO, COMUNA DE RANQUIL</v>
      </c>
      <c r="C994" s="10" t="str">
        <f ca="1">IFERROR(__xludf.DUMMYFUNCTION("""COMPUTED_VALUE"""),"1-B-2024-351")</f>
        <v>1-B-2024-351</v>
      </c>
      <c r="D994" s="26"/>
      <c r="E994" s="10" t="str">
        <f ca="1">IFERROR(__xludf.DUMMYFUNCTION("""COMPUTED_VALUE"""),"Guía Operativa")</f>
        <v>Guía Operativa</v>
      </c>
      <c r="F994" s="10" t="str">
        <f ca="1">IFERROR(__xludf.DUMMYFUNCTION("""COMPUTED_VALUE"""),"MUNICIPALIDAD DE RÁNQUIL")</f>
        <v>MUNICIPALIDAD DE RÁNQUIL</v>
      </c>
      <c r="G994" s="71">
        <f ca="1">IFERROR(__xludf.DUMMYFUNCTION("""COMPUTED_VALUE"""),154150000)</f>
        <v>154150000</v>
      </c>
      <c r="H994" s="10" t="str">
        <f ca="1">IFERROR(__xludf.DUMMYFUNCTION("""COMPUTED_VALUE"""),"Resolución")</f>
        <v>Resolución</v>
      </c>
      <c r="I994" s="10" t="str">
        <f ca="1">IFERROR(__xludf.DUMMYFUNCTION("""COMPUTED_VALUE"""),"OBRA")</f>
        <v>OBRA</v>
      </c>
      <c r="J994" s="10" t="str">
        <f ca="1">IFERROR(__xludf.DUMMYFUNCTION("""COMPUTED_VALUE"""),"Cumplir con normativa y reglamentos internos del programa en base a los objetivos.")</f>
        <v>Cumplir con normativa y reglamentos internos del programa en base a los objetivos.</v>
      </c>
      <c r="K994" s="71">
        <f ca="1">IFERROR(__xludf.DUMMYFUNCTION("""COMPUTED_VALUE"""),154150000)</f>
        <v>154150000</v>
      </c>
      <c r="L994" s="72">
        <f ca="1">IFERROR(__xludf.DUMMYFUNCTION("""COMPUTED_VALUE"""),1)</f>
        <v>1</v>
      </c>
      <c r="M994" s="10">
        <f ca="1">IFERROR(__xludf.DUMMYFUNCTION("""COMPUTED_VALUE"""),10330)</f>
        <v>10330</v>
      </c>
      <c r="N994" s="10" t="str">
        <f ca="1">IFERROR(__xludf.DUMMYFUNCTION("""COMPUTED_VALUE"""),"PMU")</f>
        <v>PMU</v>
      </c>
      <c r="O994" s="1"/>
      <c r="P994" s="1"/>
      <c r="Q994" s="1"/>
      <c r="R994" s="1"/>
      <c r="S994" s="1"/>
      <c r="T994" s="1"/>
      <c r="U994" s="1"/>
      <c r="V994" s="1"/>
      <c r="W994" s="1"/>
      <c r="X994" s="1"/>
      <c r="Y994" s="1"/>
      <c r="Z994" s="1"/>
    </row>
    <row r="995" spans="1:26" ht="12.75" customHeight="1">
      <c r="A995" s="1"/>
      <c r="B995" s="10" t="str">
        <f ca="1">IFERROR(__xludf.DUMMYFUNCTION("""COMPUTED_VALUE"""),"REPOSICIÓN SERVICIOS HIGIENICOS LOCALIDAD DE HUARASIÑA. COMUNA DE HUARA")</f>
        <v>REPOSICIÓN SERVICIOS HIGIENICOS LOCALIDAD DE HUARASIÑA. COMUNA DE HUARA</v>
      </c>
      <c r="C995" s="10" t="str">
        <f ca="1">IFERROR(__xludf.DUMMYFUNCTION("""COMPUTED_VALUE"""),"1-C-2021-930")</f>
        <v>1-C-2021-930</v>
      </c>
      <c r="D995" s="26"/>
      <c r="E995" s="10" t="str">
        <f ca="1">IFERROR(__xludf.DUMMYFUNCTION("""COMPUTED_VALUE"""),"Guía Operativa")</f>
        <v>Guía Operativa</v>
      </c>
      <c r="F995" s="10" t="str">
        <f ca="1">IFERROR(__xludf.DUMMYFUNCTION("""COMPUTED_VALUE"""),"MUNICIPALIDAD DE HUARA")</f>
        <v>MUNICIPALIDAD DE HUARA</v>
      </c>
      <c r="G995" s="71">
        <f ca="1">IFERROR(__xludf.DUMMYFUNCTION("""COMPUTED_VALUE"""),62568469)</f>
        <v>62568469</v>
      </c>
      <c r="H995" s="10" t="str">
        <f ca="1">IFERROR(__xludf.DUMMYFUNCTION("""COMPUTED_VALUE"""),"Resolución")</f>
        <v>Resolución</v>
      </c>
      <c r="I995" s="10" t="str">
        <f ca="1">IFERROR(__xludf.DUMMYFUNCTION("""COMPUTED_VALUE"""),"OBRA")</f>
        <v>OBRA</v>
      </c>
      <c r="J995" s="10" t="str">
        <f ca="1">IFERROR(__xludf.DUMMYFUNCTION("""COMPUTED_VALUE"""),"Cumplir con normativa y reglamentos internos del programa en base a los objetivos.")</f>
        <v>Cumplir con normativa y reglamentos internos del programa en base a los objetivos.</v>
      </c>
      <c r="K995" s="71">
        <f ca="1">IFERROR(__xludf.DUMMYFUNCTION("""COMPUTED_VALUE"""),13790631)</f>
        <v>13790631</v>
      </c>
      <c r="L995" s="72">
        <f ca="1">IFERROR(__xludf.DUMMYFUNCTION("""COMPUTED_VALUE"""),0.990824931324434)</f>
        <v>0.99082493132443406</v>
      </c>
      <c r="M995" s="10">
        <f ca="1">IFERROR(__xludf.DUMMYFUNCTION("""COMPUTED_VALUE"""),12197)</f>
        <v>12197</v>
      </c>
      <c r="N995" s="10" t="str">
        <f ca="1">IFERROR(__xludf.DUMMYFUNCTION("""COMPUTED_VALUE"""),"PMU")</f>
        <v>PMU</v>
      </c>
      <c r="O995" s="1"/>
      <c r="P995" s="1"/>
      <c r="Q995" s="1"/>
      <c r="R995" s="1"/>
      <c r="S995" s="1"/>
      <c r="T995" s="1"/>
      <c r="U995" s="1"/>
      <c r="V995" s="1"/>
      <c r="W995" s="1"/>
      <c r="X995" s="1"/>
      <c r="Y995" s="1"/>
      <c r="Z995" s="1"/>
    </row>
    <row r="996" spans="1:26" ht="12.75" customHeight="1">
      <c r="A996" s="1"/>
      <c r="B996" s="10" t="str">
        <f ca="1">IFERROR(__xludf.DUMMYFUNCTION("""COMPUTED_VALUE"""),"INSTALACIÓN ALUMBRADO VIAL PUBLICO CON SISTEMA SOLAR LED, SECTOR QUISTAGAMA")</f>
        <v>INSTALACIÓN ALUMBRADO VIAL PUBLICO CON SISTEMA SOLAR LED, SECTOR QUISTAGAMA</v>
      </c>
      <c r="C996" s="10" t="str">
        <f ca="1">IFERROR(__xludf.DUMMYFUNCTION("""COMPUTED_VALUE"""),"1-B-2024-408")</f>
        <v>1-B-2024-408</v>
      </c>
      <c r="D996" s="26"/>
      <c r="E996" s="10" t="str">
        <f ca="1">IFERROR(__xludf.DUMMYFUNCTION("""COMPUTED_VALUE"""),"Guía Operativa")</f>
        <v>Guía Operativa</v>
      </c>
      <c r="F996" s="10" t="str">
        <f ca="1">IFERROR(__xludf.DUMMYFUNCTION("""COMPUTED_VALUE"""),"MUNICIPALIDAD DE CAMIÑA")</f>
        <v>MUNICIPALIDAD DE CAMIÑA</v>
      </c>
      <c r="G996" s="71">
        <f ca="1">IFERROR(__xludf.DUMMYFUNCTION("""COMPUTED_VALUE"""),123386000)</f>
        <v>123386000</v>
      </c>
      <c r="H996" s="10" t="str">
        <f ca="1">IFERROR(__xludf.DUMMYFUNCTION("""COMPUTED_VALUE"""),"Resolución")</f>
        <v>Resolución</v>
      </c>
      <c r="I996" s="10" t="str">
        <f ca="1">IFERROR(__xludf.DUMMYFUNCTION("""COMPUTED_VALUE"""),"OBRA")</f>
        <v>OBRA</v>
      </c>
      <c r="J996" s="10" t="str">
        <f ca="1">IFERROR(__xludf.DUMMYFUNCTION("""COMPUTED_VALUE"""),"Cumplir con normativa y reglamentos internos del programa en base a los objetivos.")</f>
        <v>Cumplir con normativa y reglamentos internos del programa en base a los objetivos.</v>
      </c>
      <c r="K996" s="71">
        <f ca="1">IFERROR(__xludf.DUMMYFUNCTION("""COMPUTED_VALUE"""),123386000)</f>
        <v>123386000</v>
      </c>
      <c r="L996" s="72">
        <f ca="1">IFERROR(__xludf.DUMMYFUNCTION("""COMPUTED_VALUE"""),1)</f>
        <v>1</v>
      </c>
      <c r="M996" s="10">
        <f ca="1">IFERROR(__xludf.DUMMYFUNCTION("""COMPUTED_VALUE"""),11453)</f>
        <v>11453</v>
      </c>
      <c r="N996" s="10" t="str">
        <f ca="1">IFERROR(__xludf.DUMMYFUNCTION("""COMPUTED_VALUE"""),"PMU")</f>
        <v>PMU</v>
      </c>
      <c r="O996" s="1"/>
      <c r="P996" s="1"/>
      <c r="Q996" s="1"/>
      <c r="R996" s="1"/>
      <c r="S996" s="1"/>
      <c r="T996" s="1"/>
      <c r="U996" s="1"/>
      <c r="V996" s="1"/>
      <c r="W996" s="1"/>
      <c r="X996" s="1"/>
      <c r="Y996" s="1"/>
      <c r="Z996" s="1"/>
    </row>
    <row r="997" spans="1:26" ht="12.75" customHeight="1">
      <c r="A997" s="1"/>
      <c r="B997" s="10" t="str">
        <f ca="1">IFERROR(__xludf.DUMMYFUNCTION("""COMPUTED_VALUE"""),"MEJORAMIENTO SEDE SOCIAL J.V N° 25 SAN JOSE OBRERO, POZO ALMONTE.")</f>
        <v>MEJORAMIENTO SEDE SOCIAL J.V N° 25 SAN JOSE OBRERO, POZO ALMONTE.</v>
      </c>
      <c r="C997" s="10" t="str">
        <f ca="1">IFERROR(__xludf.DUMMYFUNCTION("""COMPUTED_VALUE"""),"1-B-2024-413")</f>
        <v>1-B-2024-413</v>
      </c>
      <c r="D997" s="26"/>
      <c r="E997" s="10" t="str">
        <f ca="1">IFERROR(__xludf.DUMMYFUNCTION("""COMPUTED_VALUE"""),"Guía Operativa")</f>
        <v>Guía Operativa</v>
      </c>
      <c r="F997" s="10" t="str">
        <f ca="1">IFERROR(__xludf.DUMMYFUNCTION("""COMPUTED_VALUE"""),"MUNICIPALIDAD DE POZO ALMONTE")</f>
        <v>MUNICIPALIDAD DE POZO ALMONTE</v>
      </c>
      <c r="G997" s="71">
        <f ca="1">IFERROR(__xludf.DUMMYFUNCTION("""COMPUTED_VALUE"""),122394220)</f>
        <v>122394220</v>
      </c>
      <c r="H997" s="10" t="str">
        <f ca="1">IFERROR(__xludf.DUMMYFUNCTION("""COMPUTED_VALUE"""),"Resolución")</f>
        <v>Resolución</v>
      </c>
      <c r="I997" s="10" t="str">
        <f ca="1">IFERROR(__xludf.DUMMYFUNCTION("""COMPUTED_VALUE"""),"OBRA")</f>
        <v>OBRA</v>
      </c>
      <c r="J997" s="10" t="str">
        <f ca="1">IFERROR(__xludf.DUMMYFUNCTION("""COMPUTED_VALUE"""),"Cumplir con normativa y reglamentos internos del programa en base a los objetivos.")</f>
        <v>Cumplir con normativa y reglamentos internos del programa en base a los objetivos.</v>
      </c>
      <c r="K997" s="71">
        <f ca="1">IFERROR(__xludf.DUMMYFUNCTION("""COMPUTED_VALUE"""),122394220)</f>
        <v>122394220</v>
      </c>
      <c r="L997" s="72">
        <f ca="1">IFERROR(__xludf.DUMMYFUNCTION("""COMPUTED_VALUE"""),1)</f>
        <v>1</v>
      </c>
      <c r="M997" s="10">
        <f ca="1">IFERROR(__xludf.DUMMYFUNCTION("""COMPUTED_VALUE"""),11433)</f>
        <v>11433</v>
      </c>
      <c r="N997" s="10" t="str">
        <f ca="1">IFERROR(__xludf.DUMMYFUNCTION("""COMPUTED_VALUE"""),"PMU")</f>
        <v>PMU</v>
      </c>
      <c r="O997" s="1"/>
      <c r="P997" s="1"/>
      <c r="Q997" s="1"/>
      <c r="R997" s="1"/>
      <c r="S997" s="1"/>
      <c r="T997" s="1"/>
      <c r="U997" s="1"/>
      <c r="V997" s="1"/>
      <c r="W997" s="1"/>
      <c r="X997" s="1"/>
      <c r="Y997" s="1"/>
      <c r="Z997" s="1"/>
    </row>
    <row r="998" spans="1:26" ht="12.75" customHeight="1">
      <c r="A998" s="1"/>
      <c r="B998" s="10" t="str">
        <f ca="1">IFERROR(__xludf.DUMMYFUNCTION("""COMPUTED_VALUE"""),"REPOSICIÓN ESCALERA PÚBLICA LOCALIDAD DE MOCHA, COMUNA DE HUARA")</f>
        <v>REPOSICIÓN ESCALERA PÚBLICA LOCALIDAD DE MOCHA, COMUNA DE HUARA</v>
      </c>
      <c r="C998" s="10" t="str">
        <f ca="1">IFERROR(__xludf.DUMMYFUNCTION("""COMPUTED_VALUE"""),"1-B-2024-418")</f>
        <v>1-B-2024-418</v>
      </c>
      <c r="D998" s="26"/>
      <c r="E998" s="10" t="str">
        <f ca="1">IFERROR(__xludf.DUMMYFUNCTION("""COMPUTED_VALUE"""),"Guía Operativa")</f>
        <v>Guía Operativa</v>
      </c>
      <c r="F998" s="10" t="str">
        <f ca="1">IFERROR(__xludf.DUMMYFUNCTION("""COMPUTED_VALUE"""),"MUNICIPALIDAD DE HUARA")</f>
        <v>MUNICIPALIDAD DE HUARA</v>
      </c>
      <c r="G998" s="71">
        <f ca="1">IFERROR(__xludf.DUMMYFUNCTION("""COMPUTED_VALUE"""),123382000)</f>
        <v>123382000</v>
      </c>
      <c r="H998" s="10" t="str">
        <f ca="1">IFERROR(__xludf.DUMMYFUNCTION("""COMPUTED_VALUE"""),"Resolución")</f>
        <v>Resolución</v>
      </c>
      <c r="I998" s="10" t="str">
        <f ca="1">IFERROR(__xludf.DUMMYFUNCTION("""COMPUTED_VALUE"""),"OBRA")</f>
        <v>OBRA</v>
      </c>
      <c r="J998" s="10" t="str">
        <f ca="1">IFERROR(__xludf.DUMMYFUNCTION("""COMPUTED_VALUE"""),"Cumplir con normativa y reglamentos internos del programa en base a los objetivos.")</f>
        <v>Cumplir con normativa y reglamentos internos del programa en base a los objetivos.</v>
      </c>
      <c r="K998" s="71">
        <f ca="1">IFERROR(__xludf.DUMMYFUNCTION("""COMPUTED_VALUE"""),123382000)</f>
        <v>123382000</v>
      </c>
      <c r="L998" s="72">
        <f ca="1">IFERROR(__xludf.DUMMYFUNCTION("""COMPUTED_VALUE"""),1)</f>
        <v>1</v>
      </c>
      <c r="M998" s="10">
        <f ca="1">IFERROR(__xludf.DUMMYFUNCTION("""COMPUTED_VALUE"""),11454)</f>
        <v>11454</v>
      </c>
      <c r="N998" s="10" t="str">
        <f ca="1">IFERROR(__xludf.DUMMYFUNCTION("""COMPUTED_VALUE"""),"PMU")</f>
        <v>PMU</v>
      </c>
      <c r="O998" s="1"/>
      <c r="P998" s="1"/>
      <c r="Q998" s="1"/>
      <c r="R998" s="1"/>
      <c r="S998" s="1"/>
      <c r="T998" s="1"/>
      <c r="U998" s="1"/>
      <c r="V998" s="1"/>
      <c r="W998" s="1"/>
      <c r="X998" s="1"/>
      <c r="Y998" s="1"/>
      <c r="Z998" s="1"/>
    </row>
    <row r="999" spans="1:26" ht="12.75" customHeight="1">
      <c r="A999" s="1"/>
      <c r="B999" s="10" t="str">
        <f ca="1">IFERROR(__xludf.DUMMYFUNCTION("""COMPUTED_VALUE"""),"MEJORAMIENTO MULTICANCHA J.V VILLA LAS AMÉRICAS, COMUNA DE ALTO HOSPICIO")</f>
        <v>MEJORAMIENTO MULTICANCHA J.V VILLA LAS AMÉRICAS, COMUNA DE ALTO HOSPICIO</v>
      </c>
      <c r="C999" s="10" t="str">
        <f ca="1">IFERROR(__xludf.DUMMYFUNCTION("""COMPUTED_VALUE"""),"1-B-2024-509")</f>
        <v>1-B-2024-509</v>
      </c>
      <c r="D999" s="26"/>
      <c r="E999" s="10" t="str">
        <f ca="1">IFERROR(__xludf.DUMMYFUNCTION("""COMPUTED_VALUE"""),"Guía Operativa")</f>
        <v>Guía Operativa</v>
      </c>
      <c r="F999" s="10" t="str">
        <f ca="1">IFERROR(__xludf.DUMMYFUNCTION("""COMPUTED_VALUE"""),"MUNICIPALIDAD DE ALTO HOSPICIO")</f>
        <v>MUNICIPALIDAD DE ALTO HOSPICIO</v>
      </c>
      <c r="G999" s="71">
        <f ca="1">IFERROR(__xludf.DUMMYFUNCTION("""COMPUTED_VALUE"""),122956520)</f>
        <v>122956520</v>
      </c>
      <c r="H999" s="10" t="str">
        <f ca="1">IFERROR(__xludf.DUMMYFUNCTION("""COMPUTED_VALUE"""),"Resolución")</f>
        <v>Resolución</v>
      </c>
      <c r="I999" s="10" t="str">
        <f ca="1">IFERROR(__xludf.DUMMYFUNCTION("""COMPUTED_VALUE"""),"OBRA")</f>
        <v>OBRA</v>
      </c>
      <c r="J999" s="10" t="str">
        <f ca="1">IFERROR(__xludf.DUMMYFUNCTION("""COMPUTED_VALUE"""),"Cumplir con normativa y reglamentos internos del programa en base a los objetivos.")</f>
        <v>Cumplir con normativa y reglamentos internos del programa en base a los objetivos.</v>
      </c>
      <c r="K999" s="71">
        <f ca="1">IFERROR(__xludf.DUMMYFUNCTION("""COMPUTED_VALUE"""),122956520)</f>
        <v>122956520</v>
      </c>
      <c r="L999" s="72">
        <f ca="1">IFERROR(__xludf.DUMMYFUNCTION("""COMPUTED_VALUE"""),1)</f>
        <v>1</v>
      </c>
      <c r="M999" s="10">
        <f ca="1">IFERROR(__xludf.DUMMYFUNCTION("""COMPUTED_VALUE"""),11447)</f>
        <v>11447</v>
      </c>
      <c r="N999" s="10" t="str">
        <f ca="1">IFERROR(__xludf.DUMMYFUNCTION("""COMPUTED_VALUE"""),"PMU")</f>
        <v>PMU</v>
      </c>
      <c r="O999" s="1"/>
      <c r="P999" s="1"/>
      <c r="Q999" s="1"/>
      <c r="R999" s="1"/>
      <c r="S999" s="1"/>
      <c r="T999" s="1"/>
      <c r="U999" s="1"/>
      <c r="V999" s="1"/>
      <c r="W999" s="1"/>
      <c r="X999" s="1"/>
      <c r="Y999" s="1"/>
      <c r="Z999" s="1"/>
    </row>
    <row r="1000" spans="1:26" ht="12.75" customHeight="1">
      <c r="A1000" s="1"/>
      <c r="B1000" s="10" t="str">
        <f ca="1">IFERROR(__xludf.DUMMYFUNCTION("""COMPUTED_VALUE"""),"MEJORAMIENTO CANALIZACION AGUAS LLUVIAS , CUBIERTA Y MURO CORTAFUEGO JJVV N°11 NUEVA ESPERANZA")</f>
        <v>MEJORAMIENTO CANALIZACION AGUAS LLUVIAS , CUBIERTA Y MURO CORTAFUEGO JJVV N°11 NUEVA ESPERANZA</v>
      </c>
      <c r="C1000" s="10" t="str">
        <f ca="1">IFERROR(__xludf.DUMMYFUNCTION("""COMPUTED_VALUE"""),"1-B-2024-77")</f>
        <v>1-B-2024-77</v>
      </c>
      <c r="D1000" s="26"/>
      <c r="E1000" s="10" t="str">
        <f ca="1">IFERROR(__xludf.DUMMYFUNCTION("""COMPUTED_VALUE"""),"Guía Operativa")</f>
        <v>Guía Operativa</v>
      </c>
      <c r="F1000" s="10" t="str">
        <f ca="1">IFERROR(__xludf.DUMMYFUNCTION("""COMPUTED_VALUE"""),"MUNICIPALIDAD DE HUASCO")</f>
        <v>MUNICIPALIDAD DE HUASCO</v>
      </c>
      <c r="G1000" s="71">
        <f ca="1">IFERROR(__xludf.DUMMYFUNCTION("""COMPUTED_VALUE"""),26171138)</f>
        <v>26171138</v>
      </c>
      <c r="H1000" s="10" t="str">
        <f ca="1">IFERROR(__xludf.DUMMYFUNCTION("""COMPUTED_VALUE"""),"Resolución")</f>
        <v>Resolución</v>
      </c>
      <c r="I1000" s="10" t="str">
        <f ca="1">IFERROR(__xludf.DUMMYFUNCTION("""COMPUTED_VALUE"""),"OBRA")</f>
        <v>OBRA</v>
      </c>
      <c r="J1000" s="10" t="str">
        <f ca="1">IFERROR(__xludf.DUMMYFUNCTION("""COMPUTED_VALUE"""),"Cumplir con normativa y reglamentos internos del programa en base a los objetivos.")</f>
        <v>Cumplir con normativa y reglamentos internos del programa en base a los objetivos.</v>
      </c>
      <c r="K1000" s="71">
        <f ca="1">IFERROR(__xludf.DUMMYFUNCTION("""COMPUTED_VALUE"""),26171138)</f>
        <v>26171138</v>
      </c>
      <c r="L1000" s="72">
        <f ca="1">IFERROR(__xludf.DUMMYFUNCTION("""COMPUTED_VALUE"""),1)</f>
        <v>1</v>
      </c>
      <c r="M1000" s="10">
        <f ca="1">IFERROR(__xludf.DUMMYFUNCTION("""COMPUTED_VALUE"""),10971)</f>
        <v>10971</v>
      </c>
      <c r="N1000" s="10" t="str">
        <f ca="1">IFERROR(__xludf.DUMMYFUNCTION("""COMPUTED_VALUE"""),"PMU")</f>
        <v>PMU</v>
      </c>
      <c r="O1000" s="1"/>
      <c r="P1000" s="1"/>
      <c r="Q1000" s="1"/>
      <c r="R1000" s="1"/>
      <c r="S1000" s="1"/>
      <c r="T1000" s="1"/>
      <c r="U1000" s="1"/>
      <c r="V1000" s="1"/>
      <c r="W1000" s="1"/>
      <c r="X1000" s="1"/>
      <c r="Y1000" s="1"/>
      <c r="Z1000" s="1"/>
    </row>
    <row r="1001" spans="1:26" ht="12.75" customHeight="1">
      <c r="A1001" s="1"/>
      <c r="B1001" s="10" t="str">
        <f ca="1">IFERROR(__xludf.DUMMYFUNCTION("""COMPUTED_VALUE"""),"MEJORAMIENTO PLAZA CHOLLAY, VALLE DEL TRANSITO")</f>
        <v>MEJORAMIENTO PLAZA CHOLLAY, VALLE DEL TRANSITO</v>
      </c>
      <c r="C1001" s="10" t="str">
        <f ca="1">IFERROR(__xludf.DUMMYFUNCTION("""COMPUTED_VALUE"""),"1-B-2024-231")</f>
        <v>1-B-2024-231</v>
      </c>
      <c r="D1001" s="26"/>
      <c r="E1001" s="10" t="str">
        <f ca="1">IFERROR(__xludf.DUMMYFUNCTION("""COMPUTED_VALUE"""),"Guía Operativa")</f>
        <v>Guía Operativa</v>
      </c>
      <c r="F1001" s="10" t="str">
        <f ca="1">IFERROR(__xludf.DUMMYFUNCTION("""COMPUTED_VALUE"""),"MUNICIPALIDAD DE ALTO DEL CARMEN")</f>
        <v>MUNICIPALIDAD DE ALTO DEL CARMEN</v>
      </c>
      <c r="G1001" s="71">
        <f ca="1">IFERROR(__xludf.DUMMYFUNCTION("""COMPUTED_VALUE"""),96655096)</f>
        <v>96655096</v>
      </c>
      <c r="H1001" s="10" t="str">
        <f ca="1">IFERROR(__xludf.DUMMYFUNCTION("""COMPUTED_VALUE"""),"Resolución")</f>
        <v>Resolución</v>
      </c>
      <c r="I1001" s="10" t="str">
        <f ca="1">IFERROR(__xludf.DUMMYFUNCTION("""COMPUTED_VALUE"""),"OBRA")</f>
        <v>OBRA</v>
      </c>
      <c r="J1001" s="10" t="str">
        <f ca="1">IFERROR(__xludf.DUMMYFUNCTION("""COMPUTED_VALUE"""),"Cumplir con normativa y reglamentos internos del programa en base a los objetivos.")</f>
        <v>Cumplir con normativa y reglamentos internos del programa en base a los objetivos.</v>
      </c>
      <c r="K1001" s="71">
        <f ca="1">IFERROR(__xludf.DUMMYFUNCTION("""COMPUTED_VALUE"""),96655096)</f>
        <v>96655096</v>
      </c>
      <c r="L1001" s="72">
        <f ca="1">IFERROR(__xludf.DUMMYFUNCTION("""COMPUTED_VALUE"""),1)</f>
        <v>1</v>
      </c>
      <c r="M1001" s="10">
        <f ca="1">IFERROR(__xludf.DUMMYFUNCTION("""COMPUTED_VALUE"""),10843)</f>
        <v>10843</v>
      </c>
      <c r="N1001" s="10" t="str">
        <f ca="1">IFERROR(__xludf.DUMMYFUNCTION("""COMPUTED_VALUE"""),"PMU")</f>
        <v>PMU</v>
      </c>
      <c r="O1001" s="1"/>
      <c r="P1001" s="1"/>
      <c r="Q1001" s="1"/>
      <c r="R1001" s="1"/>
      <c r="S1001" s="1"/>
      <c r="T1001" s="1"/>
      <c r="U1001" s="1"/>
      <c r="V1001" s="1"/>
      <c r="W1001" s="1"/>
      <c r="X1001" s="1"/>
      <c r="Y1001" s="1"/>
      <c r="Z1001" s="1"/>
    </row>
    <row r="1002" spans="1:26" ht="12.75" customHeight="1">
      <c r="A1002" s="1"/>
      <c r="B1002" s="10" t="str">
        <f ca="1">IFERROR(__xludf.DUMMYFUNCTION("""COMPUTED_VALUE"""),"REPOSICIÓN VEREDAS CALLE ATACAMA, SECTOR CENTRO COMUNA DE FREIRINA")</f>
        <v>REPOSICIÓN VEREDAS CALLE ATACAMA, SECTOR CENTRO COMUNA DE FREIRINA</v>
      </c>
      <c r="C1002" s="10" t="str">
        <f ca="1">IFERROR(__xludf.DUMMYFUNCTION("""COMPUTED_VALUE"""),"1-B-2024-446")</f>
        <v>1-B-2024-446</v>
      </c>
      <c r="D1002" s="26"/>
      <c r="E1002" s="10" t="str">
        <f ca="1">IFERROR(__xludf.DUMMYFUNCTION("""COMPUTED_VALUE"""),"Guía Operativa")</f>
        <v>Guía Operativa</v>
      </c>
      <c r="F1002" s="10" t="str">
        <f ca="1">IFERROR(__xludf.DUMMYFUNCTION("""COMPUTED_VALUE"""),"MUNICIPALIDAD DE FREIRINA")</f>
        <v>MUNICIPALIDAD DE FREIRINA</v>
      </c>
      <c r="G1002" s="71">
        <f ca="1">IFERROR(__xludf.DUMMYFUNCTION("""COMPUTED_VALUE"""),109891079)</f>
        <v>109891079</v>
      </c>
      <c r="H1002" s="10" t="str">
        <f ca="1">IFERROR(__xludf.DUMMYFUNCTION("""COMPUTED_VALUE"""),"Resolución")</f>
        <v>Resolución</v>
      </c>
      <c r="I1002" s="10" t="str">
        <f ca="1">IFERROR(__xludf.DUMMYFUNCTION("""COMPUTED_VALUE"""),"OBRA")</f>
        <v>OBRA</v>
      </c>
      <c r="J1002" s="10" t="str">
        <f ca="1">IFERROR(__xludf.DUMMYFUNCTION("""COMPUTED_VALUE"""),"Cumplir con normativa y reglamentos internos del programa en base a los objetivos.")</f>
        <v>Cumplir con normativa y reglamentos internos del programa en base a los objetivos.</v>
      </c>
      <c r="K1002" s="71">
        <f ca="1">IFERROR(__xludf.DUMMYFUNCTION("""COMPUTED_VALUE"""),109891079)</f>
        <v>109891079</v>
      </c>
      <c r="L1002" s="72">
        <f ca="1">IFERROR(__xludf.DUMMYFUNCTION("""COMPUTED_VALUE"""),1)</f>
        <v>1</v>
      </c>
      <c r="M1002" s="10">
        <f ca="1">IFERROR(__xludf.DUMMYFUNCTION("""COMPUTED_VALUE"""),10972)</f>
        <v>10972</v>
      </c>
      <c r="N1002" s="10" t="str">
        <f ca="1">IFERROR(__xludf.DUMMYFUNCTION("""COMPUTED_VALUE"""),"PMU")</f>
        <v>PMU</v>
      </c>
      <c r="O1002" s="1"/>
      <c r="P1002" s="1"/>
      <c r="Q1002" s="1"/>
      <c r="R1002" s="1"/>
      <c r="S1002" s="1"/>
      <c r="T1002" s="1"/>
      <c r="U1002" s="1"/>
      <c r="V1002" s="1"/>
      <c r="W1002" s="1"/>
      <c r="X1002" s="1"/>
      <c r="Y1002" s="1"/>
      <c r="Z1002" s="1"/>
    </row>
    <row r="1003" spans="1:26" ht="12.75" customHeight="1">
      <c r="A1003" s="1"/>
      <c r="B1003" s="10" t="str">
        <f ca="1">IFERROR(__xludf.DUMMYFUNCTION("""COMPUTED_VALUE"""),"MEJORAMIENTO DE VEREDAS CALLE JUAN MARTÍNEZ, ENTRE AVENIDA ARICA Y CALLE EL SALVADOR, CALDERA 2024")</f>
        <v>MEJORAMIENTO DE VEREDAS CALLE JUAN MARTÍNEZ, ENTRE AVENIDA ARICA Y CALLE EL SALVADOR, CALDERA 2024</v>
      </c>
      <c r="C1003" s="10" t="str">
        <f ca="1">IFERROR(__xludf.DUMMYFUNCTION("""COMPUTED_VALUE"""),"1-B-2024-493")</f>
        <v>1-B-2024-493</v>
      </c>
      <c r="D1003" s="26"/>
      <c r="E1003" s="10" t="str">
        <f ca="1">IFERROR(__xludf.DUMMYFUNCTION("""COMPUTED_VALUE"""),"Guía Operativa")</f>
        <v>Guía Operativa</v>
      </c>
      <c r="F1003" s="10" t="str">
        <f ca="1">IFERROR(__xludf.DUMMYFUNCTION("""COMPUTED_VALUE"""),"MUNICIPALIDAD DE CALDERA")</f>
        <v>MUNICIPALIDAD DE CALDERA</v>
      </c>
      <c r="G1003" s="71">
        <f ca="1">IFERROR(__xludf.DUMMYFUNCTION("""COMPUTED_VALUE"""),88130470)</f>
        <v>88130470</v>
      </c>
      <c r="H1003" s="10" t="str">
        <f ca="1">IFERROR(__xludf.DUMMYFUNCTION("""COMPUTED_VALUE"""),"Resolución")</f>
        <v>Resolución</v>
      </c>
      <c r="I1003" s="10" t="str">
        <f ca="1">IFERROR(__xludf.DUMMYFUNCTION("""COMPUTED_VALUE"""),"OBRA")</f>
        <v>OBRA</v>
      </c>
      <c r="J1003" s="10" t="str">
        <f ca="1">IFERROR(__xludf.DUMMYFUNCTION("""COMPUTED_VALUE"""),"Cumplir con normativa y reglamentos internos del programa en base a los objetivos.")</f>
        <v>Cumplir con normativa y reglamentos internos del programa en base a los objetivos.</v>
      </c>
      <c r="K1003" s="71">
        <f ca="1">IFERROR(__xludf.DUMMYFUNCTION("""COMPUTED_VALUE"""),88130470)</f>
        <v>88130470</v>
      </c>
      <c r="L1003" s="72">
        <f ca="1">IFERROR(__xludf.DUMMYFUNCTION("""COMPUTED_VALUE"""),1)</f>
        <v>1</v>
      </c>
      <c r="M1003" s="10">
        <f ca="1">IFERROR(__xludf.DUMMYFUNCTION("""COMPUTED_VALUE"""),11451)</f>
        <v>11451</v>
      </c>
      <c r="N1003" s="10" t="str">
        <f ca="1">IFERROR(__xludf.DUMMYFUNCTION("""COMPUTED_VALUE"""),"PMU")</f>
        <v>PMU</v>
      </c>
      <c r="O1003" s="1"/>
      <c r="P1003" s="1"/>
      <c r="Q1003" s="1"/>
      <c r="R1003" s="1"/>
      <c r="S1003" s="1"/>
      <c r="T1003" s="1"/>
      <c r="U1003" s="1"/>
      <c r="V1003" s="1"/>
      <c r="W1003" s="1"/>
      <c r="X1003" s="1"/>
      <c r="Y1003" s="1"/>
      <c r="Z1003" s="1"/>
    </row>
    <row r="1004" spans="1:26" ht="12.75" customHeight="1">
      <c r="A1004" s="1"/>
      <c r="B1004" s="10" t="str">
        <f ca="1">IFERROR(__xludf.DUMMYFUNCTION("""COMPUTED_VALUE"""),"INSTALACION ALUMBRADO PÚBLICO SOLAR EN VÍAS DE LA LOCALIDAD LLANOS DEL LAGARTO, COMUNA DE HUASCO")</f>
        <v>INSTALACION ALUMBRADO PÚBLICO SOLAR EN VÍAS DE LA LOCALIDAD LLANOS DEL LAGARTO, COMUNA DE HUASCO</v>
      </c>
      <c r="C1004" s="10" t="str">
        <f ca="1">IFERROR(__xludf.DUMMYFUNCTION("""COMPUTED_VALUE"""),"1-B-2024-534")</f>
        <v>1-B-2024-534</v>
      </c>
      <c r="D1004" s="26"/>
      <c r="E1004" s="10" t="str">
        <f ca="1">IFERROR(__xludf.DUMMYFUNCTION("""COMPUTED_VALUE"""),"Guía Operativa")</f>
        <v>Guía Operativa</v>
      </c>
      <c r="F1004" s="10" t="str">
        <f ca="1">IFERROR(__xludf.DUMMYFUNCTION("""COMPUTED_VALUE"""),"MUNICIPALIDAD DE HUASCO")</f>
        <v>MUNICIPALIDAD DE HUASCO</v>
      </c>
      <c r="G1004" s="71">
        <f ca="1">IFERROR(__xludf.DUMMYFUNCTION("""COMPUTED_VALUE"""),93329458)</f>
        <v>93329458</v>
      </c>
      <c r="H1004" s="10" t="str">
        <f ca="1">IFERROR(__xludf.DUMMYFUNCTION("""COMPUTED_VALUE"""),"Resolución")</f>
        <v>Resolución</v>
      </c>
      <c r="I1004" s="10" t="str">
        <f ca="1">IFERROR(__xludf.DUMMYFUNCTION("""COMPUTED_VALUE"""),"OBRA")</f>
        <v>OBRA</v>
      </c>
      <c r="J1004" s="10" t="str">
        <f ca="1">IFERROR(__xludf.DUMMYFUNCTION("""COMPUTED_VALUE"""),"Cumplir con normativa y reglamentos internos del programa en base a los objetivos.")</f>
        <v>Cumplir con normativa y reglamentos internos del programa en base a los objetivos.</v>
      </c>
      <c r="K1004" s="71">
        <f ca="1">IFERROR(__xludf.DUMMYFUNCTION("""COMPUTED_VALUE"""),93329458)</f>
        <v>93329458</v>
      </c>
      <c r="L1004" s="72">
        <f ca="1">IFERROR(__xludf.DUMMYFUNCTION("""COMPUTED_VALUE"""),1)</f>
        <v>1</v>
      </c>
      <c r="M1004" s="10">
        <f ca="1">IFERROR(__xludf.DUMMYFUNCTION("""COMPUTED_VALUE"""),11421)</f>
        <v>11421</v>
      </c>
      <c r="N1004" s="10" t="str">
        <f ca="1">IFERROR(__xludf.DUMMYFUNCTION("""COMPUTED_VALUE"""),"PMU")</f>
        <v>PMU</v>
      </c>
      <c r="O1004" s="1"/>
      <c r="P1004" s="1"/>
      <c r="Q1004" s="1"/>
      <c r="R1004" s="1"/>
      <c r="S1004" s="1"/>
      <c r="T1004" s="1"/>
      <c r="U1004" s="1"/>
      <c r="V1004" s="1"/>
      <c r="W1004" s="1"/>
      <c r="X1004" s="1"/>
      <c r="Y1004" s="1"/>
      <c r="Z1004" s="1"/>
    </row>
    <row r="1005" spans="1:26" ht="12.75" customHeight="1">
      <c r="A1005" s="1"/>
      <c r="B1005" s="10" t="str">
        <f ca="1">IFERROR(__xludf.DUMMYFUNCTION("""COMPUTED_VALUE"""),"CONSTRUCCIÓN GRADERÍAS Y BAÑOS CANCHA DE FÚTBOL LA HIGUERA")</f>
        <v>CONSTRUCCIÓN GRADERÍAS Y BAÑOS CANCHA DE FÚTBOL LA HIGUERA</v>
      </c>
      <c r="C1005" s="10" t="str">
        <f ca="1">IFERROR(__xludf.DUMMYFUNCTION("""COMPUTED_VALUE"""),"1-B-2024-64")</f>
        <v>1-B-2024-64</v>
      </c>
      <c r="D1005" s="26"/>
      <c r="E1005" s="10" t="str">
        <f ca="1">IFERROR(__xludf.DUMMYFUNCTION("""COMPUTED_VALUE"""),"Guía Operativa")</f>
        <v>Guía Operativa</v>
      </c>
      <c r="F1005" s="10" t="str">
        <f ca="1">IFERROR(__xludf.DUMMYFUNCTION("""COMPUTED_VALUE"""),"MUNICIPALIDAD DE LA HIGUERA")</f>
        <v>MUNICIPALIDAD DE LA HIGUERA</v>
      </c>
      <c r="G1005" s="71">
        <f ca="1">IFERROR(__xludf.DUMMYFUNCTION("""COMPUTED_VALUE"""),145937362)</f>
        <v>145937362</v>
      </c>
      <c r="H1005" s="10" t="str">
        <f ca="1">IFERROR(__xludf.DUMMYFUNCTION("""COMPUTED_VALUE"""),"Resolución")</f>
        <v>Resolución</v>
      </c>
      <c r="I1005" s="10" t="str">
        <f ca="1">IFERROR(__xludf.DUMMYFUNCTION("""COMPUTED_VALUE"""),"OBRA")</f>
        <v>OBRA</v>
      </c>
      <c r="J1005" s="10" t="str">
        <f ca="1">IFERROR(__xludf.DUMMYFUNCTION("""COMPUTED_VALUE"""),"Cumplir con normativa y reglamentos internos del programa en base a los objetivos.")</f>
        <v>Cumplir con normativa y reglamentos internos del programa en base a los objetivos.</v>
      </c>
      <c r="K1005" s="71">
        <f ca="1">IFERROR(__xludf.DUMMYFUNCTION("""COMPUTED_VALUE"""),145937362)</f>
        <v>145937362</v>
      </c>
      <c r="L1005" s="72">
        <f ca="1">IFERROR(__xludf.DUMMYFUNCTION("""COMPUTED_VALUE"""),1)</f>
        <v>1</v>
      </c>
      <c r="M1005" s="10">
        <f ca="1">IFERROR(__xludf.DUMMYFUNCTION("""COMPUTED_VALUE"""),10871)</f>
        <v>10871</v>
      </c>
      <c r="N1005" s="10" t="str">
        <f ca="1">IFERROR(__xludf.DUMMYFUNCTION("""COMPUTED_VALUE"""),"PMU")</f>
        <v>PMU</v>
      </c>
      <c r="O1005" s="1"/>
      <c r="P1005" s="1"/>
      <c r="Q1005" s="1"/>
      <c r="R1005" s="1"/>
      <c r="S1005" s="1"/>
      <c r="T1005" s="1"/>
      <c r="U1005" s="1"/>
      <c r="V1005" s="1"/>
      <c r="W1005" s="1"/>
      <c r="X1005" s="1"/>
      <c r="Y1005" s="1"/>
      <c r="Z1005" s="1"/>
    </row>
    <row r="1006" spans="1:26" ht="12.75" customHeight="1">
      <c r="A1006" s="1"/>
      <c r="B1006" s="10" t="str">
        <f ca="1">IFERROR(__xludf.DUMMYFUNCTION("""COMPUTED_VALUE"""),"CONSTRUCCIÓN PAVIMENTACIÓN CALLEJÓN DE ALCOHUAZ, COMUNA DE PAIHUANO")</f>
        <v>CONSTRUCCIÓN PAVIMENTACIÓN CALLEJÓN DE ALCOHUAZ, COMUNA DE PAIHUANO</v>
      </c>
      <c r="C1006" s="10" t="str">
        <f ca="1">IFERROR(__xludf.DUMMYFUNCTION("""COMPUTED_VALUE"""),"1-B-2024-66")</f>
        <v>1-B-2024-66</v>
      </c>
      <c r="D1006" s="26"/>
      <c r="E1006" s="10" t="str">
        <f ca="1">IFERROR(__xludf.DUMMYFUNCTION("""COMPUTED_VALUE"""),"Guía Operativa")</f>
        <v>Guía Operativa</v>
      </c>
      <c r="F1006" s="10" t="str">
        <f ca="1">IFERROR(__xludf.DUMMYFUNCTION("""COMPUTED_VALUE"""),"MUNICIPALIDAD DE PAIGUANO")</f>
        <v>MUNICIPALIDAD DE PAIGUANO</v>
      </c>
      <c r="G1006" s="71">
        <f ca="1">IFERROR(__xludf.DUMMYFUNCTION("""COMPUTED_VALUE"""),153414850)</f>
        <v>153414850</v>
      </c>
      <c r="H1006" s="10" t="str">
        <f ca="1">IFERROR(__xludf.DUMMYFUNCTION("""COMPUTED_VALUE"""),"Resolución")</f>
        <v>Resolución</v>
      </c>
      <c r="I1006" s="10" t="str">
        <f ca="1">IFERROR(__xludf.DUMMYFUNCTION("""COMPUTED_VALUE"""),"OBRA")</f>
        <v>OBRA</v>
      </c>
      <c r="J1006" s="10" t="str">
        <f ca="1">IFERROR(__xludf.DUMMYFUNCTION("""COMPUTED_VALUE"""),"Cumplir con normativa y reglamentos internos del programa en base a los objetivos.")</f>
        <v>Cumplir con normativa y reglamentos internos del programa en base a los objetivos.</v>
      </c>
      <c r="K1006" s="71">
        <f ca="1">IFERROR(__xludf.DUMMYFUNCTION("""COMPUTED_VALUE"""),153414850)</f>
        <v>153414850</v>
      </c>
      <c r="L1006" s="72">
        <f ca="1">IFERROR(__xludf.DUMMYFUNCTION("""COMPUTED_VALUE"""),1)</f>
        <v>1</v>
      </c>
      <c r="M1006" s="10">
        <f ca="1">IFERROR(__xludf.DUMMYFUNCTION("""COMPUTED_VALUE"""),10861)</f>
        <v>10861</v>
      </c>
      <c r="N1006" s="10" t="str">
        <f ca="1">IFERROR(__xludf.DUMMYFUNCTION("""COMPUTED_VALUE"""),"PMU")</f>
        <v>PMU</v>
      </c>
      <c r="O1006" s="1"/>
      <c r="P1006" s="1"/>
      <c r="Q1006" s="1"/>
      <c r="R1006" s="1"/>
      <c r="S1006" s="1"/>
      <c r="T1006" s="1"/>
      <c r="U1006" s="1"/>
      <c r="V1006" s="1"/>
      <c r="W1006" s="1"/>
      <c r="X1006" s="1"/>
      <c r="Y1006" s="1"/>
      <c r="Z1006" s="1"/>
    </row>
    <row r="1007" spans="1:26" ht="12.75" customHeight="1">
      <c r="A1007" s="1"/>
      <c r="B1007" s="10" t="str">
        <f ca="1">IFERROR(__xludf.DUMMYFUNCTION("""COMPUTED_VALUE"""),"CONSTRUCCIÓN DE RESALTOS REDUCTORES DE VELOCIDAD, VARIOS SECTORES DE LA COMUNA DE COQUIMBO")</f>
        <v>CONSTRUCCIÓN DE RESALTOS REDUCTORES DE VELOCIDAD, VARIOS SECTORES DE LA COMUNA DE COQUIMBO</v>
      </c>
      <c r="C1007" s="10" t="str">
        <f ca="1">IFERROR(__xludf.DUMMYFUNCTION("""COMPUTED_VALUE"""),"1-B-2024-96")</f>
        <v>1-B-2024-96</v>
      </c>
      <c r="D1007" s="26"/>
      <c r="E1007" s="10" t="str">
        <f ca="1">IFERROR(__xludf.DUMMYFUNCTION("""COMPUTED_VALUE"""),"Guía Operativa")</f>
        <v>Guía Operativa</v>
      </c>
      <c r="F1007" s="10" t="str">
        <f ca="1">IFERROR(__xludf.DUMMYFUNCTION("""COMPUTED_VALUE"""),"MUNICIPALIDAD DE COQUIMBO")</f>
        <v>MUNICIPALIDAD DE COQUIMBO</v>
      </c>
      <c r="G1007" s="71">
        <f ca="1">IFERROR(__xludf.DUMMYFUNCTION("""COMPUTED_VALUE"""),113830848)</f>
        <v>113830848</v>
      </c>
      <c r="H1007" s="10" t="str">
        <f ca="1">IFERROR(__xludf.DUMMYFUNCTION("""COMPUTED_VALUE"""),"Resolución")</f>
        <v>Resolución</v>
      </c>
      <c r="I1007" s="10" t="str">
        <f ca="1">IFERROR(__xludf.DUMMYFUNCTION("""COMPUTED_VALUE"""),"OBRA")</f>
        <v>OBRA</v>
      </c>
      <c r="J1007" s="10" t="str">
        <f ca="1">IFERROR(__xludf.DUMMYFUNCTION("""COMPUTED_VALUE"""),"Cumplir con normativa y reglamentos internos del programa en base a los objetivos.")</f>
        <v>Cumplir con normativa y reglamentos internos del programa en base a los objetivos.</v>
      </c>
      <c r="K1007" s="71">
        <f ca="1">IFERROR(__xludf.DUMMYFUNCTION("""COMPUTED_VALUE"""),113830848)</f>
        <v>113830848</v>
      </c>
      <c r="L1007" s="72">
        <f ca="1">IFERROR(__xludf.DUMMYFUNCTION("""COMPUTED_VALUE"""),1)</f>
        <v>1</v>
      </c>
      <c r="M1007" s="10">
        <f ca="1">IFERROR(__xludf.DUMMYFUNCTION("""COMPUTED_VALUE"""),10382)</f>
        <v>10382</v>
      </c>
      <c r="N1007" s="10" t="str">
        <f ca="1">IFERROR(__xludf.DUMMYFUNCTION("""COMPUTED_VALUE"""),"PMU")</f>
        <v>PMU</v>
      </c>
      <c r="O1007" s="1"/>
      <c r="P1007" s="1"/>
      <c r="Q1007" s="1"/>
      <c r="R1007" s="1"/>
      <c r="S1007" s="1"/>
      <c r="T1007" s="1"/>
      <c r="U1007" s="1"/>
      <c r="V1007" s="1"/>
      <c r="W1007" s="1"/>
      <c r="X1007" s="1"/>
      <c r="Y1007" s="1"/>
      <c r="Z1007" s="1"/>
    </row>
    <row r="1008" spans="1:26" ht="12.75" customHeight="1">
      <c r="A1008" s="1"/>
      <c r="B1008" s="10" t="str">
        <f ca="1">IFERROR(__xludf.DUMMYFUNCTION("""COMPUTED_VALUE"""),"CONSTRUCCIÓN RESALTOS REDUCTORES DE VELOCIDAD Y DEMARCACIÓN VIAL, COMUNA DE ILLAPEL")</f>
        <v>CONSTRUCCIÓN RESALTOS REDUCTORES DE VELOCIDAD Y DEMARCACIÓN VIAL, COMUNA DE ILLAPEL</v>
      </c>
      <c r="C1008" s="10" t="str">
        <f ca="1">IFERROR(__xludf.DUMMYFUNCTION("""COMPUTED_VALUE"""),"1-B-2024-383")</f>
        <v>1-B-2024-383</v>
      </c>
      <c r="D1008" s="26"/>
      <c r="E1008" s="10" t="str">
        <f ca="1">IFERROR(__xludf.DUMMYFUNCTION("""COMPUTED_VALUE"""),"Guía Operativa")</f>
        <v>Guía Operativa</v>
      </c>
      <c r="F1008" s="10" t="str">
        <f ca="1">IFERROR(__xludf.DUMMYFUNCTION("""COMPUTED_VALUE"""),"MUNICIPALIDAD DE ILLAPEL")</f>
        <v>MUNICIPALIDAD DE ILLAPEL</v>
      </c>
      <c r="G1008" s="71">
        <f ca="1">IFERROR(__xludf.DUMMYFUNCTION("""COMPUTED_VALUE"""),19355754)</f>
        <v>19355754</v>
      </c>
      <c r="H1008" s="10" t="str">
        <f ca="1">IFERROR(__xludf.DUMMYFUNCTION("""COMPUTED_VALUE"""),"Resolución")</f>
        <v>Resolución</v>
      </c>
      <c r="I1008" s="10" t="str">
        <f ca="1">IFERROR(__xludf.DUMMYFUNCTION("""COMPUTED_VALUE"""),"OBRA")</f>
        <v>OBRA</v>
      </c>
      <c r="J1008" s="10" t="str">
        <f ca="1">IFERROR(__xludf.DUMMYFUNCTION("""COMPUTED_VALUE"""),"Cumplir con normativa y reglamentos internos del programa en base a los objetivos.")</f>
        <v>Cumplir con normativa y reglamentos internos del programa en base a los objetivos.</v>
      </c>
      <c r="K1008" s="71">
        <f ca="1">IFERROR(__xludf.DUMMYFUNCTION("""COMPUTED_VALUE"""),19355754)</f>
        <v>19355754</v>
      </c>
      <c r="L1008" s="72">
        <f ca="1">IFERROR(__xludf.DUMMYFUNCTION("""COMPUTED_VALUE"""),1)</f>
        <v>1</v>
      </c>
      <c r="M1008" s="10">
        <f ca="1">IFERROR(__xludf.DUMMYFUNCTION("""COMPUTED_VALUE"""),10875)</f>
        <v>10875</v>
      </c>
      <c r="N1008" s="10" t="str">
        <f ca="1">IFERROR(__xludf.DUMMYFUNCTION("""COMPUTED_VALUE"""),"PMU")</f>
        <v>PMU</v>
      </c>
      <c r="O1008" s="1"/>
      <c r="P1008" s="1"/>
      <c r="Q1008" s="1"/>
      <c r="R1008" s="1"/>
      <c r="S1008" s="1"/>
      <c r="T1008" s="1"/>
      <c r="U1008" s="1"/>
      <c r="V1008" s="1"/>
      <c r="W1008" s="1"/>
      <c r="X1008" s="1"/>
      <c r="Y1008" s="1"/>
      <c r="Z1008" s="1"/>
    </row>
    <row r="1009" spans="1:26" ht="12.75" customHeight="1">
      <c r="A1009" s="1"/>
      <c r="B1009" s="10" t="str">
        <f ca="1">IFERROR(__xludf.DUMMYFUNCTION("""COMPUTED_VALUE"""),"CONSTRUCCIÓN DE ACCESIBILIDAD UNIVERSAL Y SOMBREADEROS PARA LA PISCINA DEL ESTADIO MUNICIPAL”")</f>
        <v>CONSTRUCCIÓN DE ACCESIBILIDAD UNIVERSAL Y SOMBREADEROS PARA LA PISCINA DEL ESTADIO MUNICIPAL”</v>
      </c>
      <c r="C1009" s="10" t="str">
        <f ca="1">IFERROR(__xludf.DUMMYFUNCTION("""COMPUTED_VALUE"""),"1-B-2024-44")</f>
        <v>1-B-2024-44</v>
      </c>
      <c r="D1009" s="26"/>
      <c r="E1009" s="10" t="str">
        <f ca="1">IFERROR(__xludf.DUMMYFUNCTION("""COMPUTED_VALUE"""),"Guía Operativa")</f>
        <v>Guía Operativa</v>
      </c>
      <c r="F1009" s="10" t="str">
        <f ca="1">IFERROR(__xludf.DUMMYFUNCTION("""COMPUTED_VALUE"""),"MUNICIPALIDAD DE PUCHUNCAVÍ")</f>
        <v>MUNICIPALIDAD DE PUCHUNCAVÍ</v>
      </c>
      <c r="G1009" s="71">
        <f ca="1">IFERROR(__xludf.DUMMYFUNCTION("""COMPUTED_VALUE"""),109960868)</f>
        <v>109960868</v>
      </c>
      <c r="H1009" s="10" t="str">
        <f ca="1">IFERROR(__xludf.DUMMYFUNCTION("""COMPUTED_VALUE"""),"Resolución")</f>
        <v>Resolución</v>
      </c>
      <c r="I1009" s="10" t="str">
        <f ca="1">IFERROR(__xludf.DUMMYFUNCTION("""COMPUTED_VALUE"""),"OBRA")</f>
        <v>OBRA</v>
      </c>
      <c r="J1009" s="10" t="str">
        <f ca="1">IFERROR(__xludf.DUMMYFUNCTION("""COMPUTED_VALUE"""),"Cumplir con normativa y reglamentos internos del programa en base a los objetivos.")</f>
        <v>Cumplir con normativa y reglamentos internos del programa en base a los objetivos.</v>
      </c>
      <c r="K1009" s="71">
        <f ca="1">IFERROR(__xludf.DUMMYFUNCTION("""COMPUTED_VALUE"""),109960868)</f>
        <v>109960868</v>
      </c>
      <c r="L1009" s="72">
        <f ca="1">IFERROR(__xludf.DUMMYFUNCTION("""COMPUTED_VALUE"""),1)</f>
        <v>1</v>
      </c>
      <c r="M1009" s="10">
        <f ca="1">IFERROR(__xludf.DUMMYFUNCTION("""COMPUTED_VALUE"""),11429)</f>
        <v>11429</v>
      </c>
      <c r="N1009" s="10" t="str">
        <f ca="1">IFERROR(__xludf.DUMMYFUNCTION("""COMPUTED_VALUE"""),"PMU")</f>
        <v>PMU</v>
      </c>
      <c r="O1009" s="1"/>
      <c r="P1009" s="1"/>
      <c r="Q1009" s="1"/>
      <c r="R1009" s="1"/>
      <c r="S1009" s="1"/>
      <c r="T1009" s="1"/>
      <c r="U1009" s="1"/>
      <c r="V1009" s="1"/>
      <c r="W1009" s="1"/>
      <c r="X1009" s="1"/>
      <c r="Y1009" s="1"/>
      <c r="Z1009" s="1"/>
    </row>
    <row r="1010" spans="1:26" ht="12.75" customHeight="1">
      <c r="A1010" s="1"/>
      <c r="B1010" s="10" t="str">
        <f ca="1">IFERROR(__xludf.DUMMYFUNCTION("""COMPUTED_VALUE"""),"MEJORAMIENTO PLAZA DE LOS NIÑOS, ANIBAL GODOY LAZO, QUINTERO")</f>
        <v>MEJORAMIENTO PLAZA DE LOS NIÑOS, ANIBAL GODOY LAZO, QUINTERO</v>
      </c>
      <c r="C1010" s="10" t="str">
        <f ca="1">IFERROR(__xludf.DUMMYFUNCTION("""COMPUTED_VALUE"""),"1-B-2024-58")</f>
        <v>1-B-2024-58</v>
      </c>
      <c r="D1010" s="26"/>
      <c r="E1010" s="10" t="str">
        <f ca="1">IFERROR(__xludf.DUMMYFUNCTION("""COMPUTED_VALUE"""),"Guía Operativa")</f>
        <v>Guía Operativa</v>
      </c>
      <c r="F1010" s="10" t="str">
        <f ca="1">IFERROR(__xludf.DUMMYFUNCTION("""COMPUTED_VALUE"""),"MUNICIPALIDAD DE QUINTERO")</f>
        <v>MUNICIPALIDAD DE QUINTERO</v>
      </c>
      <c r="G1010" s="71">
        <f ca="1">IFERROR(__xludf.DUMMYFUNCTION("""COMPUTED_VALUE"""),117983139)</f>
        <v>117983139</v>
      </c>
      <c r="H1010" s="10" t="str">
        <f ca="1">IFERROR(__xludf.DUMMYFUNCTION("""COMPUTED_VALUE"""),"Resolución")</f>
        <v>Resolución</v>
      </c>
      <c r="I1010" s="10" t="str">
        <f ca="1">IFERROR(__xludf.DUMMYFUNCTION("""COMPUTED_VALUE"""),"OBRA")</f>
        <v>OBRA</v>
      </c>
      <c r="J1010" s="10" t="str">
        <f ca="1">IFERROR(__xludf.DUMMYFUNCTION("""COMPUTED_VALUE"""),"Cumplir con normativa y reglamentos internos del programa en base a los objetivos.")</f>
        <v>Cumplir con normativa y reglamentos internos del programa en base a los objetivos.</v>
      </c>
      <c r="K1010" s="71">
        <f ca="1">IFERROR(__xludf.DUMMYFUNCTION("""COMPUTED_VALUE"""),117983139)</f>
        <v>117983139</v>
      </c>
      <c r="L1010" s="72">
        <f ca="1">IFERROR(__xludf.DUMMYFUNCTION("""COMPUTED_VALUE"""),1)</f>
        <v>1</v>
      </c>
      <c r="M1010" s="10">
        <f ca="1">IFERROR(__xludf.DUMMYFUNCTION("""COMPUTED_VALUE"""),11400)</f>
        <v>11400</v>
      </c>
      <c r="N1010" s="10" t="str">
        <f ca="1">IFERROR(__xludf.DUMMYFUNCTION("""COMPUTED_VALUE"""),"PMU")</f>
        <v>PMU</v>
      </c>
      <c r="O1010" s="1"/>
      <c r="P1010" s="1"/>
      <c r="Q1010" s="1"/>
      <c r="R1010" s="1"/>
      <c r="S1010" s="1"/>
      <c r="T1010" s="1"/>
      <c r="U1010" s="1"/>
      <c r="V1010" s="1"/>
      <c r="W1010" s="1"/>
      <c r="X1010" s="1"/>
      <c r="Y1010" s="1"/>
      <c r="Z1010" s="1"/>
    </row>
    <row r="1011" spans="1:26" ht="12.75" customHeight="1">
      <c r="A1011" s="1"/>
      <c r="B1011" s="10" t="str">
        <f ca="1">IFERROR(__xludf.DUMMYFUNCTION("""COMPUTED_VALUE"""),"MEJORAMIENTO CANCHA Y GRADERÍAS GIMNASIO MUNICIPAL PAPUDO")</f>
        <v>MEJORAMIENTO CANCHA Y GRADERÍAS GIMNASIO MUNICIPAL PAPUDO</v>
      </c>
      <c r="C1011" s="10" t="str">
        <f ca="1">IFERROR(__xludf.DUMMYFUNCTION("""COMPUTED_VALUE"""),"1-B-2024-95")</f>
        <v>1-B-2024-95</v>
      </c>
      <c r="D1011" s="26"/>
      <c r="E1011" s="10" t="str">
        <f ca="1">IFERROR(__xludf.DUMMYFUNCTION("""COMPUTED_VALUE"""),"Guía Operativa")</f>
        <v>Guía Operativa</v>
      </c>
      <c r="F1011" s="10" t="str">
        <f ca="1">IFERROR(__xludf.DUMMYFUNCTION("""COMPUTED_VALUE"""),"MUNICIPALIDAD DE PAPUDO")</f>
        <v>MUNICIPALIDAD DE PAPUDO</v>
      </c>
      <c r="G1011" s="71">
        <f ca="1">IFERROR(__xludf.DUMMYFUNCTION("""COMPUTED_VALUE"""),106125730)</f>
        <v>106125730</v>
      </c>
      <c r="H1011" s="10" t="str">
        <f ca="1">IFERROR(__xludf.DUMMYFUNCTION("""COMPUTED_VALUE"""),"Resolución")</f>
        <v>Resolución</v>
      </c>
      <c r="I1011" s="10" t="str">
        <f ca="1">IFERROR(__xludf.DUMMYFUNCTION("""COMPUTED_VALUE"""),"OBRA")</f>
        <v>OBRA</v>
      </c>
      <c r="J1011" s="10" t="str">
        <f ca="1">IFERROR(__xludf.DUMMYFUNCTION("""COMPUTED_VALUE"""),"Cumplir con normativa y reglamentos internos del programa en base a los objetivos.")</f>
        <v>Cumplir con normativa y reglamentos internos del programa en base a los objetivos.</v>
      </c>
      <c r="K1011" s="71">
        <f ca="1">IFERROR(__xludf.DUMMYFUNCTION("""COMPUTED_VALUE"""),106125730)</f>
        <v>106125730</v>
      </c>
      <c r="L1011" s="72">
        <f ca="1">IFERROR(__xludf.DUMMYFUNCTION("""COMPUTED_VALUE"""),1)</f>
        <v>1</v>
      </c>
      <c r="M1011" s="10">
        <f ca="1">IFERROR(__xludf.DUMMYFUNCTION("""COMPUTED_VALUE"""),11419)</f>
        <v>11419</v>
      </c>
      <c r="N1011" s="10" t="str">
        <f ca="1">IFERROR(__xludf.DUMMYFUNCTION("""COMPUTED_VALUE"""),"PMU")</f>
        <v>PMU</v>
      </c>
      <c r="O1011" s="1"/>
      <c r="P1011" s="1"/>
      <c r="Q1011" s="1"/>
      <c r="R1011" s="1"/>
      <c r="S1011" s="1"/>
      <c r="T1011" s="1"/>
      <c r="U1011" s="1"/>
      <c r="V1011" s="1"/>
      <c r="W1011" s="1"/>
      <c r="X1011" s="1"/>
      <c r="Y1011" s="1"/>
      <c r="Z1011" s="1"/>
    </row>
    <row r="1012" spans="1:26" ht="12.75" customHeight="1">
      <c r="A1012" s="1"/>
      <c r="B1012" s="10" t="str">
        <f ca="1">IFERROR(__xludf.DUMMYFUNCTION("""COMPUTED_VALUE"""),"MEJORAMIENTO INTEGRAL ENTORNO CEMENTERIO MUNICIPAL")</f>
        <v>MEJORAMIENTO INTEGRAL ENTORNO CEMENTERIO MUNICIPAL</v>
      </c>
      <c r="C1012" s="10" t="str">
        <f ca="1">IFERROR(__xludf.DUMMYFUNCTION("""COMPUTED_VALUE"""),"1-B-2024-132")</f>
        <v>1-B-2024-132</v>
      </c>
      <c r="D1012" s="26"/>
      <c r="E1012" s="10" t="str">
        <f ca="1">IFERROR(__xludf.DUMMYFUNCTION("""COMPUTED_VALUE"""),"Guía Operativa")</f>
        <v>Guía Operativa</v>
      </c>
      <c r="F1012" s="10" t="str">
        <f ca="1">IFERROR(__xludf.DUMMYFUNCTION("""COMPUTED_VALUE"""),"MUNICIPALIDAD DE LA CRUZ")</f>
        <v>MUNICIPALIDAD DE LA CRUZ</v>
      </c>
      <c r="G1012" s="71">
        <f ca="1">IFERROR(__xludf.DUMMYFUNCTION("""COMPUTED_VALUE"""),36661482)</f>
        <v>36661482</v>
      </c>
      <c r="H1012" s="10" t="str">
        <f ca="1">IFERROR(__xludf.DUMMYFUNCTION("""COMPUTED_VALUE"""),"Resolución")</f>
        <v>Resolución</v>
      </c>
      <c r="I1012" s="10" t="str">
        <f ca="1">IFERROR(__xludf.DUMMYFUNCTION("""COMPUTED_VALUE"""),"OBRA")</f>
        <v>OBRA</v>
      </c>
      <c r="J1012" s="10" t="str">
        <f ca="1">IFERROR(__xludf.DUMMYFUNCTION("""COMPUTED_VALUE"""),"Cumplir con normativa y reglamentos internos del programa en base a los objetivos.")</f>
        <v>Cumplir con normativa y reglamentos internos del programa en base a los objetivos.</v>
      </c>
      <c r="K1012" s="71">
        <f ca="1">IFERROR(__xludf.DUMMYFUNCTION("""COMPUTED_VALUE"""),36661482)</f>
        <v>36661482</v>
      </c>
      <c r="L1012" s="72">
        <f ca="1">IFERROR(__xludf.DUMMYFUNCTION("""COMPUTED_VALUE"""),1)</f>
        <v>1</v>
      </c>
      <c r="M1012" s="10">
        <f ca="1">IFERROR(__xludf.DUMMYFUNCTION("""COMPUTED_VALUE"""),10973)</f>
        <v>10973</v>
      </c>
      <c r="N1012" s="10" t="str">
        <f ca="1">IFERROR(__xludf.DUMMYFUNCTION("""COMPUTED_VALUE"""),"PMU")</f>
        <v>PMU</v>
      </c>
      <c r="O1012" s="1"/>
      <c r="P1012" s="1"/>
      <c r="Q1012" s="1"/>
      <c r="R1012" s="1"/>
      <c r="S1012" s="1"/>
      <c r="T1012" s="1"/>
      <c r="U1012" s="1"/>
      <c r="V1012" s="1"/>
      <c r="W1012" s="1"/>
      <c r="X1012" s="1"/>
      <c r="Y1012" s="1"/>
      <c r="Z1012" s="1"/>
    </row>
    <row r="1013" spans="1:26" ht="12.75" customHeight="1">
      <c r="A1013" s="1"/>
      <c r="B1013" s="10" t="str">
        <f ca="1">IFERROR(__xludf.DUMMYFUNCTION("""COMPUTED_VALUE"""),"MEJORAMIENTO PILETA DE AGUA PLAZA DE LA CRUZ")</f>
        <v>MEJORAMIENTO PILETA DE AGUA PLAZA DE LA CRUZ</v>
      </c>
      <c r="C1013" s="10" t="str">
        <f ca="1">IFERROR(__xludf.DUMMYFUNCTION("""COMPUTED_VALUE"""),"1-B-2024-133")</f>
        <v>1-B-2024-133</v>
      </c>
      <c r="D1013" s="26"/>
      <c r="E1013" s="10" t="str">
        <f ca="1">IFERROR(__xludf.DUMMYFUNCTION("""COMPUTED_VALUE"""),"Guía Operativa")</f>
        <v>Guía Operativa</v>
      </c>
      <c r="F1013" s="10" t="str">
        <f ca="1">IFERROR(__xludf.DUMMYFUNCTION("""COMPUTED_VALUE"""),"MUNICIPALIDAD DE LA CRUZ")</f>
        <v>MUNICIPALIDAD DE LA CRUZ</v>
      </c>
      <c r="G1013" s="71">
        <f ca="1">IFERROR(__xludf.DUMMYFUNCTION("""COMPUTED_VALUE"""),17311188)</f>
        <v>17311188</v>
      </c>
      <c r="H1013" s="10" t="str">
        <f ca="1">IFERROR(__xludf.DUMMYFUNCTION("""COMPUTED_VALUE"""),"Resolución")</f>
        <v>Resolución</v>
      </c>
      <c r="I1013" s="10" t="str">
        <f ca="1">IFERROR(__xludf.DUMMYFUNCTION("""COMPUTED_VALUE"""),"OBRA")</f>
        <v>OBRA</v>
      </c>
      <c r="J1013" s="10" t="str">
        <f ca="1">IFERROR(__xludf.DUMMYFUNCTION("""COMPUTED_VALUE"""),"Cumplir con normativa y reglamentos internos del programa en base a los objetivos.")</f>
        <v>Cumplir con normativa y reglamentos internos del programa en base a los objetivos.</v>
      </c>
      <c r="K1013" s="71">
        <f ca="1">IFERROR(__xludf.DUMMYFUNCTION("""COMPUTED_VALUE"""),17311188)</f>
        <v>17311188</v>
      </c>
      <c r="L1013" s="72">
        <f ca="1">IFERROR(__xludf.DUMMYFUNCTION("""COMPUTED_VALUE"""),1)</f>
        <v>1</v>
      </c>
      <c r="M1013" s="10">
        <f ca="1">IFERROR(__xludf.DUMMYFUNCTION("""COMPUTED_VALUE"""),10846)</f>
        <v>10846</v>
      </c>
      <c r="N1013" s="10" t="str">
        <f ca="1">IFERROR(__xludf.DUMMYFUNCTION("""COMPUTED_VALUE"""),"PMU")</f>
        <v>PMU</v>
      </c>
      <c r="O1013" s="1"/>
      <c r="P1013" s="1"/>
      <c r="Q1013" s="1"/>
      <c r="R1013" s="1"/>
      <c r="S1013" s="1"/>
      <c r="T1013" s="1"/>
      <c r="U1013" s="1"/>
      <c r="V1013" s="1"/>
      <c r="W1013" s="1"/>
      <c r="X1013" s="1"/>
      <c r="Y1013" s="1"/>
      <c r="Z1013" s="1"/>
    </row>
    <row r="1014" spans="1:26" ht="12.75" customHeight="1">
      <c r="A1014" s="1"/>
      <c r="B1014" s="10" t="str">
        <f ca="1">IFERROR(__xludf.DUMMYFUNCTION("""COMPUTED_VALUE"""),"MEJORAMIENTO PLAZA JHON F. KENNEDY, COMUNA DE NOGALES")</f>
        <v>MEJORAMIENTO PLAZA JHON F. KENNEDY, COMUNA DE NOGALES</v>
      </c>
      <c r="C1014" s="10" t="str">
        <f ca="1">IFERROR(__xludf.DUMMYFUNCTION("""COMPUTED_VALUE"""),"1-B-2024-139")</f>
        <v>1-B-2024-139</v>
      </c>
      <c r="D1014" s="26"/>
      <c r="E1014" s="10" t="str">
        <f ca="1">IFERROR(__xludf.DUMMYFUNCTION("""COMPUTED_VALUE"""),"Guía Operativa")</f>
        <v>Guía Operativa</v>
      </c>
      <c r="F1014" s="10" t="str">
        <f ca="1">IFERROR(__xludf.DUMMYFUNCTION("""COMPUTED_VALUE"""),"MUNICIPALIDAD DE NOGALES")</f>
        <v>MUNICIPALIDAD DE NOGALES</v>
      </c>
      <c r="G1014" s="71">
        <f ca="1">IFERROR(__xludf.DUMMYFUNCTION("""COMPUTED_VALUE"""),111987064)</f>
        <v>111987064</v>
      </c>
      <c r="H1014" s="10" t="str">
        <f ca="1">IFERROR(__xludf.DUMMYFUNCTION("""COMPUTED_VALUE"""),"Resolución")</f>
        <v>Resolución</v>
      </c>
      <c r="I1014" s="10" t="str">
        <f ca="1">IFERROR(__xludf.DUMMYFUNCTION("""COMPUTED_VALUE"""),"OBRA")</f>
        <v>OBRA</v>
      </c>
      <c r="J1014" s="10" t="str">
        <f ca="1">IFERROR(__xludf.DUMMYFUNCTION("""COMPUTED_VALUE"""),"Cumplir con normativa y reglamentos internos del programa en base a los objetivos.")</f>
        <v>Cumplir con normativa y reglamentos internos del programa en base a los objetivos.</v>
      </c>
      <c r="K1014" s="71">
        <f ca="1">IFERROR(__xludf.DUMMYFUNCTION("""COMPUTED_VALUE"""),111987064)</f>
        <v>111987064</v>
      </c>
      <c r="L1014" s="72">
        <f ca="1">IFERROR(__xludf.DUMMYFUNCTION("""COMPUTED_VALUE"""),1)</f>
        <v>1</v>
      </c>
      <c r="M1014" s="10">
        <f ca="1">IFERROR(__xludf.DUMMYFUNCTION("""COMPUTED_VALUE"""),10953)</f>
        <v>10953</v>
      </c>
      <c r="N1014" s="10" t="str">
        <f ca="1">IFERROR(__xludf.DUMMYFUNCTION("""COMPUTED_VALUE"""),"PMU")</f>
        <v>PMU</v>
      </c>
      <c r="O1014" s="1"/>
      <c r="P1014" s="1"/>
      <c r="Q1014" s="1"/>
      <c r="R1014" s="1"/>
      <c r="S1014" s="1"/>
      <c r="T1014" s="1"/>
      <c r="U1014" s="1"/>
      <c r="V1014" s="1"/>
      <c r="W1014" s="1"/>
      <c r="X1014" s="1"/>
      <c r="Y1014" s="1"/>
      <c r="Z1014" s="1"/>
    </row>
    <row r="1015" spans="1:26" ht="12.75" customHeight="1">
      <c r="A1015" s="1"/>
      <c r="B1015" s="10" t="str">
        <f ca="1">IFERROR(__xludf.DUMMYFUNCTION("""COMPUTED_VALUE"""),"MEJORAMIENTO PLAZA LAS HORTENSIAS, COMUNA DE SANTO DOMINGO")</f>
        <v>MEJORAMIENTO PLAZA LAS HORTENSIAS, COMUNA DE SANTO DOMINGO</v>
      </c>
      <c r="C1015" s="10" t="str">
        <f ca="1">IFERROR(__xludf.DUMMYFUNCTION("""COMPUTED_VALUE"""),"1-B-2024-157")</f>
        <v>1-B-2024-157</v>
      </c>
      <c r="D1015" s="26"/>
      <c r="E1015" s="10" t="str">
        <f ca="1">IFERROR(__xludf.DUMMYFUNCTION("""COMPUTED_VALUE"""),"Guía Operativa")</f>
        <v>Guía Operativa</v>
      </c>
      <c r="F1015" s="10" t="str">
        <f ca="1">IFERROR(__xludf.DUMMYFUNCTION("""COMPUTED_VALUE"""),"MUNICIPALIDAD DE SANTO DOMINGO")</f>
        <v>MUNICIPALIDAD DE SANTO DOMINGO</v>
      </c>
      <c r="G1015" s="71">
        <f ca="1">IFERROR(__xludf.DUMMYFUNCTION("""COMPUTED_VALUE"""),107136305)</f>
        <v>107136305</v>
      </c>
      <c r="H1015" s="10" t="str">
        <f ca="1">IFERROR(__xludf.DUMMYFUNCTION("""COMPUTED_VALUE"""),"Resolución")</f>
        <v>Resolución</v>
      </c>
      <c r="I1015" s="10" t="str">
        <f ca="1">IFERROR(__xludf.DUMMYFUNCTION("""COMPUTED_VALUE"""),"OBRA")</f>
        <v>OBRA</v>
      </c>
      <c r="J1015" s="10" t="str">
        <f ca="1">IFERROR(__xludf.DUMMYFUNCTION("""COMPUTED_VALUE"""),"Cumplir con normativa y reglamentos internos del programa en base a los objetivos.")</f>
        <v>Cumplir con normativa y reglamentos internos del programa en base a los objetivos.</v>
      </c>
      <c r="K1015" s="71">
        <f ca="1">IFERROR(__xludf.DUMMYFUNCTION("""COMPUTED_VALUE"""),107136305)</f>
        <v>107136305</v>
      </c>
      <c r="L1015" s="72">
        <f ca="1">IFERROR(__xludf.DUMMYFUNCTION("""COMPUTED_VALUE"""),1)</f>
        <v>1</v>
      </c>
      <c r="M1015" s="10">
        <f ca="1">IFERROR(__xludf.DUMMYFUNCTION("""COMPUTED_VALUE"""),10860)</f>
        <v>10860</v>
      </c>
      <c r="N1015" s="10" t="str">
        <f ca="1">IFERROR(__xludf.DUMMYFUNCTION("""COMPUTED_VALUE"""),"PMU")</f>
        <v>PMU</v>
      </c>
      <c r="O1015" s="1"/>
      <c r="P1015" s="1"/>
      <c r="Q1015" s="1"/>
      <c r="R1015" s="1"/>
      <c r="S1015" s="1"/>
      <c r="T1015" s="1"/>
      <c r="U1015" s="1"/>
      <c r="V1015" s="1"/>
      <c r="W1015" s="1"/>
      <c r="X1015" s="1"/>
      <c r="Y1015" s="1"/>
      <c r="Z1015" s="1"/>
    </row>
    <row r="1016" spans="1:26" ht="12.75" customHeight="1">
      <c r="A1016" s="1"/>
      <c r="B1016" s="10" t="str">
        <f ca="1">IFERROR(__xludf.DUMMYFUNCTION("""COMPUTED_VALUE"""),"MEJORAMIENTO ÁREA DE ESPARCIMIENTO ALAMEDA O´HIGGINS, TRAMO COIMAS-PORTUS, SAN FELIPE")</f>
        <v>MEJORAMIENTO ÁREA DE ESPARCIMIENTO ALAMEDA O´HIGGINS, TRAMO COIMAS-PORTUS, SAN FELIPE</v>
      </c>
      <c r="C1016" s="10" t="str">
        <f ca="1">IFERROR(__xludf.DUMMYFUNCTION("""COMPUTED_VALUE"""),"1-B-2024-215")</f>
        <v>1-B-2024-215</v>
      </c>
      <c r="D1016" s="26"/>
      <c r="E1016" s="10" t="str">
        <f ca="1">IFERROR(__xludf.DUMMYFUNCTION("""COMPUTED_VALUE"""),"Guía Operativa")</f>
        <v>Guía Operativa</v>
      </c>
      <c r="F1016" s="10" t="str">
        <f ca="1">IFERROR(__xludf.DUMMYFUNCTION("""COMPUTED_VALUE"""),"MUNICIPALIDAD DE SAN FELIPE")</f>
        <v>MUNICIPALIDAD DE SAN FELIPE</v>
      </c>
      <c r="G1016" s="71">
        <f ca="1">IFERROR(__xludf.DUMMYFUNCTION("""COMPUTED_VALUE"""),125730883)</f>
        <v>125730883</v>
      </c>
      <c r="H1016" s="10" t="str">
        <f ca="1">IFERROR(__xludf.DUMMYFUNCTION("""COMPUTED_VALUE"""),"Resolución")</f>
        <v>Resolución</v>
      </c>
      <c r="I1016" s="10" t="str">
        <f ca="1">IFERROR(__xludf.DUMMYFUNCTION("""COMPUTED_VALUE"""),"OBRA")</f>
        <v>OBRA</v>
      </c>
      <c r="J1016" s="10" t="str">
        <f ca="1">IFERROR(__xludf.DUMMYFUNCTION("""COMPUTED_VALUE"""),"Cumplir con normativa y reglamentos internos del programa en base a los objetivos.")</f>
        <v>Cumplir con normativa y reglamentos internos del programa en base a los objetivos.</v>
      </c>
      <c r="K1016" s="71">
        <f ca="1">IFERROR(__xludf.DUMMYFUNCTION("""COMPUTED_VALUE"""),125730883)</f>
        <v>125730883</v>
      </c>
      <c r="L1016" s="72">
        <f ca="1">IFERROR(__xludf.DUMMYFUNCTION("""COMPUTED_VALUE"""),1)</f>
        <v>1</v>
      </c>
      <c r="M1016" s="10">
        <f ca="1">IFERROR(__xludf.DUMMYFUNCTION("""COMPUTED_VALUE"""),11406)</f>
        <v>11406</v>
      </c>
      <c r="N1016" s="10" t="str">
        <f ca="1">IFERROR(__xludf.DUMMYFUNCTION("""COMPUTED_VALUE"""),"PMU")</f>
        <v>PMU</v>
      </c>
      <c r="O1016" s="1"/>
      <c r="P1016" s="1"/>
      <c r="Q1016" s="1"/>
      <c r="R1016" s="1"/>
      <c r="S1016" s="1"/>
      <c r="T1016" s="1"/>
      <c r="U1016" s="1"/>
      <c r="V1016" s="1"/>
      <c r="W1016" s="1"/>
      <c r="X1016" s="1"/>
      <c r="Y1016" s="1"/>
      <c r="Z1016" s="1"/>
    </row>
    <row r="1017" spans="1:26" ht="12.75" customHeight="1">
      <c r="A1017" s="1"/>
      <c r="B1017" s="10" t="str">
        <f ca="1">IFERROR(__xludf.DUMMYFUNCTION("""COMPUTED_VALUE"""),"MEJORAMIENTO PLAZA LOS PENSAMIENTOS , OLMUE")</f>
        <v>MEJORAMIENTO PLAZA LOS PENSAMIENTOS , OLMUE</v>
      </c>
      <c r="C1017" s="10" t="str">
        <f ca="1">IFERROR(__xludf.DUMMYFUNCTION("""COMPUTED_VALUE"""),"1-B-2024-228")</f>
        <v>1-B-2024-228</v>
      </c>
      <c r="D1017" s="26"/>
      <c r="E1017" s="10" t="str">
        <f ca="1">IFERROR(__xludf.DUMMYFUNCTION("""COMPUTED_VALUE"""),"Guía Operativa")</f>
        <v>Guía Operativa</v>
      </c>
      <c r="F1017" s="10" t="str">
        <f ca="1">IFERROR(__xludf.DUMMYFUNCTION("""COMPUTED_VALUE"""),"MUNICIPALIDAD DE OLMUÉ")</f>
        <v>MUNICIPALIDAD DE OLMUÉ</v>
      </c>
      <c r="G1017" s="71">
        <f ca="1">IFERROR(__xludf.DUMMYFUNCTION("""COMPUTED_VALUE"""),109965915)</f>
        <v>109965915</v>
      </c>
      <c r="H1017" s="10" t="str">
        <f ca="1">IFERROR(__xludf.DUMMYFUNCTION("""COMPUTED_VALUE"""),"Resolución")</f>
        <v>Resolución</v>
      </c>
      <c r="I1017" s="10" t="str">
        <f ca="1">IFERROR(__xludf.DUMMYFUNCTION("""COMPUTED_VALUE"""),"OBRA")</f>
        <v>OBRA</v>
      </c>
      <c r="J1017" s="10" t="str">
        <f ca="1">IFERROR(__xludf.DUMMYFUNCTION("""COMPUTED_VALUE"""),"Cumplir con normativa y reglamentos internos del programa en base a los objetivos.")</f>
        <v>Cumplir con normativa y reglamentos internos del programa en base a los objetivos.</v>
      </c>
      <c r="K1017" s="71">
        <f ca="1">IFERROR(__xludf.DUMMYFUNCTION("""COMPUTED_VALUE"""),109965915)</f>
        <v>109965915</v>
      </c>
      <c r="L1017" s="72">
        <f ca="1">IFERROR(__xludf.DUMMYFUNCTION("""COMPUTED_VALUE"""),1)</f>
        <v>1</v>
      </c>
      <c r="M1017" s="10">
        <f ca="1">IFERROR(__xludf.DUMMYFUNCTION("""COMPUTED_VALUE"""),11444)</f>
        <v>11444</v>
      </c>
      <c r="N1017" s="10" t="str">
        <f ca="1">IFERROR(__xludf.DUMMYFUNCTION("""COMPUTED_VALUE"""),"PMU")</f>
        <v>PMU</v>
      </c>
      <c r="O1017" s="1"/>
      <c r="P1017" s="1"/>
      <c r="Q1017" s="1"/>
      <c r="R1017" s="1"/>
      <c r="S1017" s="1"/>
      <c r="T1017" s="1"/>
      <c r="U1017" s="1"/>
      <c r="V1017" s="1"/>
      <c r="W1017" s="1"/>
      <c r="X1017" s="1"/>
      <c r="Y1017" s="1"/>
      <c r="Z1017" s="1"/>
    </row>
    <row r="1018" spans="1:26" ht="12.75" customHeight="1">
      <c r="A1018" s="1"/>
      <c r="B1018" s="10" t="str">
        <f ca="1">IFERROR(__xludf.DUMMYFUNCTION("""COMPUTED_VALUE"""),"CONSTRUCCIÓN SEDE COMUNITARIA VILLA EL LLANO DE CALLE LARGA")</f>
        <v>CONSTRUCCIÓN SEDE COMUNITARIA VILLA EL LLANO DE CALLE LARGA</v>
      </c>
      <c r="C1018" s="10" t="str">
        <f ca="1">IFERROR(__xludf.DUMMYFUNCTION("""COMPUTED_VALUE"""),"1-B-2024-235")</f>
        <v>1-B-2024-235</v>
      </c>
      <c r="D1018" s="26"/>
      <c r="E1018" s="10" t="str">
        <f ca="1">IFERROR(__xludf.DUMMYFUNCTION("""COMPUTED_VALUE"""),"Guía Operativa")</f>
        <v>Guía Operativa</v>
      </c>
      <c r="F1018" s="10" t="str">
        <f ca="1">IFERROR(__xludf.DUMMYFUNCTION("""COMPUTED_VALUE"""),"MUNICIPALIDAD DE CALLE LARGA")</f>
        <v>MUNICIPALIDAD DE CALLE LARGA</v>
      </c>
      <c r="G1018" s="71">
        <f ca="1">IFERROR(__xludf.DUMMYFUNCTION("""COMPUTED_VALUE"""),108281622)</f>
        <v>108281622</v>
      </c>
      <c r="H1018" s="10" t="str">
        <f ca="1">IFERROR(__xludf.DUMMYFUNCTION("""COMPUTED_VALUE"""),"Resolución")</f>
        <v>Resolución</v>
      </c>
      <c r="I1018" s="10" t="str">
        <f ca="1">IFERROR(__xludf.DUMMYFUNCTION("""COMPUTED_VALUE"""),"OBRA")</f>
        <v>OBRA</v>
      </c>
      <c r="J1018" s="10" t="str">
        <f ca="1">IFERROR(__xludf.DUMMYFUNCTION("""COMPUTED_VALUE"""),"Cumplir con normativa y reglamentos internos del programa en base a los objetivos.")</f>
        <v>Cumplir con normativa y reglamentos internos del programa en base a los objetivos.</v>
      </c>
      <c r="K1018" s="71">
        <f ca="1">IFERROR(__xludf.DUMMYFUNCTION("""COMPUTED_VALUE"""),108281622)</f>
        <v>108281622</v>
      </c>
      <c r="L1018" s="72">
        <f ca="1">IFERROR(__xludf.DUMMYFUNCTION("""COMPUTED_VALUE"""),1)</f>
        <v>1</v>
      </c>
      <c r="M1018" s="10">
        <f ca="1">IFERROR(__xludf.DUMMYFUNCTION("""COMPUTED_VALUE"""),10855)</f>
        <v>10855</v>
      </c>
      <c r="N1018" s="10" t="str">
        <f ca="1">IFERROR(__xludf.DUMMYFUNCTION("""COMPUTED_VALUE"""),"PMU")</f>
        <v>PMU</v>
      </c>
      <c r="O1018" s="1"/>
      <c r="P1018" s="1"/>
      <c r="Q1018" s="1"/>
      <c r="R1018" s="1"/>
      <c r="S1018" s="1"/>
      <c r="T1018" s="1"/>
      <c r="U1018" s="1"/>
      <c r="V1018" s="1"/>
      <c r="W1018" s="1"/>
      <c r="X1018" s="1"/>
      <c r="Y1018" s="1"/>
      <c r="Z1018" s="1"/>
    </row>
    <row r="1019" spans="1:26" ht="12.75" customHeight="1">
      <c r="A1019" s="1"/>
      <c r="B1019" s="10" t="str">
        <f ca="1">IFERROR(__xludf.DUMMYFUNCTION("""COMPUTED_VALUE"""),"CONSTRUCCION SEDE SOCIAL VILLA COLUNQUEN, RINCONADA")</f>
        <v>CONSTRUCCION SEDE SOCIAL VILLA COLUNQUEN, RINCONADA</v>
      </c>
      <c r="C1019" s="10" t="str">
        <f ca="1">IFERROR(__xludf.DUMMYFUNCTION("""COMPUTED_VALUE"""),"1-B-2024-238")</f>
        <v>1-B-2024-238</v>
      </c>
      <c r="D1019" s="26"/>
      <c r="E1019" s="10" t="str">
        <f ca="1">IFERROR(__xludf.DUMMYFUNCTION("""COMPUTED_VALUE"""),"Guía Operativa")</f>
        <v>Guía Operativa</v>
      </c>
      <c r="F1019" s="10" t="str">
        <f ca="1">IFERROR(__xludf.DUMMYFUNCTION("""COMPUTED_VALUE"""),"MUNICIPALIDAD DE RINCONADA")</f>
        <v>MUNICIPALIDAD DE RINCONADA</v>
      </c>
      <c r="G1019" s="71">
        <f ca="1">IFERROR(__xludf.DUMMYFUNCTION("""COMPUTED_VALUE"""),103607765)</f>
        <v>103607765</v>
      </c>
      <c r="H1019" s="10" t="str">
        <f ca="1">IFERROR(__xludf.DUMMYFUNCTION("""COMPUTED_VALUE"""),"Resolución")</f>
        <v>Resolución</v>
      </c>
      <c r="I1019" s="10" t="str">
        <f ca="1">IFERROR(__xludf.DUMMYFUNCTION("""COMPUTED_VALUE"""),"OBRA")</f>
        <v>OBRA</v>
      </c>
      <c r="J1019" s="10" t="str">
        <f ca="1">IFERROR(__xludf.DUMMYFUNCTION("""COMPUTED_VALUE"""),"Cumplir con normativa y reglamentos internos del programa en base a los objetivos.")</f>
        <v>Cumplir con normativa y reglamentos internos del programa en base a los objetivos.</v>
      </c>
      <c r="K1019" s="71">
        <f ca="1">IFERROR(__xludf.DUMMYFUNCTION("""COMPUTED_VALUE"""),103607765)</f>
        <v>103607765</v>
      </c>
      <c r="L1019" s="72">
        <f ca="1">IFERROR(__xludf.DUMMYFUNCTION("""COMPUTED_VALUE"""),1)</f>
        <v>1</v>
      </c>
      <c r="M1019" s="10">
        <f ca="1">IFERROR(__xludf.DUMMYFUNCTION("""COMPUTED_VALUE"""),11430)</f>
        <v>11430</v>
      </c>
      <c r="N1019" s="10" t="str">
        <f ca="1">IFERROR(__xludf.DUMMYFUNCTION("""COMPUTED_VALUE"""),"PMU")</f>
        <v>PMU</v>
      </c>
      <c r="O1019" s="1"/>
      <c r="P1019" s="1"/>
      <c r="Q1019" s="1"/>
      <c r="R1019" s="1"/>
      <c r="S1019" s="1"/>
      <c r="T1019" s="1"/>
      <c r="U1019" s="1"/>
      <c r="V1019" s="1"/>
      <c r="W1019" s="1"/>
      <c r="X1019" s="1"/>
      <c r="Y1019" s="1"/>
      <c r="Z1019" s="1"/>
    </row>
    <row r="1020" spans="1:26" ht="12.75" customHeight="1">
      <c r="A1020" s="1"/>
      <c r="B1020" s="10" t="str">
        <f ca="1">IFERROR(__xludf.DUMMYFUNCTION("""COMPUTED_VALUE"""),"MEJORAMIENTO ESPACIO PUBLICO QUICALCURA, LOS ANDES")</f>
        <v>MEJORAMIENTO ESPACIO PUBLICO QUICALCURA, LOS ANDES</v>
      </c>
      <c r="C1020" s="10" t="str">
        <f ca="1">IFERROR(__xludf.DUMMYFUNCTION("""COMPUTED_VALUE"""),"1-B-2024-244")</f>
        <v>1-B-2024-244</v>
      </c>
      <c r="D1020" s="26"/>
      <c r="E1020" s="10" t="str">
        <f ca="1">IFERROR(__xludf.DUMMYFUNCTION("""COMPUTED_VALUE"""),"Guía Operativa")</f>
        <v>Guía Operativa</v>
      </c>
      <c r="F1020" s="10" t="str">
        <f ca="1">IFERROR(__xludf.DUMMYFUNCTION("""COMPUTED_VALUE"""),"MUNICIPALIDAD DE LOS ANDES")</f>
        <v>MUNICIPALIDAD DE LOS ANDES</v>
      </c>
      <c r="G1020" s="71">
        <f ca="1">IFERROR(__xludf.DUMMYFUNCTION("""COMPUTED_VALUE"""),120071664)</f>
        <v>120071664</v>
      </c>
      <c r="H1020" s="10" t="str">
        <f ca="1">IFERROR(__xludf.DUMMYFUNCTION("""COMPUTED_VALUE"""),"Resolución")</f>
        <v>Resolución</v>
      </c>
      <c r="I1020" s="10" t="str">
        <f ca="1">IFERROR(__xludf.DUMMYFUNCTION("""COMPUTED_VALUE"""),"OBRA")</f>
        <v>OBRA</v>
      </c>
      <c r="J1020" s="10" t="str">
        <f ca="1">IFERROR(__xludf.DUMMYFUNCTION("""COMPUTED_VALUE"""),"Cumplir con normativa y reglamentos internos del programa en base a los objetivos.")</f>
        <v>Cumplir con normativa y reglamentos internos del programa en base a los objetivos.</v>
      </c>
      <c r="K1020" s="71">
        <f ca="1">IFERROR(__xludf.DUMMYFUNCTION("""COMPUTED_VALUE"""),120071664)</f>
        <v>120071664</v>
      </c>
      <c r="L1020" s="72">
        <f ca="1">IFERROR(__xludf.DUMMYFUNCTION("""COMPUTED_VALUE"""),1)</f>
        <v>1</v>
      </c>
      <c r="M1020" s="10">
        <f ca="1">IFERROR(__xludf.DUMMYFUNCTION("""COMPUTED_VALUE"""),11435)</f>
        <v>11435</v>
      </c>
      <c r="N1020" s="10" t="str">
        <f ca="1">IFERROR(__xludf.DUMMYFUNCTION("""COMPUTED_VALUE"""),"PMU")</f>
        <v>PMU</v>
      </c>
      <c r="O1020" s="1"/>
      <c r="P1020" s="1"/>
      <c r="Q1020" s="1"/>
      <c r="R1020" s="1"/>
      <c r="S1020" s="1"/>
      <c r="T1020" s="1"/>
      <c r="U1020" s="1"/>
      <c r="V1020" s="1"/>
      <c r="W1020" s="1"/>
      <c r="X1020" s="1"/>
      <c r="Y1020" s="1"/>
      <c r="Z1020" s="1"/>
    </row>
    <row r="1021" spans="1:26" ht="12.75" customHeight="1">
      <c r="A1021" s="1"/>
      <c r="B1021" s="10" t="str">
        <f ca="1">IFERROR(__xludf.DUMMYFUNCTION("""COMPUTED_VALUE"""),"CONTRUCCIÓN CENTRO ASTRONOMICO COMUNITARIO, COMUNA DE VILLA ALEMANA")</f>
        <v>CONTRUCCIÓN CENTRO ASTRONOMICO COMUNITARIO, COMUNA DE VILLA ALEMANA</v>
      </c>
      <c r="C1021" s="10" t="str">
        <f ca="1">IFERROR(__xludf.DUMMYFUNCTION("""COMPUTED_VALUE"""),"1-B-2024-245")</f>
        <v>1-B-2024-245</v>
      </c>
      <c r="D1021" s="26"/>
      <c r="E1021" s="10" t="str">
        <f ca="1">IFERROR(__xludf.DUMMYFUNCTION("""COMPUTED_VALUE"""),"Guía Operativa")</f>
        <v>Guía Operativa</v>
      </c>
      <c r="F1021" s="10" t="str">
        <f ca="1">IFERROR(__xludf.DUMMYFUNCTION("""COMPUTED_VALUE"""),"MUNICIPALIDAD DE VILLA ALEMANA")</f>
        <v>MUNICIPALIDAD DE VILLA ALEMANA</v>
      </c>
      <c r="G1021" s="71">
        <f ca="1">IFERROR(__xludf.DUMMYFUNCTION("""COMPUTED_VALUE"""),144126408)</f>
        <v>144126408</v>
      </c>
      <c r="H1021" s="10" t="str">
        <f ca="1">IFERROR(__xludf.DUMMYFUNCTION("""COMPUTED_VALUE"""),"Resolución")</f>
        <v>Resolución</v>
      </c>
      <c r="I1021" s="10" t="str">
        <f ca="1">IFERROR(__xludf.DUMMYFUNCTION("""COMPUTED_VALUE"""),"OBRA")</f>
        <v>OBRA</v>
      </c>
      <c r="J1021" s="10" t="str">
        <f ca="1">IFERROR(__xludf.DUMMYFUNCTION("""COMPUTED_VALUE"""),"Cumplir con normativa y reglamentos internos del programa en base a los objetivos.")</f>
        <v>Cumplir con normativa y reglamentos internos del programa en base a los objetivos.</v>
      </c>
      <c r="K1021" s="71">
        <f ca="1">IFERROR(__xludf.DUMMYFUNCTION("""COMPUTED_VALUE"""),144126408)</f>
        <v>144126408</v>
      </c>
      <c r="L1021" s="72">
        <f ca="1">IFERROR(__xludf.DUMMYFUNCTION("""COMPUTED_VALUE"""),1)</f>
        <v>1</v>
      </c>
      <c r="M1021" s="10">
        <f ca="1">IFERROR(__xludf.DUMMYFUNCTION("""COMPUTED_VALUE"""),11436)</f>
        <v>11436</v>
      </c>
      <c r="N1021" s="10" t="str">
        <f ca="1">IFERROR(__xludf.DUMMYFUNCTION("""COMPUTED_VALUE"""),"PMU")</f>
        <v>PMU</v>
      </c>
      <c r="O1021" s="1"/>
      <c r="P1021" s="1"/>
      <c r="Q1021" s="1"/>
      <c r="R1021" s="1"/>
      <c r="S1021" s="1"/>
      <c r="T1021" s="1"/>
      <c r="U1021" s="1"/>
      <c r="V1021" s="1"/>
      <c r="W1021" s="1"/>
      <c r="X1021" s="1"/>
      <c r="Y1021" s="1"/>
      <c r="Z1021" s="1"/>
    </row>
    <row r="1022" spans="1:26" ht="12.75" customHeight="1">
      <c r="A1022" s="1"/>
      <c r="B1022" s="10" t="str">
        <f ca="1">IFERROR(__xludf.DUMMYFUNCTION("""COMPUTED_VALUE"""),"CONSTRUCCIÓN MULTICANCHA EL BELLOTO - CASABLANCA")</f>
        <v>CONSTRUCCIÓN MULTICANCHA EL BELLOTO - CASABLANCA</v>
      </c>
      <c r="C1022" s="10" t="str">
        <f ca="1">IFERROR(__xludf.DUMMYFUNCTION("""COMPUTED_VALUE"""),"1-B-2024-254")</f>
        <v>1-B-2024-254</v>
      </c>
      <c r="D1022" s="26"/>
      <c r="E1022" s="10" t="str">
        <f ca="1">IFERROR(__xludf.DUMMYFUNCTION("""COMPUTED_VALUE"""),"Guía Operativa")</f>
        <v>Guía Operativa</v>
      </c>
      <c r="F1022" s="10" t="str">
        <f ca="1">IFERROR(__xludf.DUMMYFUNCTION("""COMPUTED_VALUE"""),"MUNICIPALIDAD DE CASABLANCA")</f>
        <v>MUNICIPALIDAD DE CASABLANCA</v>
      </c>
      <c r="G1022" s="71">
        <f ca="1">IFERROR(__xludf.DUMMYFUNCTION("""COMPUTED_VALUE"""),113738360)</f>
        <v>113738360</v>
      </c>
      <c r="H1022" s="10" t="str">
        <f ca="1">IFERROR(__xludf.DUMMYFUNCTION("""COMPUTED_VALUE"""),"Resolución")</f>
        <v>Resolución</v>
      </c>
      <c r="I1022" s="10" t="str">
        <f ca="1">IFERROR(__xludf.DUMMYFUNCTION("""COMPUTED_VALUE"""),"OBRA")</f>
        <v>OBRA</v>
      </c>
      <c r="J1022" s="10" t="str">
        <f ca="1">IFERROR(__xludf.DUMMYFUNCTION("""COMPUTED_VALUE"""),"Cumplir con normativa y reglamentos internos del programa en base a los objetivos.")</f>
        <v>Cumplir con normativa y reglamentos internos del programa en base a los objetivos.</v>
      </c>
      <c r="K1022" s="71">
        <f ca="1">IFERROR(__xludf.DUMMYFUNCTION("""COMPUTED_VALUE"""),113738360)</f>
        <v>113738360</v>
      </c>
      <c r="L1022" s="72">
        <f ca="1">IFERROR(__xludf.DUMMYFUNCTION("""COMPUTED_VALUE"""),1)</f>
        <v>1</v>
      </c>
      <c r="M1022" s="10">
        <f ca="1">IFERROR(__xludf.DUMMYFUNCTION("""COMPUTED_VALUE"""),10850)</f>
        <v>10850</v>
      </c>
      <c r="N1022" s="10" t="str">
        <f ca="1">IFERROR(__xludf.DUMMYFUNCTION("""COMPUTED_VALUE"""),"PMU")</f>
        <v>PMU</v>
      </c>
      <c r="O1022" s="1"/>
      <c r="P1022" s="1"/>
      <c r="Q1022" s="1"/>
      <c r="R1022" s="1"/>
      <c r="S1022" s="1"/>
      <c r="T1022" s="1"/>
      <c r="U1022" s="1"/>
      <c r="V1022" s="1"/>
      <c r="W1022" s="1"/>
      <c r="X1022" s="1"/>
      <c r="Y1022" s="1"/>
      <c r="Z1022" s="1"/>
    </row>
    <row r="1023" spans="1:26" ht="12.75" customHeight="1">
      <c r="A1023" s="1"/>
      <c r="B1023" s="10" t="str">
        <f ca="1">IFERROR(__xludf.DUMMYFUNCTION("""COMPUTED_VALUE"""),"REPARACION CICLOVIA ENTRE CALLEJON LO BLANCO Y EL MIRADOR, PANQUEHUE")</f>
        <v>REPARACION CICLOVIA ENTRE CALLEJON LO BLANCO Y EL MIRADOR, PANQUEHUE</v>
      </c>
      <c r="C1023" s="10" t="str">
        <f ca="1">IFERROR(__xludf.DUMMYFUNCTION("""COMPUTED_VALUE"""),"1-B-2024-256")</f>
        <v>1-B-2024-256</v>
      </c>
      <c r="D1023" s="26"/>
      <c r="E1023" s="10" t="str">
        <f ca="1">IFERROR(__xludf.DUMMYFUNCTION("""COMPUTED_VALUE"""),"Guía Operativa")</f>
        <v>Guía Operativa</v>
      </c>
      <c r="F1023" s="10" t="str">
        <f ca="1">IFERROR(__xludf.DUMMYFUNCTION("""COMPUTED_VALUE"""),"MUNICIPALIDAD DE PANQUEHUE")</f>
        <v>MUNICIPALIDAD DE PANQUEHUE</v>
      </c>
      <c r="G1023" s="71">
        <f ca="1">IFERROR(__xludf.DUMMYFUNCTION("""COMPUTED_VALUE"""),105042169)</f>
        <v>105042169</v>
      </c>
      <c r="H1023" s="10" t="str">
        <f ca="1">IFERROR(__xludf.DUMMYFUNCTION("""COMPUTED_VALUE"""),"Resolución")</f>
        <v>Resolución</v>
      </c>
      <c r="I1023" s="10" t="str">
        <f ca="1">IFERROR(__xludf.DUMMYFUNCTION("""COMPUTED_VALUE"""),"OBRA")</f>
        <v>OBRA</v>
      </c>
      <c r="J1023" s="10" t="str">
        <f ca="1">IFERROR(__xludf.DUMMYFUNCTION("""COMPUTED_VALUE"""),"Cumplir con normativa y reglamentos internos del programa en base a los objetivos.")</f>
        <v>Cumplir con normativa y reglamentos internos del programa en base a los objetivos.</v>
      </c>
      <c r="K1023" s="71">
        <f ca="1">IFERROR(__xludf.DUMMYFUNCTION("""COMPUTED_VALUE"""),105042169)</f>
        <v>105042169</v>
      </c>
      <c r="L1023" s="72">
        <f ca="1">IFERROR(__xludf.DUMMYFUNCTION("""COMPUTED_VALUE"""),1)</f>
        <v>1</v>
      </c>
      <c r="M1023" s="10">
        <f ca="1">IFERROR(__xludf.DUMMYFUNCTION("""COMPUTED_VALUE"""),10857)</f>
        <v>10857</v>
      </c>
      <c r="N1023" s="10" t="str">
        <f ca="1">IFERROR(__xludf.DUMMYFUNCTION("""COMPUTED_VALUE"""),"PMU")</f>
        <v>PMU</v>
      </c>
      <c r="O1023" s="1"/>
      <c r="P1023" s="1"/>
      <c r="Q1023" s="1"/>
      <c r="R1023" s="1"/>
      <c r="S1023" s="1"/>
      <c r="T1023" s="1"/>
      <c r="U1023" s="1"/>
      <c r="V1023" s="1"/>
      <c r="W1023" s="1"/>
      <c r="X1023" s="1"/>
      <c r="Y1023" s="1"/>
      <c r="Z1023" s="1"/>
    </row>
    <row r="1024" spans="1:26" ht="12.75" customHeight="1">
      <c r="A1024" s="1"/>
      <c r="B1024" s="10" t="str">
        <f ca="1">IFERROR(__xludf.DUMMYFUNCTION("""COMPUTED_VALUE"""),"REPOSICIÓN ÁREA VERDE SECTOR LA CANCHA RINCONADA DE GUZMANES, COMUNA DE PUTAENDO")</f>
        <v>REPOSICIÓN ÁREA VERDE SECTOR LA CANCHA RINCONADA DE GUZMANES, COMUNA DE PUTAENDO</v>
      </c>
      <c r="C1024" s="10" t="str">
        <f ca="1">IFERROR(__xludf.DUMMYFUNCTION("""COMPUTED_VALUE"""),"1-B-2024-260")</f>
        <v>1-B-2024-260</v>
      </c>
      <c r="D1024" s="26"/>
      <c r="E1024" s="10" t="str">
        <f ca="1">IFERROR(__xludf.DUMMYFUNCTION("""COMPUTED_VALUE"""),"Guía Operativa")</f>
        <v>Guía Operativa</v>
      </c>
      <c r="F1024" s="10" t="str">
        <f ca="1">IFERROR(__xludf.DUMMYFUNCTION("""COMPUTED_VALUE"""),"MUNICIPALIDAD DE PUTAENDO")</f>
        <v>MUNICIPALIDAD DE PUTAENDO</v>
      </c>
      <c r="G1024" s="71">
        <f ca="1">IFERROR(__xludf.DUMMYFUNCTION("""COMPUTED_VALUE"""),70000000)</f>
        <v>70000000</v>
      </c>
      <c r="H1024" s="10" t="str">
        <f ca="1">IFERROR(__xludf.DUMMYFUNCTION("""COMPUTED_VALUE"""),"Resolución")</f>
        <v>Resolución</v>
      </c>
      <c r="I1024" s="10" t="str">
        <f ca="1">IFERROR(__xludf.DUMMYFUNCTION("""COMPUTED_VALUE"""),"OBRA")</f>
        <v>OBRA</v>
      </c>
      <c r="J1024" s="10" t="str">
        <f ca="1">IFERROR(__xludf.DUMMYFUNCTION("""COMPUTED_VALUE"""),"Cumplir con normativa y reglamentos internos del programa en base a los objetivos.")</f>
        <v>Cumplir con normativa y reglamentos internos del programa en base a los objetivos.</v>
      </c>
      <c r="K1024" s="71">
        <f ca="1">IFERROR(__xludf.DUMMYFUNCTION("""COMPUTED_VALUE"""),70000000)</f>
        <v>70000000</v>
      </c>
      <c r="L1024" s="72">
        <f ca="1">IFERROR(__xludf.DUMMYFUNCTION("""COMPUTED_VALUE"""),1)</f>
        <v>1</v>
      </c>
      <c r="M1024" s="10">
        <f ca="1">IFERROR(__xludf.DUMMYFUNCTION("""COMPUTED_VALUE"""),11459)</f>
        <v>11459</v>
      </c>
      <c r="N1024" s="10" t="str">
        <f ca="1">IFERROR(__xludf.DUMMYFUNCTION("""COMPUTED_VALUE"""),"PMU")</f>
        <v>PMU</v>
      </c>
      <c r="O1024" s="1"/>
      <c r="P1024" s="1"/>
      <c r="Q1024" s="1"/>
      <c r="R1024" s="1"/>
      <c r="S1024" s="1"/>
      <c r="T1024" s="1"/>
      <c r="U1024" s="1"/>
      <c r="V1024" s="1"/>
      <c r="W1024" s="1"/>
      <c r="X1024" s="1"/>
      <c r="Y1024" s="1"/>
      <c r="Z1024" s="1"/>
    </row>
    <row r="1025" spans="1:26" ht="12.75" customHeight="1">
      <c r="A1025" s="1"/>
      <c r="B1025" s="10" t="str">
        <f ca="1">IFERROR(__xludf.DUMMYFUNCTION("""COMPUTED_VALUE"""),"MEJORAMIENTO MULTICANCHA JUNTA DE VECINOS CUATRO ESQUINAS, COMUNA DE HIJUELAS")</f>
        <v>MEJORAMIENTO MULTICANCHA JUNTA DE VECINOS CUATRO ESQUINAS, COMUNA DE HIJUELAS</v>
      </c>
      <c r="C1025" s="10" t="str">
        <f ca="1">IFERROR(__xludf.DUMMYFUNCTION("""COMPUTED_VALUE"""),"1-B-2024-262")</f>
        <v>1-B-2024-262</v>
      </c>
      <c r="D1025" s="26"/>
      <c r="E1025" s="10" t="str">
        <f ca="1">IFERROR(__xludf.DUMMYFUNCTION("""COMPUTED_VALUE"""),"Guía Operativa")</f>
        <v>Guía Operativa</v>
      </c>
      <c r="F1025" s="10" t="str">
        <f ca="1">IFERROR(__xludf.DUMMYFUNCTION("""COMPUTED_VALUE"""),"MUNICIPALIDAD DE HIJUELAS")</f>
        <v>MUNICIPALIDAD DE HIJUELAS</v>
      </c>
      <c r="G1025" s="71">
        <f ca="1">IFERROR(__xludf.DUMMYFUNCTION("""COMPUTED_VALUE"""),109426472)</f>
        <v>109426472</v>
      </c>
      <c r="H1025" s="10" t="str">
        <f ca="1">IFERROR(__xludf.DUMMYFUNCTION("""COMPUTED_VALUE"""),"Resolución")</f>
        <v>Resolución</v>
      </c>
      <c r="I1025" s="10" t="str">
        <f ca="1">IFERROR(__xludf.DUMMYFUNCTION("""COMPUTED_VALUE"""),"OBRA")</f>
        <v>OBRA</v>
      </c>
      <c r="J1025" s="10" t="str">
        <f ca="1">IFERROR(__xludf.DUMMYFUNCTION("""COMPUTED_VALUE"""),"Cumplir con normativa y reglamentos internos del programa en base a los objetivos.")</f>
        <v>Cumplir con normativa y reglamentos internos del programa en base a los objetivos.</v>
      </c>
      <c r="K1025" s="71">
        <f ca="1">IFERROR(__xludf.DUMMYFUNCTION("""COMPUTED_VALUE"""),109426472)</f>
        <v>109426472</v>
      </c>
      <c r="L1025" s="72">
        <f ca="1">IFERROR(__xludf.DUMMYFUNCTION("""COMPUTED_VALUE"""),1)</f>
        <v>1</v>
      </c>
      <c r="M1025" s="10">
        <f ca="1">IFERROR(__xludf.DUMMYFUNCTION("""COMPUTED_VALUE"""),11410)</f>
        <v>11410</v>
      </c>
      <c r="N1025" s="10" t="str">
        <f ca="1">IFERROR(__xludf.DUMMYFUNCTION("""COMPUTED_VALUE"""),"PMU")</f>
        <v>PMU</v>
      </c>
      <c r="O1025" s="1"/>
      <c r="P1025" s="1"/>
      <c r="Q1025" s="1"/>
      <c r="R1025" s="1"/>
      <c r="S1025" s="1"/>
      <c r="T1025" s="1"/>
      <c r="U1025" s="1"/>
      <c r="V1025" s="1"/>
      <c r="W1025" s="1"/>
      <c r="X1025" s="1"/>
      <c r="Y1025" s="1"/>
      <c r="Z1025" s="1"/>
    </row>
    <row r="1026" spans="1:26" ht="12.75" customHeight="1">
      <c r="A1026" s="1"/>
      <c r="B1026" s="10" t="str">
        <f ca="1">IFERROR(__xludf.DUMMYFUNCTION("""COMPUTED_VALUE"""),"MEJORAMIENTO SEDE JJVV EL PARAISO, COMUNA DE LLAY-LLAY")</f>
        <v>MEJORAMIENTO SEDE JJVV EL PARAISO, COMUNA DE LLAY-LLAY</v>
      </c>
      <c r="C1026" s="10" t="str">
        <f ca="1">IFERROR(__xludf.DUMMYFUNCTION("""COMPUTED_VALUE"""),"1-B-2024-266")</f>
        <v>1-B-2024-266</v>
      </c>
      <c r="D1026" s="26"/>
      <c r="E1026" s="10" t="str">
        <f ca="1">IFERROR(__xludf.DUMMYFUNCTION("""COMPUTED_VALUE"""),"Guía Operativa")</f>
        <v>Guía Operativa</v>
      </c>
      <c r="F1026" s="10" t="str">
        <f ca="1">IFERROR(__xludf.DUMMYFUNCTION("""COMPUTED_VALUE"""),"MUNICIPALIDAD DE LLAILLAY")</f>
        <v>MUNICIPALIDAD DE LLAILLAY</v>
      </c>
      <c r="G1026" s="71">
        <f ca="1">IFERROR(__xludf.DUMMYFUNCTION("""COMPUTED_VALUE"""),111783453)</f>
        <v>111783453</v>
      </c>
      <c r="H1026" s="10" t="str">
        <f ca="1">IFERROR(__xludf.DUMMYFUNCTION("""COMPUTED_VALUE"""),"Resolución")</f>
        <v>Resolución</v>
      </c>
      <c r="I1026" s="10" t="str">
        <f ca="1">IFERROR(__xludf.DUMMYFUNCTION("""COMPUTED_VALUE"""),"OBRA")</f>
        <v>OBRA</v>
      </c>
      <c r="J1026" s="10" t="str">
        <f ca="1">IFERROR(__xludf.DUMMYFUNCTION("""COMPUTED_VALUE"""),"Cumplir con normativa y reglamentos internos del programa en base a los objetivos.")</f>
        <v>Cumplir con normativa y reglamentos internos del programa en base a los objetivos.</v>
      </c>
      <c r="K1026" s="71">
        <f ca="1">IFERROR(__xludf.DUMMYFUNCTION("""COMPUTED_VALUE"""),111783453)</f>
        <v>111783453</v>
      </c>
      <c r="L1026" s="72">
        <f ca="1">IFERROR(__xludf.DUMMYFUNCTION("""COMPUTED_VALUE"""),1)</f>
        <v>1</v>
      </c>
      <c r="M1026" s="10">
        <f ca="1">IFERROR(__xludf.DUMMYFUNCTION("""COMPUTED_VALUE"""),11413)</f>
        <v>11413</v>
      </c>
      <c r="N1026" s="10" t="str">
        <f ca="1">IFERROR(__xludf.DUMMYFUNCTION("""COMPUTED_VALUE"""),"PMU")</f>
        <v>PMU</v>
      </c>
      <c r="O1026" s="1"/>
      <c r="P1026" s="1"/>
      <c r="Q1026" s="1"/>
      <c r="R1026" s="1"/>
      <c r="S1026" s="1"/>
      <c r="T1026" s="1"/>
      <c r="U1026" s="1"/>
      <c r="V1026" s="1"/>
      <c r="W1026" s="1"/>
      <c r="X1026" s="1"/>
      <c r="Y1026" s="1"/>
      <c r="Z1026" s="1"/>
    </row>
    <row r="1027" spans="1:26" ht="12.75" customHeight="1">
      <c r="A1027" s="1"/>
      <c r="B1027" s="10" t="str">
        <f ca="1">IFERROR(__xludf.DUMMYFUNCTION("""COMPUTED_VALUE"""),"CONSTRUCCION CIERRE OLIMPICO CLUB DEPORTIVO EL ÑILHUE, COMUNA DE CATEMU")</f>
        <v>CONSTRUCCION CIERRE OLIMPICO CLUB DEPORTIVO EL ÑILHUE, COMUNA DE CATEMU</v>
      </c>
      <c r="C1027" s="10" t="str">
        <f ca="1">IFERROR(__xludf.DUMMYFUNCTION("""COMPUTED_VALUE"""),"1-B-2024-272")</f>
        <v>1-B-2024-272</v>
      </c>
      <c r="D1027" s="26"/>
      <c r="E1027" s="10" t="str">
        <f ca="1">IFERROR(__xludf.DUMMYFUNCTION("""COMPUTED_VALUE"""),"Guía Operativa")</f>
        <v>Guía Operativa</v>
      </c>
      <c r="F1027" s="10" t="str">
        <f ca="1">IFERROR(__xludf.DUMMYFUNCTION("""COMPUTED_VALUE"""),"MUNICIPALIDAD DE CATEMU")</f>
        <v>MUNICIPALIDAD DE CATEMU</v>
      </c>
      <c r="G1027" s="71">
        <f ca="1">IFERROR(__xludf.DUMMYFUNCTION("""COMPUTED_VALUE"""),47016612)</f>
        <v>47016612</v>
      </c>
      <c r="H1027" s="10" t="str">
        <f ca="1">IFERROR(__xludf.DUMMYFUNCTION("""COMPUTED_VALUE"""),"Resolución")</f>
        <v>Resolución</v>
      </c>
      <c r="I1027" s="10" t="str">
        <f ca="1">IFERROR(__xludf.DUMMYFUNCTION("""COMPUTED_VALUE"""),"OBRA")</f>
        <v>OBRA</v>
      </c>
      <c r="J1027" s="10" t="str">
        <f ca="1">IFERROR(__xludf.DUMMYFUNCTION("""COMPUTED_VALUE"""),"Cumplir con normativa y reglamentos internos del programa en base a los objetivos.")</f>
        <v>Cumplir con normativa y reglamentos internos del programa en base a los objetivos.</v>
      </c>
      <c r="K1027" s="71">
        <f ca="1">IFERROR(__xludf.DUMMYFUNCTION("""COMPUTED_VALUE"""),47016612)</f>
        <v>47016612</v>
      </c>
      <c r="L1027" s="72">
        <f ca="1">IFERROR(__xludf.DUMMYFUNCTION("""COMPUTED_VALUE"""),1)</f>
        <v>1</v>
      </c>
      <c r="M1027" s="10">
        <f ca="1">IFERROR(__xludf.DUMMYFUNCTION("""COMPUTED_VALUE"""),10883)</f>
        <v>10883</v>
      </c>
      <c r="N1027" s="10" t="str">
        <f ca="1">IFERROR(__xludf.DUMMYFUNCTION("""COMPUTED_VALUE"""),"PMU")</f>
        <v>PMU</v>
      </c>
      <c r="O1027" s="1"/>
      <c r="P1027" s="1"/>
      <c r="Q1027" s="1"/>
      <c r="R1027" s="1"/>
      <c r="S1027" s="1"/>
      <c r="T1027" s="1"/>
      <c r="U1027" s="1"/>
      <c r="V1027" s="1"/>
      <c r="W1027" s="1"/>
      <c r="X1027" s="1"/>
      <c r="Y1027" s="1"/>
      <c r="Z1027" s="1"/>
    </row>
    <row r="1028" spans="1:26" ht="12.75" customHeight="1">
      <c r="A1028" s="1"/>
      <c r="B1028" s="10" t="str">
        <f ca="1">IFERROR(__xludf.DUMMYFUNCTION("""COMPUTED_VALUE"""),"MEJORAMIENTO PARQUE LOS ABEDULES, CONCON.")</f>
        <v>MEJORAMIENTO PARQUE LOS ABEDULES, CONCON.</v>
      </c>
      <c r="C1028" s="10" t="str">
        <f ca="1">IFERROR(__xludf.DUMMYFUNCTION("""COMPUTED_VALUE"""),"1-B-2024-278")</f>
        <v>1-B-2024-278</v>
      </c>
      <c r="D1028" s="26"/>
      <c r="E1028" s="10" t="str">
        <f ca="1">IFERROR(__xludf.DUMMYFUNCTION("""COMPUTED_VALUE"""),"Guía Operativa")</f>
        <v>Guía Operativa</v>
      </c>
      <c r="F1028" s="10" t="str">
        <f ca="1">IFERROR(__xludf.DUMMYFUNCTION("""COMPUTED_VALUE"""),"MUNICIPALIDAD DE CONCÓN")</f>
        <v>MUNICIPALIDAD DE CONCÓN</v>
      </c>
      <c r="G1028" s="71">
        <f ca="1">IFERROR(__xludf.DUMMYFUNCTION("""COMPUTED_VALUE"""),110192608)</f>
        <v>110192608</v>
      </c>
      <c r="H1028" s="10" t="str">
        <f ca="1">IFERROR(__xludf.DUMMYFUNCTION("""COMPUTED_VALUE"""),"Resolución")</f>
        <v>Resolución</v>
      </c>
      <c r="I1028" s="10" t="str">
        <f ca="1">IFERROR(__xludf.DUMMYFUNCTION("""COMPUTED_VALUE"""),"OBRA")</f>
        <v>OBRA</v>
      </c>
      <c r="J1028" s="10" t="str">
        <f ca="1">IFERROR(__xludf.DUMMYFUNCTION("""COMPUTED_VALUE"""),"Cumplir con normativa y reglamentos internos del programa en base a los objetivos.")</f>
        <v>Cumplir con normativa y reglamentos internos del programa en base a los objetivos.</v>
      </c>
      <c r="K1028" s="71">
        <f ca="1">IFERROR(__xludf.DUMMYFUNCTION("""COMPUTED_VALUE"""),110192608)</f>
        <v>110192608</v>
      </c>
      <c r="L1028" s="72">
        <f ca="1">IFERROR(__xludf.DUMMYFUNCTION("""COMPUTED_VALUE"""),1)</f>
        <v>1</v>
      </c>
      <c r="M1028" s="10">
        <f ca="1">IFERROR(__xludf.DUMMYFUNCTION("""COMPUTED_VALUE"""),10866)</f>
        <v>10866</v>
      </c>
      <c r="N1028" s="10" t="str">
        <f ca="1">IFERROR(__xludf.DUMMYFUNCTION("""COMPUTED_VALUE"""),"PMU")</f>
        <v>PMU</v>
      </c>
      <c r="O1028" s="1"/>
      <c r="P1028" s="1"/>
      <c r="Q1028" s="1"/>
      <c r="R1028" s="1"/>
      <c r="S1028" s="1"/>
      <c r="T1028" s="1"/>
      <c r="U1028" s="1"/>
      <c r="V1028" s="1"/>
      <c r="W1028" s="1"/>
      <c r="X1028" s="1"/>
      <c r="Y1028" s="1"/>
      <c r="Z1028" s="1"/>
    </row>
    <row r="1029" spans="1:26" ht="12.75" customHeight="1">
      <c r="A1029" s="1"/>
      <c r="B1029" s="10" t="str">
        <f ca="1">IFERROR(__xludf.DUMMYFUNCTION("""COMPUTED_VALUE"""),"MEJORAMIENTO PLAZA VILLA ALEGRE, COMUNA DE LA CRUZ")</f>
        <v>MEJORAMIENTO PLAZA VILLA ALEGRE, COMUNA DE LA CRUZ</v>
      </c>
      <c r="C1029" s="10" t="str">
        <f ca="1">IFERROR(__xludf.DUMMYFUNCTION("""COMPUTED_VALUE"""),"1-B-2024-507")</f>
        <v>1-B-2024-507</v>
      </c>
      <c r="D1029" s="26"/>
      <c r="E1029" s="10" t="str">
        <f ca="1">IFERROR(__xludf.DUMMYFUNCTION("""COMPUTED_VALUE"""),"Guía Operativa")</f>
        <v>Guía Operativa</v>
      </c>
      <c r="F1029" s="10" t="str">
        <f ca="1">IFERROR(__xludf.DUMMYFUNCTION("""COMPUTED_VALUE"""),"MUNICIPALIDAD DE LA CRUZ")</f>
        <v>MUNICIPALIDAD DE LA CRUZ</v>
      </c>
      <c r="G1029" s="71">
        <f ca="1">IFERROR(__xludf.DUMMYFUNCTION("""COMPUTED_VALUE"""),55390207)</f>
        <v>55390207</v>
      </c>
      <c r="H1029" s="10" t="str">
        <f ca="1">IFERROR(__xludf.DUMMYFUNCTION("""COMPUTED_VALUE"""),"Resolución")</f>
        <v>Resolución</v>
      </c>
      <c r="I1029" s="10" t="str">
        <f ca="1">IFERROR(__xludf.DUMMYFUNCTION("""COMPUTED_VALUE"""),"OBRA")</f>
        <v>OBRA</v>
      </c>
      <c r="J1029" s="10" t="str">
        <f ca="1">IFERROR(__xludf.DUMMYFUNCTION("""COMPUTED_VALUE"""),"Cumplir con normativa y reglamentos internos del programa en base a los objetivos.")</f>
        <v>Cumplir con normativa y reglamentos internos del programa en base a los objetivos.</v>
      </c>
      <c r="K1029" s="71">
        <f ca="1">IFERROR(__xludf.DUMMYFUNCTION("""COMPUTED_VALUE"""),55390207)</f>
        <v>55390207</v>
      </c>
      <c r="L1029" s="72">
        <f ca="1">IFERROR(__xludf.DUMMYFUNCTION("""COMPUTED_VALUE"""),1)</f>
        <v>1</v>
      </c>
      <c r="M1029" s="10">
        <f ca="1">IFERROR(__xludf.DUMMYFUNCTION("""COMPUTED_VALUE"""),10969)</f>
        <v>10969</v>
      </c>
      <c r="N1029" s="10" t="str">
        <f ca="1">IFERROR(__xludf.DUMMYFUNCTION("""COMPUTED_VALUE"""),"PMU")</f>
        <v>PMU</v>
      </c>
      <c r="O1029" s="1"/>
      <c r="P1029" s="1"/>
      <c r="Q1029" s="1"/>
      <c r="R1029" s="1"/>
      <c r="S1029" s="1"/>
      <c r="T1029" s="1"/>
      <c r="U1029" s="1"/>
      <c r="V1029" s="1"/>
      <c r="W1029" s="1"/>
      <c r="X1029" s="1"/>
      <c r="Y1029" s="1"/>
      <c r="Z1029" s="1"/>
    </row>
    <row r="1030" spans="1:26" ht="12.75" customHeight="1">
      <c r="A1030" s="1"/>
      <c r="B1030" s="10" t="str">
        <f ca="1">IFERROR(__xludf.DUMMYFUNCTION("""COMPUTED_VALUE"""),"REPOSICIÓN DE LUMINARIAS LED, AVENIDA LUSITANIA MIRAFLORES BAJO, COMUNA VIÑA DEL MAR")</f>
        <v>REPOSICIÓN DE LUMINARIAS LED, AVENIDA LUSITANIA MIRAFLORES BAJO, COMUNA VIÑA DEL MAR</v>
      </c>
      <c r="C1030" s="10" t="str">
        <f ca="1">IFERROR(__xludf.DUMMYFUNCTION("""COMPUTED_VALUE"""),"1-B-2024-572")</f>
        <v>1-B-2024-572</v>
      </c>
      <c r="D1030" s="26"/>
      <c r="E1030" s="10" t="str">
        <f ca="1">IFERROR(__xludf.DUMMYFUNCTION("""COMPUTED_VALUE"""),"Guía Operativa")</f>
        <v>Guía Operativa</v>
      </c>
      <c r="F1030" s="10" t="str">
        <f ca="1">IFERROR(__xludf.DUMMYFUNCTION("""COMPUTED_VALUE"""),"MUNICIPALIDAD DE VIÑA DEL MAR")</f>
        <v>MUNICIPALIDAD DE VIÑA DEL MAR</v>
      </c>
      <c r="G1030" s="71">
        <f ca="1">IFERROR(__xludf.DUMMYFUNCTION("""COMPUTED_VALUE"""),16355330)</f>
        <v>16355330</v>
      </c>
      <c r="H1030" s="10" t="str">
        <f ca="1">IFERROR(__xludf.DUMMYFUNCTION("""COMPUTED_VALUE"""),"Resolución")</f>
        <v>Resolución</v>
      </c>
      <c r="I1030" s="10" t="str">
        <f ca="1">IFERROR(__xludf.DUMMYFUNCTION("""COMPUTED_VALUE"""),"OBRA")</f>
        <v>OBRA</v>
      </c>
      <c r="J1030" s="10" t="str">
        <f ca="1">IFERROR(__xludf.DUMMYFUNCTION("""COMPUTED_VALUE"""),"Cumplir con normativa y reglamentos internos del programa en base a los objetivos.")</f>
        <v>Cumplir con normativa y reglamentos internos del programa en base a los objetivos.</v>
      </c>
      <c r="K1030" s="71">
        <f ca="1">IFERROR(__xludf.DUMMYFUNCTION("""COMPUTED_VALUE"""),16355330)</f>
        <v>16355330</v>
      </c>
      <c r="L1030" s="72">
        <f ca="1">IFERROR(__xludf.DUMMYFUNCTION("""COMPUTED_VALUE"""),1)</f>
        <v>1</v>
      </c>
      <c r="M1030" s="10">
        <f ca="1">IFERROR(__xludf.DUMMYFUNCTION("""COMPUTED_VALUE"""),11445)</f>
        <v>11445</v>
      </c>
      <c r="N1030" s="10" t="str">
        <f ca="1">IFERROR(__xludf.DUMMYFUNCTION("""COMPUTED_VALUE"""),"PMU")</f>
        <v>PMU</v>
      </c>
      <c r="O1030" s="1"/>
      <c r="P1030" s="1"/>
      <c r="Q1030" s="1"/>
      <c r="R1030" s="1"/>
      <c r="S1030" s="1"/>
      <c r="T1030" s="1"/>
      <c r="U1030" s="1"/>
      <c r="V1030" s="1"/>
      <c r="W1030" s="1"/>
      <c r="X1030" s="1"/>
      <c r="Y1030" s="1"/>
      <c r="Z1030" s="1"/>
    </row>
    <row r="1031" spans="1:26" ht="12.75" customHeight="1">
      <c r="A1031" s="1"/>
      <c r="B1031" s="10" t="str">
        <f ca="1">IFERROR(__xludf.DUMMYFUNCTION("""COMPUTED_VALUE"""),"CONSTRUCCIÓN CANCHA FUTBOLITO Y ÁREAS VERDES, JUNTA DE VECINOS SECTOR LOS MONTECILLOS, COMUNA DE LOLOL")</f>
        <v>CONSTRUCCIÓN CANCHA FUTBOLITO Y ÁREAS VERDES, JUNTA DE VECINOS SECTOR LOS MONTECILLOS, COMUNA DE LOLOL</v>
      </c>
      <c r="C1031" s="10" t="str">
        <f ca="1">IFERROR(__xludf.DUMMYFUNCTION("""COMPUTED_VALUE"""),"1-C-2020-542 [CHA]")</f>
        <v>1-C-2020-542 [CHA]</v>
      </c>
      <c r="D1031" s="26"/>
      <c r="E1031" s="10" t="str">
        <f ca="1">IFERROR(__xludf.DUMMYFUNCTION("""COMPUTED_VALUE"""),"Guía Operativa")</f>
        <v>Guía Operativa</v>
      </c>
      <c r="F1031" s="10" t="str">
        <f ca="1">IFERROR(__xludf.DUMMYFUNCTION("""COMPUTED_VALUE"""),"MUNICIPALIDAD DE LOLOL")</f>
        <v>MUNICIPALIDAD DE LOLOL</v>
      </c>
      <c r="G1031" s="71">
        <f ca="1">IFERROR(__xludf.DUMMYFUNCTION("""COMPUTED_VALUE"""),104313281)</f>
        <v>104313281</v>
      </c>
      <c r="H1031" s="10" t="str">
        <f ca="1">IFERROR(__xludf.DUMMYFUNCTION("""COMPUTED_VALUE"""),"Resolución")</f>
        <v>Resolución</v>
      </c>
      <c r="I1031" s="10" t="str">
        <f ca="1">IFERROR(__xludf.DUMMYFUNCTION("""COMPUTED_VALUE"""),"OBRA")</f>
        <v>OBRA</v>
      </c>
      <c r="J1031" s="10" t="str">
        <f ca="1">IFERROR(__xludf.DUMMYFUNCTION("""COMPUTED_VALUE"""),"Cumplir con normativa y reglamentos internos del programa en base a los objetivos.")</f>
        <v>Cumplir con normativa y reglamentos internos del programa en base a los objetivos.</v>
      </c>
      <c r="K1031" s="71">
        <f ca="1">IFERROR(__xludf.DUMMYFUNCTION("""COMPUTED_VALUE"""),27214688)</f>
        <v>27214688</v>
      </c>
      <c r="L1031" s="72">
        <f ca="1">IFERROR(__xludf.DUMMYFUNCTION("""COMPUTED_VALUE"""),0.979881813898654)</f>
        <v>0.97988181389865403</v>
      </c>
      <c r="M1031" s="10">
        <f ca="1">IFERROR(__xludf.DUMMYFUNCTION("""COMPUTED_VALUE"""),6906)</f>
        <v>6906</v>
      </c>
      <c r="N1031" s="10" t="str">
        <f ca="1">IFERROR(__xludf.DUMMYFUNCTION("""COMPUTED_VALUE"""),"PMU")</f>
        <v>PMU</v>
      </c>
      <c r="O1031" s="1"/>
      <c r="P1031" s="1"/>
      <c r="Q1031" s="1"/>
      <c r="R1031" s="1"/>
      <c r="S1031" s="1"/>
      <c r="T1031" s="1"/>
      <c r="U1031" s="1"/>
      <c r="V1031" s="1"/>
      <c r="W1031" s="1"/>
      <c r="X1031" s="1"/>
      <c r="Y1031" s="1"/>
      <c r="Z1031" s="1"/>
    </row>
    <row r="1032" spans="1:26" ht="12.75" customHeight="1">
      <c r="A1032" s="1"/>
      <c r="B1032" s="10" t="str">
        <f ca="1">IFERROR(__xludf.DUMMYFUNCTION("""COMPUTED_VALUE"""),"CONSTRUCCION SALA DE PROCESO, MARCHIGUE")</f>
        <v>CONSTRUCCION SALA DE PROCESO, MARCHIGUE</v>
      </c>
      <c r="C1032" s="10" t="str">
        <f ca="1">IFERROR(__xludf.DUMMYFUNCTION("""COMPUTED_VALUE"""),"1-C-2021-509 [FET]")</f>
        <v>1-C-2021-509 [FET]</v>
      </c>
      <c r="D1032" s="26"/>
      <c r="E1032" s="10" t="str">
        <f ca="1">IFERROR(__xludf.DUMMYFUNCTION("""COMPUTED_VALUE"""),"Guía Operativa")</f>
        <v>Guía Operativa</v>
      </c>
      <c r="F1032" s="10" t="str">
        <f ca="1">IFERROR(__xludf.DUMMYFUNCTION("""COMPUTED_VALUE"""),"MUNICIPALIDAD DE MARCHIHUE")</f>
        <v>MUNICIPALIDAD DE MARCHIHUE</v>
      </c>
      <c r="G1032" s="71">
        <f ca="1">IFERROR(__xludf.DUMMYFUNCTION("""COMPUTED_VALUE"""),74999999)</f>
        <v>74999999</v>
      </c>
      <c r="H1032" s="10" t="str">
        <f ca="1">IFERROR(__xludf.DUMMYFUNCTION("""COMPUTED_VALUE"""),"Resolución")</f>
        <v>Resolución</v>
      </c>
      <c r="I1032" s="10" t="str">
        <f ca="1">IFERROR(__xludf.DUMMYFUNCTION("""COMPUTED_VALUE"""),"OBRA")</f>
        <v>OBRA</v>
      </c>
      <c r="J1032" s="10" t="str">
        <f ca="1">IFERROR(__xludf.DUMMYFUNCTION("""COMPUTED_VALUE"""),"Cumplir con normativa y reglamentos internos del programa en base a los objetivos.")</f>
        <v>Cumplir con normativa y reglamentos internos del programa en base a los objetivos.</v>
      </c>
      <c r="K1032" s="71">
        <f ca="1">IFERROR(__xludf.DUMMYFUNCTION("""COMPUTED_VALUE"""),14991469)</f>
        <v>14991469</v>
      </c>
      <c r="L1032" s="72">
        <f ca="1">IFERROR(__xludf.DUMMYFUNCTION("""COMPUTED_VALUE"""),0.999886253331816)</f>
        <v>0.99988625333181602</v>
      </c>
      <c r="M1032" s="10">
        <f ca="1">IFERROR(__xludf.DUMMYFUNCTION("""COMPUTED_VALUE"""),3391)</f>
        <v>3391</v>
      </c>
      <c r="N1032" s="10" t="str">
        <f ca="1">IFERROR(__xludf.DUMMYFUNCTION("""COMPUTED_VALUE"""),"PMU")</f>
        <v>PMU</v>
      </c>
      <c r="O1032" s="1"/>
      <c r="P1032" s="1"/>
      <c r="Q1032" s="1"/>
      <c r="R1032" s="1"/>
      <c r="S1032" s="1"/>
      <c r="T1032" s="1"/>
      <c r="U1032" s="1"/>
      <c r="V1032" s="1"/>
      <c r="W1032" s="1"/>
      <c r="X1032" s="1"/>
      <c r="Y1032" s="1"/>
      <c r="Z1032" s="1"/>
    </row>
    <row r="1033" spans="1:26" ht="12.75" customHeight="1">
      <c r="A1033" s="1"/>
      <c r="B1033" s="10" t="str">
        <f ca="1">IFERROR(__xludf.DUMMYFUNCTION("""COMPUTED_VALUE"""),"CONSTRUCCION CAMARINES ESTADIO TROYA SUR, PERALILLO")</f>
        <v>CONSTRUCCION CAMARINES ESTADIO TROYA SUR, PERALILLO</v>
      </c>
      <c r="C1033" s="10" t="str">
        <f ca="1">IFERROR(__xludf.DUMMYFUNCTION("""COMPUTED_VALUE"""),"1-C-2022-353")</f>
        <v>1-C-2022-353</v>
      </c>
      <c r="D1033" s="26"/>
      <c r="E1033" s="10" t="str">
        <f ca="1">IFERROR(__xludf.DUMMYFUNCTION("""COMPUTED_VALUE"""),"Guía Operativa")</f>
        <v>Guía Operativa</v>
      </c>
      <c r="F1033" s="10" t="str">
        <f ca="1">IFERROR(__xludf.DUMMYFUNCTION("""COMPUTED_VALUE"""),"MUNICIPALIDAD DE PERALILLO")</f>
        <v>MUNICIPALIDAD DE PERALILLO</v>
      </c>
      <c r="G1033" s="71">
        <f ca="1">IFERROR(__xludf.DUMMYFUNCTION("""COMPUTED_VALUE"""),90286798)</f>
        <v>90286798</v>
      </c>
      <c r="H1033" s="10" t="str">
        <f ca="1">IFERROR(__xludf.DUMMYFUNCTION("""COMPUTED_VALUE"""),"Resolución")</f>
        <v>Resolución</v>
      </c>
      <c r="I1033" s="10" t="str">
        <f ca="1">IFERROR(__xludf.DUMMYFUNCTION("""COMPUTED_VALUE"""),"OBRA")</f>
        <v>OBRA</v>
      </c>
      <c r="J1033" s="10" t="str">
        <f ca="1">IFERROR(__xludf.DUMMYFUNCTION("""COMPUTED_VALUE"""),"Cumplir con normativa y reglamentos internos del programa en base a los objetivos.")</f>
        <v>Cumplir con normativa y reglamentos internos del programa en base a los objetivos.</v>
      </c>
      <c r="K1033" s="71">
        <f ca="1">IFERROR(__xludf.DUMMYFUNCTION("""COMPUTED_VALUE"""),15280300)</f>
        <v>15280300</v>
      </c>
      <c r="L1033" s="72">
        <f ca="1">IFERROR(__xludf.DUMMYFUNCTION("""COMPUTED_VALUE"""),0.999928018269071)</f>
        <v>0.99992801826907096</v>
      </c>
      <c r="M1033" s="10">
        <f ca="1">IFERROR(__xludf.DUMMYFUNCTION("""COMPUTED_VALUE"""),11103)</f>
        <v>11103</v>
      </c>
      <c r="N1033" s="10" t="str">
        <f ca="1">IFERROR(__xludf.DUMMYFUNCTION("""COMPUTED_VALUE"""),"PMU")</f>
        <v>PMU</v>
      </c>
      <c r="O1033" s="1"/>
      <c r="P1033" s="1"/>
      <c r="Q1033" s="1"/>
      <c r="R1033" s="1"/>
      <c r="S1033" s="1"/>
      <c r="T1033" s="1"/>
      <c r="U1033" s="1"/>
      <c r="V1033" s="1"/>
      <c r="W1033" s="1"/>
      <c r="X1033" s="1"/>
      <c r="Y1033" s="1"/>
      <c r="Z1033" s="1"/>
    </row>
    <row r="1034" spans="1:26" ht="12.75" customHeight="1">
      <c r="A1034" s="1"/>
      <c r="B1034" s="10" t="str">
        <f ca="1">IFERROR(__xludf.DUMMYFUNCTION("""COMPUTED_VALUE"""),"CONSTRUCCION PLAZA VILLA AMANECER, PERALILLO")</f>
        <v>CONSTRUCCION PLAZA VILLA AMANECER, PERALILLO</v>
      </c>
      <c r="C1034" s="10" t="str">
        <f ca="1">IFERROR(__xludf.DUMMYFUNCTION("""COMPUTED_VALUE"""),"1-C-2022-2039")</f>
        <v>1-C-2022-2039</v>
      </c>
      <c r="D1034" s="26"/>
      <c r="E1034" s="10" t="str">
        <f ca="1">IFERROR(__xludf.DUMMYFUNCTION("""COMPUTED_VALUE"""),"Guía Operativa")</f>
        <v>Guía Operativa</v>
      </c>
      <c r="F1034" s="10" t="str">
        <f ca="1">IFERROR(__xludf.DUMMYFUNCTION("""COMPUTED_VALUE"""),"MUNICIPALIDAD DE PERALILLO")</f>
        <v>MUNICIPALIDAD DE PERALILLO</v>
      </c>
      <c r="G1034" s="71">
        <f ca="1">IFERROR(__xludf.DUMMYFUNCTION("""COMPUTED_VALUE"""),89986999)</f>
        <v>89986999</v>
      </c>
      <c r="H1034" s="10" t="str">
        <f ca="1">IFERROR(__xludf.DUMMYFUNCTION("""COMPUTED_VALUE"""),"Resolución")</f>
        <v>Resolución</v>
      </c>
      <c r="I1034" s="10" t="str">
        <f ca="1">IFERROR(__xludf.DUMMYFUNCTION("""COMPUTED_VALUE"""),"OBRA")</f>
        <v>OBRA</v>
      </c>
      <c r="J1034" s="10" t="str">
        <f ca="1">IFERROR(__xludf.DUMMYFUNCTION("""COMPUTED_VALUE"""),"Cumplir con normativa y reglamentos internos del programa en base a los objetivos.")</f>
        <v>Cumplir con normativa y reglamentos internos del programa en base a los objetivos.</v>
      </c>
      <c r="K1034" s="71">
        <f ca="1">IFERROR(__xludf.DUMMYFUNCTION("""COMPUTED_VALUE"""),14978609)</f>
        <v>14978609</v>
      </c>
      <c r="L1034" s="72">
        <f ca="1">IFERROR(__xludf.DUMMYFUNCTION("""COMPUTED_VALUE"""),0.999906753196647)</f>
        <v>0.99990675319664701</v>
      </c>
      <c r="M1034" s="10">
        <f ca="1">IFERROR(__xludf.DUMMYFUNCTION("""COMPUTED_VALUE"""),11103)</f>
        <v>11103</v>
      </c>
      <c r="N1034" s="10" t="str">
        <f ca="1">IFERROR(__xludf.DUMMYFUNCTION("""COMPUTED_VALUE"""),"PMU")</f>
        <v>PMU</v>
      </c>
      <c r="O1034" s="1"/>
      <c r="P1034" s="1"/>
      <c r="Q1034" s="1"/>
      <c r="R1034" s="1"/>
      <c r="S1034" s="1"/>
      <c r="T1034" s="1"/>
      <c r="U1034" s="1"/>
      <c r="V1034" s="1"/>
      <c r="W1034" s="1"/>
      <c r="X1034" s="1"/>
      <c r="Y1034" s="1"/>
      <c r="Z1034" s="1"/>
    </row>
    <row r="1035" spans="1:26" ht="12.75" customHeight="1">
      <c r="A1035" s="1"/>
      <c r="B1035" s="10" t="str">
        <f ca="1">IFERROR(__xludf.DUMMYFUNCTION("""COMPUTED_VALUE"""),"CONSTRUCCIÓN DE RESALTOS DE ASFALTO SECTOR RURAL Y DEMARCACIÓN VIAL URBANA DE PASOS PEATONALES EN DISTINTOS SECTORES DE LA COMUNA DE CODEGUA")</f>
        <v>CONSTRUCCIÓN DE RESALTOS DE ASFALTO SECTOR RURAL Y DEMARCACIÓN VIAL URBANA DE PASOS PEATONALES EN DISTINTOS SECTORES DE LA COMUNA DE CODEGUA</v>
      </c>
      <c r="C1035" s="10" t="str">
        <f ca="1">IFERROR(__xludf.DUMMYFUNCTION("""COMPUTED_VALUE"""),"1-B-2024-172")</f>
        <v>1-B-2024-172</v>
      </c>
      <c r="D1035" s="26"/>
      <c r="E1035" s="10" t="str">
        <f ca="1">IFERROR(__xludf.DUMMYFUNCTION("""COMPUTED_VALUE"""),"Guía Operativa")</f>
        <v>Guía Operativa</v>
      </c>
      <c r="F1035" s="10" t="str">
        <f ca="1">IFERROR(__xludf.DUMMYFUNCTION("""COMPUTED_VALUE"""),"MUNICIPALIDAD DE CODEGUA")</f>
        <v>MUNICIPALIDAD DE CODEGUA</v>
      </c>
      <c r="G1035" s="71">
        <f ca="1">IFERROR(__xludf.DUMMYFUNCTION("""COMPUTED_VALUE"""),60080638)</f>
        <v>60080638</v>
      </c>
      <c r="H1035" s="10" t="str">
        <f ca="1">IFERROR(__xludf.DUMMYFUNCTION("""COMPUTED_VALUE"""),"Resolución")</f>
        <v>Resolución</v>
      </c>
      <c r="I1035" s="10" t="str">
        <f ca="1">IFERROR(__xludf.DUMMYFUNCTION("""COMPUTED_VALUE"""),"OBRA")</f>
        <v>OBRA</v>
      </c>
      <c r="J1035" s="10" t="str">
        <f ca="1">IFERROR(__xludf.DUMMYFUNCTION("""COMPUTED_VALUE"""),"Cumplir con normativa y reglamentos internos del programa en base a los objetivos.")</f>
        <v>Cumplir con normativa y reglamentos internos del programa en base a los objetivos.</v>
      </c>
      <c r="K1035" s="71">
        <f ca="1">IFERROR(__xludf.DUMMYFUNCTION("""COMPUTED_VALUE"""),60080638)</f>
        <v>60080638</v>
      </c>
      <c r="L1035" s="72">
        <f ca="1">IFERROR(__xludf.DUMMYFUNCTION("""COMPUTED_VALUE"""),1)</f>
        <v>1</v>
      </c>
      <c r="M1035" s="10">
        <f ca="1">IFERROR(__xludf.DUMMYFUNCTION("""COMPUTED_VALUE"""),10853)</f>
        <v>10853</v>
      </c>
      <c r="N1035" s="10" t="str">
        <f ca="1">IFERROR(__xludf.DUMMYFUNCTION("""COMPUTED_VALUE"""),"PMU")</f>
        <v>PMU</v>
      </c>
      <c r="O1035" s="1"/>
      <c r="P1035" s="1"/>
      <c r="Q1035" s="1"/>
      <c r="R1035" s="1"/>
      <c r="S1035" s="1"/>
      <c r="T1035" s="1"/>
      <c r="U1035" s="1"/>
      <c r="V1035" s="1"/>
      <c r="W1035" s="1"/>
      <c r="X1035" s="1"/>
      <c r="Y1035" s="1"/>
      <c r="Z1035" s="1"/>
    </row>
    <row r="1036" spans="1:26" ht="12.75" customHeight="1">
      <c r="A1036" s="1"/>
      <c r="B1036" s="10" t="str">
        <f ca="1">IFERROR(__xludf.DUMMYFUNCTION("""COMPUTED_VALUE"""),"MEJORAMIENTO CARPETA ASFÁLTICA CALLE PRINCIPAL DE PUPUYA, COMUNA DE NAVIDAD")</f>
        <v>MEJORAMIENTO CARPETA ASFÁLTICA CALLE PRINCIPAL DE PUPUYA, COMUNA DE NAVIDAD</v>
      </c>
      <c r="C1036" s="10" t="str">
        <f ca="1">IFERROR(__xludf.DUMMYFUNCTION("""COMPUTED_VALUE"""),"1-B-2024-296")</f>
        <v>1-B-2024-296</v>
      </c>
      <c r="D1036" s="26"/>
      <c r="E1036" s="10" t="str">
        <f ca="1">IFERROR(__xludf.DUMMYFUNCTION("""COMPUTED_VALUE"""),"Guía Operativa")</f>
        <v>Guía Operativa</v>
      </c>
      <c r="F1036" s="10" t="str">
        <f ca="1">IFERROR(__xludf.DUMMYFUNCTION("""COMPUTED_VALUE"""),"MUNICIPALIDAD DE NAVIDAD")</f>
        <v>MUNICIPALIDAD DE NAVIDAD</v>
      </c>
      <c r="G1036" s="71">
        <f ca="1">IFERROR(__xludf.DUMMYFUNCTION("""COMPUTED_VALUE"""),133762004)</f>
        <v>133762004</v>
      </c>
      <c r="H1036" s="10" t="str">
        <f ca="1">IFERROR(__xludf.DUMMYFUNCTION("""COMPUTED_VALUE"""),"Resolución")</f>
        <v>Resolución</v>
      </c>
      <c r="I1036" s="10" t="str">
        <f ca="1">IFERROR(__xludf.DUMMYFUNCTION("""COMPUTED_VALUE"""),"OBRA")</f>
        <v>OBRA</v>
      </c>
      <c r="J1036" s="10" t="str">
        <f ca="1">IFERROR(__xludf.DUMMYFUNCTION("""COMPUTED_VALUE"""),"Cumplir con normativa y reglamentos internos del programa en base a los objetivos.")</f>
        <v>Cumplir con normativa y reglamentos internos del programa en base a los objetivos.</v>
      </c>
      <c r="K1036" s="71">
        <f ca="1">IFERROR(__xludf.DUMMYFUNCTION("""COMPUTED_VALUE"""),133762004)</f>
        <v>133762004</v>
      </c>
      <c r="L1036" s="72">
        <f ca="1">IFERROR(__xludf.DUMMYFUNCTION("""COMPUTED_VALUE"""),1)</f>
        <v>1</v>
      </c>
      <c r="M1036" s="10">
        <f ca="1">IFERROR(__xludf.DUMMYFUNCTION("""COMPUTED_VALUE"""),10863)</f>
        <v>10863</v>
      </c>
      <c r="N1036" s="10" t="str">
        <f ca="1">IFERROR(__xludf.DUMMYFUNCTION("""COMPUTED_VALUE"""),"PMU")</f>
        <v>PMU</v>
      </c>
      <c r="O1036" s="1"/>
      <c r="P1036" s="1"/>
      <c r="Q1036" s="1"/>
      <c r="R1036" s="1"/>
      <c r="S1036" s="1"/>
      <c r="T1036" s="1"/>
      <c r="U1036" s="1"/>
      <c r="V1036" s="1"/>
      <c r="W1036" s="1"/>
      <c r="X1036" s="1"/>
      <c r="Y1036" s="1"/>
      <c r="Z1036" s="1"/>
    </row>
    <row r="1037" spans="1:26" ht="12.75" customHeight="1">
      <c r="A1037" s="1"/>
      <c r="B1037" s="10" t="str">
        <f ca="1">IFERROR(__xludf.DUMMYFUNCTION("""COMPUTED_VALUE"""),"MEJORAMIENTO MULTICANCHA VILLA OHIGGINS")</f>
        <v>MEJORAMIENTO MULTICANCHA VILLA OHIGGINS</v>
      </c>
      <c r="C1037" s="10" t="str">
        <f ca="1">IFERROR(__xludf.DUMMYFUNCTION("""COMPUTED_VALUE"""),"1-B-2024-352")</f>
        <v>1-B-2024-352</v>
      </c>
      <c r="D1037" s="26"/>
      <c r="E1037" s="10" t="str">
        <f ca="1">IFERROR(__xludf.DUMMYFUNCTION("""COMPUTED_VALUE"""),"Guía Operativa")</f>
        <v>Guía Operativa</v>
      </c>
      <c r="F1037" s="10" t="str">
        <f ca="1">IFERROR(__xludf.DUMMYFUNCTION("""COMPUTED_VALUE"""),"MUNICIPALIDAD DE DOÑIHUE")</f>
        <v>MUNICIPALIDAD DE DOÑIHUE</v>
      </c>
      <c r="G1037" s="71">
        <f ca="1">IFERROR(__xludf.DUMMYFUNCTION("""COMPUTED_VALUE"""),98432388)</f>
        <v>98432388</v>
      </c>
      <c r="H1037" s="10" t="str">
        <f ca="1">IFERROR(__xludf.DUMMYFUNCTION("""COMPUTED_VALUE"""),"Resolución")</f>
        <v>Resolución</v>
      </c>
      <c r="I1037" s="10" t="str">
        <f ca="1">IFERROR(__xludf.DUMMYFUNCTION("""COMPUTED_VALUE"""),"OBRA")</f>
        <v>OBRA</v>
      </c>
      <c r="J1037" s="10" t="str">
        <f ca="1">IFERROR(__xludf.DUMMYFUNCTION("""COMPUTED_VALUE"""),"Cumplir con normativa y reglamentos internos del programa en base a los objetivos.")</f>
        <v>Cumplir con normativa y reglamentos internos del programa en base a los objetivos.</v>
      </c>
      <c r="K1037" s="71">
        <f ca="1">IFERROR(__xludf.DUMMYFUNCTION("""COMPUTED_VALUE"""),98432388)</f>
        <v>98432388</v>
      </c>
      <c r="L1037" s="72">
        <f ca="1">IFERROR(__xludf.DUMMYFUNCTION("""COMPUTED_VALUE"""),1)</f>
        <v>1</v>
      </c>
      <c r="M1037" s="10">
        <f ca="1">IFERROR(__xludf.DUMMYFUNCTION("""COMPUTED_VALUE"""),10970)</f>
        <v>10970</v>
      </c>
      <c r="N1037" s="10" t="str">
        <f ca="1">IFERROR(__xludf.DUMMYFUNCTION("""COMPUTED_VALUE"""),"PMU")</f>
        <v>PMU</v>
      </c>
      <c r="O1037" s="1"/>
      <c r="P1037" s="1"/>
      <c r="Q1037" s="1"/>
      <c r="R1037" s="1"/>
      <c r="S1037" s="1"/>
      <c r="T1037" s="1"/>
      <c r="U1037" s="1"/>
      <c r="V1037" s="1"/>
      <c r="W1037" s="1"/>
      <c r="X1037" s="1"/>
      <c r="Y1037" s="1"/>
      <c r="Z1037" s="1"/>
    </row>
    <row r="1038" spans="1:26" ht="12.75" customHeight="1">
      <c r="A1038" s="1"/>
      <c r="B1038" s="10" t="str">
        <f ca="1">IFERROR(__xludf.DUMMYFUNCTION("""COMPUTED_VALUE"""),"MEJORAMIENTO ESPACIO PUBLICO Y RESTAURACION DE COCHES DE TREN HISTORICOS, COMUNA DE MARCHIGUE")</f>
        <v>MEJORAMIENTO ESPACIO PUBLICO Y RESTAURACION DE COCHES DE TREN HISTORICOS, COMUNA DE MARCHIGUE</v>
      </c>
      <c r="C1038" s="10" t="str">
        <f ca="1">IFERROR(__xludf.DUMMYFUNCTION("""COMPUTED_VALUE"""),"1-B-2024-354")</f>
        <v>1-B-2024-354</v>
      </c>
      <c r="D1038" s="26"/>
      <c r="E1038" s="10" t="str">
        <f ca="1">IFERROR(__xludf.DUMMYFUNCTION("""COMPUTED_VALUE"""),"Guía Operativa")</f>
        <v>Guía Operativa</v>
      </c>
      <c r="F1038" s="10" t="str">
        <f ca="1">IFERROR(__xludf.DUMMYFUNCTION("""COMPUTED_VALUE"""),"MUNICIPALIDAD DE MARCHIHUE")</f>
        <v>MUNICIPALIDAD DE MARCHIHUE</v>
      </c>
      <c r="G1038" s="71">
        <f ca="1">IFERROR(__xludf.DUMMYFUNCTION("""COMPUTED_VALUE"""),99423726)</f>
        <v>99423726</v>
      </c>
      <c r="H1038" s="10" t="str">
        <f ca="1">IFERROR(__xludf.DUMMYFUNCTION("""COMPUTED_VALUE"""),"Resolución")</f>
        <v>Resolución</v>
      </c>
      <c r="I1038" s="10" t="str">
        <f ca="1">IFERROR(__xludf.DUMMYFUNCTION("""COMPUTED_VALUE"""),"OBRA")</f>
        <v>OBRA</v>
      </c>
      <c r="J1038" s="10" t="str">
        <f ca="1">IFERROR(__xludf.DUMMYFUNCTION("""COMPUTED_VALUE"""),"Cumplir con normativa y reglamentos internos del programa en base a los objetivos.")</f>
        <v>Cumplir con normativa y reglamentos internos del programa en base a los objetivos.</v>
      </c>
      <c r="K1038" s="71">
        <f ca="1">IFERROR(__xludf.DUMMYFUNCTION("""COMPUTED_VALUE"""),99423726)</f>
        <v>99423726</v>
      </c>
      <c r="L1038" s="72">
        <f ca="1">IFERROR(__xludf.DUMMYFUNCTION("""COMPUTED_VALUE"""),1)</f>
        <v>1</v>
      </c>
      <c r="M1038" s="10">
        <f ca="1">IFERROR(__xludf.DUMMYFUNCTION("""COMPUTED_VALUE"""),10858)</f>
        <v>10858</v>
      </c>
      <c r="N1038" s="10" t="str">
        <f ca="1">IFERROR(__xludf.DUMMYFUNCTION("""COMPUTED_VALUE"""),"PMU")</f>
        <v>PMU</v>
      </c>
      <c r="O1038" s="1"/>
      <c r="P1038" s="1"/>
      <c r="Q1038" s="1"/>
      <c r="R1038" s="1"/>
      <c r="S1038" s="1"/>
      <c r="T1038" s="1"/>
      <c r="U1038" s="1"/>
      <c r="V1038" s="1"/>
      <c r="W1038" s="1"/>
      <c r="X1038" s="1"/>
      <c r="Y1038" s="1"/>
      <c r="Z1038" s="1"/>
    </row>
    <row r="1039" spans="1:26" ht="12.75" customHeight="1">
      <c r="A1039" s="1"/>
      <c r="B1039" s="10" t="str">
        <f ca="1">IFERROR(__xludf.DUMMYFUNCTION("""COMPUTED_VALUE"""),"INSTALACION ZONA DE JUEGOS PLAZA DE LOS NIÑOS, MACHALI")</f>
        <v>INSTALACION ZONA DE JUEGOS PLAZA DE LOS NIÑOS, MACHALI</v>
      </c>
      <c r="C1039" s="10" t="str">
        <f ca="1">IFERROR(__xludf.DUMMYFUNCTION("""COMPUTED_VALUE"""),"1-B-2024-370")</f>
        <v>1-B-2024-370</v>
      </c>
      <c r="D1039" s="26"/>
      <c r="E1039" s="10" t="str">
        <f ca="1">IFERROR(__xludf.DUMMYFUNCTION("""COMPUTED_VALUE"""),"Guía Operativa")</f>
        <v>Guía Operativa</v>
      </c>
      <c r="F1039" s="10" t="str">
        <f ca="1">IFERROR(__xludf.DUMMYFUNCTION("""COMPUTED_VALUE"""),"MUNICIPALIDAD DE MACHALÍ")</f>
        <v>MUNICIPALIDAD DE MACHALÍ</v>
      </c>
      <c r="G1039" s="71">
        <f ca="1">IFERROR(__xludf.DUMMYFUNCTION("""COMPUTED_VALUE"""),33048551)</f>
        <v>33048551</v>
      </c>
      <c r="H1039" s="10" t="str">
        <f ca="1">IFERROR(__xludf.DUMMYFUNCTION("""COMPUTED_VALUE"""),"Resolución")</f>
        <v>Resolución</v>
      </c>
      <c r="I1039" s="10" t="str">
        <f ca="1">IFERROR(__xludf.DUMMYFUNCTION("""COMPUTED_VALUE"""),"OBRA")</f>
        <v>OBRA</v>
      </c>
      <c r="J1039" s="10" t="str">
        <f ca="1">IFERROR(__xludf.DUMMYFUNCTION("""COMPUTED_VALUE"""),"Cumplir con normativa y reglamentos internos del programa en base a los objetivos.")</f>
        <v>Cumplir con normativa y reglamentos internos del programa en base a los objetivos.</v>
      </c>
      <c r="K1039" s="71">
        <f ca="1">IFERROR(__xludf.DUMMYFUNCTION("""COMPUTED_VALUE"""),33048551)</f>
        <v>33048551</v>
      </c>
      <c r="L1039" s="72">
        <f ca="1">IFERROR(__xludf.DUMMYFUNCTION("""COMPUTED_VALUE"""),1)</f>
        <v>1</v>
      </c>
      <c r="M1039" s="10">
        <f ca="1">IFERROR(__xludf.DUMMYFUNCTION("""COMPUTED_VALUE"""),10856)</f>
        <v>10856</v>
      </c>
      <c r="N1039" s="10" t="str">
        <f ca="1">IFERROR(__xludf.DUMMYFUNCTION("""COMPUTED_VALUE"""),"PMU")</f>
        <v>PMU</v>
      </c>
      <c r="O1039" s="1"/>
      <c r="P1039" s="1"/>
      <c r="Q1039" s="1"/>
      <c r="R1039" s="1"/>
      <c r="S1039" s="1"/>
      <c r="T1039" s="1"/>
      <c r="U1039" s="1"/>
      <c r="V1039" s="1"/>
      <c r="W1039" s="1"/>
      <c r="X1039" s="1"/>
      <c r="Y1039" s="1"/>
      <c r="Z1039" s="1"/>
    </row>
    <row r="1040" spans="1:26" ht="12.75" customHeight="1">
      <c r="A1040" s="1"/>
      <c r="B1040" s="10" t="str">
        <f ca="1">IFERROR(__xludf.DUMMYFUNCTION("""COMPUTED_VALUE"""),"ADQUISICIÓN E INSTALACIÓN DE SEÑALETICAS CON NOMBRES DE CALLES PARA LOS LIRIOS Y CAMINO EL ABRA, COMUNA DE REQUÍNOA")</f>
        <v>ADQUISICIÓN E INSTALACIÓN DE SEÑALETICAS CON NOMBRES DE CALLES PARA LOS LIRIOS Y CAMINO EL ABRA, COMUNA DE REQUÍNOA</v>
      </c>
      <c r="C1040" s="10" t="str">
        <f ca="1">IFERROR(__xludf.DUMMYFUNCTION("""COMPUTED_VALUE"""),"1-B-2024-374")</f>
        <v>1-B-2024-374</v>
      </c>
      <c r="D1040" s="26"/>
      <c r="E1040" s="10" t="str">
        <f ca="1">IFERROR(__xludf.DUMMYFUNCTION("""COMPUTED_VALUE"""),"Guía Operativa")</f>
        <v>Guía Operativa</v>
      </c>
      <c r="F1040" s="10" t="str">
        <f ca="1">IFERROR(__xludf.DUMMYFUNCTION("""COMPUTED_VALUE"""),"MUNICIPALIDAD DE REQUÍNOA")</f>
        <v>MUNICIPALIDAD DE REQUÍNOA</v>
      </c>
      <c r="G1040" s="71">
        <f ca="1">IFERROR(__xludf.DUMMYFUNCTION("""COMPUTED_VALUE"""),33019329)</f>
        <v>33019329</v>
      </c>
      <c r="H1040" s="10" t="str">
        <f ca="1">IFERROR(__xludf.DUMMYFUNCTION("""COMPUTED_VALUE"""),"Resolución")</f>
        <v>Resolución</v>
      </c>
      <c r="I1040" s="10" t="str">
        <f ca="1">IFERROR(__xludf.DUMMYFUNCTION("""COMPUTED_VALUE"""),"OBRA")</f>
        <v>OBRA</v>
      </c>
      <c r="J1040" s="10" t="str">
        <f ca="1">IFERROR(__xludf.DUMMYFUNCTION("""COMPUTED_VALUE"""),"Cumplir con normativa y reglamentos internos del programa en base a los objetivos.")</f>
        <v>Cumplir con normativa y reglamentos internos del programa en base a los objetivos.</v>
      </c>
      <c r="K1040" s="71">
        <f ca="1">IFERROR(__xludf.DUMMYFUNCTION("""COMPUTED_VALUE"""),33019329)</f>
        <v>33019329</v>
      </c>
      <c r="L1040" s="72">
        <f ca="1">IFERROR(__xludf.DUMMYFUNCTION("""COMPUTED_VALUE"""),1)</f>
        <v>1</v>
      </c>
      <c r="M1040" s="10">
        <f ca="1">IFERROR(__xludf.DUMMYFUNCTION("""COMPUTED_VALUE"""),10978)</f>
        <v>10978</v>
      </c>
      <c r="N1040" s="10" t="str">
        <f ca="1">IFERROR(__xludf.DUMMYFUNCTION("""COMPUTED_VALUE"""),"PMU")</f>
        <v>PMU</v>
      </c>
      <c r="O1040" s="1"/>
      <c r="P1040" s="1"/>
      <c r="Q1040" s="1"/>
      <c r="R1040" s="1"/>
      <c r="S1040" s="1"/>
      <c r="T1040" s="1"/>
      <c r="U1040" s="1"/>
      <c r="V1040" s="1"/>
      <c r="W1040" s="1"/>
      <c r="X1040" s="1"/>
      <c r="Y1040" s="1"/>
      <c r="Z1040" s="1"/>
    </row>
    <row r="1041" spans="1:26" ht="12.75" customHeight="1">
      <c r="A1041" s="1"/>
      <c r="B1041" s="10" t="str">
        <f ca="1">IFERROR(__xludf.DUMMYFUNCTION("""COMPUTED_VALUE"""),"MEJORAMIENTO DE SENDEROS Y OTRAS SUPERFICIES, PLAZAS VILLA NUEVO AMANECER, COMUNA DE LITUECHE.")</f>
        <v>MEJORAMIENTO DE SENDEROS Y OTRAS SUPERFICIES, PLAZAS VILLA NUEVO AMANECER, COMUNA DE LITUECHE.</v>
      </c>
      <c r="C1041" s="10" t="str">
        <f ca="1">IFERROR(__xludf.DUMMYFUNCTION("""COMPUTED_VALUE"""),"1-B-2024-384")</f>
        <v>1-B-2024-384</v>
      </c>
      <c r="D1041" s="26"/>
      <c r="E1041" s="10" t="str">
        <f ca="1">IFERROR(__xludf.DUMMYFUNCTION("""COMPUTED_VALUE"""),"Guía Operativa")</f>
        <v>Guía Operativa</v>
      </c>
      <c r="F1041" s="10" t="str">
        <f ca="1">IFERROR(__xludf.DUMMYFUNCTION("""COMPUTED_VALUE"""),"MUNICIPALIDAD DE LITUECHE")</f>
        <v>MUNICIPALIDAD DE LITUECHE</v>
      </c>
      <c r="G1041" s="71">
        <f ca="1">IFERROR(__xludf.DUMMYFUNCTION("""COMPUTED_VALUE"""),101800000)</f>
        <v>101800000</v>
      </c>
      <c r="H1041" s="10" t="str">
        <f ca="1">IFERROR(__xludf.DUMMYFUNCTION("""COMPUTED_VALUE"""),"Resolución")</f>
        <v>Resolución</v>
      </c>
      <c r="I1041" s="10" t="str">
        <f ca="1">IFERROR(__xludf.DUMMYFUNCTION("""COMPUTED_VALUE"""),"OBRA")</f>
        <v>OBRA</v>
      </c>
      <c r="J1041" s="10" t="str">
        <f ca="1">IFERROR(__xludf.DUMMYFUNCTION("""COMPUTED_VALUE"""),"Cumplir con normativa y reglamentos internos del programa en base a los objetivos.")</f>
        <v>Cumplir con normativa y reglamentos internos del programa en base a los objetivos.</v>
      </c>
      <c r="K1041" s="71">
        <f ca="1">IFERROR(__xludf.DUMMYFUNCTION("""COMPUTED_VALUE"""),101800000)</f>
        <v>101800000</v>
      </c>
      <c r="L1041" s="72">
        <f ca="1">IFERROR(__xludf.DUMMYFUNCTION("""COMPUTED_VALUE"""),1)</f>
        <v>1</v>
      </c>
      <c r="M1041" s="10">
        <f ca="1">IFERROR(__xludf.DUMMYFUNCTION("""COMPUTED_VALUE"""),10965)</f>
        <v>10965</v>
      </c>
      <c r="N1041" s="10" t="str">
        <f ca="1">IFERROR(__xludf.DUMMYFUNCTION("""COMPUTED_VALUE"""),"PMU")</f>
        <v>PMU</v>
      </c>
      <c r="O1041" s="1"/>
      <c r="P1041" s="1"/>
      <c r="Q1041" s="1"/>
      <c r="R1041" s="1"/>
      <c r="S1041" s="1"/>
      <c r="T1041" s="1"/>
      <c r="U1041" s="1"/>
      <c r="V1041" s="1"/>
      <c r="W1041" s="1"/>
      <c r="X1041" s="1"/>
      <c r="Y1041" s="1"/>
      <c r="Z1041" s="1"/>
    </row>
    <row r="1042" spans="1:26" ht="12.75" customHeight="1">
      <c r="A1042" s="1"/>
      <c r="B1042" s="10" t="str">
        <f ca="1">IFERROR(__xludf.DUMMYFUNCTION("""COMPUTED_VALUE"""),"MEJORAMIENTO RED VIAL VECINAL CALLEJON LOS HUINGANES, LOS RIQUELME, EL BOLSON Y EL SAUCE, LONGAVI")</f>
        <v>MEJORAMIENTO RED VIAL VECINAL CALLEJON LOS HUINGANES, LOS RIQUELME, EL BOLSON Y EL SAUCE, LONGAVI</v>
      </c>
      <c r="C1042" s="10" t="str">
        <f ca="1">IFERROR(__xludf.DUMMYFUNCTION("""COMPUTED_VALUE"""),"1-C-2021-1208 [FET]")</f>
        <v>1-C-2021-1208 [FET]</v>
      </c>
      <c r="D1042" s="26"/>
      <c r="E1042" s="10" t="str">
        <f ca="1">IFERROR(__xludf.DUMMYFUNCTION("""COMPUTED_VALUE"""),"Guía Operativa")</f>
        <v>Guía Operativa</v>
      </c>
      <c r="F1042" s="10" t="str">
        <f ca="1">IFERROR(__xludf.DUMMYFUNCTION("""COMPUTED_VALUE"""),"MUNICIPALIDAD DE LONGAVÍ")</f>
        <v>MUNICIPALIDAD DE LONGAVÍ</v>
      </c>
      <c r="G1042" s="71">
        <f ca="1">IFERROR(__xludf.DUMMYFUNCTION("""COMPUTED_VALUE"""),109410861)</f>
        <v>109410861</v>
      </c>
      <c r="H1042" s="10" t="str">
        <f ca="1">IFERROR(__xludf.DUMMYFUNCTION("""COMPUTED_VALUE"""),"Resolución")</f>
        <v>Resolución</v>
      </c>
      <c r="I1042" s="10" t="str">
        <f ca="1">IFERROR(__xludf.DUMMYFUNCTION("""COMPUTED_VALUE"""),"OBRA")</f>
        <v>OBRA</v>
      </c>
      <c r="J1042" s="10" t="str">
        <f ca="1">IFERROR(__xludf.DUMMYFUNCTION("""COMPUTED_VALUE"""),"Cumplir con normativa y reglamentos internos del programa en base a los objetivos.")</f>
        <v>Cumplir con normativa y reglamentos internos del programa en base a los objetivos.</v>
      </c>
      <c r="K1042" s="71">
        <f ca="1">IFERROR(__xludf.DUMMYFUNCTION("""COMPUTED_VALUE"""),49526610)</f>
        <v>49526610</v>
      </c>
      <c r="L1042" s="72">
        <f ca="1">IFERROR(__xludf.DUMMYFUNCTION("""COMPUTED_VALUE"""),0.999827064700642)</f>
        <v>0.99982706470064198</v>
      </c>
      <c r="M1042" s="10">
        <f ca="1">IFERROR(__xludf.DUMMYFUNCTION("""COMPUTED_VALUE"""),4135)</f>
        <v>4135</v>
      </c>
      <c r="N1042" s="10" t="str">
        <f ca="1">IFERROR(__xludf.DUMMYFUNCTION("""COMPUTED_VALUE"""),"PMU")</f>
        <v>PMU</v>
      </c>
      <c r="O1042" s="1"/>
      <c r="P1042" s="1"/>
      <c r="Q1042" s="1"/>
      <c r="R1042" s="1"/>
      <c r="S1042" s="1"/>
      <c r="T1042" s="1"/>
      <c r="U1042" s="1"/>
      <c r="V1042" s="1"/>
      <c r="W1042" s="1"/>
      <c r="X1042" s="1"/>
      <c r="Y1042" s="1"/>
      <c r="Z1042" s="1"/>
    </row>
    <row r="1043" spans="1:26" ht="12.75" customHeight="1">
      <c r="A1043" s="1"/>
      <c r="B1043" s="10" t="str">
        <f ca="1">IFERROR(__xludf.DUMMYFUNCTION("""COMPUTED_VALUE"""),"“MEJORAMIENTO RED VIAL VECINAL CALLEJÓN VUELTA DE LA GREDA Y LAS ROSAS ARLEGUI, LONGAVÍ”")</f>
        <v>“MEJORAMIENTO RED VIAL VECINAL CALLEJÓN VUELTA DE LA GREDA Y LAS ROSAS ARLEGUI, LONGAVÍ”</v>
      </c>
      <c r="C1043" s="10" t="str">
        <f ca="1">IFERROR(__xludf.DUMMYFUNCTION("""COMPUTED_VALUE"""),"1-C-2021-1651 [CHA]")</f>
        <v>1-C-2021-1651 [CHA]</v>
      </c>
      <c r="D1043" s="26"/>
      <c r="E1043" s="10" t="str">
        <f ca="1">IFERROR(__xludf.DUMMYFUNCTION("""COMPUTED_VALUE"""),"Guía Operativa")</f>
        <v>Guía Operativa</v>
      </c>
      <c r="F1043" s="10" t="str">
        <f ca="1">IFERROR(__xludf.DUMMYFUNCTION("""COMPUTED_VALUE"""),"MUNICIPALIDAD DE LONGAVÍ")</f>
        <v>MUNICIPALIDAD DE LONGAVÍ</v>
      </c>
      <c r="G1043" s="71">
        <f ca="1">IFERROR(__xludf.DUMMYFUNCTION("""COMPUTED_VALUE"""),99800178)</f>
        <v>99800178</v>
      </c>
      <c r="H1043" s="10" t="str">
        <f ca="1">IFERROR(__xludf.DUMMYFUNCTION("""COMPUTED_VALUE"""),"Resolución")</f>
        <v>Resolución</v>
      </c>
      <c r="I1043" s="10" t="str">
        <f ca="1">IFERROR(__xludf.DUMMYFUNCTION("""COMPUTED_VALUE"""),"OBRA")</f>
        <v>OBRA</v>
      </c>
      <c r="J1043" s="10" t="str">
        <f ca="1">IFERROR(__xludf.DUMMYFUNCTION("""COMPUTED_VALUE"""),"Cumplir con normativa y reglamentos internos del programa en base a los objetivos.")</f>
        <v>Cumplir con normativa y reglamentos internos del programa en base a los objetivos.</v>
      </c>
      <c r="K1043" s="71">
        <f ca="1">IFERROR(__xludf.DUMMYFUNCTION("""COMPUTED_VALUE"""),40029655)</f>
        <v>40029655</v>
      </c>
      <c r="L1043" s="72">
        <f ca="1">IFERROR(__xludf.DUMMYFUNCTION("""COMPUTED_VALUE"""),0.999780421233316)</f>
        <v>0.99978042123331601</v>
      </c>
      <c r="M1043" s="10">
        <f ca="1">IFERROR(__xludf.DUMMYFUNCTION("""COMPUTED_VALUE"""),7472)</f>
        <v>7472</v>
      </c>
      <c r="N1043" s="10" t="str">
        <f ca="1">IFERROR(__xludf.DUMMYFUNCTION("""COMPUTED_VALUE"""),"PMU")</f>
        <v>PMU</v>
      </c>
      <c r="O1043" s="1"/>
      <c r="P1043" s="1"/>
      <c r="Q1043" s="1"/>
      <c r="R1043" s="1"/>
      <c r="S1043" s="1"/>
      <c r="T1043" s="1"/>
      <c r="U1043" s="1"/>
      <c r="V1043" s="1"/>
      <c r="W1043" s="1"/>
      <c r="X1043" s="1"/>
      <c r="Y1043" s="1"/>
      <c r="Z1043" s="1"/>
    </row>
    <row r="1044" spans="1:26" ht="12.75" customHeight="1">
      <c r="A1044" s="1"/>
      <c r="B1044" s="10" t="str">
        <f ca="1">IFERROR(__xludf.DUMMYFUNCTION("""COMPUTED_VALUE"""),"MEJORAMIENTO RED VIAL VECINAL CALLEJÓN LA VITROLA Y CALLEJÓN EL TRANQUE")</f>
        <v>MEJORAMIENTO RED VIAL VECINAL CALLEJÓN LA VITROLA Y CALLEJÓN EL TRANQUE</v>
      </c>
      <c r="C1044" s="10" t="str">
        <f ca="1">IFERROR(__xludf.DUMMYFUNCTION("""COMPUTED_VALUE"""),"1-C-2021-1761 [FET]")</f>
        <v>1-C-2021-1761 [FET]</v>
      </c>
      <c r="D1044" s="26"/>
      <c r="E1044" s="10" t="str">
        <f ca="1">IFERROR(__xludf.DUMMYFUNCTION("""COMPUTED_VALUE"""),"Guía Operativa")</f>
        <v>Guía Operativa</v>
      </c>
      <c r="F1044" s="10" t="str">
        <f ca="1">IFERROR(__xludf.DUMMYFUNCTION("""COMPUTED_VALUE"""),"MUNICIPALIDAD DE LONGAVÍ")</f>
        <v>MUNICIPALIDAD DE LONGAVÍ</v>
      </c>
      <c r="G1044" s="71">
        <f ca="1">IFERROR(__xludf.DUMMYFUNCTION("""COMPUTED_VALUE"""),117762724)</f>
        <v>117762724</v>
      </c>
      <c r="H1044" s="10" t="str">
        <f ca="1">IFERROR(__xludf.DUMMYFUNCTION("""COMPUTED_VALUE"""),"Resolución")</f>
        <v>Resolución</v>
      </c>
      <c r="I1044" s="10" t="str">
        <f ca="1">IFERROR(__xludf.DUMMYFUNCTION("""COMPUTED_VALUE"""),"OBRA")</f>
        <v>OBRA</v>
      </c>
      <c r="J1044" s="10" t="str">
        <f ca="1">IFERROR(__xludf.DUMMYFUNCTION("""COMPUTED_VALUE"""),"Cumplir con normativa y reglamentos internos del programa en base a los objetivos.")</f>
        <v>Cumplir con normativa y reglamentos internos del programa en base a los objetivos.</v>
      </c>
      <c r="K1044" s="71">
        <f ca="1">IFERROR(__xludf.DUMMYFUNCTION("""COMPUTED_VALUE"""),42864610)</f>
        <v>42864610</v>
      </c>
      <c r="L1044" s="72">
        <f ca="1">IFERROR(__xludf.DUMMYFUNCTION("""COMPUTED_VALUE"""),0.999987101181525)</f>
        <v>0.99998710118152501</v>
      </c>
      <c r="M1044" s="10">
        <f ca="1">IFERROR(__xludf.DUMMYFUNCTION("""COMPUTED_VALUE"""),7695)</f>
        <v>7695</v>
      </c>
      <c r="N1044" s="10" t="str">
        <f ca="1">IFERROR(__xludf.DUMMYFUNCTION("""COMPUTED_VALUE"""),"PMU")</f>
        <v>PMU</v>
      </c>
      <c r="O1044" s="1"/>
      <c r="P1044" s="1"/>
      <c r="Q1044" s="1"/>
      <c r="R1044" s="1"/>
      <c r="S1044" s="1"/>
      <c r="T1044" s="1"/>
      <c r="U1044" s="1"/>
      <c r="V1044" s="1"/>
      <c r="W1044" s="1"/>
      <c r="X1044" s="1"/>
      <c r="Y1044" s="1"/>
      <c r="Z1044" s="1"/>
    </row>
    <row r="1045" spans="1:26" ht="12.75" customHeight="1">
      <c r="A1045" s="1"/>
      <c r="B1045" s="10" t="str">
        <f ca="1">IFERROR(__xludf.DUMMYFUNCTION("""COMPUTED_VALUE"""),"MEJORAMIENTO DE ILUMINACIÓN Y ACCESIBILIDAD UNIVERSAL COMPLEJO DEPORTIVO ALFONSO ESCOBAR, SAN JAVIER")</f>
        <v>MEJORAMIENTO DE ILUMINACIÓN Y ACCESIBILIDAD UNIVERSAL COMPLEJO DEPORTIVO ALFONSO ESCOBAR, SAN JAVIER</v>
      </c>
      <c r="C1045" s="10" t="str">
        <f ca="1">IFERROR(__xludf.DUMMYFUNCTION("""COMPUTED_VALUE"""),"1-B-2024-97")</f>
        <v>1-B-2024-97</v>
      </c>
      <c r="D1045" s="26"/>
      <c r="E1045" s="10" t="str">
        <f ca="1">IFERROR(__xludf.DUMMYFUNCTION("""COMPUTED_VALUE"""),"Guía Operativa")</f>
        <v>Guía Operativa</v>
      </c>
      <c r="F1045" s="10" t="str">
        <f ca="1">IFERROR(__xludf.DUMMYFUNCTION("""COMPUTED_VALUE"""),"MUNICIPALIDAD DE SAN JAVIER")</f>
        <v>MUNICIPALIDAD DE SAN JAVIER</v>
      </c>
      <c r="G1045" s="71">
        <f ca="1">IFERROR(__xludf.DUMMYFUNCTION("""COMPUTED_VALUE"""),104817141)</f>
        <v>104817141</v>
      </c>
      <c r="H1045" s="10" t="str">
        <f ca="1">IFERROR(__xludf.DUMMYFUNCTION("""COMPUTED_VALUE"""),"Resolución")</f>
        <v>Resolución</v>
      </c>
      <c r="I1045" s="10" t="str">
        <f ca="1">IFERROR(__xludf.DUMMYFUNCTION("""COMPUTED_VALUE"""),"OBRA")</f>
        <v>OBRA</v>
      </c>
      <c r="J1045" s="10" t="str">
        <f ca="1">IFERROR(__xludf.DUMMYFUNCTION("""COMPUTED_VALUE"""),"Cumplir con normativa y reglamentos internos del programa en base a los objetivos.")</f>
        <v>Cumplir con normativa y reglamentos internos del programa en base a los objetivos.</v>
      </c>
      <c r="K1045" s="71">
        <f ca="1">IFERROR(__xludf.DUMMYFUNCTION("""COMPUTED_VALUE"""),104817141)</f>
        <v>104817141</v>
      </c>
      <c r="L1045" s="72">
        <f ca="1">IFERROR(__xludf.DUMMYFUNCTION("""COMPUTED_VALUE"""),1)</f>
        <v>1</v>
      </c>
      <c r="M1045" s="10">
        <f ca="1">IFERROR(__xludf.DUMMYFUNCTION("""COMPUTED_VALUE"""),10862)</f>
        <v>10862</v>
      </c>
      <c r="N1045" s="10" t="str">
        <f ca="1">IFERROR(__xludf.DUMMYFUNCTION("""COMPUTED_VALUE"""),"PMU")</f>
        <v>PMU</v>
      </c>
      <c r="O1045" s="1"/>
      <c r="P1045" s="1"/>
      <c r="Q1045" s="1"/>
      <c r="R1045" s="1"/>
      <c r="S1045" s="1"/>
      <c r="T1045" s="1"/>
      <c r="U1045" s="1"/>
      <c r="V1045" s="1"/>
      <c r="W1045" s="1"/>
      <c r="X1045" s="1"/>
      <c r="Y1045" s="1"/>
      <c r="Z1045" s="1"/>
    </row>
    <row r="1046" spans="1:26" ht="12.75" customHeight="1">
      <c r="A1046" s="1"/>
      <c r="B1046" s="10" t="str">
        <f ca="1">IFERROR(__xludf.DUMMYFUNCTION("""COMPUTED_VALUE"""),"REPOSICIÓN VEREDAS AVENIDA LUIS CRUZ MARTÍNEZ, CALLE YERBAS BUENAS, LIBERTAD Y OTROS, COMUNA DE MOLINA")</f>
        <v>REPOSICIÓN VEREDAS AVENIDA LUIS CRUZ MARTÍNEZ, CALLE YERBAS BUENAS, LIBERTAD Y OTROS, COMUNA DE MOLINA</v>
      </c>
      <c r="C1046" s="10" t="str">
        <f ca="1">IFERROR(__xludf.DUMMYFUNCTION("""COMPUTED_VALUE"""),"1-B-2024-187")</f>
        <v>1-B-2024-187</v>
      </c>
      <c r="D1046" s="26"/>
      <c r="E1046" s="10" t="str">
        <f ca="1">IFERROR(__xludf.DUMMYFUNCTION("""COMPUTED_VALUE"""),"Guía Operativa")</f>
        <v>Guía Operativa</v>
      </c>
      <c r="F1046" s="10" t="str">
        <f ca="1">IFERROR(__xludf.DUMMYFUNCTION("""COMPUTED_VALUE"""),"MUNICIPALIDAD DE MOLINA")</f>
        <v>MUNICIPALIDAD DE MOLINA</v>
      </c>
      <c r="G1046" s="71">
        <f ca="1">IFERROR(__xludf.DUMMYFUNCTION("""COMPUTED_VALUE"""),58177560)</f>
        <v>58177560</v>
      </c>
      <c r="H1046" s="10" t="str">
        <f ca="1">IFERROR(__xludf.DUMMYFUNCTION("""COMPUTED_VALUE"""),"Resolución")</f>
        <v>Resolución</v>
      </c>
      <c r="I1046" s="10" t="str">
        <f ca="1">IFERROR(__xludf.DUMMYFUNCTION("""COMPUTED_VALUE"""),"OBRA")</f>
        <v>OBRA</v>
      </c>
      <c r="J1046" s="10" t="str">
        <f ca="1">IFERROR(__xludf.DUMMYFUNCTION("""COMPUTED_VALUE"""),"Cumplir con normativa y reglamentos internos del programa en base a los objetivos.")</f>
        <v>Cumplir con normativa y reglamentos internos del programa en base a los objetivos.</v>
      </c>
      <c r="K1046" s="71">
        <f ca="1">IFERROR(__xludf.DUMMYFUNCTION("""COMPUTED_VALUE"""),58177560)</f>
        <v>58177560</v>
      </c>
      <c r="L1046" s="72">
        <f ca="1">IFERROR(__xludf.DUMMYFUNCTION("""COMPUTED_VALUE"""),1)</f>
        <v>1</v>
      </c>
      <c r="M1046" s="10">
        <f ca="1">IFERROR(__xludf.DUMMYFUNCTION("""COMPUTED_VALUE"""),10865)</f>
        <v>10865</v>
      </c>
      <c r="N1046" s="10" t="str">
        <f ca="1">IFERROR(__xludf.DUMMYFUNCTION("""COMPUTED_VALUE"""),"PMU")</f>
        <v>PMU</v>
      </c>
      <c r="O1046" s="1"/>
      <c r="P1046" s="1"/>
      <c r="Q1046" s="1"/>
      <c r="R1046" s="1"/>
      <c r="S1046" s="1"/>
      <c r="T1046" s="1"/>
      <c r="U1046" s="1"/>
      <c r="V1046" s="1"/>
      <c r="W1046" s="1"/>
      <c r="X1046" s="1"/>
      <c r="Y1046" s="1"/>
      <c r="Z1046" s="1"/>
    </row>
    <row r="1047" spans="1:26" ht="12.75" customHeight="1">
      <c r="A1047" s="1"/>
      <c r="B1047" s="10" t="str">
        <f ca="1">IFERROR(__xludf.DUMMYFUNCTION("""COMPUTED_VALUE"""),"MEJORAMIENTO DEL SERVICIO LUMINICO EN PLAZOLETA DEL SECTOR OVALO, COMUNA DE CURICÓ")</f>
        <v>MEJORAMIENTO DEL SERVICIO LUMINICO EN PLAZOLETA DEL SECTOR OVALO, COMUNA DE CURICÓ</v>
      </c>
      <c r="C1047" s="10" t="str">
        <f ca="1">IFERROR(__xludf.DUMMYFUNCTION("""COMPUTED_VALUE"""),"1-B-2024-301")</f>
        <v>1-B-2024-301</v>
      </c>
      <c r="D1047" s="26"/>
      <c r="E1047" s="10" t="str">
        <f ca="1">IFERROR(__xludf.DUMMYFUNCTION("""COMPUTED_VALUE"""),"Guía Operativa")</f>
        <v>Guía Operativa</v>
      </c>
      <c r="F1047" s="10" t="str">
        <f ca="1">IFERROR(__xludf.DUMMYFUNCTION("""COMPUTED_VALUE"""),"MUNICIPALIDAD DE CURICÓ")</f>
        <v>MUNICIPALIDAD DE CURICÓ</v>
      </c>
      <c r="G1047" s="71">
        <f ca="1">IFERROR(__xludf.DUMMYFUNCTION("""COMPUTED_VALUE"""),105326565)</f>
        <v>105326565</v>
      </c>
      <c r="H1047" s="10" t="str">
        <f ca="1">IFERROR(__xludf.DUMMYFUNCTION("""COMPUTED_VALUE"""),"Resolución")</f>
        <v>Resolución</v>
      </c>
      <c r="I1047" s="10" t="str">
        <f ca="1">IFERROR(__xludf.DUMMYFUNCTION("""COMPUTED_VALUE"""),"OBRA")</f>
        <v>OBRA</v>
      </c>
      <c r="J1047" s="10" t="str">
        <f ca="1">IFERROR(__xludf.DUMMYFUNCTION("""COMPUTED_VALUE"""),"Cumplir con normativa y reglamentos internos del programa en base a los objetivos.")</f>
        <v>Cumplir con normativa y reglamentos internos del programa en base a los objetivos.</v>
      </c>
      <c r="K1047" s="71">
        <f ca="1">IFERROR(__xludf.DUMMYFUNCTION("""COMPUTED_VALUE"""),105326565)</f>
        <v>105326565</v>
      </c>
      <c r="L1047" s="72">
        <f ca="1">IFERROR(__xludf.DUMMYFUNCTION("""COMPUTED_VALUE"""),1)</f>
        <v>1</v>
      </c>
      <c r="M1047" s="10">
        <f ca="1">IFERROR(__xludf.DUMMYFUNCTION("""COMPUTED_VALUE"""),10844)</f>
        <v>10844</v>
      </c>
      <c r="N1047" s="10" t="str">
        <f ca="1">IFERROR(__xludf.DUMMYFUNCTION("""COMPUTED_VALUE"""),"PMU")</f>
        <v>PMU</v>
      </c>
      <c r="O1047" s="1"/>
      <c r="P1047" s="1"/>
      <c r="Q1047" s="1"/>
      <c r="R1047" s="1"/>
      <c r="S1047" s="1"/>
      <c r="T1047" s="1"/>
      <c r="U1047" s="1"/>
      <c r="V1047" s="1"/>
      <c r="W1047" s="1"/>
      <c r="X1047" s="1"/>
      <c r="Y1047" s="1"/>
      <c r="Z1047" s="1"/>
    </row>
    <row r="1048" spans="1:26" ht="12.75" customHeight="1">
      <c r="A1048" s="1"/>
      <c r="B1048" s="10" t="str">
        <f ca="1">IFERROR(__xludf.DUMMYFUNCTION("""COMPUTED_VALUE"""),"MEJORAMIENTO EQUIPAMIENTOS DEPORTIVOS MUNICIPALES, COMUNA DE RÍO CLARO")</f>
        <v>MEJORAMIENTO EQUIPAMIENTOS DEPORTIVOS MUNICIPALES, COMUNA DE RÍO CLARO</v>
      </c>
      <c r="C1048" s="10" t="str">
        <f ca="1">IFERROR(__xludf.DUMMYFUNCTION("""COMPUTED_VALUE"""),"1-B-2024-302")</f>
        <v>1-B-2024-302</v>
      </c>
      <c r="D1048" s="26"/>
      <c r="E1048" s="10" t="str">
        <f ca="1">IFERROR(__xludf.DUMMYFUNCTION("""COMPUTED_VALUE"""),"Guía Operativa")</f>
        <v>Guía Operativa</v>
      </c>
      <c r="F1048" s="10" t="str">
        <f ca="1">IFERROR(__xludf.DUMMYFUNCTION("""COMPUTED_VALUE"""),"MUNICIPALIDAD DE RÍO CLARO")</f>
        <v>MUNICIPALIDAD DE RÍO CLARO</v>
      </c>
      <c r="G1048" s="71">
        <f ca="1">IFERROR(__xludf.DUMMYFUNCTION("""COMPUTED_VALUE"""),105326607)</f>
        <v>105326607</v>
      </c>
      <c r="H1048" s="10" t="str">
        <f ca="1">IFERROR(__xludf.DUMMYFUNCTION("""COMPUTED_VALUE"""),"Resolución")</f>
        <v>Resolución</v>
      </c>
      <c r="I1048" s="10" t="str">
        <f ca="1">IFERROR(__xludf.DUMMYFUNCTION("""COMPUTED_VALUE"""),"OBRA")</f>
        <v>OBRA</v>
      </c>
      <c r="J1048" s="10" t="str">
        <f ca="1">IFERROR(__xludf.DUMMYFUNCTION("""COMPUTED_VALUE"""),"Cumplir con normativa y reglamentos internos del programa en base a los objetivos.")</f>
        <v>Cumplir con normativa y reglamentos internos del programa en base a los objetivos.</v>
      </c>
      <c r="K1048" s="71">
        <f ca="1">IFERROR(__xludf.DUMMYFUNCTION("""COMPUTED_VALUE"""),105326607)</f>
        <v>105326607</v>
      </c>
      <c r="L1048" s="72">
        <f ca="1">IFERROR(__xludf.DUMMYFUNCTION("""COMPUTED_VALUE"""),1)</f>
        <v>1</v>
      </c>
      <c r="M1048" s="10">
        <f ca="1">IFERROR(__xludf.DUMMYFUNCTION("""COMPUTED_VALUE"""),10851)</f>
        <v>10851</v>
      </c>
      <c r="N1048" s="10" t="str">
        <f ca="1">IFERROR(__xludf.DUMMYFUNCTION("""COMPUTED_VALUE"""),"PMU")</f>
        <v>PMU</v>
      </c>
      <c r="O1048" s="1"/>
      <c r="P1048" s="1"/>
      <c r="Q1048" s="1"/>
      <c r="R1048" s="1"/>
      <c r="S1048" s="1"/>
      <c r="T1048" s="1"/>
      <c r="U1048" s="1"/>
      <c r="V1048" s="1"/>
      <c r="W1048" s="1"/>
      <c r="X1048" s="1"/>
      <c r="Y1048" s="1"/>
      <c r="Z1048" s="1"/>
    </row>
    <row r="1049" spans="1:26" ht="12.75" customHeight="1">
      <c r="A1049" s="1"/>
      <c r="B1049" s="10" t="str">
        <f ca="1">IFERROR(__xludf.DUMMYFUNCTION("""COMPUTED_VALUE"""),"MEJORAMIENTO SEDE SOCIAL VILLA MIRAMAR DICHATO, COMUNA DE TOME")</f>
        <v>MEJORAMIENTO SEDE SOCIAL VILLA MIRAMAR DICHATO, COMUNA DE TOME</v>
      </c>
      <c r="C1049" s="10" t="str">
        <f ca="1">IFERROR(__xludf.DUMMYFUNCTION("""COMPUTED_VALUE"""),"1-B-2024-387")</f>
        <v>1-B-2024-387</v>
      </c>
      <c r="D1049" s="26"/>
      <c r="E1049" s="10" t="str">
        <f ca="1">IFERROR(__xludf.DUMMYFUNCTION("""COMPUTED_VALUE"""),"Guía Operativa")</f>
        <v>Guía Operativa</v>
      </c>
      <c r="F1049" s="10" t="str">
        <f ca="1">IFERROR(__xludf.DUMMYFUNCTION("""COMPUTED_VALUE"""),"MUNICIPALIDAD DE TOMÉ")</f>
        <v>MUNICIPALIDAD DE TOMÉ</v>
      </c>
      <c r="G1049" s="71">
        <f ca="1">IFERROR(__xludf.DUMMYFUNCTION("""COMPUTED_VALUE"""),112230679)</f>
        <v>112230679</v>
      </c>
      <c r="H1049" s="10" t="str">
        <f ca="1">IFERROR(__xludf.DUMMYFUNCTION("""COMPUTED_VALUE"""),"Resolución")</f>
        <v>Resolución</v>
      </c>
      <c r="I1049" s="10" t="str">
        <f ca="1">IFERROR(__xludf.DUMMYFUNCTION("""COMPUTED_VALUE"""),"OBRA")</f>
        <v>OBRA</v>
      </c>
      <c r="J1049" s="10" t="str">
        <f ca="1">IFERROR(__xludf.DUMMYFUNCTION("""COMPUTED_VALUE"""),"Cumplir con normativa y reglamentos internos del programa en base a los objetivos.")</f>
        <v>Cumplir con normativa y reglamentos internos del programa en base a los objetivos.</v>
      </c>
      <c r="K1049" s="71">
        <f ca="1">IFERROR(__xludf.DUMMYFUNCTION("""COMPUTED_VALUE"""),49830139)</f>
        <v>49830139</v>
      </c>
      <c r="L1049" s="72">
        <f ca="1">IFERROR(__xludf.DUMMYFUNCTION("""COMPUTED_VALUE"""),0.443997483076797)</f>
        <v>0.44399748307679698</v>
      </c>
      <c r="M1049" s="10">
        <f ca="1">IFERROR(__xludf.DUMMYFUNCTION("""COMPUTED_VALUE"""),8062)</f>
        <v>8062</v>
      </c>
      <c r="N1049" s="10" t="str">
        <f ca="1">IFERROR(__xludf.DUMMYFUNCTION("""COMPUTED_VALUE"""),"PMU")</f>
        <v>PMU</v>
      </c>
      <c r="O1049" s="1"/>
      <c r="P1049" s="1"/>
      <c r="Q1049" s="1"/>
      <c r="R1049" s="1"/>
      <c r="S1049" s="1"/>
      <c r="T1049" s="1"/>
      <c r="U1049" s="1"/>
      <c r="V1049" s="1"/>
      <c r="W1049" s="1"/>
      <c r="X1049" s="1"/>
      <c r="Y1049" s="1"/>
      <c r="Z1049" s="1"/>
    </row>
    <row r="1050" spans="1:26" ht="12.75" customHeight="1">
      <c r="A1050" s="1"/>
      <c r="B1050" s="10" t="str">
        <f ca="1">IFERROR(__xludf.DUMMYFUNCTION("""COMPUTED_VALUE"""),"MEJORAMIENTO SEDE SOCIAL VILLA NUEVO TOME, COMUNA DE TOME")</f>
        <v>MEJORAMIENTO SEDE SOCIAL VILLA NUEVO TOME, COMUNA DE TOME</v>
      </c>
      <c r="C1050" s="10" t="str">
        <f ca="1">IFERROR(__xludf.DUMMYFUNCTION("""COMPUTED_VALUE"""),"1-B-2024-388")</f>
        <v>1-B-2024-388</v>
      </c>
      <c r="D1050" s="26"/>
      <c r="E1050" s="10" t="str">
        <f ca="1">IFERROR(__xludf.DUMMYFUNCTION("""COMPUTED_VALUE"""),"Guía Operativa")</f>
        <v>Guía Operativa</v>
      </c>
      <c r="F1050" s="10" t="str">
        <f ca="1">IFERROR(__xludf.DUMMYFUNCTION("""COMPUTED_VALUE"""),"MUNICIPALIDAD DE TOMÉ")</f>
        <v>MUNICIPALIDAD DE TOMÉ</v>
      </c>
      <c r="G1050" s="71">
        <f ca="1">IFERROR(__xludf.DUMMYFUNCTION("""COMPUTED_VALUE"""),114825612)</f>
        <v>114825612</v>
      </c>
      <c r="H1050" s="10" t="str">
        <f ca="1">IFERROR(__xludf.DUMMYFUNCTION("""COMPUTED_VALUE"""),"Resolución")</f>
        <v>Resolución</v>
      </c>
      <c r="I1050" s="10" t="str">
        <f ca="1">IFERROR(__xludf.DUMMYFUNCTION("""COMPUTED_VALUE"""),"OBRA")</f>
        <v>OBRA</v>
      </c>
      <c r="J1050" s="10" t="str">
        <f ca="1">IFERROR(__xludf.DUMMYFUNCTION("""COMPUTED_VALUE"""),"Cumplir con normativa y reglamentos internos del programa en base a los objetivos.")</f>
        <v>Cumplir con normativa y reglamentos internos del programa en base a los objetivos.</v>
      </c>
      <c r="K1050" s="71">
        <f ca="1">IFERROR(__xludf.DUMMYFUNCTION("""COMPUTED_VALUE"""),54270266)</f>
        <v>54270266</v>
      </c>
      <c r="L1050" s="72">
        <f ca="1">IFERROR(__xludf.DUMMYFUNCTION("""COMPUTED_VALUE"""),0.472632064003281)</f>
        <v>0.472632064003281</v>
      </c>
      <c r="M1050" s="10">
        <f ca="1">IFERROR(__xludf.DUMMYFUNCTION("""COMPUTED_VALUE"""),8062)</f>
        <v>8062</v>
      </c>
      <c r="N1050" s="10" t="str">
        <f ca="1">IFERROR(__xludf.DUMMYFUNCTION("""COMPUTED_VALUE"""),"PMU")</f>
        <v>PMU</v>
      </c>
      <c r="O1050" s="1"/>
      <c r="P1050" s="1"/>
      <c r="Q1050" s="1"/>
      <c r="R1050" s="1"/>
      <c r="S1050" s="1"/>
      <c r="T1050" s="1"/>
      <c r="U1050" s="1"/>
      <c r="V1050" s="1"/>
      <c r="W1050" s="1"/>
      <c r="X1050" s="1"/>
      <c r="Y1050" s="1"/>
      <c r="Z1050" s="1"/>
    </row>
    <row r="1051" spans="1:26" ht="12.75" customHeight="1">
      <c r="A1051" s="1"/>
      <c r="B1051" s="10" t="str">
        <f ca="1">IFERROR(__xludf.DUMMYFUNCTION("""COMPUTED_VALUE"""),"MEJORAMIENTO AREA VERDE POBLACION NUEVO COCHOLGUE, COMUNA DE TOMÉ")</f>
        <v>MEJORAMIENTO AREA VERDE POBLACION NUEVO COCHOLGUE, COMUNA DE TOMÉ</v>
      </c>
      <c r="C1051" s="10" t="str">
        <f ca="1">IFERROR(__xludf.DUMMYFUNCTION("""COMPUTED_VALUE"""),"1-B-2024-389")</f>
        <v>1-B-2024-389</v>
      </c>
      <c r="D1051" s="26"/>
      <c r="E1051" s="10" t="str">
        <f ca="1">IFERROR(__xludf.DUMMYFUNCTION("""COMPUTED_VALUE"""),"Guía Operativa")</f>
        <v>Guía Operativa</v>
      </c>
      <c r="F1051" s="10" t="str">
        <f ca="1">IFERROR(__xludf.DUMMYFUNCTION("""COMPUTED_VALUE"""),"MUNICIPALIDAD DE TOMÉ")</f>
        <v>MUNICIPALIDAD DE TOMÉ</v>
      </c>
      <c r="G1051" s="71">
        <f ca="1">IFERROR(__xludf.DUMMYFUNCTION("""COMPUTED_VALUE"""),114518851)</f>
        <v>114518851</v>
      </c>
      <c r="H1051" s="10" t="str">
        <f ca="1">IFERROR(__xludf.DUMMYFUNCTION("""COMPUTED_VALUE"""),"Resolución")</f>
        <v>Resolución</v>
      </c>
      <c r="I1051" s="10" t="str">
        <f ca="1">IFERROR(__xludf.DUMMYFUNCTION("""COMPUTED_VALUE"""),"OBRA")</f>
        <v>OBRA</v>
      </c>
      <c r="J1051" s="10" t="str">
        <f ca="1">IFERROR(__xludf.DUMMYFUNCTION("""COMPUTED_VALUE"""),"Cumplir con normativa y reglamentos internos del programa en base a los objetivos.")</f>
        <v>Cumplir con normativa y reglamentos internos del programa en base a los objetivos.</v>
      </c>
      <c r="K1051" s="71">
        <f ca="1">IFERROR(__xludf.DUMMYFUNCTION("""COMPUTED_VALUE"""),55688125)</f>
        <v>55688125</v>
      </c>
      <c r="L1051" s="72">
        <f ca="1">IFERROR(__xludf.DUMMYFUNCTION("""COMPUTED_VALUE"""),0.486279110502077)</f>
        <v>0.48627911050207701</v>
      </c>
      <c r="M1051" s="10">
        <f ca="1">IFERROR(__xludf.DUMMYFUNCTION("""COMPUTED_VALUE"""),8063)</f>
        <v>8063</v>
      </c>
      <c r="N1051" s="10" t="str">
        <f ca="1">IFERROR(__xludf.DUMMYFUNCTION("""COMPUTED_VALUE"""),"PMU")</f>
        <v>PMU</v>
      </c>
      <c r="O1051" s="1"/>
      <c r="P1051" s="1"/>
      <c r="Q1051" s="1"/>
      <c r="R1051" s="1"/>
      <c r="S1051" s="1"/>
      <c r="T1051" s="1"/>
      <c r="U1051" s="1"/>
      <c r="V1051" s="1"/>
      <c r="W1051" s="1"/>
      <c r="X1051" s="1"/>
      <c r="Y1051" s="1"/>
      <c r="Z1051" s="1"/>
    </row>
    <row r="1052" spans="1:26" ht="12.75" customHeight="1">
      <c r="A1052" s="1"/>
      <c r="B1052" s="10" t="str">
        <f ca="1">IFERROR(__xludf.DUMMYFUNCTION("""COMPUTED_VALUE"""),"CONSTRUCCION PASAMANO CALLE CANDELARIA, COMUNA DE TOME")</f>
        <v>CONSTRUCCION PASAMANO CALLE CANDELARIA, COMUNA DE TOME</v>
      </c>
      <c r="C1052" s="10" t="str">
        <f ca="1">IFERROR(__xludf.DUMMYFUNCTION("""COMPUTED_VALUE"""),"1-B-2024-390")</f>
        <v>1-B-2024-390</v>
      </c>
      <c r="D1052" s="26"/>
      <c r="E1052" s="10" t="str">
        <f ca="1">IFERROR(__xludf.DUMMYFUNCTION("""COMPUTED_VALUE"""),"Guía Operativa")</f>
        <v>Guía Operativa</v>
      </c>
      <c r="F1052" s="10" t="str">
        <f ca="1">IFERROR(__xludf.DUMMYFUNCTION("""COMPUTED_VALUE"""),"MUNICIPALIDAD DE TOMÉ")</f>
        <v>MUNICIPALIDAD DE TOMÉ</v>
      </c>
      <c r="G1052" s="71">
        <f ca="1">IFERROR(__xludf.DUMMYFUNCTION("""COMPUTED_VALUE"""),129201465)</f>
        <v>129201465</v>
      </c>
      <c r="H1052" s="10" t="str">
        <f ca="1">IFERROR(__xludf.DUMMYFUNCTION("""COMPUTED_VALUE"""),"Resolución")</f>
        <v>Resolución</v>
      </c>
      <c r="I1052" s="10" t="str">
        <f ca="1">IFERROR(__xludf.DUMMYFUNCTION("""COMPUTED_VALUE"""),"OBRA")</f>
        <v>OBRA</v>
      </c>
      <c r="J1052" s="10" t="str">
        <f ca="1">IFERROR(__xludf.DUMMYFUNCTION("""COMPUTED_VALUE"""),"Cumplir con normativa y reglamentos internos del programa en base a los objetivos.")</f>
        <v>Cumplir con normativa y reglamentos internos del programa en base a los objetivos.</v>
      </c>
      <c r="K1052" s="71">
        <f ca="1">IFERROR(__xludf.DUMMYFUNCTION("""COMPUTED_VALUE"""),63029432)</f>
        <v>63029432</v>
      </c>
      <c r="L1052" s="72">
        <f ca="1">IFERROR(__xludf.DUMMYFUNCTION("""COMPUTED_VALUE"""),0.487838369324991)</f>
        <v>0.48783836932499097</v>
      </c>
      <c r="M1052" s="10">
        <f ca="1">IFERROR(__xludf.DUMMYFUNCTION("""COMPUTED_VALUE"""),8063)</f>
        <v>8063</v>
      </c>
      <c r="N1052" s="10" t="str">
        <f ca="1">IFERROR(__xludf.DUMMYFUNCTION("""COMPUTED_VALUE"""),"PMU")</f>
        <v>PMU</v>
      </c>
      <c r="O1052" s="1"/>
      <c r="P1052" s="1"/>
      <c r="Q1052" s="1"/>
      <c r="R1052" s="1"/>
      <c r="S1052" s="1"/>
      <c r="T1052" s="1"/>
      <c r="U1052" s="1"/>
      <c r="V1052" s="1"/>
      <c r="W1052" s="1"/>
      <c r="X1052" s="1"/>
      <c r="Y1052" s="1"/>
      <c r="Z1052" s="1"/>
    </row>
    <row r="1053" spans="1:26" ht="12.75" customHeight="1">
      <c r="A1053" s="1"/>
      <c r="B1053" s="10" t="str">
        <f ca="1">IFERROR(__xludf.DUMMYFUNCTION("""COMPUTED_VALUE"""),"CONSTRUCCION ILUMINACION ORNAMENTAL PLAZA LOS AROMOS")</f>
        <v>CONSTRUCCION ILUMINACION ORNAMENTAL PLAZA LOS AROMOS</v>
      </c>
      <c r="C1053" s="10" t="str">
        <f ca="1">IFERROR(__xludf.DUMMYFUNCTION("""COMPUTED_VALUE"""),"1-K-2024-72")</f>
        <v>1-K-2024-72</v>
      </c>
      <c r="D1053" s="26"/>
      <c r="E1053" s="10" t="str">
        <f ca="1">IFERROR(__xludf.DUMMYFUNCTION("""COMPUTED_VALUE"""),"Guía Operativa")</f>
        <v>Guía Operativa</v>
      </c>
      <c r="F1053" s="10" t="str">
        <f ca="1">IFERROR(__xludf.DUMMYFUNCTION("""COMPUTED_VALUE"""),"MUNICIPALIDAD DE LEBU")</f>
        <v>MUNICIPALIDAD DE LEBU</v>
      </c>
      <c r="G1053" s="71">
        <f ca="1">IFERROR(__xludf.DUMMYFUNCTION("""COMPUTED_VALUE"""),75992097)</f>
        <v>75992097</v>
      </c>
      <c r="H1053" s="10" t="str">
        <f ca="1">IFERROR(__xludf.DUMMYFUNCTION("""COMPUTED_VALUE"""),"Resolución")</f>
        <v>Resolución</v>
      </c>
      <c r="I1053" s="10" t="str">
        <f ca="1">IFERROR(__xludf.DUMMYFUNCTION("""COMPUTED_VALUE"""),"OBRA")</f>
        <v>OBRA</v>
      </c>
      <c r="J1053" s="10" t="str">
        <f ca="1">IFERROR(__xludf.DUMMYFUNCTION("""COMPUTED_VALUE"""),"Cumplir con normativa y reglamentos internos del programa en base a los objetivos.")</f>
        <v>Cumplir con normativa y reglamentos internos del programa en base a los objetivos.</v>
      </c>
      <c r="K1053" s="71">
        <f ca="1">IFERROR(__xludf.DUMMYFUNCTION("""COMPUTED_VALUE"""),4322990)</f>
        <v>4322990</v>
      </c>
      <c r="L1053" s="72">
        <f ca="1">IFERROR(__xludf.DUMMYFUNCTION("""COMPUTED_VALUE"""),0.0568873629056453)</f>
        <v>5.6887362905645299E-2</v>
      </c>
      <c r="M1053" s="10">
        <f ca="1">IFERROR(__xludf.DUMMYFUNCTION("""COMPUTED_VALUE"""),8024)</f>
        <v>8024</v>
      </c>
      <c r="N1053" s="10" t="str">
        <f ca="1">IFERROR(__xludf.DUMMYFUNCTION("""COMPUTED_VALUE"""),"PMU")</f>
        <v>PMU</v>
      </c>
      <c r="O1053" s="1"/>
      <c r="P1053" s="1"/>
      <c r="Q1053" s="1"/>
      <c r="R1053" s="1"/>
      <c r="S1053" s="1"/>
      <c r="T1053" s="1"/>
      <c r="U1053" s="1"/>
      <c r="V1053" s="1"/>
      <c r="W1053" s="1"/>
      <c r="X1053" s="1"/>
      <c r="Y1053" s="1"/>
      <c r="Z1053" s="1"/>
    </row>
    <row r="1054" spans="1:26" ht="12.75" customHeight="1">
      <c r="A1054" s="1"/>
      <c r="B1054" s="10" t="str">
        <f ca="1">IFERROR(__xludf.DUMMYFUNCTION("""COMPUTED_VALUE"""),"CONSTRUCCIÓN DE ALUMBRADO PÚBLICO SANTA ROSA, LEBU")</f>
        <v>CONSTRUCCIÓN DE ALUMBRADO PÚBLICO SANTA ROSA, LEBU</v>
      </c>
      <c r="C1054" s="10" t="str">
        <f ca="1">IFERROR(__xludf.DUMMYFUNCTION("""COMPUTED_VALUE"""),"1-K-2024-73")</f>
        <v>1-K-2024-73</v>
      </c>
      <c r="D1054" s="26"/>
      <c r="E1054" s="10" t="str">
        <f ca="1">IFERROR(__xludf.DUMMYFUNCTION("""COMPUTED_VALUE"""),"Guía Operativa")</f>
        <v>Guía Operativa</v>
      </c>
      <c r="F1054" s="10" t="str">
        <f ca="1">IFERROR(__xludf.DUMMYFUNCTION("""COMPUTED_VALUE"""),"MUNICIPALIDAD DE LEBU")</f>
        <v>MUNICIPALIDAD DE LEBU</v>
      </c>
      <c r="G1054" s="71">
        <f ca="1">IFERROR(__xludf.DUMMYFUNCTION("""COMPUTED_VALUE"""),75992097)</f>
        <v>75992097</v>
      </c>
      <c r="H1054" s="10" t="str">
        <f ca="1">IFERROR(__xludf.DUMMYFUNCTION("""COMPUTED_VALUE"""),"Resolución")</f>
        <v>Resolución</v>
      </c>
      <c r="I1054" s="10" t="str">
        <f ca="1">IFERROR(__xludf.DUMMYFUNCTION("""COMPUTED_VALUE"""),"OBRA")</f>
        <v>OBRA</v>
      </c>
      <c r="J1054" s="10" t="str">
        <f ca="1">IFERROR(__xludf.DUMMYFUNCTION("""COMPUTED_VALUE"""),"Cumplir con normativa y reglamentos internos del programa en base a los objetivos.")</f>
        <v>Cumplir con normativa y reglamentos internos del programa en base a los objetivos.</v>
      </c>
      <c r="K1054" s="71">
        <f ca="1">IFERROR(__xludf.DUMMYFUNCTION("""COMPUTED_VALUE"""),4322990)</f>
        <v>4322990</v>
      </c>
      <c r="L1054" s="72">
        <f ca="1">IFERROR(__xludf.DUMMYFUNCTION("""COMPUTED_VALUE"""),0.0568873629056453)</f>
        <v>5.6887362905645299E-2</v>
      </c>
      <c r="M1054" s="10">
        <f ca="1">IFERROR(__xludf.DUMMYFUNCTION("""COMPUTED_VALUE"""),8024)</f>
        <v>8024</v>
      </c>
      <c r="N1054" s="10" t="str">
        <f ca="1">IFERROR(__xludf.DUMMYFUNCTION("""COMPUTED_VALUE"""),"PMU")</f>
        <v>PMU</v>
      </c>
      <c r="O1054" s="1"/>
      <c r="P1054" s="1"/>
      <c r="Q1054" s="1"/>
      <c r="R1054" s="1"/>
      <c r="S1054" s="1"/>
      <c r="T1054" s="1"/>
      <c r="U1054" s="1"/>
      <c r="V1054" s="1"/>
      <c r="W1054" s="1"/>
      <c r="X1054" s="1"/>
      <c r="Y1054" s="1"/>
      <c r="Z1054" s="1"/>
    </row>
    <row r="1055" spans="1:26" ht="12.75" customHeight="1">
      <c r="A1055" s="1"/>
      <c r="B1055" s="10" t="str">
        <f ca="1">IFERROR(__xludf.DUMMYFUNCTION("""COMPUTED_VALUE"""),"MEJORAMIENTO DE ALUMBRADO PÚBLICO EN CARLOS IBÁÑEZ DEL CAMPO, LEBU")</f>
        <v>MEJORAMIENTO DE ALUMBRADO PÚBLICO EN CARLOS IBÁÑEZ DEL CAMPO, LEBU</v>
      </c>
      <c r="C1055" s="10" t="str">
        <f ca="1">IFERROR(__xludf.DUMMYFUNCTION("""COMPUTED_VALUE"""),"1-K-2024-74")</f>
        <v>1-K-2024-74</v>
      </c>
      <c r="D1055" s="26"/>
      <c r="E1055" s="10" t="str">
        <f ca="1">IFERROR(__xludf.DUMMYFUNCTION("""COMPUTED_VALUE"""),"Guía Operativa")</f>
        <v>Guía Operativa</v>
      </c>
      <c r="F1055" s="10" t="str">
        <f ca="1">IFERROR(__xludf.DUMMYFUNCTION("""COMPUTED_VALUE"""),"MUNICIPALIDAD DE LEBU")</f>
        <v>MUNICIPALIDAD DE LEBU</v>
      </c>
      <c r="G1055" s="71">
        <f ca="1">IFERROR(__xludf.DUMMYFUNCTION("""COMPUTED_VALUE"""),79826517)</f>
        <v>79826517</v>
      </c>
      <c r="H1055" s="10" t="str">
        <f ca="1">IFERROR(__xludf.DUMMYFUNCTION("""COMPUTED_VALUE"""),"Resolución")</f>
        <v>Resolución</v>
      </c>
      <c r="I1055" s="10" t="str">
        <f ca="1">IFERROR(__xludf.DUMMYFUNCTION("""COMPUTED_VALUE"""),"OBRA")</f>
        <v>OBRA</v>
      </c>
      <c r="J1055" s="10" t="str">
        <f ca="1">IFERROR(__xludf.DUMMYFUNCTION("""COMPUTED_VALUE"""),"Cumplir con normativa y reglamentos internos del programa en base a los objetivos.")</f>
        <v>Cumplir con normativa y reglamentos internos del programa en base a los objetivos.</v>
      </c>
      <c r="K1055" s="71">
        <f ca="1">IFERROR(__xludf.DUMMYFUNCTION("""COMPUTED_VALUE"""),4583390)</f>
        <v>4583390</v>
      </c>
      <c r="L1055" s="72">
        <f ca="1">IFERROR(__xludf.DUMMYFUNCTION("""COMPUTED_VALUE"""),0.0574168856697079)</f>
        <v>5.7416885669707901E-2</v>
      </c>
      <c r="M1055" s="10">
        <f ca="1">IFERROR(__xludf.DUMMYFUNCTION("""COMPUTED_VALUE"""),8024)</f>
        <v>8024</v>
      </c>
      <c r="N1055" s="10" t="str">
        <f ca="1">IFERROR(__xludf.DUMMYFUNCTION("""COMPUTED_VALUE"""),"PMU")</f>
        <v>PMU</v>
      </c>
      <c r="O1055" s="1"/>
      <c r="P1055" s="1"/>
      <c r="Q1055" s="1"/>
      <c r="R1055" s="1"/>
      <c r="S1055" s="1"/>
      <c r="T1055" s="1"/>
      <c r="U1055" s="1"/>
      <c r="V1055" s="1"/>
      <c r="W1055" s="1"/>
      <c r="X1055" s="1"/>
      <c r="Y1055" s="1"/>
      <c r="Z1055" s="1"/>
    </row>
    <row r="1056" spans="1:26" ht="12.75" customHeight="1">
      <c r="A1056" s="1"/>
      <c r="B1056" s="10" t="str">
        <f ca="1">IFERROR(__xludf.DUMMYFUNCTION("""COMPUTED_VALUE"""),"CONSTRUCCIÓN DE ALUMBRADO PÚBLICO SECTOR TRANCALCO, COMUNA DE LEBU")</f>
        <v>CONSTRUCCIÓN DE ALUMBRADO PÚBLICO SECTOR TRANCALCO, COMUNA DE LEBU</v>
      </c>
      <c r="C1056" s="10" t="str">
        <f ca="1">IFERROR(__xludf.DUMMYFUNCTION("""COMPUTED_VALUE"""),"1-K-2024-75")</f>
        <v>1-K-2024-75</v>
      </c>
      <c r="D1056" s="26"/>
      <c r="E1056" s="10" t="str">
        <f ca="1">IFERROR(__xludf.DUMMYFUNCTION("""COMPUTED_VALUE"""),"Guía Operativa")</f>
        <v>Guía Operativa</v>
      </c>
      <c r="F1056" s="10" t="str">
        <f ca="1">IFERROR(__xludf.DUMMYFUNCTION("""COMPUTED_VALUE"""),"MUNICIPALIDAD DE LEBU")</f>
        <v>MUNICIPALIDAD DE LEBU</v>
      </c>
      <c r="G1056" s="71">
        <f ca="1">IFERROR(__xludf.DUMMYFUNCTION("""COMPUTED_VALUE"""),79819601)</f>
        <v>79819601</v>
      </c>
      <c r="H1056" s="10" t="str">
        <f ca="1">IFERROR(__xludf.DUMMYFUNCTION("""COMPUTED_VALUE"""),"Resolución")</f>
        <v>Resolución</v>
      </c>
      <c r="I1056" s="10" t="str">
        <f ca="1">IFERROR(__xludf.DUMMYFUNCTION("""COMPUTED_VALUE"""),"OBRA")</f>
        <v>OBRA</v>
      </c>
      <c r="J1056" s="10" t="str">
        <f ca="1">IFERROR(__xludf.DUMMYFUNCTION("""COMPUTED_VALUE"""),"Cumplir con normativa y reglamentos internos del programa en base a los objetivos.")</f>
        <v>Cumplir con normativa y reglamentos internos del programa en base a los objetivos.</v>
      </c>
      <c r="K1056" s="71">
        <f ca="1">IFERROR(__xludf.DUMMYFUNCTION("""COMPUTED_VALUE"""),4583390)</f>
        <v>4583390</v>
      </c>
      <c r="L1056" s="72">
        <f ca="1">IFERROR(__xludf.DUMMYFUNCTION("""COMPUTED_VALUE"""),0.0574218605778297)</f>
        <v>5.7421860577829699E-2</v>
      </c>
      <c r="M1056" s="10">
        <f ca="1">IFERROR(__xludf.DUMMYFUNCTION("""COMPUTED_VALUE"""),8024)</f>
        <v>8024</v>
      </c>
      <c r="N1056" s="10" t="str">
        <f ca="1">IFERROR(__xludf.DUMMYFUNCTION("""COMPUTED_VALUE"""),"PMU")</f>
        <v>PMU</v>
      </c>
      <c r="O1056" s="1"/>
      <c r="P1056" s="1"/>
      <c r="Q1056" s="1"/>
      <c r="R1056" s="1"/>
      <c r="S1056" s="1"/>
      <c r="T1056" s="1"/>
      <c r="U1056" s="1"/>
      <c r="V1056" s="1"/>
      <c r="W1056" s="1"/>
      <c r="X1056" s="1"/>
      <c r="Y1056" s="1"/>
      <c r="Z1056" s="1"/>
    </row>
    <row r="1057" spans="1:26" ht="12.75" customHeight="1">
      <c r="A1057" s="1"/>
      <c r="B1057" s="10" t="str">
        <f ca="1">IFERROR(__xludf.DUMMYFUNCTION("""COMPUTED_VALUE"""),"MEJORAMIENTO ACERA, CALLE ARNOLDO COURAD POBL. POLVORÍN 3, LOTA.")</f>
        <v>MEJORAMIENTO ACERA, CALLE ARNOLDO COURAD POBL. POLVORÍN 3, LOTA.</v>
      </c>
      <c r="C1057" s="10" t="str">
        <f ca="1">IFERROR(__xludf.DUMMYFUNCTION("""COMPUTED_VALUE"""),"1-K-2024-78")</f>
        <v>1-K-2024-78</v>
      </c>
      <c r="D1057" s="26"/>
      <c r="E1057" s="10" t="str">
        <f ca="1">IFERROR(__xludf.DUMMYFUNCTION("""COMPUTED_VALUE"""),"Guía Operativa")</f>
        <v>Guía Operativa</v>
      </c>
      <c r="F1057" s="10" t="str">
        <f ca="1">IFERROR(__xludf.DUMMYFUNCTION("""COMPUTED_VALUE"""),"MUNICIPALIDAD DE LOTA")</f>
        <v>MUNICIPALIDAD DE LOTA</v>
      </c>
      <c r="G1057" s="71">
        <f ca="1">IFERROR(__xludf.DUMMYFUNCTION("""COMPUTED_VALUE"""),154096776)</f>
        <v>154096776</v>
      </c>
      <c r="H1057" s="10" t="str">
        <f ca="1">IFERROR(__xludf.DUMMYFUNCTION("""COMPUTED_VALUE"""),"Resolución")</f>
        <v>Resolución</v>
      </c>
      <c r="I1057" s="10" t="str">
        <f ca="1">IFERROR(__xludf.DUMMYFUNCTION("""COMPUTED_VALUE"""),"OBRA")</f>
        <v>OBRA</v>
      </c>
      <c r="J1057" s="10" t="str">
        <f ca="1">IFERROR(__xludf.DUMMYFUNCTION("""COMPUTED_VALUE"""),"Cumplir con normativa y reglamentos internos del programa en base a los objetivos.")</f>
        <v>Cumplir con normativa y reglamentos internos del programa en base a los objetivos.</v>
      </c>
      <c r="K1057" s="71">
        <f ca="1">IFERROR(__xludf.DUMMYFUNCTION("""COMPUTED_VALUE"""),30000000)</f>
        <v>30000000</v>
      </c>
      <c r="L1057" s="72">
        <f ca="1">IFERROR(__xludf.DUMMYFUNCTION("""COMPUTED_VALUE"""),0.194682853066309)</f>
        <v>0.194682853066309</v>
      </c>
      <c r="M1057" s="10">
        <f ca="1">IFERROR(__xludf.DUMMYFUNCTION("""COMPUTED_VALUE"""),8053)</f>
        <v>8053</v>
      </c>
      <c r="N1057" s="10" t="str">
        <f ca="1">IFERROR(__xludf.DUMMYFUNCTION("""COMPUTED_VALUE"""),"PMU")</f>
        <v>PMU</v>
      </c>
      <c r="O1057" s="1"/>
      <c r="P1057" s="1"/>
      <c r="Q1057" s="1"/>
      <c r="R1057" s="1"/>
      <c r="S1057" s="1"/>
      <c r="T1057" s="1"/>
      <c r="U1057" s="1"/>
      <c r="V1057" s="1"/>
      <c r="W1057" s="1"/>
      <c r="X1057" s="1"/>
      <c r="Y1057" s="1"/>
      <c r="Z1057" s="1"/>
    </row>
    <row r="1058" spans="1:26" ht="12.75" customHeight="1">
      <c r="A1058" s="1"/>
      <c r="B1058" s="10" t="str">
        <f ca="1">IFERROR(__xludf.DUMMYFUNCTION("""COMPUTED_VALUE"""),"MEJORAMIENTO DE SEDE GUACOLDA Y REPOSICION DE CENTRO COMUNITARIO HUIÑILHUE, COMUNA DE TRAIGUEN")</f>
        <v>MEJORAMIENTO DE SEDE GUACOLDA Y REPOSICION DE CENTRO COMUNITARIO HUIÑILHUE, COMUNA DE TRAIGUEN</v>
      </c>
      <c r="C1058" s="10" t="str">
        <f ca="1">IFERROR(__xludf.DUMMYFUNCTION("""COMPUTED_VALUE"""),"1-C-2023-1834")</f>
        <v>1-C-2023-1834</v>
      </c>
      <c r="D1058" s="26"/>
      <c r="E1058" s="10" t="str">
        <f ca="1">IFERROR(__xludf.DUMMYFUNCTION("""COMPUTED_VALUE"""),"Guía Operativa")</f>
        <v>Guía Operativa</v>
      </c>
      <c r="F1058" s="10" t="str">
        <f ca="1">IFERROR(__xludf.DUMMYFUNCTION("""COMPUTED_VALUE"""),"MUNICIPALIDAD DE TRAIGUÉN")</f>
        <v>MUNICIPALIDAD DE TRAIGUÉN</v>
      </c>
      <c r="G1058" s="71">
        <f ca="1">IFERROR(__xludf.DUMMYFUNCTION("""COMPUTED_VALUE"""),132256120)</f>
        <v>132256120</v>
      </c>
      <c r="H1058" s="10" t="str">
        <f ca="1">IFERROR(__xludf.DUMMYFUNCTION("""COMPUTED_VALUE"""),"Resolución")</f>
        <v>Resolución</v>
      </c>
      <c r="I1058" s="10" t="str">
        <f ca="1">IFERROR(__xludf.DUMMYFUNCTION("""COMPUTED_VALUE"""),"OBRA")</f>
        <v>OBRA</v>
      </c>
      <c r="J1058" s="10" t="str">
        <f ca="1">IFERROR(__xludf.DUMMYFUNCTION("""COMPUTED_VALUE"""),"Cumplir con normativa y reglamentos internos del programa en base a los objetivos.")</f>
        <v>Cumplir con normativa y reglamentos internos del programa en base a los objetivos.</v>
      </c>
      <c r="K1058" s="71">
        <f ca="1">IFERROR(__xludf.DUMMYFUNCTION("""COMPUTED_VALUE"""),132256120)</f>
        <v>132256120</v>
      </c>
      <c r="L1058" s="72">
        <f ca="1">IFERROR(__xludf.DUMMYFUNCTION("""COMPUTED_VALUE"""),1)</f>
        <v>1</v>
      </c>
      <c r="M1058" s="10">
        <f ca="1">IFERROR(__xludf.DUMMYFUNCTION("""COMPUTED_VALUE"""),11424)</f>
        <v>11424</v>
      </c>
      <c r="N1058" s="10" t="str">
        <f ca="1">IFERROR(__xludf.DUMMYFUNCTION("""COMPUTED_VALUE"""),"PMU")</f>
        <v>PMU</v>
      </c>
      <c r="O1058" s="1"/>
      <c r="P1058" s="1"/>
      <c r="Q1058" s="1"/>
      <c r="R1058" s="1"/>
      <c r="S1058" s="1"/>
      <c r="T1058" s="1"/>
      <c r="U1058" s="1"/>
      <c r="V1058" s="1"/>
      <c r="W1058" s="1"/>
      <c r="X1058" s="1"/>
      <c r="Y1058" s="1"/>
      <c r="Z1058" s="1"/>
    </row>
    <row r="1059" spans="1:26" ht="12.75" customHeight="1">
      <c r="A1059" s="1"/>
      <c r="B1059" s="10" t="str">
        <f ca="1">IFERROR(__xludf.DUMMYFUNCTION("""COMPUTED_VALUE"""),"CONSTRUCCION GALPON MUNICIPAL, COMUNA DE TRAIGUEN”")</f>
        <v>CONSTRUCCION GALPON MUNICIPAL, COMUNA DE TRAIGUEN”</v>
      </c>
      <c r="C1059" s="10" t="str">
        <f ca="1">IFERROR(__xludf.DUMMYFUNCTION("""COMPUTED_VALUE"""),"1-C-2023-2430")</f>
        <v>1-C-2023-2430</v>
      </c>
      <c r="D1059" s="26"/>
      <c r="E1059" s="10" t="str">
        <f ca="1">IFERROR(__xludf.DUMMYFUNCTION("""COMPUTED_VALUE"""),"Guía Operativa")</f>
        <v>Guía Operativa</v>
      </c>
      <c r="F1059" s="10" t="str">
        <f ca="1">IFERROR(__xludf.DUMMYFUNCTION("""COMPUTED_VALUE"""),"MUNICIPALIDAD DE TRAIGUÉN")</f>
        <v>MUNICIPALIDAD DE TRAIGUÉN</v>
      </c>
      <c r="G1059" s="71">
        <f ca="1">IFERROR(__xludf.DUMMYFUNCTION("""COMPUTED_VALUE"""),151419438)</f>
        <v>151419438</v>
      </c>
      <c r="H1059" s="10" t="str">
        <f ca="1">IFERROR(__xludf.DUMMYFUNCTION("""COMPUTED_VALUE"""),"Resolución")</f>
        <v>Resolución</v>
      </c>
      <c r="I1059" s="10" t="str">
        <f ca="1">IFERROR(__xludf.DUMMYFUNCTION("""COMPUTED_VALUE"""),"OBRA")</f>
        <v>OBRA</v>
      </c>
      <c r="J1059" s="10" t="str">
        <f ca="1">IFERROR(__xludf.DUMMYFUNCTION("""COMPUTED_VALUE"""),"Cumplir con normativa y reglamentos internos del programa en base a los objetivos.")</f>
        <v>Cumplir con normativa y reglamentos internos del programa en base a los objetivos.</v>
      </c>
      <c r="K1059" s="71">
        <f ca="1">IFERROR(__xludf.DUMMYFUNCTION("""COMPUTED_VALUE"""),151419438)</f>
        <v>151419438</v>
      </c>
      <c r="L1059" s="72">
        <f ca="1">IFERROR(__xludf.DUMMYFUNCTION("""COMPUTED_VALUE"""),1)</f>
        <v>1</v>
      </c>
      <c r="M1059" s="10">
        <f ca="1">IFERROR(__xludf.DUMMYFUNCTION("""COMPUTED_VALUE"""),11424)</f>
        <v>11424</v>
      </c>
      <c r="N1059" s="10" t="str">
        <f ca="1">IFERROR(__xludf.DUMMYFUNCTION("""COMPUTED_VALUE"""),"PMU")</f>
        <v>PMU</v>
      </c>
      <c r="O1059" s="1"/>
      <c r="P1059" s="1"/>
      <c r="Q1059" s="1"/>
      <c r="R1059" s="1"/>
      <c r="S1059" s="1"/>
      <c r="T1059" s="1"/>
      <c r="U1059" s="1"/>
      <c r="V1059" s="1"/>
      <c r="W1059" s="1"/>
      <c r="X1059" s="1"/>
      <c r="Y1059" s="1"/>
      <c r="Z1059" s="1"/>
    </row>
    <row r="1060" spans="1:26" ht="12.75" customHeight="1">
      <c r="A1060" s="1"/>
      <c r="B1060" s="10" t="str">
        <f ca="1">IFERROR(__xludf.DUMMYFUNCTION("""COMPUTED_VALUE"""),"CONSTRUCCIÓN PARQUE LOS TRENES, COMUNA DE TRAIGUÉN")</f>
        <v>CONSTRUCCIÓN PARQUE LOS TRENES, COMUNA DE TRAIGUÉN</v>
      </c>
      <c r="C1060" s="10" t="str">
        <f ca="1">IFERROR(__xludf.DUMMYFUNCTION("""COMPUTED_VALUE"""),"1-C-2024-334")</f>
        <v>1-C-2024-334</v>
      </c>
      <c r="D1060" s="26"/>
      <c r="E1060" s="10" t="str">
        <f ca="1">IFERROR(__xludf.DUMMYFUNCTION("""COMPUTED_VALUE"""),"Guía Operativa")</f>
        <v>Guía Operativa</v>
      </c>
      <c r="F1060" s="10" t="str">
        <f ca="1">IFERROR(__xludf.DUMMYFUNCTION("""COMPUTED_VALUE"""),"MUNICIPALIDAD DE TRAIGUÉN")</f>
        <v>MUNICIPALIDAD DE TRAIGUÉN</v>
      </c>
      <c r="G1060" s="71">
        <f ca="1">IFERROR(__xludf.DUMMYFUNCTION("""COMPUTED_VALUE"""),158800200)</f>
        <v>158800200</v>
      </c>
      <c r="H1060" s="10" t="str">
        <f ca="1">IFERROR(__xludf.DUMMYFUNCTION("""COMPUTED_VALUE"""),"Resolución")</f>
        <v>Resolución</v>
      </c>
      <c r="I1060" s="10" t="str">
        <f ca="1">IFERROR(__xludf.DUMMYFUNCTION("""COMPUTED_VALUE"""),"OBRA")</f>
        <v>OBRA</v>
      </c>
      <c r="J1060" s="10" t="str">
        <f ca="1">IFERROR(__xludf.DUMMYFUNCTION("""COMPUTED_VALUE"""),"Cumplir con normativa y reglamentos internos del programa en base a los objetivos.")</f>
        <v>Cumplir con normativa y reglamentos internos del programa en base a los objetivos.</v>
      </c>
      <c r="K1060" s="71">
        <f ca="1">IFERROR(__xludf.DUMMYFUNCTION("""COMPUTED_VALUE"""),158800200)</f>
        <v>158800200</v>
      </c>
      <c r="L1060" s="72">
        <f ca="1">IFERROR(__xludf.DUMMYFUNCTION("""COMPUTED_VALUE"""),1)</f>
        <v>1</v>
      </c>
      <c r="M1060" s="10">
        <f ca="1">IFERROR(__xludf.DUMMYFUNCTION("""COMPUTED_VALUE"""),11424)</f>
        <v>11424</v>
      </c>
      <c r="N1060" s="10" t="str">
        <f ca="1">IFERROR(__xludf.DUMMYFUNCTION("""COMPUTED_VALUE"""),"PMU")</f>
        <v>PMU</v>
      </c>
      <c r="O1060" s="1"/>
      <c r="P1060" s="1"/>
      <c r="Q1060" s="1"/>
      <c r="R1060" s="1"/>
      <c r="S1060" s="1"/>
      <c r="T1060" s="1"/>
      <c r="U1060" s="1"/>
      <c r="V1060" s="1"/>
      <c r="W1060" s="1"/>
      <c r="X1060" s="1"/>
      <c r="Y1060" s="1"/>
      <c r="Z1060" s="1"/>
    </row>
    <row r="1061" spans="1:26" ht="12.75" customHeight="1">
      <c r="A1061" s="1"/>
      <c r="B1061" s="10" t="str">
        <f ca="1">IFERROR(__xludf.DUMMYFUNCTION("""COMPUTED_VALUE"""),"MEJORAMIENTO Y HABILITACIÓN SERVICIOS BASICOS CEMENTERIO GENERAL, COMUNA DE LONQUIMAY")</f>
        <v>MEJORAMIENTO Y HABILITACIÓN SERVICIOS BASICOS CEMENTERIO GENERAL, COMUNA DE LONQUIMAY</v>
      </c>
      <c r="C1061" s="10" t="str">
        <f ca="1">IFERROR(__xludf.DUMMYFUNCTION("""COMPUTED_VALUE"""),"1-B-2024-479")</f>
        <v>1-B-2024-479</v>
      </c>
      <c r="D1061" s="26"/>
      <c r="E1061" s="10" t="str">
        <f ca="1">IFERROR(__xludf.DUMMYFUNCTION("""COMPUTED_VALUE"""),"Guía Operativa")</f>
        <v>Guía Operativa</v>
      </c>
      <c r="F1061" s="10" t="str">
        <f ca="1">IFERROR(__xludf.DUMMYFUNCTION("""COMPUTED_VALUE"""),"MUNICIPALIDAD DE LONQUIMAY")</f>
        <v>MUNICIPALIDAD DE LONQUIMAY</v>
      </c>
      <c r="G1061" s="71">
        <f ca="1">IFERROR(__xludf.DUMMYFUNCTION("""COMPUTED_VALUE"""),92172181)</f>
        <v>92172181</v>
      </c>
      <c r="H1061" s="10" t="str">
        <f ca="1">IFERROR(__xludf.DUMMYFUNCTION("""COMPUTED_VALUE"""),"Resolución")</f>
        <v>Resolución</v>
      </c>
      <c r="I1061" s="10" t="str">
        <f ca="1">IFERROR(__xludf.DUMMYFUNCTION("""COMPUTED_VALUE"""),"OBRA")</f>
        <v>OBRA</v>
      </c>
      <c r="J1061" s="10" t="str">
        <f ca="1">IFERROR(__xludf.DUMMYFUNCTION("""COMPUTED_VALUE"""),"Cumplir con normativa y reglamentos internos del programa en base a los objetivos.")</f>
        <v>Cumplir con normativa y reglamentos internos del programa en base a los objetivos.</v>
      </c>
      <c r="K1061" s="71">
        <f ca="1">IFERROR(__xludf.DUMMYFUNCTION("""COMPUTED_VALUE"""),92172181)</f>
        <v>92172181</v>
      </c>
      <c r="L1061" s="72">
        <f ca="1">IFERROR(__xludf.DUMMYFUNCTION("""COMPUTED_VALUE"""),1)</f>
        <v>1</v>
      </c>
      <c r="M1061" s="10">
        <f ca="1">IFERROR(__xludf.DUMMYFUNCTION("""COMPUTED_VALUE"""),10968)</f>
        <v>10968</v>
      </c>
      <c r="N1061" s="10" t="str">
        <f ca="1">IFERROR(__xludf.DUMMYFUNCTION("""COMPUTED_VALUE"""),"PMU")</f>
        <v>PMU</v>
      </c>
      <c r="O1061" s="1"/>
      <c r="P1061" s="1"/>
      <c r="Q1061" s="1"/>
      <c r="R1061" s="1"/>
      <c r="S1061" s="1"/>
      <c r="T1061" s="1"/>
      <c r="U1061" s="1"/>
      <c r="V1061" s="1"/>
      <c r="W1061" s="1"/>
      <c r="X1061" s="1"/>
      <c r="Y1061" s="1"/>
      <c r="Z1061" s="1"/>
    </row>
    <row r="1062" spans="1:26" ht="12.75" customHeight="1">
      <c r="A1062" s="1"/>
      <c r="B1062" s="10" t="str">
        <f ca="1">IFERROR(__xludf.DUMMYFUNCTION("""COMPUTED_VALUE"""),"CONSTRUCCIÓN PARADERO DE BUSES SECTOR EL HUILQUE, COMUNA DE SAAVEDRA")</f>
        <v>CONSTRUCCIÓN PARADERO DE BUSES SECTOR EL HUILQUE, COMUNA DE SAAVEDRA</v>
      </c>
      <c r="C1062" s="10" t="str">
        <f ca="1">IFERROR(__xludf.DUMMYFUNCTION("""COMPUTED_VALUE"""),"1-B-2024-490")</f>
        <v>1-B-2024-490</v>
      </c>
      <c r="D1062" s="26"/>
      <c r="E1062" s="10" t="str">
        <f ca="1">IFERROR(__xludf.DUMMYFUNCTION("""COMPUTED_VALUE"""),"Guía Operativa")</f>
        <v>Guía Operativa</v>
      </c>
      <c r="F1062" s="10" t="str">
        <f ca="1">IFERROR(__xludf.DUMMYFUNCTION("""COMPUTED_VALUE"""),"MUNICIPALIDAD DE SAAVEDRA")</f>
        <v>MUNICIPALIDAD DE SAAVEDRA</v>
      </c>
      <c r="G1062" s="71">
        <f ca="1">IFERROR(__xludf.DUMMYFUNCTION("""COMPUTED_VALUE"""),92172781)</f>
        <v>92172781</v>
      </c>
      <c r="H1062" s="10" t="str">
        <f ca="1">IFERROR(__xludf.DUMMYFUNCTION("""COMPUTED_VALUE"""),"Resolución")</f>
        <v>Resolución</v>
      </c>
      <c r="I1062" s="10" t="str">
        <f ca="1">IFERROR(__xludf.DUMMYFUNCTION("""COMPUTED_VALUE"""),"OBRA")</f>
        <v>OBRA</v>
      </c>
      <c r="J1062" s="10" t="str">
        <f ca="1">IFERROR(__xludf.DUMMYFUNCTION("""COMPUTED_VALUE"""),"Cumplir con normativa y reglamentos internos del programa en base a los objetivos.")</f>
        <v>Cumplir con normativa y reglamentos internos del programa en base a los objetivos.</v>
      </c>
      <c r="K1062" s="71">
        <f ca="1">IFERROR(__xludf.DUMMYFUNCTION("""COMPUTED_VALUE"""),92172781)</f>
        <v>92172781</v>
      </c>
      <c r="L1062" s="72">
        <f ca="1">IFERROR(__xludf.DUMMYFUNCTION("""COMPUTED_VALUE"""),1)</f>
        <v>1</v>
      </c>
      <c r="M1062" s="10">
        <f ca="1">IFERROR(__xludf.DUMMYFUNCTION("""COMPUTED_VALUE"""),11415)</f>
        <v>11415</v>
      </c>
      <c r="N1062" s="10" t="str">
        <f ca="1">IFERROR(__xludf.DUMMYFUNCTION("""COMPUTED_VALUE"""),"PMU")</f>
        <v>PMU</v>
      </c>
      <c r="O1062" s="1"/>
      <c r="P1062" s="1"/>
      <c r="Q1062" s="1"/>
      <c r="R1062" s="1"/>
      <c r="S1062" s="1"/>
      <c r="T1062" s="1"/>
      <c r="U1062" s="1"/>
      <c r="V1062" s="1"/>
      <c r="W1062" s="1"/>
      <c r="X1062" s="1"/>
      <c r="Y1062" s="1"/>
      <c r="Z1062" s="1"/>
    </row>
    <row r="1063" spans="1:26" ht="12.75" customHeight="1">
      <c r="A1063" s="1"/>
      <c r="B1063" s="10" t="str">
        <f ca="1">IFERROR(__xludf.DUMMYFUNCTION("""COMPUTED_VALUE"""),"CONSTRUCCION CENTRO COMUNITARIO, PERQUENCO")</f>
        <v>CONSTRUCCION CENTRO COMUNITARIO, PERQUENCO</v>
      </c>
      <c r="C1063" s="10" t="str">
        <f ca="1">IFERROR(__xludf.DUMMYFUNCTION("""COMPUTED_VALUE"""),"1-B-2024-491")</f>
        <v>1-B-2024-491</v>
      </c>
      <c r="D1063" s="26"/>
      <c r="E1063" s="10" t="str">
        <f ca="1">IFERROR(__xludf.DUMMYFUNCTION("""COMPUTED_VALUE"""),"Guía Operativa")</f>
        <v>Guía Operativa</v>
      </c>
      <c r="F1063" s="10" t="str">
        <f ca="1">IFERROR(__xludf.DUMMYFUNCTION("""COMPUTED_VALUE"""),"MUNICIPALIDAD DE PERQUENCO")</f>
        <v>MUNICIPALIDAD DE PERQUENCO</v>
      </c>
      <c r="G1063" s="71">
        <f ca="1">IFERROR(__xludf.DUMMYFUNCTION("""COMPUTED_VALUE"""),92172781)</f>
        <v>92172781</v>
      </c>
      <c r="H1063" s="10" t="str">
        <f ca="1">IFERROR(__xludf.DUMMYFUNCTION("""COMPUTED_VALUE"""),"Resolución")</f>
        <v>Resolución</v>
      </c>
      <c r="I1063" s="10" t="str">
        <f ca="1">IFERROR(__xludf.DUMMYFUNCTION("""COMPUTED_VALUE"""),"OBRA")</f>
        <v>OBRA</v>
      </c>
      <c r="J1063" s="10" t="str">
        <f ca="1">IFERROR(__xludf.DUMMYFUNCTION("""COMPUTED_VALUE"""),"Cumplir con normativa y reglamentos internos del programa en base a los objetivos.")</f>
        <v>Cumplir con normativa y reglamentos internos del programa en base a los objetivos.</v>
      </c>
      <c r="K1063" s="71">
        <f ca="1">IFERROR(__xludf.DUMMYFUNCTION("""COMPUTED_VALUE"""),92172781)</f>
        <v>92172781</v>
      </c>
      <c r="L1063" s="72">
        <f ca="1">IFERROR(__xludf.DUMMYFUNCTION("""COMPUTED_VALUE"""),1)</f>
        <v>1</v>
      </c>
      <c r="M1063" s="10">
        <f ca="1">IFERROR(__xludf.DUMMYFUNCTION("""COMPUTED_VALUE"""),10869)</f>
        <v>10869</v>
      </c>
      <c r="N1063" s="10" t="str">
        <f ca="1">IFERROR(__xludf.DUMMYFUNCTION("""COMPUTED_VALUE"""),"PMU")</f>
        <v>PMU</v>
      </c>
      <c r="O1063" s="1"/>
      <c r="P1063" s="1"/>
      <c r="Q1063" s="1"/>
      <c r="R1063" s="1"/>
      <c r="S1063" s="1"/>
      <c r="T1063" s="1"/>
      <c r="U1063" s="1"/>
      <c r="V1063" s="1"/>
      <c r="W1063" s="1"/>
      <c r="X1063" s="1"/>
      <c r="Y1063" s="1"/>
      <c r="Z1063" s="1"/>
    </row>
    <row r="1064" spans="1:26" ht="12.75" customHeight="1">
      <c r="A1064" s="1"/>
      <c r="B1064" s="10" t="str">
        <f ca="1">IFERROR(__xludf.DUMMYFUNCTION("""COMPUTED_VALUE"""),"REPOSICION DE REFUGIOS PEATONALES, LONCOCHE")</f>
        <v>REPOSICION DE REFUGIOS PEATONALES, LONCOCHE</v>
      </c>
      <c r="C1064" s="10" t="str">
        <f ca="1">IFERROR(__xludf.DUMMYFUNCTION("""COMPUTED_VALUE"""),"1-B-2024-498")</f>
        <v>1-B-2024-498</v>
      </c>
      <c r="D1064" s="26"/>
      <c r="E1064" s="10" t="str">
        <f ca="1">IFERROR(__xludf.DUMMYFUNCTION("""COMPUTED_VALUE"""),"Guía Operativa")</f>
        <v>Guía Operativa</v>
      </c>
      <c r="F1064" s="10" t="str">
        <f ca="1">IFERROR(__xludf.DUMMYFUNCTION("""COMPUTED_VALUE"""),"MUNICIPALIDAD DE LONCOCHE")</f>
        <v>MUNICIPALIDAD DE LONCOCHE</v>
      </c>
      <c r="G1064" s="71">
        <f ca="1">IFERROR(__xludf.DUMMYFUNCTION("""COMPUTED_VALUE"""),92172781)</f>
        <v>92172781</v>
      </c>
      <c r="H1064" s="10" t="str">
        <f ca="1">IFERROR(__xludf.DUMMYFUNCTION("""COMPUTED_VALUE"""),"Resolución")</f>
        <v>Resolución</v>
      </c>
      <c r="I1064" s="10" t="str">
        <f ca="1">IFERROR(__xludf.DUMMYFUNCTION("""COMPUTED_VALUE"""),"OBRA")</f>
        <v>OBRA</v>
      </c>
      <c r="J1064" s="10" t="str">
        <f ca="1">IFERROR(__xludf.DUMMYFUNCTION("""COMPUTED_VALUE"""),"Cumplir con normativa y reglamentos internos del programa en base a los objetivos.")</f>
        <v>Cumplir con normativa y reglamentos internos del programa en base a los objetivos.</v>
      </c>
      <c r="K1064" s="71">
        <f ca="1">IFERROR(__xludf.DUMMYFUNCTION("""COMPUTED_VALUE"""),92172781)</f>
        <v>92172781</v>
      </c>
      <c r="L1064" s="72">
        <f ca="1">IFERROR(__xludf.DUMMYFUNCTION("""COMPUTED_VALUE"""),1)</f>
        <v>1</v>
      </c>
      <c r="M1064" s="10">
        <f ca="1">IFERROR(__xludf.DUMMYFUNCTION("""COMPUTED_VALUE"""),10847)</f>
        <v>10847</v>
      </c>
      <c r="N1064" s="10" t="str">
        <f ca="1">IFERROR(__xludf.DUMMYFUNCTION("""COMPUTED_VALUE"""),"PMU")</f>
        <v>PMU</v>
      </c>
      <c r="O1064" s="1"/>
      <c r="P1064" s="1"/>
      <c r="Q1064" s="1"/>
      <c r="R1064" s="1"/>
      <c r="S1064" s="1"/>
      <c r="T1064" s="1"/>
      <c r="U1064" s="1"/>
      <c r="V1064" s="1"/>
      <c r="W1064" s="1"/>
      <c r="X1064" s="1"/>
      <c r="Y1064" s="1"/>
      <c r="Z1064" s="1"/>
    </row>
    <row r="1065" spans="1:26" ht="12.75" customHeight="1">
      <c r="A1065" s="1"/>
      <c r="B1065" s="10" t="str">
        <f ca="1">IFERROR(__xludf.DUMMYFUNCTION("""COMPUTED_VALUE"""),"REPOSICIÓN DE ACERAS Y ESTACIONAMIENTOS CALLE CAUPOLICÁN ENTRE AURELIO LETELIER Y PEDRO AGUIRRE CERDA, MELIPEUCO")</f>
        <v>REPOSICIÓN DE ACERAS Y ESTACIONAMIENTOS CALLE CAUPOLICÁN ENTRE AURELIO LETELIER Y PEDRO AGUIRRE CERDA, MELIPEUCO</v>
      </c>
      <c r="C1065" s="10" t="str">
        <f ca="1">IFERROR(__xludf.DUMMYFUNCTION("""COMPUTED_VALUE"""),"1-B-2024-501")</f>
        <v>1-B-2024-501</v>
      </c>
      <c r="D1065" s="26"/>
      <c r="E1065" s="10" t="str">
        <f ca="1">IFERROR(__xludf.DUMMYFUNCTION("""COMPUTED_VALUE"""),"Guía Operativa")</f>
        <v>Guía Operativa</v>
      </c>
      <c r="F1065" s="10" t="str">
        <f ca="1">IFERROR(__xludf.DUMMYFUNCTION("""COMPUTED_VALUE"""),"MUNICIPALIDAD DE MELIPEUCO")</f>
        <v>MUNICIPALIDAD DE MELIPEUCO</v>
      </c>
      <c r="G1065" s="71">
        <f ca="1">IFERROR(__xludf.DUMMYFUNCTION("""COMPUTED_VALUE"""),79283750)</f>
        <v>79283750</v>
      </c>
      <c r="H1065" s="10" t="str">
        <f ca="1">IFERROR(__xludf.DUMMYFUNCTION("""COMPUTED_VALUE"""),"Resolución")</f>
        <v>Resolución</v>
      </c>
      <c r="I1065" s="10" t="str">
        <f ca="1">IFERROR(__xludf.DUMMYFUNCTION("""COMPUTED_VALUE"""),"OBRA")</f>
        <v>OBRA</v>
      </c>
      <c r="J1065" s="10" t="str">
        <f ca="1">IFERROR(__xludf.DUMMYFUNCTION("""COMPUTED_VALUE"""),"Cumplir con normativa y reglamentos internos del programa en base a los objetivos.")</f>
        <v>Cumplir con normativa y reglamentos internos del programa en base a los objetivos.</v>
      </c>
      <c r="K1065" s="71">
        <f ca="1">IFERROR(__xludf.DUMMYFUNCTION("""COMPUTED_VALUE"""),79283750)</f>
        <v>79283750</v>
      </c>
      <c r="L1065" s="72">
        <f ca="1">IFERROR(__xludf.DUMMYFUNCTION("""COMPUTED_VALUE"""),1)</f>
        <v>1</v>
      </c>
      <c r="M1065" s="10">
        <f ca="1">IFERROR(__xludf.DUMMYFUNCTION("""COMPUTED_VALUE"""),10793)</f>
        <v>10793</v>
      </c>
      <c r="N1065" s="10" t="str">
        <f ca="1">IFERROR(__xludf.DUMMYFUNCTION("""COMPUTED_VALUE"""),"PMU")</f>
        <v>PMU</v>
      </c>
      <c r="O1065" s="1"/>
      <c r="P1065" s="1"/>
      <c r="Q1065" s="1"/>
      <c r="R1065" s="1"/>
      <c r="S1065" s="1"/>
      <c r="T1065" s="1"/>
      <c r="U1065" s="1"/>
      <c r="V1065" s="1"/>
      <c r="W1065" s="1"/>
      <c r="X1065" s="1"/>
      <c r="Y1065" s="1"/>
      <c r="Z1065" s="1"/>
    </row>
    <row r="1066" spans="1:26" ht="12.75" customHeight="1">
      <c r="A1066" s="1"/>
      <c r="B1066" s="10" t="str">
        <f ca="1">IFERROR(__xludf.DUMMYFUNCTION("""COMPUTED_VALUE"""),"MEJORAMIENTO CEMENTERIO MUNICIPAL, PADRE LAS CASAS")</f>
        <v>MEJORAMIENTO CEMENTERIO MUNICIPAL, PADRE LAS CASAS</v>
      </c>
      <c r="C1066" s="10" t="str">
        <f ca="1">IFERROR(__xludf.DUMMYFUNCTION("""COMPUTED_VALUE"""),"1-B-2024-502")</f>
        <v>1-B-2024-502</v>
      </c>
      <c r="D1066" s="26"/>
      <c r="E1066" s="10" t="str">
        <f ca="1">IFERROR(__xludf.DUMMYFUNCTION("""COMPUTED_VALUE"""),"Guía Operativa")</f>
        <v>Guía Operativa</v>
      </c>
      <c r="F1066" s="10" t="str">
        <f ca="1">IFERROR(__xludf.DUMMYFUNCTION("""COMPUTED_VALUE"""),"MUNICIPALIDAD DE PADRE LAS CASAS")</f>
        <v>MUNICIPALIDAD DE PADRE LAS CASAS</v>
      </c>
      <c r="G1066" s="71">
        <f ca="1">IFERROR(__xludf.DUMMYFUNCTION("""COMPUTED_VALUE"""),39217749)</f>
        <v>39217749</v>
      </c>
      <c r="H1066" s="10" t="str">
        <f ca="1">IFERROR(__xludf.DUMMYFUNCTION("""COMPUTED_VALUE"""),"Resolución")</f>
        <v>Resolución</v>
      </c>
      <c r="I1066" s="10" t="str">
        <f ca="1">IFERROR(__xludf.DUMMYFUNCTION("""COMPUTED_VALUE"""),"OBRA")</f>
        <v>OBRA</v>
      </c>
      <c r="J1066" s="10" t="str">
        <f ca="1">IFERROR(__xludf.DUMMYFUNCTION("""COMPUTED_VALUE"""),"Cumplir con normativa y reglamentos internos del programa en base a los objetivos.")</f>
        <v>Cumplir con normativa y reglamentos internos del programa en base a los objetivos.</v>
      </c>
      <c r="K1066" s="71">
        <f ca="1">IFERROR(__xludf.DUMMYFUNCTION("""COMPUTED_VALUE"""),39217749)</f>
        <v>39217749</v>
      </c>
      <c r="L1066" s="72">
        <f ca="1">IFERROR(__xludf.DUMMYFUNCTION("""COMPUTED_VALUE"""),1)</f>
        <v>1</v>
      </c>
      <c r="M1066" s="10">
        <f ca="1">IFERROR(__xludf.DUMMYFUNCTION("""COMPUTED_VALUE"""),10966)</f>
        <v>10966</v>
      </c>
      <c r="N1066" s="10" t="str">
        <f ca="1">IFERROR(__xludf.DUMMYFUNCTION("""COMPUTED_VALUE"""),"PMU")</f>
        <v>PMU</v>
      </c>
      <c r="O1066" s="1"/>
      <c r="P1066" s="1"/>
      <c r="Q1066" s="1"/>
      <c r="R1066" s="1"/>
      <c r="S1066" s="1"/>
      <c r="T1066" s="1"/>
      <c r="U1066" s="1"/>
      <c r="V1066" s="1"/>
      <c r="W1066" s="1"/>
      <c r="X1066" s="1"/>
      <c r="Y1066" s="1"/>
      <c r="Z1066" s="1"/>
    </row>
    <row r="1067" spans="1:26" ht="12.75" customHeight="1">
      <c r="A1067" s="1"/>
      <c r="B1067" s="10" t="str">
        <f ca="1">IFERROR(__xludf.DUMMYFUNCTION("""COMPUTED_VALUE"""),"REPOSICIÓN DE VEREDAS Y EQUIPAMIENTO SECTOR SOL NACIENTE, NUEVA TOLTÉN")</f>
        <v>REPOSICIÓN DE VEREDAS Y EQUIPAMIENTO SECTOR SOL NACIENTE, NUEVA TOLTÉN</v>
      </c>
      <c r="C1067" s="10" t="str">
        <f ca="1">IFERROR(__xludf.DUMMYFUNCTION("""COMPUTED_VALUE"""),"1-B-2024-513")</f>
        <v>1-B-2024-513</v>
      </c>
      <c r="D1067" s="26"/>
      <c r="E1067" s="10" t="str">
        <f ca="1">IFERROR(__xludf.DUMMYFUNCTION("""COMPUTED_VALUE"""),"Guía Operativa")</f>
        <v>Guía Operativa</v>
      </c>
      <c r="F1067" s="10" t="str">
        <f ca="1">IFERROR(__xludf.DUMMYFUNCTION("""COMPUTED_VALUE"""),"MUNICIPALIDAD DE TOLTÉN")</f>
        <v>MUNICIPALIDAD DE TOLTÉN</v>
      </c>
      <c r="G1067" s="71">
        <f ca="1">IFERROR(__xludf.DUMMYFUNCTION("""COMPUTED_VALUE"""),92172781)</f>
        <v>92172781</v>
      </c>
      <c r="H1067" s="10" t="str">
        <f ca="1">IFERROR(__xludf.DUMMYFUNCTION("""COMPUTED_VALUE"""),"Resolución")</f>
        <v>Resolución</v>
      </c>
      <c r="I1067" s="10" t="str">
        <f ca="1">IFERROR(__xludf.DUMMYFUNCTION("""COMPUTED_VALUE"""),"OBRA")</f>
        <v>OBRA</v>
      </c>
      <c r="J1067" s="10" t="str">
        <f ca="1">IFERROR(__xludf.DUMMYFUNCTION("""COMPUTED_VALUE"""),"Cumplir con normativa y reglamentos internos del programa en base a los objetivos.")</f>
        <v>Cumplir con normativa y reglamentos internos del programa en base a los objetivos.</v>
      </c>
      <c r="K1067" s="71">
        <f ca="1">IFERROR(__xludf.DUMMYFUNCTION("""COMPUTED_VALUE"""),92172781)</f>
        <v>92172781</v>
      </c>
      <c r="L1067" s="72">
        <f ca="1">IFERROR(__xludf.DUMMYFUNCTION("""COMPUTED_VALUE"""),1)</f>
        <v>1</v>
      </c>
      <c r="M1067" s="10">
        <f ca="1">IFERROR(__xludf.DUMMYFUNCTION("""COMPUTED_VALUE"""),11423)</f>
        <v>11423</v>
      </c>
      <c r="N1067" s="10" t="str">
        <f ca="1">IFERROR(__xludf.DUMMYFUNCTION("""COMPUTED_VALUE"""),"PMU")</f>
        <v>PMU</v>
      </c>
      <c r="O1067" s="1"/>
      <c r="P1067" s="1"/>
      <c r="Q1067" s="1"/>
      <c r="R1067" s="1"/>
      <c r="S1067" s="1"/>
      <c r="T1067" s="1"/>
      <c r="U1067" s="1"/>
      <c r="V1067" s="1"/>
      <c r="W1067" s="1"/>
      <c r="X1067" s="1"/>
      <c r="Y1067" s="1"/>
      <c r="Z1067" s="1"/>
    </row>
    <row r="1068" spans="1:26" ht="12.75" customHeight="1">
      <c r="A1068" s="1"/>
      <c r="B1068" s="10" t="str">
        <f ca="1">IFERROR(__xludf.DUMMYFUNCTION("""COMPUTED_VALUE"""),"CONSTRUCCIÓN GALPÓN MECÁNICO MUNICIPAL DE CUNCO")</f>
        <v>CONSTRUCCIÓN GALPÓN MECÁNICO MUNICIPAL DE CUNCO</v>
      </c>
      <c r="C1068" s="10" t="str">
        <f ca="1">IFERROR(__xludf.DUMMYFUNCTION("""COMPUTED_VALUE"""),"1-B-2024-517")</f>
        <v>1-B-2024-517</v>
      </c>
      <c r="D1068" s="26"/>
      <c r="E1068" s="10" t="str">
        <f ca="1">IFERROR(__xludf.DUMMYFUNCTION("""COMPUTED_VALUE"""),"Guía Operativa")</f>
        <v>Guía Operativa</v>
      </c>
      <c r="F1068" s="10" t="str">
        <f ca="1">IFERROR(__xludf.DUMMYFUNCTION("""COMPUTED_VALUE"""),"MUNICIPALIDAD DE CUNCO")</f>
        <v>MUNICIPALIDAD DE CUNCO</v>
      </c>
      <c r="G1068" s="71">
        <f ca="1">IFERROR(__xludf.DUMMYFUNCTION("""COMPUTED_VALUE"""),92172781)</f>
        <v>92172781</v>
      </c>
      <c r="H1068" s="10" t="str">
        <f ca="1">IFERROR(__xludf.DUMMYFUNCTION("""COMPUTED_VALUE"""),"Resolución")</f>
        <v>Resolución</v>
      </c>
      <c r="I1068" s="10" t="str">
        <f ca="1">IFERROR(__xludf.DUMMYFUNCTION("""COMPUTED_VALUE"""),"OBRA")</f>
        <v>OBRA</v>
      </c>
      <c r="J1068" s="10" t="str">
        <f ca="1">IFERROR(__xludf.DUMMYFUNCTION("""COMPUTED_VALUE"""),"Cumplir con normativa y reglamentos internos del programa en base a los objetivos.")</f>
        <v>Cumplir con normativa y reglamentos internos del programa en base a los objetivos.</v>
      </c>
      <c r="K1068" s="71">
        <f ca="1">IFERROR(__xludf.DUMMYFUNCTION("""COMPUTED_VALUE"""),92172781)</f>
        <v>92172781</v>
      </c>
      <c r="L1068" s="72">
        <f ca="1">IFERROR(__xludf.DUMMYFUNCTION("""COMPUTED_VALUE"""),1)</f>
        <v>1</v>
      </c>
      <c r="M1068" s="10">
        <f ca="1">IFERROR(__xludf.DUMMYFUNCTION("""COMPUTED_VALUE"""),11458)</f>
        <v>11458</v>
      </c>
      <c r="N1068" s="10" t="str">
        <f ca="1">IFERROR(__xludf.DUMMYFUNCTION("""COMPUTED_VALUE"""),"PMU")</f>
        <v>PMU</v>
      </c>
      <c r="O1068" s="1"/>
      <c r="P1068" s="1"/>
      <c r="Q1068" s="1"/>
      <c r="R1068" s="1"/>
      <c r="S1068" s="1"/>
      <c r="T1068" s="1"/>
      <c r="U1068" s="1"/>
      <c r="V1068" s="1"/>
      <c r="W1068" s="1"/>
      <c r="X1068" s="1"/>
      <c r="Y1068" s="1"/>
      <c r="Z1068" s="1"/>
    </row>
    <row r="1069" spans="1:26" ht="12.75" customHeight="1">
      <c r="A1069" s="1"/>
      <c r="B1069" s="10" t="str">
        <f ca="1">IFERROR(__xludf.DUMMYFUNCTION("""COMPUTED_VALUE"""),"MEJORAMIENTO INTEGRAL CEMENTERIO INDIGENA MAÑIO, COMUNA DE CARAHUE")</f>
        <v>MEJORAMIENTO INTEGRAL CEMENTERIO INDIGENA MAÑIO, COMUNA DE CARAHUE</v>
      </c>
      <c r="C1069" s="10" t="str">
        <f ca="1">IFERROR(__xludf.DUMMYFUNCTION("""COMPUTED_VALUE"""),"1-B-2024-518")</f>
        <v>1-B-2024-518</v>
      </c>
      <c r="D1069" s="26"/>
      <c r="E1069" s="10" t="str">
        <f ca="1">IFERROR(__xludf.DUMMYFUNCTION("""COMPUTED_VALUE"""),"Guía Operativa")</f>
        <v>Guía Operativa</v>
      </c>
      <c r="F1069" s="10" t="str">
        <f ca="1">IFERROR(__xludf.DUMMYFUNCTION("""COMPUTED_VALUE"""),"MUNICIPALIDAD DE CARAHUE")</f>
        <v>MUNICIPALIDAD DE CARAHUE</v>
      </c>
      <c r="G1069" s="71">
        <f ca="1">IFERROR(__xludf.DUMMYFUNCTION("""COMPUTED_VALUE"""),92172779)</f>
        <v>92172779</v>
      </c>
      <c r="H1069" s="10" t="str">
        <f ca="1">IFERROR(__xludf.DUMMYFUNCTION("""COMPUTED_VALUE"""),"Resolución")</f>
        <v>Resolución</v>
      </c>
      <c r="I1069" s="10" t="str">
        <f ca="1">IFERROR(__xludf.DUMMYFUNCTION("""COMPUTED_VALUE"""),"OBRA")</f>
        <v>OBRA</v>
      </c>
      <c r="J1069" s="10" t="str">
        <f ca="1">IFERROR(__xludf.DUMMYFUNCTION("""COMPUTED_VALUE"""),"Cumplir con normativa y reglamentos internos del programa en base a los objetivos.")</f>
        <v>Cumplir con normativa y reglamentos internos del programa en base a los objetivos.</v>
      </c>
      <c r="K1069" s="71">
        <f ca="1">IFERROR(__xludf.DUMMYFUNCTION("""COMPUTED_VALUE"""),92172779)</f>
        <v>92172779</v>
      </c>
      <c r="L1069" s="72">
        <f ca="1">IFERROR(__xludf.DUMMYFUNCTION("""COMPUTED_VALUE"""),1)</f>
        <v>1</v>
      </c>
      <c r="M1069" s="10">
        <f ca="1">IFERROR(__xludf.DUMMYFUNCTION("""COMPUTED_VALUE"""),10967)</f>
        <v>10967</v>
      </c>
      <c r="N1069" s="10" t="str">
        <f ca="1">IFERROR(__xludf.DUMMYFUNCTION("""COMPUTED_VALUE"""),"PMU")</f>
        <v>PMU</v>
      </c>
      <c r="O1069" s="1"/>
      <c r="P1069" s="1"/>
      <c r="Q1069" s="1"/>
      <c r="R1069" s="1"/>
      <c r="S1069" s="1"/>
      <c r="T1069" s="1"/>
      <c r="U1069" s="1"/>
      <c r="V1069" s="1"/>
      <c r="W1069" s="1"/>
      <c r="X1069" s="1"/>
      <c r="Y1069" s="1"/>
      <c r="Z1069" s="1"/>
    </row>
    <row r="1070" spans="1:26" ht="12.75" customHeight="1">
      <c r="A1070" s="1"/>
      <c r="B1070" s="10" t="str">
        <f ca="1">IFERROR(__xludf.DUMMYFUNCTION("""COMPUTED_VALUE"""),"MEJORAMIENTO ACERAS CALLE INDEPENDENCIA ENTRE CALLES CHACABUCO Y PRAT, LOS SAUCES")</f>
        <v>MEJORAMIENTO ACERAS CALLE INDEPENDENCIA ENTRE CALLES CHACABUCO Y PRAT, LOS SAUCES</v>
      </c>
      <c r="C1070" s="10" t="str">
        <f ca="1">IFERROR(__xludf.DUMMYFUNCTION("""COMPUTED_VALUE"""),"1-B-2024-522")</f>
        <v>1-B-2024-522</v>
      </c>
      <c r="D1070" s="26"/>
      <c r="E1070" s="10" t="str">
        <f ca="1">IFERROR(__xludf.DUMMYFUNCTION("""COMPUTED_VALUE"""),"Guía Operativa")</f>
        <v>Guía Operativa</v>
      </c>
      <c r="F1070" s="10" t="str">
        <f ca="1">IFERROR(__xludf.DUMMYFUNCTION("""COMPUTED_VALUE"""),"MUNICIPALIDAD DE LOS SAUCES")</f>
        <v>MUNICIPALIDAD DE LOS SAUCES</v>
      </c>
      <c r="G1070" s="71">
        <f ca="1">IFERROR(__xludf.DUMMYFUNCTION("""COMPUTED_VALUE"""),92172781)</f>
        <v>92172781</v>
      </c>
      <c r="H1070" s="10" t="str">
        <f ca="1">IFERROR(__xludf.DUMMYFUNCTION("""COMPUTED_VALUE"""),"Resolución")</f>
        <v>Resolución</v>
      </c>
      <c r="I1070" s="10" t="str">
        <f ca="1">IFERROR(__xludf.DUMMYFUNCTION("""COMPUTED_VALUE"""),"OBRA")</f>
        <v>OBRA</v>
      </c>
      <c r="J1070" s="10" t="str">
        <f ca="1">IFERROR(__xludf.DUMMYFUNCTION("""COMPUTED_VALUE"""),"Cumplir con normativa y reglamentos internos del programa en base a los objetivos.")</f>
        <v>Cumplir con normativa y reglamentos internos del programa en base a los objetivos.</v>
      </c>
      <c r="K1070" s="71">
        <f ca="1">IFERROR(__xludf.DUMMYFUNCTION("""COMPUTED_VALUE"""),92172781)</f>
        <v>92172781</v>
      </c>
      <c r="L1070" s="72">
        <f ca="1">IFERROR(__xludf.DUMMYFUNCTION("""COMPUTED_VALUE"""),1)</f>
        <v>1</v>
      </c>
      <c r="M1070" s="10">
        <f ca="1">IFERROR(__xludf.DUMMYFUNCTION("""COMPUTED_VALUE"""),10963)</f>
        <v>10963</v>
      </c>
      <c r="N1070" s="10" t="str">
        <f ca="1">IFERROR(__xludf.DUMMYFUNCTION("""COMPUTED_VALUE"""),"PMU")</f>
        <v>PMU</v>
      </c>
      <c r="O1070" s="1"/>
      <c r="P1070" s="1"/>
      <c r="Q1070" s="1"/>
      <c r="R1070" s="1"/>
      <c r="S1070" s="1"/>
      <c r="T1070" s="1"/>
      <c r="U1070" s="1"/>
      <c r="V1070" s="1"/>
      <c r="W1070" s="1"/>
      <c r="X1070" s="1"/>
      <c r="Y1070" s="1"/>
      <c r="Z1070" s="1"/>
    </row>
    <row r="1071" spans="1:26" ht="12.75" customHeight="1">
      <c r="A1071" s="1"/>
      <c r="B1071" s="10" t="str">
        <f ca="1">IFERROR(__xludf.DUMMYFUNCTION("""COMPUTED_VALUE"""),"MEJORAMIENTO PLAZA VILLA LOS LAGOS, CURACAUTÍN")</f>
        <v>MEJORAMIENTO PLAZA VILLA LOS LAGOS, CURACAUTÍN</v>
      </c>
      <c r="C1071" s="10" t="str">
        <f ca="1">IFERROR(__xludf.DUMMYFUNCTION("""COMPUTED_VALUE"""),"1-B-2024-547")</f>
        <v>1-B-2024-547</v>
      </c>
      <c r="D1071" s="26"/>
      <c r="E1071" s="10" t="str">
        <f ca="1">IFERROR(__xludf.DUMMYFUNCTION("""COMPUTED_VALUE"""),"Guía Operativa")</f>
        <v>Guía Operativa</v>
      </c>
      <c r="F1071" s="10" t="str">
        <f ca="1">IFERROR(__xludf.DUMMYFUNCTION("""COMPUTED_VALUE"""),"MUNICIPALIDAD DE CURACAUTÍN")</f>
        <v>MUNICIPALIDAD DE CURACAUTÍN</v>
      </c>
      <c r="G1071" s="71">
        <f ca="1">IFERROR(__xludf.DUMMYFUNCTION("""COMPUTED_VALUE"""),92172781)</f>
        <v>92172781</v>
      </c>
      <c r="H1071" s="10" t="str">
        <f ca="1">IFERROR(__xludf.DUMMYFUNCTION("""COMPUTED_VALUE"""),"Resolución")</f>
        <v>Resolución</v>
      </c>
      <c r="I1071" s="10" t="str">
        <f ca="1">IFERROR(__xludf.DUMMYFUNCTION("""COMPUTED_VALUE"""),"OBRA")</f>
        <v>OBRA</v>
      </c>
      <c r="J1071" s="10" t="str">
        <f ca="1">IFERROR(__xludf.DUMMYFUNCTION("""COMPUTED_VALUE"""),"Cumplir con normativa y reglamentos internos del programa en base a los objetivos.")</f>
        <v>Cumplir con normativa y reglamentos internos del programa en base a los objetivos.</v>
      </c>
      <c r="K1071" s="71">
        <f ca="1">IFERROR(__xludf.DUMMYFUNCTION("""COMPUTED_VALUE"""),92172781)</f>
        <v>92172781</v>
      </c>
      <c r="L1071" s="72">
        <f ca="1">IFERROR(__xludf.DUMMYFUNCTION("""COMPUTED_VALUE"""),1)</f>
        <v>1</v>
      </c>
      <c r="M1071" s="10">
        <f ca="1">IFERROR(__xludf.DUMMYFUNCTION("""COMPUTED_VALUE"""),10864)</f>
        <v>10864</v>
      </c>
      <c r="N1071" s="10" t="str">
        <f ca="1">IFERROR(__xludf.DUMMYFUNCTION("""COMPUTED_VALUE"""),"PMU")</f>
        <v>PMU</v>
      </c>
      <c r="O1071" s="1"/>
      <c r="P1071" s="1"/>
      <c r="Q1071" s="1"/>
      <c r="R1071" s="1"/>
      <c r="S1071" s="1"/>
      <c r="T1071" s="1"/>
      <c r="U1071" s="1"/>
      <c r="V1071" s="1"/>
      <c r="W1071" s="1"/>
      <c r="X1071" s="1"/>
      <c r="Y1071" s="1"/>
      <c r="Z1071" s="1"/>
    </row>
    <row r="1072" spans="1:26" ht="12.75" customHeight="1">
      <c r="A1072" s="1"/>
      <c r="B1072" s="10" t="str">
        <f ca="1">IFERROR(__xludf.DUMMYFUNCTION("""COMPUTED_VALUE"""),"CONSTRUCCION CANCHA DE PASTO SINTETICO ""LA RIBERA"", COMUNA DE PITRUFQUÉN")</f>
        <v>CONSTRUCCION CANCHA DE PASTO SINTETICO "LA RIBERA", COMUNA DE PITRUFQUÉN</v>
      </c>
      <c r="C1072" s="10" t="str">
        <f ca="1">IFERROR(__xludf.DUMMYFUNCTION("""COMPUTED_VALUE"""),"1-B-2024-571")</f>
        <v>1-B-2024-571</v>
      </c>
      <c r="D1072" s="26"/>
      <c r="E1072" s="10" t="str">
        <f ca="1">IFERROR(__xludf.DUMMYFUNCTION("""COMPUTED_VALUE"""),"Guía Operativa")</f>
        <v>Guía Operativa</v>
      </c>
      <c r="F1072" s="10" t="str">
        <f ca="1">IFERROR(__xludf.DUMMYFUNCTION("""COMPUTED_VALUE"""),"MUNICIPALIDAD DE PITRUFQUÉN")</f>
        <v>MUNICIPALIDAD DE PITRUFQUÉN</v>
      </c>
      <c r="G1072" s="71">
        <f ca="1">IFERROR(__xludf.DUMMYFUNCTION("""COMPUTED_VALUE"""),92172781)</f>
        <v>92172781</v>
      </c>
      <c r="H1072" s="10" t="str">
        <f ca="1">IFERROR(__xludf.DUMMYFUNCTION("""COMPUTED_VALUE"""),"Resolución")</f>
        <v>Resolución</v>
      </c>
      <c r="I1072" s="10" t="str">
        <f ca="1">IFERROR(__xludf.DUMMYFUNCTION("""COMPUTED_VALUE"""),"OBRA")</f>
        <v>OBRA</v>
      </c>
      <c r="J1072" s="10" t="str">
        <f ca="1">IFERROR(__xludf.DUMMYFUNCTION("""COMPUTED_VALUE"""),"Cumplir con normativa y reglamentos internos del programa en base a los objetivos.")</f>
        <v>Cumplir con normativa y reglamentos internos del programa en base a los objetivos.</v>
      </c>
      <c r="K1072" s="71">
        <f ca="1">IFERROR(__xludf.DUMMYFUNCTION("""COMPUTED_VALUE"""),92172781)</f>
        <v>92172781</v>
      </c>
      <c r="L1072" s="72">
        <f ca="1">IFERROR(__xludf.DUMMYFUNCTION("""COMPUTED_VALUE"""),1)</f>
        <v>1</v>
      </c>
      <c r="M1072" s="10">
        <f ca="1">IFERROR(__xludf.DUMMYFUNCTION("""COMPUTED_VALUE"""),11402)</f>
        <v>11402</v>
      </c>
      <c r="N1072" s="10" t="str">
        <f ca="1">IFERROR(__xludf.DUMMYFUNCTION("""COMPUTED_VALUE"""),"PMU")</f>
        <v>PMU</v>
      </c>
      <c r="O1072" s="1"/>
      <c r="P1072" s="1"/>
      <c r="Q1072" s="1"/>
      <c r="R1072" s="1"/>
      <c r="S1072" s="1"/>
      <c r="T1072" s="1"/>
      <c r="U1072" s="1"/>
      <c r="V1072" s="1"/>
      <c r="W1072" s="1"/>
      <c r="X1072" s="1"/>
      <c r="Y1072" s="1"/>
      <c r="Z1072" s="1"/>
    </row>
    <row r="1073" spans="1:26" ht="12.75" customHeight="1">
      <c r="A1073" s="1"/>
      <c r="B1073" s="10" t="str">
        <f ca="1">IFERROR(__xludf.DUMMYFUNCTION("""COMPUTED_VALUE"""),"CONSTRUCCION AREA VERDE RAILEF")</f>
        <v>CONSTRUCCION AREA VERDE RAILEF</v>
      </c>
      <c r="C1073" s="10" t="str">
        <f ca="1">IFERROR(__xludf.DUMMYFUNCTION("""COMPUTED_VALUE"""),"1-C-2020-1559")</f>
        <v>1-C-2020-1559</v>
      </c>
      <c r="D1073" s="26"/>
      <c r="E1073" s="10" t="str">
        <f ca="1">IFERROR(__xludf.DUMMYFUNCTION("""COMPUTED_VALUE"""),"Guía Operativa")</f>
        <v>Guía Operativa</v>
      </c>
      <c r="F1073" s="10" t="str">
        <f ca="1">IFERROR(__xludf.DUMMYFUNCTION("""COMPUTED_VALUE"""),"MUNICIPALIDAD DE PURRANQUE")</f>
        <v>MUNICIPALIDAD DE PURRANQUE</v>
      </c>
      <c r="G1073" s="71">
        <f ca="1">IFERROR(__xludf.DUMMYFUNCTION("""COMPUTED_VALUE"""),98403964)</f>
        <v>98403964</v>
      </c>
      <c r="H1073" s="10" t="str">
        <f ca="1">IFERROR(__xludf.DUMMYFUNCTION("""COMPUTED_VALUE"""),"Resolución")</f>
        <v>Resolución</v>
      </c>
      <c r="I1073" s="10" t="str">
        <f ca="1">IFERROR(__xludf.DUMMYFUNCTION("""COMPUTED_VALUE"""),"OBRA")</f>
        <v>OBRA</v>
      </c>
      <c r="J1073" s="10" t="str">
        <f ca="1">IFERROR(__xludf.DUMMYFUNCTION("""COMPUTED_VALUE"""),"Cumplir con normativa y reglamentos internos del programa en base a los objetivos.")</f>
        <v>Cumplir con normativa y reglamentos internos del programa en base a los objetivos.</v>
      </c>
      <c r="K1073" s="71">
        <f ca="1">IFERROR(__xludf.DUMMYFUNCTION("""COMPUTED_VALUE"""),37042706)</f>
        <v>37042706</v>
      </c>
      <c r="L1073" s="72">
        <f ca="1">IFERROR(__xludf.DUMMYFUNCTION("""COMPUTED_VALUE"""),0.985083019623071)</f>
        <v>0.98508301962307099</v>
      </c>
      <c r="M1073" s="10">
        <f ca="1">IFERROR(__xludf.DUMMYFUNCTION("""COMPUTED_VALUE"""),11482)</f>
        <v>11482</v>
      </c>
      <c r="N1073" s="10" t="str">
        <f ca="1">IFERROR(__xludf.DUMMYFUNCTION("""COMPUTED_VALUE"""),"PMU")</f>
        <v>PMU</v>
      </c>
      <c r="O1073" s="1"/>
      <c r="P1073" s="1"/>
      <c r="Q1073" s="1"/>
      <c r="R1073" s="1"/>
      <c r="S1073" s="1"/>
      <c r="T1073" s="1"/>
      <c r="U1073" s="1"/>
      <c r="V1073" s="1"/>
      <c r="W1073" s="1"/>
      <c r="X1073" s="1"/>
      <c r="Y1073" s="1"/>
      <c r="Z1073" s="1"/>
    </row>
    <row r="1074" spans="1:26" ht="12.75" customHeight="1">
      <c r="A1074" s="1"/>
      <c r="B1074" s="10" t="str">
        <f ca="1">IFERROR(__xludf.DUMMYFUNCTION("""COMPUTED_VALUE"""),"MEJORAMIENTO INSFRAESTRUCTURA VIAL EN DIVERSAS ZONAS URBANAS DE LA COMUNA DE LLANQUIHUE")</f>
        <v>MEJORAMIENTO INSFRAESTRUCTURA VIAL EN DIVERSAS ZONAS URBANAS DE LA COMUNA DE LLANQUIHUE</v>
      </c>
      <c r="C1074" s="10" t="str">
        <f ca="1">IFERROR(__xludf.DUMMYFUNCTION("""COMPUTED_VALUE"""),"1-B-2024-144")</f>
        <v>1-B-2024-144</v>
      </c>
      <c r="D1074" s="26"/>
      <c r="E1074" s="10" t="str">
        <f ca="1">IFERROR(__xludf.DUMMYFUNCTION("""COMPUTED_VALUE"""),"Guía Operativa")</f>
        <v>Guía Operativa</v>
      </c>
      <c r="F1074" s="10" t="str">
        <f ca="1">IFERROR(__xludf.DUMMYFUNCTION("""COMPUTED_VALUE"""),"MUNICIPALIDAD DE LLANQUIHUE")</f>
        <v>MUNICIPALIDAD DE LLANQUIHUE</v>
      </c>
      <c r="G1074" s="71">
        <f ca="1">IFERROR(__xludf.DUMMYFUNCTION("""COMPUTED_VALUE"""),83148629)</f>
        <v>83148629</v>
      </c>
      <c r="H1074" s="10" t="str">
        <f ca="1">IFERROR(__xludf.DUMMYFUNCTION("""COMPUTED_VALUE"""),"Resolución")</f>
        <v>Resolución</v>
      </c>
      <c r="I1074" s="10" t="str">
        <f ca="1">IFERROR(__xludf.DUMMYFUNCTION("""COMPUTED_VALUE"""),"OBRA")</f>
        <v>OBRA</v>
      </c>
      <c r="J1074" s="10" t="str">
        <f ca="1">IFERROR(__xludf.DUMMYFUNCTION("""COMPUTED_VALUE"""),"Cumplir con normativa y reglamentos internos del programa en base a los objetivos.")</f>
        <v>Cumplir con normativa y reglamentos internos del programa en base a los objetivos.</v>
      </c>
      <c r="K1074" s="71">
        <f ca="1">IFERROR(__xludf.DUMMYFUNCTION("""COMPUTED_VALUE"""),83148629)</f>
        <v>83148629</v>
      </c>
      <c r="L1074" s="72">
        <f ca="1">IFERROR(__xludf.DUMMYFUNCTION("""COMPUTED_VALUE"""),1)</f>
        <v>1</v>
      </c>
      <c r="M1074" s="10">
        <f ca="1">IFERROR(__xludf.DUMMYFUNCTION("""COMPUTED_VALUE"""),10873)</f>
        <v>10873</v>
      </c>
      <c r="N1074" s="10" t="str">
        <f ca="1">IFERROR(__xludf.DUMMYFUNCTION("""COMPUTED_VALUE"""),"PMU")</f>
        <v>PMU</v>
      </c>
      <c r="O1074" s="1"/>
      <c r="P1074" s="1"/>
      <c r="Q1074" s="1"/>
      <c r="R1074" s="1"/>
      <c r="S1074" s="1"/>
      <c r="T1074" s="1"/>
      <c r="U1074" s="1"/>
      <c r="V1074" s="1"/>
      <c r="W1074" s="1"/>
      <c r="X1074" s="1"/>
      <c r="Y1074" s="1"/>
      <c r="Z1074" s="1"/>
    </row>
    <row r="1075" spans="1:26" ht="12.75" customHeight="1">
      <c r="A1075" s="1"/>
      <c r="B1075" s="10" t="str">
        <f ca="1">IFERROR(__xludf.DUMMYFUNCTION("""COMPUTED_VALUE"""),"SPD AMPLIACION CAMARAS DE SEGURIDAD EN DIVERSOS SECTORES DE COYHAIQUE")</f>
        <v>SPD AMPLIACION CAMARAS DE SEGURIDAD EN DIVERSOS SECTORES DE COYHAIQUE</v>
      </c>
      <c r="C1075" s="10" t="str">
        <f ca="1">IFERROR(__xludf.DUMMYFUNCTION("""COMPUTED_VALUE"""),"1-SPD-2022-386")</f>
        <v>1-SPD-2022-386</v>
      </c>
      <c r="D1075" s="26"/>
      <c r="E1075" s="10" t="str">
        <f ca="1">IFERROR(__xludf.DUMMYFUNCTION("""COMPUTED_VALUE"""),"Guía Operativa")</f>
        <v>Guía Operativa</v>
      </c>
      <c r="F1075" s="10" t="str">
        <f ca="1">IFERROR(__xludf.DUMMYFUNCTION("""COMPUTED_VALUE"""),"MUNICIPALIDAD DE COYHAIQUE")</f>
        <v>MUNICIPALIDAD DE COYHAIQUE</v>
      </c>
      <c r="G1075" s="71">
        <f ca="1">IFERROR(__xludf.DUMMYFUNCTION("""COMPUTED_VALUE"""),64723862)</f>
        <v>64723862</v>
      </c>
      <c r="H1075" s="10" t="str">
        <f ca="1">IFERROR(__xludf.DUMMYFUNCTION("""COMPUTED_VALUE"""),"Resolución")</f>
        <v>Resolución</v>
      </c>
      <c r="I1075" s="10" t="str">
        <f ca="1">IFERROR(__xludf.DUMMYFUNCTION("""COMPUTED_VALUE"""),"OBRA")</f>
        <v>OBRA</v>
      </c>
      <c r="J1075" s="10" t="str">
        <f ca="1">IFERROR(__xludf.DUMMYFUNCTION("""COMPUTED_VALUE"""),"Cumplir con normativa y reglamentos internos del programa en base a los objetivos.")</f>
        <v>Cumplir con normativa y reglamentos internos del programa en base a los objetivos.</v>
      </c>
      <c r="K1075" s="71">
        <f ca="1">IFERROR(__xludf.DUMMYFUNCTION("""COMPUTED_VALUE"""),64723862)</f>
        <v>64723862</v>
      </c>
      <c r="L1075" s="72">
        <f ca="1">IFERROR(__xludf.DUMMYFUNCTION("""COMPUTED_VALUE"""),1)</f>
        <v>1</v>
      </c>
      <c r="M1075" s="10">
        <f ca="1">IFERROR(__xludf.DUMMYFUNCTION("""COMPUTED_VALUE"""),10022)</f>
        <v>10022</v>
      </c>
      <c r="N1075" s="10" t="str">
        <f ca="1">IFERROR(__xludf.DUMMYFUNCTION("""COMPUTED_VALUE"""),"PMU")</f>
        <v>PMU</v>
      </c>
      <c r="O1075" s="1"/>
      <c r="P1075" s="1"/>
      <c r="Q1075" s="1"/>
      <c r="R1075" s="1"/>
      <c r="S1075" s="1"/>
      <c r="T1075" s="1"/>
      <c r="U1075" s="1"/>
      <c r="V1075" s="1"/>
      <c r="W1075" s="1"/>
      <c r="X1075" s="1"/>
      <c r="Y1075" s="1"/>
      <c r="Z1075" s="1"/>
    </row>
    <row r="1076" spans="1:26" ht="12.75" customHeight="1">
      <c r="A1076" s="1"/>
      <c r="B1076" s="10" t="str">
        <f ca="1">IFERROR(__xludf.DUMMYFUNCTION("""COMPUTED_VALUE"""),"CONSTRUCCIÓN DE NICHOS PABELLÓN 2, CEMENTERIO 4 VIENTOS DE COYHAIQUE")</f>
        <v>CONSTRUCCIÓN DE NICHOS PABELLÓN 2, CEMENTERIO 4 VIENTOS DE COYHAIQUE</v>
      </c>
      <c r="C1076" s="10" t="str">
        <f ca="1">IFERROR(__xludf.DUMMYFUNCTION("""COMPUTED_VALUE"""),"1-C-2023-2101")</f>
        <v>1-C-2023-2101</v>
      </c>
      <c r="D1076" s="26"/>
      <c r="E1076" s="10" t="str">
        <f ca="1">IFERROR(__xludf.DUMMYFUNCTION("""COMPUTED_VALUE"""),"Guía Operativa")</f>
        <v>Guía Operativa</v>
      </c>
      <c r="F1076" s="10" t="str">
        <f ca="1">IFERROR(__xludf.DUMMYFUNCTION("""COMPUTED_VALUE"""),"MUNICIPALIDAD DE COYHAIQUE")</f>
        <v>MUNICIPALIDAD DE COYHAIQUE</v>
      </c>
      <c r="G1076" s="71">
        <f ca="1">IFERROR(__xludf.DUMMYFUNCTION("""COMPUTED_VALUE"""),154422492)</f>
        <v>154422492</v>
      </c>
      <c r="H1076" s="10" t="str">
        <f ca="1">IFERROR(__xludf.DUMMYFUNCTION("""COMPUTED_VALUE"""),"Resolución")</f>
        <v>Resolución</v>
      </c>
      <c r="I1076" s="10" t="str">
        <f ca="1">IFERROR(__xludf.DUMMYFUNCTION("""COMPUTED_VALUE"""),"OBRA")</f>
        <v>OBRA</v>
      </c>
      <c r="J1076" s="10" t="str">
        <f ca="1">IFERROR(__xludf.DUMMYFUNCTION("""COMPUTED_VALUE"""),"Cumplir con normativa y reglamentos internos del programa en base a los objetivos.")</f>
        <v>Cumplir con normativa y reglamentos internos del programa en base a los objetivos.</v>
      </c>
      <c r="K1076" s="71">
        <f ca="1">IFERROR(__xludf.DUMMYFUNCTION("""COMPUTED_VALUE"""),154422492)</f>
        <v>154422492</v>
      </c>
      <c r="L1076" s="72">
        <f ca="1">IFERROR(__xludf.DUMMYFUNCTION("""COMPUTED_VALUE"""),1)</f>
        <v>1</v>
      </c>
      <c r="M1076" s="10">
        <f ca="1">IFERROR(__xludf.DUMMYFUNCTION("""COMPUTED_VALUE"""),9335)</f>
        <v>9335</v>
      </c>
      <c r="N1076" s="10" t="str">
        <f ca="1">IFERROR(__xludf.DUMMYFUNCTION("""COMPUTED_VALUE"""),"PMU")</f>
        <v>PMU</v>
      </c>
      <c r="O1076" s="1"/>
      <c r="P1076" s="1"/>
      <c r="Q1076" s="1"/>
      <c r="R1076" s="1"/>
      <c r="S1076" s="1"/>
      <c r="T1076" s="1"/>
      <c r="U1076" s="1"/>
      <c r="V1076" s="1"/>
      <c r="W1076" s="1"/>
      <c r="X1076" s="1"/>
      <c r="Y1076" s="1"/>
      <c r="Z1076" s="1"/>
    </row>
    <row r="1077" spans="1:26" ht="12.75" customHeight="1">
      <c r="A1077" s="1"/>
      <c r="B1077" s="10" t="str">
        <f ca="1">IFERROR(__xludf.DUMMYFUNCTION("""COMPUTED_VALUE"""),"CSV MEJORAMIENTO ÁREA VERDE SECTOR LAS LUMAS")</f>
        <v>CSV MEJORAMIENTO ÁREA VERDE SECTOR LAS LUMAS</v>
      </c>
      <c r="C1077" s="10" t="str">
        <f ca="1">IFERROR(__xludf.DUMMYFUNCTION("""COMPUTED_VALUE"""),"1-C-2023-3115")</f>
        <v>1-C-2023-3115</v>
      </c>
      <c r="D1077" s="26"/>
      <c r="E1077" s="10" t="str">
        <f ca="1">IFERROR(__xludf.DUMMYFUNCTION("""COMPUTED_VALUE"""),"Guía Operativa")</f>
        <v>Guía Operativa</v>
      </c>
      <c r="F1077" s="10" t="str">
        <f ca="1">IFERROR(__xludf.DUMMYFUNCTION("""COMPUTED_VALUE"""),"MUNICIPALIDAD DE COYHAIQUE")</f>
        <v>MUNICIPALIDAD DE COYHAIQUE</v>
      </c>
      <c r="G1077" s="71">
        <f ca="1">IFERROR(__xludf.DUMMYFUNCTION("""COMPUTED_VALUE"""),161664089)</f>
        <v>161664089</v>
      </c>
      <c r="H1077" s="10" t="str">
        <f ca="1">IFERROR(__xludf.DUMMYFUNCTION("""COMPUTED_VALUE"""),"Resolución")</f>
        <v>Resolución</v>
      </c>
      <c r="I1077" s="10" t="str">
        <f ca="1">IFERROR(__xludf.DUMMYFUNCTION("""COMPUTED_VALUE"""),"OBRA")</f>
        <v>OBRA</v>
      </c>
      <c r="J1077" s="10" t="str">
        <f ca="1">IFERROR(__xludf.DUMMYFUNCTION("""COMPUTED_VALUE"""),"Cumplir con normativa y reglamentos internos del programa en base a los objetivos.")</f>
        <v>Cumplir con normativa y reglamentos internos del programa en base a los objetivos.</v>
      </c>
      <c r="K1077" s="71">
        <f ca="1">IFERROR(__xludf.DUMMYFUNCTION("""COMPUTED_VALUE"""),80832045)</f>
        <v>80832045</v>
      </c>
      <c r="L1077" s="72">
        <f ca="1">IFERROR(__xludf.DUMMYFUNCTION("""COMPUTED_VALUE"""),0.500000003092832)</f>
        <v>0.50000000309283199</v>
      </c>
      <c r="M1077" s="10">
        <f ca="1">IFERROR(__xludf.DUMMYFUNCTION("""COMPUTED_VALUE"""),10019)</f>
        <v>10019</v>
      </c>
      <c r="N1077" s="10" t="str">
        <f ca="1">IFERROR(__xludf.DUMMYFUNCTION("""COMPUTED_VALUE"""),"PMU")</f>
        <v>PMU</v>
      </c>
      <c r="O1077" s="1"/>
      <c r="P1077" s="1"/>
      <c r="Q1077" s="1"/>
      <c r="R1077" s="1"/>
      <c r="S1077" s="1"/>
      <c r="T1077" s="1"/>
      <c r="U1077" s="1"/>
      <c r="V1077" s="1"/>
      <c r="W1077" s="1"/>
      <c r="X1077" s="1"/>
      <c r="Y1077" s="1"/>
      <c r="Z1077" s="1"/>
    </row>
    <row r="1078" spans="1:26" ht="12.75" customHeight="1">
      <c r="A1078" s="1"/>
      <c r="B1078" s="10" t="str">
        <f ca="1">IFERROR(__xludf.DUMMYFUNCTION("""COMPUTED_VALUE"""),"CSV CONSTRUCCIÓN E INSTALACIÓN DE ALUMBRADO PÚBLICO EN AVENIDA BILBAO INTERSECCIÓN CAMPO DE HIELO")</f>
        <v>CSV CONSTRUCCIÓN E INSTALACIÓN DE ALUMBRADO PÚBLICO EN AVENIDA BILBAO INTERSECCIÓN CAMPO DE HIELO</v>
      </c>
      <c r="C1078" s="10" t="str">
        <f ca="1">IFERROR(__xludf.DUMMYFUNCTION("""COMPUTED_VALUE"""),"1-C-2024-803")</f>
        <v>1-C-2024-803</v>
      </c>
      <c r="D1078" s="26"/>
      <c r="E1078" s="10" t="str">
        <f ca="1">IFERROR(__xludf.DUMMYFUNCTION("""COMPUTED_VALUE"""),"Guía Operativa")</f>
        <v>Guía Operativa</v>
      </c>
      <c r="F1078" s="10" t="str">
        <f ca="1">IFERROR(__xludf.DUMMYFUNCTION("""COMPUTED_VALUE"""),"MUNICIPALIDAD DE COYHAIQUE")</f>
        <v>MUNICIPALIDAD DE COYHAIQUE</v>
      </c>
      <c r="G1078" s="71">
        <f ca="1">IFERROR(__xludf.DUMMYFUNCTION("""COMPUTED_VALUE"""),84441779)</f>
        <v>84441779</v>
      </c>
      <c r="H1078" s="10" t="str">
        <f ca="1">IFERROR(__xludf.DUMMYFUNCTION("""COMPUTED_VALUE"""),"Resolución")</f>
        <v>Resolución</v>
      </c>
      <c r="I1078" s="10" t="str">
        <f ca="1">IFERROR(__xludf.DUMMYFUNCTION("""COMPUTED_VALUE"""),"OBRA")</f>
        <v>OBRA</v>
      </c>
      <c r="J1078" s="10" t="str">
        <f ca="1">IFERROR(__xludf.DUMMYFUNCTION("""COMPUTED_VALUE"""),"Cumplir con normativa y reglamentos internos del programa en base a los objetivos.")</f>
        <v>Cumplir con normativa y reglamentos internos del programa en base a los objetivos.</v>
      </c>
      <c r="K1078" s="71">
        <f ca="1">IFERROR(__xludf.DUMMYFUNCTION("""COMPUTED_VALUE"""),42220890)</f>
        <v>42220890</v>
      </c>
      <c r="L1078" s="72">
        <f ca="1">IFERROR(__xludf.DUMMYFUNCTION("""COMPUTED_VALUE"""),0.500000005921239)</f>
        <v>0.50000000592123905</v>
      </c>
      <c r="M1078" s="10">
        <f ca="1">IFERROR(__xludf.DUMMYFUNCTION("""COMPUTED_VALUE"""),10019)</f>
        <v>10019</v>
      </c>
      <c r="N1078" s="10" t="str">
        <f ca="1">IFERROR(__xludf.DUMMYFUNCTION("""COMPUTED_VALUE"""),"PMU")</f>
        <v>PMU</v>
      </c>
      <c r="O1078" s="1"/>
      <c r="P1078" s="1"/>
      <c r="Q1078" s="1"/>
      <c r="R1078" s="1"/>
      <c r="S1078" s="1"/>
      <c r="T1078" s="1"/>
      <c r="U1078" s="1"/>
      <c r="V1078" s="1"/>
      <c r="W1078" s="1"/>
      <c r="X1078" s="1"/>
      <c r="Y1078" s="1"/>
      <c r="Z1078" s="1"/>
    </row>
    <row r="1079" spans="1:26" ht="12.75" customHeight="1">
      <c r="A1079" s="1"/>
      <c r="B1079" s="10" t="str">
        <f ca="1">IFERROR(__xludf.DUMMYFUNCTION("""COMPUTED_VALUE"""),"CSV MEJORAMIENTO PLAZA CALLE LOS SALESIANOS, CARDENAL RAUL SILVA HERNIQUEZ, PUNTA ARENAS")</f>
        <v>CSV MEJORAMIENTO PLAZA CALLE LOS SALESIANOS, CARDENAL RAUL SILVA HERNIQUEZ, PUNTA ARENAS</v>
      </c>
      <c r="C1079" s="10" t="str">
        <f ca="1">IFERROR(__xludf.DUMMYFUNCTION("""COMPUTED_VALUE"""),"1-C-2023-2768")</f>
        <v>1-C-2023-2768</v>
      </c>
      <c r="D1079" s="26"/>
      <c r="E1079" s="10" t="str">
        <f ca="1">IFERROR(__xludf.DUMMYFUNCTION("""COMPUTED_VALUE"""),"Guía Operativa")</f>
        <v>Guía Operativa</v>
      </c>
      <c r="F1079" s="10" t="str">
        <f ca="1">IFERROR(__xludf.DUMMYFUNCTION("""COMPUTED_VALUE"""),"MUNICIPALIDAD DE PUNTA ARENAS")</f>
        <v>MUNICIPALIDAD DE PUNTA ARENAS</v>
      </c>
      <c r="G1079" s="71">
        <f ca="1">IFERROR(__xludf.DUMMYFUNCTION("""COMPUTED_VALUE"""),112065003)</f>
        <v>112065003</v>
      </c>
      <c r="H1079" s="10" t="str">
        <f ca="1">IFERROR(__xludf.DUMMYFUNCTION("""COMPUTED_VALUE"""),"Resolución")</f>
        <v>Resolución</v>
      </c>
      <c r="I1079" s="10" t="str">
        <f ca="1">IFERROR(__xludf.DUMMYFUNCTION("""COMPUTED_VALUE"""),"OBRA")</f>
        <v>OBRA</v>
      </c>
      <c r="J1079" s="10" t="str">
        <f ca="1">IFERROR(__xludf.DUMMYFUNCTION("""COMPUTED_VALUE"""),"Cumplir con normativa y reglamentos internos del programa en base a los objetivos.")</f>
        <v>Cumplir con normativa y reglamentos internos del programa en base a los objetivos.</v>
      </c>
      <c r="K1079" s="71">
        <f ca="1">IFERROR(__xludf.DUMMYFUNCTION("""COMPUTED_VALUE"""),56032502)</f>
        <v>56032502</v>
      </c>
      <c r="L1079" s="72">
        <f ca="1">IFERROR(__xludf.DUMMYFUNCTION("""COMPUTED_VALUE"""),0.500000004461696)</f>
        <v>0.50000000446169601</v>
      </c>
      <c r="M1079" s="10">
        <f ca="1">IFERROR(__xludf.DUMMYFUNCTION("""COMPUTED_VALUE"""),10879)</f>
        <v>10879</v>
      </c>
      <c r="N1079" s="10" t="str">
        <f ca="1">IFERROR(__xludf.DUMMYFUNCTION("""COMPUTED_VALUE"""),"PMU")</f>
        <v>PMU</v>
      </c>
      <c r="O1079" s="1"/>
      <c r="P1079" s="1"/>
      <c r="Q1079" s="1"/>
      <c r="R1079" s="1"/>
      <c r="S1079" s="1"/>
      <c r="T1079" s="1"/>
      <c r="U1079" s="1"/>
      <c r="V1079" s="1"/>
      <c r="W1079" s="1"/>
      <c r="X1079" s="1"/>
      <c r="Y1079" s="1"/>
      <c r="Z1079" s="1"/>
    </row>
    <row r="1080" spans="1:26" ht="12.75" customHeight="1">
      <c r="A1080" s="1"/>
      <c r="B1080" s="10" t="str">
        <f ca="1">IFERROR(__xludf.DUMMYFUNCTION("""COMPUTED_VALUE"""),"MEJORAMIENTO DE AREAS VERDES EN VILLA SALVADOR CRUZ GANA, SECTOR CALLE CATORCE Y VÍA OCHO.")</f>
        <v>MEJORAMIENTO DE AREAS VERDES EN VILLA SALVADOR CRUZ GANA, SECTOR CALLE CATORCE Y VÍA OCHO.</v>
      </c>
      <c r="C1080" s="10" t="str">
        <f ca="1">IFERROR(__xludf.DUMMYFUNCTION("""COMPUTED_VALUE"""),"1-C-2018-651")</f>
        <v>1-C-2018-651</v>
      </c>
      <c r="D1080" s="26"/>
      <c r="E1080" s="10" t="str">
        <f ca="1">IFERROR(__xludf.DUMMYFUNCTION("""COMPUTED_VALUE"""),"Guía Operativa")</f>
        <v>Guía Operativa</v>
      </c>
      <c r="F1080" s="10" t="str">
        <f ca="1">IFERROR(__xludf.DUMMYFUNCTION("""COMPUTED_VALUE"""),"MUNICIPALIDAD DE ÑUÑOA")</f>
        <v>MUNICIPALIDAD DE ÑUÑOA</v>
      </c>
      <c r="G1080" s="71">
        <f ca="1">IFERROR(__xludf.DUMMYFUNCTION("""COMPUTED_VALUE"""),59589161)</f>
        <v>59589161</v>
      </c>
      <c r="H1080" s="10" t="str">
        <f ca="1">IFERROR(__xludf.DUMMYFUNCTION("""COMPUTED_VALUE"""),"Resolución")</f>
        <v>Resolución</v>
      </c>
      <c r="I1080" s="10" t="str">
        <f ca="1">IFERROR(__xludf.DUMMYFUNCTION("""COMPUTED_VALUE"""),"OBRA")</f>
        <v>OBRA</v>
      </c>
      <c r="J1080" s="10" t="str">
        <f ca="1">IFERROR(__xludf.DUMMYFUNCTION("""COMPUTED_VALUE"""),"Cumplir con normativa y reglamentos internos del programa en base a los objetivos.")</f>
        <v>Cumplir con normativa y reglamentos internos del programa en base a los objetivos.</v>
      </c>
      <c r="K1080" s="71">
        <f ca="1">IFERROR(__xludf.DUMMYFUNCTION("""COMPUTED_VALUE"""),2407608)</f>
        <v>2407608</v>
      </c>
      <c r="L1080" s="72">
        <f ca="1">IFERROR(__xludf.DUMMYFUNCTION("""COMPUTED_VALUE"""),0.752591851393913)</f>
        <v>0.75259185139391305</v>
      </c>
      <c r="M1080" s="10">
        <f ca="1">IFERROR(__xludf.DUMMYFUNCTION("""COMPUTED_VALUE"""),6853)</f>
        <v>6853</v>
      </c>
      <c r="N1080" s="10" t="str">
        <f ca="1">IFERROR(__xludf.DUMMYFUNCTION("""COMPUTED_VALUE"""),"PMU")</f>
        <v>PMU</v>
      </c>
      <c r="O1080" s="1"/>
      <c r="P1080" s="1"/>
      <c r="Q1080" s="1"/>
      <c r="R1080" s="1"/>
      <c r="S1080" s="1"/>
      <c r="T1080" s="1"/>
      <c r="U1080" s="1"/>
      <c r="V1080" s="1"/>
      <c r="W1080" s="1"/>
      <c r="X1080" s="1"/>
      <c r="Y1080" s="1"/>
      <c r="Z1080" s="1"/>
    </row>
    <row r="1081" spans="1:26" ht="12.75" customHeight="1">
      <c r="A1081" s="1"/>
      <c r="B1081" s="10" t="str">
        <f ca="1">IFERROR(__xludf.DUMMYFUNCTION("""COMPUTED_VALUE"""),"MEJORAMIENTO DE AREAS VERDES EN VILLA LOS ALERCES, SECTOR PUEBLO HUNDIDO, PICHIDANGUI Y BROWN SUR.")</f>
        <v>MEJORAMIENTO DE AREAS VERDES EN VILLA LOS ALERCES, SECTOR PUEBLO HUNDIDO, PICHIDANGUI Y BROWN SUR.</v>
      </c>
      <c r="C1081" s="10" t="str">
        <f ca="1">IFERROR(__xludf.DUMMYFUNCTION("""COMPUTED_VALUE"""),"1-C-2018-803")</f>
        <v>1-C-2018-803</v>
      </c>
      <c r="D1081" s="26"/>
      <c r="E1081" s="10" t="str">
        <f ca="1">IFERROR(__xludf.DUMMYFUNCTION("""COMPUTED_VALUE"""),"Guía Operativa")</f>
        <v>Guía Operativa</v>
      </c>
      <c r="F1081" s="10" t="str">
        <f ca="1">IFERROR(__xludf.DUMMYFUNCTION("""COMPUTED_VALUE"""),"MUNICIPALIDAD DE ÑUÑOA")</f>
        <v>MUNICIPALIDAD DE ÑUÑOA</v>
      </c>
      <c r="G1081" s="71">
        <f ca="1">IFERROR(__xludf.DUMMYFUNCTION("""COMPUTED_VALUE"""),59602718)</f>
        <v>59602718</v>
      </c>
      <c r="H1081" s="10" t="str">
        <f ca="1">IFERROR(__xludf.DUMMYFUNCTION("""COMPUTED_VALUE"""),"Resolución")</f>
        <v>Resolución</v>
      </c>
      <c r="I1081" s="10" t="str">
        <f ca="1">IFERROR(__xludf.DUMMYFUNCTION("""COMPUTED_VALUE"""),"OBRA")</f>
        <v>OBRA</v>
      </c>
      <c r="J1081" s="10" t="str">
        <f ca="1">IFERROR(__xludf.DUMMYFUNCTION("""COMPUTED_VALUE"""),"Cumplir con normativa y reglamentos internos del programa en base a los objetivos.")</f>
        <v>Cumplir con normativa y reglamentos internos del programa en base a los objetivos.</v>
      </c>
      <c r="K1081" s="71">
        <f ca="1">IFERROR(__xludf.DUMMYFUNCTION("""COMPUTED_VALUE"""),2451400)</f>
        <v>2451400</v>
      </c>
      <c r="L1081" s="72">
        <f ca="1">IFERROR(__xludf.DUMMYFUNCTION("""COMPUTED_VALUE"""),0.805464509185638)</f>
        <v>0.80546450918563794</v>
      </c>
      <c r="M1081" s="10">
        <f ca="1">IFERROR(__xludf.DUMMYFUNCTION("""COMPUTED_VALUE"""),6853)</f>
        <v>6853</v>
      </c>
      <c r="N1081" s="10" t="str">
        <f ca="1">IFERROR(__xludf.DUMMYFUNCTION("""COMPUTED_VALUE"""),"PMU")</f>
        <v>PMU</v>
      </c>
      <c r="O1081" s="1"/>
      <c r="P1081" s="1"/>
      <c r="Q1081" s="1"/>
      <c r="R1081" s="1"/>
      <c r="S1081" s="1"/>
      <c r="T1081" s="1"/>
      <c r="U1081" s="1"/>
      <c r="V1081" s="1"/>
      <c r="W1081" s="1"/>
      <c r="X1081" s="1"/>
      <c r="Y1081" s="1"/>
      <c r="Z1081" s="1"/>
    </row>
    <row r="1082" spans="1:26" ht="12.75" customHeight="1">
      <c r="A1082" s="1"/>
      <c r="B1082" s="10" t="str">
        <f ca="1">IFERROR(__xludf.DUMMYFUNCTION("""COMPUTED_VALUE"""),"MEJORAMIENTO PLAZA MAGISTERIO, EL BOSQUE")</f>
        <v>MEJORAMIENTO PLAZA MAGISTERIO, EL BOSQUE</v>
      </c>
      <c r="C1082" s="10" t="str">
        <f ca="1">IFERROR(__xludf.DUMMYFUNCTION("""COMPUTED_VALUE"""),"1-B-2024-125")</f>
        <v>1-B-2024-125</v>
      </c>
      <c r="D1082" s="26"/>
      <c r="E1082" s="10" t="str">
        <f ca="1">IFERROR(__xludf.DUMMYFUNCTION("""COMPUTED_VALUE"""),"Guía Operativa")</f>
        <v>Guía Operativa</v>
      </c>
      <c r="F1082" s="10" t="str">
        <f ca="1">IFERROR(__xludf.DUMMYFUNCTION("""COMPUTED_VALUE"""),"MUNICIPALIDAD DE EL BOSQUE")</f>
        <v>MUNICIPALIDAD DE EL BOSQUE</v>
      </c>
      <c r="G1082" s="71">
        <f ca="1">IFERROR(__xludf.DUMMYFUNCTION("""COMPUTED_VALUE"""),161627734)</f>
        <v>161627734</v>
      </c>
      <c r="H1082" s="10" t="str">
        <f ca="1">IFERROR(__xludf.DUMMYFUNCTION("""COMPUTED_VALUE"""),"Resolución")</f>
        <v>Resolución</v>
      </c>
      <c r="I1082" s="10" t="str">
        <f ca="1">IFERROR(__xludf.DUMMYFUNCTION("""COMPUTED_VALUE"""),"OBRA")</f>
        <v>OBRA</v>
      </c>
      <c r="J1082" s="10" t="str">
        <f ca="1">IFERROR(__xludf.DUMMYFUNCTION("""COMPUTED_VALUE"""),"Cumplir con normativa y reglamentos internos del programa en base a los objetivos.")</f>
        <v>Cumplir con normativa y reglamentos internos del programa en base a los objetivos.</v>
      </c>
      <c r="K1082" s="71">
        <f ca="1">IFERROR(__xludf.DUMMYFUNCTION("""COMPUTED_VALUE"""),161627734)</f>
        <v>161627734</v>
      </c>
      <c r="L1082" s="72">
        <f ca="1">IFERROR(__xludf.DUMMYFUNCTION("""COMPUTED_VALUE"""),1)</f>
        <v>1</v>
      </c>
      <c r="M1082" s="10">
        <f ca="1">IFERROR(__xludf.DUMMYFUNCTION("""COMPUTED_VALUE"""),10849)</f>
        <v>10849</v>
      </c>
      <c r="N1082" s="10" t="str">
        <f ca="1">IFERROR(__xludf.DUMMYFUNCTION("""COMPUTED_VALUE"""),"PMU")</f>
        <v>PMU</v>
      </c>
      <c r="O1082" s="1"/>
      <c r="P1082" s="1"/>
      <c r="Q1082" s="1"/>
      <c r="R1082" s="1"/>
      <c r="S1082" s="1"/>
      <c r="T1082" s="1"/>
      <c r="U1082" s="1"/>
      <c r="V1082" s="1"/>
      <c r="W1082" s="1"/>
      <c r="X1082" s="1"/>
      <c r="Y1082" s="1"/>
      <c r="Z1082" s="1"/>
    </row>
    <row r="1083" spans="1:26" ht="12.75" customHeight="1">
      <c r="A1083" s="1"/>
      <c r="B1083" s="10" t="str">
        <f ca="1">IFERROR(__xludf.DUMMYFUNCTION("""COMPUTED_VALUE"""),"MEJORAMIENTO ENTORNO UNO ORIENTE COMUNA LA GRANJA")</f>
        <v>MEJORAMIENTO ENTORNO UNO ORIENTE COMUNA LA GRANJA</v>
      </c>
      <c r="C1083" s="10" t="str">
        <f ca="1">IFERROR(__xludf.DUMMYFUNCTION("""COMPUTED_VALUE"""),"1-B-2024-136")</f>
        <v>1-B-2024-136</v>
      </c>
      <c r="D1083" s="26"/>
      <c r="E1083" s="10" t="str">
        <f ca="1">IFERROR(__xludf.DUMMYFUNCTION("""COMPUTED_VALUE"""),"Guía Operativa")</f>
        <v>Guía Operativa</v>
      </c>
      <c r="F1083" s="10" t="str">
        <f ca="1">IFERROR(__xludf.DUMMYFUNCTION("""COMPUTED_VALUE"""),"MUNICIPALIDAD DE LA GRANJA")</f>
        <v>MUNICIPALIDAD DE LA GRANJA</v>
      </c>
      <c r="G1083" s="71">
        <f ca="1">IFERROR(__xludf.DUMMYFUNCTION("""COMPUTED_VALUE"""),56360852)</f>
        <v>56360852</v>
      </c>
      <c r="H1083" s="10" t="str">
        <f ca="1">IFERROR(__xludf.DUMMYFUNCTION("""COMPUTED_VALUE"""),"Resolución")</f>
        <v>Resolución</v>
      </c>
      <c r="I1083" s="10" t="str">
        <f ca="1">IFERROR(__xludf.DUMMYFUNCTION("""COMPUTED_VALUE"""),"OBRA")</f>
        <v>OBRA</v>
      </c>
      <c r="J1083" s="10" t="str">
        <f ca="1">IFERROR(__xludf.DUMMYFUNCTION("""COMPUTED_VALUE"""),"Cumplir con normativa y reglamentos internos del programa en base a los objetivos.")</f>
        <v>Cumplir con normativa y reglamentos internos del programa en base a los objetivos.</v>
      </c>
      <c r="K1083" s="71">
        <f ca="1">IFERROR(__xludf.DUMMYFUNCTION("""COMPUTED_VALUE"""),56360852)</f>
        <v>56360852</v>
      </c>
      <c r="L1083" s="72">
        <f ca="1">IFERROR(__xludf.DUMMYFUNCTION("""COMPUTED_VALUE"""),1)</f>
        <v>1</v>
      </c>
      <c r="M1083" s="10">
        <f ca="1">IFERROR(__xludf.DUMMYFUNCTION("""COMPUTED_VALUE"""),10798)</f>
        <v>10798</v>
      </c>
      <c r="N1083" s="10" t="str">
        <f ca="1">IFERROR(__xludf.DUMMYFUNCTION("""COMPUTED_VALUE"""),"PMU")</f>
        <v>PMU</v>
      </c>
      <c r="O1083" s="1"/>
      <c r="P1083" s="1"/>
      <c r="Q1083" s="1"/>
      <c r="R1083" s="1"/>
      <c r="S1083" s="1"/>
      <c r="T1083" s="1"/>
      <c r="U1083" s="1"/>
      <c r="V1083" s="1"/>
      <c r="W1083" s="1"/>
      <c r="X1083" s="1"/>
      <c r="Y1083" s="1"/>
      <c r="Z1083" s="1"/>
    </row>
    <row r="1084" spans="1:26" ht="12.75" customHeight="1">
      <c r="A1084" s="1"/>
      <c r="B1084" s="10" t="str">
        <f ca="1">IFERROR(__xludf.DUMMYFUNCTION("""COMPUTED_VALUE"""),"REPOSICIÓN MULTICANCHA 2, CONJUNTO HABITACIONAL EDUARDO ANGUITA III")</f>
        <v>REPOSICIÓN MULTICANCHA 2, CONJUNTO HABITACIONAL EDUARDO ANGUITA III</v>
      </c>
      <c r="C1084" s="10" t="str">
        <f ca="1">IFERROR(__xludf.DUMMYFUNCTION("""COMPUTED_VALUE"""),"1-B-2024-167")</f>
        <v>1-B-2024-167</v>
      </c>
      <c r="D1084" s="26"/>
      <c r="E1084" s="10" t="str">
        <f ca="1">IFERROR(__xludf.DUMMYFUNCTION("""COMPUTED_VALUE"""),"Guía Operativa")</f>
        <v>Guía Operativa</v>
      </c>
      <c r="F1084" s="10" t="str">
        <f ca="1">IFERROR(__xludf.DUMMYFUNCTION("""COMPUTED_VALUE"""),"MUNICIPALIDAD DE SAN BERNARDO")</f>
        <v>MUNICIPALIDAD DE SAN BERNARDO</v>
      </c>
      <c r="G1084" s="71">
        <f ca="1">IFERROR(__xludf.DUMMYFUNCTION("""COMPUTED_VALUE"""),69174346)</f>
        <v>69174346</v>
      </c>
      <c r="H1084" s="10" t="str">
        <f ca="1">IFERROR(__xludf.DUMMYFUNCTION("""COMPUTED_VALUE"""),"Resolución")</f>
        <v>Resolución</v>
      </c>
      <c r="I1084" s="10" t="str">
        <f ca="1">IFERROR(__xludf.DUMMYFUNCTION("""COMPUTED_VALUE"""),"OBRA")</f>
        <v>OBRA</v>
      </c>
      <c r="J1084" s="10" t="str">
        <f ca="1">IFERROR(__xludf.DUMMYFUNCTION("""COMPUTED_VALUE"""),"Cumplir con normativa y reglamentos internos del programa en base a los objetivos.")</f>
        <v>Cumplir con normativa y reglamentos internos del programa en base a los objetivos.</v>
      </c>
      <c r="K1084" s="71">
        <f ca="1">IFERROR(__xludf.DUMMYFUNCTION("""COMPUTED_VALUE"""),69174346)</f>
        <v>69174346</v>
      </c>
      <c r="L1084" s="72">
        <f ca="1">IFERROR(__xludf.DUMMYFUNCTION("""COMPUTED_VALUE"""),1)</f>
        <v>1</v>
      </c>
      <c r="M1084" s="10">
        <f ca="1">IFERROR(__xludf.DUMMYFUNCTION("""COMPUTED_VALUE"""),10957)</f>
        <v>10957</v>
      </c>
      <c r="N1084" s="10" t="str">
        <f ca="1">IFERROR(__xludf.DUMMYFUNCTION("""COMPUTED_VALUE"""),"PMU")</f>
        <v>PMU</v>
      </c>
      <c r="O1084" s="1"/>
      <c r="P1084" s="1"/>
      <c r="Q1084" s="1"/>
      <c r="R1084" s="1"/>
      <c r="S1084" s="1"/>
      <c r="T1084" s="1"/>
      <c r="U1084" s="1"/>
      <c r="V1084" s="1"/>
      <c r="W1084" s="1"/>
      <c r="X1084" s="1"/>
      <c r="Y1084" s="1"/>
      <c r="Z1084" s="1"/>
    </row>
    <row r="1085" spans="1:26" ht="12.75" customHeight="1">
      <c r="A1085" s="1"/>
      <c r="B1085" s="10" t="str">
        <f ca="1">IFERROR(__xludf.DUMMYFUNCTION("""COMPUTED_VALUE"""),"CONSTRUCCIÓN ÁREA VERDE OSA MAYOR, COMUNA DE PUDAHUEL.")</f>
        <v>CONSTRUCCIÓN ÁREA VERDE OSA MAYOR, COMUNA DE PUDAHUEL.</v>
      </c>
      <c r="C1085" s="10" t="str">
        <f ca="1">IFERROR(__xludf.DUMMYFUNCTION("""COMPUTED_VALUE"""),"1-B-2024-258")</f>
        <v>1-B-2024-258</v>
      </c>
      <c r="D1085" s="26"/>
      <c r="E1085" s="10" t="str">
        <f ca="1">IFERROR(__xludf.DUMMYFUNCTION("""COMPUTED_VALUE"""),"Guía Operativa")</f>
        <v>Guía Operativa</v>
      </c>
      <c r="F1085" s="10" t="str">
        <f ca="1">IFERROR(__xludf.DUMMYFUNCTION("""COMPUTED_VALUE"""),"MUNICIPALIDAD DE PUDAHUEL")</f>
        <v>MUNICIPALIDAD DE PUDAHUEL</v>
      </c>
      <c r="G1085" s="71">
        <f ca="1">IFERROR(__xludf.DUMMYFUNCTION("""COMPUTED_VALUE"""),115709761)</f>
        <v>115709761</v>
      </c>
      <c r="H1085" s="10" t="str">
        <f ca="1">IFERROR(__xludf.DUMMYFUNCTION("""COMPUTED_VALUE"""),"Resolución")</f>
        <v>Resolución</v>
      </c>
      <c r="I1085" s="10" t="str">
        <f ca="1">IFERROR(__xludf.DUMMYFUNCTION("""COMPUTED_VALUE"""),"OBRA")</f>
        <v>OBRA</v>
      </c>
      <c r="J1085" s="10" t="str">
        <f ca="1">IFERROR(__xludf.DUMMYFUNCTION("""COMPUTED_VALUE"""),"Cumplir con normativa y reglamentos internos del programa en base a los objetivos.")</f>
        <v>Cumplir con normativa y reglamentos internos del programa en base a los objetivos.</v>
      </c>
      <c r="K1085" s="71">
        <f ca="1">IFERROR(__xludf.DUMMYFUNCTION("""COMPUTED_VALUE"""),115709761)</f>
        <v>115709761</v>
      </c>
      <c r="L1085" s="72">
        <f ca="1">IFERROR(__xludf.DUMMYFUNCTION("""COMPUTED_VALUE"""),1)</f>
        <v>1</v>
      </c>
      <c r="M1085" s="10">
        <f ca="1">IFERROR(__xludf.DUMMYFUNCTION("""COMPUTED_VALUE"""),10870)</f>
        <v>10870</v>
      </c>
      <c r="N1085" s="10" t="str">
        <f ca="1">IFERROR(__xludf.DUMMYFUNCTION("""COMPUTED_VALUE"""),"PMU")</f>
        <v>PMU</v>
      </c>
      <c r="O1085" s="1"/>
      <c r="P1085" s="1"/>
      <c r="Q1085" s="1"/>
      <c r="R1085" s="1"/>
      <c r="S1085" s="1"/>
      <c r="T1085" s="1"/>
      <c r="U1085" s="1"/>
      <c r="V1085" s="1"/>
      <c r="W1085" s="1"/>
      <c r="X1085" s="1"/>
      <c r="Y1085" s="1"/>
      <c r="Z1085" s="1"/>
    </row>
    <row r="1086" spans="1:26" ht="12.75" customHeight="1">
      <c r="A1086" s="1"/>
      <c r="B1086" s="10" t="str">
        <f ca="1">IFERROR(__xludf.DUMMYFUNCTION("""COMPUTED_VALUE"""),"CONSTRUCCIÓN EXPLANADA MULTIFUNCIONAL PLAZA MAYOR, COMUNA SAN RAMÓN")</f>
        <v>CONSTRUCCIÓN EXPLANADA MULTIFUNCIONAL PLAZA MAYOR, COMUNA SAN RAMÓN</v>
      </c>
      <c r="C1086" s="10" t="str">
        <f ca="1">IFERROR(__xludf.DUMMYFUNCTION("""COMPUTED_VALUE"""),"1-B-2024-311")</f>
        <v>1-B-2024-311</v>
      </c>
      <c r="D1086" s="26"/>
      <c r="E1086" s="10" t="str">
        <f ca="1">IFERROR(__xludf.DUMMYFUNCTION("""COMPUTED_VALUE"""),"Guía Operativa")</f>
        <v>Guía Operativa</v>
      </c>
      <c r="F1086" s="10" t="str">
        <f ca="1">IFERROR(__xludf.DUMMYFUNCTION("""COMPUTED_VALUE"""),"MUNICIPALIDAD DE SAN RAMÓN")</f>
        <v>MUNICIPALIDAD DE SAN RAMÓN</v>
      </c>
      <c r="G1086" s="71">
        <f ca="1">IFERROR(__xludf.DUMMYFUNCTION("""COMPUTED_VALUE"""),119926401)</f>
        <v>119926401</v>
      </c>
      <c r="H1086" s="10" t="str">
        <f ca="1">IFERROR(__xludf.DUMMYFUNCTION("""COMPUTED_VALUE"""),"Resolución")</f>
        <v>Resolución</v>
      </c>
      <c r="I1086" s="10" t="str">
        <f ca="1">IFERROR(__xludf.DUMMYFUNCTION("""COMPUTED_VALUE"""),"OBRA")</f>
        <v>OBRA</v>
      </c>
      <c r="J1086" s="10" t="str">
        <f ca="1">IFERROR(__xludf.DUMMYFUNCTION("""COMPUTED_VALUE"""),"Cumplir con normativa y reglamentos internos del programa en base a los objetivos.")</f>
        <v>Cumplir con normativa y reglamentos internos del programa en base a los objetivos.</v>
      </c>
      <c r="K1086" s="71">
        <f ca="1">IFERROR(__xludf.DUMMYFUNCTION("""COMPUTED_VALUE"""),119926401)</f>
        <v>119926401</v>
      </c>
      <c r="L1086" s="72">
        <f ca="1">IFERROR(__xludf.DUMMYFUNCTION("""COMPUTED_VALUE"""),1)</f>
        <v>1</v>
      </c>
      <c r="M1086" s="10">
        <f ca="1">IFERROR(__xludf.DUMMYFUNCTION("""COMPUTED_VALUE"""),10952)</f>
        <v>10952</v>
      </c>
      <c r="N1086" s="10" t="str">
        <f ca="1">IFERROR(__xludf.DUMMYFUNCTION("""COMPUTED_VALUE"""),"PMU")</f>
        <v>PMU</v>
      </c>
      <c r="O1086" s="1"/>
      <c r="P1086" s="1"/>
      <c r="Q1086" s="1"/>
      <c r="R1086" s="1"/>
      <c r="S1086" s="1"/>
      <c r="T1086" s="1"/>
      <c r="U1086" s="1"/>
      <c r="V1086" s="1"/>
      <c r="W1086" s="1"/>
      <c r="X1086" s="1"/>
      <c r="Y1086" s="1"/>
      <c r="Z1086" s="1"/>
    </row>
    <row r="1087" spans="1:26" ht="12.75" customHeight="1">
      <c r="A1087" s="1"/>
      <c r="B1087" s="10" t="str">
        <f ca="1">IFERROR(__xludf.DUMMYFUNCTION("""COMPUTED_VALUE"""),"MEJORAMIENTO PASEO PEATONAL FERNANDO PEREZ VILLAGRÁN")</f>
        <v>MEJORAMIENTO PASEO PEATONAL FERNANDO PEREZ VILLAGRÁN</v>
      </c>
      <c r="C1087" s="10" t="str">
        <f ca="1">IFERROR(__xludf.DUMMYFUNCTION("""COMPUTED_VALUE"""),"1-B-2024-317")</f>
        <v>1-B-2024-317</v>
      </c>
      <c r="D1087" s="26"/>
      <c r="E1087" s="10" t="str">
        <f ca="1">IFERROR(__xludf.DUMMYFUNCTION("""COMPUTED_VALUE"""),"Guía Operativa")</f>
        <v>Guía Operativa</v>
      </c>
      <c r="F1087" s="10" t="str">
        <f ca="1">IFERROR(__xludf.DUMMYFUNCTION("""COMPUTED_VALUE"""),"MUNICIPALIDAD DE MELIPILLA")</f>
        <v>MUNICIPALIDAD DE MELIPILLA</v>
      </c>
      <c r="G1087" s="71">
        <f ca="1">IFERROR(__xludf.DUMMYFUNCTION("""COMPUTED_VALUE"""),135852527)</f>
        <v>135852527</v>
      </c>
      <c r="H1087" s="10" t="str">
        <f ca="1">IFERROR(__xludf.DUMMYFUNCTION("""COMPUTED_VALUE"""),"Resolución")</f>
        <v>Resolución</v>
      </c>
      <c r="I1087" s="10" t="str">
        <f ca="1">IFERROR(__xludf.DUMMYFUNCTION("""COMPUTED_VALUE"""),"OBRA")</f>
        <v>OBRA</v>
      </c>
      <c r="J1087" s="10" t="str">
        <f ca="1">IFERROR(__xludf.DUMMYFUNCTION("""COMPUTED_VALUE"""),"Cumplir con normativa y reglamentos internos del programa en base a los objetivos.")</f>
        <v>Cumplir con normativa y reglamentos internos del programa en base a los objetivos.</v>
      </c>
      <c r="K1087" s="71">
        <f ca="1">IFERROR(__xludf.DUMMYFUNCTION("""COMPUTED_VALUE"""),135852527)</f>
        <v>135852527</v>
      </c>
      <c r="L1087" s="72">
        <f ca="1">IFERROR(__xludf.DUMMYFUNCTION("""COMPUTED_VALUE"""),1)</f>
        <v>1</v>
      </c>
      <c r="M1087" s="10">
        <f ca="1">IFERROR(__xludf.DUMMYFUNCTION("""COMPUTED_VALUE"""),10868)</f>
        <v>10868</v>
      </c>
      <c r="N1087" s="10" t="str">
        <f ca="1">IFERROR(__xludf.DUMMYFUNCTION("""COMPUTED_VALUE"""),"PMU")</f>
        <v>PMU</v>
      </c>
      <c r="O1087" s="1"/>
      <c r="P1087" s="1"/>
      <c r="Q1087" s="1"/>
      <c r="R1087" s="1"/>
      <c r="S1087" s="1"/>
      <c r="T1087" s="1"/>
      <c r="U1087" s="1"/>
      <c r="V1087" s="1"/>
      <c r="W1087" s="1"/>
      <c r="X1087" s="1"/>
      <c r="Y1087" s="1"/>
      <c r="Z1087" s="1"/>
    </row>
    <row r="1088" spans="1:26" ht="12.75" customHeight="1">
      <c r="A1088" s="1"/>
      <c r="B1088" s="10" t="str">
        <f ca="1">IFERROR(__xludf.DUMMYFUNCTION("""COMPUTED_VALUE"""),"REPOSICIÓN MULTICANCHA VILLA LOS PRESIDENTES IV")</f>
        <v>REPOSICIÓN MULTICANCHA VILLA LOS PRESIDENTES IV</v>
      </c>
      <c r="C1088" s="10" t="str">
        <f ca="1">IFERROR(__xludf.DUMMYFUNCTION("""COMPUTED_VALUE"""),"1-B-2024-334")</f>
        <v>1-B-2024-334</v>
      </c>
      <c r="D1088" s="26"/>
      <c r="E1088" s="10" t="str">
        <f ca="1">IFERROR(__xludf.DUMMYFUNCTION("""COMPUTED_VALUE"""),"Guía Operativa")</f>
        <v>Guía Operativa</v>
      </c>
      <c r="F1088" s="10" t="str">
        <f ca="1">IFERROR(__xludf.DUMMYFUNCTION("""COMPUTED_VALUE"""),"MUNICIPALIDAD DE CERRILLOS")</f>
        <v>MUNICIPALIDAD DE CERRILLOS</v>
      </c>
      <c r="G1088" s="71">
        <f ca="1">IFERROR(__xludf.DUMMYFUNCTION("""COMPUTED_VALUE"""),160796466)</f>
        <v>160796466</v>
      </c>
      <c r="H1088" s="10" t="str">
        <f ca="1">IFERROR(__xludf.DUMMYFUNCTION("""COMPUTED_VALUE"""),"Resolución")</f>
        <v>Resolución</v>
      </c>
      <c r="I1088" s="10" t="str">
        <f ca="1">IFERROR(__xludf.DUMMYFUNCTION("""COMPUTED_VALUE"""),"OBRA")</f>
        <v>OBRA</v>
      </c>
      <c r="J1088" s="10" t="str">
        <f ca="1">IFERROR(__xludf.DUMMYFUNCTION("""COMPUTED_VALUE"""),"Cumplir con normativa y reglamentos internos del programa en base a los objetivos.")</f>
        <v>Cumplir con normativa y reglamentos internos del programa en base a los objetivos.</v>
      </c>
      <c r="K1088" s="71">
        <f ca="1">IFERROR(__xludf.DUMMYFUNCTION("""COMPUTED_VALUE"""),160796466)</f>
        <v>160796466</v>
      </c>
      <c r="L1088" s="72">
        <f ca="1">IFERROR(__xludf.DUMMYFUNCTION("""COMPUTED_VALUE"""),1)</f>
        <v>1</v>
      </c>
      <c r="M1088" s="10">
        <f ca="1">IFERROR(__xludf.DUMMYFUNCTION("""COMPUTED_VALUE"""),10874)</f>
        <v>10874</v>
      </c>
      <c r="N1088" s="10" t="str">
        <f ca="1">IFERROR(__xludf.DUMMYFUNCTION("""COMPUTED_VALUE"""),"PMU")</f>
        <v>PMU</v>
      </c>
      <c r="O1088" s="1"/>
      <c r="P1088" s="1"/>
      <c r="Q1088" s="1"/>
      <c r="R1088" s="1"/>
      <c r="S1088" s="1"/>
      <c r="T1088" s="1"/>
      <c r="U1088" s="1"/>
      <c r="V1088" s="1"/>
      <c r="W1088" s="1"/>
      <c r="X1088" s="1"/>
      <c r="Y1088" s="1"/>
      <c r="Z1088" s="1"/>
    </row>
    <row r="1089" spans="1:26" ht="12.75" customHeight="1">
      <c r="A1089" s="1"/>
      <c r="B1089" s="10" t="str">
        <f ca="1">IFERROR(__xludf.DUMMYFUNCTION("""COMPUTED_VALUE"""),"MEJORAMIENTO PLAZA SANTA RITA DE CASIA, COMUNA DE MARIA PINTO")</f>
        <v>MEJORAMIENTO PLAZA SANTA RITA DE CASIA, COMUNA DE MARIA PINTO</v>
      </c>
      <c r="C1089" s="10" t="str">
        <f ca="1">IFERROR(__xludf.DUMMYFUNCTION("""COMPUTED_VALUE"""),"1-B-2024-337")</f>
        <v>1-B-2024-337</v>
      </c>
      <c r="D1089" s="26"/>
      <c r="E1089" s="10" t="str">
        <f ca="1">IFERROR(__xludf.DUMMYFUNCTION("""COMPUTED_VALUE"""),"Guía Operativa")</f>
        <v>Guía Operativa</v>
      </c>
      <c r="F1089" s="10" t="str">
        <f ca="1">IFERROR(__xludf.DUMMYFUNCTION("""COMPUTED_VALUE"""),"MUNICIPALIDAD DE MARÍA PINTO")</f>
        <v>MUNICIPALIDAD DE MARÍA PINTO</v>
      </c>
      <c r="G1089" s="71">
        <f ca="1">IFERROR(__xludf.DUMMYFUNCTION("""COMPUTED_VALUE"""),161664984)</f>
        <v>161664984</v>
      </c>
      <c r="H1089" s="10" t="str">
        <f ca="1">IFERROR(__xludf.DUMMYFUNCTION("""COMPUTED_VALUE"""),"Resolución")</f>
        <v>Resolución</v>
      </c>
      <c r="I1089" s="10" t="str">
        <f ca="1">IFERROR(__xludf.DUMMYFUNCTION("""COMPUTED_VALUE"""),"OBRA")</f>
        <v>OBRA</v>
      </c>
      <c r="J1089" s="10" t="str">
        <f ca="1">IFERROR(__xludf.DUMMYFUNCTION("""COMPUTED_VALUE"""),"Cumplir con normativa y reglamentos internos del programa en base a los objetivos.")</f>
        <v>Cumplir con normativa y reglamentos internos del programa en base a los objetivos.</v>
      </c>
      <c r="K1089" s="71">
        <f ca="1">IFERROR(__xludf.DUMMYFUNCTION("""COMPUTED_VALUE"""),161664984)</f>
        <v>161664984</v>
      </c>
      <c r="L1089" s="72">
        <f ca="1">IFERROR(__xludf.DUMMYFUNCTION("""COMPUTED_VALUE"""),1)</f>
        <v>1</v>
      </c>
      <c r="M1089" s="10">
        <f ca="1">IFERROR(__xludf.DUMMYFUNCTION("""COMPUTED_VALUE"""),10977)</f>
        <v>10977</v>
      </c>
      <c r="N1089" s="10" t="str">
        <f ca="1">IFERROR(__xludf.DUMMYFUNCTION("""COMPUTED_VALUE"""),"PMU")</f>
        <v>PMU</v>
      </c>
      <c r="O1089" s="1"/>
      <c r="P1089" s="1"/>
      <c r="Q1089" s="1"/>
      <c r="R1089" s="1"/>
      <c r="S1089" s="1"/>
      <c r="T1089" s="1"/>
      <c r="U1089" s="1"/>
      <c r="V1089" s="1"/>
      <c r="W1089" s="1"/>
      <c r="X1089" s="1"/>
      <c r="Y1089" s="1"/>
      <c r="Z1089" s="1"/>
    </row>
    <row r="1090" spans="1:26" ht="12.75" customHeight="1">
      <c r="A1090" s="1"/>
      <c r="B1090" s="10" t="str">
        <f ca="1">IFERROR(__xludf.DUMMYFUNCTION("""COMPUTED_VALUE"""),"MEJORAMIENTO PLATABANDA CESFAM CALERA")</f>
        <v>MEJORAMIENTO PLATABANDA CESFAM CALERA</v>
      </c>
      <c r="C1090" s="10" t="str">
        <f ca="1">IFERROR(__xludf.DUMMYFUNCTION("""COMPUTED_VALUE"""),"1-B-2024-358")</f>
        <v>1-B-2024-358</v>
      </c>
      <c r="D1090" s="26"/>
      <c r="E1090" s="10" t="str">
        <f ca="1">IFERROR(__xludf.DUMMYFUNCTION("""COMPUTED_VALUE"""),"Guía Operativa")</f>
        <v>Guía Operativa</v>
      </c>
      <c r="F1090" s="10" t="str">
        <f ca="1">IFERROR(__xludf.DUMMYFUNCTION("""COMPUTED_VALUE"""),"MUNICIPALIDAD DE CALERA DE TANGO")</f>
        <v>MUNICIPALIDAD DE CALERA DE TANGO</v>
      </c>
      <c r="G1090" s="71">
        <f ca="1">IFERROR(__xludf.DUMMYFUNCTION("""COMPUTED_VALUE"""),65647102)</f>
        <v>65647102</v>
      </c>
      <c r="H1090" s="10" t="str">
        <f ca="1">IFERROR(__xludf.DUMMYFUNCTION("""COMPUTED_VALUE"""),"Resolución")</f>
        <v>Resolución</v>
      </c>
      <c r="I1090" s="10" t="str">
        <f ca="1">IFERROR(__xludf.DUMMYFUNCTION("""COMPUTED_VALUE"""),"OBRA")</f>
        <v>OBRA</v>
      </c>
      <c r="J1090" s="10" t="str">
        <f ca="1">IFERROR(__xludf.DUMMYFUNCTION("""COMPUTED_VALUE"""),"Cumplir con normativa y reglamentos internos del programa en base a los objetivos.")</f>
        <v>Cumplir con normativa y reglamentos internos del programa en base a los objetivos.</v>
      </c>
      <c r="K1090" s="71">
        <f ca="1">IFERROR(__xludf.DUMMYFUNCTION("""COMPUTED_VALUE"""),65647102)</f>
        <v>65647102</v>
      </c>
      <c r="L1090" s="72">
        <f ca="1">IFERROR(__xludf.DUMMYFUNCTION("""COMPUTED_VALUE"""),1)</f>
        <v>1</v>
      </c>
      <c r="M1090" s="10">
        <f ca="1">IFERROR(__xludf.DUMMYFUNCTION("""COMPUTED_VALUE"""),10980)</f>
        <v>10980</v>
      </c>
      <c r="N1090" s="10" t="str">
        <f ca="1">IFERROR(__xludf.DUMMYFUNCTION("""COMPUTED_VALUE"""),"PMU")</f>
        <v>PMU</v>
      </c>
      <c r="O1090" s="1"/>
      <c r="P1090" s="1"/>
      <c r="Q1090" s="1"/>
      <c r="R1090" s="1"/>
      <c r="S1090" s="1"/>
      <c r="T1090" s="1"/>
      <c r="U1090" s="1"/>
      <c r="V1090" s="1"/>
      <c r="W1090" s="1"/>
      <c r="X1090" s="1"/>
      <c r="Y1090" s="1"/>
      <c r="Z1090" s="1"/>
    </row>
    <row r="1091" spans="1:26" ht="12.75" customHeight="1">
      <c r="A1091" s="1"/>
      <c r="B1091" s="10" t="str">
        <f ca="1">IFERROR(__xludf.DUMMYFUNCTION("""COMPUTED_VALUE"""),"CONSTRUCCION BAÑOS ESTADIO LO BLANCO, EL BOSQUE")</f>
        <v>CONSTRUCCION BAÑOS ESTADIO LO BLANCO, EL BOSQUE</v>
      </c>
      <c r="C1091" s="10" t="str">
        <f ca="1">IFERROR(__xludf.DUMMYFUNCTION("""COMPUTED_VALUE"""),"1-B-2024-367")</f>
        <v>1-B-2024-367</v>
      </c>
      <c r="D1091" s="26"/>
      <c r="E1091" s="10" t="str">
        <f ca="1">IFERROR(__xludf.DUMMYFUNCTION("""COMPUTED_VALUE"""),"Guía Operativa")</f>
        <v>Guía Operativa</v>
      </c>
      <c r="F1091" s="10" t="str">
        <f ca="1">IFERROR(__xludf.DUMMYFUNCTION("""COMPUTED_VALUE"""),"MUNICIPALIDAD DE EL BOSQUE")</f>
        <v>MUNICIPALIDAD DE EL BOSQUE</v>
      </c>
      <c r="G1091" s="71">
        <f ca="1">IFERROR(__xludf.DUMMYFUNCTION("""COMPUTED_VALUE"""),45040578)</f>
        <v>45040578</v>
      </c>
      <c r="H1091" s="10" t="str">
        <f ca="1">IFERROR(__xludf.DUMMYFUNCTION("""COMPUTED_VALUE"""),"Resolución")</f>
        <v>Resolución</v>
      </c>
      <c r="I1091" s="10" t="str">
        <f ca="1">IFERROR(__xludf.DUMMYFUNCTION("""COMPUTED_VALUE"""),"OBRA")</f>
        <v>OBRA</v>
      </c>
      <c r="J1091" s="10" t="str">
        <f ca="1">IFERROR(__xludf.DUMMYFUNCTION("""COMPUTED_VALUE"""),"Cumplir con normativa y reglamentos internos del programa en base a los objetivos.")</f>
        <v>Cumplir con normativa y reglamentos internos del programa en base a los objetivos.</v>
      </c>
      <c r="K1091" s="71">
        <f ca="1">IFERROR(__xludf.DUMMYFUNCTION("""COMPUTED_VALUE"""),45040578)</f>
        <v>45040578</v>
      </c>
      <c r="L1091" s="72">
        <f ca="1">IFERROR(__xludf.DUMMYFUNCTION("""COMPUTED_VALUE"""),1)</f>
        <v>1</v>
      </c>
      <c r="M1091" s="10">
        <f ca="1">IFERROR(__xludf.DUMMYFUNCTION("""COMPUTED_VALUE"""),10979)</f>
        <v>10979</v>
      </c>
      <c r="N1091" s="10" t="str">
        <f ca="1">IFERROR(__xludf.DUMMYFUNCTION("""COMPUTED_VALUE"""),"PMU")</f>
        <v>PMU</v>
      </c>
      <c r="O1091" s="1"/>
      <c r="P1091" s="1"/>
      <c r="Q1091" s="1"/>
      <c r="R1091" s="1"/>
      <c r="S1091" s="1"/>
      <c r="T1091" s="1"/>
      <c r="U1091" s="1"/>
      <c r="V1091" s="1"/>
      <c r="W1091" s="1"/>
      <c r="X1091" s="1"/>
      <c r="Y1091" s="1"/>
      <c r="Z1091" s="1"/>
    </row>
    <row r="1092" spans="1:26" ht="12.75" customHeight="1">
      <c r="A1092" s="1"/>
      <c r="B1092" s="10" t="str">
        <f ca="1">IFERROR(__xludf.DUMMYFUNCTION("""COMPUTED_VALUE"""),"CONSTRUCCION DE LA ILUMINACION PEATONAL UV15")</f>
        <v>CONSTRUCCION DE LA ILUMINACION PEATONAL UV15</v>
      </c>
      <c r="C1092" s="10" t="str">
        <f ca="1">IFERROR(__xludf.DUMMYFUNCTION("""COMPUTED_VALUE"""),"1-B-2024-371")</f>
        <v>1-B-2024-371</v>
      </c>
      <c r="D1092" s="26"/>
      <c r="E1092" s="10" t="str">
        <f ca="1">IFERROR(__xludf.DUMMYFUNCTION("""COMPUTED_VALUE"""),"Guía Operativa")</f>
        <v>Guía Operativa</v>
      </c>
      <c r="F1092" s="10" t="str">
        <f ca="1">IFERROR(__xludf.DUMMYFUNCTION("""COMPUTED_VALUE"""),"MUNICIPALIDAD DE QUINTA NORMAL")</f>
        <v>MUNICIPALIDAD DE QUINTA NORMAL</v>
      </c>
      <c r="G1092" s="71">
        <f ca="1">IFERROR(__xludf.DUMMYFUNCTION("""COMPUTED_VALUE"""),161350074)</f>
        <v>161350074</v>
      </c>
      <c r="H1092" s="10" t="str">
        <f ca="1">IFERROR(__xludf.DUMMYFUNCTION("""COMPUTED_VALUE"""),"Resolución")</f>
        <v>Resolución</v>
      </c>
      <c r="I1092" s="10" t="str">
        <f ca="1">IFERROR(__xludf.DUMMYFUNCTION("""COMPUTED_VALUE"""),"OBRA")</f>
        <v>OBRA</v>
      </c>
      <c r="J1092" s="10" t="str">
        <f ca="1">IFERROR(__xludf.DUMMYFUNCTION("""COMPUTED_VALUE"""),"Cumplir con normativa y reglamentos internos del programa en base a los objetivos.")</f>
        <v>Cumplir con normativa y reglamentos internos del programa en base a los objetivos.</v>
      </c>
      <c r="K1092" s="71">
        <f ca="1">IFERROR(__xludf.DUMMYFUNCTION("""COMPUTED_VALUE"""),161350074)</f>
        <v>161350074</v>
      </c>
      <c r="L1092" s="72">
        <f ca="1">IFERROR(__xludf.DUMMYFUNCTION("""COMPUTED_VALUE"""),1)</f>
        <v>1</v>
      </c>
      <c r="M1092" s="10">
        <f ca="1">IFERROR(__xludf.DUMMYFUNCTION("""COMPUTED_VALUE"""),10872)</f>
        <v>10872</v>
      </c>
      <c r="N1092" s="10" t="str">
        <f ca="1">IFERROR(__xludf.DUMMYFUNCTION("""COMPUTED_VALUE"""),"PMU")</f>
        <v>PMU</v>
      </c>
      <c r="O1092" s="1"/>
      <c r="P1092" s="1"/>
      <c r="Q1092" s="1"/>
      <c r="R1092" s="1"/>
      <c r="S1092" s="1"/>
      <c r="T1092" s="1"/>
      <c r="U1092" s="1"/>
      <c r="V1092" s="1"/>
      <c r="W1092" s="1"/>
      <c r="X1092" s="1"/>
      <c r="Y1092" s="1"/>
      <c r="Z1092" s="1"/>
    </row>
    <row r="1093" spans="1:26" ht="12.75" customHeight="1">
      <c r="A1093" s="1"/>
      <c r="B1093" s="10" t="str">
        <f ca="1">IFERROR(__xludf.DUMMYFUNCTION("""COMPUTED_VALUE"""),"CONSTRUCCION DE LA ILUMINACION PEATONAL SECTOR SIETE")</f>
        <v>CONSTRUCCION DE LA ILUMINACION PEATONAL SECTOR SIETE</v>
      </c>
      <c r="C1093" s="10" t="str">
        <f ca="1">IFERROR(__xludf.DUMMYFUNCTION("""COMPUTED_VALUE"""),"1-B-2024-434")</f>
        <v>1-B-2024-434</v>
      </c>
      <c r="D1093" s="26"/>
      <c r="E1093" s="10" t="str">
        <f ca="1">IFERROR(__xludf.DUMMYFUNCTION("""COMPUTED_VALUE"""),"Guía Operativa")</f>
        <v>Guía Operativa</v>
      </c>
      <c r="F1093" s="10" t="str">
        <f ca="1">IFERROR(__xludf.DUMMYFUNCTION("""COMPUTED_VALUE"""),"MUNICIPALIDAD DE QUINTA NORMAL")</f>
        <v>MUNICIPALIDAD DE QUINTA NORMAL</v>
      </c>
      <c r="G1093" s="71">
        <f ca="1">IFERROR(__xludf.DUMMYFUNCTION("""COMPUTED_VALUE"""),75852412)</f>
        <v>75852412</v>
      </c>
      <c r="H1093" s="10" t="str">
        <f ca="1">IFERROR(__xludf.DUMMYFUNCTION("""COMPUTED_VALUE"""),"Resolución")</f>
        <v>Resolución</v>
      </c>
      <c r="I1093" s="10" t="str">
        <f ca="1">IFERROR(__xludf.DUMMYFUNCTION("""COMPUTED_VALUE"""),"OBRA")</f>
        <v>OBRA</v>
      </c>
      <c r="J1093" s="10" t="str">
        <f ca="1">IFERROR(__xludf.DUMMYFUNCTION("""COMPUTED_VALUE"""),"Cumplir con normativa y reglamentos internos del programa en base a los objetivos.")</f>
        <v>Cumplir con normativa y reglamentos internos del programa en base a los objetivos.</v>
      </c>
      <c r="K1093" s="71">
        <f ca="1">IFERROR(__xludf.DUMMYFUNCTION("""COMPUTED_VALUE"""),75852412)</f>
        <v>75852412</v>
      </c>
      <c r="L1093" s="72">
        <f ca="1">IFERROR(__xludf.DUMMYFUNCTION("""COMPUTED_VALUE"""),1)</f>
        <v>1</v>
      </c>
      <c r="M1093" s="10">
        <f ca="1">IFERROR(__xludf.DUMMYFUNCTION("""COMPUTED_VALUE"""),10884)</f>
        <v>10884</v>
      </c>
      <c r="N1093" s="10" t="str">
        <f ca="1">IFERROR(__xludf.DUMMYFUNCTION("""COMPUTED_VALUE"""),"PMU")</f>
        <v>PMU</v>
      </c>
      <c r="O1093" s="1"/>
      <c r="P1093" s="1"/>
      <c r="Q1093" s="1"/>
      <c r="R1093" s="1"/>
      <c r="S1093" s="1"/>
      <c r="T1093" s="1"/>
      <c r="U1093" s="1"/>
      <c r="V1093" s="1"/>
      <c r="W1093" s="1"/>
      <c r="X1093" s="1"/>
      <c r="Y1093" s="1"/>
      <c r="Z1093" s="1"/>
    </row>
    <row r="1094" spans="1:26" ht="12.75" customHeight="1">
      <c r="A1094" s="1"/>
      <c r="B1094" s="10" t="str">
        <f ca="1">IFERROR(__xludf.DUMMYFUNCTION("""COMPUTED_VALUE"""),"CONSTRUCCIÓN OFICINA DE INFORMACIÓN TURÍSTICA Y HABILITACIÓN DE SENDERO ACCESIBLE PLAYA COIQUE, COMUNA DE FUTRONO")</f>
        <v>CONSTRUCCIÓN OFICINA DE INFORMACIÓN TURÍSTICA Y HABILITACIÓN DE SENDERO ACCESIBLE PLAYA COIQUE, COMUNA DE FUTRONO</v>
      </c>
      <c r="C1094" s="10" t="str">
        <f ca="1">IFERROR(__xludf.DUMMYFUNCTION("""COMPUTED_VALUE"""),"1-B-2024-55")</f>
        <v>1-B-2024-55</v>
      </c>
      <c r="D1094" s="26"/>
      <c r="E1094" s="10" t="str">
        <f ca="1">IFERROR(__xludf.DUMMYFUNCTION("""COMPUTED_VALUE"""),"Guía Operativa")</f>
        <v>Guía Operativa</v>
      </c>
      <c r="F1094" s="10" t="str">
        <f ca="1">IFERROR(__xludf.DUMMYFUNCTION("""COMPUTED_VALUE"""),"MUNICIPALIDAD DE FUTRONO")</f>
        <v>MUNICIPALIDAD DE FUTRONO</v>
      </c>
      <c r="G1094" s="71">
        <f ca="1">IFERROR(__xludf.DUMMYFUNCTION("""COMPUTED_VALUE"""),105665955)</f>
        <v>105665955</v>
      </c>
      <c r="H1094" s="10" t="str">
        <f ca="1">IFERROR(__xludf.DUMMYFUNCTION("""COMPUTED_VALUE"""),"Resolución")</f>
        <v>Resolución</v>
      </c>
      <c r="I1094" s="10" t="str">
        <f ca="1">IFERROR(__xludf.DUMMYFUNCTION("""COMPUTED_VALUE"""),"OBRA")</f>
        <v>OBRA</v>
      </c>
      <c r="J1094" s="10" t="str">
        <f ca="1">IFERROR(__xludf.DUMMYFUNCTION("""COMPUTED_VALUE"""),"Cumplir con normativa y reglamentos internos del programa en base a los objetivos.")</f>
        <v>Cumplir con normativa y reglamentos internos del programa en base a los objetivos.</v>
      </c>
      <c r="K1094" s="71">
        <f ca="1">IFERROR(__xludf.DUMMYFUNCTION("""COMPUTED_VALUE"""),105665955)</f>
        <v>105665955</v>
      </c>
      <c r="L1094" s="72">
        <f ca="1">IFERROR(__xludf.DUMMYFUNCTION("""COMPUTED_VALUE"""),1)</f>
        <v>1</v>
      </c>
      <c r="M1094" s="10">
        <f ca="1">IFERROR(__xludf.DUMMYFUNCTION("""COMPUTED_VALUE"""),10859)</f>
        <v>10859</v>
      </c>
      <c r="N1094" s="10" t="str">
        <f ca="1">IFERROR(__xludf.DUMMYFUNCTION("""COMPUTED_VALUE"""),"PMU")</f>
        <v>PMU</v>
      </c>
      <c r="O1094" s="1"/>
      <c r="P1094" s="1"/>
      <c r="Q1094" s="1"/>
      <c r="R1094" s="1"/>
      <c r="S1094" s="1"/>
      <c r="T1094" s="1"/>
      <c r="U1094" s="1"/>
      <c r="V1094" s="1"/>
      <c r="W1094" s="1"/>
      <c r="X1094" s="1"/>
      <c r="Y1094" s="1"/>
      <c r="Z1094" s="1"/>
    </row>
    <row r="1095" spans="1:26" ht="12.75" customHeight="1">
      <c r="A1095" s="1"/>
      <c r="B1095" s="10" t="str">
        <f ca="1">IFERROR(__xludf.DUMMYFUNCTION("""COMPUTED_VALUE"""),"MEJORAMIENTO ÁREAS VERDES VILLA MI ESPERANZA 1 Y 2, MARIQUINA")</f>
        <v>MEJORAMIENTO ÁREAS VERDES VILLA MI ESPERANZA 1 Y 2, MARIQUINA</v>
      </c>
      <c r="C1095" s="10" t="str">
        <f ca="1">IFERROR(__xludf.DUMMYFUNCTION("""COMPUTED_VALUE"""),"1-B-2024-225")</f>
        <v>1-B-2024-225</v>
      </c>
      <c r="D1095" s="26"/>
      <c r="E1095" s="10" t="str">
        <f ca="1">IFERROR(__xludf.DUMMYFUNCTION("""COMPUTED_VALUE"""),"Guía Operativa")</f>
        <v>Guía Operativa</v>
      </c>
      <c r="F1095" s="10" t="str">
        <f ca="1">IFERROR(__xludf.DUMMYFUNCTION("""COMPUTED_VALUE"""),"MUNICIPALIDAD DE MARIQUINA")</f>
        <v>MUNICIPALIDAD DE MARIQUINA</v>
      </c>
      <c r="G1095" s="71">
        <f ca="1">IFERROR(__xludf.DUMMYFUNCTION("""COMPUTED_VALUE"""),102624870)</f>
        <v>102624870</v>
      </c>
      <c r="H1095" s="10" t="str">
        <f ca="1">IFERROR(__xludf.DUMMYFUNCTION("""COMPUTED_VALUE"""),"Resolución")</f>
        <v>Resolución</v>
      </c>
      <c r="I1095" s="10" t="str">
        <f ca="1">IFERROR(__xludf.DUMMYFUNCTION("""COMPUTED_VALUE"""),"OBRA")</f>
        <v>OBRA</v>
      </c>
      <c r="J1095" s="10" t="str">
        <f ca="1">IFERROR(__xludf.DUMMYFUNCTION("""COMPUTED_VALUE"""),"Cumplir con normativa y reglamentos internos del programa en base a los objetivos.")</f>
        <v>Cumplir con normativa y reglamentos internos del programa en base a los objetivos.</v>
      </c>
      <c r="K1095" s="71">
        <f ca="1">IFERROR(__xludf.DUMMYFUNCTION("""COMPUTED_VALUE"""),102624870)</f>
        <v>102624870</v>
      </c>
      <c r="L1095" s="72">
        <f ca="1">IFERROR(__xludf.DUMMYFUNCTION("""COMPUTED_VALUE"""),1)</f>
        <v>1</v>
      </c>
      <c r="M1095" s="10">
        <f ca="1">IFERROR(__xludf.DUMMYFUNCTION("""COMPUTED_VALUE"""),11432)</f>
        <v>11432</v>
      </c>
      <c r="N1095" s="10" t="str">
        <f ca="1">IFERROR(__xludf.DUMMYFUNCTION("""COMPUTED_VALUE"""),"PMU")</f>
        <v>PMU</v>
      </c>
      <c r="O1095" s="1"/>
      <c r="P1095" s="1"/>
      <c r="Q1095" s="1"/>
      <c r="R1095" s="1"/>
      <c r="S1095" s="1"/>
      <c r="T1095" s="1"/>
      <c r="U1095" s="1"/>
      <c r="V1095" s="1"/>
      <c r="W1095" s="1"/>
      <c r="X1095" s="1"/>
      <c r="Y1095" s="1"/>
      <c r="Z1095" s="1"/>
    </row>
    <row r="1096" spans="1:26" ht="12.75" customHeight="1">
      <c r="A1096" s="1"/>
      <c r="B1096" s="10" t="str">
        <f ca="1">IFERROR(__xludf.DUMMYFUNCTION("""COMPUTED_VALUE"""),"CAMBIO SENTIDO DE TRANSITO DIVERSAS CALLES, COMUNA DE RIO BUENO")</f>
        <v>CAMBIO SENTIDO DE TRANSITO DIVERSAS CALLES, COMUNA DE RIO BUENO</v>
      </c>
      <c r="C1096" s="10" t="str">
        <f ca="1">IFERROR(__xludf.DUMMYFUNCTION("""COMPUTED_VALUE"""),"1-B-2024-226")</f>
        <v>1-B-2024-226</v>
      </c>
      <c r="D1096" s="26"/>
      <c r="E1096" s="10" t="str">
        <f ca="1">IFERROR(__xludf.DUMMYFUNCTION("""COMPUTED_VALUE"""),"Guía Operativa")</f>
        <v>Guía Operativa</v>
      </c>
      <c r="F1096" s="10" t="str">
        <f ca="1">IFERROR(__xludf.DUMMYFUNCTION("""COMPUTED_VALUE"""),"MUNICIPALIDAD DE RÍO BUENO")</f>
        <v>MUNICIPALIDAD DE RÍO BUENO</v>
      </c>
      <c r="G1096" s="71">
        <f ca="1">IFERROR(__xludf.DUMMYFUNCTION("""COMPUTED_VALUE"""),98378485)</f>
        <v>98378485</v>
      </c>
      <c r="H1096" s="10" t="str">
        <f ca="1">IFERROR(__xludf.DUMMYFUNCTION("""COMPUTED_VALUE"""),"Resolución")</f>
        <v>Resolución</v>
      </c>
      <c r="I1096" s="10" t="str">
        <f ca="1">IFERROR(__xludf.DUMMYFUNCTION("""COMPUTED_VALUE"""),"OBRA")</f>
        <v>OBRA</v>
      </c>
      <c r="J1096" s="10" t="str">
        <f ca="1">IFERROR(__xludf.DUMMYFUNCTION("""COMPUTED_VALUE"""),"Cumplir con normativa y reglamentos internos del programa en base a los objetivos.")</f>
        <v>Cumplir con normativa y reglamentos internos del programa en base a los objetivos.</v>
      </c>
      <c r="K1096" s="71">
        <f ca="1">IFERROR(__xludf.DUMMYFUNCTION("""COMPUTED_VALUE"""),98378485)</f>
        <v>98378485</v>
      </c>
      <c r="L1096" s="72">
        <f ca="1">IFERROR(__xludf.DUMMYFUNCTION("""COMPUTED_VALUE"""),1)</f>
        <v>1</v>
      </c>
      <c r="M1096" s="10">
        <f ca="1">IFERROR(__xludf.DUMMYFUNCTION("""COMPUTED_VALUE"""),11363)</f>
        <v>11363</v>
      </c>
      <c r="N1096" s="10" t="str">
        <f ca="1">IFERROR(__xludf.DUMMYFUNCTION("""COMPUTED_VALUE"""),"PMU")</f>
        <v>PMU</v>
      </c>
      <c r="O1096" s="1"/>
      <c r="P1096" s="1"/>
      <c r="Q1096" s="1"/>
      <c r="R1096" s="1"/>
      <c r="S1096" s="1"/>
      <c r="T1096" s="1"/>
      <c r="U1096" s="1"/>
      <c r="V1096" s="1"/>
      <c r="W1096" s="1"/>
      <c r="X1096" s="1"/>
      <c r="Y1096" s="1"/>
      <c r="Z1096" s="1"/>
    </row>
    <row r="1097" spans="1:26" ht="12.75" customHeight="1">
      <c r="A1097" s="1"/>
      <c r="B1097" s="10" t="str">
        <f ca="1">IFERROR(__xludf.DUMMYFUNCTION("""COMPUTED_VALUE"""),"MEJORAMIENTO VEREDAS COSTANERA Y ZONA DE JUEGOS INFANTILES, COMUNA DE LAGO RANCO")</f>
        <v>MEJORAMIENTO VEREDAS COSTANERA Y ZONA DE JUEGOS INFANTILES, COMUNA DE LAGO RANCO</v>
      </c>
      <c r="C1097" s="10" t="str">
        <f ca="1">IFERROR(__xludf.DUMMYFUNCTION("""COMPUTED_VALUE"""),"1-B-2024-402")</f>
        <v>1-B-2024-402</v>
      </c>
      <c r="D1097" s="26"/>
      <c r="E1097" s="10" t="str">
        <f ca="1">IFERROR(__xludf.DUMMYFUNCTION("""COMPUTED_VALUE"""),"Guía Operativa")</f>
        <v>Guía Operativa</v>
      </c>
      <c r="F1097" s="10" t="str">
        <f ca="1">IFERROR(__xludf.DUMMYFUNCTION("""COMPUTED_VALUE"""),"MUNICIPALIDAD DE LAGO RANCO")</f>
        <v>MUNICIPALIDAD DE LAGO RANCO</v>
      </c>
      <c r="G1097" s="71">
        <f ca="1">IFERROR(__xludf.DUMMYFUNCTION("""COMPUTED_VALUE"""),92565007)</f>
        <v>92565007</v>
      </c>
      <c r="H1097" s="10" t="str">
        <f ca="1">IFERROR(__xludf.DUMMYFUNCTION("""COMPUTED_VALUE"""),"Resolución")</f>
        <v>Resolución</v>
      </c>
      <c r="I1097" s="10" t="str">
        <f ca="1">IFERROR(__xludf.DUMMYFUNCTION("""COMPUTED_VALUE"""),"OBRA")</f>
        <v>OBRA</v>
      </c>
      <c r="J1097" s="10" t="str">
        <f ca="1">IFERROR(__xludf.DUMMYFUNCTION("""COMPUTED_VALUE"""),"Cumplir con normativa y reglamentos internos del programa en base a los objetivos.")</f>
        <v>Cumplir con normativa y reglamentos internos del programa en base a los objetivos.</v>
      </c>
      <c r="K1097" s="71">
        <f ca="1">IFERROR(__xludf.DUMMYFUNCTION("""COMPUTED_VALUE"""),92565007)</f>
        <v>92565007</v>
      </c>
      <c r="L1097" s="72">
        <f ca="1">IFERROR(__xludf.DUMMYFUNCTION("""COMPUTED_VALUE"""),1)</f>
        <v>1</v>
      </c>
      <c r="M1097" s="10">
        <f ca="1">IFERROR(__xludf.DUMMYFUNCTION("""COMPUTED_VALUE"""),10951)</f>
        <v>10951</v>
      </c>
      <c r="N1097" s="10" t="str">
        <f ca="1">IFERROR(__xludf.DUMMYFUNCTION("""COMPUTED_VALUE"""),"PMU")</f>
        <v>PMU</v>
      </c>
      <c r="O1097" s="1"/>
      <c r="P1097" s="1"/>
      <c r="Q1097" s="1"/>
      <c r="R1097" s="1"/>
      <c r="S1097" s="1"/>
      <c r="T1097" s="1"/>
      <c r="U1097" s="1"/>
      <c r="V1097" s="1"/>
      <c r="W1097" s="1"/>
      <c r="X1097" s="1"/>
      <c r="Y1097" s="1"/>
      <c r="Z1097" s="1"/>
    </row>
    <row r="1098" spans="1:26" ht="12.75" customHeight="1">
      <c r="A1098" s="1"/>
      <c r="B1098" s="10" t="str">
        <f ca="1">IFERROR(__xludf.DUMMYFUNCTION("""COMPUTED_VALUE"""),"HABILITACIÓN ZONA INFANTÍL PLAZUELA PEDRO DE VALDIVIA")</f>
        <v>HABILITACIÓN ZONA INFANTÍL PLAZUELA PEDRO DE VALDIVIA</v>
      </c>
      <c r="C1098" s="10" t="str">
        <f ca="1">IFERROR(__xludf.DUMMYFUNCTION("""COMPUTED_VALUE"""),"1-B-2024-495")</f>
        <v>1-B-2024-495</v>
      </c>
      <c r="D1098" s="26"/>
      <c r="E1098" s="10" t="str">
        <f ca="1">IFERROR(__xludf.DUMMYFUNCTION("""COMPUTED_VALUE"""),"Guía Operativa")</f>
        <v>Guía Operativa</v>
      </c>
      <c r="F1098" s="10" t="str">
        <f ca="1">IFERROR(__xludf.DUMMYFUNCTION("""COMPUTED_VALUE"""),"MUNICIPALIDAD DE MÁFIL")</f>
        <v>MUNICIPALIDAD DE MÁFIL</v>
      </c>
      <c r="G1098" s="71">
        <f ca="1">IFERROR(__xludf.DUMMYFUNCTION("""COMPUTED_VALUE"""),109138873)</f>
        <v>109138873</v>
      </c>
      <c r="H1098" s="10" t="str">
        <f ca="1">IFERROR(__xludf.DUMMYFUNCTION("""COMPUTED_VALUE"""),"Resolución")</f>
        <v>Resolución</v>
      </c>
      <c r="I1098" s="10" t="str">
        <f ca="1">IFERROR(__xludf.DUMMYFUNCTION("""COMPUTED_VALUE"""),"OBRA")</f>
        <v>OBRA</v>
      </c>
      <c r="J1098" s="10" t="str">
        <f ca="1">IFERROR(__xludf.DUMMYFUNCTION("""COMPUTED_VALUE"""),"Cumplir con normativa y reglamentos internos del programa en base a los objetivos.")</f>
        <v>Cumplir con normativa y reglamentos internos del programa en base a los objetivos.</v>
      </c>
      <c r="K1098" s="71">
        <f ca="1">IFERROR(__xludf.DUMMYFUNCTION("""COMPUTED_VALUE"""),109138873)</f>
        <v>109138873</v>
      </c>
      <c r="L1098" s="72">
        <f ca="1">IFERROR(__xludf.DUMMYFUNCTION("""COMPUTED_VALUE"""),1)</f>
        <v>1</v>
      </c>
      <c r="M1098" s="10">
        <f ca="1">IFERROR(__xludf.DUMMYFUNCTION("""COMPUTED_VALUE"""),11437)</f>
        <v>11437</v>
      </c>
      <c r="N1098" s="10" t="str">
        <f ca="1">IFERROR(__xludf.DUMMYFUNCTION("""COMPUTED_VALUE"""),"PMU")</f>
        <v>PMU</v>
      </c>
      <c r="O1098" s="1"/>
      <c r="P1098" s="1"/>
      <c r="Q1098" s="1"/>
      <c r="R1098" s="1"/>
      <c r="S1098" s="1"/>
      <c r="T1098" s="1"/>
      <c r="U1098" s="1"/>
      <c r="V1098" s="1"/>
      <c r="W1098" s="1"/>
      <c r="X1098" s="1"/>
      <c r="Y1098" s="1"/>
      <c r="Z1098" s="1"/>
    </row>
    <row r="1099" spans="1:26" ht="12.75" customHeight="1">
      <c r="A1099" s="1"/>
      <c r="B1099" s="10" t="str">
        <f ca="1">IFERROR(__xludf.DUMMYFUNCTION("""COMPUTED_VALUE"""),"CONSTRUCCION SSHH, CIERRE PERIMETRAL Y OBRAS ANEXAS, CEMENTERIO GENERAL DE CAMARONES")</f>
        <v>CONSTRUCCION SSHH, CIERRE PERIMETRAL Y OBRAS ANEXAS, CEMENTERIO GENERAL DE CAMARONES</v>
      </c>
      <c r="C1099" s="10" t="str">
        <f ca="1">IFERROR(__xludf.DUMMYFUNCTION("""COMPUTED_VALUE"""),"1-B-2024-360")</f>
        <v>1-B-2024-360</v>
      </c>
      <c r="D1099" s="26"/>
      <c r="E1099" s="10" t="str">
        <f ca="1">IFERROR(__xludf.DUMMYFUNCTION("""COMPUTED_VALUE"""),"Guía Operativa")</f>
        <v>Guía Operativa</v>
      </c>
      <c r="F1099" s="10" t="str">
        <f ca="1">IFERROR(__xludf.DUMMYFUNCTION("""COMPUTED_VALUE"""),"MUNICIPALIDAD DE CAMARONES")</f>
        <v>MUNICIPALIDAD DE CAMARONES</v>
      </c>
      <c r="G1099" s="71">
        <f ca="1">IFERROR(__xludf.DUMMYFUNCTION("""COMPUTED_VALUE"""),115250250)</f>
        <v>115250250</v>
      </c>
      <c r="H1099" s="10" t="str">
        <f ca="1">IFERROR(__xludf.DUMMYFUNCTION("""COMPUTED_VALUE"""),"Resolución")</f>
        <v>Resolución</v>
      </c>
      <c r="I1099" s="10" t="str">
        <f ca="1">IFERROR(__xludf.DUMMYFUNCTION("""COMPUTED_VALUE"""),"OBRA")</f>
        <v>OBRA</v>
      </c>
      <c r="J1099" s="10" t="str">
        <f ca="1">IFERROR(__xludf.DUMMYFUNCTION("""COMPUTED_VALUE"""),"Cumplir con normativa y reglamentos internos del programa en base a los objetivos.")</f>
        <v>Cumplir con normativa y reglamentos internos del programa en base a los objetivos.</v>
      </c>
      <c r="K1099" s="71">
        <f ca="1">IFERROR(__xludf.DUMMYFUNCTION("""COMPUTED_VALUE"""),115250250)</f>
        <v>115250250</v>
      </c>
      <c r="L1099" s="72">
        <f ca="1">IFERROR(__xludf.DUMMYFUNCTION("""COMPUTED_VALUE"""),1)</f>
        <v>1</v>
      </c>
      <c r="M1099" s="10">
        <f ca="1">IFERROR(__xludf.DUMMYFUNCTION("""COMPUTED_VALUE"""),10975)</f>
        <v>10975</v>
      </c>
      <c r="N1099" s="10" t="str">
        <f ca="1">IFERROR(__xludf.DUMMYFUNCTION("""COMPUTED_VALUE"""),"PMU")</f>
        <v>PMU</v>
      </c>
      <c r="O1099" s="1"/>
      <c r="P1099" s="1"/>
      <c r="Q1099" s="1"/>
      <c r="R1099" s="1"/>
      <c r="S1099" s="1"/>
      <c r="T1099" s="1"/>
      <c r="U1099" s="1"/>
      <c r="V1099" s="1"/>
      <c r="W1099" s="1"/>
      <c r="X1099" s="1"/>
      <c r="Y1099" s="1"/>
      <c r="Z1099" s="1"/>
    </row>
    <row r="1100" spans="1:26" ht="12.75" customHeight="1">
      <c r="A1100" s="1"/>
      <c r="B1100" s="10" t="str">
        <f ca="1">IFERROR(__xludf.DUMMYFUNCTION("""COMPUTED_VALUE"""),"MEJORAMIENTO MULTICANCHA DE BUCHUPUREO, COMUNA DE COBQUECURA")</f>
        <v>MEJORAMIENTO MULTICANCHA DE BUCHUPUREO, COMUNA DE COBQUECURA</v>
      </c>
      <c r="C1100" s="10" t="str">
        <f ca="1">IFERROR(__xludf.DUMMYFUNCTION("""COMPUTED_VALUE"""),"1-B-2024-188")</f>
        <v>1-B-2024-188</v>
      </c>
      <c r="D1100" s="26"/>
      <c r="E1100" s="10" t="str">
        <f ca="1">IFERROR(__xludf.DUMMYFUNCTION("""COMPUTED_VALUE"""),"Guía Operativa")</f>
        <v>Guía Operativa</v>
      </c>
      <c r="F1100" s="10" t="str">
        <f ca="1">IFERROR(__xludf.DUMMYFUNCTION("""COMPUTED_VALUE"""),"MUNICIPALIDAD DE COBQUECURA")</f>
        <v>MUNICIPALIDAD DE COBQUECURA</v>
      </c>
      <c r="G1100" s="71">
        <f ca="1">IFERROR(__xludf.DUMMYFUNCTION("""COMPUTED_VALUE"""),153930173)</f>
        <v>153930173</v>
      </c>
      <c r="H1100" s="10" t="str">
        <f ca="1">IFERROR(__xludf.DUMMYFUNCTION("""COMPUTED_VALUE"""),"Resolución")</f>
        <v>Resolución</v>
      </c>
      <c r="I1100" s="10" t="str">
        <f ca="1">IFERROR(__xludf.DUMMYFUNCTION("""COMPUTED_VALUE"""),"OBRA")</f>
        <v>OBRA</v>
      </c>
      <c r="J1100" s="10" t="str">
        <f ca="1">IFERROR(__xludf.DUMMYFUNCTION("""COMPUTED_VALUE"""),"Cumplir con normativa y reglamentos internos del programa en base a los objetivos.")</f>
        <v>Cumplir con normativa y reglamentos internos del programa en base a los objetivos.</v>
      </c>
      <c r="K1100" s="71">
        <f ca="1">IFERROR(__xludf.DUMMYFUNCTION("""COMPUTED_VALUE"""),153930173)</f>
        <v>153930173</v>
      </c>
      <c r="L1100" s="72">
        <f ca="1">IFERROR(__xludf.DUMMYFUNCTION("""COMPUTED_VALUE"""),1)</f>
        <v>1</v>
      </c>
      <c r="M1100" s="10">
        <f ca="1">IFERROR(__xludf.DUMMYFUNCTION("""COMPUTED_VALUE"""),10845)</f>
        <v>10845</v>
      </c>
      <c r="N1100" s="10" t="str">
        <f ca="1">IFERROR(__xludf.DUMMYFUNCTION("""COMPUTED_VALUE"""),"PMU")</f>
        <v>PMU</v>
      </c>
      <c r="O1100" s="1"/>
      <c r="P1100" s="1"/>
      <c r="Q1100" s="1"/>
      <c r="R1100" s="1"/>
      <c r="S1100" s="1"/>
      <c r="T1100" s="1"/>
      <c r="U1100" s="1"/>
      <c r="V1100" s="1"/>
      <c r="W1100" s="1"/>
      <c r="X1100" s="1"/>
      <c r="Y1100" s="1"/>
      <c r="Z1100" s="1"/>
    </row>
    <row r="1101" spans="1:26" ht="12.75" customHeight="1">
      <c r="A1101" s="1"/>
      <c r="B1101" s="10" t="str">
        <f ca="1">IFERROR(__xludf.DUMMYFUNCTION("""COMPUTED_VALUE"""),"REPOSICIÓN MULTICANCHA VILLA EDUARDO FREI, CHILLÁN VIEJO")</f>
        <v>REPOSICIÓN MULTICANCHA VILLA EDUARDO FREI, CHILLÁN VIEJO</v>
      </c>
      <c r="C1101" s="10" t="str">
        <f ca="1">IFERROR(__xludf.DUMMYFUNCTION("""COMPUTED_VALUE"""),"1-B-2024-308")</f>
        <v>1-B-2024-308</v>
      </c>
      <c r="D1101" s="26"/>
      <c r="E1101" s="10" t="str">
        <f ca="1">IFERROR(__xludf.DUMMYFUNCTION("""COMPUTED_VALUE"""),"Guía Operativa")</f>
        <v>Guía Operativa</v>
      </c>
      <c r="F1101" s="10" t="str">
        <f ca="1">IFERROR(__xludf.DUMMYFUNCTION("""COMPUTED_VALUE"""),"MUNICIPALIDAD DE CHILLÁN VIEJO")</f>
        <v>MUNICIPALIDAD DE CHILLÁN VIEJO</v>
      </c>
      <c r="G1101" s="71">
        <f ca="1">IFERROR(__xludf.DUMMYFUNCTION("""COMPUTED_VALUE"""),153910000)</f>
        <v>153910000</v>
      </c>
      <c r="H1101" s="10" t="str">
        <f ca="1">IFERROR(__xludf.DUMMYFUNCTION("""COMPUTED_VALUE"""),"Resolución")</f>
        <v>Resolución</v>
      </c>
      <c r="I1101" s="10" t="str">
        <f ca="1">IFERROR(__xludf.DUMMYFUNCTION("""COMPUTED_VALUE"""),"OBRA")</f>
        <v>OBRA</v>
      </c>
      <c r="J1101" s="10" t="str">
        <f ca="1">IFERROR(__xludf.DUMMYFUNCTION("""COMPUTED_VALUE"""),"Cumplir con normativa y reglamentos internos del programa en base a los objetivos.")</f>
        <v>Cumplir con normativa y reglamentos internos del programa en base a los objetivos.</v>
      </c>
      <c r="K1101" s="71">
        <f ca="1">IFERROR(__xludf.DUMMYFUNCTION("""COMPUTED_VALUE"""),153910000)</f>
        <v>153910000</v>
      </c>
      <c r="L1101" s="72">
        <f ca="1">IFERROR(__xludf.DUMMYFUNCTION("""COMPUTED_VALUE"""),1)</f>
        <v>1</v>
      </c>
      <c r="M1101" s="10">
        <f ca="1">IFERROR(__xludf.DUMMYFUNCTION("""COMPUTED_VALUE"""),10867)</f>
        <v>10867</v>
      </c>
      <c r="N1101" s="10" t="str">
        <f ca="1">IFERROR(__xludf.DUMMYFUNCTION("""COMPUTED_VALUE"""),"PMU")</f>
        <v>PMU</v>
      </c>
      <c r="O1101" s="1"/>
      <c r="P1101" s="1"/>
      <c r="Q1101" s="1"/>
      <c r="R1101" s="1"/>
      <c r="S1101" s="1"/>
      <c r="T1101" s="1"/>
      <c r="U1101" s="1"/>
      <c r="V1101" s="1"/>
      <c r="W1101" s="1"/>
      <c r="X1101" s="1"/>
      <c r="Y1101" s="1"/>
      <c r="Z1101" s="1"/>
    </row>
    <row r="1102" spans="1:26" ht="12.75" customHeight="1">
      <c r="A1102" s="1"/>
      <c r="B1102" s="10" t="str">
        <f ca="1">IFERROR(__xludf.DUMMYFUNCTION("""COMPUTED_VALUE"""),"MEJORAMIENTO PLAZOLETA VILLA ESTEFANIA II COMUNA DE PEMUCO")</f>
        <v>MEJORAMIENTO PLAZOLETA VILLA ESTEFANIA II COMUNA DE PEMUCO</v>
      </c>
      <c r="C1102" s="10" t="str">
        <f ca="1">IFERROR(__xludf.DUMMYFUNCTION("""COMPUTED_VALUE"""),"1-B-2024-323")</f>
        <v>1-B-2024-323</v>
      </c>
      <c r="D1102" s="26"/>
      <c r="E1102" s="10" t="str">
        <f ca="1">IFERROR(__xludf.DUMMYFUNCTION("""COMPUTED_VALUE"""),"Guía Operativa")</f>
        <v>Guía Operativa</v>
      </c>
      <c r="F1102" s="10" t="str">
        <f ca="1">IFERROR(__xludf.DUMMYFUNCTION("""COMPUTED_VALUE"""),"MUNICIPALIDAD DE PEMUCO")</f>
        <v>MUNICIPALIDAD DE PEMUCO</v>
      </c>
      <c r="G1102" s="71">
        <f ca="1">IFERROR(__xludf.DUMMYFUNCTION("""COMPUTED_VALUE"""),154141813)</f>
        <v>154141813</v>
      </c>
      <c r="H1102" s="10" t="str">
        <f ca="1">IFERROR(__xludf.DUMMYFUNCTION("""COMPUTED_VALUE"""),"Resolución")</f>
        <v>Resolución</v>
      </c>
      <c r="I1102" s="10" t="str">
        <f ca="1">IFERROR(__xludf.DUMMYFUNCTION("""COMPUTED_VALUE"""),"OBRA")</f>
        <v>OBRA</v>
      </c>
      <c r="J1102" s="10" t="str">
        <f ca="1">IFERROR(__xludf.DUMMYFUNCTION("""COMPUTED_VALUE"""),"Cumplir con normativa y reglamentos internos del programa en base a los objetivos.")</f>
        <v>Cumplir con normativa y reglamentos internos del programa en base a los objetivos.</v>
      </c>
      <c r="K1102" s="71">
        <f ca="1">IFERROR(__xludf.DUMMYFUNCTION("""COMPUTED_VALUE"""),154141813)</f>
        <v>154141813</v>
      </c>
      <c r="L1102" s="72">
        <f ca="1">IFERROR(__xludf.DUMMYFUNCTION("""COMPUTED_VALUE"""),1)</f>
        <v>1</v>
      </c>
      <c r="M1102" s="10">
        <f ca="1">IFERROR(__xludf.DUMMYFUNCTION("""COMPUTED_VALUE"""),10974)</f>
        <v>10974</v>
      </c>
      <c r="N1102" s="10" t="str">
        <f ca="1">IFERROR(__xludf.DUMMYFUNCTION("""COMPUTED_VALUE"""),"PMU")</f>
        <v>PMU</v>
      </c>
      <c r="O1102" s="1"/>
      <c r="P1102" s="1"/>
      <c r="Q1102" s="1"/>
      <c r="R1102" s="1"/>
      <c r="S1102" s="1"/>
      <c r="T1102" s="1"/>
      <c r="U1102" s="1"/>
      <c r="V1102" s="1"/>
      <c r="W1102" s="1"/>
      <c r="X1102" s="1"/>
      <c r="Y1102" s="1"/>
      <c r="Z1102" s="1"/>
    </row>
    <row r="1103" spans="1:26" ht="12.75" customHeight="1">
      <c r="A1103" s="1"/>
      <c r="B1103" s="10" t="str">
        <f ca="1">IFERROR(__xludf.DUMMYFUNCTION("""COMPUTED_VALUE"""),"REPOSICION AREAS VERDES DE VILLA GALILEA, COMUNA DE BULNES")</f>
        <v>REPOSICION AREAS VERDES DE VILLA GALILEA, COMUNA DE BULNES</v>
      </c>
      <c r="C1103" s="10" t="str">
        <f ca="1">IFERROR(__xludf.DUMMYFUNCTION("""COMPUTED_VALUE"""),"1-B-2024-331")</f>
        <v>1-B-2024-331</v>
      </c>
      <c r="D1103" s="26"/>
      <c r="E1103" s="10" t="str">
        <f ca="1">IFERROR(__xludf.DUMMYFUNCTION("""COMPUTED_VALUE"""),"Guía Operativa")</f>
        <v>Guía Operativa</v>
      </c>
      <c r="F1103" s="10" t="str">
        <f ca="1">IFERROR(__xludf.DUMMYFUNCTION("""COMPUTED_VALUE"""),"MUNICIPALIDAD DE BULNES")</f>
        <v>MUNICIPALIDAD DE BULNES</v>
      </c>
      <c r="G1103" s="71">
        <f ca="1">IFERROR(__xludf.DUMMYFUNCTION("""COMPUTED_VALUE"""),152000000)</f>
        <v>152000000</v>
      </c>
      <c r="H1103" s="10" t="str">
        <f ca="1">IFERROR(__xludf.DUMMYFUNCTION("""COMPUTED_VALUE"""),"Resolución")</f>
        <v>Resolución</v>
      </c>
      <c r="I1103" s="10" t="str">
        <f ca="1">IFERROR(__xludf.DUMMYFUNCTION("""COMPUTED_VALUE"""),"OBRA")</f>
        <v>OBRA</v>
      </c>
      <c r="J1103" s="10" t="str">
        <f ca="1">IFERROR(__xludf.DUMMYFUNCTION("""COMPUTED_VALUE"""),"Cumplir con normativa y reglamentos internos del programa en base a los objetivos.")</f>
        <v>Cumplir con normativa y reglamentos internos del programa en base a los objetivos.</v>
      </c>
      <c r="K1103" s="71">
        <f ca="1">IFERROR(__xludf.DUMMYFUNCTION("""COMPUTED_VALUE"""),152000000)</f>
        <v>152000000</v>
      </c>
      <c r="L1103" s="72">
        <f ca="1">IFERROR(__xludf.DUMMYFUNCTION("""COMPUTED_VALUE"""),1)</f>
        <v>1</v>
      </c>
      <c r="M1103" s="10">
        <f ca="1">IFERROR(__xludf.DUMMYFUNCTION("""COMPUTED_VALUE"""),11417)</f>
        <v>11417</v>
      </c>
      <c r="N1103" s="10" t="str">
        <f ca="1">IFERROR(__xludf.DUMMYFUNCTION("""COMPUTED_VALUE"""),"PMU")</f>
        <v>PMU</v>
      </c>
      <c r="O1103" s="1"/>
      <c r="P1103" s="1"/>
      <c r="Q1103" s="1"/>
      <c r="R1103" s="1"/>
      <c r="S1103" s="1"/>
      <c r="T1103" s="1"/>
      <c r="U1103" s="1"/>
      <c r="V1103" s="1"/>
      <c r="W1103" s="1"/>
      <c r="X1103" s="1"/>
      <c r="Y1103" s="1"/>
      <c r="Z1103" s="1"/>
    </row>
    <row r="1104" spans="1:26" ht="12.75" customHeight="1">
      <c r="A1104" s="1"/>
      <c r="B1104" s="10" t="str">
        <f ca="1">IFERROR(__xludf.DUMMYFUNCTION("""COMPUTED_VALUE"""),"MEJORAMIENTO BANDEJÓN CENTRAL AVENIDA VALPARAÍSO, SECTOR SANTA ROSA, COMUNA ALTO HOSPICIO")</f>
        <v>MEJORAMIENTO BANDEJÓN CENTRAL AVENIDA VALPARAÍSO, SECTOR SANTA ROSA, COMUNA ALTO HOSPICIO</v>
      </c>
      <c r="C1104" s="10" t="str">
        <f ca="1">IFERROR(__xludf.DUMMYFUNCTION("""COMPUTED_VALUE"""),"1-C-2024-694")</f>
        <v>1-C-2024-694</v>
      </c>
      <c r="D1104" s="26"/>
      <c r="E1104" s="10" t="str">
        <f ca="1">IFERROR(__xludf.DUMMYFUNCTION("""COMPUTED_VALUE"""),"Guía Operativa")</f>
        <v>Guía Operativa</v>
      </c>
      <c r="F1104" s="10" t="str">
        <f ca="1">IFERROR(__xludf.DUMMYFUNCTION("""COMPUTED_VALUE"""),"MUNICIPALIDAD DE ALTO HOSPICIO")</f>
        <v>MUNICIPALIDAD DE ALTO HOSPICIO</v>
      </c>
      <c r="G1104" s="71">
        <f ca="1">IFERROR(__xludf.DUMMYFUNCTION("""COMPUTED_VALUE"""),161664000)</f>
        <v>161664000</v>
      </c>
      <c r="H1104" s="10" t="str">
        <f ca="1">IFERROR(__xludf.DUMMYFUNCTION("""COMPUTED_VALUE"""),"Resolución")</f>
        <v>Resolución</v>
      </c>
      <c r="I1104" s="10" t="str">
        <f ca="1">IFERROR(__xludf.DUMMYFUNCTION("""COMPUTED_VALUE"""),"OBRA")</f>
        <v>OBRA</v>
      </c>
      <c r="J1104" s="10" t="str">
        <f ca="1">IFERROR(__xludf.DUMMYFUNCTION("""COMPUTED_VALUE"""),"Cumplir con normativa y reglamentos internos del programa en base a los objetivos.")</f>
        <v>Cumplir con normativa y reglamentos internos del programa en base a los objetivos.</v>
      </c>
      <c r="K1104" s="71">
        <f ca="1">IFERROR(__xludf.DUMMYFUNCTION("""COMPUTED_VALUE"""),161664000)</f>
        <v>161664000</v>
      </c>
      <c r="L1104" s="72">
        <f ca="1">IFERROR(__xludf.DUMMYFUNCTION("""COMPUTED_VALUE"""),1)</f>
        <v>1</v>
      </c>
      <c r="M1104" s="10" t="str">
        <f ca="1">IFERROR(__xludf.DUMMYFUNCTION("""COMPUTED_VALUE"""),"E22527/2024")</f>
        <v>E22527/2024</v>
      </c>
      <c r="N1104" s="10" t="str">
        <f ca="1">IFERROR(__xludf.DUMMYFUNCTION("""COMPUTED_VALUE"""),"PMU")</f>
        <v>PMU</v>
      </c>
      <c r="O1104" s="1"/>
      <c r="P1104" s="1"/>
      <c r="Q1104" s="1"/>
      <c r="R1104" s="1"/>
      <c r="S1104" s="1"/>
      <c r="T1104" s="1"/>
      <c r="U1104" s="1"/>
      <c r="V1104" s="1"/>
      <c r="W1104" s="1"/>
      <c r="X1104" s="1"/>
      <c r="Y1104" s="1"/>
      <c r="Z1104" s="1"/>
    </row>
    <row r="1105" spans="1:26" ht="12.75" customHeight="1">
      <c r="A1105" s="1"/>
      <c r="B1105" s="10" t="str">
        <f ca="1">IFERROR(__xludf.DUMMYFUNCTION("""COMPUTED_VALUE"""),"CONSTRUCCIÓN FOSA COMUN CEMENTERIO MUNICIPAL DE MEJILLONES")</f>
        <v>CONSTRUCCIÓN FOSA COMUN CEMENTERIO MUNICIPAL DE MEJILLONES</v>
      </c>
      <c r="C1105" s="10" t="str">
        <f ca="1">IFERROR(__xludf.DUMMYFUNCTION("""COMPUTED_VALUE"""),"1-C-2023-2242")</f>
        <v>1-C-2023-2242</v>
      </c>
      <c r="D1105" s="26"/>
      <c r="E1105" s="10" t="str">
        <f ca="1">IFERROR(__xludf.DUMMYFUNCTION("""COMPUTED_VALUE"""),"Guía Operativa")</f>
        <v>Guía Operativa</v>
      </c>
      <c r="F1105" s="10" t="str">
        <f ca="1">IFERROR(__xludf.DUMMYFUNCTION("""COMPUTED_VALUE"""),"MUNICIPALIDAD DE MEJILLONES")</f>
        <v>MUNICIPALIDAD DE MEJILLONES</v>
      </c>
      <c r="G1105" s="71">
        <f ca="1">IFERROR(__xludf.DUMMYFUNCTION("""COMPUTED_VALUE"""),159662669)</f>
        <v>159662669</v>
      </c>
      <c r="H1105" s="10" t="str">
        <f ca="1">IFERROR(__xludf.DUMMYFUNCTION("""COMPUTED_VALUE"""),"Resolución")</f>
        <v>Resolución</v>
      </c>
      <c r="I1105" s="10" t="str">
        <f ca="1">IFERROR(__xludf.DUMMYFUNCTION("""COMPUTED_VALUE"""),"OBRA")</f>
        <v>OBRA</v>
      </c>
      <c r="J1105" s="10" t="str">
        <f ca="1">IFERROR(__xludf.DUMMYFUNCTION("""COMPUTED_VALUE"""),"Cumplir con normativa y reglamentos internos del programa en base a los objetivos.")</f>
        <v>Cumplir con normativa y reglamentos internos del programa en base a los objetivos.</v>
      </c>
      <c r="K1105" s="71">
        <f ca="1">IFERROR(__xludf.DUMMYFUNCTION("""COMPUTED_VALUE"""),159662669)</f>
        <v>159662669</v>
      </c>
      <c r="L1105" s="72">
        <f ca="1">IFERROR(__xludf.DUMMYFUNCTION("""COMPUTED_VALUE"""),1)</f>
        <v>1</v>
      </c>
      <c r="M1105" s="10" t="str">
        <f ca="1">IFERROR(__xludf.DUMMYFUNCTION("""COMPUTED_VALUE"""),"E22524/2024")</f>
        <v>E22524/2024</v>
      </c>
      <c r="N1105" s="10" t="str">
        <f ca="1">IFERROR(__xludf.DUMMYFUNCTION("""COMPUTED_VALUE"""),"PMU")</f>
        <v>PMU</v>
      </c>
      <c r="O1105" s="1"/>
      <c r="P1105" s="1"/>
      <c r="Q1105" s="1"/>
      <c r="R1105" s="1"/>
      <c r="S1105" s="1"/>
      <c r="T1105" s="1"/>
      <c r="U1105" s="1"/>
      <c r="V1105" s="1"/>
      <c r="W1105" s="1"/>
      <c r="X1105" s="1"/>
      <c r="Y1105" s="1"/>
      <c r="Z1105" s="1"/>
    </row>
    <row r="1106" spans="1:26" ht="12.75" customHeight="1">
      <c r="A1106" s="1"/>
      <c r="B1106" s="10" t="str">
        <f ca="1">IFERROR(__xludf.DUMMYFUNCTION("""COMPUTED_VALUE"""),"HABILITACION AREA DE JUEGOS PARQUE TROCADERO, ANTOFAGASTA")</f>
        <v>HABILITACION AREA DE JUEGOS PARQUE TROCADERO, ANTOFAGASTA</v>
      </c>
      <c r="C1106" s="10" t="str">
        <f ca="1">IFERROR(__xludf.DUMMYFUNCTION("""COMPUTED_VALUE"""),"1-B-2024-164")</f>
        <v>1-B-2024-164</v>
      </c>
      <c r="D1106" s="26"/>
      <c r="E1106" s="10" t="str">
        <f ca="1">IFERROR(__xludf.DUMMYFUNCTION("""COMPUTED_VALUE"""),"Guía Operativa")</f>
        <v>Guía Operativa</v>
      </c>
      <c r="F1106" s="10" t="str">
        <f ca="1">IFERROR(__xludf.DUMMYFUNCTION("""COMPUTED_VALUE"""),"MUNICIPALIDAD DE ANTOFAGASTA")</f>
        <v>MUNICIPALIDAD DE ANTOFAGASTA</v>
      </c>
      <c r="G1106" s="71">
        <f ca="1">IFERROR(__xludf.DUMMYFUNCTION("""COMPUTED_VALUE"""),148786301)</f>
        <v>148786301</v>
      </c>
      <c r="H1106" s="10" t="str">
        <f ca="1">IFERROR(__xludf.DUMMYFUNCTION("""COMPUTED_VALUE"""),"Resolución")</f>
        <v>Resolución</v>
      </c>
      <c r="I1106" s="10" t="str">
        <f ca="1">IFERROR(__xludf.DUMMYFUNCTION("""COMPUTED_VALUE"""),"OBRA")</f>
        <v>OBRA</v>
      </c>
      <c r="J1106" s="10" t="str">
        <f ca="1">IFERROR(__xludf.DUMMYFUNCTION("""COMPUTED_VALUE"""),"Cumplir con normativa y reglamentos internos del programa en base a los objetivos.")</f>
        <v>Cumplir con normativa y reglamentos internos del programa en base a los objetivos.</v>
      </c>
      <c r="K1106" s="71">
        <f ca="1">IFERROR(__xludf.DUMMYFUNCTION("""COMPUTED_VALUE"""),148786301)</f>
        <v>148786301</v>
      </c>
      <c r="L1106" s="72">
        <f ca="1">IFERROR(__xludf.DUMMYFUNCTION("""COMPUTED_VALUE"""),1)</f>
        <v>1</v>
      </c>
      <c r="M1106" s="10" t="str">
        <f ca="1">IFERROR(__xludf.DUMMYFUNCTION("""COMPUTED_VALUE"""),"E23522/2024")</f>
        <v>E23522/2024</v>
      </c>
      <c r="N1106" s="10" t="str">
        <f ca="1">IFERROR(__xludf.DUMMYFUNCTION("""COMPUTED_VALUE"""),"PMU")</f>
        <v>PMU</v>
      </c>
      <c r="O1106" s="1"/>
      <c r="P1106" s="1"/>
      <c r="Q1106" s="1"/>
      <c r="R1106" s="1"/>
      <c r="S1106" s="1"/>
      <c r="T1106" s="1"/>
      <c r="U1106" s="1"/>
      <c r="V1106" s="1"/>
      <c r="W1106" s="1"/>
      <c r="X1106" s="1"/>
      <c r="Y1106" s="1"/>
      <c r="Z1106" s="1"/>
    </row>
    <row r="1107" spans="1:26" ht="12.75" customHeight="1">
      <c r="A1107" s="1"/>
      <c r="B1107" s="10" t="str">
        <f ca="1">IFERROR(__xludf.DUMMYFUNCTION("""COMPUTED_VALUE"""),"MEJORAMIENTO DE PAVIMENTOS PLAZA DE ARMAS DE MARÍA ELENA, COMUNA DE MARÍA ELENA")</f>
        <v>MEJORAMIENTO DE PAVIMENTOS PLAZA DE ARMAS DE MARÍA ELENA, COMUNA DE MARÍA ELENA</v>
      </c>
      <c r="C1107" s="10" t="str">
        <f ca="1">IFERROR(__xludf.DUMMYFUNCTION("""COMPUTED_VALUE"""),"1-B-2024-485")</f>
        <v>1-B-2024-485</v>
      </c>
      <c r="D1107" s="26"/>
      <c r="E1107" s="10" t="str">
        <f ca="1">IFERROR(__xludf.DUMMYFUNCTION("""COMPUTED_VALUE"""),"Guía Operativa")</f>
        <v>Guía Operativa</v>
      </c>
      <c r="F1107" s="10" t="str">
        <f ca="1">IFERROR(__xludf.DUMMYFUNCTION("""COMPUTED_VALUE"""),"MUNICIPALIDAD DE MARÍA ELENA")</f>
        <v>MUNICIPALIDAD DE MARÍA ELENA</v>
      </c>
      <c r="G1107" s="71">
        <f ca="1">IFERROR(__xludf.DUMMYFUNCTION("""COMPUTED_VALUE"""),151631671)</f>
        <v>151631671</v>
      </c>
      <c r="H1107" s="10" t="str">
        <f ca="1">IFERROR(__xludf.DUMMYFUNCTION("""COMPUTED_VALUE"""),"Resolución")</f>
        <v>Resolución</v>
      </c>
      <c r="I1107" s="10" t="str">
        <f ca="1">IFERROR(__xludf.DUMMYFUNCTION("""COMPUTED_VALUE"""),"OBRA")</f>
        <v>OBRA</v>
      </c>
      <c r="J1107" s="10" t="str">
        <f ca="1">IFERROR(__xludf.DUMMYFUNCTION("""COMPUTED_VALUE"""),"Cumplir con normativa y reglamentos internos del programa en base a los objetivos.")</f>
        <v>Cumplir con normativa y reglamentos internos del programa en base a los objetivos.</v>
      </c>
      <c r="K1107" s="71">
        <f ca="1">IFERROR(__xludf.DUMMYFUNCTION("""COMPUTED_VALUE"""),45489501)</f>
        <v>45489501</v>
      </c>
      <c r="L1107" s="72">
        <f ca="1">IFERROR(__xludf.DUMMYFUNCTION("""COMPUTED_VALUE"""),0.299999998021521)</f>
        <v>0.299999998021521</v>
      </c>
      <c r="M1107" s="10">
        <f ca="1">IFERROR(__xludf.DUMMYFUNCTION("""COMPUTED_VALUE"""),11752)</f>
        <v>11752</v>
      </c>
      <c r="N1107" s="10" t="str">
        <f ca="1">IFERROR(__xludf.DUMMYFUNCTION("""COMPUTED_VALUE"""),"PMU")</f>
        <v>PMU</v>
      </c>
      <c r="O1107" s="1"/>
      <c r="P1107" s="1"/>
      <c r="Q1107" s="1"/>
      <c r="R1107" s="1"/>
      <c r="S1107" s="1"/>
      <c r="T1107" s="1"/>
      <c r="U1107" s="1"/>
      <c r="V1107" s="1"/>
      <c r="W1107" s="1"/>
      <c r="X1107" s="1"/>
      <c r="Y1107" s="1"/>
      <c r="Z1107" s="1"/>
    </row>
    <row r="1108" spans="1:26" ht="12.75" customHeight="1">
      <c r="A1108" s="1"/>
      <c r="B1108" s="10" t="str">
        <f ca="1">IFERROR(__xludf.DUMMYFUNCTION("""COMPUTED_VALUE"""),"CONSTRUCCION PLAZA JOSE MIGUEL CARRERA, DIEGO DE ALMAGRO")</f>
        <v>CONSTRUCCION PLAZA JOSE MIGUEL CARRERA, DIEGO DE ALMAGRO</v>
      </c>
      <c r="C1108" s="10" t="str">
        <f ca="1">IFERROR(__xludf.DUMMYFUNCTION("""COMPUTED_VALUE"""),"1-B-2024-443")</f>
        <v>1-B-2024-443</v>
      </c>
      <c r="D1108" s="26"/>
      <c r="E1108" s="10" t="str">
        <f ca="1">IFERROR(__xludf.DUMMYFUNCTION("""COMPUTED_VALUE"""),"Guía Operativa")</f>
        <v>Guía Operativa</v>
      </c>
      <c r="F1108" s="10" t="str">
        <f ca="1">IFERROR(__xludf.DUMMYFUNCTION("""COMPUTED_VALUE"""),"MUNICIPALIDAD DE DIEGO DE ALMAGRO")</f>
        <v>MUNICIPALIDAD DE DIEGO DE ALMAGRO</v>
      </c>
      <c r="G1108" s="71">
        <f ca="1">IFERROR(__xludf.DUMMYFUNCTION("""COMPUTED_VALUE"""),120770382)</f>
        <v>120770382</v>
      </c>
      <c r="H1108" s="10" t="str">
        <f ca="1">IFERROR(__xludf.DUMMYFUNCTION("""COMPUTED_VALUE"""),"Resolución")</f>
        <v>Resolución</v>
      </c>
      <c r="I1108" s="10" t="str">
        <f ca="1">IFERROR(__xludf.DUMMYFUNCTION("""COMPUTED_VALUE"""),"OBRA")</f>
        <v>OBRA</v>
      </c>
      <c r="J1108" s="10" t="str">
        <f ca="1">IFERROR(__xludf.DUMMYFUNCTION("""COMPUTED_VALUE"""),"Cumplir con normativa y reglamentos internos del programa en base a los objetivos.")</f>
        <v>Cumplir con normativa y reglamentos internos del programa en base a los objetivos.</v>
      </c>
      <c r="K1108" s="71">
        <f ca="1">IFERROR(__xludf.DUMMYFUNCTION("""COMPUTED_VALUE"""),36231115)</f>
        <v>36231115</v>
      </c>
      <c r="L1108" s="72">
        <f ca="1">IFERROR(__xludf.DUMMYFUNCTION("""COMPUTED_VALUE"""),0.30000000331207)</f>
        <v>0.30000000331207</v>
      </c>
      <c r="M1108" s="10" t="str">
        <f ca="1">IFERROR(__xludf.DUMMYFUNCTION("""COMPUTED_VALUE"""),"E24002/2024")</f>
        <v>E24002/2024</v>
      </c>
      <c r="N1108" s="10" t="str">
        <f ca="1">IFERROR(__xludf.DUMMYFUNCTION("""COMPUTED_VALUE"""),"PMU")</f>
        <v>PMU</v>
      </c>
      <c r="O1108" s="1"/>
      <c r="P1108" s="1"/>
      <c r="Q1108" s="1"/>
      <c r="R1108" s="1"/>
      <c r="S1108" s="1"/>
      <c r="T1108" s="1"/>
      <c r="U1108" s="1"/>
      <c r="V1108" s="1"/>
      <c r="W1108" s="1"/>
      <c r="X1108" s="1"/>
      <c r="Y1108" s="1"/>
      <c r="Z1108" s="1"/>
    </row>
    <row r="1109" spans="1:26" ht="12.75" customHeight="1">
      <c r="A1109" s="1"/>
      <c r="B1109" s="10" t="str">
        <f ca="1">IFERROR(__xludf.DUMMYFUNCTION("""COMPUTED_VALUE"""),"MEJORAMIENTO PLAZOLETA PIRITA, CHAÑARAL")</f>
        <v>MEJORAMIENTO PLAZOLETA PIRITA, CHAÑARAL</v>
      </c>
      <c r="C1109" s="10" t="str">
        <f ca="1">IFERROR(__xludf.DUMMYFUNCTION("""COMPUTED_VALUE"""),"1-B-2024-445")</f>
        <v>1-B-2024-445</v>
      </c>
      <c r="D1109" s="26"/>
      <c r="E1109" s="10" t="str">
        <f ca="1">IFERROR(__xludf.DUMMYFUNCTION("""COMPUTED_VALUE"""),"Guía Operativa")</f>
        <v>Guía Operativa</v>
      </c>
      <c r="F1109" s="10" t="str">
        <f ca="1">IFERROR(__xludf.DUMMYFUNCTION("""COMPUTED_VALUE"""),"MUNICIPALIDAD DE CHAÑARAL")</f>
        <v>MUNICIPALIDAD DE CHAÑARAL</v>
      </c>
      <c r="G1109" s="71">
        <f ca="1">IFERROR(__xludf.DUMMYFUNCTION("""COMPUTED_VALUE"""),88130470)</f>
        <v>88130470</v>
      </c>
      <c r="H1109" s="10" t="str">
        <f ca="1">IFERROR(__xludf.DUMMYFUNCTION("""COMPUTED_VALUE"""),"Resolución")</f>
        <v>Resolución</v>
      </c>
      <c r="I1109" s="10" t="str">
        <f ca="1">IFERROR(__xludf.DUMMYFUNCTION("""COMPUTED_VALUE"""),"OBRA")</f>
        <v>OBRA</v>
      </c>
      <c r="J1109" s="10" t="str">
        <f ca="1">IFERROR(__xludf.DUMMYFUNCTION("""COMPUTED_VALUE"""),"Cumplir con normativa y reglamentos internos del programa en base a los objetivos.")</f>
        <v>Cumplir con normativa y reglamentos internos del programa en base a los objetivos.</v>
      </c>
      <c r="K1109" s="71">
        <f ca="1">IFERROR(__xludf.DUMMYFUNCTION("""COMPUTED_VALUE"""),88130470)</f>
        <v>88130470</v>
      </c>
      <c r="L1109" s="72">
        <f ca="1">IFERROR(__xludf.DUMMYFUNCTION("""COMPUTED_VALUE"""),1)</f>
        <v>1</v>
      </c>
      <c r="M1109" s="10" t="str">
        <f ca="1">IFERROR(__xludf.DUMMYFUNCTION("""COMPUTED_VALUE"""),"E23710/2024")</f>
        <v>E23710/2024</v>
      </c>
      <c r="N1109" s="10" t="str">
        <f ca="1">IFERROR(__xludf.DUMMYFUNCTION("""COMPUTED_VALUE"""),"PMU")</f>
        <v>PMU</v>
      </c>
      <c r="O1109" s="1"/>
      <c r="P1109" s="1"/>
      <c r="Q1109" s="1"/>
      <c r="R1109" s="1"/>
      <c r="S1109" s="1"/>
      <c r="T1109" s="1"/>
      <c r="U1109" s="1"/>
      <c r="V1109" s="1"/>
      <c r="W1109" s="1"/>
      <c r="X1109" s="1"/>
      <c r="Y1109" s="1"/>
      <c r="Z1109" s="1"/>
    </row>
    <row r="1110" spans="1:26" ht="12.75" customHeight="1">
      <c r="A1110" s="1"/>
      <c r="B1110" s="10" t="str">
        <f ca="1">IFERROR(__xludf.DUMMYFUNCTION("""COMPUTED_VALUE"""),"MEJORAMIENTO AREA DE JUEGOS PLAZA BALMACEDA, TIERRA AMARILLA")</f>
        <v>MEJORAMIENTO AREA DE JUEGOS PLAZA BALMACEDA, TIERRA AMARILLA</v>
      </c>
      <c r="C1110" s="10" t="str">
        <f ca="1">IFERROR(__xludf.DUMMYFUNCTION("""COMPUTED_VALUE"""),"1-B-2024-448")</f>
        <v>1-B-2024-448</v>
      </c>
      <c r="D1110" s="26"/>
      <c r="E1110" s="10" t="str">
        <f ca="1">IFERROR(__xludf.DUMMYFUNCTION("""COMPUTED_VALUE"""),"Guía Operativa")</f>
        <v>Guía Operativa</v>
      </c>
      <c r="F1110" s="10" t="str">
        <f ca="1">IFERROR(__xludf.DUMMYFUNCTION("""COMPUTED_VALUE"""),"MUNICIPALIDAD DE TIERRA AMARILLA")</f>
        <v>MUNICIPALIDAD DE TIERRA AMARILLA</v>
      </c>
      <c r="G1110" s="71">
        <f ca="1">IFERROR(__xludf.DUMMYFUNCTION("""COMPUTED_VALUE"""),44277830)</f>
        <v>44277830</v>
      </c>
      <c r="H1110" s="10" t="str">
        <f ca="1">IFERROR(__xludf.DUMMYFUNCTION("""COMPUTED_VALUE"""),"Resolución")</f>
        <v>Resolución</v>
      </c>
      <c r="I1110" s="10" t="str">
        <f ca="1">IFERROR(__xludf.DUMMYFUNCTION("""COMPUTED_VALUE"""),"OBRA")</f>
        <v>OBRA</v>
      </c>
      <c r="J1110" s="10" t="str">
        <f ca="1">IFERROR(__xludf.DUMMYFUNCTION("""COMPUTED_VALUE"""),"Cumplir con normativa y reglamentos internos del programa en base a los objetivos.")</f>
        <v>Cumplir con normativa y reglamentos internos del programa en base a los objetivos.</v>
      </c>
      <c r="K1110" s="71">
        <f ca="1">IFERROR(__xludf.DUMMYFUNCTION("""COMPUTED_VALUE"""),44277830)</f>
        <v>44277830</v>
      </c>
      <c r="L1110" s="72">
        <f ca="1">IFERROR(__xludf.DUMMYFUNCTION("""COMPUTED_VALUE"""),1)</f>
        <v>1</v>
      </c>
      <c r="M1110" s="10">
        <f ca="1">IFERROR(__xludf.DUMMYFUNCTION("""COMPUTED_VALUE"""),11449)</f>
        <v>11449</v>
      </c>
      <c r="N1110" s="10" t="str">
        <f ca="1">IFERROR(__xludf.DUMMYFUNCTION("""COMPUTED_VALUE"""),"PMU")</f>
        <v>PMU</v>
      </c>
      <c r="O1110" s="1"/>
      <c r="P1110" s="1"/>
      <c r="Q1110" s="1"/>
      <c r="R1110" s="1"/>
      <c r="S1110" s="1"/>
      <c r="T1110" s="1"/>
      <c r="U1110" s="1"/>
      <c r="V1110" s="1"/>
      <c r="W1110" s="1"/>
      <c r="X1110" s="1"/>
      <c r="Y1110" s="1"/>
      <c r="Z1110" s="1"/>
    </row>
    <row r="1111" spans="1:26" ht="12.75" customHeight="1">
      <c r="A1111" s="1"/>
      <c r="B1111" s="10" t="str">
        <f ca="1">IFERROR(__xludf.DUMMYFUNCTION("""COMPUTED_VALUE"""),"CONSERVACIÓN ESTABLECIMIENTO LICEO DARÍO SALAS, SANTA MARÍA")</f>
        <v>CONSERVACIÓN ESTABLECIMIENTO LICEO DARÍO SALAS, SANTA MARÍA</v>
      </c>
      <c r="C1111" s="10" t="str">
        <f ca="1">IFERROR(__xludf.DUMMYFUNCTION("""COMPUTED_VALUE"""),"1-C-2021-308")</f>
        <v>1-C-2021-308</v>
      </c>
      <c r="D1111" s="26"/>
      <c r="E1111" s="10" t="str">
        <f ca="1">IFERROR(__xludf.DUMMYFUNCTION("""COMPUTED_VALUE"""),"Guía Operativa")</f>
        <v>Guía Operativa</v>
      </c>
      <c r="F1111" s="10" t="str">
        <f ca="1">IFERROR(__xludf.DUMMYFUNCTION("""COMPUTED_VALUE"""),"MUNICIPALIDAD DE SANTA MARÍA")</f>
        <v>MUNICIPALIDAD DE SANTA MARÍA</v>
      </c>
      <c r="G1111" s="71">
        <f ca="1">IFERROR(__xludf.DUMMYFUNCTION("""COMPUTED_VALUE"""),32500501)</f>
        <v>32500501</v>
      </c>
      <c r="H1111" s="10" t="str">
        <f ca="1">IFERROR(__xludf.DUMMYFUNCTION("""COMPUTED_VALUE"""),"Resolución")</f>
        <v>Resolución</v>
      </c>
      <c r="I1111" s="10" t="str">
        <f ca="1">IFERROR(__xludf.DUMMYFUNCTION("""COMPUTED_VALUE"""),"OBRA")</f>
        <v>OBRA</v>
      </c>
      <c r="J1111" s="10" t="str">
        <f ca="1">IFERROR(__xludf.DUMMYFUNCTION("""COMPUTED_VALUE"""),"Cumplir con normativa y reglamentos internos del programa en base a los objetivos.")</f>
        <v>Cumplir con normativa y reglamentos internos del programa en base a los objetivos.</v>
      </c>
      <c r="K1111" s="71">
        <f ca="1">IFERROR(__xludf.DUMMYFUNCTION("""COMPUTED_VALUE"""),5980530)</f>
        <v>5980530</v>
      </c>
      <c r="L1111" s="72">
        <f ca="1">IFERROR(__xludf.DUMMYFUNCTION("""COMPUTED_VALUE"""),0.953244228450509)</f>
        <v>0.95324422845050905</v>
      </c>
      <c r="M1111" s="10">
        <f ca="1">IFERROR(__xludf.DUMMYFUNCTION("""COMPUTED_VALUE"""),12200)</f>
        <v>12200</v>
      </c>
      <c r="N1111" s="10" t="str">
        <f ca="1">IFERROR(__xludf.DUMMYFUNCTION("""COMPUTED_VALUE"""),"PMU")</f>
        <v>PMU</v>
      </c>
      <c r="O1111" s="1"/>
      <c r="P1111" s="1"/>
      <c r="Q1111" s="1"/>
      <c r="R1111" s="1"/>
      <c r="S1111" s="1"/>
      <c r="T1111" s="1"/>
      <c r="U1111" s="1"/>
      <c r="V1111" s="1"/>
      <c r="W1111" s="1"/>
      <c r="X1111" s="1"/>
      <c r="Y1111" s="1"/>
      <c r="Z1111" s="1"/>
    </row>
    <row r="1112" spans="1:26" ht="12.75" customHeight="1">
      <c r="A1112" s="1"/>
      <c r="B1112" s="10" t="str">
        <f ca="1">IFERROR(__xludf.DUMMYFUNCTION("""COMPUTED_VALUE"""),"CONSTRUCCION ACERAS SECTOR ORIENTE RUTA G-986 SAN CARLOS")</f>
        <v>CONSTRUCCION ACERAS SECTOR ORIENTE RUTA G-986 SAN CARLOS</v>
      </c>
      <c r="C1112" s="10" t="str">
        <f ca="1">IFERROR(__xludf.DUMMYFUNCTION("""COMPUTED_VALUE"""),"1-B-2024-68")</f>
        <v>1-B-2024-68</v>
      </c>
      <c r="D1112" s="26"/>
      <c r="E1112" s="10" t="str">
        <f ca="1">IFERROR(__xludf.DUMMYFUNCTION("""COMPUTED_VALUE"""),"Guía Operativa")</f>
        <v>Guía Operativa</v>
      </c>
      <c r="F1112" s="10" t="str">
        <f ca="1">IFERROR(__xludf.DUMMYFUNCTION("""COMPUTED_VALUE"""),"MUNICIPALIDAD DE EL TABO")</f>
        <v>MUNICIPALIDAD DE EL TABO</v>
      </c>
      <c r="G1112" s="71">
        <f ca="1">IFERROR(__xludf.DUMMYFUNCTION("""COMPUTED_VALUE"""),113065000)</f>
        <v>113065000</v>
      </c>
      <c r="H1112" s="10" t="str">
        <f ca="1">IFERROR(__xludf.DUMMYFUNCTION("""COMPUTED_VALUE"""),"Resolución")</f>
        <v>Resolución</v>
      </c>
      <c r="I1112" s="10" t="str">
        <f ca="1">IFERROR(__xludf.DUMMYFUNCTION("""COMPUTED_VALUE"""),"OBRA")</f>
        <v>OBRA</v>
      </c>
      <c r="J1112" s="10" t="str">
        <f ca="1">IFERROR(__xludf.DUMMYFUNCTION("""COMPUTED_VALUE"""),"Cumplir con normativa y reglamentos internos del programa en base a los objetivos.")</f>
        <v>Cumplir con normativa y reglamentos internos del programa en base a los objetivos.</v>
      </c>
      <c r="K1112" s="71">
        <f ca="1">IFERROR(__xludf.DUMMYFUNCTION("""COMPUTED_VALUE"""),33919500)</f>
        <v>33919500</v>
      </c>
      <c r="L1112" s="72">
        <f ca="1">IFERROR(__xludf.DUMMYFUNCTION("""COMPUTED_VALUE"""),0.3)</f>
        <v>0.3</v>
      </c>
      <c r="M1112" s="10">
        <f ca="1">IFERROR(__xludf.DUMMYFUNCTION("""COMPUTED_VALUE"""),11703)</f>
        <v>11703</v>
      </c>
      <c r="N1112" s="10" t="str">
        <f ca="1">IFERROR(__xludf.DUMMYFUNCTION("""COMPUTED_VALUE"""),"PMU")</f>
        <v>PMU</v>
      </c>
      <c r="O1112" s="1"/>
      <c r="P1112" s="1"/>
      <c r="Q1112" s="1"/>
      <c r="R1112" s="1"/>
      <c r="S1112" s="1"/>
      <c r="T1112" s="1"/>
      <c r="U1112" s="1"/>
      <c r="V1112" s="1"/>
      <c r="W1112" s="1"/>
      <c r="X1112" s="1"/>
      <c r="Y1112" s="1"/>
      <c r="Z1112" s="1"/>
    </row>
    <row r="1113" spans="1:26" ht="12.75" customHeight="1">
      <c r="A1113" s="1"/>
      <c r="B1113" s="10" t="str">
        <f ca="1">IFERROR(__xludf.DUMMYFUNCTION("""COMPUTED_VALUE"""),"MEJORAMIENTO PLAZA LAS TORRES, SECTOR FORESTAL, COMUNA DE VIÑA DEL MAR")</f>
        <v>MEJORAMIENTO PLAZA LAS TORRES, SECTOR FORESTAL, COMUNA DE VIÑA DEL MAR</v>
      </c>
      <c r="C1113" s="10" t="str">
        <f ca="1">IFERROR(__xludf.DUMMYFUNCTION("""COMPUTED_VALUE"""),"1-B-2024-74")</f>
        <v>1-B-2024-74</v>
      </c>
      <c r="D1113" s="26"/>
      <c r="E1113" s="10" t="str">
        <f ca="1">IFERROR(__xludf.DUMMYFUNCTION("""COMPUTED_VALUE"""),"Guía Operativa")</f>
        <v>Guía Operativa</v>
      </c>
      <c r="F1113" s="10" t="str">
        <f ca="1">IFERROR(__xludf.DUMMYFUNCTION("""COMPUTED_VALUE"""),"MUNICIPALIDAD DE VIÑA DEL MAR")</f>
        <v>MUNICIPALIDAD DE VIÑA DEL MAR</v>
      </c>
      <c r="G1113" s="71">
        <f ca="1">IFERROR(__xludf.DUMMYFUNCTION("""COMPUTED_VALUE"""),161264315)</f>
        <v>161264315</v>
      </c>
      <c r="H1113" s="10" t="str">
        <f ca="1">IFERROR(__xludf.DUMMYFUNCTION("""COMPUTED_VALUE"""),"Resolución")</f>
        <v>Resolución</v>
      </c>
      <c r="I1113" s="10" t="str">
        <f ca="1">IFERROR(__xludf.DUMMYFUNCTION("""COMPUTED_VALUE"""),"OBRA")</f>
        <v>OBRA</v>
      </c>
      <c r="J1113" s="10" t="str">
        <f ca="1">IFERROR(__xludf.DUMMYFUNCTION("""COMPUTED_VALUE"""),"Cumplir con normativa y reglamentos internos del programa en base a los objetivos.")</f>
        <v>Cumplir con normativa y reglamentos internos del programa en base a los objetivos.</v>
      </c>
      <c r="K1113" s="71">
        <f ca="1">IFERROR(__xludf.DUMMYFUNCTION("""COMPUTED_VALUE"""),161264315)</f>
        <v>161264315</v>
      </c>
      <c r="L1113" s="72">
        <f ca="1">IFERROR(__xludf.DUMMYFUNCTION("""COMPUTED_VALUE"""),1)</f>
        <v>1</v>
      </c>
      <c r="M1113" s="10" t="str">
        <f ca="1">IFERROR(__xludf.DUMMYFUNCTION("""COMPUTED_VALUE"""),"E23580/2024")</f>
        <v>E23580/2024</v>
      </c>
      <c r="N1113" s="10" t="str">
        <f ca="1">IFERROR(__xludf.DUMMYFUNCTION("""COMPUTED_VALUE"""),"PMU")</f>
        <v>PMU</v>
      </c>
      <c r="O1113" s="1"/>
      <c r="P1113" s="1"/>
      <c r="Q1113" s="1"/>
      <c r="R1113" s="1"/>
      <c r="S1113" s="1"/>
      <c r="T1113" s="1"/>
      <c r="U1113" s="1"/>
      <c r="V1113" s="1"/>
      <c r="W1113" s="1"/>
      <c r="X1113" s="1"/>
      <c r="Y1113" s="1"/>
      <c r="Z1113" s="1"/>
    </row>
    <row r="1114" spans="1:26" ht="12.75" customHeight="1">
      <c r="A1114" s="1"/>
      <c r="B1114" s="10" t="str">
        <f ca="1">IFERROR(__xludf.DUMMYFUNCTION("""COMPUTED_VALUE"""),"REPOSICIÓN INFRAESTRUCTURA PLAYA DE ZAPALLAR, COMUNA DE ZAPALLAR")</f>
        <v>REPOSICIÓN INFRAESTRUCTURA PLAYA DE ZAPALLAR, COMUNA DE ZAPALLAR</v>
      </c>
      <c r="C1114" s="10" t="str">
        <f ca="1">IFERROR(__xludf.DUMMYFUNCTION("""COMPUTED_VALUE"""),"1-B-2024-78")</f>
        <v>1-B-2024-78</v>
      </c>
      <c r="D1114" s="26"/>
      <c r="E1114" s="10" t="str">
        <f ca="1">IFERROR(__xludf.DUMMYFUNCTION("""COMPUTED_VALUE"""),"Guía Operativa")</f>
        <v>Guía Operativa</v>
      </c>
      <c r="F1114" s="10" t="str">
        <f ca="1">IFERROR(__xludf.DUMMYFUNCTION("""COMPUTED_VALUE"""),"MUNICIPALIDAD DE ZAPALLAR")</f>
        <v>MUNICIPALIDAD DE ZAPALLAR</v>
      </c>
      <c r="G1114" s="71">
        <f ca="1">IFERROR(__xludf.DUMMYFUNCTION("""COMPUTED_VALUE"""),104294179)</f>
        <v>104294179</v>
      </c>
      <c r="H1114" s="10" t="str">
        <f ca="1">IFERROR(__xludf.DUMMYFUNCTION("""COMPUTED_VALUE"""),"Resolución")</f>
        <v>Resolución</v>
      </c>
      <c r="I1114" s="10" t="str">
        <f ca="1">IFERROR(__xludf.DUMMYFUNCTION("""COMPUTED_VALUE"""),"OBRA")</f>
        <v>OBRA</v>
      </c>
      <c r="J1114" s="10" t="str">
        <f ca="1">IFERROR(__xludf.DUMMYFUNCTION("""COMPUTED_VALUE"""),"Cumplir con normativa y reglamentos internos del programa en base a los objetivos.")</f>
        <v>Cumplir con normativa y reglamentos internos del programa en base a los objetivos.</v>
      </c>
      <c r="K1114" s="71">
        <f ca="1">IFERROR(__xludf.DUMMYFUNCTION("""COMPUTED_VALUE"""),31288254)</f>
        <v>31288254</v>
      </c>
      <c r="L1114" s="72">
        <f ca="1">IFERROR(__xludf.DUMMYFUNCTION("""COMPUTED_VALUE"""),0.300000002876478)</f>
        <v>0.30000000287647799</v>
      </c>
      <c r="M1114" s="10" t="str">
        <f ca="1">IFERROR(__xludf.DUMMYFUNCTION("""COMPUTED_VALUE"""),"E23996/2024")</f>
        <v>E23996/2024</v>
      </c>
      <c r="N1114" s="10" t="str">
        <f ca="1">IFERROR(__xludf.DUMMYFUNCTION("""COMPUTED_VALUE"""),"PMU")</f>
        <v>PMU</v>
      </c>
      <c r="O1114" s="1"/>
      <c r="P1114" s="1"/>
      <c r="Q1114" s="1"/>
      <c r="R1114" s="1"/>
      <c r="S1114" s="1"/>
      <c r="T1114" s="1"/>
      <c r="U1114" s="1"/>
      <c r="V1114" s="1"/>
      <c r="W1114" s="1"/>
      <c r="X1114" s="1"/>
      <c r="Y1114" s="1"/>
      <c r="Z1114" s="1"/>
    </row>
    <row r="1115" spans="1:26" ht="12.75" customHeight="1">
      <c r="A1115" s="1"/>
      <c r="B1115" s="10" t="str">
        <f ca="1">IFERROR(__xludf.DUMMYFUNCTION("""COMPUTED_VALUE"""),"NORMALIZACIÓN SEMÁFOROS CRUCE AV. LATORRE - RODRIGUEZ, COMUNA DE SANTA MARIA")</f>
        <v>NORMALIZACIÓN SEMÁFOROS CRUCE AV. LATORRE - RODRIGUEZ, COMUNA DE SANTA MARIA</v>
      </c>
      <c r="C1115" s="10" t="str">
        <f ca="1">IFERROR(__xludf.DUMMYFUNCTION("""COMPUTED_VALUE"""),"1-B-2024-234")</f>
        <v>1-B-2024-234</v>
      </c>
      <c r="D1115" s="26"/>
      <c r="E1115" s="10" t="str">
        <f ca="1">IFERROR(__xludf.DUMMYFUNCTION("""COMPUTED_VALUE"""),"Guía Operativa")</f>
        <v>Guía Operativa</v>
      </c>
      <c r="F1115" s="10" t="str">
        <f ca="1">IFERROR(__xludf.DUMMYFUNCTION("""COMPUTED_VALUE"""),"MUNICIPALIDAD DE SANTA MARÍA")</f>
        <v>MUNICIPALIDAD DE SANTA MARÍA</v>
      </c>
      <c r="G1115" s="71">
        <f ca="1">IFERROR(__xludf.DUMMYFUNCTION("""COMPUTED_VALUE"""),109831171)</f>
        <v>109831171</v>
      </c>
      <c r="H1115" s="10" t="str">
        <f ca="1">IFERROR(__xludf.DUMMYFUNCTION("""COMPUTED_VALUE"""),"Resolución")</f>
        <v>Resolución</v>
      </c>
      <c r="I1115" s="10" t="str">
        <f ca="1">IFERROR(__xludf.DUMMYFUNCTION("""COMPUTED_VALUE"""),"OBRA")</f>
        <v>OBRA</v>
      </c>
      <c r="J1115" s="10" t="str">
        <f ca="1">IFERROR(__xludf.DUMMYFUNCTION("""COMPUTED_VALUE"""),"Cumplir con normativa y reglamentos internos del programa en base a los objetivos.")</f>
        <v>Cumplir con normativa y reglamentos internos del programa en base a los objetivos.</v>
      </c>
      <c r="K1115" s="71">
        <f ca="1">IFERROR(__xludf.DUMMYFUNCTION("""COMPUTED_VALUE"""),32949351)</f>
        <v>32949351</v>
      </c>
      <c r="L1115" s="72">
        <f ca="1">IFERROR(__xludf.DUMMYFUNCTION("""COMPUTED_VALUE"""),0.299999997268535)</f>
        <v>0.29999999726853499</v>
      </c>
      <c r="M1115" s="10" t="str">
        <f ca="1">IFERROR(__xludf.DUMMYFUNCTION("""COMPUTED_VALUE"""),"E23997/2024")</f>
        <v>E23997/2024</v>
      </c>
      <c r="N1115" s="10" t="str">
        <f ca="1">IFERROR(__xludf.DUMMYFUNCTION("""COMPUTED_VALUE"""),"PMU")</f>
        <v>PMU</v>
      </c>
      <c r="O1115" s="1"/>
      <c r="P1115" s="1"/>
      <c r="Q1115" s="1"/>
      <c r="R1115" s="1"/>
      <c r="S1115" s="1"/>
      <c r="T1115" s="1"/>
      <c r="U1115" s="1"/>
      <c r="V1115" s="1"/>
      <c r="W1115" s="1"/>
      <c r="X1115" s="1"/>
      <c r="Y1115" s="1"/>
      <c r="Z1115" s="1"/>
    </row>
    <row r="1116" spans="1:26" ht="12.75" customHeight="1">
      <c r="A1116" s="1"/>
      <c r="B1116" s="10" t="str">
        <f ca="1">IFERROR(__xludf.DUMMYFUNCTION("""COMPUTED_VALUE"""),"REPOSICIÓN VEREDA ORIENTE CALLE P. POLANCO, COMUNA DE LA LIGUA")</f>
        <v>REPOSICIÓN VEREDA ORIENTE CALLE P. POLANCO, COMUNA DE LA LIGUA</v>
      </c>
      <c r="C1116" s="10" t="str">
        <f ca="1">IFERROR(__xludf.DUMMYFUNCTION("""COMPUTED_VALUE"""),"1-B-2024-263")</f>
        <v>1-B-2024-263</v>
      </c>
      <c r="D1116" s="26"/>
      <c r="E1116" s="10" t="str">
        <f ca="1">IFERROR(__xludf.DUMMYFUNCTION("""COMPUTED_VALUE"""),"Guía Operativa")</f>
        <v>Guía Operativa</v>
      </c>
      <c r="F1116" s="10" t="str">
        <f ca="1">IFERROR(__xludf.DUMMYFUNCTION("""COMPUTED_VALUE"""),"MUNICIPALIDAD DE LA LIGUA")</f>
        <v>MUNICIPALIDAD DE LA LIGUA</v>
      </c>
      <c r="G1116" s="71">
        <f ca="1">IFERROR(__xludf.DUMMYFUNCTION("""COMPUTED_VALUE"""),115827249)</f>
        <v>115827249</v>
      </c>
      <c r="H1116" s="10" t="str">
        <f ca="1">IFERROR(__xludf.DUMMYFUNCTION("""COMPUTED_VALUE"""),"Resolución")</f>
        <v>Resolución</v>
      </c>
      <c r="I1116" s="10" t="str">
        <f ca="1">IFERROR(__xludf.DUMMYFUNCTION("""COMPUTED_VALUE"""),"OBRA")</f>
        <v>OBRA</v>
      </c>
      <c r="J1116" s="10" t="str">
        <f ca="1">IFERROR(__xludf.DUMMYFUNCTION("""COMPUTED_VALUE"""),"Cumplir con normativa y reglamentos internos del programa en base a los objetivos.")</f>
        <v>Cumplir con normativa y reglamentos internos del programa en base a los objetivos.</v>
      </c>
      <c r="K1116" s="71">
        <f ca="1">IFERROR(__xludf.DUMMYFUNCTION("""COMPUTED_VALUE"""),115827249)</f>
        <v>115827249</v>
      </c>
      <c r="L1116" s="72">
        <f ca="1">IFERROR(__xludf.DUMMYFUNCTION("""COMPUTED_VALUE"""),1)</f>
        <v>1</v>
      </c>
      <c r="M1116" s="10" t="str">
        <f ca="1">IFERROR(__xludf.DUMMYFUNCTION("""COMPUTED_VALUE"""),"E23598/2024")</f>
        <v>E23598/2024</v>
      </c>
      <c r="N1116" s="10" t="str">
        <f ca="1">IFERROR(__xludf.DUMMYFUNCTION("""COMPUTED_VALUE"""),"PMU")</f>
        <v>PMU</v>
      </c>
      <c r="O1116" s="1"/>
      <c r="P1116" s="1"/>
      <c r="Q1116" s="1"/>
      <c r="R1116" s="1"/>
      <c r="S1116" s="1"/>
      <c r="T1116" s="1"/>
      <c r="U1116" s="1"/>
      <c r="V1116" s="1"/>
      <c r="W1116" s="1"/>
      <c r="X1116" s="1"/>
      <c r="Y1116" s="1"/>
      <c r="Z1116" s="1"/>
    </row>
    <row r="1117" spans="1:26" ht="12.75" customHeight="1">
      <c r="A1117" s="1"/>
      <c r="B1117" s="10" t="str">
        <f ca="1">IFERROR(__xludf.DUMMYFUNCTION("""COMPUTED_VALUE"""),"REPOSICION MULTICANCHA JUNTA DE VECINOS SAN JOSE CALLE LARGA, COMUNA DE PETORCA")</f>
        <v>REPOSICION MULTICANCHA JUNTA DE VECINOS SAN JOSE CALLE LARGA, COMUNA DE PETORCA</v>
      </c>
      <c r="C1117" s="10" t="str">
        <f ca="1">IFERROR(__xludf.DUMMYFUNCTION("""COMPUTED_VALUE"""),"1-B-2024-270")</f>
        <v>1-B-2024-270</v>
      </c>
      <c r="D1117" s="26"/>
      <c r="E1117" s="10" t="str">
        <f ca="1">IFERROR(__xludf.DUMMYFUNCTION("""COMPUTED_VALUE"""),"Guía Operativa")</f>
        <v>Guía Operativa</v>
      </c>
      <c r="F1117" s="10" t="str">
        <f ca="1">IFERROR(__xludf.DUMMYFUNCTION("""COMPUTED_VALUE"""),"MUNICIPALIDAD DE PETORCA")</f>
        <v>MUNICIPALIDAD DE PETORCA</v>
      </c>
      <c r="G1117" s="71">
        <f ca="1">IFERROR(__xludf.DUMMYFUNCTION("""COMPUTED_VALUE"""),107672227)</f>
        <v>107672227</v>
      </c>
      <c r="H1117" s="10" t="str">
        <f ca="1">IFERROR(__xludf.DUMMYFUNCTION("""COMPUTED_VALUE"""),"Resolución")</f>
        <v>Resolución</v>
      </c>
      <c r="I1117" s="10" t="str">
        <f ca="1">IFERROR(__xludf.DUMMYFUNCTION("""COMPUTED_VALUE"""),"OBRA")</f>
        <v>OBRA</v>
      </c>
      <c r="J1117" s="10" t="str">
        <f ca="1">IFERROR(__xludf.DUMMYFUNCTION("""COMPUTED_VALUE"""),"Cumplir con normativa y reglamentos internos del programa en base a los objetivos.")</f>
        <v>Cumplir con normativa y reglamentos internos del programa en base a los objetivos.</v>
      </c>
      <c r="K1117" s="71">
        <f ca="1">IFERROR(__xludf.DUMMYFUNCTION("""COMPUTED_VALUE"""),32301668)</f>
        <v>32301668</v>
      </c>
      <c r="L1117" s="72">
        <f ca="1">IFERROR(__xludf.DUMMYFUNCTION("""COMPUTED_VALUE"""),0.299999999071255)</f>
        <v>0.29999999907125502</v>
      </c>
      <c r="M1117" s="10">
        <f ca="1">IFERROR(__xludf.DUMMYFUNCTION("""COMPUTED_VALUE"""),11754)</f>
        <v>11754</v>
      </c>
      <c r="N1117" s="10" t="str">
        <f ca="1">IFERROR(__xludf.DUMMYFUNCTION("""COMPUTED_VALUE"""),"PMU")</f>
        <v>PMU</v>
      </c>
      <c r="O1117" s="1"/>
      <c r="P1117" s="1"/>
      <c r="Q1117" s="1"/>
      <c r="R1117" s="1"/>
      <c r="S1117" s="1"/>
      <c r="T1117" s="1"/>
      <c r="U1117" s="1"/>
      <c r="V1117" s="1"/>
      <c r="W1117" s="1"/>
      <c r="X1117" s="1"/>
      <c r="Y1117" s="1"/>
      <c r="Z1117" s="1"/>
    </row>
    <row r="1118" spans="1:26" ht="12.75" customHeight="1">
      <c r="A1118" s="1"/>
      <c r="B1118" s="10" t="str">
        <f ca="1">IFERROR(__xludf.DUMMYFUNCTION("""COMPUTED_VALUE"""),"MEJORAMIENTO CANCHA DE TENIS Y ACCESIBILIDAD GIMNASIO MUNICIPAL")</f>
        <v>MEJORAMIENTO CANCHA DE TENIS Y ACCESIBILIDAD GIMNASIO MUNICIPAL</v>
      </c>
      <c r="C1118" s="10" t="str">
        <f ca="1">IFERROR(__xludf.DUMMYFUNCTION("""COMPUTED_VALUE"""),"1-B-2024-275")</f>
        <v>1-B-2024-275</v>
      </c>
      <c r="D1118" s="26"/>
      <c r="E1118" s="10" t="str">
        <f ca="1">IFERROR(__xludf.DUMMYFUNCTION("""COMPUTED_VALUE"""),"Guía Operativa")</f>
        <v>Guía Operativa</v>
      </c>
      <c r="F1118" s="10" t="str">
        <f ca="1">IFERROR(__xludf.DUMMYFUNCTION("""COMPUTED_VALUE"""),"MUNICIPALIDAD DE EL QUISCO")</f>
        <v>MUNICIPALIDAD DE EL QUISCO</v>
      </c>
      <c r="G1118" s="71">
        <f ca="1">IFERROR(__xludf.DUMMYFUNCTION("""COMPUTED_VALUE"""),114829675)</f>
        <v>114829675</v>
      </c>
      <c r="H1118" s="10" t="str">
        <f ca="1">IFERROR(__xludf.DUMMYFUNCTION("""COMPUTED_VALUE"""),"Resolución")</f>
        <v>Resolución</v>
      </c>
      <c r="I1118" s="10" t="str">
        <f ca="1">IFERROR(__xludf.DUMMYFUNCTION("""COMPUTED_VALUE"""),"OBRA")</f>
        <v>OBRA</v>
      </c>
      <c r="J1118" s="10" t="str">
        <f ca="1">IFERROR(__xludf.DUMMYFUNCTION("""COMPUTED_VALUE"""),"Cumplir con normativa y reglamentos internos del programa en base a los objetivos.")</f>
        <v>Cumplir con normativa y reglamentos internos del programa en base a los objetivos.</v>
      </c>
      <c r="K1118" s="71">
        <f ca="1">IFERROR(__xludf.DUMMYFUNCTION("""COMPUTED_VALUE"""),114829675)</f>
        <v>114829675</v>
      </c>
      <c r="L1118" s="72">
        <f ca="1">IFERROR(__xludf.DUMMYFUNCTION("""COMPUTED_VALUE"""),1)</f>
        <v>1</v>
      </c>
      <c r="M1118" s="10" t="str">
        <f ca="1">IFERROR(__xludf.DUMMYFUNCTION("""COMPUTED_VALUE"""),"E23694/2024")</f>
        <v>E23694/2024</v>
      </c>
      <c r="N1118" s="10" t="str">
        <f ca="1">IFERROR(__xludf.DUMMYFUNCTION("""COMPUTED_VALUE"""),"PMU")</f>
        <v>PMU</v>
      </c>
      <c r="O1118" s="1"/>
      <c r="P1118" s="1"/>
      <c r="Q1118" s="1"/>
      <c r="R1118" s="1"/>
      <c r="S1118" s="1"/>
      <c r="T1118" s="1"/>
      <c r="U1118" s="1"/>
      <c r="V1118" s="1"/>
      <c r="W1118" s="1"/>
      <c r="X1118" s="1"/>
      <c r="Y1118" s="1"/>
      <c r="Z1118" s="1"/>
    </row>
    <row r="1119" spans="1:26" ht="12.75" customHeight="1">
      <c r="A1119" s="1"/>
      <c r="B1119" s="10" t="str">
        <f ca="1">IFERROR(__xludf.DUMMYFUNCTION("""COMPUTED_VALUE"""),"CONSTRUCCIÓN PAVIMENTACIÓN PLANTA ELÉCTRICA, COMUNA JUAN FERNÁNDEZ")</f>
        <v>CONSTRUCCIÓN PAVIMENTACIÓN PLANTA ELÉCTRICA, COMUNA JUAN FERNÁNDEZ</v>
      </c>
      <c r="C1119" s="10" t="str">
        <f ca="1">IFERROR(__xludf.DUMMYFUNCTION("""COMPUTED_VALUE"""),"1-B-2024-291")</f>
        <v>1-B-2024-291</v>
      </c>
      <c r="D1119" s="26"/>
      <c r="E1119" s="10" t="str">
        <f ca="1">IFERROR(__xludf.DUMMYFUNCTION("""COMPUTED_VALUE"""),"Guía Operativa")</f>
        <v>Guía Operativa</v>
      </c>
      <c r="F1119" s="10" t="str">
        <f ca="1">IFERROR(__xludf.DUMMYFUNCTION("""COMPUTED_VALUE"""),"MUNICIPALIDAD DE JUAN FERNÁNDEZ")</f>
        <v>MUNICIPALIDAD DE JUAN FERNÁNDEZ</v>
      </c>
      <c r="G1119" s="71">
        <f ca="1">IFERROR(__xludf.DUMMYFUNCTION("""COMPUTED_VALUE"""),105182527)</f>
        <v>105182527</v>
      </c>
      <c r="H1119" s="10" t="str">
        <f ca="1">IFERROR(__xludf.DUMMYFUNCTION("""COMPUTED_VALUE"""),"Resolución")</f>
        <v>Resolución</v>
      </c>
      <c r="I1119" s="10" t="str">
        <f ca="1">IFERROR(__xludf.DUMMYFUNCTION("""COMPUTED_VALUE"""),"OBRA")</f>
        <v>OBRA</v>
      </c>
      <c r="J1119" s="10" t="str">
        <f ca="1">IFERROR(__xludf.DUMMYFUNCTION("""COMPUTED_VALUE"""),"Cumplir con normativa y reglamentos internos del programa en base a los objetivos.")</f>
        <v>Cumplir con normativa y reglamentos internos del programa en base a los objetivos.</v>
      </c>
      <c r="K1119" s="71">
        <f ca="1">IFERROR(__xludf.DUMMYFUNCTION("""COMPUTED_VALUE"""),31554758)</f>
        <v>31554758</v>
      </c>
      <c r="L1119" s="72">
        <f ca="1">IFERROR(__xludf.DUMMYFUNCTION("""COMPUTED_VALUE"""),0.299999999049271)</f>
        <v>0.29999999904927099</v>
      </c>
      <c r="M1119" s="10" t="str">
        <f ca="1">IFERROR(__xludf.DUMMYFUNCTION("""COMPUTED_VALUE"""),"E23999/2024")</f>
        <v>E23999/2024</v>
      </c>
      <c r="N1119" s="10" t="str">
        <f ca="1">IFERROR(__xludf.DUMMYFUNCTION("""COMPUTED_VALUE"""),"PMU")</f>
        <v>PMU</v>
      </c>
      <c r="O1119" s="1"/>
      <c r="P1119" s="1"/>
      <c r="Q1119" s="1"/>
      <c r="R1119" s="1"/>
      <c r="S1119" s="1"/>
      <c r="T1119" s="1"/>
      <c r="U1119" s="1"/>
      <c r="V1119" s="1"/>
      <c r="W1119" s="1"/>
      <c r="X1119" s="1"/>
      <c r="Y1119" s="1"/>
      <c r="Z1119" s="1"/>
    </row>
    <row r="1120" spans="1:26" ht="12.75" customHeight="1">
      <c r="A1120" s="1"/>
      <c r="B1120" s="10" t="str">
        <f ca="1">IFERROR(__xludf.DUMMYFUNCTION("""COMPUTED_VALUE"""),"CONSTRUCCION CAMARINES CLUB DEPORTIVO ""LEONEL SANCHEZ"" SANTA BLANCA, PERALILLO")</f>
        <v>CONSTRUCCION CAMARINES CLUB DEPORTIVO "LEONEL SANCHEZ" SANTA BLANCA, PERALILLO</v>
      </c>
      <c r="C1120" s="10" t="str">
        <f ca="1">IFERROR(__xludf.DUMMYFUNCTION("""COMPUTED_VALUE"""),"1-C-2021-1246")</f>
        <v>1-C-2021-1246</v>
      </c>
      <c r="D1120" s="26"/>
      <c r="E1120" s="10" t="str">
        <f ca="1">IFERROR(__xludf.DUMMYFUNCTION("""COMPUTED_VALUE"""),"Guía Operativa")</f>
        <v>Guía Operativa</v>
      </c>
      <c r="F1120" s="10" t="str">
        <f ca="1">IFERROR(__xludf.DUMMYFUNCTION("""COMPUTED_VALUE"""),"MUNICIPALIDAD DE PERALILLO")</f>
        <v>MUNICIPALIDAD DE PERALILLO</v>
      </c>
      <c r="G1120" s="71">
        <f ca="1">IFERROR(__xludf.DUMMYFUNCTION("""COMPUTED_VALUE"""),90635794)</f>
        <v>90635794</v>
      </c>
      <c r="H1120" s="10" t="str">
        <f ca="1">IFERROR(__xludf.DUMMYFUNCTION("""COMPUTED_VALUE"""),"Resolución")</f>
        <v>Resolución</v>
      </c>
      <c r="I1120" s="10" t="str">
        <f ca="1">IFERROR(__xludf.DUMMYFUNCTION("""COMPUTED_VALUE"""),"OBRA")</f>
        <v>OBRA</v>
      </c>
      <c r="J1120" s="10" t="str">
        <f ca="1">IFERROR(__xludf.DUMMYFUNCTION("""COMPUTED_VALUE"""),"Cumplir con normativa y reglamentos internos del programa en base a los objetivos.")</f>
        <v>Cumplir con normativa y reglamentos internos del programa en base a los objetivos.</v>
      </c>
      <c r="K1120" s="71">
        <f ca="1">IFERROR(__xludf.DUMMYFUNCTION("""COMPUTED_VALUE"""),14801343)</f>
        <v>14801343</v>
      </c>
      <c r="L1120" s="72">
        <f ca="1">IFERROR(__xludf.DUMMYFUNCTION("""COMPUTED_VALUE"""),0.99079335036222)</f>
        <v>0.99079335036222005</v>
      </c>
      <c r="M1120" s="10">
        <f ca="1">IFERROR(__xludf.DUMMYFUNCTION("""COMPUTED_VALUE"""),11103)</f>
        <v>11103</v>
      </c>
      <c r="N1120" s="10" t="str">
        <f ca="1">IFERROR(__xludf.DUMMYFUNCTION("""COMPUTED_VALUE"""),"PMU")</f>
        <v>PMU</v>
      </c>
      <c r="O1120" s="1"/>
      <c r="P1120" s="1"/>
      <c r="Q1120" s="1"/>
      <c r="R1120" s="1"/>
      <c r="S1120" s="1"/>
      <c r="T1120" s="1"/>
      <c r="U1120" s="1"/>
      <c r="V1120" s="1"/>
      <c r="W1120" s="1"/>
      <c r="X1120" s="1"/>
      <c r="Y1120" s="1"/>
      <c r="Z1120" s="1"/>
    </row>
    <row r="1121" spans="1:26" ht="12.75" customHeight="1">
      <c r="A1121" s="1"/>
      <c r="B1121" s="10" t="str">
        <f ca="1">IFERROR(__xludf.DUMMYFUNCTION("""COMPUTED_VALUE"""),"CONSTRUCCIÓN ÁREA VERDE VILLA ALAMEDA")</f>
        <v>CONSTRUCCIÓN ÁREA VERDE VILLA ALAMEDA</v>
      </c>
      <c r="C1121" s="10" t="str">
        <f ca="1">IFERROR(__xludf.DUMMYFUNCTION("""COMPUTED_VALUE"""),"1-B-2024-376")</f>
        <v>1-B-2024-376</v>
      </c>
      <c r="D1121" s="26"/>
      <c r="E1121" s="10" t="str">
        <f ca="1">IFERROR(__xludf.DUMMYFUNCTION("""COMPUTED_VALUE"""),"Guía Operativa")</f>
        <v>Guía Operativa</v>
      </c>
      <c r="F1121" s="10" t="str">
        <f ca="1">IFERROR(__xludf.DUMMYFUNCTION("""COMPUTED_VALUE"""),"MUNICIPALIDAD DE RANCAGUA")</f>
        <v>MUNICIPALIDAD DE RANCAGUA</v>
      </c>
      <c r="G1121" s="71">
        <f ca="1">IFERROR(__xludf.DUMMYFUNCTION("""COMPUTED_VALUE"""),68776624)</f>
        <v>68776624</v>
      </c>
      <c r="H1121" s="10" t="str">
        <f ca="1">IFERROR(__xludf.DUMMYFUNCTION("""COMPUTED_VALUE"""),"Resolución")</f>
        <v>Resolución</v>
      </c>
      <c r="I1121" s="10" t="str">
        <f ca="1">IFERROR(__xludf.DUMMYFUNCTION("""COMPUTED_VALUE"""),"OBRA")</f>
        <v>OBRA</v>
      </c>
      <c r="J1121" s="10" t="str">
        <f ca="1">IFERROR(__xludf.DUMMYFUNCTION("""COMPUTED_VALUE"""),"Cumplir con normativa y reglamentos internos del programa en base a los objetivos.")</f>
        <v>Cumplir con normativa y reglamentos internos del programa en base a los objetivos.</v>
      </c>
      <c r="K1121" s="71">
        <f ca="1">IFERROR(__xludf.DUMMYFUNCTION("""COMPUTED_VALUE"""),20632987)</f>
        <v>20632987</v>
      </c>
      <c r="L1121" s="72">
        <f ca="1">IFERROR(__xludf.DUMMYFUNCTION("""COMPUTED_VALUE"""),0.299999997092035)</f>
        <v>0.29999999709203501</v>
      </c>
      <c r="M1121" s="10" t="str">
        <f ca="1">IFERROR(__xludf.DUMMYFUNCTION("""COMPUTED_VALUE"""),"E24007/2024")</f>
        <v>E24007/2024</v>
      </c>
      <c r="N1121" s="10" t="str">
        <f ca="1">IFERROR(__xludf.DUMMYFUNCTION("""COMPUTED_VALUE"""),"PMU")</f>
        <v>PMU</v>
      </c>
      <c r="O1121" s="1"/>
      <c r="P1121" s="1"/>
      <c r="Q1121" s="1"/>
      <c r="R1121" s="1"/>
      <c r="S1121" s="1"/>
      <c r="T1121" s="1"/>
      <c r="U1121" s="1"/>
      <c r="V1121" s="1"/>
      <c r="W1121" s="1"/>
      <c r="X1121" s="1"/>
      <c r="Y1121" s="1"/>
      <c r="Z1121" s="1"/>
    </row>
    <row r="1122" spans="1:26" ht="12.75" customHeight="1">
      <c r="A1122" s="1"/>
      <c r="B1122" s="10" t="str">
        <f ca="1">IFERROR(__xludf.DUMMYFUNCTION("""COMPUTED_VALUE"""),"CONSTRUCCIÓN SEDE COMUNITARIA SECTOR MONTE MANZANO, PARRAL")</f>
        <v>CONSTRUCCIÓN SEDE COMUNITARIA SECTOR MONTE MANZANO, PARRAL</v>
      </c>
      <c r="C1122" s="10" t="str">
        <f ca="1">IFERROR(__xludf.DUMMYFUNCTION("""COMPUTED_VALUE"""),"1-C-2021-472 [CHA]")</f>
        <v>1-C-2021-472 [CHA]</v>
      </c>
      <c r="D1122" s="26"/>
      <c r="E1122" s="10" t="str">
        <f ca="1">IFERROR(__xludf.DUMMYFUNCTION("""COMPUTED_VALUE"""),"Guía Operativa")</f>
        <v>Guía Operativa</v>
      </c>
      <c r="F1122" s="10" t="str">
        <f ca="1">IFERROR(__xludf.DUMMYFUNCTION("""COMPUTED_VALUE"""),"MUNICIPALIDAD DE PARRAL")</f>
        <v>MUNICIPALIDAD DE PARRAL</v>
      </c>
      <c r="G1122" s="71">
        <f ca="1">IFERROR(__xludf.DUMMYFUNCTION("""COMPUTED_VALUE"""),95388874)</f>
        <v>95388874</v>
      </c>
      <c r="H1122" s="10" t="str">
        <f ca="1">IFERROR(__xludf.DUMMYFUNCTION("""COMPUTED_VALUE"""),"Resolución")</f>
        <v>Resolución</v>
      </c>
      <c r="I1122" s="10" t="str">
        <f ca="1">IFERROR(__xludf.DUMMYFUNCTION("""COMPUTED_VALUE"""),"OBRA")</f>
        <v>OBRA</v>
      </c>
      <c r="J1122" s="10" t="str">
        <f ca="1">IFERROR(__xludf.DUMMYFUNCTION("""COMPUTED_VALUE"""),"Cumplir con normativa y reglamentos internos del programa en base a los objetivos.")</f>
        <v>Cumplir con normativa y reglamentos internos del programa en base a los objetivos.</v>
      </c>
      <c r="K1122" s="71">
        <f ca="1">IFERROR(__xludf.DUMMYFUNCTION("""COMPUTED_VALUE"""),18894100)</f>
        <v>18894100</v>
      </c>
      <c r="L1122" s="72">
        <f ca="1">IFERROR(__xludf.DUMMYFUNCTION("""COMPUTED_VALUE"""),0.984328623063524)</f>
        <v>0.98432862306352398</v>
      </c>
      <c r="M1122" s="10">
        <f ca="1">IFERROR(__xludf.DUMMYFUNCTION("""COMPUTED_VALUE"""),6838)</f>
        <v>6838</v>
      </c>
      <c r="N1122" s="10" t="str">
        <f ca="1">IFERROR(__xludf.DUMMYFUNCTION("""COMPUTED_VALUE"""),"PMU")</f>
        <v>PMU</v>
      </c>
      <c r="O1122" s="1"/>
      <c r="P1122" s="1"/>
      <c r="Q1122" s="1"/>
      <c r="R1122" s="1"/>
      <c r="S1122" s="1"/>
      <c r="T1122" s="1"/>
      <c r="U1122" s="1"/>
      <c r="V1122" s="1"/>
      <c r="W1122" s="1"/>
      <c r="X1122" s="1"/>
      <c r="Y1122" s="1"/>
      <c r="Z1122" s="1"/>
    </row>
    <row r="1123" spans="1:26" ht="12.75" customHeight="1">
      <c r="A1123" s="1"/>
      <c r="B1123" s="10" t="str">
        <f ca="1">IFERROR(__xludf.DUMMYFUNCTION("""COMPUTED_VALUE"""),"CONSTRUCCIÓN PLAZA CIRCUITO DE CALISTENIA")</f>
        <v>CONSTRUCCIÓN PLAZA CIRCUITO DE CALISTENIA</v>
      </c>
      <c r="C1123" s="10" t="str">
        <f ca="1">IFERROR(__xludf.DUMMYFUNCTION("""COMPUTED_VALUE"""),"1-B-2024-229")</f>
        <v>1-B-2024-229</v>
      </c>
      <c r="D1123" s="26"/>
      <c r="E1123" s="10" t="str">
        <f ca="1">IFERROR(__xludf.DUMMYFUNCTION("""COMPUTED_VALUE"""),"Guía Operativa")</f>
        <v>Guía Operativa</v>
      </c>
      <c r="F1123" s="10" t="str">
        <f ca="1">IFERROR(__xludf.DUMMYFUNCTION("""COMPUTED_VALUE"""),"MUNICIPALIDAD DE PELARCO")</f>
        <v>MUNICIPALIDAD DE PELARCO</v>
      </c>
      <c r="G1123" s="71">
        <f ca="1">IFERROR(__xludf.DUMMYFUNCTION("""COMPUTED_VALUE"""),105326610)</f>
        <v>105326610</v>
      </c>
      <c r="H1123" s="10" t="str">
        <f ca="1">IFERROR(__xludf.DUMMYFUNCTION("""COMPUTED_VALUE"""),"Resolución")</f>
        <v>Resolución</v>
      </c>
      <c r="I1123" s="10" t="str">
        <f ca="1">IFERROR(__xludf.DUMMYFUNCTION("""COMPUTED_VALUE"""),"OBRA")</f>
        <v>OBRA</v>
      </c>
      <c r="J1123" s="10" t="str">
        <f ca="1">IFERROR(__xludf.DUMMYFUNCTION("""COMPUTED_VALUE"""),"Cumplir con normativa y reglamentos internos del programa en base a los objetivos.")</f>
        <v>Cumplir con normativa y reglamentos internos del programa en base a los objetivos.</v>
      </c>
      <c r="K1123" s="71">
        <f ca="1">IFERROR(__xludf.DUMMYFUNCTION("""COMPUTED_VALUE"""),105326610)</f>
        <v>105326610</v>
      </c>
      <c r="L1123" s="72">
        <f ca="1">IFERROR(__xludf.DUMMYFUNCTION("""COMPUTED_VALUE"""),1)</f>
        <v>1</v>
      </c>
      <c r="M1123" s="10">
        <f ca="1">IFERROR(__xludf.DUMMYFUNCTION("""COMPUTED_VALUE"""),11364)</f>
        <v>11364</v>
      </c>
      <c r="N1123" s="10" t="str">
        <f ca="1">IFERROR(__xludf.DUMMYFUNCTION("""COMPUTED_VALUE"""),"PMU")</f>
        <v>PMU</v>
      </c>
      <c r="O1123" s="1"/>
      <c r="P1123" s="1"/>
      <c r="Q1123" s="1"/>
      <c r="R1123" s="1"/>
      <c r="S1123" s="1"/>
      <c r="T1123" s="1"/>
      <c r="U1123" s="1"/>
      <c r="V1123" s="1"/>
      <c r="W1123" s="1"/>
      <c r="X1123" s="1"/>
      <c r="Y1123" s="1"/>
      <c r="Z1123" s="1"/>
    </row>
    <row r="1124" spans="1:26" ht="12.75" customHeight="1">
      <c r="A1124" s="1"/>
      <c r="B1124" s="10" t="str">
        <f ca="1">IFERROR(__xludf.DUMMYFUNCTION("""COMPUTED_VALUE"""),"MEJORAMIENTO ÁREA VERDE SECTOR COOPERATIVA, SAN RAFAEL")</f>
        <v>MEJORAMIENTO ÁREA VERDE SECTOR COOPERATIVA, SAN RAFAEL</v>
      </c>
      <c r="C1124" s="10" t="str">
        <f ca="1">IFERROR(__xludf.DUMMYFUNCTION("""COMPUTED_VALUE"""),"1-B-2024-230")</f>
        <v>1-B-2024-230</v>
      </c>
      <c r="D1124" s="26"/>
      <c r="E1124" s="10" t="str">
        <f ca="1">IFERROR(__xludf.DUMMYFUNCTION("""COMPUTED_VALUE"""),"Guía Operativa")</f>
        <v>Guía Operativa</v>
      </c>
      <c r="F1124" s="10" t="str">
        <f ca="1">IFERROR(__xludf.DUMMYFUNCTION("""COMPUTED_VALUE"""),"MUNICIPALIDAD DE SAN RAFAEL")</f>
        <v>MUNICIPALIDAD DE SAN RAFAEL</v>
      </c>
      <c r="G1124" s="71">
        <f ca="1">IFERROR(__xludf.DUMMYFUNCTION("""COMPUTED_VALUE"""),105326607)</f>
        <v>105326607</v>
      </c>
      <c r="H1124" s="10" t="str">
        <f ca="1">IFERROR(__xludf.DUMMYFUNCTION("""COMPUTED_VALUE"""),"Resolución")</f>
        <v>Resolución</v>
      </c>
      <c r="I1124" s="10" t="str">
        <f ca="1">IFERROR(__xludf.DUMMYFUNCTION("""COMPUTED_VALUE"""),"OBRA")</f>
        <v>OBRA</v>
      </c>
      <c r="J1124" s="10" t="str">
        <f ca="1">IFERROR(__xludf.DUMMYFUNCTION("""COMPUTED_VALUE"""),"Cumplir con normativa y reglamentos internos del programa en base a los objetivos.")</f>
        <v>Cumplir con normativa y reglamentos internos del programa en base a los objetivos.</v>
      </c>
      <c r="K1124" s="71">
        <f ca="1">IFERROR(__xludf.DUMMYFUNCTION("""COMPUTED_VALUE"""),105326607)</f>
        <v>105326607</v>
      </c>
      <c r="L1124" s="72">
        <f ca="1">IFERROR(__xludf.DUMMYFUNCTION("""COMPUTED_VALUE"""),1)</f>
        <v>1</v>
      </c>
      <c r="M1124" s="10">
        <f ca="1">IFERROR(__xludf.DUMMYFUNCTION("""COMPUTED_VALUE"""),11657)</f>
        <v>11657</v>
      </c>
      <c r="N1124" s="10" t="str">
        <f ca="1">IFERROR(__xludf.DUMMYFUNCTION("""COMPUTED_VALUE"""),"PMU")</f>
        <v>PMU</v>
      </c>
      <c r="O1124" s="1"/>
      <c r="P1124" s="1"/>
      <c r="Q1124" s="1"/>
      <c r="R1124" s="1"/>
      <c r="S1124" s="1"/>
      <c r="T1124" s="1"/>
      <c r="U1124" s="1"/>
      <c r="V1124" s="1"/>
      <c r="W1124" s="1"/>
      <c r="X1124" s="1"/>
      <c r="Y1124" s="1"/>
      <c r="Z1124" s="1"/>
    </row>
    <row r="1125" spans="1:26" ht="12.75" customHeight="1">
      <c r="A1125" s="1"/>
      <c r="B1125" s="10" t="str">
        <f ca="1">IFERROR(__xludf.DUMMYFUNCTION("""COMPUTED_VALUE"""),"MEJORAMIENTO SEDE SOCIAL VILLA SAN CLEMENTE I SAN CLEMENTE")</f>
        <v>MEJORAMIENTO SEDE SOCIAL VILLA SAN CLEMENTE I SAN CLEMENTE</v>
      </c>
      <c r="C1125" s="10" t="str">
        <f ca="1">IFERROR(__xludf.DUMMYFUNCTION("""COMPUTED_VALUE"""),"1-B-2024-247")</f>
        <v>1-B-2024-247</v>
      </c>
      <c r="D1125" s="26"/>
      <c r="E1125" s="10" t="str">
        <f ca="1">IFERROR(__xludf.DUMMYFUNCTION("""COMPUTED_VALUE"""),"Guía Operativa")</f>
        <v>Guía Operativa</v>
      </c>
      <c r="F1125" s="10" t="str">
        <f ca="1">IFERROR(__xludf.DUMMYFUNCTION("""COMPUTED_VALUE"""),"MUNICIPALIDAD DE SAN CLEMENTE")</f>
        <v>MUNICIPALIDAD DE SAN CLEMENTE</v>
      </c>
      <c r="G1125" s="71">
        <f ca="1">IFERROR(__xludf.DUMMYFUNCTION("""COMPUTED_VALUE"""),58177560)</f>
        <v>58177560</v>
      </c>
      <c r="H1125" s="10" t="str">
        <f ca="1">IFERROR(__xludf.DUMMYFUNCTION("""COMPUTED_VALUE"""),"Resolución")</f>
        <v>Resolución</v>
      </c>
      <c r="I1125" s="10" t="str">
        <f ca="1">IFERROR(__xludf.DUMMYFUNCTION("""COMPUTED_VALUE"""),"OBRA")</f>
        <v>OBRA</v>
      </c>
      <c r="J1125" s="10" t="str">
        <f ca="1">IFERROR(__xludf.DUMMYFUNCTION("""COMPUTED_VALUE"""),"Cumplir con normativa y reglamentos internos del programa en base a los objetivos.")</f>
        <v>Cumplir con normativa y reglamentos internos del programa en base a los objetivos.</v>
      </c>
      <c r="K1125" s="71">
        <f ca="1">IFERROR(__xludf.DUMMYFUNCTION("""COMPUTED_VALUE"""),17453268)</f>
        <v>17453268</v>
      </c>
      <c r="L1125" s="72">
        <f ca="1">IFERROR(__xludf.DUMMYFUNCTION("""COMPUTED_VALUE"""),0.3)</f>
        <v>0.3</v>
      </c>
      <c r="M1125" s="10" t="str">
        <f ca="1">IFERROR(__xludf.DUMMYFUNCTION("""COMPUTED_VALUE"""),"E24010/2024")</f>
        <v>E24010/2024</v>
      </c>
      <c r="N1125" s="10" t="str">
        <f ca="1">IFERROR(__xludf.DUMMYFUNCTION("""COMPUTED_VALUE"""),"PMU")</f>
        <v>PMU</v>
      </c>
      <c r="O1125" s="1"/>
      <c r="P1125" s="1"/>
      <c r="Q1125" s="1"/>
      <c r="R1125" s="1"/>
      <c r="S1125" s="1"/>
      <c r="T1125" s="1"/>
      <c r="U1125" s="1"/>
      <c r="V1125" s="1"/>
      <c r="W1125" s="1"/>
      <c r="X1125" s="1"/>
      <c r="Y1125" s="1"/>
      <c r="Z1125" s="1"/>
    </row>
    <row r="1126" spans="1:26" ht="12.75" customHeight="1">
      <c r="A1126" s="1"/>
      <c r="B1126" s="10" t="str">
        <f ca="1">IFERROR(__xludf.DUMMYFUNCTION("""COMPUTED_VALUE"""),"MEJORAMIENTO AREA VERDE POBLACION LA FELICIDAD, TENO")</f>
        <v>MEJORAMIENTO AREA VERDE POBLACION LA FELICIDAD, TENO</v>
      </c>
      <c r="C1126" s="10" t="str">
        <f ca="1">IFERROR(__xludf.DUMMYFUNCTION("""COMPUTED_VALUE"""),"1-B-2024-259")</f>
        <v>1-B-2024-259</v>
      </c>
      <c r="D1126" s="26"/>
      <c r="E1126" s="10" t="str">
        <f ca="1">IFERROR(__xludf.DUMMYFUNCTION("""COMPUTED_VALUE"""),"Guía Operativa")</f>
        <v>Guía Operativa</v>
      </c>
      <c r="F1126" s="10" t="str">
        <f ca="1">IFERROR(__xludf.DUMMYFUNCTION("""COMPUTED_VALUE"""),"MUNICIPALIDAD DE TENO")</f>
        <v>MUNICIPALIDAD DE TENO</v>
      </c>
      <c r="G1126" s="71">
        <f ca="1">IFERROR(__xludf.DUMMYFUNCTION("""COMPUTED_VALUE"""),100080817)</f>
        <v>100080817</v>
      </c>
      <c r="H1126" s="10" t="str">
        <f ca="1">IFERROR(__xludf.DUMMYFUNCTION("""COMPUTED_VALUE"""),"Resolución")</f>
        <v>Resolución</v>
      </c>
      <c r="I1126" s="10" t="str">
        <f ca="1">IFERROR(__xludf.DUMMYFUNCTION("""COMPUTED_VALUE"""),"OBRA")</f>
        <v>OBRA</v>
      </c>
      <c r="J1126" s="10" t="str">
        <f ca="1">IFERROR(__xludf.DUMMYFUNCTION("""COMPUTED_VALUE"""),"Cumplir con normativa y reglamentos internos del programa en base a los objetivos.")</f>
        <v>Cumplir con normativa y reglamentos internos del programa en base a los objetivos.</v>
      </c>
      <c r="K1126" s="71">
        <f ca="1">IFERROR(__xludf.DUMMYFUNCTION("""COMPUTED_VALUE"""),100080817)</f>
        <v>100080817</v>
      </c>
      <c r="L1126" s="72">
        <f ca="1">IFERROR(__xludf.DUMMYFUNCTION("""COMPUTED_VALUE"""),1)</f>
        <v>1</v>
      </c>
      <c r="M1126" s="10">
        <f ca="1">IFERROR(__xludf.DUMMYFUNCTION("""COMPUTED_VALUE"""),11450)</f>
        <v>11450</v>
      </c>
      <c r="N1126" s="10" t="str">
        <f ca="1">IFERROR(__xludf.DUMMYFUNCTION("""COMPUTED_VALUE"""),"PMU")</f>
        <v>PMU</v>
      </c>
      <c r="O1126" s="1"/>
      <c r="P1126" s="1"/>
      <c r="Q1126" s="1"/>
      <c r="R1126" s="1"/>
      <c r="S1126" s="1"/>
      <c r="T1126" s="1"/>
      <c r="U1126" s="1"/>
      <c r="V1126" s="1"/>
      <c r="W1126" s="1"/>
      <c r="X1126" s="1"/>
      <c r="Y1126" s="1"/>
      <c r="Z1126" s="1"/>
    </row>
    <row r="1127" spans="1:26" ht="12.75" customHeight="1">
      <c r="A1127" s="1"/>
      <c r="B1127" s="10" t="str">
        <f ca="1">IFERROR(__xludf.DUMMYFUNCTION("""COMPUTED_VALUE"""),"CONSTRUCCION SEDE CLUB DEPORTIVO RAUCO")</f>
        <v>CONSTRUCCION SEDE CLUB DEPORTIVO RAUCO</v>
      </c>
      <c r="C1127" s="10" t="str">
        <f ca="1">IFERROR(__xludf.DUMMYFUNCTION("""COMPUTED_VALUE"""),"1-B-2024-274")</f>
        <v>1-B-2024-274</v>
      </c>
      <c r="D1127" s="26"/>
      <c r="E1127" s="10" t="str">
        <f ca="1">IFERROR(__xludf.DUMMYFUNCTION("""COMPUTED_VALUE"""),"Guía Operativa")</f>
        <v>Guía Operativa</v>
      </c>
      <c r="F1127" s="10" t="str">
        <f ca="1">IFERROR(__xludf.DUMMYFUNCTION("""COMPUTED_VALUE"""),"MUNICIPALIDAD DE RAUCO")</f>
        <v>MUNICIPALIDAD DE RAUCO</v>
      </c>
      <c r="G1127" s="71">
        <f ca="1">IFERROR(__xludf.DUMMYFUNCTION("""COMPUTED_VALUE"""),116071491)</f>
        <v>116071491</v>
      </c>
      <c r="H1127" s="10" t="str">
        <f ca="1">IFERROR(__xludf.DUMMYFUNCTION("""COMPUTED_VALUE"""),"Resolución")</f>
        <v>Resolución</v>
      </c>
      <c r="I1127" s="10" t="str">
        <f ca="1">IFERROR(__xludf.DUMMYFUNCTION("""COMPUTED_VALUE"""),"OBRA")</f>
        <v>OBRA</v>
      </c>
      <c r="J1127" s="10" t="str">
        <f ca="1">IFERROR(__xludf.DUMMYFUNCTION("""COMPUTED_VALUE"""),"Cumplir con normativa y reglamentos internos del programa en base a los objetivos.")</f>
        <v>Cumplir con normativa y reglamentos internos del programa en base a los objetivos.</v>
      </c>
      <c r="K1127" s="71">
        <f ca="1">IFERROR(__xludf.DUMMYFUNCTION("""COMPUTED_VALUE"""),116071491)</f>
        <v>116071491</v>
      </c>
      <c r="L1127" s="72">
        <f ca="1">IFERROR(__xludf.DUMMYFUNCTION("""COMPUTED_VALUE"""),1)</f>
        <v>1</v>
      </c>
      <c r="M1127" s="10" t="str">
        <f ca="1">IFERROR(__xludf.DUMMYFUNCTION("""COMPUTED_VALUE"""),"E23702/2024")</f>
        <v>E23702/2024</v>
      </c>
      <c r="N1127" s="10" t="str">
        <f ca="1">IFERROR(__xludf.DUMMYFUNCTION("""COMPUTED_VALUE"""),"PMU")</f>
        <v>PMU</v>
      </c>
      <c r="O1127" s="1"/>
      <c r="P1127" s="1"/>
      <c r="Q1127" s="1"/>
      <c r="R1127" s="1"/>
      <c r="S1127" s="1"/>
      <c r="T1127" s="1"/>
      <c r="U1127" s="1"/>
      <c r="V1127" s="1"/>
      <c r="W1127" s="1"/>
      <c r="X1127" s="1"/>
      <c r="Y1127" s="1"/>
      <c r="Z1127" s="1"/>
    </row>
    <row r="1128" spans="1:26" ht="12.75" customHeight="1">
      <c r="A1128" s="1"/>
      <c r="B1128" s="10" t="str">
        <f ca="1">IFERROR(__xludf.DUMMYFUNCTION("""COMPUTED_VALUE"""),"REPOSICIÓN VEREDAS SECTOR AJIAL, RETIRO")</f>
        <v>REPOSICIÓN VEREDAS SECTOR AJIAL, RETIRO</v>
      </c>
      <c r="C1128" s="10" t="str">
        <f ca="1">IFERROR(__xludf.DUMMYFUNCTION("""COMPUTED_VALUE"""),"1-B-2024-288")</f>
        <v>1-B-2024-288</v>
      </c>
      <c r="D1128" s="26"/>
      <c r="E1128" s="10" t="str">
        <f ca="1">IFERROR(__xludf.DUMMYFUNCTION("""COMPUTED_VALUE"""),"Guía Operativa")</f>
        <v>Guía Operativa</v>
      </c>
      <c r="F1128" s="10" t="str">
        <f ca="1">IFERROR(__xludf.DUMMYFUNCTION("""COMPUTED_VALUE"""),"MUNICIPALIDAD DE RETIRO")</f>
        <v>MUNICIPALIDAD DE RETIRO</v>
      </c>
      <c r="G1128" s="71">
        <f ca="1">IFERROR(__xludf.DUMMYFUNCTION("""COMPUTED_VALUE"""),58162291)</f>
        <v>58162291</v>
      </c>
      <c r="H1128" s="10" t="str">
        <f ca="1">IFERROR(__xludf.DUMMYFUNCTION("""COMPUTED_VALUE"""),"Resolución")</f>
        <v>Resolución</v>
      </c>
      <c r="I1128" s="10" t="str">
        <f ca="1">IFERROR(__xludf.DUMMYFUNCTION("""COMPUTED_VALUE"""),"OBRA")</f>
        <v>OBRA</v>
      </c>
      <c r="J1128" s="10" t="str">
        <f ca="1">IFERROR(__xludf.DUMMYFUNCTION("""COMPUTED_VALUE"""),"Cumplir con normativa y reglamentos internos del programa en base a los objetivos.")</f>
        <v>Cumplir con normativa y reglamentos internos del programa en base a los objetivos.</v>
      </c>
      <c r="K1128" s="71">
        <f ca="1">IFERROR(__xludf.DUMMYFUNCTION("""COMPUTED_VALUE"""),58162291)</f>
        <v>58162291</v>
      </c>
      <c r="L1128" s="72">
        <f ca="1">IFERROR(__xludf.DUMMYFUNCTION("""COMPUTED_VALUE"""),1)</f>
        <v>1</v>
      </c>
      <c r="M1128" s="10" t="str">
        <f ca="1">IFERROR(__xludf.DUMMYFUNCTION("""COMPUTED_VALUE"""),"E21083/2024")</f>
        <v>E21083/2024</v>
      </c>
      <c r="N1128" s="10" t="str">
        <f ca="1">IFERROR(__xludf.DUMMYFUNCTION("""COMPUTED_VALUE"""),"PMU")</f>
        <v>PMU</v>
      </c>
      <c r="O1128" s="1"/>
      <c r="P1128" s="1"/>
      <c r="Q1128" s="1"/>
      <c r="R1128" s="1"/>
      <c r="S1128" s="1"/>
      <c r="T1128" s="1"/>
      <c r="U1128" s="1"/>
      <c r="V1128" s="1"/>
      <c r="W1128" s="1"/>
      <c r="X1128" s="1"/>
      <c r="Y1128" s="1"/>
      <c r="Z1128" s="1"/>
    </row>
    <row r="1129" spans="1:26" ht="12.75" customHeight="1">
      <c r="A1129" s="1"/>
      <c r="B1129" s="10" t="str">
        <f ca="1">IFERROR(__xludf.DUMMYFUNCTION("""COMPUTED_VALUE"""),"CONSTRUCCION CENTRO COMUNITARIO JUNTA DE VECINOS GUAICO UNO")</f>
        <v>CONSTRUCCION CENTRO COMUNITARIO JUNTA DE VECINOS GUAICO UNO</v>
      </c>
      <c r="C1129" s="10" t="str">
        <f ca="1">IFERROR(__xludf.DUMMYFUNCTION("""COMPUTED_VALUE"""),"1-B-2024-295")</f>
        <v>1-B-2024-295</v>
      </c>
      <c r="D1129" s="26"/>
      <c r="E1129" s="10" t="str">
        <f ca="1">IFERROR(__xludf.DUMMYFUNCTION("""COMPUTED_VALUE"""),"Guía Operativa")</f>
        <v>Guía Operativa</v>
      </c>
      <c r="F1129" s="10" t="str">
        <f ca="1">IFERROR(__xludf.DUMMYFUNCTION("""COMPUTED_VALUE"""),"MUNICIPALIDAD DE ROMERAL")</f>
        <v>MUNICIPALIDAD DE ROMERAL</v>
      </c>
      <c r="G1129" s="71">
        <f ca="1">IFERROR(__xludf.DUMMYFUNCTION("""COMPUTED_VALUE"""),105326610)</f>
        <v>105326610</v>
      </c>
      <c r="H1129" s="10" t="str">
        <f ca="1">IFERROR(__xludf.DUMMYFUNCTION("""COMPUTED_VALUE"""),"Resolución")</f>
        <v>Resolución</v>
      </c>
      <c r="I1129" s="10" t="str">
        <f ca="1">IFERROR(__xludf.DUMMYFUNCTION("""COMPUTED_VALUE"""),"OBRA")</f>
        <v>OBRA</v>
      </c>
      <c r="J1129" s="10" t="str">
        <f ca="1">IFERROR(__xludf.DUMMYFUNCTION("""COMPUTED_VALUE"""),"Cumplir con normativa y reglamentos internos del programa en base a los objetivos.")</f>
        <v>Cumplir con normativa y reglamentos internos del programa en base a los objetivos.</v>
      </c>
      <c r="K1129" s="71">
        <f ca="1">IFERROR(__xludf.DUMMYFUNCTION("""COMPUTED_VALUE"""),105326610)</f>
        <v>105326610</v>
      </c>
      <c r="L1129" s="72">
        <f ca="1">IFERROR(__xludf.DUMMYFUNCTION("""COMPUTED_VALUE"""),1)</f>
        <v>1</v>
      </c>
      <c r="M1129" s="10" t="str">
        <f ca="1">IFERROR(__xludf.DUMMYFUNCTION("""COMPUTED_VALUE"""),"E23539/2024")</f>
        <v>E23539/2024</v>
      </c>
      <c r="N1129" s="10" t="str">
        <f ca="1">IFERROR(__xludf.DUMMYFUNCTION("""COMPUTED_VALUE"""),"PMU")</f>
        <v>PMU</v>
      </c>
      <c r="O1129" s="1"/>
      <c r="P1129" s="1"/>
      <c r="Q1129" s="1"/>
      <c r="R1129" s="1"/>
      <c r="S1129" s="1"/>
      <c r="T1129" s="1"/>
      <c r="U1129" s="1"/>
      <c r="V1129" s="1"/>
      <c r="W1129" s="1"/>
      <c r="X1129" s="1"/>
      <c r="Y1129" s="1"/>
      <c r="Z1129" s="1"/>
    </row>
    <row r="1130" spans="1:26" ht="12.75" customHeight="1">
      <c r="A1130" s="1"/>
      <c r="B1130" s="10" t="str">
        <f ca="1">IFERROR(__xludf.DUMMYFUNCTION("""COMPUTED_VALUE"""),"CONSTRUCCIÓN PLAZA CARLOS IBAÑEZ, COMUNA DE MAULE")</f>
        <v>CONSTRUCCIÓN PLAZA CARLOS IBAÑEZ, COMUNA DE MAULE</v>
      </c>
      <c r="C1130" s="10" t="str">
        <f ca="1">IFERROR(__xludf.DUMMYFUNCTION("""COMPUTED_VALUE"""),"1-B-2024-303")</f>
        <v>1-B-2024-303</v>
      </c>
      <c r="D1130" s="26"/>
      <c r="E1130" s="10" t="str">
        <f ca="1">IFERROR(__xludf.DUMMYFUNCTION("""COMPUTED_VALUE"""),"Guía Operativa")</f>
        <v>Guía Operativa</v>
      </c>
      <c r="F1130" s="10" t="str">
        <f ca="1">IFERROR(__xludf.DUMMYFUNCTION("""COMPUTED_VALUE"""),"MUNICIPALIDAD DE MAULE")</f>
        <v>MUNICIPALIDAD DE MAULE</v>
      </c>
      <c r="G1130" s="71">
        <f ca="1">IFERROR(__xludf.DUMMYFUNCTION("""COMPUTED_VALUE"""),125929730)</f>
        <v>125929730</v>
      </c>
      <c r="H1130" s="10" t="str">
        <f ca="1">IFERROR(__xludf.DUMMYFUNCTION("""COMPUTED_VALUE"""),"Resolución")</f>
        <v>Resolución</v>
      </c>
      <c r="I1130" s="10" t="str">
        <f ca="1">IFERROR(__xludf.DUMMYFUNCTION("""COMPUTED_VALUE"""),"OBRA")</f>
        <v>OBRA</v>
      </c>
      <c r="J1130" s="10" t="str">
        <f ca="1">IFERROR(__xludf.DUMMYFUNCTION("""COMPUTED_VALUE"""),"Cumplir con normativa y reglamentos internos del programa en base a los objetivos.")</f>
        <v>Cumplir con normativa y reglamentos internos del programa en base a los objetivos.</v>
      </c>
      <c r="K1130" s="71">
        <f ca="1">IFERROR(__xludf.DUMMYFUNCTION("""COMPUTED_VALUE"""),125929730)</f>
        <v>125929730</v>
      </c>
      <c r="L1130" s="72">
        <f ca="1">IFERROR(__xludf.DUMMYFUNCTION("""COMPUTED_VALUE"""),1)</f>
        <v>1</v>
      </c>
      <c r="M1130" s="10" t="str">
        <f ca="1">IFERROR(__xludf.DUMMYFUNCTION("""COMPUTED_VALUE"""),"E23538/2024")</f>
        <v>E23538/2024</v>
      </c>
      <c r="N1130" s="10" t="str">
        <f ca="1">IFERROR(__xludf.DUMMYFUNCTION("""COMPUTED_VALUE"""),"PMU")</f>
        <v>PMU</v>
      </c>
      <c r="O1130" s="1"/>
      <c r="P1130" s="1"/>
      <c r="Q1130" s="1"/>
      <c r="R1130" s="1"/>
      <c r="S1130" s="1"/>
      <c r="T1130" s="1"/>
      <c r="U1130" s="1"/>
      <c r="V1130" s="1"/>
      <c r="W1130" s="1"/>
      <c r="X1130" s="1"/>
      <c r="Y1130" s="1"/>
      <c r="Z1130" s="1"/>
    </row>
    <row r="1131" spans="1:26" ht="12.75" customHeight="1">
      <c r="A1131" s="1"/>
      <c r="B1131" s="10" t="str">
        <f ca="1">IFERROR(__xludf.DUMMYFUNCTION("""COMPUTED_VALUE"""),"REPARACIÓN EXTERIOR EDIFICIO DE SERVICIOS PÚBLICOS CONSTITUCIÓN.")</f>
        <v>REPARACIÓN EXTERIOR EDIFICIO DE SERVICIOS PÚBLICOS CONSTITUCIÓN.</v>
      </c>
      <c r="C1131" s="10" t="str">
        <f ca="1">IFERROR(__xludf.DUMMYFUNCTION("""COMPUTED_VALUE"""),"1-B-2024-306")</f>
        <v>1-B-2024-306</v>
      </c>
      <c r="D1131" s="26"/>
      <c r="E1131" s="10" t="str">
        <f ca="1">IFERROR(__xludf.DUMMYFUNCTION("""COMPUTED_VALUE"""),"Guía Operativa")</f>
        <v>Guía Operativa</v>
      </c>
      <c r="F1131" s="10" t="str">
        <f ca="1">IFERROR(__xludf.DUMMYFUNCTION("""COMPUTED_VALUE"""),"MUNICIPALIDAD DE CONSTITUCIÓN")</f>
        <v>MUNICIPALIDAD DE CONSTITUCIÓN</v>
      </c>
      <c r="G1131" s="71">
        <f ca="1">IFERROR(__xludf.DUMMYFUNCTION("""COMPUTED_VALUE"""),58177560)</f>
        <v>58177560</v>
      </c>
      <c r="H1131" s="10" t="str">
        <f ca="1">IFERROR(__xludf.DUMMYFUNCTION("""COMPUTED_VALUE"""),"Resolución")</f>
        <v>Resolución</v>
      </c>
      <c r="I1131" s="10" t="str">
        <f ca="1">IFERROR(__xludf.DUMMYFUNCTION("""COMPUTED_VALUE"""),"OBRA")</f>
        <v>OBRA</v>
      </c>
      <c r="J1131" s="10" t="str">
        <f ca="1">IFERROR(__xludf.DUMMYFUNCTION("""COMPUTED_VALUE"""),"Cumplir con normativa y reglamentos internos del programa en base a los objetivos.")</f>
        <v>Cumplir con normativa y reglamentos internos del programa en base a los objetivos.</v>
      </c>
      <c r="K1131" s="71">
        <f ca="1">IFERROR(__xludf.DUMMYFUNCTION("""COMPUTED_VALUE"""),58177560)</f>
        <v>58177560</v>
      </c>
      <c r="L1131" s="72">
        <f ca="1">IFERROR(__xludf.DUMMYFUNCTION("""COMPUTED_VALUE"""),1)</f>
        <v>1</v>
      </c>
      <c r="M1131" s="10" t="str">
        <f ca="1">IFERROR(__xludf.DUMMYFUNCTION("""COMPUTED_VALUE"""),"E23633/2024")</f>
        <v>E23633/2024</v>
      </c>
      <c r="N1131" s="10" t="str">
        <f ca="1">IFERROR(__xludf.DUMMYFUNCTION("""COMPUTED_VALUE"""),"PMU")</f>
        <v>PMU</v>
      </c>
      <c r="O1131" s="1"/>
      <c r="P1131" s="1"/>
      <c r="Q1131" s="1"/>
      <c r="R1131" s="1"/>
      <c r="S1131" s="1"/>
      <c r="T1131" s="1"/>
      <c r="U1131" s="1"/>
      <c r="V1131" s="1"/>
      <c r="W1131" s="1"/>
      <c r="X1131" s="1"/>
      <c r="Y1131" s="1"/>
      <c r="Z1131" s="1"/>
    </row>
    <row r="1132" spans="1:26" ht="12.75" customHeight="1">
      <c r="A1132" s="1"/>
      <c r="B1132" s="10" t="str">
        <f ca="1">IFERROR(__xludf.DUMMYFUNCTION("""COMPUTED_VALUE"""),"BACHEO DE VEREDAS HUALAÑE CENTRO")</f>
        <v>BACHEO DE VEREDAS HUALAÑE CENTRO</v>
      </c>
      <c r="C1132" s="10" t="str">
        <f ca="1">IFERROR(__xludf.DUMMYFUNCTION("""COMPUTED_VALUE"""),"1-B-2024-312")</f>
        <v>1-B-2024-312</v>
      </c>
      <c r="D1132" s="26"/>
      <c r="E1132" s="10" t="str">
        <f ca="1">IFERROR(__xludf.DUMMYFUNCTION("""COMPUTED_VALUE"""),"Guía Operativa")</f>
        <v>Guía Operativa</v>
      </c>
      <c r="F1132" s="10" t="str">
        <f ca="1">IFERROR(__xludf.DUMMYFUNCTION("""COMPUTED_VALUE"""),"MUNICIPALIDAD DE HUALAÑÉ")</f>
        <v>MUNICIPALIDAD DE HUALAÑÉ</v>
      </c>
      <c r="G1132" s="71">
        <f ca="1">IFERROR(__xludf.DUMMYFUNCTION("""COMPUTED_VALUE"""),125929730)</f>
        <v>125929730</v>
      </c>
      <c r="H1132" s="10" t="str">
        <f ca="1">IFERROR(__xludf.DUMMYFUNCTION("""COMPUTED_VALUE"""),"Resolución")</f>
        <v>Resolución</v>
      </c>
      <c r="I1132" s="10" t="str">
        <f ca="1">IFERROR(__xludf.DUMMYFUNCTION("""COMPUTED_VALUE"""),"OBRA")</f>
        <v>OBRA</v>
      </c>
      <c r="J1132" s="10" t="str">
        <f ca="1">IFERROR(__xludf.DUMMYFUNCTION("""COMPUTED_VALUE"""),"Cumplir con normativa y reglamentos internos del programa en base a los objetivos.")</f>
        <v>Cumplir con normativa y reglamentos internos del programa en base a los objetivos.</v>
      </c>
      <c r="K1132" s="71">
        <f ca="1">IFERROR(__xludf.DUMMYFUNCTION("""COMPUTED_VALUE"""),125929730)</f>
        <v>125929730</v>
      </c>
      <c r="L1132" s="72">
        <f ca="1">IFERROR(__xludf.DUMMYFUNCTION("""COMPUTED_VALUE"""),1)</f>
        <v>1</v>
      </c>
      <c r="M1132" s="10" t="str">
        <f ca="1">IFERROR(__xludf.DUMMYFUNCTION("""COMPUTED_VALUE"""),"E23638/2024")</f>
        <v>E23638/2024</v>
      </c>
      <c r="N1132" s="10" t="str">
        <f ca="1">IFERROR(__xludf.DUMMYFUNCTION("""COMPUTED_VALUE"""),"PMU")</f>
        <v>PMU</v>
      </c>
      <c r="O1132" s="1"/>
      <c r="P1132" s="1"/>
      <c r="Q1132" s="1"/>
      <c r="R1132" s="1"/>
      <c r="S1132" s="1"/>
      <c r="T1132" s="1"/>
      <c r="U1132" s="1"/>
      <c r="V1132" s="1"/>
      <c r="W1132" s="1"/>
      <c r="X1132" s="1"/>
      <c r="Y1132" s="1"/>
      <c r="Z1132" s="1"/>
    </row>
    <row r="1133" spans="1:26" ht="12.75" customHeight="1">
      <c r="A1133" s="1"/>
      <c r="B1133" s="10" t="str">
        <f ca="1">IFERROR(__xludf.DUMMYFUNCTION("""COMPUTED_VALUE"""),"CONSTRUCCIÓN DE GRADERÍAS Y ACCESIBILIDAD UNIVERSAL ESTADIO ESTRELLA AZUL, COMUNA DE VICHUQUÉN.")</f>
        <v>CONSTRUCCIÓN DE GRADERÍAS Y ACCESIBILIDAD UNIVERSAL ESTADIO ESTRELLA AZUL, COMUNA DE VICHUQUÉN.</v>
      </c>
      <c r="C1133" s="10" t="str">
        <f ca="1">IFERROR(__xludf.DUMMYFUNCTION("""COMPUTED_VALUE"""),"1-B-2024-591")</f>
        <v>1-B-2024-591</v>
      </c>
      <c r="D1133" s="26"/>
      <c r="E1133" s="10" t="str">
        <f ca="1">IFERROR(__xludf.DUMMYFUNCTION("""COMPUTED_VALUE"""),"Guía Operativa")</f>
        <v>Guía Operativa</v>
      </c>
      <c r="F1133" s="10" t="str">
        <f ca="1">IFERROR(__xludf.DUMMYFUNCTION("""COMPUTED_VALUE"""),"MUNICIPALIDAD DE VICHUQUÉN")</f>
        <v>MUNICIPALIDAD DE VICHUQUÉN</v>
      </c>
      <c r="G1133" s="71">
        <f ca="1">IFERROR(__xludf.DUMMYFUNCTION("""COMPUTED_VALUE"""),105326610)</f>
        <v>105326610</v>
      </c>
      <c r="H1133" s="10" t="str">
        <f ca="1">IFERROR(__xludf.DUMMYFUNCTION("""COMPUTED_VALUE"""),"Resolución")</f>
        <v>Resolución</v>
      </c>
      <c r="I1133" s="10" t="str">
        <f ca="1">IFERROR(__xludf.DUMMYFUNCTION("""COMPUTED_VALUE"""),"OBRA")</f>
        <v>OBRA</v>
      </c>
      <c r="J1133" s="10" t="str">
        <f ca="1">IFERROR(__xludf.DUMMYFUNCTION("""COMPUTED_VALUE"""),"Cumplir con normativa y reglamentos internos del programa en base a los objetivos.")</f>
        <v>Cumplir con normativa y reglamentos internos del programa en base a los objetivos.</v>
      </c>
      <c r="K1133" s="71">
        <f ca="1">IFERROR(__xludf.DUMMYFUNCTION("""COMPUTED_VALUE"""),105326610)</f>
        <v>105326610</v>
      </c>
      <c r="L1133" s="72">
        <f ca="1">IFERROR(__xludf.DUMMYFUNCTION("""COMPUTED_VALUE"""),1)</f>
        <v>1</v>
      </c>
      <c r="M1133" s="10">
        <f ca="1">IFERROR(__xludf.DUMMYFUNCTION("""COMPUTED_VALUE"""),11702)</f>
        <v>11702</v>
      </c>
      <c r="N1133" s="10" t="str">
        <f ca="1">IFERROR(__xludf.DUMMYFUNCTION("""COMPUTED_VALUE"""),"PMU")</f>
        <v>PMU</v>
      </c>
      <c r="O1133" s="1"/>
      <c r="P1133" s="1"/>
      <c r="Q1133" s="1"/>
      <c r="R1133" s="1"/>
      <c r="S1133" s="1"/>
      <c r="T1133" s="1"/>
      <c r="U1133" s="1"/>
      <c r="V1133" s="1"/>
      <c r="W1133" s="1"/>
      <c r="X1133" s="1"/>
      <c r="Y1133" s="1"/>
      <c r="Z1133" s="1"/>
    </row>
    <row r="1134" spans="1:26" ht="12.75" customHeight="1">
      <c r="A1134" s="1"/>
      <c r="B1134" s="10" t="str">
        <f ca="1">IFERROR(__xludf.DUMMYFUNCTION("""COMPUTED_VALUE"""),"AMPLIACIÓN RED DE ALUMBRADO PÚBLICO SECTOR QUILACO Y BOYONCO, PURÉN")</f>
        <v>AMPLIACIÓN RED DE ALUMBRADO PÚBLICO SECTOR QUILACO Y BOYONCO, PURÉN</v>
      </c>
      <c r="C1134" s="10" t="str">
        <f ca="1">IFERROR(__xludf.DUMMYFUNCTION("""COMPUTED_VALUE"""),"1-C-2020-377")</f>
        <v>1-C-2020-377</v>
      </c>
      <c r="D1134" s="26"/>
      <c r="E1134" s="10" t="str">
        <f ca="1">IFERROR(__xludf.DUMMYFUNCTION("""COMPUTED_VALUE"""),"Guía Operativa")</f>
        <v>Guía Operativa</v>
      </c>
      <c r="F1134" s="10" t="str">
        <f ca="1">IFERROR(__xludf.DUMMYFUNCTION("""COMPUTED_VALUE"""),"MUNICIPALIDAD DE PURÉN")</f>
        <v>MUNICIPALIDAD DE PURÉN</v>
      </c>
      <c r="G1134" s="71">
        <f ca="1">IFERROR(__xludf.DUMMYFUNCTION("""COMPUTED_VALUE"""),59900000)</f>
        <v>59900000</v>
      </c>
      <c r="H1134" s="10" t="str">
        <f ca="1">IFERROR(__xludf.DUMMYFUNCTION("""COMPUTED_VALUE"""),"Resolución")</f>
        <v>Resolución</v>
      </c>
      <c r="I1134" s="10" t="str">
        <f ca="1">IFERROR(__xludf.DUMMYFUNCTION("""COMPUTED_VALUE"""),"OBRA")</f>
        <v>OBRA</v>
      </c>
      <c r="J1134" s="10" t="str">
        <f ca="1">IFERROR(__xludf.DUMMYFUNCTION("""COMPUTED_VALUE"""),"Cumplir con normativa y reglamentos internos del programa en base a los objetivos.")</f>
        <v>Cumplir con normativa y reglamentos internos del programa en base a los objetivos.</v>
      </c>
      <c r="K1134" s="71">
        <f ca="1">IFERROR(__xludf.DUMMYFUNCTION("""COMPUTED_VALUE"""),29833220)</f>
        <v>29833220</v>
      </c>
      <c r="L1134" s="72">
        <f ca="1">IFERROR(__xludf.DUMMYFUNCTION("""COMPUTED_VALUE"""),0.99805041736227)</f>
        <v>0.99805041736226996</v>
      </c>
      <c r="M1134" s="10">
        <f ca="1">IFERROR(__xludf.DUMMYFUNCTION("""COMPUTED_VALUE"""),6688)</f>
        <v>6688</v>
      </c>
      <c r="N1134" s="10" t="str">
        <f ca="1">IFERROR(__xludf.DUMMYFUNCTION("""COMPUTED_VALUE"""),"PMU")</f>
        <v>PMU</v>
      </c>
      <c r="O1134" s="1"/>
      <c r="P1134" s="1"/>
      <c r="Q1134" s="1"/>
      <c r="R1134" s="1"/>
      <c r="S1134" s="1"/>
      <c r="T1134" s="1"/>
      <c r="U1134" s="1"/>
      <c r="V1134" s="1"/>
      <c r="W1134" s="1"/>
      <c r="X1134" s="1"/>
      <c r="Y1134" s="1"/>
      <c r="Z1134" s="1"/>
    </row>
    <row r="1135" spans="1:26" ht="12.75" customHeight="1">
      <c r="A1135" s="1"/>
      <c r="B1135" s="10" t="str">
        <f ca="1">IFERROR(__xludf.DUMMYFUNCTION("""COMPUTED_VALUE"""),"MEJORAMIENTO MULTICANCHA PSJE. FRANCISCO HUENTRO, LOCALIDAD DE RADAL, COMUNA DE FREIRE")</f>
        <v>MEJORAMIENTO MULTICANCHA PSJE. FRANCISCO HUENTRO, LOCALIDAD DE RADAL, COMUNA DE FREIRE</v>
      </c>
      <c r="C1135" s="10" t="str">
        <f ca="1">IFERROR(__xludf.DUMMYFUNCTION("""COMPUTED_VALUE"""),"1-B-2024-404")</f>
        <v>1-B-2024-404</v>
      </c>
      <c r="D1135" s="26"/>
      <c r="E1135" s="10" t="str">
        <f ca="1">IFERROR(__xludf.DUMMYFUNCTION("""COMPUTED_VALUE"""),"Guía Operativa")</f>
        <v>Guía Operativa</v>
      </c>
      <c r="F1135" s="10" t="str">
        <f ca="1">IFERROR(__xludf.DUMMYFUNCTION("""COMPUTED_VALUE"""),"MUNICIPALIDAD DE FREIRE")</f>
        <v>MUNICIPALIDAD DE FREIRE</v>
      </c>
      <c r="G1135" s="71">
        <f ca="1">IFERROR(__xludf.DUMMYFUNCTION("""COMPUTED_VALUE"""),92172781)</f>
        <v>92172781</v>
      </c>
      <c r="H1135" s="10" t="str">
        <f ca="1">IFERROR(__xludf.DUMMYFUNCTION("""COMPUTED_VALUE"""),"Resolución")</f>
        <v>Resolución</v>
      </c>
      <c r="I1135" s="10" t="str">
        <f ca="1">IFERROR(__xludf.DUMMYFUNCTION("""COMPUTED_VALUE"""),"OBRA")</f>
        <v>OBRA</v>
      </c>
      <c r="J1135" s="10" t="str">
        <f ca="1">IFERROR(__xludf.DUMMYFUNCTION("""COMPUTED_VALUE"""),"Cumplir con normativa y reglamentos internos del programa en base a los objetivos.")</f>
        <v>Cumplir con normativa y reglamentos internos del programa en base a los objetivos.</v>
      </c>
      <c r="K1135" s="71">
        <f ca="1">IFERROR(__xludf.DUMMYFUNCTION("""COMPUTED_VALUE"""),92172781)</f>
        <v>92172781</v>
      </c>
      <c r="L1135" s="72">
        <f ca="1">IFERROR(__xludf.DUMMYFUNCTION("""COMPUTED_VALUE"""),1)</f>
        <v>1</v>
      </c>
      <c r="M1135" s="10" t="str">
        <f ca="1">IFERROR(__xludf.DUMMYFUNCTION("""COMPUTED_VALUE"""),"E23531/2024")</f>
        <v>E23531/2024</v>
      </c>
      <c r="N1135" s="10" t="str">
        <f ca="1">IFERROR(__xludf.DUMMYFUNCTION("""COMPUTED_VALUE"""),"PMU")</f>
        <v>PMU</v>
      </c>
      <c r="O1135" s="1"/>
      <c r="P1135" s="1"/>
      <c r="Q1135" s="1"/>
      <c r="R1135" s="1"/>
      <c r="S1135" s="1"/>
      <c r="T1135" s="1"/>
      <c r="U1135" s="1"/>
      <c r="V1135" s="1"/>
      <c r="W1135" s="1"/>
      <c r="X1135" s="1"/>
      <c r="Y1135" s="1"/>
      <c r="Z1135" s="1"/>
    </row>
    <row r="1136" spans="1:26" ht="12.75" customHeight="1">
      <c r="A1136" s="1"/>
      <c r="B1136" s="10" t="str">
        <f ca="1">IFERROR(__xludf.DUMMYFUNCTION("""COMPUTED_VALUE"""),"“REPARACIÓNES BACHES DE EMERGENCIA EN UNIDADES VECINALES URBANAS NUMEROS 1,2,3,4,5,6 Y 7, COLLIPULLI”.")</f>
        <v>“REPARACIÓNES BACHES DE EMERGENCIA EN UNIDADES VECINALES URBANAS NUMEROS 1,2,3,4,5,6 Y 7, COLLIPULLI”.</v>
      </c>
      <c r="C1136" s="10" t="str">
        <f ca="1">IFERROR(__xludf.DUMMYFUNCTION("""COMPUTED_VALUE"""),"1-B-2024-486")</f>
        <v>1-B-2024-486</v>
      </c>
      <c r="D1136" s="26"/>
      <c r="E1136" s="10" t="str">
        <f ca="1">IFERROR(__xludf.DUMMYFUNCTION("""COMPUTED_VALUE"""),"Guía Operativa")</f>
        <v>Guía Operativa</v>
      </c>
      <c r="F1136" s="10" t="str">
        <f ca="1">IFERROR(__xludf.DUMMYFUNCTION("""COMPUTED_VALUE"""),"MUNICIPALIDAD DE COLLIPULLI")</f>
        <v>MUNICIPALIDAD DE COLLIPULLI</v>
      </c>
      <c r="G1136" s="71">
        <f ca="1">IFERROR(__xludf.DUMMYFUNCTION("""COMPUTED_VALUE"""),92172781)</f>
        <v>92172781</v>
      </c>
      <c r="H1136" s="10" t="str">
        <f ca="1">IFERROR(__xludf.DUMMYFUNCTION("""COMPUTED_VALUE"""),"Resolución")</f>
        <v>Resolución</v>
      </c>
      <c r="I1136" s="10" t="str">
        <f ca="1">IFERROR(__xludf.DUMMYFUNCTION("""COMPUTED_VALUE"""),"OBRA")</f>
        <v>OBRA</v>
      </c>
      <c r="J1136" s="10" t="str">
        <f ca="1">IFERROR(__xludf.DUMMYFUNCTION("""COMPUTED_VALUE"""),"Cumplir con normativa y reglamentos internos del programa en base a los objetivos.")</f>
        <v>Cumplir con normativa y reglamentos internos del programa en base a los objetivos.</v>
      </c>
      <c r="K1136" s="71">
        <f ca="1">IFERROR(__xludf.DUMMYFUNCTION("""COMPUTED_VALUE"""),92172781)</f>
        <v>92172781</v>
      </c>
      <c r="L1136" s="72">
        <f ca="1">IFERROR(__xludf.DUMMYFUNCTION("""COMPUTED_VALUE"""),1)</f>
        <v>1</v>
      </c>
      <c r="M1136" s="10">
        <f ca="1">IFERROR(__xludf.DUMMYFUNCTION("""COMPUTED_VALUE"""),11759)</f>
        <v>11759</v>
      </c>
      <c r="N1136" s="10" t="str">
        <f ca="1">IFERROR(__xludf.DUMMYFUNCTION("""COMPUTED_VALUE"""),"PMU")</f>
        <v>PMU</v>
      </c>
      <c r="O1136" s="1"/>
      <c r="P1136" s="1"/>
      <c r="Q1136" s="1"/>
      <c r="R1136" s="1"/>
      <c r="S1136" s="1"/>
      <c r="T1136" s="1"/>
      <c r="U1136" s="1"/>
      <c r="V1136" s="1"/>
      <c r="W1136" s="1"/>
      <c r="X1136" s="1"/>
      <c r="Y1136" s="1"/>
      <c r="Z1136" s="1"/>
    </row>
    <row r="1137" spans="1:26" ht="12.75" customHeight="1">
      <c r="A1137" s="1"/>
      <c r="B1137" s="10" t="str">
        <f ca="1">IFERROR(__xludf.DUMMYFUNCTION("""COMPUTED_VALUE"""),"REPOSICIÓN DE VEREDAS CENTRO CIVICO VILCÚN Y CALLE DEPORTES DE CHERQUENCO, VILCÚN")</f>
        <v>REPOSICIÓN DE VEREDAS CENTRO CIVICO VILCÚN Y CALLE DEPORTES DE CHERQUENCO, VILCÚN</v>
      </c>
      <c r="C1137" s="10" t="str">
        <f ca="1">IFERROR(__xludf.DUMMYFUNCTION("""COMPUTED_VALUE"""),"1-B-2024-487")</f>
        <v>1-B-2024-487</v>
      </c>
      <c r="D1137" s="26"/>
      <c r="E1137" s="10" t="str">
        <f ca="1">IFERROR(__xludf.DUMMYFUNCTION("""COMPUTED_VALUE"""),"Guía Operativa")</f>
        <v>Guía Operativa</v>
      </c>
      <c r="F1137" s="10" t="str">
        <f ca="1">IFERROR(__xludf.DUMMYFUNCTION("""COMPUTED_VALUE"""),"MUNICIPALIDAD DE VILCÚN")</f>
        <v>MUNICIPALIDAD DE VILCÚN</v>
      </c>
      <c r="G1137" s="71">
        <f ca="1">IFERROR(__xludf.DUMMYFUNCTION("""COMPUTED_VALUE"""),92172781)</f>
        <v>92172781</v>
      </c>
      <c r="H1137" s="10" t="str">
        <f ca="1">IFERROR(__xludf.DUMMYFUNCTION("""COMPUTED_VALUE"""),"Resolución")</f>
        <v>Resolución</v>
      </c>
      <c r="I1137" s="10" t="str">
        <f ca="1">IFERROR(__xludf.DUMMYFUNCTION("""COMPUTED_VALUE"""),"OBRA")</f>
        <v>OBRA</v>
      </c>
      <c r="J1137" s="10" t="str">
        <f ca="1">IFERROR(__xludf.DUMMYFUNCTION("""COMPUTED_VALUE"""),"Cumplir con normativa y reglamentos internos del programa en base a los objetivos.")</f>
        <v>Cumplir con normativa y reglamentos internos del programa en base a los objetivos.</v>
      </c>
      <c r="K1137" s="71">
        <f ca="1">IFERROR(__xludf.DUMMYFUNCTION("""COMPUTED_VALUE"""),92172781)</f>
        <v>92172781</v>
      </c>
      <c r="L1137" s="72">
        <f ca="1">IFERROR(__xludf.DUMMYFUNCTION("""COMPUTED_VALUE"""),1)</f>
        <v>1</v>
      </c>
      <c r="M1137" s="10">
        <f ca="1">IFERROR(__xludf.DUMMYFUNCTION("""COMPUTED_VALUE"""),11407)</f>
        <v>11407</v>
      </c>
      <c r="N1137" s="10" t="str">
        <f ca="1">IFERROR(__xludf.DUMMYFUNCTION("""COMPUTED_VALUE"""),"PMU")</f>
        <v>PMU</v>
      </c>
      <c r="O1137" s="1"/>
      <c r="P1137" s="1"/>
      <c r="Q1137" s="1"/>
      <c r="R1137" s="1"/>
      <c r="S1137" s="1"/>
      <c r="T1137" s="1"/>
      <c r="U1137" s="1"/>
      <c r="V1137" s="1"/>
      <c r="W1137" s="1"/>
      <c r="X1137" s="1"/>
      <c r="Y1137" s="1"/>
      <c r="Z1137" s="1"/>
    </row>
    <row r="1138" spans="1:26" ht="12.75" customHeight="1">
      <c r="A1138" s="1"/>
      <c r="B1138" s="10" t="str">
        <f ca="1">IFERROR(__xludf.DUMMYFUNCTION("""COMPUTED_VALUE"""),"REPOSICIÓN DE CALZADA AV. HUICHAHUE, COMUNA DE PADRE LAS CASAS")</f>
        <v>REPOSICIÓN DE CALZADA AV. HUICHAHUE, COMUNA DE PADRE LAS CASAS</v>
      </c>
      <c r="C1138" s="10" t="str">
        <f ca="1">IFERROR(__xludf.DUMMYFUNCTION("""COMPUTED_VALUE"""),"1-B-2024-500")</f>
        <v>1-B-2024-500</v>
      </c>
      <c r="D1138" s="26"/>
      <c r="E1138" s="10" t="str">
        <f ca="1">IFERROR(__xludf.DUMMYFUNCTION("""COMPUTED_VALUE"""),"Guía Operativa")</f>
        <v>Guía Operativa</v>
      </c>
      <c r="F1138" s="10" t="str">
        <f ca="1">IFERROR(__xludf.DUMMYFUNCTION("""COMPUTED_VALUE"""),"MUNICIPALIDAD DE PADRE LAS CASAS")</f>
        <v>MUNICIPALIDAD DE PADRE LAS CASAS</v>
      </c>
      <c r="G1138" s="71">
        <f ca="1">IFERROR(__xludf.DUMMYFUNCTION("""COMPUTED_VALUE"""),52955032)</f>
        <v>52955032</v>
      </c>
      <c r="H1138" s="10" t="str">
        <f ca="1">IFERROR(__xludf.DUMMYFUNCTION("""COMPUTED_VALUE"""),"Resolución")</f>
        <v>Resolución</v>
      </c>
      <c r="I1138" s="10" t="str">
        <f ca="1">IFERROR(__xludf.DUMMYFUNCTION("""COMPUTED_VALUE"""),"OBRA")</f>
        <v>OBRA</v>
      </c>
      <c r="J1138" s="10" t="str">
        <f ca="1">IFERROR(__xludf.DUMMYFUNCTION("""COMPUTED_VALUE"""),"Cumplir con normativa y reglamentos internos del programa en base a los objetivos.")</f>
        <v>Cumplir con normativa y reglamentos internos del programa en base a los objetivos.</v>
      </c>
      <c r="K1138" s="71">
        <f ca="1">IFERROR(__xludf.DUMMYFUNCTION("""COMPUTED_VALUE"""),52955032)</f>
        <v>52955032</v>
      </c>
      <c r="L1138" s="72">
        <f ca="1">IFERROR(__xludf.DUMMYFUNCTION("""COMPUTED_VALUE"""),1)</f>
        <v>1</v>
      </c>
      <c r="M1138" s="10">
        <f ca="1">IFERROR(__xludf.DUMMYFUNCTION("""COMPUTED_VALUE"""),11635)</f>
        <v>11635</v>
      </c>
      <c r="N1138" s="10" t="str">
        <f ca="1">IFERROR(__xludf.DUMMYFUNCTION("""COMPUTED_VALUE"""),"PMU")</f>
        <v>PMU</v>
      </c>
      <c r="O1138" s="1"/>
      <c r="P1138" s="1"/>
      <c r="Q1138" s="1"/>
      <c r="R1138" s="1"/>
      <c r="S1138" s="1"/>
      <c r="T1138" s="1"/>
      <c r="U1138" s="1"/>
      <c r="V1138" s="1"/>
      <c r="W1138" s="1"/>
      <c r="X1138" s="1"/>
      <c r="Y1138" s="1"/>
      <c r="Z1138" s="1"/>
    </row>
    <row r="1139" spans="1:26" ht="12.75" customHeight="1">
      <c r="A1139" s="1"/>
      <c r="B1139" s="10" t="str">
        <f ca="1">IFERROR(__xludf.DUMMYFUNCTION("""COMPUTED_VALUE"""),"REPOSICIÓN RED Y LUMINARIAS ALUMBRADO, RUTA CH199, SECTOR CATRIPULLI, CURARREHUE")</f>
        <v>REPOSICIÓN RED Y LUMINARIAS ALUMBRADO, RUTA CH199, SECTOR CATRIPULLI, CURARREHUE</v>
      </c>
      <c r="C1139" s="10" t="str">
        <f ca="1">IFERROR(__xludf.DUMMYFUNCTION("""COMPUTED_VALUE"""),"1-B-2024-508")</f>
        <v>1-B-2024-508</v>
      </c>
      <c r="D1139" s="26"/>
      <c r="E1139" s="10" t="str">
        <f ca="1">IFERROR(__xludf.DUMMYFUNCTION("""COMPUTED_VALUE"""),"Guía Operativa")</f>
        <v>Guía Operativa</v>
      </c>
      <c r="F1139" s="10" t="str">
        <f ca="1">IFERROR(__xludf.DUMMYFUNCTION("""COMPUTED_VALUE"""),"MUNICIPALIDAD DE CURARREHUE")</f>
        <v>MUNICIPALIDAD DE CURARREHUE</v>
      </c>
      <c r="G1139" s="71">
        <f ca="1">IFERROR(__xludf.DUMMYFUNCTION("""COMPUTED_VALUE"""),92172781)</f>
        <v>92172781</v>
      </c>
      <c r="H1139" s="10" t="str">
        <f ca="1">IFERROR(__xludf.DUMMYFUNCTION("""COMPUTED_VALUE"""),"Resolución")</f>
        <v>Resolución</v>
      </c>
      <c r="I1139" s="10" t="str">
        <f ca="1">IFERROR(__xludf.DUMMYFUNCTION("""COMPUTED_VALUE"""),"OBRA")</f>
        <v>OBRA</v>
      </c>
      <c r="J1139" s="10" t="str">
        <f ca="1">IFERROR(__xludf.DUMMYFUNCTION("""COMPUTED_VALUE"""),"Cumplir con normativa y reglamentos internos del programa en base a los objetivos.")</f>
        <v>Cumplir con normativa y reglamentos internos del programa en base a los objetivos.</v>
      </c>
      <c r="K1139" s="71">
        <f ca="1">IFERROR(__xludf.DUMMYFUNCTION("""COMPUTED_VALUE"""),92172781)</f>
        <v>92172781</v>
      </c>
      <c r="L1139" s="72">
        <f ca="1">IFERROR(__xludf.DUMMYFUNCTION("""COMPUTED_VALUE"""),1)</f>
        <v>1</v>
      </c>
      <c r="M1139" s="10" t="str">
        <f ca="1">IFERROR(__xludf.DUMMYFUNCTION("""COMPUTED_VALUE"""),"E23600/2024")</f>
        <v>E23600/2024</v>
      </c>
      <c r="N1139" s="10" t="str">
        <f ca="1">IFERROR(__xludf.DUMMYFUNCTION("""COMPUTED_VALUE"""),"PMU")</f>
        <v>PMU</v>
      </c>
      <c r="O1139" s="1"/>
      <c r="P1139" s="1"/>
      <c r="Q1139" s="1"/>
      <c r="R1139" s="1"/>
      <c r="S1139" s="1"/>
      <c r="T1139" s="1"/>
      <c r="U1139" s="1"/>
      <c r="V1139" s="1"/>
      <c r="W1139" s="1"/>
      <c r="X1139" s="1"/>
      <c r="Y1139" s="1"/>
      <c r="Z1139" s="1"/>
    </row>
    <row r="1140" spans="1:26" ht="12.75" customHeight="1">
      <c r="A1140" s="1"/>
      <c r="B1140" s="10" t="str">
        <f ca="1">IFERROR(__xludf.DUMMYFUNCTION("""COMPUTED_VALUE"""),"CONSERVACIÓN GIMNASIO MUNICIPAL, COMUNA DE PUCÓN")</f>
        <v>CONSERVACIÓN GIMNASIO MUNICIPAL, COMUNA DE PUCÓN</v>
      </c>
      <c r="C1140" s="10" t="str">
        <f ca="1">IFERROR(__xludf.DUMMYFUNCTION("""COMPUTED_VALUE"""),"1-B-2024-533")</f>
        <v>1-B-2024-533</v>
      </c>
      <c r="D1140" s="26"/>
      <c r="E1140" s="10" t="str">
        <f ca="1">IFERROR(__xludf.DUMMYFUNCTION("""COMPUTED_VALUE"""),"Guía Operativa")</f>
        <v>Guía Operativa</v>
      </c>
      <c r="F1140" s="10" t="str">
        <f ca="1">IFERROR(__xludf.DUMMYFUNCTION("""COMPUTED_VALUE"""),"MUNICIPALIDAD DE PUCÓN")</f>
        <v>MUNICIPALIDAD DE PUCÓN</v>
      </c>
      <c r="G1140" s="71">
        <f ca="1">IFERROR(__xludf.DUMMYFUNCTION("""COMPUTED_VALUE"""),92172781)</f>
        <v>92172781</v>
      </c>
      <c r="H1140" s="10" t="str">
        <f ca="1">IFERROR(__xludf.DUMMYFUNCTION("""COMPUTED_VALUE"""),"Resolución")</f>
        <v>Resolución</v>
      </c>
      <c r="I1140" s="10" t="str">
        <f ca="1">IFERROR(__xludf.DUMMYFUNCTION("""COMPUTED_VALUE"""),"OBRA")</f>
        <v>OBRA</v>
      </c>
      <c r="J1140" s="10" t="str">
        <f ca="1">IFERROR(__xludf.DUMMYFUNCTION("""COMPUTED_VALUE"""),"Cumplir con normativa y reglamentos internos del programa en base a los objetivos.")</f>
        <v>Cumplir con normativa y reglamentos internos del programa en base a los objetivos.</v>
      </c>
      <c r="K1140" s="71">
        <f ca="1">IFERROR(__xludf.DUMMYFUNCTION("""COMPUTED_VALUE"""),92172781)</f>
        <v>92172781</v>
      </c>
      <c r="L1140" s="72">
        <f ca="1">IFERROR(__xludf.DUMMYFUNCTION("""COMPUTED_VALUE"""),1)</f>
        <v>1</v>
      </c>
      <c r="M1140" s="10" t="str">
        <f ca="1">IFERROR(__xludf.DUMMYFUNCTION("""COMPUTED_VALUE"""),"E23012/2024")</f>
        <v>E23012/2024</v>
      </c>
      <c r="N1140" s="10" t="str">
        <f ca="1">IFERROR(__xludf.DUMMYFUNCTION("""COMPUTED_VALUE"""),"PMU")</f>
        <v>PMU</v>
      </c>
      <c r="O1140" s="1"/>
      <c r="P1140" s="1"/>
      <c r="Q1140" s="1"/>
      <c r="R1140" s="1"/>
      <c r="S1140" s="1"/>
      <c r="T1140" s="1"/>
      <c r="U1140" s="1"/>
      <c r="V1140" s="1"/>
      <c r="W1140" s="1"/>
      <c r="X1140" s="1"/>
      <c r="Y1140" s="1"/>
      <c r="Z1140" s="1"/>
    </row>
    <row r="1141" spans="1:26" ht="12.75" customHeight="1">
      <c r="A1141" s="1"/>
      <c r="B1141" s="10" t="str">
        <f ca="1">IFERROR(__xludf.DUMMYFUNCTION("""COMPUTED_VALUE"""),"MEJORAMIENTO INTEGRAL SISTEMA DE ALCANTARILLADO Y EVACUACION DE AGUAS LLUVIAS DEL LICEO JOSE VICTORINO LASTARRIA, COMUNA DE GORBEA")</f>
        <v>MEJORAMIENTO INTEGRAL SISTEMA DE ALCANTARILLADO Y EVACUACION DE AGUAS LLUVIAS DEL LICEO JOSE VICTORINO LASTARRIA, COMUNA DE GORBEA</v>
      </c>
      <c r="C1141" s="10" t="str">
        <f ca="1">IFERROR(__xludf.DUMMYFUNCTION("""COMPUTED_VALUE"""),"1-B-2024-546")</f>
        <v>1-B-2024-546</v>
      </c>
      <c r="D1141" s="26"/>
      <c r="E1141" s="10" t="str">
        <f ca="1">IFERROR(__xludf.DUMMYFUNCTION("""COMPUTED_VALUE"""),"Guía Operativa")</f>
        <v>Guía Operativa</v>
      </c>
      <c r="F1141" s="10" t="str">
        <f ca="1">IFERROR(__xludf.DUMMYFUNCTION("""COMPUTED_VALUE"""),"MUNICIPALIDAD DE GORBEA")</f>
        <v>MUNICIPALIDAD DE GORBEA</v>
      </c>
      <c r="G1141" s="71">
        <f ca="1">IFERROR(__xludf.DUMMYFUNCTION("""COMPUTED_VALUE"""),91764778)</f>
        <v>91764778</v>
      </c>
      <c r="H1141" s="10" t="str">
        <f ca="1">IFERROR(__xludf.DUMMYFUNCTION("""COMPUTED_VALUE"""),"Resolución")</f>
        <v>Resolución</v>
      </c>
      <c r="I1141" s="10" t="str">
        <f ca="1">IFERROR(__xludf.DUMMYFUNCTION("""COMPUTED_VALUE"""),"OBRA")</f>
        <v>OBRA</v>
      </c>
      <c r="J1141" s="10" t="str">
        <f ca="1">IFERROR(__xludf.DUMMYFUNCTION("""COMPUTED_VALUE"""),"Cumplir con normativa y reglamentos internos del programa en base a los objetivos.")</f>
        <v>Cumplir con normativa y reglamentos internos del programa en base a los objetivos.</v>
      </c>
      <c r="K1141" s="71">
        <f ca="1">IFERROR(__xludf.DUMMYFUNCTION("""COMPUTED_VALUE"""),91764778)</f>
        <v>91764778</v>
      </c>
      <c r="L1141" s="72">
        <f ca="1">IFERROR(__xludf.DUMMYFUNCTION("""COMPUTED_VALUE"""),1)</f>
        <v>1</v>
      </c>
      <c r="M1141" s="10" t="str">
        <f ca="1">IFERROR(__xludf.DUMMYFUNCTION("""COMPUTED_VALUE"""),"E23010/2024")</f>
        <v>E23010/2024</v>
      </c>
      <c r="N1141" s="10" t="str">
        <f ca="1">IFERROR(__xludf.DUMMYFUNCTION("""COMPUTED_VALUE"""),"PMU")</f>
        <v>PMU</v>
      </c>
      <c r="O1141" s="1"/>
      <c r="P1141" s="1"/>
      <c r="Q1141" s="1"/>
      <c r="R1141" s="1"/>
      <c r="S1141" s="1"/>
      <c r="T1141" s="1"/>
      <c r="U1141" s="1"/>
      <c r="V1141" s="1"/>
      <c r="W1141" s="1"/>
      <c r="X1141" s="1"/>
      <c r="Y1141" s="1"/>
      <c r="Z1141" s="1"/>
    </row>
    <row r="1142" spans="1:26" ht="12.75" customHeight="1">
      <c r="A1142" s="1"/>
      <c r="B1142" s="10" t="str">
        <f ca="1">IFERROR(__xludf.DUMMYFUNCTION("""COMPUTED_VALUE"""),"REPOSICION PAVIMENTOS CALZADAS VARIOS SECTORES 2024, LAUTARO")</f>
        <v>REPOSICION PAVIMENTOS CALZADAS VARIOS SECTORES 2024, LAUTARO</v>
      </c>
      <c r="C1142" s="10" t="str">
        <f ca="1">IFERROR(__xludf.DUMMYFUNCTION("""COMPUTED_VALUE"""),"1-B-2024-575")</f>
        <v>1-B-2024-575</v>
      </c>
      <c r="D1142" s="26"/>
      <c r="E1142" s="10" t="str">
        <f ca="1">IFERROR(__xludf.DUMMYFUNCTION("""COMPUTED_VALUE"""),"Guía Operativa")</f>
        <v>Guía Operativa</v>
      </c>
      <c r="F1142" s="10" t="str">
        <f ca="1">IFERROR(__xludf.DUMMYFUNCTION("""COMPUTED_VALUE"""),"MUNICIPALIDAD DE LAUTARO")</f>
        <v>MUNICIPALIDAD DE LAUTARO</v>
      </c>
      <c r="G1142" s="71">
        <f ca="1">IFERROR(__xludf.DUMMYFUNCTION("""COMPUTED_VALUE"""),92172781)</f>
        <v>92172781</v>
      </c>
      <c r="H1142" s="10" t="str">
        <f ca="1">IFERROR(__xludf.DUMMYFUNCTION("""COMPUTED_VALUE"""),"Resolución")</f>
        <v>Resolución</v>
      </c>
      <c r="I1142" s="10" t="str">
        <f ca="1">IFERROR(__xludf.DUMMYFUNCTION("""COMPUTED_VALUE"""),"OBRA")</f>
        <v>OBRA</v>
      </c>
      <c r="J1142" s="10" t="str">
        <f ca="1">IFERROR(__xludf.DUMMYFUNCTION("""COMPUTED_VALUE"""),"Cumplir con normativa y reglamentos internos del programa en base a los objetivos.")</f>
        <v>Cumplir con normativa y reglamentos internos del programa en base a los objetivos.</v>
      </c>
      <c r="K1142" s="71">
        <f ca="1">IFERROR(__xludf.DUMMYFUNCTION("""COMPUTED_VALUE"""),27651834)</f>
        <v>27651834</v>
      </c>
      <c r="L1142" s="72">
        <f ca="1">IFERROR(__xludf.DUMMYFUNCTION("""COMPUTED_VALUE"""),0.299999996745243)</f>
        <v>0.29999999674524302</v>
      </c>
      <c r="M1142" s="10">
        <f ca="1">IFERROR(__xludf.DUMMYFUNCTION("""COMPUTED_VALUE"""),11758)</f>
        <v>11758</v>
      </c>
      <c r="N1142" s="10" t="str">
        <f ca="1">IFERROR(__xludf.DUMMYFUNCTION("""COMPUTED_VALUE"""),"PMU")</f>
        <v>PMU</v>
      </c>
      <c r="O1142" s="1"/>
      <c r="P1142" s="1"/>
      <c r="Q1142" s="1"/>
      <c r="R1142" s="1"/>
      <c r="S1142" s="1"/>
      <c r="T1142" s="1"/>
      <c r="U1142" s="1"/>
      <c r="V1142" s="1"/>
      <c r="W1142" s="1"/>
      <c r="X1142" s="1"/>
      <c r="Y1142" s="1"/>
      <c r="Z1142" s="1"/>
    </row>
    <row r="1143" spans="1:26" ht="12.75" customHeight="1">
      <c r="A1143" s="1"/>
      <c r="B1143" s="10" t="str">
        <f ca="1">IFERROR(__xludf.DUMMYFUNCTION("""COMPUTED_VALUE"""),"CONSTRUCCIÓN SEDE SOCIAL COMUNIDAD INDIGENA ANTONIO HUIRCAN, NUEVA IMPERIAL")</f>
        <v>CONSTRUCCIÓN SEDE SOCIAL COMUNIDAD INDIGENA ANTONIO HUIRCAN, NUEVA IMPERIAL</v>
      </c>
      <c r="C1143" s="10" t="str">
        <f ca="1">IFERROR(__xludf.DUMMYFUNCTION("""COMPUTED_VALUE"""),"1-B-2024-596")</f>
        <v>1-B-2024-596</v>
      </c>
      <c r="D1143" s="26"/>
      <c r="E1143" s="10" t="str">
        <f ca="1">IFERROR(__xludf.DUMMYFUNCTION("""COMPUTED_VALUE"""),"Guía Operativa")</f>
        <v>Guía Operativa</v>
      </c>
      <c r="F1143" s="10" t="str">
        <f ca="1">IFERROR(__xludf.DUMMYFUNCTION("""COMPUTED_VALUE"""),"MUNICIPALIDAD DE NUEVA IMPERIAL")</f>
        <v>MUNICIPALIDAD DE NUEVA IMPERIAL</v>
      </c>
      <c r="G1143" s="71">
        <f ca="1">IFERROR(__xludf.DUMMYFUNCTION("""COMPUTED_VALUE"""),92172781)</f>
        <v>92172781</v>
      </c>
      <c r="H1143" s="10" t="str">
        <f ca="1">IFERROR(__xludf.DUMMYFUNCTION("""COMPUTED_VALUE"""),"Resolución")</f>
        <v>Resolución</v>
      </c>
      <c r="I1143" s="10" t="str">
        <f ca="1">IFERROR(__xludf.DUMMYFUNCTION("""COMPUTED_VALUE"""),"OBRA")</f>
        <v>OBRA</v>
      </c>
      <c r="J1143" s="10" t="str">
        <f ca="1">IFERROR(__xludf.DUMMYFUNCTION("""COMPUTED_VALUE"""),"Cumplir con normativa y reglamentos internos del programa en base a los objetivos.")</f>
        <v>Cumplir con normativa y reglamentos internos del programa en base a los objetivos.</v>
      </c>
      <c r="K1143" s="71">
        <f ca="1">IFERROR(__xludf.DUMMYFUNCTION("""COMPUTED_VALUE"""),92172781)</f>
        <v>92172781</v>
      </c>
      <c r="L1143" s="72">
        <f ca="1">IFERROR(__xludf.DUMMYFUNCTION("""COMPUTED_VALUE"""),1)</f>
        <v>1</v>
      </c>
      <c r="M1143" s="10" t="str">
        <f ca="1">IFERROR(__xludf.DUMMYFUNCTION("""COMPUTED_VALUE"""),"E23603/2024")</f>
        <v>E23603/2024</v>
      </c>
      <c r="N1143" s="10" t="str">
        <f ca="1">IFERROR(__xludf.DUMMYFUNCTION("""COMPUTED_VALUE"""),"PMU")</f>
        <v>PMU</v>
      </c>
      <c r="O1143" s="1"/>
      <c r="P1143" s="1"/>
      <c r="Q1143" s="1"/>
      <c r="R1143" s="1"/>
      <c r="S1143" s="1"/>
      <c r="T1143" s="1"/>
      <c r="U1143" s="1"/>
      <c r="V1143" s="1"/>
      <c r="W1143" s="1"/>
      <c r="X1143" s="1"/>
      <c r="Y1143" s="1"/>
      <c r="Z1143" s="1"/>
    </row>
    <row r="1144" spans="1:26" ht="12.75" customHeight="1">
      <c r="A1144" s="1"/>
      <c r="B1144" s="10" t="str">
        <f ca="1">IFERROR(__xludf.DUMMYFUNCTION("""COMPUTED_VALUE"""),"[SATE] CONSTRUCCIÓN CIERRE PERIMETRAL EDIFICIO CONSISTORIAL, COMUNA DE O´HIGGINS.")</f>
        <v>[SATE] CONSTRUCCIÓN CIERRE PERIMETRAL EDIFICIO CONSISTORIAL, COMUNA DE O´HIGGINS.</v>
      </c>
      <c r="C1144" s="10" t="str">
        <f ca="1">IFERROR(__xludf.DUMMYFUNCTION("""COMPUTED_VALUE"""),"1-C-2023-1303")</f>
        <v>1-C-2023-1303</v>
      </c>
      <c r="D1144" s="26"/>
      <c r="E1144" s="10" t="str">
        <f ca="1">IFERROR(__xludf.DUMMYFUNCTION("""COMPUTED_VALUE"""),"Guía Operativa")</f>
        <v>Guía Operativa</v>
      </c>
      <c r="F1144" s="10" t="str">
        <f ca="1">IFERROR(__xludf.DUMMYFUNCTION("""COMPUTED_VALUE"""),"MUNICIPALIDAD DE O´HIGGINS")</f>
        <v>MUNICIPALIDAD DE O´HIGGINS</v>
      </c>
      <c r="G1144" s="71">
        <f ca="1">IFERROR(__xludf.DUMMYFUNCTION("""COMPUTED_VALUE"""),61650011)</f>
        <v>61650011</v>
      </c>
      <c r="H1144" s="10" t="str">
        <f ca="1">IFERROR(__xludf.DUMMYFUNCTION("""COMPUTED_VALUE"""),"Resolución")</f>
        <v>Resolución</v>
      </c>
      <c r="I1144" s="10" t="str">
        <f ca="1">IFERROR(__xludf.DUMMYFUNCTION("""COMPUTED_VALUE"""),"OBRA")</f>
        <v>OBRA</v>
      </c>
      <c r="J1144" s="10" t="str">
        <f ca="1">IFERROR(__xludf.DUMMYFUNCTION("""COMPUTED_VALUE"""),"Cumplir con normativa y reglamentos internos del programa en base a los objetivos.")</f>
        <v>Cumplir con normativa y reglamentos internos del programa en base a los objetivos.</v>
      </c>
      <c r="K1144" s="71">
        <f ca="1">IFERROR(__xludf.DUMMYFUNCTION("""COMPUTED_VALUE"""),61650011)</f>
        <v>61650011</v>
      </c>
      <c r="L1144" s="72">
        <f ca="1">IFERROR(__xludf.DUMMYFUNCTION("""COMPUTED_VALUE"""),1)</f>
        <v>1</v>
      </c>
      <c r="M1144" s="10">
        <f ca="1">IFERROR(__xludf.DUMMYFUNCTION("""COMPUTED_VALUE"""),9192)</f>
        <v>9192</v>
      </c>
      <c r="N1144" s="10" t="str">
        <f ca="1">IFERROR(__xludf.DUMMYFUNCTION("""COMPUTED_VALUE"""),"PMU")</f>
        <v>PMU</v>
      </c>
      <c r="O1144" s="1"/>
      <c r="P1144" s="1"/>
      <c r="Q1144" s="1"/>
      <c r="R1144" s="1"/>
      <c r="S1144" s="1"/>
      <c r="T1144" s="1"/>
      <c r="U1144" s="1"/>
      <c r="V1144" s="1"/>
      <c r="W1144" s="1"/>
      <c r="X1144" s="1"/>
      <c r="Y1144" s="1"/>
      <c r="Z1144" s="1"/>
    </row>
    <row r="1145" spans="1:26" ht="12.75" customHeight="1">
      <c r="A1145" s="1"/>
      <c r="B1145" s="10" t="str">
        <f ca="1">IFERROR(__xludf.DUMMYFUNCTION("""COMPUTED_VALUE"""),"CONSTRUCCION PARADORES TURISTICOS ACCESO NORTE CISNES Y MIRADOR RIO PALENA")</f>
        <v>CONSTRUCCION PARADORES TURISTICOS ACCESO NORTE CISNES Y MIRADOR RIO PALENA</v>
      </c>
      <c r="C1145" s="10" t="str">
        <f ca="1">IFERROR(__xludf.DUMMYFUNCTION("""COMPUTED_VALUE"""),"1-C-2023-1655")</f>
        <v>1-C-2023-1655</v>
      </c>
      <c r="D1145" s="26"/>
      <c r="E1145" s="10" t="str">
        <f ca="1">IFERROR(__xludf.DUMMYFUNCTION("""COMPUTED_VALUE"""),"Guía Operativa")</f>
        <v>Guía Operativa</v>
      </c>
      <c r="F1145" s="10" t="str">
        <f ca="1">IFERROR(__xludf.DUMMYFUNCTION("""COMPUTED_VALUE"""),"MUNICIPALIDAD DE CISNES")</f>
        <v>MUNICIPALIDAD DE CISNES</v>
      </c>
      <c r="G1145" s="71">
        <f ca="1">IFERROR(__xludf.DUMMYFUNCTION("""COMPUTED_VALUE"""),127328922)</f>
        <v>127328922</v>
      </c>
      <c r="H1145" s="10" t="str">
        <f ca="1">IFERROR(__xludf.DUMMYFUNCTION("""COMPUTED_VALUE"""),"Resolución")</f>
        <v>Resolución</v>
      </c>
      <c r="I1145" s="10" t="str">
        <f ca="1">IFERROR(__xludf.DUMMYFUNCTION("""COMPUTED_VALUE"""),"OBRA")</f>
        <v>OBRA</v>
      </c>
      <c r="J1145" s="10" t="str">
        <f ca="1">IFERROR(__xludf.DUMMYFUNCTION("""COMPUTED_VALUE"""),"Cumplir con normativa y reglamentos internos del programa en base a los objetivos.")</f>
        <v>Cumplir con normativa y reglamentos internos del programa en base a los objetivos.</v>
      </c>
      <c r="K1145" s="71">
        <f ca="1">IFERROR(__xludf.DUMMYFUNCTION("""COMPUTED_VALUE"""),127328922)</f>
        <v>127328922</v>
      </c>
      <c r="L1145" s="72">
        <f ca="1">IFERROR(__xludf.DUMMYFUNCTION("""COMPUTED_VALUE"""),1)</f>
        <v>1</v>
      </c>
      <c r="M1145" s="10" t="str">
        <f ca="1">IFERROR(__xludf.DUMMYFUNCTION("""COMPUTED_VALUE"""),"E17367/2024")</f>
        <v>E17367/2024</v>
      </c>
      <c r="N1145" s="10" t="str">
        <f ca="1">IFERROR(__xludf.DUMMYFUNCTION("""COMPUTED_VALUE"""),"PMU")</f>
        <v>PMU</v>
      </c>
      <c r="O1145" s="1"/>
      <c r="P1145" s="1"/>
      <c r="Q1145" s="1"/>
      <c r="R1145" s="1"/>
      <c r="S1145" s="1"/>
      <c r="T1145" s="1"/>
      <c r="U1145" s="1"/>
      <c r="V1145" s="1"/>
      <c r="W1145" s="1"/>
      <c r="X1145" s="1"/>
      <c r="Y1145" s="1"/>
      <c r="Z1145" s="1"/>
    </row>
    <row r="1146" spans="1:26" ht="12.75" customHeight="1">
      <c r="A1146" s="1"/>
      <c r="B1146" s="10" t="str">
        <f ca="1">IFERROR(__xludf.DUMMYFUNCTION("""COMPUTED_VALUE"""),"REPOSICIÓN SISTEMA ELECTRICO DEL EDIFICIO MUNICIPAL PRINCIPAL DE PUERTO CISNES")</f>
        <v>REPOSICIÓN SISTEMA ELECTRICO DEL EDIFICIO MUNICIPAL PRINCIPAL DE PUERTO CISNES</v>
      </c>
      <c r="C1146" s="10" t="str">
        <f ca="1">IFERROR(__xludf.DUMMYFUNCTION("""COMPUTED_VALUE"""),"1-C-2023-3156")</f>
        <v>1-C-2023-3156</v>
      </c>
      <c r="D1146" s="26"/>
      <c r="E1146" s="10" t="str">
        <f ca="1">IFERROR(__xludf.DUMMYFUNCTION("""COMPUTED_VALUE"""),"Guía Operativa")</f>
        <v>Guía Operativa</v>
      </c>
      <c r="F1146" s="10" t="str">
        <f ca="1">IFERROR(__xludf.DUMMYFUNCTION("""COMPUTED_VALUE"""),"MUNICIPALIDAD DE CISNES")</f>
        <v>MUNICIPALIDAD DE CISNES</v>
      </c>
      <c r="G1146" s="71">
        <f ca="1">IFERROR(__xludf.DUMMYFUNCTION("""COMPUTED_VALUE"""),35236713)</f>
        <v>35236713</v>
      </c>
      <c r="H1146" s="10" t="str">
        <f ca="1">IFERROR(__xludf.DUMMYFUNCTION("""COMPUTED_VALUE"""),"Resolución")</f>
        <v>Resolución</v>
      </c>
      <c r="I1146" s="10" t="str">
        <f ca="1">IFERROR(__xludf.DUMMYFUNCTION("""COMPUTED_VALUE"""),"OBRA")</f>
        <v>OBRA</v>
      </c>
      <c r="J1146" s="10" t="str">
        <f ca="1">IFERROR(__xludf.DUMMYFUNCTION("""COMPUTED_VALUE"""),"Cumplir con normativa y reglamentos internos del programa en base a los objetivos.")</f>
        <v>Cumplir con normativa y reglamentos internos del programa en base a los objetivos.</v>
      </c>
      <c r="K1146" s="71">
        <f ca="1">IFERROR(__xludf.DUMMYFUNCTION("""COMPUTED_VALUE"""),35236713)</f>
        <v>35236713</v>
      </c>
      <c r="L1146" s="72">
        <f ca="1">IFERROR(__xludf.DUMMYFUNCTION("""COMPUTED_VALUE"""),1)</f>
        <v>1</v>
      </c>
      <c r="M1146" s="10" t="str">
        <f ca="1">IFERROR(__xludf.DUMMYFUNCTION("""COMPUTED_VALUE"""),"E17367/2024")</f>
        <v>E17367/2024</v>
      </c>
      <c r="N1146" s="10" t="str">
        <f ca="1">IFERROR(__xludf.DUMMYFUNCTION("""COMPUTED_VALUE"""),"PMU")</f>
        <v>PMU</v>
      </c>
      <c r="O1146" s="1"/>
      <c r="P1146" s="1"/>
      <c r="Q1146" s="1"/>
      <c r="R1146" s="1"/>
      <c r="S1146" s="1"/>
      <c r="T1146" s="1"/>
      <c r="U1146" s="1"/>
      <c r="V1146" s="1"/>
      <c r="W1146" s="1"/>
      <c r="X1146" s="1"/>
      <c r="Y1146" s="1"/>
      <c r="Z1146" s="1"/>
    </row>
    <row r="1147" spans="1:26" ht="12.75" customHeight="1">
      <c r="A1147" s="1"/>
      <c r="B1147" s="10" t="str">
        <f ca="1">IFERROR(__xludf.DUMMYFUNCTION("""COMPUTED_VALUE"""),"CONSTRUCCIÓN PLAZA DEPORTIVA JJVV N°4")</f>
        <v>CONSTRUCCIÓN PLAZA DEPORTIVA JJVV N°4</v>
      </c>
      <c r="C1147" s="10" t="str">
        <f ca="1">IFERROR(__xludf.DUMMYFUNCTION("""COMPUTED_VALUE"""),"1-B-2024-243")</f>
        <v>1-B-2024-243</v>
      </c>
      <c r="D1147" s="26"/>
      <c r="E1147" s="10" t="str">
        <f ca="1">IFERROR(__xludf.DUMMYFUNCTION("""COMPUTED_VALUE"""),"Guía Operativa")</f>
        <v>Guía Operativa</v>
      </c>
      <c r="F1147" s="10" t="str">
        <f ca="1">IFERROR(__xludf.DUMMYFUNCTION("""COMPUTED_VALUE"""),"MUNICIPALIDAD DE COCHRANE")</f>
        <v>MUNICIPALIDAD DE COCHRANE</v>
      </c>
      <c r="G1147" s="71">
        <f ca="1">IFERROR(__xludf.DUMMYFUNCTION("""COMPUTED_VALUE"""),105000000)</f>
        <v>105000000</v>
      </c>
      <c r="H1147" s="10" t="str">
        <f ca="1">IFERROR(__xludf.DUMMYFUNCTION("""COMPUTED_VALUE"""),"Resolución")</f>
        <v>Resolución</v>
      </c>
      <c r="I1147" s="10" t="str">
        <f ca="1">IFERROR(__xludf.DUMMYFUNCTION("""COMPUTED_VALUE"""),"OBRA")</f>
        <v>OBRA</v>
      </c>
      <c r="J1147" s="10" t="str">
        <f ca="1">IFERROR(__xludf.DUMMYFUNCTION("""COMPUTED_VALUE"""),"Cumplir con normativa y reglamentos internos del programa en base a los objetivos.")</f>
        <v>Cumplir con normativa y reglamentos internos del programa en base a los objetivos.</v>
      </c>
      <c r="K1147" s="71">
        <f ca="1">IFERROR(__xludf.DUMMYFUNCTION("""COMPUTED_VALUE"""),105000000)</f>
        <v>105000000</v>
      </c>
      <c r="L1147" s="72">
        <f ca="1">IFERROR(__xludf.DUMMYFUNCTION("""COMPUTED_VALUE"""),1)</f>
        <v>1</v>
      </c>
      <c r="M1147" s="10" t="str">
        <f ca="1">IFERROR(__xludf.DUMMYFUNCTION("""COMPUTED_VALUE"""),"E23651/2024")</f>
        <v>E23651/2024</v>
      </c>
      <c r="N1147" s="10" t="str">
        <f ca="1">IFERROR(__xludf.DUMMYFUNCTION("""COMPUTED_VALUE"""),"PMU")</f>
        <v>PMU</v>
      </c>
      <c r="O1147" s="1"/>
      <c r="P1147" s="1"/>
      <c r="Q1147" s="1"/>
      <c r="R1147" s="1"/>
      <c r="S1147" s="1"/>
      <c r="T1147" s="1"/>
      <c r="U1147" s="1"/>
      <c r="V1147" s="1"/>
      <c r="W1147" s="1"/>
      <c r="X1147" s="1"/>
      <c r="Y1147" s="1"/>
      <c r="Z1147" s="1"/>
    </row>
    <row r="1148" spans="1:26" ht="12.75" customHeight="1">
      <c r="A1148" s="1"/>
      <c r="B1148" s="10" t="str">
        <f ca="1">IFERROR(__xludf.DUMMYFUNCTION("""COMPUTED_VALUE"""),"CSV CONSTRUCCIÓN Y MEJORAMIENTO DE ALUMBRADO PÚBLICO EN AVENIDA SIMPSON INTERSECCIÓN CAMPO DE HIELO, COYHAIQUE")</f>
        <v>CSV CONSTRUCCIÓN Y MEJORAMIENTO DE ALUMBRADO PÚBLICO EN AVENIDA SIMPSON INTERSECCIÓN CAMPO DE HIELO, COYHAIQUE</v>
      </c>
      <c r="C1148" s="10" t="str">
        <f ca="1">IFERROR(__xludf.DUMMYFUNCTION("""COMPUTED_VALUE"""),"1-C-2024-943")</f>
        <v>1-C-2024-943</v>
      </c>
      <c r="D1148" s="26"/>
      <c r="E1148" s="10" t="str">
        <f ca="1">IFERROR(__xludf.DUMMYFUNCTION("""COMPUTED_VALUE"""),"Guía Operativa")</f>
        <v>Guía Operativa</v>
      </c>
      <c r="F1148" s="10" t="str">
        <f ca="1">IFERROR(__xludf.DUMMYFUNCTION("""COMPUTED_VALUE"""),"MUNICIPALIDAD DE COYHAIQUE")</f>
        <v>MUNICIPALIDAD DE COYHAIQUE</v>
      </c>
      <c r="G1148" s="71">
        <f ca="1">IFERROR(__xludf.DUMMYFUNCTION("""COMPUTED_VALUE"""),93672714)</f>
        <v>93672714</v>
      </c>
      <c r="H1148" s="10" t="str">
        <f ca="1">IFERROR(__xludf.DUMMYFUNCTION("""COMPUTED_VALUE"""),"Resolución")</f>
        <v>Resolución</v>
      </c>
      <c r="I1148" s="10" t="str">
        <f ca="1">IFERROR(__xludf.DUMMYFUNCTION("""COMPUTED_VALUE"""),"OBRA")</f>
        <v>OBRA</v>
      </c>
      <c r="J1148" s="10" t="str">
        <f ca="1">IFERROR(__xludf.DUMMYFUNCTION("""COMPUTED_VALUE"""),"Cumplir con normativa y reglamentos internos del programa en base a los objetivos.")</f>
        <v>Cumplir con normativa y reglamentos internos del programa en base a los objetivos.</v>
      </c>
      <c r="K1148" s="71">
        <f ca="1">IFERROR(__xludf.DUMMYFUNCTION("""COMPUTED_VALUE"""),46836357)</f>
        <v>46836357</v>
      </c>
      <c r="L1148" s="72">
        <f ca="1">IFERROR(__xludf.DUMMYFUNCTION("""COMPUTED_VALUE"""),0.5)</f>
        <v>0.5</v>
      </c>
      <c r="M1148" s="10">
        <f ca="1">IFERROR(__xludf.DUMMYFUNCTION("""COMPUTED_VALUE"""),10954)</f>
        <v>10954</v>
      </c>
      <c r="N1148" s="10" t="str">
        <f ca="1">IFERROR(__xludf.DUMMYFUNCTION("""COMPUTED_VALUE"""),"PMU")</f>
        <v>PMU</v>
      </c>
      <c r="O1148" s="1"/>
      <c r="P1148" s="1"/>
      <c r="Q1148" s="1"/>
      <c r="R1148" s="1"/>
      <c r="S1148" s="1"/>
      <c r="T1148" s="1"/>
      <c r="U1148" s="1"/>
      <c r="V1148" s="1"/>
      <c r="W1148" s="1"/>
      <c r="X1148" s="1"/>
      <c r="Y1148" s="1"/>
      <c r="Z1148" s="1"/>
    </row>
    <row r="1149" spans="1:26" ht="12.75" customHeight="1">
      <c r="A1149" s="1"/>
      <c r="B1149" s="10" t="str">
        <f ca="1">IFERROR(__xludf.DUMMYFUNCTION("""COMPUTED_VALUE"""),"CONSTRUCCIÓN VIVIENDA MUNICIPAL AVDA. BERNARDO O'HIGGINS, COMUNA DE SAN GREGORIO.")</f>
        <v>CONSTRUCCIÓN VIVIENDA MUNICIPAL AVDA. BERNARDO O'HIGGINS, COMUNA DE SAN GREGORIO.</v>
      </c>
      <c r="C1149" s="10" t="str">
        <f ca="1">IFERROR(__xludf.DUMMYFUNCTION("""COMPUTED_VALUE"""),"1-B-2024-284")</f>
        <v>1-B-2024-284</v>
      </c>
      <c r="D1149" s="26"/>
      <c r="E1149" s="10" t="str">
        <f ca="1">IFERROR(__xludf.DUMMYFUNCTION("""COMPUTED_VALUE"""),"Guía Operativa")</f>
        <v>Guía Operativa</v>
      </c>
      <c r="F1149" s="10" t="str">
        <f ca="1">IFERROR(__xludf.DUMMYFUNCTION("""COMPUTED_VALUE"""),"MUNICIPALIDAD DE SAN GREGORIO")</f>
        <v>MUNICIPALIDAD DE SAN GREGORIO</v>
      </c>
      <c r="G1149" s="71">
        <f ca="1">IFERROR(__xludf.DUMMYFUNCTION("""COMPUTED_VALUE"""),146000000)</f>
        <v>146000000</v>
      </c>
      <c r="H1149" s="10" t="str">
        <f ca="1">IFERROR(__xludf.DUMMYFUNCTION("""COMPUTED_VALUE"""),"Resolución")</f>
        <v>Resolución</v>
      </c>
      <c r="I1149" s="10" t="str">
        <f ca="1">IFERROR(__xludf.DUMMYFUNCTION("""COMPUTED_VALUE"""),"OBRA")</f>
        <v>OBRA</v>
      </c>
      <c r="J1149" s="10" t="str">
        <f ca="1">IFERROR(__xludf.DUMMYFUNCTION("""COMPUTED_VALUE"""),"Cumplir con normativa y reglamentos internos del programa en base a los objetivos.")</f>
        <v>Cumplir con normativa y reglamentos internos del programa en base a los objetivos.</v>
      </c>
      <c r="K1149" s="71">
        <f ca="1">IFERROR(__xludf.DUMMYFUNCTION("""COMPUTED_VALUE"""),43800000)</f>
        <v>43800000</v>
      </c>
      <c r="L1149" s="72">
        <f ca="1">IFERROR(__xludf.DUMMYFUNCTION("""COMPUTED_VALUE"""),0.3)</f>
        <v>0.3</v>
      </c>
      <c r="M1149" s="10" t="str">
        <f ca="1">IFERROR(__xludf.DUMMYFUNCTION("""COMPUTED_VALUE"""),"E24022/2024")</f>
        <v>E24022/2024</v>
      </c>
      <c r="N1149" s="10" t="str">
        <f ca="1">IFERROR(__xludf.DUMMYFUNCTION("""COMPUTED_VALUE"""),"PMU")</f>
        <v>PMU</v>
      </c>
      <c r="O1149" s="1"/>
      <c r="P1149" s="1"/>
      <c r="Q1149" s="1"/>
      <c r="R1149" s="1"/>
      <c r="S1149" s="1"/>
      <c r="T1149" s="1"/>
      <c r="U1149" s="1"/>
      <c r="V1149" s="1"/>
      <c r="W1149" s="1"/>
      <c r="X1149" s="1"/>
      <c r="Y1149" s="1"/>
      <c r="Z1149" s="1"/>
    </row>
    <row r="1150" spans="1:26" ht="12.75" customHeight="1">
      <c r="A1150" s="1"/>
      <c r="B1150" s="10" t="str">
        <f ca="1">IFERROR(__xludf.DUMMYFUNCTION("""COMPUTED_VALUE"""),"CONSTRUCCIÓN CIERROS PERIMETRALES, COMUNA DE SAN GREGORIO.")</f>
        <v>CONSTRUCCIÓN CIERROS PERIMETRALES, COMUNA DE SAN GREGORIO.</v>
      </c>
      <c r="C1150" s="10" t="str">
        <f ca="1">IFERROR(__xludf.DUMMYFUNCTION("""COMPUTED_VALUE"""),"1-B-2024-285")</f>
        <v>1-B-2024-285</v>
      </c>
      <c r="D1150" s="26"/>
      <c r="E1150" s="10" t="str">
        <f ca="1">IFERROR(__xludf.DUMMYFUNCTION("""COMPUTED_VALUE"""),"Guía Operativa")</f>
        <v>Guía Operativa</v>
      </c>
      <c r="F1150" s="10" t="str">
        <f ca="1">IFERROR(__xludf.DUMMYFUNCTION("""COMPUTED_VALUE"""),"MUNICIPALIDAD DE SAN GREGORIO")</f>
        <v>MUNICIPALIDAD DE SAN GREGORIO</v>
      </c>
      <c r="G1150" s="71">
        <f ca="1">IFERROR(__xludf.DUMMYFUNCTION("""COMPUTED_VALUE"""),54000000)</f>
        <v>54000000</v>
      </c>
      <c r="H1150" s="10" t="str">
        <f ca="1">IFERROR(__xludf.DUMMYFUNCTION("""COMPUTED_VALUE"""),"Resolución")</f>
        <v>Resolución</v>
      </c>
      <c r="I1150" s="10" t="str">
        <f ca="1">IFERROR(__xludf.DUMMYFUNCTION("""COMPUTED_VALUE"""),"OBRA")</f>
        <v>OBRA</v>
      </c>
      <c r="J1150" s="10" t="str">
        <f ca="1">IFERROR(__xludf.DUMMYFUNCTION("""COMPUTED_VALUE"""),"Cumplir con normativa y reglamentos internos del programa en base a los objetivos.")</f>
        <v>Cumplir con normativa y reglamentos internos del programa en base a los objetivos.</v>
      </c>
      <c r="K1150" s="71">
        <f ca="1">IFERROR(__xludf.DUMMYFUNCTION("""COMPUTED_VALUE"""),16200000)</f>
        <v>16200000</v>
      </c>
      <c r="L1150" s="72">
        <f ca="1">IFERROR(__xludf.DUMMYFUNCTION("""COMPUTED_VALUE"""),0.3)</f>
        <v>0.3</v>
      </c>
      <c r="M1150" s="10" t="str">
        <f ca="1">IFERROR(__xludf.DUMMYFUNCTION("""COMPUTED_VALUE"""),"E24022/2024")</f>
        <v>E24022/2024</v>
      </c>
      <c r="N1150" s="10" t="str">
        <f ca="1">IFERROR(__xludf.DUMMYFUNCTION("""COMPUTED_VALUE"""),"PMU")</f>
        <v>PMU</v>
      </c>
      <c r="O1150" s="1"/>
      <c r="P1150" s="1"/>
      <c r="Q1150" s="1"/>
      <c r="R1150" s="1"/>
      <c r="S1150" s="1"/>
      <c r="T1150" s="1"/>
      <c r="U1150" s="1"/>
      <c r="V1150" s="1"/>
      <c r="W1150" s="1"/>
      <c r="X1150" s="1"/>
      <c r="Y1150" s="1"/>
      <c r="Z1150" s="1"/>
    </row>
    <row r="1151" spans="1:26" ht="12.75" customHeight="1">
      <c r="A1151" s="1"/>
      <c r="B1151" s="10" t="str">
        <f ca="1">IFERROR(__xludf.DUMMYFUNCTION("""COMPUTED_VALUE"""),"CONSTRUCCIÓN PUMPTRACK PARQUE LIMITE URBANO, COMUNA DE BUIN")</f>
        <v>CONSTRUCCIÓN PUMPTRACK PARQUE LIMITE URBANO, COMUNA DE BUIN</v>
      </c>
      <c r="C1151" s="10" t="str">
        <f ca="1">IFERROR(__xludf.DUMMYFUNCTION("""COMPUTED_VALUE"""),"1-B-2024-1")</f>
        <v>1-B-2024-1</v>
      </c>
      <c r="D1151" s="26"/>
      <c r="E1151" s="10" t="str">
        <f ca="1">IFERROR(__xludf.DUMMYFUNCTION("""COMPUTED_VALUE"""),"Guía Operativa")</f>
        <v>Guía Operativa</v>
      </c>
      <c r="F1151" s="10" t="str">
        <f ca="1">IFERROR(__xludf.DUMMYFUNCTION("""COMPUTED_VALUE"""),"MUNICIPALIDAD DE BUIN")</f>
        <v>MUNICIPALIDAD DE BUIN</v>
      </c>
      <c r="G1151" s="71">
        <f ca="1">IFERROR(__xludf.DUMMYFUNCTION("""COMPUTED_VALUE"""),93740908)</f>
        <v>93740908</v>
      </c>
      <c r="H1151" s="10" t="str">
        <f ca="1">IFERROR(__xludf.DUMMYFUNCTION("""COMPUTED_VALUE"""),"Resolución")</f>
        <v>Resolución</v>
      </c>
      <c r="I1151" s="10" t="str">
        <f ca="1">IFERROR(__xludf.DUMMYFUNCTION("""COMPUTED_VALUE"""),"OBRA")</f>
        <v>OBRA</v>
      </c>
      <c r="J1151" s="10" t="str">
        <f ca="1">IFERROR(__xludf.DUMMYFUNCTION("""COMPUTED_VALUE"""),"Cumplir con normativa y reglamentos internos del programa en base a los objetivos.")</f>
        <v>Cumplir con normativa y reglamentos internos del programa en base a los objetivos.</v>
      </c>
      <c r="K1151" s="71">
        <f ca="1">IFERROR(__xludf.DUMMYFUNCTION("""COMPUTED_VALUE"""),93740908)</f>
        <v>93740908</v>
      </c>
      <c r="L1151" s="72">
        <f ca="1">IFERROR(__xludf.DUMMYFUNCTION("""COMPUTED_VALUE"""),1)</f>
        <v>1</v>
      </c>
      <c r="M1151" s="10" t="str">
        <f ca="1">IFERROR(__xludf.DUMMYFUNCTION("""COMPUTED_VALUE"""),"E23597/2024")</f>
        <v>E23597/2024</v>
      </c>
      <c r="N1151" s="10" t="str">
        <f ca="1">IFERROR(__xludf.DUMMYFUNCTION("""COMPUTED_VALUE"""),"PMU")</f>
        <v>PMU</v>
      </c>
      <c r="O1151" s="1"/>
      <c r="P1151" s="1"/>
      <c r="Q1151" s="1"/>
      <c r="R1151" s="1"/>
      <c r="S1151" s="1"/>
      <c r="T1151" s="1"/>
      <c r="U1151" s="1"/>
      <c r="V1151" s="1"/>
      <c r="W1151" s="1"/>
      <c r="X1151" s="1"/>
      <c r="Y1151" s="1"/>
      <c r="Z1151" s="1"/>
    </row>
    <row r="1152" spans="1:26" ht="12.75" customHeight="1">
      <c r="A1152" s="1"/>
      <c r="B1152" s="10" t="str">
        <f ca="1">IFERROR(__xludf.DUMMYFUNCTION("""COMPUTED_VALUE"""),"MEJORAMIENTO PLAZA VILLA GABRIELA, COMUNA DE BUIN")</f>
        <v>MEJORAMIENTO PLAZA VILLA GABRIELA, COMUNA DE BUIN</v>
      </c>
      <c r="C1152" s="10" t="str">
        <f ca="1">IFERROR(__xludf.DUMMYFUNCTION("""COMPUTED_VALUE"""),"1-B-2024-5")</f>
        <v>1-B-2024-5</v>
      </c>
      <c r="D1152" s="26"/>
      <c r="E1152" s="10" t="str">
        <f ca="1">IFERROR(__xludf.DUMMYFUNCTION("""COMPUTED_VALUE"""),"Guía Operativa")</f>
        <v>Guía Operativa</v>
      </c>
      <c r="F1152" s="10" t="str">
        <f ca="1">IFERROR(__xludf.DUMMYFUNCTION("""COMPUTED_VALUE"""),"MUNICIPALIDAD DE BUIN")</f>
        <v>MUNICIPALIDAD DE BUIN</v>
      </c>
      <c r="G1152" s="71">
        <f ca="1">IFERROR(__xludf.DUMMYFUNCTION("""COMPUTED_VALUE"""),147373646)</f>
        <v>147373646</v>
      </c>
      <c r="H1152" s="10" t="str">
        <f ca="1">IFERROR(__xludf.DUMMYFUNCTION("""COMPUTED_VALUE"""),"Resolución")</f>
        <v>Resolución</v>
      </c>
      <c r="I1152" s="10" t="str">
        <f ca="1">IFERROR(__xludf.DUMMYFUNCTION("""COMPUTED_VALUE"""),"OBRA")</f>
        <v>OBRA</v>
      </c>
      <c r="J1152" s="10" t="str">
        <f ca="1">IFERROR(__xludf.DUMMYFUNCTION("""COMPUTED_VALUE"""),"Cumplir con normativa y reglamentos internos del programa en base a los objetivos.")</f>
        <v>Cumplir con normativa y reglamentos internos del programa en base a los objetivos.</v>
      </c>
      <c r="K1152" s="71">
        <f ca="1">IFERROR(__xludf.DUMMYFUNCTION("""COMPUTED_VALUE"""),147373646)</f>
        <v>147373646</v>
      </c>
      <c r="L1152" s="72">
        <f ca="1">IFERROR(__xludf.DUMMYFUNCTION("""COMPUTED_VALUE"""),1)</f>
        <v>1</v>
      </c>
      <c r="M1152" s="10" t="str">
        <f ca="1">IFERROR(__xludf.DUMMYFUNCTION("""COMPUTED_VALUE"""),"E23597/2024")</f>
        <v>E23597/2024</v>
      </c>
      <c r="N1152" s="10" t="str">
        <f ca="1">IFERROR(__xludf.DUMMYFUNCTION("""COMPUTED_VALUE"""),"PMU")</f>
        <v>PMU</v>
      </c>
      <c r="O1152" s="1"/>
      <c r="P1152" s="1"/>
      <c r="Q1152" s="1"/>
      <c r="R1152" s="1"/>
      <c r="S1152" s="1"/>
      <c r="T1152" s="1"/>
      <c r="U1152" s="1"/>
      <c r="V1152" s="1"/>
      <c r="W1152" s="1"/>
      <c r="X1152" s="1"/>
      <c r="Y1152" s="1"/>
      <c r="Z1152" s="1"/>
    </row>
    <row r="1153" spans="1:26" ht="12.75" customHeight="1">
      <c r="A1153" s="1"/>
      <c r="B1153" s="10" t="str">
        <f ca="1">IFERROR(__xludf.DUMMYFUNCTION("""COMPUTED_VALUE"""),"MEJORAMIENTO PLAZA VENECIA COMUNA DE INDEPENDENCIA")</f>
        <v>MEJORAMIENTO PLAZA VENECIA COMUNA DE INDEPENDENCIA</v>
      </c>
      <c r="C1153" s="10" t="str">
        <f ca="1">IFERROR(__xludf.DUMMYFUNCTION("""COMPUTED_VALUE"""),"1-B-2024-101")</f>
        <v>1-B-2024-101</v>
      </c>
      <c r="D1153" s="26"/>
      <c r="E1153" s="10" t="str">
        <f ca="1">IFERROR(__xludf.DUMMYFUNCTION("""COMPUTED_VALUE"""),"Guía Operativa")</f>
        <v>Guía Operativa</v>
      </c>
      <c r="F1153" s="10" t="str">
        <f ca="1">IFERROR(__xludf.DUMMYFUNCTION("""COMPUTED_VALUE"""),"MUNICIPALIDAD DE INDEPENDENCIA")</f>
        <v>MUNICIPALIDAD DE INDEPENDENCIA</v>
      </c>
      <c r="G1153" s="71">
        <f ca="1">IFERROR(__xludf.DUMMYFUNCTION("""COMPUTED_VALUE"""),155472653)</f>
        <v>155472653</v>
      </c>
      <c r="H1153" s="10" t="str">
        <f ca="1">IFERROR(__xludf.DUMMYFUNCTION("""COMPUTED_VALUE"""),"Resolución")</f>
        <v>Resolución</v>
      </c>
      <c r="I1153" s="10" t="str">
        <f ca="1">IFERROR(__xludf.DUMMYFUNCTION("""COMPUTED_VALUE"""),"OBRA")</f>
        <v>OBRA</v>
      </c>
      <c r="J1153" s="10" t="str">
        <f ca="1">IFERROR(__xludf.DUMMYFUNCTION("""COMPUTED_VALUE"""),"Cumplir con normativa y reglamentos internos del programa en base a los objetivos.")</f>
        <v>Cumplir con normativa y reglamentos internos del programa en base a los objetivos.</v>
      </c>
      <c r="K1153" s="71">
        <f ca="1">IFERROR(__xludf.DUMMYFUNCTION("""COMPUTED_VALUE"""),155472653)</f>
        <v>155472653</v>
      </c>
      <c r="L1153" s="72">
        <f ca="1">IFERROR(__xludf.DUMMYFUNCTION("""COMPUTED_VALUE"""),1)</f>
        <v>1</v>
      </c>
      <c r="M1153" s="10" t="str">
        <f ca="1">IFERROR(__xludf.DUMMYFUNCTION("""COMPUTED_VALUE"""),"E22909/2024")</f>
        <v>E22909/2024</v>
      </c>
      <c r="N1153" s="10" t="str">
        <f ca="1">IFERROR(__xludf.DUMMYFUNCTION("""COMPUTED_VALUE"""),"PMU")</f>
        <v>PMU</v>
      </c>
      <c r="O1153" s="1"/>
      <c r="P1153" s="1"/>
      <c r="Q1153" s="1"/>
      <c r="R1153" s="1"/>
      <c r="S1153" s="1"/>
      <c r="T1153" s="1"/>
      <c r="U1153" s="1"/>
      <c r="V1153" s="1"/>
      <c r="W1153" s="1"/>
      <c r="X1153" s="1"/>
      <c r="Y1153" s="1"/>
      <c r="Z1153" s="1"/>
    </row>
    <row r="1154" spans="1:26" ht="12.75" customHeight="1">
      <c r="A1154" s="1"/>
      <c r="B1154" s="10" t="str">
        <f ca="1">IFERROR(__xludf.DUMMYFUNCTION("""COMPUTED_VALUE"""),"MEJORAMIENTO PLAZA LOS AVIADORES, EL BOSQUE")</f>
        <v>MEJORAMIENTO PLAZA LOS AVIADORES, EL BOSQUE</v>
      </c>
      <c r="C1154" s="10" t="str">
        <f ca="1">IFERROR(__xludf.DUMMYFUNCTION("""COMPUTED_VALUE"""),"1-B-2024-108")</f>
        <v>1-B-2024-108</v>
      </c>
      <c r="D1154" s="26"/>
      <c r="E1154" s="10" t="str">
        <f ca="1">IFERROR(__xludf.DUMMYFUNCTION("""COMPUTED_VALUE"""),"Guía Operativa")</f>
        <v>Guía Operativa</v>
      </c>
      <c r="F1154" s="10" t="str">
        <f ca="1">IFERROR(__xludf.DUMMYFUNCTION("""COMPUTED_VALUE"""),"MUNICIPALIDAD DE EL BOSQUE")</f>
        <v>MUNICIPALIDAD DE EL BOSQUE</v>
      </c>
      <c r="G1154" s="71">
        <f ca="1">IFERROR(__xludf.DUMMYFUNCTION("""COMPUTED_VALUE"""),161635246)</f>
        <v>161635246</v>
      </c>
      <c r="H1154" s="10" t="str">
        <f ca="1">IFERROR(__xludf.DUMMYFUNCTION("""COMPUTED_VALUE"""),"Resolución")</f>
        <v>Resolución</v>
      </c>
      <c r="I1154" s="10" t="str">
        <f ca="1">IFERROR(__xludf.DUMMYFUNCTION("""COMPUTED_VALUE"""),"OBRA")</f>
        <v>OBRA</v>
      </c>
      <c r="J1154" s="10" t="str">
        <f ca="1">IFERROR(__xludf.DUMMYFUNCTION("""COMPUTED_VALUE"""),"Cumplir con normativa y reglamentos internos del programa en base a los objetivos.")</f>
        <v>Cumplir con normativa y reglamentos internos del programa en base a los objetivos.</v>
      </c>
      <c r="K1154" s="71">
        <f ca="1">IFERROR(__xludf.DUMMYFUNCTION("""COMPUTED_VALUE"""),161635246)</f>
        <v>161635246</v>
      </c>
      <c r="L1154" s="72">
        <f ca="1">IFERROR(__xludf.DUMMYFUNCTION("""COMPUTED_VALUE"""),1)</f>
        <v>1</v>
      </c>
      <c r="M1154" s="10" t="str">
        <f ca="1">IFERROR(__xludf.DUMMYFUNCTION("""COMPUTED_VALUE"""),"E23350/2024")</f>
        <v>E23350/2024</v>
      </c>
      <c r="N1154" s="10" t="str">
        <f ca="1">IFERROR(__xludf.DUMMYFUNCTION("""COMPUTED_VALUE"""),"PMU")</f>
        <v>PMU</v>
      </c>
      <c r="O1154" s="1"/>
      <c r="P1154" s="1"/>
      <c r="Q1154" s="1"/>
      <c r="R1154" s="1"/>
      <c r="S1154" s="1"/>
      <c r="T1154" s="1"/>
      <c r="U1154" s="1"/>
      <c r="V1154" s="1"/>
      <c r="W1154" s="1"/>
      <c r="X1154" s="1"/>
      <c r="Y1154" s="1"/>
      <c r="Z1154" s="1"/>
    </row>
    <row r="1155" spans="1:26" ht="12.75" customHeight="1">
      <c r="A1155" s="1"/>
      <c r="B1155" s="10" t="str">
        <f ca="1">IFERROR(__xludf.DUMMYFUNCTION("""COMPUTED_VALUE"""),"MEJORAMIENTO ACERA PONIENTE AV. RECOLETA ENTRE CALLES PARGUA Y GUILLERMO SUBIABRE")</f>
        <v>MEJORAMIENTO ACERA PONIENTE AV. RECOLETA ENTRE CALLES PARGUA Y GUILLERMO SUBIABRE</v>
      </c>
      <c r="C1155" s="10" t="str">
        <f ca="1">IFERROR(__xludf.DUMMYFUNCTION("""COMPUTED_VALUE"""),"1-B-2024-118")</f>
        <v>1-B-2024-118</v>
      </c>
      <c r="D1155" s="26"/>
      <c r="E1155" s="10" t="str">
        <f ca="1">IFERROR(__xludf.DUMMYFUNCTION("""COMPUTED_VALUE"""),"Guía Operativa")</f>
        <v>Guía Operativa</v>
      </c>
      <c r="F1155" s="10" t="str">
        <f ca="1">IFERROR(__xludf.DUMMYFUNCTION("""COMPUTED_VALUE"""),"MUNICIPALIDAD DE HUECHURABA")</f>
        <v>MUNICIPALIDAD DE HUECHURABA</v>
      </c>
      <c r="G1155" s="71">
        <f ca="1">IFERROR(__xludf.DUMMYFUNCTION("""COMPUTED_VALUE"""),156484610)</f>
        <v>156484610</v>
      </c>
      <c r="H1155" s="10" t="str">
        <f ca="1">IFERROR(__xludf.DUMMYFUNCTION("""COMPUTED_VALUE"""),"Resolución")</f>
        <v>Resolución</v>
      </c>
      <c r="I1155" s="10" t="str">
        <f ca="1">IFERROR(__xludf.DUMMYFUNCTION("""COMPUTED_VALUE"""),"OBRA")</f>
        <v>OBRA</v>
      </c>
      <c r="J1155" s="10" t="str">
        <f ca="1">IFERROR(__xludf.DUMMYFUNCTION("""COMPUTED_VALUE"""),"Cumplir con normativa y reglamentos internos del programa en base a los objetivos.")</f>
        <v>Cumplir con normativa y reglamentos internos del programa en base a los objetivos.</v>
      </c>
      <c r="K1155" s="71">
        <f ca="1">IFERROR(__xludf.DUMMYFUNCTION("""COMPUTED_VALUE"""),156484610)</f>
        <v>156484610</v>
      </c>
      <c r="L1155" s="72">
        <f ca="1">IFERROR(__xludf.DUMMYFUNCTION("""COMPUTED_VALUE"""),1)</f>
        <v>1</v>
      </c>
      <c r="M1155" s="10" t="str">
        <f ca="1">IFERROR(__xludf.DUMMYFUNCTION("""COMPUTED_VALUE"""),"E23346/2024")</f>
        <v>E23346/2024</v>
      </c>
      <c r="N1155" s="10" t="str">
        <f ca="1">IFERROR(__xludf.DUMMYFUNCTION("""COMPUTED_VALUE"""),"PMU")</f>
        <v>PMU</v>
      </c>
      <c r="O1155" s="1"/>
      <c r="P1155" s="1"/>
      <c r="Q1155" s="1"/>
      <c r="R1155" s="1"/>
      <c r="S1155" s="1"/>
      <c r="T1155" s="1"/>
      <c r="U1155" s="1"/>
      <c r="V1155" s="1"/>
      <c r="W1155" s="1"/>
      <c r="X1155" s="1"/>
      <c r="Y1155" s="1"/>
      <c r="Z1155" s="1"/>
    </row>
    <row r="1156" spans="1:26" ht="12.75" customHeight="1">
      <c r="A1156" s="1"/>
      <c r="B1156" s="10" t="str">
        <f ca="1">IFERROR(__xludf.DUMMYFUNCTION("""COMPUTED_VALUE"""),"INSTALACIÓN DE ILUMINACIÓN EN DIVERSAS ÁREAS VERDES, COMUNA DE PAINE")</f>
        <v>INSTALACIÓN DE ILUMINACIÓN EN DIVERSAS ÁREAS VERDES, COMUNA DE PAINE</v>
      </c>
      <c r="C1156" s="10" t="str">
        <f ca="1">IFERROR(__xludf.DUMMYFUNCTION("""COMPUTED_VALUE"""),"1-B-2024-166")</f>
        <v>1-B-2024-166</v>
      </c>
      <c r="D1156" s="26"/>
      <c r="E1156" s="10" t="str">
        <f ca="1">IFERROR(__xludf.DUMMYFUNCTION("""COMPUTED_VALUE"""),"Guía Operativa")</f>
        <v>Guía Operativa</v>
      </c>
      <c r="F1156" s="10" t="str">
        <f ca="1">IFERROR(__xludf.DUMMYFUNCTION("""COMPUTED_VALUE"""),"MUNICIPALIDAD DE PAINE")</f>
        <v>MUNICIPALIDAD DE PAINE</v>
      </c>
      <c r="G1156" s="71">
        <f ca="1">IFERROR(__xludf.DUMMYFUNCTION("""COMPUTED_VALUE"""),77300253)</f>
        <v>77300253</v>
      </c>
      <c r="H1156" s="10" t="str">
        <f ca="1">IFERROR(__xludf.DUMMYFUNCTION("""COMPUTED_VALUE"""),"Resolución")</f>
        <v>Resolución</v>
      </c>
      <c r="I1156" s="10" t="str">
        <f ca="1">IFERROR(__xludf.DUMMYFUNCTION("""COMPUTED_VALUE"""),"OBRA")</f>
        <v>OBRA</v>
      </c>
      <c r="J1156" s="10" t="str">
        <f ca="1">IFERROR(__xludf.DUMMYFUNCTION("""COMPUTED_VALUE"""),"Cumplir con normativa y reglamentos internos del programa en base a los objetivos.")</f>
        <v>Cumplir con normativa y reglamentos internos del programa en base a los objetivos.</v>
      </c>
      <c r="K1156" s="71">
        <f ca="1">IFERROR(__xludf.DUMMYFUNCTION("""COMPUTED_VALUE"""),77300253)</f>
        <v>77300253</v>
      </c>
      <c r="L1156" s="72">
        <f ca="1">IFERROR(__xludf.DUMMYFUNCTION("""COMPUTED_VALUE"""),1)</f>
        <v>1</v>
      </c>
      <c r="M1156" s="10" t="str">
        <f ca="1">IFERROR(__xludf.DUMMYFUNCTION("""COMPUTED_VALUE"""),"E22845/2024")</f>
        <v>E22845/2024</v>
      </c>
      <c r="N1156" s="10" t="str">
        <f ca="1">IFERROR(__xludf.DUMMYFUNCTION("""COMPUTED_VALUE"""),"PMU")</f>
        <v>PMU</v>
      </c>
      <c r="O1156" s="1"/>
      <c r="P1156" s="1"/>
      <c r="Q1156" s="1"/>
      <c r="R1156" s="1"/>
      <c r="S1156" s="1"/>
      <c r="T1156" s="1"/>
      <c r="U1156" s="1"/>
      <c r="V1156" s="1"/>
      <c r="W1156" s="1"/>
      <c r="X1156" s="1"/>
      <c r="Y1156" s="1"/>
      <c r="Z1156" s="1"/>
    </row>
    <row r="1157" spans="1:26" ht="12.75" customHeight="1">
      <c r="A1157" s="1"/>
      <c r="B1157" s="10" t="str">
        <f ca="1">IFERROR(__xludf.DUMMYFUNCTION("""COMPUTED_VALUE"""),"REPOSICIÓN MULTICANCHA 1, CONJUNTO HABITACIONAL EDUARDO ANGUITA III")</f>
        <v>REPOSICIÓN MULTICANCHA 1, CONJUNTO HABITACIONAL EDUARDO ANGUITA III</v>
      </c>
      <c r="C1157" s="10" t="str">
        <f ca="1">IFERROR(__xludf.DUMMYFUNCTION("""COMPUTED_VALUE"""),"1-B-2024-168")</f>
        <v>1-B-2024-168</v>
      </c>
      <c r="D1157" s="26"/>
      <c r="E1157" s="10" t="str">
        <f ca="1">IFERROR(__xludf.DUMMYFUNCTION("""COMPUTED_VALUE"""),"Guía Operativa")</f>
        <v>Guía Operativa</v>
      </c>
      <c r="F1157" s="10" t="str">
        <f ca="1">IFERROR(__xludf.DUMMYFUNCTION("""COMPUTED_VALUE"""),"MUNICIPALIDAD DE SAN BERNARDO")</f>
        <v>MUNICIPALIDAD DE SAN BERNARDO</v>
      </c>
      <c r="G1157" s="71">
        <f ca="1">IFERROR(__xludf.DUMMYFUNCTION("""COMPUTED_VALUE"""),63494396)</f>
        <v>63494396</v>
      </c>
      <c r="H1157" s="10" t="str">
        <f ca="1">IFERROR(__xludf.DUMMYFUNCTION("""COMPUTED_VALUE"""),"Resolución")</f>
        <v>Resolución</v>
      </c>
      <c r="I1157" s="10" t="str">
        <f ca="1">IFERROR(__xludf.DUMMYFUNCTION("""COMPUTED_VALUE"""),"OBRA")</f>
        <v>OBRA</v>
      </c>
      <c r="J1157" s="10" t="str">
        <f ca="1">IFERROR(__xludf.DUMMYFUNCTION("""COMPUTED_VALUE"""),"Cumplir con normativa y reglamentos internos del programa en base a los objetivos.")</f>
        <v>Cumplir con normativa y reglamentos internos del programa en base a los objetivos.</v>
      </c>
      <c r="K1157" s="71">
        <f ca="1">IFERROR(__xludf.DUMMYFUNCTION("""COMPUTED_VALUE"""),63494396)</f>
        <v>63494396</v>
      </c>
      <c r="L1157" s="72">
        <f ca="1">IFERROR(__xludf.DUMMYFUNCTION("""COMPUTED_VALUE"""),1)</f>
        <v>1</v>
      </c>
      <c r="M1157" s="10" t="str">
        <f ca="1">IFERROR(__xludf.DUMMYFUNCTION("""COMPUTED_VALUE"""),"E22911/2024")</f>
        <v>E22911/2024</v>
      </c>
      <c r="N1157" s="10" t="str">
        <f ca="1">IFERROR(__xludf.DUMMYFUNCTION("""COMPUTED_VALUE"""),"PMU")</f>
        <v>PMU</v>
      </c>
      <c r="O1157" s="1"/>
      <c r="P1157" s="1"/>
      <c r="Q1157" s="1"/>
      <c r="R1157" s="1"/>
      <c r="S1157" s="1"/>
      <c r="T1157" s="1"/>
      <c r="U1157" s="1"/>
      <c r="V1157" s="1"/>
      <c r="W1157" s="1"/>
      <c r="X1157" s="1"/>
      <c r="Y1157" s="1"/>
      <c r="Z1157" s="1"/>
    </row>
    <row r="1158" spans="1:26" ht="12.75" customHeight="1">
      <c r="A1158" s="1"/>
      <c r="B1158" s="10" t="str">
        <f ca="1">IFERROR(__xludf.DUMMYFUNCTION("""COMPUTED_VALUE"""),"MEJORAMIENTO DE VEREDAS CALLE LAS PETUNIAS, COMUNA DE HUECHURABA")</f>
        <v>MEJORAMIENTO DE VEREDAS CALLE LAS PETUNIAS, COMUNA DE HUECHURABA</v>
      </c>
      <c r="C1158" s="10" t="str">
        <f ca="1">IFERROR(__xludf.DUMMYFUNCTION("""COMPUTED_VALUE"""),"1-B-2024-177")</f>
        <v>1-B-2024-177</v>
      </c>
      <c r="D1158" s="26"/>
      <c r="E1158" s="10" t="str">
        <f ca="1">IFERROR(__xludf.DUMMYFUNCTION("""COMPUTED_VALUE"""),"Guía Operativa")</f>
        <v>Guía Operativa</v>
      </c>
      <c r="F1158" s="10" t="str">
        <f ca="1">IFERROR(__xludf.DUMMYFUNCTION("""COMPUTED_VALUE"""),"MUNICIPALIDAD DE HUECHURABA")</f>
        <v>MUNICIPALIDAD DE HUECHURABA</v>
      </c>
      <c r="G1158" s="71">
        <f ca="1">IFERROR(__xludf.DUMMYFUNCTION("""COMPUTED_VALUE"""),40980209)</f>
        <v>40980209</v>
      </c>
      <c r="H1158" s="10" t="str">
        <f ca="1">IFERROR(__xludf.DUMMYFUNCTION("""COMPUTED_VALUE"""),"Resolución")</f>
        <v>Resolución</v>
      </c>
      <c r="I1158" s="10" t="str">
        <f ca="1">IFERROR(__xludf.DUMMYFUNCTION("""COMPUTED_VALUE"""),"OBRA")</f>
        <v>OBRA</v>
      </c>
      <c r="J1158" s="10" t="str">
        <f ca="1">IFERROR(__xludf.DUMMYFUNCTION("""COMPUTED_VALUE"""),"Cumplir con normativa y reglamentos internos del programa en base a los objetivos.")</f>
        <v>Cumplir con normativa y reglamentos internos del programa en base a los objetivos.</v>
      </c>
      <c r="K1158" s="71">
        <f ca="1">IFERROR(__xludf.DUMMYFUNCTION("""COMPUTED_VALUE"""),40980209)</f>
        <v>40980209</v>
      </c>
      <c r="L1158" s="72">
        <f ca="1">IFERROR(__xludf.DUMMYFUNCTION("""COMPUTED_VALUE"""),1)</f>
        <v>1</v>
      </c>
      <c r="M1158" s="10">
        <f ca="1">IFERROR(__xludf.DUMMYFUNCTION("""COMPUTED_VALUE"""),11408)</f>
        <v>11408</v>
      </c>
      <c r="N1158" s="10" t="str">
        <f ca="1">IFERROR(__xludf.DUMMYFUNCTION("""COMPUTED_VALUE"""),"PMU")</f>
        <v>PMU</v>
      </c>
      <c r="O1158" s="1"/>
      <c r="P1158" s="1"/>
      <c r="Q1158" s="1"/>
      <c r="R1158" s="1"/>
      <c r="S1158" s="1"/>
      <c r="T1158" s="1"/>
      <c r="U1158" s="1"/>
      <c r="V1158" s="1"/>
      <c r="W1158" s="1"/>
      <c r="X1158" s="1"/>
      <c r="Y1158" s="1"/>
      <c r="Z1158" s="1"/>
    </row>
    <row r="1159" spans="1:26" ht="12.75" customHeight="1">
      <c r="A1159" s="1"/>
      <c r="B1159" s="10" t="str">
        <f ca="1">IFERROR(__xludf.DUMMYFUNCTION("""COMPUTED_VALUE"""),"MEJORAMIENTO ESPACIO PÚBLICO SECTOR PLAZA SAN ALBERTO, COMUNA DE COLINA")</f>
        <v>MEJORAMIENTO ESPACIO PÚBLICO SECTOR PLAZA SAN ALBERTO, COMUNA DE COLINA</v>
      </c>
      <c r="C1159" s="10" t="str">
        <f ca="1">IFERROR(__xludf.DUMMYFUNCTION("""COMPUTED_VALUE"""),"1-B-2024-192")</f>
        <v>1-B-2024-192</v>
      </c>
      <c r="D1159" s="26"/>
      <c r="E1159" s="10" t="str">
        <f ca="1">IFERROR(__xludf.DUMMYFUNCTION("""COMPUTED_VALUE"""),"Guía Operativa")</f>
        <v>Guía Operativa</v>
      </c>
      <c r="F1159" s="10" t="str">
        <f ca="1">IFERROR(__xludf.DUMMYFUNCTION("""COMPUTED_VALUE"""),"MUNICIPALIDAD DE COLINA")</f>
        <v>MUNICIPALIDAD DE COLINA</v>
      </c>
      <c r="G1159" s="71">
        <f ca="1">IFERROR(__xludf.DUMMYFUNCTION("""COMPUTED_VALUE"""),152595965)</f>
        <v>152595965</v>
      </c>
      <c r="H1159" s="10" t="str">
        <f ca="1">IFERROR(__xludf.DUMMYFUNCTION("""COMPUTED_VALUE"""),"Resolución")</f>
        <v>Resolución</v>
      </c>
      <c r="I1159" s="10" t="str">
        <f ca="1">IFERROR(__xludf.DUMMYFUNCTION("""COMPUTED_VALUE"""),"OBRA")</f>
        <v>OBRA</v>
      </c>
      <c r="J1159" s="10" t="str">
        <f ca="1">IFERROR(__xludf.DUMMYFUNCTION("""COMPUTED_VALUE"""),"Cumplir con normativa y reglamentos internos del programa en base a los objetivos.")</f>
        <v>Cumplir con normativa y reglamentos internos del programa en base a los objetivos.</v>
      </c>
      <c r="K1159" s="71">
        <f ca="1">IFERROR(__xludf.DUMMYFUNCTION("""COMPUTED_VALUE"""),152595965)</f>
        <v>152595965</v>
      </c>
      <c r="L1159" s="72">
        <f ca="1">IFERROR(__xludf.DUMMYFUNCTION("""COMPUTED_VALUE"""),1)</f>
        <v>1</v>
      </c>
      <c r="M1159" s="10">
        <f ca="1">IFERROR(__xludf.DUMMYFUNCTION("""COMPUTED_VALUE"""),11365)</f>
        <v>11365</v>
      </c>
      <c r="N1159" s="10" t="str">
        <f ca="1">IFERROR(__xludf.DUMMYFUNCTION("""COMPUTED_VALUE"""),"PMU")</f>
        <v>PMU</v>
      </c>
      <c r="O1159" s="1"/>
      <c r="P1159" s="1"/>
      <c r="Q1159" s="1"/>
      <c r="R1159" s="1"/>
      <c r="S1159" s="1"/>
      <c r="T1159" s="1"/>
      <c r="U1159" s="1"/>
      <c r="V1159" s="1"/>
      <c r="W1159" s="1"/>
      <c r="X1159" s="1"/>
      <c r="Y1159" s="1"/>
      <c r="Z1159" s="1"/>
    </row>
    <row r="1160" spans="1:26" ht="12.75" customHeight="1">
      <c r="A1160" s="1"/>
      <c r="B1160" s="10" t="str">
        <f ca="1">IFERROR(__xludf.DUMMYFUNCTION("""COMPUTED_VALUE"""),"MEJORAMIENTO DE PLAZA RIO BAKER COMUNA DE CERRO NAVIA")</f>
        <v>MEJORAMIENTO DE PLAZA RIO BAKER COMUNA DE CERRO NAVIA</v>
      </c>
      <c r="C1160" s="10" t="str">
        <f ca="1">IFERROR(__xludf.DUMMYFUNCTION("""COMPUTED_VALUE"""),"1-B-2024-241")</f>
        <v>1-B-2024-241</v>
      </c>
      <c r="D1160" s="26"/>
      <c r="E1160" s="10" t="str">
        <f ca="1">IFERROR(__xludf.DUMMYFUNCTION("""COMPUTED_VALUE"""),"Guía Operativa")</f>
        <v>Guía Operativa</v>
      </c>
      <c r="F1160" s="10" t="str">
        <f ca="1">IFERROR(__xludf.DUMMYFUNCTION("""COMPUTED_VALUE"""),"MUNICIPALIDAD DE CERRO NAVIA")</f>
        <v>MUNICIPALIDAD DE CERRO NAVIA</v>
      </c>
      <c r="G1160" s="71">
        <f ca="1">IFERROR(__xludf.DUMMYFUNCTION("""COMPUTED_VALUE"""),125000000)</f>
        <v>125000000</v>
      </c>
      <c r="H1160" s="10" t="str">
        <f ca="1">IFERROR(__xludf.DUMMYFUNCTION("""COMPUTED_VALUE"""),"Resolución")</f>
        <v>Resolución</v>
      </c>
      <c r="I1160" s="10" t="str">
        <f ca="1">IFERROR(__xludf.DUMMYFUNCTION("""COMPUTED_VALUE"""),"OBRA")</f>
        <v>OBRA</v>
      </c>
      <c r="J1160" s="10" t="str">
        <f ca="1">IFERROR(__xludf.DUMMYFUNCTION("""COMPUTED_VALUE"""),"Cumplir con normativa y reglamentos internos del programa en base a los objetivos.")</f>
        <v>Cumplir con normativa y reglamentos internos del programa en base a los objetivos.</v>
      </c>
      <c r="K1160" s="71">
        <f ca="1">IFERROR(__xludf.DUMMYFUNCTION("""COMPUTED_VALUE"""),125000000)</f>
        <v>125000000</v>
      </c>
      <c r="L1160" s="72">
        <f ca="1">IFERROR(__xludf.DUMMYFUNCTION("""COMPUTED_VALUE"""),1)</f>
        <v>1</v>
      </c>
      <c r="M1160" s="10">
        <f ca="1">IFERROR(__xludf.DUMMYFUNCTION("""COMPUTED_VALUE"""),11411)</f>
        <v>11411</v>
      </c>
      <c r="N1160" s="10" t="str">
        <f ca="1">IFERROR(__xludf.DUMMYFUNCTION("""COMPUTED_VALUE"""),"PMU")</f>
        <v>PMU</v>
      </c>
      <c r="O1160" s="1"/>
      <c r="P1160" s="1"/>
      <c r="Q1160" s="1"/>
      <c r="R1160" s="1"/>
      <c r="S1160" s="1"/>
      <c r="T1160" s="1"/>
      <c r="U1160" s="1"/>
      <c r="V1160" s="1"/>
      <c r="W1160" s="1"/>
      <c r="X1160" s="1"/>
      <c r="Y1160" s="1"/>
      <c r="Z1160" s="1"/>
    </row>
    <row r="1161" spans="1:26" ht="12.75" customHeight="1">
      <c r="A1161" s="1"/>
      <c r="B1161" s="10" t="str">
        <f ca="1">IFERROR(__xludf.DUMMYFUNCTION("""COMPUTED_VALUE"""),"CONSTRUCCIÓN DE ILUMINACIÓN PEATONAL JOSÉ MANUEL BALMACEDA")</f>
        <v>CONSTRUCCIÓN DE ILUMINACIÓN PEATONAL JOSÉ MANUEL BALMACEDA</v>
      </c>
      <c r="C1161" s="10" t="str">
        <f ca="1">IFERROR(__xludf.DUMMYFUNCTION("""COMPUTED_VALUE"""),"1-B-2024-248")</f>
        <v>1-B-2024-248</v>
      </c>
      <c r="D1161" s="26"/>
      <c r="E1161" s="10" t="str">
        <f ca="1">IFERROR(__xludf.DUMMYFUNCTION("""COMPUTED_VALUE"""),"Guía Operativa")</f>
        <v>Guía Operativa</v>
      </c>
      <c r="F1161" s="10" t="str">
        <f ca="1">IFERROR(__xludf.DUMMYFUNCTION("""COMPUTED_VALUE"""),"MUNICIPALIDAD DE RENCA")</f>
        <v>MUNICIPALIDAD DE RENCA</v>
      </c>
      <c r="G1161" s="71">
        <f ca="1">IFERROR(__xludf.DUMMYFUNCTION("""COMPUTED_VALUE"""),82289462)</f>
        <v>82289462</v>
      </c>
      <c r="H1161" s="10" t="str">
        <f ca="1">IFERROR(__xludf.DUMMYFUNCTION("""COMPUTED_VALUE"""),"Resolución")</f>
        <v>Resolución</v>
      </c>
      <c r="I1161" s="10" t="str">
        <f ca="1">IFERROR(__xludf.DUMMYFUNCTION("""COMPUTED_VALUE"""),"OBRA")</f>
        <v>OBRA</v>
      </c>
      <c r="J1161" s="10" t="str">
        <f ca="1">IFERROR(__xludf.DUMMYFUNCTION("""COMPUTED_VALUE"""),"Cumplir con normativa y reglamentos internos del programa en base a los objetivos.")</f>
        <v>Cumplir con normativa y reglamentos internos del programa en base a los objetivos.</v>
      </c>
      <c r="K1161" s="71">
        <f ca="1">IFERROR(__xludf.DUMMYFUNCTION("""COMPUTED_VALUE"""),82289462)</f>
        <v>82289462</v>
      </c>
      <c r="L1161" s="72">
        <f ca="1">IFERROR(__xludf.DUMMYFUNCTION("""COMPUTED_VALUE"""),1)</f>
        <v>1</v>
      </c>
      <c r="M1161" s="10" t="str">
        <f ca="1">IFERROR(__xludf.DUMMYFUNCTION("""COMPUTED_VALUE"""),"E23387/2024")</f>
        <v>E23387/2024</v>
      </c>
      <c r="N1161" s="10" t="str">
        <f ca="1">IFERROR(__xludf.DUMMYFUNCTION("""COMPUTED_VALUE"""),"PMU")</f>
        <v>PMU</v>
      </c>
      <c r="O1161" s="1"/>
      <c r="P1161" s="1"/>
      <c r="Q1161" s="1"/>
      <c r="R1161" s="1"/>
      <c r="S1161" s="1"/>
      <c r="T1161" s="1"/>
      <c r="U1161" s="1"/>
      <c r="V1161" s="1"/>
      <c r="W1161" s="1"/>
      <c r="X1161" s="1"/>
      <c r="Y1161" s="1"/>
      <c r="Z1161" s="1"/>
    </row>
    <row r="1162" spans="1:26" ht="12.75" customHeight="1">
      <c r="A1162" s="1"/>
      <c r="B1162" s="10" t="str">
        <f ca="1">IFERROR(__xludf.DUMMYFUNCTION("""COMPUTED_VALUE"""),"MEJORAMIENTO INTEGRAL DE MULTICANCHAS, COMUNA DE PUDAHUEL")</f>
        <v>MEJORAMIENTO INTEGRAL DE MULTICANCHAS, COMUNA DE PUDAHUEL</v>
      </c>
      <c r="C1162" s="10" t="str">
        <f ca="1">IFERROR(__xludf.DUMMYFUNCTION("""COMPUTED_VALUE"""),"1-B-2024-257")</f>
        <v>1-B-2024-257</v>
      </c>
      <c r="D1162" s="26"/>
      <c r="E1162" s="10" t="str">
        <f ca="1">IFERROR(__xludf.DUMMYFUNCTION("""COMPUTED_VALUE"""),"Guía Operativa")</f>
        <v>Guía Operativa</v>
      </c>
      <c r="F1162" s="10" t="str">
        <f ca="1">IFERROR(__xludf.DUMMYFUNCTION("""COMPUTED_VALUE"""),"MUNICIPALIDAD DE PUDAHUEL")</f>
        <v>MUNICIPALIDAD DE PUDAHUEL</v>
      </c>
      <c r="G1162" s="71">
        <f ca="1">IFERROR(__xludf.DUMMYFUNCTION("""COMPUTED_VALUE"""),160062606)</f>
        <v>160062606</v>
      </c>
      <c r="H1162" s="10" t="str">
        <f ca="1">IFERROR(__xludf.DUMMYFUNCTION("""COMPUTED_VALUE"""),"Resolución")</f>
        <v>Resolución</v>
      </c>
      <c r="I1162" s="10" t="str">
        <f ca="1">IFERROR(__xludf.DUMMYFUNCTION("""COMPUTED_VALUE"""),"OBRA")</f>
        <v>OBRA</v>
      </c>
      <c r="J1162" s="10" t="str">
        <f ca="1">IFERROR(__xludf.DUMMYFUNCTION("""COMPUTED_VALUE"""),"Cumplir con normativa y reglamentos internos del programa en base a los objetivos.")</f>
        <v>Cumplir con normativa y reglamentos internos del programa en base a los objetivos.</v>
      </c>
      <c r="K1162" s="71">
        <f ca="1">IFERROR(__xludf.DUMMYFUNCTION("""COMPUTED_VALUE"""),160062606)</f>
        <v>160062606</v>
      </c>
      <c r="L1162" s="72">
        <f ca="1">IFERROR(__xludf.DUMMYFUNCTION("""COMPUTED_VALUE"""),1)</f>
        <v>1</v>
      </c>
      <c r="M1162" s="10">
        <f ca="1">IFERROR(__xludf.DUMMYFUNCTION("""COMPUTED_VALUE"""),11412)</f>
        <v>11412</v>
      </c>
      <c r="N1162" s="10" t="str">
        <f ca="1">IFERROR(__xludf.DUMMYFUNCTION("""COMPUTED_VALUE"""),"PMU")</f>
        <v>PMU</v>
      </c>
      <c r="O1162" s="1"/>
      <c r="P1162" s="1"/>
      <c r="Q1162" s="1"/>
      <c r="R1162" s="1"/>
      <c r="S1162" s="1"/>
      <c r="T1162" s="1"/>
      <c r="U1162" s="1"/>
      <c r="V1162" s="1"/>
      <c r="W1162" s="1"/>
      <c r="X1162" s="1"/>
      <c r="Y1162" s="1"/>
      <c r="Z1162" s="1"/>
    </row>
    <row r="1163" spans="1:26" ht="12.75" customHeight="1">
      <c r="A1163" s="1"/>
      <c r="B1163" s="10" t="str">
        <f ca="1">IFERROR(__xludf.DUMMYFUNCTION("""COMPUTED_VALUE"""),"CONSTRUCCIÓN SEDE SOCIAL VILLA ESPERANZA")</f>
        <v>CONSTRUCCIÓN SEDE SOCIAL VILLA ESPERANZA</v>
      </c>
      <c r="C1163" s="10" t="str">
        <f ca="1">IFERROR(__xludf.DUMMYFUNCTION("""COMPUTED_VALUE"""),"1-B-2024-265")</f>
        <v>1-B-2024-265</v>
      </c>
      <c r="D1163" s="26"/>
      <c r="E1163" s="10" t="str">
        <f ca="1">IFERROR(__xludf.DUMMYFUNCTION("""COMPUTED_VALUE"""),"Guía Operativa")</f>
        <v>Guía Operativa</v>
      </c>
      <c r="F1163" s="10" t="str">
        <f ca="1">IFERROR(__xludf.DUMMYFUNCTION("""COMPUTED_VALUE"""),"MUNICIPALIDAD DE CERRO NAVIA")</f>
        <v>MUNICIPALIDAD DE CERRO NAVIA</v>
      </c>
      <c r="G1163" s="71">
        <f ca="1">IFERROR(__xludf.DUMMYFUNCTION("""COMPUTED_VALUE"""),124883153)</f>
        <v>124883153</v>
      </c>
      <c r="H1163" s="10" t="str">
        <f ca="1">IFERROR(__xludf.DUMMYFUNCTION("""COMPUTED_VALUE"""),"Resolución")</f>
        <v>Resolución</v>
      </c>
      <c r="I1163" s="10" t="str">
        <f ca="1">IFERROR(__xludf.DUMMYFUNCTION("""COMPUTED_VALUE"""),"OBRA")</f>
        <v>OBRA</v>
      </c>
      <c r="J1163" s="10" t="str">
        <f ca="1">IFERROR(__xludf.DUMMYFUNCTION("""COMPUTED_VALUE"""),"Cumplir con normativa y reglamentos internos del programa en base a los objetivos.")</f>
        <v>Cumplir con normativa y reglamentos internos del programa en base a los objetivos.</v>
      </c>
      <c r="K1163" s="71">
        <f ca="1">IFERROR(__xludf.DUMMYFUNCTION("""COMPUTED_VALUE"""),124883153)</f>
        <v>124883153</v>
      </c>
      <c r="L1163" s="72">
        <f ca="1">IFERROR(__xludf.DUMMYFUNCTION("""COMPUTED_VALUE"""),1)</f>
        <v>1</v>
      </c>
      <c r="M1163" s="10" t="str">
        <f ca="1">IFERROR(__xludf.DUMMYFUNCTION("""COMPUTED_VALUE"""),"E22905/2024")</f>
        <v>E22905/2024</v>
      </c>
      <c r="N1163" s="10" t="str">
        <f ca="1">IFERROR(__xludf.DUMMYFUNCTION("""COMPUTED_VALUE"""),"PMU")</f>
        <v>PMU</v>
      </c>
      <c r="O1163" s="1"/>
      <c r="P1163" s="1"/>
      <c r="Q1163" s="1"/>
      <c r="R1163" s="1"/>
      <c r="S1163" s="1"/>
      <c r="T1163" s="1"/>
      <c r="U1163" s="1"/>
      <c r="V1163" s="1"/>
      <c r="W1163" s="1"/>
      <c r="X1163" s="1"/>
      <c r="Y1163" s="1"/>
      <c r="Z1163" s="1"/>
    </row>
    <row r="1164" spans="1:26" ht="12.75" customHeight="1">
      <c r="A1164" s="1"/>
      <c r="B1164" s="10" t="str">
        <f ca="1">IFERROR(__xludf.DUMMYFUNCTION("""COMPUTED_VALUE"""),"CONSTRUCCION DE DOS MULTICANCHAS EN GIMNASIO ALBERTO GONZALEZ GODOY, COMUNA DE MELIPILLA")</f>
        <v>CONSTRUCCION DE DOS MULTICANCHAS EN GIMNASIO ALBERTO GONZALEZ GODOY, COMUNA DE MELIPILLA</v>
      </c>
      <c r="C1164" s="10" t="str">
        <f ca="1">IFERROR(__xludf.DUMMYFUNCTION("""COMPUTED_VALUE"""),"1-B-2024-277")</f>
        <v>1-B-2024-277</v>
      </c>
      <c r="D1164" s="26"/>
      <c r="E1164" s="10" t="str">
        <f ca="1">IFERROR(__xludf.DUMMYFUNCTION("""COMPUTED_VALUE"""),"Guía Operativa")</f>
        <v>Guía Operativa</v>
      </c>
      <c r="F1164" s="10" t="str">
        <f ca="1">IFERROR(__xludf.DUMMYFUNCTION("""COMPUTED_VALUE"""),"MUNICIPALIDAD DE MELIPILLA")</f>
        <v>MUNICIPALIDAD DE MELIPILLA</v>
      </c>
      <c r="G1164" s="71">
        <f ca="1">IFERROR(__xludf.DUMMYFUNCTION("""COMPUTED_VALUE"""),153511353)</f>
        <v>153511353</v>
      </c>
      <c r="H1164" s="10" t="str">
        <f ca="1">IFERROR(__xludf.DUMMYFUNCTION("""COMPUTED_VALUE"""),"Resolución")</f>
        <v>Resolución</v>
      </c>
      <c r="I1164" s="10" t="str">
        <f ca="1">IFERROR(__xludf.DUMMYFUNCTION("""COMPUTED_VALUE"""),"OBRA")</f>
        <v>OBRA</v>
      </c>
      <c r="J1164" s="10" t="str">
        <f ca="1">IFERROR(__xludf.DUMMYFUNCTION("""COMPUTED_VALUE"""),"Cumplir con normativa y reglamentos internos del programa en base a los objetivos.")</f>
        <v>Cumplir con normativa y reglamentos internos del programa en base a los objetivos.</v>
      </c>
      <c r="K1164" s="71">
        <f ca="1">IFERROR(__xludf.DUMMYFUNCTION("""COMPUTED_VALUE"""),153511353)</f>
        <v>153511353</v>
      </c>
      <c r="L1164" s="72">
        <f ca="1">IFERROR(__xludf.DUMMYFUNCTION("""COMPUTED_VALUE"""),1)</f>
        <v>1</v>
      </c>
      <c r="M1164" s="10">
        <f ca="1">IFERROR(__xludf.DUMMYFUNCTION("""COMPUTED_VALUE"""),11686)</f>
        <v>11686</v>
      </c>
      <c r="N1164" s="10" t="str">
        <f ca="1">IFERROR(__xludf.DUMMYFUNCTION("""COMPUTED_VALUE"""),"PMU")</f>
        <v>PMU</v>
      </c>
      <c r="O1164" s="1"/>
      <c r="P1164" s="1"/>
      <c r="Q1164" s="1"/>
      <c r="R1164" s="1"/>
      <c r="S1164" s="1"/>
      <c r="T1164" s="1"/>
      <c r="U1164" s="1"/>
      <c r="V1164" s="1"/>
      <c r="W1164" s="1"/>
      <c r="X1164" s="1"/>
      <c r="Y1164" s="1"/>
      <c r="Z1164" s="1"/>
    </row>
    <row r="1165" spans="1:26" ht="12.75" customHeight="1">
      <c r="A1165" s="1"/>
      <c r="B1165" s="10" t="str">
        <f ca="1">IFERROR(__xludf.DUMMYFUNCTION("""COMPUTED_VALUE"""),"REPOSICIÓN DE VEREDAS EJE LOS QUILLAYES ENTRE CONCORDIA Y AV. VICUÑA MACKENNA, COMUNA DE LA FLORIDA")</f>
        <v>REPOSICIÓN DE VEREDAS EJE LOS QUILLAYES ENTRE CONCORDIA Y AV. VICUÑA MACKENNA, COMUNA DE LA FLORIDA</v>
      </c>
      <c r="C1165" s="10" t="str">
        <f ca="1">IFERROR(__xludf.DUMMYFUNCTION("""COMPUTED_VALUE"""),"1-B-2024-292")</f>
        <v>1-B-2024-292</v>
      </c>
      <c r="D1165" s="26"/>
      <c r="E1165" s="10" t="str">
        <f ca="1">IFERROR(__xludf.DUMMYFUNCTION("""COMPUTED_VALUE"""),"Guía Operativa")</f>
        <v>Guía Operativa</v>
      </c>
      <c r="F1165" s="10" t="str">
        <f ca="1">IFERROR(__xludf.DUMMYFUNCTION("""COMPUTED_VALUE"""),"MUNICIPALIDAD DE LA FLORIDA")</f>
        <v>MUNICIPALIDAD DE LA FLORIDA</v>
      </c>
      <c r="G1165" s="71">
        <f ca="1">IFERROR(__xludf.DUMMYFUNCTION("""COMPUTED_VALUE"""),154226443)</f>
        <v>154226443</v>
      </c>
      <c r="H1165" s="10" t="str">
        <f ca="1">IFERROR(__xludf.DUMMYFUNCTION("""COMPUTED_VALUE"""),"Resolución")</f>
        <v>Resolución</v>
      </c>
      <c r="I1165" s="10" t="str">
        <f ca="1">IFERROR(__xludf.DUMMYFUNCTION("""COMPUTED_VALUE"""),"OBRA")</f>
        <v>OBRA</v>
      </c>
      <c r="J1165" s="10" t="str">
        <f ca="1">IFERROR(__xludf.DUMMYFUNCTION("""COMPUTED_VALUE"""),"Cumplir con normativa y reglamentos internos del programa en base a los objetivos.")</f>
        <v>Cumplir con normativa y reglamentos internos del programa en base a los objetivos.</v>
      </c>
      <c r="K1165" s="71">
        <f ca="1">IFERROR(__xludf.DUMMYFUNCTION("""COMPUTED_VALUE"""),154226443)</f>
        <v>154226443</v>
      </c>
      <c r="L1165" s="72">
        <f ca="1">IFERROR(__xludf.DUMMYFUNCTION("""COMPUTED_VALUE"""),1)</f>
        <v>1</v>
      </c>
      <c r="M1165" s="10">
        <f ca="1">IFERROR(__xludf.DUMMYFUNCTION("""COMPUTED_VALUE"""),11420)</f>
        <v>11420</v>
      </c>
      <c r="N1165" s="10" t="str">
        <f ca="1">IFERROR(__xludf.DUMMYFUNCTION("""COMPUTED_VALUE"""),"PMU")</f>
        <v>PMU</v>
      </c>
      <c r="O1165" s="1"/>
      <c r="P1165" s="1"/>
      <c r="Q1165" s="1"/>
      <c r="R1165" s="1"/>
      <c r="S1165" s="1"/>
      <c r="T1165" s="1"/>
      <c r="U1165" s="1"/>
      <c r="V1165" s="1"/>
      <c r="W1165" s="1"/>
      <c r="X1165" s="1"/>
      <c r="Y1165" s="1"/>
      <c r="Z1165" s="1"/>
    </row>
    <row r="1166" spans="1:26" ht="12.75" customHeight="1">
      <c r="A1166" s="1"/>
      <c r="B1166" s="10" t="str">
        <f ca="1">IFERROR(__xludf.DUMMYFUNCTION("""COMPUTED_VALUE"""),"REPOSICIÓN DE VEREDAS CALLES ELISA CORREA VEREDA NORTE Y RUCALIN ENTRE SALVADOR SAN FUENTES Y ELISA CORREA, COMUNA DE LA FLORIDA")</f>
        <v>REPOSICIÓN DE VEREDAS CALLES ELISA CORREA VEREDA NORTE Y RUCALIN ENTRE SALVADOR SAN FUENTES Y ELISA CORREA, COMUNA DE LA FLORIDA</v>
      </c>
      <c r="C1166" s="10" t="str">
        <f ca="1">IFERROR(__xludf.DUMMYFUNCTION("""COMPUTED_VALUE"""),"1-B-2024-297")</f>
        <v>1-B-2024-297</v>
      </c>
      <c r="D1166" s="26"/>
      <c r="E1166" s="10" t="str">
        <f ca="1">IFERROR(__xludf.DUMMYFUNCTION("""COMPUTED_VALUE"""),"Guía Operativa")</f>
        <v>Guía Operativa</v>
      </c>
      <c r="F1166" s="10" t="str">
        <f ca="1">IFERROR(__xludf.DUMMYFUNCTION("""COMPUTED_VALUE"""),"MUNICIPALIDAD DE LA FLORIDA")</f>
        <v>MUNICIPALIDAD DE LA FLORIDA</v>
      </c>
      <c r="G1166" s="71">
        <f ca="1">IFERROR(__xludf.DUMMYFUNCTION("""COMPUTED_VALUE"""),141394555)</f>
        <v>141394555</v>
      </c>
      <c r="H1166" s="10" t="str">
        <f ca="1">IFERROR(__xludf.DUMMYFUNCTION("""COMPUTED_VALUE"""),"Resolución")</f>
        <v>Resolución</v>
      </c>
      <c r="I1166" s="10" t="str">
        <f ca="1">IFERROR(__xludf.DUMMYFUNCTION("""COMPUTED_VALUE"""),"OBRA")</f>
        <v>OBRA</v>
      </c>
      <c r="J1166" s="10" t="str">
        <f ca="1">IFERROR(__xludf.DUMMYFUNCTION("""COMPUTED_VALUE"""),"Cumplir con normativa y reglamentos internos del programa en base a los objetivos.")</f>
        <v>Cumplir con normativa y reglamentos internos del programa en base a los objetivos.</v>
      </c>
      <c r="K1166" s="71">
        <f ca="1">IFERROR(__xludf.DUMMYFUNCTION("""COMPUTED_VALUE"""),141394555)</f>
        <v>141394555</v>
      </c>
      <c r="L1166" s="72">
        <f ca="1">IFERROR(__xludf.DUMMYFUNCTION("""COMPUTED_VALUE"""),1)</f>
        <v>1</v>
      </c>
      <c r="M1166" s="10">
        <f ca="1">IFERROR(__xludf.DUMMYFUNCTION("""COMPUTED_VALUE"""),11420)</f>
        <v>11420</v>
      </c>
      <c r="N1166" s="10" t="str">
        <f ca="1">IFERROR(__xludf.DUMMYFUNCTION("""COMPUTED_VALUE"""),"PMU")</f>
        <v>PMU</v>
      </c>
      <c r="O1166" s="1"/>
      <c r="P1166" s="1"/>
      <c r="Q1166" s="1"/>
      <c r="R1166" s="1"/>
      <c r="S1166" s="1"/>
      <c r="T1166" s="1"/>
      <c r="U1166" s="1"/>
      <c r="V1166" s="1"/>
      <c r="W1166" s="1"/>
      <c r="X1166" s="1"/>
      <c r="Y1166" s="1"/>
      <c r="Z1166" s="1"/>
    </row>
    <row r="1167" spans="1:26" ht="12.75" customHeight="1">
      <c r="A1167" s="1"/>
      <c r="B1167" s="10" t="str">
        <f ca="1">IFERROR(__xludf.DUMMYFUNCTION("""COMPUTED_VALUE"""),"HABILITACIÓN PLAZA EDUCATIVA LA ALBORADA")</f>
        <v>HABILITACIÓN PLAZA EDUCATIVA LA ALBORADA</v>
      </c>
      <c r="C1167" s="10" t="str">
        <f ca="1">IFERROR(__xludf.DUMMYFUNCTION("""COMPUTED_VALUE"""),"1-B-2024-310")</f>
        <v>1-B-2024-310</v>
      </c>
      <c r="D1167" s="26"/>
      <c r="E1167" s="10" t="str">
        <f ca="1">IFERROR(__xludf.DUMMYFUNCTION("""COMPUTED_VALUE"""),"Guía Operativa")</f>
        <v>Guía Operativa</v>
      </c>
      <c r="F1167" s="10" t="str">
        <f ca="1">IFERROR(__xludf.DUMMYFUNCTION("""COMPUTED_VALUE"""),"MUNICIPALIDAD DE RENCA")</f>
        <v>MUNICIPALIDAD DE RENCA</v>
      </c>
      <c r="G1167" s="71">
        <f ca="1">IFERROR(__xludf.DUMMYFUNCTION("""COMPUTED_VALUE"""),160070469)</f>
        <v>160070469</v>
      </c>
      <c r="H1167" s="10" t="str">
        <f ca="1">IFERROR(__xludf.DUMMYFUNCTION("""COMPUTED_VALUE"""),"Resolución")</f>
        <v>Resolución</v>
      </c>
      <c r="I1167" s="10" t="str">
        <f ca="1">IFERROR(__xludf.DUMMYFUNCTION("""COMPUTED_VALUE"""),"OBRA")</f>
        <v>OBRA</v>
      </c>
      <c r="J1167" s="10" t="str">
        <f ca="1">IFERROR(__xludf.DUMMYFUNCTION("""COMPUTED_VALUE"""),"Cumplir con normativa y reglamentos internos del programa en base a los objetivos.")</f>
        <v>Cumplir con normativa y reglamentos internos del programa en base a los objetivos.</v>
      </c>
      <c r="K1167" s="71">
        <f ca="1">IFERROR(__xludf.DUMMYFUNCTION("""COMPUTED_VALUE"""),160070469)</f>
        <v>160070469</v>
      </c>
      <c r="L1167" s="72">
        <f ca="1">IFERROR(__xludf.DUMMYFUNCTION("""COMPUTED_VALUE"""),1)</f>
        <v>1</v>
      </c>
      <c r="M1167" s="10">
        <f ca="1">IFERROR(__xludf.DUMMYFUNCTION("""COMPUTED_VALUE"""),11448)</f>
        <v>11448</v>
      </c>
      <c r="N1167" s="10" t="str">
        <f ca="1">IFERROR(__xludf.DUMMYFUNCTION("""COMPUTED_VALUE"""),"PMU")</f>
        <v>PMU</v>
      </c>
      <c r="O1167" s="1"/>
      <c r="P1167" s="1"/>
      <c r="Q1167" s="1"/>
      <c r="R1167" s="1"/>
      <c r="S1167" s="1"/>
      <c r="T1167" s="1"/>
      <c r="U1167" s="1"/>
      <c r="V1167" s="1"/>
      <c r="W1167" s="1"/>
      <c r="X1167" s="1"/>
      <c r="Y1167" s="1"/>
      <c r="Z1167" s="1"/>
    </row>
    <row r="1168" spans="1:26" ht="12.75" customHeight="1">
      <c r="A1168" s="1"/>
      <c r="B1168" s="10" t="str">
        <f ca="1">IFERROR(__xludf.DUMMYFUNCTION("""COMPUTED_VALUE"""),"MEJORAMIENTO PLATABANDAS VARGAS BUSTON Y SAN JOSE")</f>
        <v>MEJORAMIENTO PLATABANDAS VARGAS BUSTON Y SAN JOSE</v>
      </c>
      <c r="C1168" s="10" t="str">
        <f ca="1">IFERROR(__xludf.DUMMYFUNCTION("""COMPUTED_VALUE"""),"1-B-2024-315")</f>
        <v>1-B-2024-315</v>
      </c>
      <c r="D1168" s="26"/>
      <c r="E1168" s="10" t="str">
        <f ca="1">IFERROR(__xludf.DUMMYFUNCTION("""COMPUTED_VALUE"""),"Guía Operativa")</f>
        <v>Guía Operativa</v>
      </c>
      <c r="F1168" s="10" t="str">
        <f ca="1">IFERROR(__xludf.DUMMYFUNCTION("""COMPUTED_VALUE"""),"MUNICIPALIDAD DE SAN MIGUEL")</f>
        <v>MUNICIPALIDAD DE SAN MIGUEL</v>
      </c>
      <c r="G1168" s="71">
        <f ca="1">IFERROR(__xludf.DUMMYFUNCTION("""COMPUTED_VALUE"""),104155872)</f>
        <v>104155872</v>
      </c>
      <c r="H1168" s="10" t="str">
        <f ca="1">IFERROR(__xludf.DUMMYFUNCTION("""COMPUTED_VALUE"""),"Resolución")</f>
        <v>Resolución</v>
      </c>
      <c r="I1168" s="10" t="str">
        <f ca="1">IFERROR(__xludf.DUMMYFUNCTION("""COMPUTED_VALUE"""),"OBRA")</f>
        <v>OBRA</v>
      </c>
      <c r="J1168" s="10" t="str">
        <f ca="1">IFERROR(__xludf.DUMMYFUNCTION("""COMPUTED_VALUE"""),"Cumplir con normativa y reglamentos internos del programa en base a los objetivos.")</f>
        <v>Cumplir con normativa y reglamentos internos del programa en base a los objetivos.</v>
      </c>
      <c r="K1168" s="71">
        <f ca="1">IFERROR(__xludf.DUMMYFUNCTION("""COMPUTED_VALUE"""),104155872)</f>
        <v>104155872</v>
      </c>
      <c r="L1168" s="72">
        <f ca="1">IFERROR(__xludf.DUMMYFUNCTION("""COMPUTED_VALUE"""),1)</f>
        <v>1</v>
      </c>
      <c r="M1168" s="10">
        <f ca="1">IFERROR(__xludf.DUMMYFUNCTION("""COMPUTED_VALUE"""),11418)</f>
        <v>11418</v>
      </c>
      <c r="N1168" s="10" t="str">
        <f ca="1">IFERROR(__xludf.DUMMYFUNCTION("""COMPUTED_VALUE"""),"PMU")</f>
        <v>PMU</v>
      </c>
      <c r="O1168" s="1"/>
      <c r="P1168" s="1"/>
      <c r="Q1168" s="1"/>
      <c r="R1168" s="1"/>
      <c r="S1168" s="1"/>
      <c r="T1168" s="1"/>
      <c r="U1168" s="1"/>
      <c r="V1168" s="1"/>
      <c r="W1168" s="1"/>
      <c r="X1168" s="1"/>
      <c r="Y1168" s="1"/>
      <c r="Z1168" s="1"/>
    </row>
    <row r="1169" spans="1:26" ht="12.75" customHeight="1">
      <c r="A1169" s="1"/>
      <c r="B1169" s="10" t="str">
        <f ca="1">IFERROR(__xludf.DUMMYFUNCTION("""COMPUTED_VALUE"""),"MEJORAMIENTO PLAZA DIEGO SILVA CON JUAN CRISTOBAL")</f>
        <v>MEJORAMIENTO PLAZA DIEGO SILVA CON JUAN CRISTOBAL</v>
      </c>
      <c r="C1169" s="10" t="str">
        <f ca="1">IFERROR(__xludf.DUMMYFUNCTION("""COMPUTED_VALUE"""),"1-B-2024-318")</f>
        <v>1-B-2024-318</v>
      </c>
      <c r="D1169" s="26"/>
      <c r="E1169" s="10" t="str">
        <f ca="1">IFERROR(__xludf.DUMMYFUNCTION("""COMPUTED_VALUE"""),"Guía Operativa")</f>
        <v>Guía Operativa</v>
      </c>
      <c r="F1169" s="10" t="str">
        <f ca="1">IFERROR(__xludf.DUMMYFUNCTION("""COMPUTED_VALUE"""),"MUNICIPALIDAD DE RECOLETA")</f>
        <v>MUNICIPALIDAD DE RECOLETA</v>
      </c>
      <c r="G1169" s="71">
        <f ca="1">IFERROR(__xludf.DUMMYFUNCTION("""COMPUTED_VALUE"""),100289926)</f>
        <v>100289926</v>
      </c>
      <c r="H1169" s="10" t="str">
        <f ca="1">IFERROR(__xludf.DUMMYFUNCTION("""COMPUTED_VALUE"""),"Resolución")</f>
        <v>Resolución</v>
      </c>
      <c r="I1169" s="10" t="str">
        <f ca="1">IFERROR(__xludf.DUMMYFUNCTION("""COMPUTED_VALUE"""),"OBRA")</f>
        <v>OBRA</v>
      </c>
      <c r="J1169" s="10" t="str">
        <f ca="1">IFERROR(__xludf.DUMMYFUNCTION("""COMPUTED_VALUE"""),"Cumplir con normativa y reglamentos internos del programa en base a los objetivos.")</f>
        <v>Cumplir con normativa y reglamentos internos del programa en base a los objetivos.</v>
      </c>
      <c r="K1169" s="71">
        <f ca="1">IFERROR(__xludf.DUMMYFUNCTION("""COMPUTED_VALUE"""),100289926)</f>
        <v>100289926</v>
      </c>
      <c r="L1169" s="72">
        <f ca="1">IFERROR(__xludf.DUMMYFUNCTION("""COMPUTED_VALUE"""),1)</f>
        <v>1</v>
      </c>
      <c r="M1169" s="10">
        <f ca="1">IFERROR(__xludf.DUMMYFUNCTION("""COMPUTED_VALUE"""),11404)</f>
        <v>11404</v>
      </c>
      <c r="N1169" s="10" t="str">
        <f ca="1">IFERROR(__xludf.DUMMYFUNCTION("""COMPUTED_VALUE"""),"PMU")</f>
        <v>PMU</v>
      </c>
      <c r="O1169" s="1"/>
      <c r="P1169" s="1"/>
      <c r="Q1169" s="1"/>
      <c r="R1169" s="1"/>
      <c r="S1169" s="1"/>
      <c r="T1169" s="1"/>
      <c r="U1169" s="1"/>
      <c r="V1169" s="1"/>
      <c r="W1169" s="1"/>
      <c r="X1169" s="1"/>
      <c r="Y1169" s="1"/>
      <c r="Z1169" s="1"/>
    </row>
    <row r="1170" spans="1:26" ht="12.75" customHeight="1">
      <c r="A1170" s="1"/>
      <c r="B1170" s="10" t="str">
        <f ca="1">IFERROR(__xludf.DUMMYFUNCTION("""COMPUTED_VALUE"""),"HABILITACIÓN DE CRUCE SEMAFORIZADO EN CALLES CINCO DE FEBRERO CON SALVADOR GUTIÉRREZ, CERRO NAVIA")</f>
        <v>HABILITACIÓN DE CRUCE SEMAFORIZADO EN CALLES CINCO DE FEBRERO CON SALVADOR GUTIÉRREZ, CERRO NAVIA</v>
      </c>
      <c r="C1170" s="10" t="str">
        <f ca="1">IFERROR(__xludf.DUMMYFUNCTION("""COMPUTED_VALUE"""),"1-B-2024-341")</f>
        <v>1-B-2024-341</v>
      </c>
      <c r="D1170" s="26"/>
      <c r="E1170" s="10" t="str">
        <f ca="1">IFERROR(__xludf.DUMMYFUNCTION("""COMPUTED_VALUE"""),"Guía Operativa")</f>
        <v>Guía Operativa</v>
      </c>
      <c r="F1170" s="10" t="str">
        <f ca="1">IFERROR(__xludf.DUMMYFUNCTION("""COMPUTED_VALUE"""),"MUNICIPALIDAD DE CERRO NAVIA")</f>
        <v>MUNICIPALIDAD DE CERRO NAVIA</v>
      </c>
      <c r="G1170" s="71">
        <f ca="1">IFERROR(__xludf.DUMMYFUNCTION("""COMPUTED_VALUE"""),125518235)</f>
        <v>125518235</v>
      </c>
      <c r="H1170" s="10" t="str">
        <f ca="1">IFERROR(__xludf.DUMMYFUNCTION("""COMPUTED_VALUE"""),"Resolución")</f>
        <v>Resolución</v>
      </c>
      <c r="I1170" s="10" t="str">
        <f ca="1">IFERROR(__xludf.DUMMYFUNCTION("""COMPUTED_VALUE"""),"OBRA")</f>
        <v>OBRA</v>
      </c>
      <c r="J1170" s="10" t="str">
        <f ca="1">IFERROR(__xludf.DUMMYFUNCTION("""COMPUTED_VALUE"""),"Cumplir con normativa y reglamentos internos del programa en base a los objetivos.")</f>
        <v>Cumplir con normativa y reglamentos internos del programa en base a los objetivos.</v>
      </c>
      <c r="K1170" s="71">
        <f ca="1">IFERROR(__xludf.DUMMYFUNCTION("""COMPUTED_VALUE"""),125518235)</f>
        <v>125518235</v>
      </c>
      <c r="L1170" s="72">
        <f ca="1">IFERROR(__xludf.DUMMYFUNCTION("""COMPUTED_VALUE"""),1)</f>
        <v>1</v>
      </c>
      <c r="M1170" s="10">
        <f ca="1">IFERROR(__xludf.DUMMYFUNCTION("""COMPUTED_VALUE"""),11411)</f>
        <v>11411</v>
      </c>
      <c r="N1170" s="10" t="str">
        <f ca="1">IFERROR(__xludf.DUMMYFUNCTION("""COMPUTED_VALUE"""),"PMU")</f>
        <v>PMU</v>
      </c>
      <c r="O1170" s="1"/>
      <c r="P1170" s="1"/>
      <c r="Q1170" s="1"/>
      <c r="R1170" s="1"/>
      <c r="S1170" s="1"/>
      <c r="T1170" s="1"/>
      <c r="U1170" s="1"/>
      <c r="V1170" s="1"/>
      <c r="W1170" s="1"/>
      <c r="X1170" s="1"/>
      <c r="Y1170" s="1"/>
      <c r="Z1170" s="1"/>
    </row>
    <row r="1171" spans="1:26" ht="12.75" customHeight="1">
      <c r="A1171" s="1"/>
      <c r="B1171" s="10" t="str">
        <f ca="1">IFERROR(__xludf.DUMMYFUNCTION("""COMPUTED_VALUE"""),"REPOSICION ALUMBRADO PÚBLICO SECTORES COMPRENDIDOS EN LOS BARRIOS VILLA DESCO, CERRO VERDE Y NORMAN VOULLIEME")</f>
        <v>REPOSICION ALUMBRADO PÚBLICO SECTORES COMPRENDIDOS EN LOS BARRIOS VILLA DESCO, CERRO VERDE Y NORMAN VOULLIEME</v>
      </c>
      <c r="C1171" s="10" t="str">
        <f ca="1">IFERROR(__xludf.DUMMYFUNCTION("""COMPUTED_VALUE"""),"1-B-2024-363")</f>
        <v>1-B-2024-363</v>
      </c>
      <c r="D1171" s="26"/>
      <c r="E1171" s="10" t="str">
        <f ca="1">IFERROR(__xludf.DUMMYFUNCTION("""COMPUTED_VALUE"""),"Guía Operativa")</f>
        <v>Guía Operativa</v>
      </c>
      <c r="F1171" s="10" t="str">
        <f ca="1">IFERROR(__xludf.DUMMYFUNCTION("""COMPUTED_VALUE"""),"MUNICIPALIDAD DE CERRILLOS")</f>
        <v>MUNICIPALIDAD DE CERRILLOS</v>
      </c>
      <c r="G1171" s="71">
        <f ca="1">IFERROR(__xludf.DUMMYFUNCTION("""COMPUTED_VALUE"""),77283568)</f>
        <v>77283568</v>
      </c>
      <c r="H1171" s="10" t="str">
        <f ca="1">IFERROR(__xludf.DUMMYFUNCTION("""COMPUTED_VALUE"""),"Resolución")</f>
        <v>Resolución</v>
      </c>
      <c r="I1171" s="10" t="str">
        <f ca="1">IFERROR(__xludf.DUMMYFUNCTION("""COMPUTED_VALUE"""),"OBRA")</f>
        <v>OBRA</v>
      </c>
      <c r="J1171" s="10" t="str">
        <f ca="1">IFERROR(__xludf.DUMMYFUNCTION("""COMPUTED_VALUE"""),"Cumplir con normativa y reglamentos internos del programa en base a los objetivos.")</f>
        <v>Cumplir con normativa y reglamentos internos del programa en base a los objetivos.</v>
      </c>
      <c r="K1171" s="71">
        <f ca="1">IFERROR(__xludf.DUMMYFUNCTION("""COMPUTED_VALUE"""),77283568)</f>
        <v>77283568</v>
      </c>
      <c r="L1171" s="72">
        <f ca="1">IFERROR(__xludf.DUMMYFUNCTION("""COMPUTED_VALUE"""),1)</f>
        <v>1</v>
      </c>
      <c r="M1171" s="10">
        <f ca="1">IFERROR(__xludf.DUMMYFUNCTION("""COMPUTED_VALUE"""),11426)</f>
        <v>11426</v>
      </c>
      <c r="N1171" s="10" t="str">
        <f ca="1">IFERROR(__xludf.DUMMYFUNCTION("""COMPUTED_VALUE"""),"PMU")</f>
        <v>PMU</v>
      </c>
      <c r="O1171" s="1"/>
      <c r="P1171" s="1"/>
      <c r="Q1171" s="1"/>
      <c r="R1171" s="1"/>
      <c r="S1171" s="1"/>
      <c r="T1171" s="1"/>
      <c r="U1171" s="1"/>
      <c r="V1171" s="1"/>
      <c r="W1171" s="1"/>
      <c r="X1171" s="1"/>
      <c r="Y1171" s="1"/>
      <c r="Z1171" s="1"/>
    </row>
    <row r="1172" spans="1:26" ht="12.75" customHeight="1">
      <c r="A1172" s="1"/>
      <c r="B1172" s="10" t="str">
        <f ca="1">IFERROR(__xludf.DUMMYFUNCTION("""COMPUTED_VALUE"""),"CONSTRUCCIÓN AREA DEPORTIVA EXTERIOR GIMNASIO OLÍMPICO MUNICIPAL, SAN MIGUEL")</f>
        <v>CONSTRUCCIÓN AREA DEPORTIVA EXTERIOR GIMNASIO OLÍMPICO MUNICIPAL, SAN MIGUEL</v>
      </c>
      <c r="C1172" s="10" t="str">
        <f ca="1">IFERROR(__xludf.DUMMYFUNCTION("""COMPUTED_VALUE"""),"1-B-2024-372")</f>
        <v>1-B-2024-372</v>
      </c>
      <c r="D1172" s="26"/>
      <c r="E1172" s="10" t="str">
        <f ca="1">IFERROR(__xludf.DUMMYFUNCTION("""COMPUTED_VALUE"""),"Guía Operativa")</f>
        <v>Guía Operativa</v>
      </c>
      <c r="F1172" s="10" t="str">
        <f ca="1">IFERROR(__xludf.DUMMYFUNCTION("""COMPUTED_VALUE"""),"MUNICIPALIDAD DE SAN MIGUEL")</f>
        <v>MUNICIPALIDAD DE SAN MIGUEL</v>
      </c>
      <c r="G1172" s="71">
        <f ca="1">IFERROR(__xludf.DUMMYFUNCTION("""COMPUTED_VALUE"""),153458713)</f>
        <v>153458713</v>
      </c>
      <c r="H1172" s="10" t="str">
        <f ca="1">IFERROR(__xludf.DUMMYFUNCTION("""COMPUTED_VALUE"""),"Resolución")</f>
        <v>Resolución</v>
      </c>
      <c r="I1172" s="10" t="str">
        <f ca="1">IFERROR(__xludf.DUMMYFUNCTION("""COMPUTED_VALUE"""),"OBRA")</f>
        <v>OBRA</v>
      </c>
      <c r="J1172" s="10" t="str">
        <f ca="1">IFERROR(__xludf.DUMMYFUNCTION("""COMPUTED_VALUE"""),"Cumplir con normativa y reglamentos internos del programa en base a los objetivos.")</f>
        <v>Cumplir con normativa y reglamentos internos del programa en base a los objetivos.</v>
      </c>
      <c r="K1172" s="71">
        <f ca="1">IFERROR(__xludf.DUMMYFUNCTION("""COMPUTED_VALUE"""),153458713)</f>
        <v>153458713</v>
      </c>
      <c r="L1172" s="72">
        <f ca="1">IFERROR(__xludf.DUMMYFUNCTION("""COMPUTED_VALUE"""),1)</f>
        <v>1</v>
      </c>
      <c r="M1172" s="10">
        <f ca="1">IFERROR(__xludf.DUMMYFUNCTION("""COMPUTED_VALUE"""),11349)</f>
        <v>11349</v>
      </c>
      <c r="N1172" s="10" t="str">
        <f ca="1">IFERROR(__xludf.DUMMYFUNCTION("""COMPUTED_VALUE"""),"PMU")</f>
        <v>PMU</v>
      </c>
      <c r="O1172" s="1"/>
      <c r="P1172" s="1"/>
      <c r="Q1172" s="1"/>
      <c r="R1172" s="1"/>
      <c r="S1172" s="1"/>
      <c r="T1172" s="1"/>
      <c r="U1172" s="1"/>
      <c r="V1172" s="1"/>
      <c r="W1172" s="1"/>
      <c r="X1172" s="1"/>
      <c r="Y1172" s="1"/>
      <c r="Z1172" s="1"/>
    </row>
    <row r="1173" spans="1:26" ht="12.75" customHeight="1">
      <c r="A1173" s="1"/>
      <c r="B1173" s="10" t="str">
        <f ca="1">IFERROR(__xludf.DUMMYFUNCTION("""COMPUTED_VALUE"""),"CONSTRUCCIÓN TRES CANCHAS PARQUE SAN PEDRO, COMUNA DE SAN PEDRO")</f>
        <v>CONSTRUCCIÓN TRES CANCHAS PARQUE SAN PEDRO, COMUNA DE SAN PEDRO</v>
      </c>
      <c r="C1173" s="10" t="str">
        <f ca="1">IFERROR(__xludf.DUMMYFUNCTION("""COMPUTED_VALUE"""),"1-B-2024-428")</f>
        <v>1-B-2024-428</v>
      </c>
      <c r="D1173" s="26"/>
      <c r="E1173" s="10" t="str">
        <f ca="1">IFERROR(__xludf.DUMMYFUNCTION("""COMPUTED_VALUE"""),"Guía Operativa")</f>
        <v>Guía Operativa</v>
      </c>
      <c r="F1173" s="10" t="str">
        <f ca="1">IFERROR(__xludf.DUMMYFUNCTION("""COMPUTED_VALUE"""),"MUNICIPALIDAD DE SAN PEDRO")</f>
        <v>MUNICIPALIDAD DE SAN PEDRO</v>
      </c>
      <c r="G1173" s="71">
        <f ca="1">IFERROR(__xludf.DUMMYFUNCTION("""COMPUTED_VALUE"""),138423071)</f>
        <v>138423071</v>
      </c>
      <c r="H1173" s="10" t="str">
        <f ca="1">IFERROR(__xludf.DUMMYFUNCTION("""COMPUTED_VALUE"""),"Resolución")</f>
        <v>Resolución</v>
      </c>
      <c r="I1173" s="10" t="str">
        <f ca="1">IFERROR(__xludf.DUMMYFUNCTION("""COMPUTED_VALUE"""),"OBRA")</f>
        <v>OBRA</v>
      </c>
      <c r="J1173" s="10" t="str">
        <f ca="1">IFERROR(__xludf.DUMMYFUNCTION("""COMPUTED_VALUE"""),"Cumplir con normativa y reglamentos internos del programa en base a los objetivos.")</f>
        <v>Cumplir con normativa y reglamentos internos del programa en base a los objetivos.</v>
      </c>
      <c r="K1173" s="71">
        <f ca="1">IFERROR(__xludf.DUMMYFUNCTION("""COMPUTED_VALUE"""),138423071)</f>
        <v>138423071</v>
      </c>
      <c r="L1173" s="72">
        <f ca="1">IFERROR(__xludf.DUMMYFUNCTION("""COMPUTED_VALUE"""),1)</f>
        <v>1</v>
      </c>
      <c r="M1173" s="10">
        <f ca="1">IFERROR(__xludf.DUMMYFUNCTION("""COMPUTED_VALUE"""),11660)</f>
        <v>11660</v>
      </c>
      <c r="N1173" s="10" t="str">
        <f ca="1">IFERROR(__xludf.DUMMYFUNCTION("""COMPUTED_VALUE"""),"PMU")</f>
        <v>PMU</v>
      </c>
      <c r="O1173" s="1"/>
      <c r="P1173" s="1"/>
      <c r="Q1173" s="1"/>
      <c r="R1173" s="1"/>
      <c r="S1173" s="1"/>
      <c r="T1173" s="1"/>
      <c r="U1173" s="1"/>
      <c r="V1173" s="1"/>
      <c r="W1173" s="1"/>
      <c r="X1173" s="1"/>
      <c r="Y1173" s="1"/>
      <c r="Z1173" s="1"/>
    </row>
    <row r="1174" spans="1:26" ht="12.75" customHeight="1">
      <c r="A1174" s="1"/>
      <c r="B1174" s="10" t="str">
        <f ca="1">IFERROR(__xludf.DUMMYFUNCTION("""COMPUTED_VALUE"""),"MEJORAMIENTO ACCESO BANDEJON AVENIDA LAS TORRES, COMUNA DE ESTACION CENTRAL.")</f>
        <v>MEJORAMIENTO ACCESO BANDEJON AVENIDA LAS TORRES, COMUNA DE ESTACION CENTRAL.</v>
      </c>
      <c r="C1174" s="10" t="str">
        <f ca="1">IFERROR(__xludf.DUMMYFUNCTION("""COMPUTED_VALUE"""),"1-B-2024-442")</f>
        <v>1-B-2024-442</v>
      </c>
      <c r="D1174" s="26"/>
      <c r="E1174" s="10" t="str">
        <f ca="1">IFERROR(__xludf.DUMMYFUNCTION("""COMPUTED_VALUE"""),"Guía Operativa")</f>
        <v>Guía Operativa</v>
      </c>
      <c r="F1174" s="10" t="str">
        <f ca="1">IFERROR(__xludf.DUMMYFUNCTION("""COMPUTED_VALUE"""),"MUNICIPALIDAD DE ESTACIÓN CENTRAL")</f>
        <v>MUNICIPALIDAD DE ESTACIÓN CENTRAL</v>
      </c>
      <c r="G1174" s="71">
        <f ca="1">IFERROR(__xludf.DUMMYFUNCTION("""COMPUTED_VALUE"""),146403178)</f>
        <v>146403178</v>
      </c>
      <c r="H1174" s="10" t="str">
        <f ca="1">IFERROR(__xludf.DUMMYFUNCTION("""COMPUTED_VALUE"""),"Resolución")</f>
        <v>Resolución</v>
      </c>
      <c r="I1174" s="10" t="str">
        <f ca="1">IFERROR(__xludf.DUMMYFUNCTION("""COMPUTED_VALUE"""),"OBRA")</f>
        <v>OBRA</v>
      </c>
      <c r="J1174" s="10" t="str">
        <f ca="1">IFERROR(__xludf.DUMMYFUNCTION("""COMPUTED_VALUE"""),"Cumplir con normativa y reglamentos internos del programa en base a los objetivos.")</f>
        <v>Cumplir con normativa y reglamentos internos del programa en base a los objetivos.</v>
      </c>
      <c r="K1174" s="71">
        <f ca="1">IFERROR(__xludf.DUMMYFUNCTION("""COMPUTED_VALUE"""),146403178)</f>
        <v>146403178</v>
      </c>
      <c r="L1174" s="72">
        <f ca="1">IFERROR(__xludf.DUMMYFUNCTION("""COMPUTED_VALUE"""),1)</f>
        <v>1</v>
      </c>
      <c r="M1174" s="10">
        <f ca="1">IFERROR(__xludf.DUMMYFUNCTION("""COMPUTED_VALUE"""),11401)</f>
        <v>11401</v>
      </c>
      <c r="N1174" s="10" t="str">
        <f ca="1">IFERROR(__xludf.DUMMYFUNCTION("""COMPUTED_VALUE"""),"PMU")</f>
        <v>PMU</v>
      </c>
      <c r="O1174" s="1"/>
      <c r="P1174" s="1"/>
      <c r="Q1174" s="1"/>
      <c r="R1174" s="1"/>
      <c r="S1174" s="1"/>
      <c r="T1174" s="1"/>
      <c r="U1174" s="1"/>
      <c r="V1174" s="1"/>
      <c r="W1174" s="1"/>
      <c r="X1174" s="1"/>
      <c r="Y1174" s="1"/>
      <c r="Z1174" s="1"/>
    </row>
    <row r="1175" spans="1:26" ht="12.75" customHeight="1">
      <c r="A1175" s="1"/>
      <c r="B1175" s="10" t="str">
        <f ca="1">IFERROR(__xludf.DUMMYFUNCTION("""COMPUTED_VALUE"""),"MEJORAMIENTO DE PLAZA CAMINO A LA ESPERANZA, LA PINTANA")</f>
        <v>MEJORAMIENTO DE PLAZA CAMINO A LA ESPERANZA, LA PINTANA</v>
      </c>
      <c r="C1175" s="10" t="str">
        <f ca="1">IFERROR(__xludf.DUMMYFUNCTION("""COMPUTED_VALUE"""),"1-B-2024-450")</f>
        <v>1-B-2024-450</v>
      </c>
      <c r="D1175" s="26"/>
      <c r="E1175" s="10" t="str">
        <f ca="1">IFERROR(__xludf.DUMMYFUNCTION("""COMPUTED_VALUE"""),"Guía Operativa")</f>
        <v>Guía Operativa</v>
      </c>
      <c r="F1175" s="10" t="str">
        <f ca="1">IFERROR(__xludf.DUMMYFUNCTION("""COMPUTED_VALUE"""),"MUNICIPALIDAD DE LA PINTANA")</f>
        <v>MUNICIPALIDAD DE LA PINTANA</v>
      </c>
      <c r="G1175" s="71">
        <f ca="1">IFERROR(__xludf.DUMMYFUNCTION("""COMPUTED_VALUE"""),161664996)</f>
        <v>161664996</v>
      </c>
      <c r="H1175" s="10" t="str">
        <f ca="1">IFERROR(__xludf.DUMMYFUNCTION("""COMPUTED_VALUE"""),"Resolución")</f>
        <v>Resolución</v>
      </c>
      <c r="I1175" s="10" t="str">
        <f ca="1">IFERROR(__xludf.DUMMYFUNCTION("""COMPUTED_VALUE"""),"OBRA")</f>
        <v>OBRA</v>
      </c>
      <c r="J1175" s="10" t="str">
        <f ca="1">IFERROR(__xludf.DUMMYFUNCTION("""COMPUTED_VALUE"""),"Cumplir con normativa y reglamentos internos del programa en base a los objetivos.")</f>
        <v>Cumplir con normativa y reglamentos internos del programa en base a los objetivos.</v>
      </c>
      <c r="K1175" s="71">
        <f ca="1">IFERROR(__xludf.DUMMYFUNCTION("""COMPUTED_VALUE"""),161664996)</f>
        <v>161664996</v>
      </c>
      <c r="L1175" s="72">
        <f ca="1">IFERROR(__xludf.DUMMYFUNCTION("""COMPUTED_VALUE"""),1)</f>
        <v>1</v>
      </c>
      <c r="M1175" s="10" t="str">
        <f ca="1">IFERROR(__xludf.DUMMYFUNCTION("""COMPUTED_VALUE"""),"E23349/2024")</f>
        <v>E23349/2024</v>
      </c>
      <c r="N1175" s="10" t="str">
        <f ca="1">IFERROR(__xludf.DUMMYFUNCTION("""COMPUTED_VALUE"""),"PMU")</f>
        <v>PMU</v>
      </c>
      <c r="O1175" s="1"/>
      <c r="P1175" s="1"/>
      <c r="Q1175" s="1"/>
      <c r="R1175" s="1"/>
      <c r="S1175" s="1"/>
      <c r="T1175" s="1"/>
      <c r="U1175" s="1"/>
      <c r="V1175" s="1"/>
      <c r="W1175" s="1"/>
      <c r="X1175" s="1"/>
      <c r="Y1175" s="1"/>
      <c r="Z1175" s="1"/>
    </row>
    <row r="1176" spans="1:26" ht="12.75" customHeight="1">
      <c r="A1176" s="1"/>
      <c r="B1176" s="10" t="str">
        <f ca="1">IFERROR(__xludf.DUMMYFUNCTION("""COMPUTED_VALUE"""),"MEJORAMIENTO PLATABANDA OVALLE CON VECINAL, SAN JOAQUIN")</f>
        <v>MEJORAMIENTO PLATABANDA OVALLE CON VECINAL, SAN JOAQUIN</v>
      </c>
      <c r="C1176" s="10" t="str">
        <f ca="1">IFERROR(__xludf.DUMMYFUNCTION("""COMPUTED_VALUE"""),"1-B-2024-460")</f>
        <v>1-B-2024-460</v>
      </c>
      <c r="D1176" s="26"/>
      <c r="E1176" s="10" t="str">
        <f ca="1">IFERROR(__xludf.DUMMYFUNCTION("""COMPUTED_VALUE"""),"Guía Operativa")</f>
        <v>Guía Operativa</v>
      </c>
      <c r="F1176" s="10" t="str">
        <f ca="1">IFERROR(__xludf.DUMMYFUNCTION("""COMPUTED_VALUE"""),"MUNICIPALIDAD DE SAN JOAQUÍN")</f>
        <v>MUNICIPALIDAD DE SAN JOAQUÍN</v>
      </c>
      <c r="G1176" s="71">
        <f ca="1">IFERROR(__xludf.DUMMYFUNCTION("""COMPUTED_VALUE"""),142444446)</f>
        <v>142444446</v>
      </c>
      <c r="H1176" s="10" t="str">
        <f ca="1">IFERROR(__xludf.DUMMYFUNCTION("""COMPUTED_VALUE"""),"Resolución")</f>
        <v>Resolución</v>
      </c>
      <c r="I1176" s="10" t="str">
        <f ca="1">IFERROR(__xludf.DUMMYFUNCTION("""COMPUTED_VALUE"""),"OBRA")</f>
        <v>OBRA</v>
      </c>
      <c r="J1176" s="10" t="str">
        <f ca="1">IFERROR(__xludf.DUMMYFUNCTION("""COMPUTED_VALUE"""),"Cumplir con normativa y reglamentos internos del programa en base a los objetivos.")</f>
        <v>Cumplir con normativa y reglamentos internos del programa en base a los objetivos.</v>
      </c>
      <c r="K1176" s="71">
        <f ca="1">IFERROR(__xludf.DUMMYFUNCTION("""COMPUTED_VALUE"""),142444446)</f>
        <v>142444446</v>
      </c>
      <c r="L1176" s="72">
        <f ca="1">IFERROR(__xludf.DUMMYFUNCTION("""COMPUTED_VALUE"""),1)</f>
        <v>1</v>
      </c>
      <c r="M1176" s="10">
        <f ca="1">IFERROR(__xludf.DUMMYFUNCTION("""COMPUTED_VALUE"""),11425)</f>
        <v>11425</v>
      </c>
      <c r="N1176" s="10" t="str">
        <f ca="1">IFERROR(__xludf.DUMMYFUNCTION("""COMPUTED_VALUE"""),"PMU")</f>
        <v>PMU</v>
      </c>
      <c r="O1176" s="1"/>
      <c r="P1176" s="1"/>
      <c r="Q1176" s="1"/>
      <c r="R1176" s="1"/>
      <c r="S1176" s="1"/>
      <c r="T1176" s="1"/>
      <c r="U1176" s="1"/>
      <c r="V1176" s="1"/>
      <c r="W1176" s="1"/>
      <c r="X1176" s="1"/>
      <c r="Y1176" s="1"/>
      <c r="Z1176" s="1"/>
    </row>
    <row r="1177" spans="1:26" ht="12.75" customHeight="1">
      <c r="A1177" s="1"/>
      <c r="B1177" s="10" t="str">
        <f ca="1">IFERROR(__xludf.DUMMYFUNCTION("""COMPUTED_VALUE"""),"MEJORAMIENTO DE PLAZAS EN DIVERSOS SECTORES, CURACAVÍ")</f>
        <v>MEJORAMIENTO DE PLAZAS EN DIVERSOS SECTORES, CURACAVÍ</v>
      </c>
      <c r="C1177" s="10" t="str">
        <f ca="1">IFERROR(__xludf.DUMMYFUNCTION("""COMPUTED_VALUE"""),"1-B-2024-466")</f>
        <v>1-B-2024-466</v>
      </c>
      <c r="D1177" s="26"/>
      <c r="E1177" s="10" t="str">
        <f ca="1">IFERROR(__xludf.DUMMYFUNCTION("""COMPUTED_VALUE"""),"Guía Operativa")</f>
        <v>Guía Operativa</v>
      </c>
      <c r="F1177" s="10" t="str">
        <f ca="1">IFERROR(__xludf.DUMMYFUNCTION("""COMPUTED_VALUE"""),"MUNICIPALIDAD DE CURACAVÍ")</f>
        <v>MUNICIPALIDAD DE CURACAVÍ</v>
      </c>
      <c r="G1177" s="71">
        <f ca="1">IFERROR(__xludf.DUMMYFUNCTION("""COMPUTED_VALUE"""),160000000)</f>
        <v>160000000</v>
      </c>
      <c r="H1177" s="10" t="str">
        <f ca="1">IFERROR(__xludf.DUMMYFUNCTION("""COMPUTED_VALUE"""),"Resolución")</f>
        <v>Resolución</v>
      </c>
      <c r="I1177" s="10" t="str">
        <f ca="1">IFERROR(__xludf.DUMMYFUNCTION("""COMPUTED_VALUE"""),"OBRA")</f>
        <v>OBRA</v>
      </c>
      <c r="J1177" s="10" t="str">
        <f ca="1">IFERROR(__xludf.DUMMYFUNCTION("""COMPUTED_VALUE"""),"Cumplir con normativa y reglamentos internos del programa en base a los objetivos.")</f>
        <v>Cumplir con normativa y reglamentos internos del programa en base a los objetivos.</v>
      </c>
      <c r="K1177" s="71">
        <f ca="1">IFERROR(__xludf.DUMMYFUNCTION("""COMPUTED_VALUE"""),160000000)</f>
        <v>160000000</v>
      </c>
      <c r="L1177" s="72">
        <f ca="1">IFERROR(__xludf.DUMMYFUNCTION("""COMPUTED_VALUE"""),1)</f>
        <v>1</v>
      </c>
      <c r="M1177" s="10" t="str">
        <f ca="1">IFERROR(__xludf.DUMMYFUNCTION("""COMPUTED_VALUE"""),"E22986/2024")</f>
        <v>E22986/2024</v>
      </c>
      <c r="N1177" s="10" t="str">
        <f ca="1">IFERROR(__xludf.DUMMYFUNCTION("""COMPUTED_VALUE"""),"PMU")</f>
        <v>PMU</v>
      </c>
      <c r="O1177" s="1"/>
      <c r="P1177" s="1"/>
      <c r="Q1177" s="1"/>
      <c r="R1177" s="1"/>
      <c r="S1177" s="1"/>
      <c r="T1177" s="1"/>
      <c r="U1177" s="1"/>
      <c r="V1177" s="1"/>
      <c r="W1177" s="1"/>
      <c r="X1177" s="1"/>
      <c r="Y1177" s="1"/>
      <c r="Z1177" s="1"/>
    </row>
    <row r="1178" spans="1:26" ht="12.75" customHeight="1">
      <c r="A1178" s="1"/>
      <c r="B1178" s="10" t="str">
        <f ca="1">IFERROR(__xludf.DUMMYFUNCTION("""COMPUTED_VALUE"""),"REPOSICIÓN DE VEREDAS CUADRANTE: AVDA. BLANCO ENCALADA - TUPPER - ABATE MOLINA - ALAMEDA (EDIF.SUR)")</f>
        <v>REPOSICIÓN DE VEREDAS CUADRANTE: AVDA. BLANCO ENCALADA - TUPPER - ABATE MOLINA - ALAMEDA (EDIF.SUR)</v>
      </c>
      <c r="C1178" s="10" t="str">
        <f ca="1">IFERROR(__xludf.DUMMYFUNCTION("""COMPUTED_VALUE"""),"1-B-2024-469")</f>
        <v>1-B-2024-469</v>
      </c>
      <c r="D1178" s="26"/>
      <c r="E1178" s="10" t="str">
        <f ca="1">IFERROR(__xludf.DUMMYFUNCTION("""COMPUTED_VALUE"""),"Guía Operativa")</f>
        <v>Guía Operativa</v>
      </c>
      <c r="F1178" s="10" t="str">
        <f ca="1">IFERROR(__xludf.DUMMYFUNCTION("""COMPUTED_VALUE"""),"MUNICIPALIDAD DE SANTIAGO")</f>
        <v>MUNICIPALIDAD DE SANTIAGO</v>
      </c>
      <c r="G1178" s="71">
        <f ca="1">IFERROR(__xludf.DUMMYFUNCTION("""COMPUTED_VALUE"""),136510530)</f>
        <v>136510530</v>
      </c>
      <c r="H1178" s="10" t="str">
        <f ca="1">IFERROR(__xludf.DUMMYFUNCTION("""COMPUTED_VALUE"""),"Resolución")</f>
        <v>Resolución</v>
      </c>
      <c r="I1178" s="10" t="str">
        <f ca="1">IFERROR(__xludf.DUMMYFUNCTION("""COMPUTED_VALUE"""),"OBRA")</f>
        <v>OBRA</v>
      </c>
      <c r="J1178" s="10" t="str">
        <f ca="1">IFERROR(__xludf.DUMMYFUNCTION("""COMPUTED_VALUE"""),"Cumplir con normativa y reglamentos internos del programa en base a los objetivos.")</f>
        <v>Cumplir con normativa y reglamentos internos del programa en base a los objetivos.</v>
      </c>
      <c r="K1178" s="71">
        <f ca="1">IFERROR(__xludf.DUMMYFUNCTION("""COMPUTED_VALUE"""),136510530)</f>
        <v>136510530</v>
      </c>
      <c r="L1178" s="72">
        <f ca="1">IFERROR(__xludf.DUMMYFUNCTION("""COMPUTED_VALUE"""),1)</f>
        <v>1</v>
      </c>
      <c r="M1178" s="10" t="str">
        <f ca="1">IFERROR(__xludf.DUMMYFUNCTION("""COMPUTED_VALUE"""),"E23640/2024")</f>
        <v>E23640/2024</v>
      </c>
      <c r="N1178" s="10" t="str">
        <f ca="1">IFERROR(__xludf.DUMMYFUNCTION("""COMPUTED_VALUE"""),"PMU")</f>
        <v>PMU</v>
      </c>
      <c r="O1178" s="1"/>
      <c r="P1178" s="1"/>
      <c r="Q1178" s="1"/>
      <c r="R1178" s="1"/>
      <c r="S1178" s="1"/>
      <c r="T1178" s="1"/>
      <c r="U1178" s="1"/>
      <c r="V1178" s="1"/>
      <c r="W1178" s="1"/>
      <c r="X1178" s="1"/>
      <c r="Y1178" s="1"/>
      <c r="Z1178" s="1"/>
    </row>
    <row r="1179" spans="1:26" ht="12.75" customHeight="1">
      <c r="A1179" s="1"/>
      <c r="B1179" s="10" t="str">
        <f ca="1">IFERROR(__xludf.DUMMYFUNCTION("""COMPUTED_VALUE"""),"MEJORAMIENTO EQUIPAMIENTO PLAZA PRESIDENTE BALMACEDA, CURACAVÍ.")</f>
        <v>MEJORAMIENTO EQUIPAMIENTO PLAZA PRESIDENTE BALMACEDA, CURACAVÍ.</v>
      </c>
      <c r="C1179" s="10" t="str">
        <f ca="1">IFERROR(__xludf.DUMMYFUNCTION("""COMPUTED_VALUE"""),"1-B-2024-470")</f>
        <v>1-B-2024-470</v>
      </c>
      <c r="D1179" s="26"/>
      <c r="E1179" s="10" t="str">
        <f ca="1">IFERROR(__xludf.DUMMYFUNCTION("""COMPUTED_VALUE"""),"Guía Operativa")</f>
        <v>Guía Operativa</v>
      </c>
      <c r="F1179" s="10" t="str">
        <f ca="1">IFERROR(__xludf.DUMMYFUNCTION("""COMPUTED_VALUE"""),"MUNICIPALIDAD DE CURACAVÍ")</f>
        <v>MUNICIPALIDAD DE CURACAVÍ</v>
      </c>
      <c r="G1179" s="71">
        <f ca="1">IFERROR(__xludf.DUMMYFUNCTION("""COMPUTED_VALUE"""),107000000)</f>
        <v>107000000</v>
      </c>
      <c r="H1179" s="10" t="str">
        <f ca="1">IFERROR(__xludf.DUMMYFUNCTION("""COMPUTED_VALUE"""),"Resolución")</f>
        <v>Resolución</v>
      </c>
      <c r="I1179" s="10" t="str">
        <f ca="1">IFERROR(__xludf.DUMMYFUNCTION("""COMPUTED_VALUE"""),"OBRA")</f>
        <v>OBRA</v>
      </c>
      <c r="J1179" s="10" t="str">
        <f ca="1">IFERROR(__xludf.DUMMYFUNCTION("""COMPUTED_VALUE"""),"Cumplir con normativa y reglamentos internos del programa en base a los objetivos.")</f>
        <v>Cumplir con normativa y reglamentos internos del programa en base a los objetivos.</v>
      </c>
      <c r="K1179" s="71">
        <f ca="1">IFERROR(__xludf.DUMMYFUNCTION("""COMPUTED_VALUE"""),107000000)</f>
        <v>107000000</v>
      </c>
      <c r="L1179" s="72">
        <f ca="1">IFERROR(__xludf.DUMMYFUNCTION("""COMPUTED_VALUE"""),1)</f>
        <v>1</v>
      </c>
      <c r="M1179" s="10" t="str">
        <f ca="1">IFERROR(__xludf.DUMMYFUNCTION("""COMPUTED_VALUE"""),"E22986/2024")</f>
        <v>E22986/2024</v>
      </c>
      <c r="N1179" s="10" t="str">
        <f ca="1">IFERROR(__xludf.DUMMYFUNCTION("""COMPUTED_VALUE"""),"PMU")</f>
        <v>PMU</v>
      </c>
      <c r="O1179" s="1"/>
      <c r="P1179" s="1"/>
      <c r="Q1179" s="1"/>
      <c r="R1179" s="1"/>
      <c r="S1179" s="1"/>
      <c r="T1179" s="1"/>
      <c r="U1179" s="1"/>
      <c r="V1179" s="1"/>
      <c r="W1179" s="1"/>
      <c r="X1179" s="1"/>
      <c r="Y1179" s="1"/>
      <c r="Z1179" s="1"/>
    </row>
    <row r="1180" spans="1:26" ht="12.75" customHeight="1">
      <c r="A1180" s="1"/>
      <c r="B1180" s="10" t="str">
        <f ca="1">IFERROR(__xludf.DUMMYFUNCTION("""COMPUTED_VALUE"""),"CONSTRUCCION ALUMBRADO PUBLICO SECTOR COSTANERA PANGUIPULLI")</f>
        <v>CONSTRUCCION ALUMBRADO PUBLICO SECTOR COSTANERA PANGUIPULLI</v>
      </c>
      <c r="C1180" s="10" t="str">
        <f ca="1">IFERROR(__xludf.DUMMYFUNCTION("""COMPUTED_VALUE"""),"1-B-2024-122")</f>
        <v>1-B-2024-122</v>
      </c>
      <c r="D1180" s="26"/>
      <c r="E1180" s="10" t="str">
        <f ca="1">IFERROR(__xludf.DUMMYFUNCTION("""COMPUTED_VALUE"""),"Guía Operativa")</f>
        <v>Guía Operativa</v>
      </c>
      <c r="F1180" s="10" t="str">
        <f ca="1">IFERROR(__xludf.DUMMYFUNCTION("""COMPUTED_VALUE"""),"MUNICIPALIDAD DE PANGUIPULLI")</f>
        <v>MUNICIPALIDAD DE PANGUIPULLI</v>
      </c>
      <c r="G1180" s="71">
        <f ca="1">IFERROR(__xludf.DUMMYFUNCTION("""COMPUTED_VALUE"""),96500000)</f>
        <v>96500000</v>
      </c>
      <c r="H1180" s="10" t="str">
        <f ca="1">IFERROR(__xludf.DUMMYFUNCTION("""COMPUTED_VALUE"""),"Resolución")</f>
        <v>Resolución</v>
      </c>
      <c r="I1180" s="10" t="str">
        <f ca="1">IFERROR(__xludf.DUMMYFUNCTION("""COMPUTED_VALUE"""),"OBRA")</f>
        <v>OBRA</v>
      </c>
      <c r="J1180" s="10" t="str">
        <f ca="1">IFERROR(__xludf.DUMMYFUNCTION("""COMPUTED_VALUE"""),"Cumplir con normativa y reglamentos internos del programa en base a los objetivos.")</f>
        <v>Cumplir con normativa y reglamentos internos del programa en base a los objetivos.</v>
      </c>
      <c r="K1180" s="71">
        <f ca="1">IFERROR(__xludf.DUMMYFUNCTION("""COMPUTED_VALUE"""),96500000)</f>
        <v>96500000</v>
      </c>
      <c r="L1180" s="72">
        <f ca="1">IFERROR(__xludf.DUMMYFUNCTION("""COMPUTED_VALUE"""),1)</f>
        <v>1</v>
      </c>
      <c r="M1180" s="10">
        <f ca="1">IFERROR(__xludf.DUMMYFUNCTION("""COMPUTED_VALUE"""),11658)</f>
        <v>11658</v>
      </c>
      <c r="N1180" s="10" t="str">
        <f ca="1">IFERROR(__xludf.DUMMYFUNCTION("""COMPUTED_VALUE"""),"PMU")</f>
        <v>PMU</v>
      </c>
      <c r="O1180" s="1"/>
      <c r="P1180" s="1"/>
      <c r="Q1180" s="1"/>
      <c r="R1180" s="1"/>
      <c r="S1180" s="1"/>
      <c r="T1180" s="1"/>
      <c r="U1180" s="1"/>
      <c r="V1180" s="1"/>
      <c r="W1180" s="1"/>
      <c r="X1180" s="1"/>
      <c r="Y1180" s="1"/>
      <c r="Z1180" s="1"/>
    </row>
    <row r="1181" spans="1:26" ht="12.75" customHeight="1">
      <c r="A1181" s="1"/>
      <c r="B1181" s="10" t="str">
        <f ca="1">IFERROR(__xludf.DUMMYFUNCTION("""COMPUTED_VALUE"""),"CONSTRUCCIÓN SEDE UNIÓN COMUNAL DE CLUBES DEPORTIVOS, COMUNA DE YUNGAY")</f>
        <v>CONSTRUCCIÓN SEDE UNIÓN COMUNAL DE CLUBES DEPORTIVOS, COMUNA DE YUNGAY</v>
      </c>
      <c r="C1181" s="10" t="str">
        <f ca="1">IFERROR(__xludf.DUMMYFUNCTION("""COMPUTED_VALUE"""),"1-B-2024-251")</f>
        <v>1-B-2024-251</v>
      </c>
      <c r="D1181" s="26"/>
      <c r="E1181" s="10" t="str">
        <f ca="1">IFERROR(__xludf.DUMMYFUNCTION("""COMPUTED_VALUE"""),"Guía Operativa")</f>
        <v>Guía Operativa</v>
      </c>
      <c r="F1181" s="10" t="str">
        <f ca="1">IFERROR(__xludf.DUMMYFUNCTION("""COMPUTED_VALUE"""),"MUNICIPALIDAD DE YUNGAY")</f>
        <v>MUNICIPALIDAD DE YUNGAY</v>
      </c>
      <c r="G1181" s="71">
        <f ca="1">IFERROR(__xludf.DUMMYFUNCTION("""COMPUTED_VALUE"""),134162107)</f>
        <v>134162107</v>
      </c>
      <c r="H1181" s="10" t="str">
        <f ca="1">IFERROR(__xludf.DUMMYFUNCTION("""COMPUTED_VALUE"""),"Resolución")</f>
        <v>Resolución</v>
      </c>
      <c r="I1181" s="10" t="str">
        <f ca="1">IFERROR(__xludf.DUMMYFUNCTION("""COMPUTED_VALUE"""),"OBRA")</f>
        <v>OBRA</v>
      </c>
      <c r="J1181" s="10" t="str">
        <f ca="1">IFERROR(__xludf.DUMMYFUNCTION("""COMPUTED_VALUE"""),"Cumplir con normativa y reglamentos internos del programa en base a los objetivos.")</f>
        <v>Cumplir con normativa y reglamentos internos del programa en base a los objetivos.</v>
      </c>
      <c r="K1181" s="71">
        <f ca="1">IFERROR(__xludf.DUMMYFUNCTION("""COMPUTED_VALUE"""),40248632)</f>
        <v>40248632</v>
      </c>
      <c r="L1181" s="72">
        <f ca="1">IFERROR(__xludf.DUMMYFUNCTION("""COMPUTED_VALUE"""),0.299999999254633)</f>
        <v>0.299999999254633</v>
      </c>
      <c r="M1181" s="10" t="str">
        <f ca="1">IFERROR(__xludf.DUMMYFUNCTION("""COMPUTED_VALUE"""),"E24001/2024")</f>
        <v>E24001/2024</v>
      </c>
      <c r="N1181" s="10" t="str">
        <f ca="1">IFERROR(__xludf.DUMMYFUNCTION("""COMPUTED_VALUE"""),"PMU")</f>
        <v>PMU</v>
      </c>
      <c r="O1181" s="1"/>
      <c r="P1181" s="1"/>
      <c r="Q1181" s="1"/>
      <c r="R1181" s="1"/>
      <c r="S1181" s="1"/>
      <c r="T1181" s="1"/>
      <c r="U1181" s="1"/>
      <c r="V1181" s="1"/>
      <c r="W1181" s="1"/>
      <c r="X1181" s="1"/>
      <c r="Y1181" s="1"/>
      <c r="Z1181" s="1"/>
    </row>
    <row r="1182" spans="1:26" ht="12.75" customHeight="1">
      <c r="A1182" s="1"/>
      <c r="B1182" s="10" t="str">
        <f ca="1">IFERROR(__xludf.DUMMYFUNCTION("""COMPUTED_VALUE"""),"CONSTRUCCION ZONAS INCLUSIVAS EN DIVERSAS AREAS ,COMUNA DE PICHILEMU")</f>
        <v>CONSTRUCCION ZONAS INCLUSIVAS EN DIVERSAS AREAS ,COMUNA DE PICHILEMU</v>
      </c>
      <c r="C1182" s="10" t="str">
        <f ca="1">IFERROR(__xludf.DUMMYFUNCTION("""COMPUTED_VALUE"""),"1-B-2024-347")</f>
        <v>1-B-2024-347</v>
      </c>
      <c r="D1182" s="26"/>
      <c r="E1182" s="10" t="str">
        <f ca="1">IFERROR(__xludf.DUMMYFUNCTION("""COMPUTED_VALUE"""),"Guía Operativa")</f>
        <v>Guía Operativa</v>
      </c>
      <c r="F1182" s="10" t="str">
        <f ca="1">IFERROR(__xludf.DUMMYFUNCTION("""COMPUTED_VALUE"""),"MUNICIPALIDAD DE PICHILEMU")</f>
        <v>MUNICIPALIDAD DE PICHILEMU</v>
      </c>
      <c r="G1182" s="71">
        <f ca="1">IFERROR(__xludf.DUMMYFUNCTION("""COMPUTED_VALUE"""),74652624)</f>
        <v>74652624</v>
      </c>
      <c r="H1182" s="10" t="str">
        <f ca="1">IFERROR(__xludf.DUMMYFUNCTION("""COMPUTED_VALUE"""),"Resolución")</f>
        <v>Resolución</v>
      </c>
      <c r="I1182" s="10" t="str">
        <f ca="1">IFERROR(__xludf.DUMMYFUNCTION("""COMPUTED_VALUE"""),"OBRA")</f>
        <v>OBRA</v>
      </c>
      <c r="J1182" s="10" t="str">
        <f ca="1">IFERROR(__xludf.DUMMYFUNCTION("""COMPUTED_VALUE"""),"Cumplir con normativa y reglamentos internos del programa en base a los objetivos.")</f>
        <v>Cumplir con normativa y reglamentos internos del programa en base a los objetivos.</v>
      </c>
      <c r="K1182" s="71">
        <f ca="1">IFERROR(__xludf.DUMMYFUNCTION("""COMPUTED_VALUE"""),74652624)</f>
        <v>74652624</v>
      </c>
      <c r="L1182" s="72">
        <f ca="1">IFERROR(__xludf.DUMMYFUNCTION("""COMPUTED_VALUE"""),1)</f>
        <v>1</v>
      </c>
      <c r="M1182" s="10" t="str">
        <f ca="1">IFERROR(__xludf.DUMMYFUNCTION("""COMPUTED_VALUE"""),"E23548/2024")</f>
        <v>E23548/2024</v>
      </c>
      <c r="N1182" s="10" t="str">
        <f ca="1">IFERROR(__xludf.DUMMYFUNCTION("""COMPUTED_VALUE"""),"PMU")</f>
        <v>PMU</v>
      </c>
      <c r="O1182" s="1"/>
      <c r="P1182" s="1"/>
      <c r="Q1182" s="1"/>
      <c r="R1182" s="1"/>
      <c r="S1182" s="1"/>
      <c r="T1182" s="1"/>
      <c r="U1182" s="1"/>
      <c r="V1182" s="1"/>
      <c r="W1182" s="1"/>
      <c r="X1182" s="1"/>
      <c r="Y1182" s="1"/>
      <c r="Z1182" s="1"/>
    </row>
    <row r="1183" spans="1:26" ht="12.75" customHeight="1">
      <c r="A1183" s="1"/>
      <c r="B1183" s="10" t="str">
        <f ca="1">IFERROR(__xludf.DUMMYFUNCTION("""COMPUTED_VALUE"""),"COSNTRUCCIÓN DEPENDENCIAS DIRECCIÓN DE TRÁNSITO, COMUNA DE SAN IGNACIO")</f>
        <v>COSNTRUCCIÓN DEPENDENCIAS DIRECCIÓN DE TRÁNSITO, COMUNA DE SAN IGNACIO</v>
      </c>
      <c r="C1183" s="10" t="str">
        <f ca="1">IFERROR(__xludf.DUMMYFUNCTION("""COMPUTED_VALUE"""),"1-B-2024-342")</f>
        <v>1-B-2024-342</v>
      </c>
      <c r="D1183" s="26"/>
      <c r="E1183" s="10" t="str">
        <f ca="1">IFERROR(__xludf.DUMMYFUNCTION("""COMPUTED_VALUE"""),"Guía Operativa")</f>
        <v>Guía Operativa</v>
      </c>
      <c r="F1183" s="10" t="str">
        <f ca="1">IFERROR(__xludf.DUMMYFUNCTION("""COMPUTED_VALUE"""),"MUNICIPALIDAD DE SAN IGNACIO")</f>
        <v>MUNICIPALIDAD DE SAN IGNACIO</v>
      </c>
      <c r="G1183" s="71">
        <f ca="1">IFERROR(__xludf.DUMMYFUNCTION("""COMPUTED_VALUE"""),149998322)</f>
        <v>149998322</v>
      </c>
      <c r="H1183" s="10" t="str">
        <f ca="1">IFERROR(__xludf.DUMMYFUNCTION("""COMPUTED_VALUE"""),"Resolución")</f>
        <v>Resolución</v>
      </c>
      <c r="I1183" s="10" t="str">
        <f ca="1">IFERROR(__xludf.DUMMYFUNCTION("""COMPUTED_VALUE"""),"OBRA")</f>
        <v>OBRA</v>
      </c>
      <c r="J1183" s="10" t="str">
        <f ca="1">IFERROR(__xludf.DUMMYFUNCTION("""COMPUTED_VALUE"""),"Cumplir con normativa y reglamentos internos del programa en base a los objetivos.")</f>
        <v>Cumplir con normativa y reglamentos internos del programa en base a los objetivos.</v>
      </c>
      <c r="K1183" s="71">
        <f ca="1">IFERROR(__xludf.DUMMYFUNCTION("""COMPUTED_VALUE"""),149998322)</f>
        <v>149998322</v>
      </c>
      <c r="L1183" s="72">
        <f ca="1">IFERROR(__xludf.DUMMYFUNCTION("""COMPUTED_VALUE"""),1)</f>
        <v>1</v>
      </c>
      <c r="M1183" s="10">
        <f ca="1">IFERROR(__xludf.DUMMYFUNCTION("""COMPUTED_VALUE"""),11661)</f>
        <v>11661</v>
      </c>
      <c r="N1183" s="10" t="str">
        <f ca="1">IFERROR(__xludf.DUMMYFUNCTION("""COMPUTED_VALUE"""),"PMU")</f>
        <v>PMU</v>
      </c>
      <c r="O1183" s="1"/>
      <c r="P1183" s="1"/>
      <c r="Q1183" s="1"/>
      <c r="R1183" s="1"/>
      <c r="S1183" s="1"/>
      <c r="T1183" s="1"/>
      <c r="U1183" s="1"/>
      <c r="V1183" s="1"/>
      <c r="W1183" s="1"/>
      <c r="X1183" s="1"/>
      <c r="Y1183" s="1"/>
      <c r="Z1183" s="1"/>
    </row>
    <row r="1184" spans="1:26" ht="12.75" customHeight="1">
      <c r="A1184" s="1"/>
      <c r="B1184" s="10" t="str">
        <f ca="1">IFERROR(__xludf.DUMMYFUNCTION("""COMPUTED_VALUE"""),"ADQUISICIÓN E INSTALACIÓN SALA MODULAR, LICEO PADRE ALBERTO HURTADO- PICA")</f>
        <v>ADQUISICIÓN E INSTALACIÓN SALA MODULAR, LICEO PADRE ALBERTO HURTADO- PICA</v>
      </c>
      <c r="C1184" s="10" t="str">
        <f ca="1">IFERROR(__xludf.DUMMYFUNCTION("""COMPUTED_VALUE"""),"1-C-2023-2193")</f>
        <v>1-C-2023-2193</v>
      </c>
      <c r="D1184" s="26"/>
      <c r="E1184" s="10" t="str">
        <f ca="1">IFERROR(__xludf.DUMMYFUNCTION("""COMPUTED_VALUE"""),"Guía Operativa")</f>
        <v>Guía Operativa</v>
      </c>
      <c r="F1184" s="10" t="str">
        <f ca="1">IFERROR(__xludf.DUMMYFUNCTION("""COMPUTED_VALUE"""),"MUNICIPALIDAD DE PICA")</f>
        <v>MUNICIPALIDAD DE PICA</v>
      </c>
      <c r="G1184" s="71">
        <f ca="1">IFERROR(__xludf.DUMMYFUNCTION("""COMPUTED_VALUE"""),101329566)</f>
        <v>101329566</v>
      </c>
      <c r="H1184" s="10" t="str">
        <f ca="1">IFERROR(__xludf.DUMMYFUNCTION("""COMPUTED_VALUE"""),"Resolución")</f>
        <v>Resolución</v>
      </c>
      <c r="I1184" s="10" t="str">
        <f ca="1">IFERROR(__xludf.DUMMYFUNCTION("""COMPUTED_VALUE"""),"OBRA")</f>
        <v>OBRA</v>
      </c>
      <c r="J1184" s="10" t="str">
        <f ca="1">IFERROR(__xludf.DUMMYFUNCTION("""COMPUTED_VALUE"""),"Cumplir con normativa y reglamentos internos del programa en base a los objetivos.")</f>
        <v>Cumplir con normativa y reglamentos internos del programa en base a los objetivos.</v>
      </c>
      <c r="K1184" s="71">
        <f ca="1">IFERROR(__xludf.DUMMYFUNCTION("""COMPUTED_VALUE"""),101329566)</f>
        <v>101329566</v>
      </c>
      <c r="L1184" s="72">
        <f ca="1">IFERROR(__xludf.DUMMYFUNCTION("""COMPUTED_VALUE"""),1)</f>
        <v>1</v>
      </c>
      <c r="M1184" s="10">
        <f ca="1">IFERROR(__xludf.DUMMYFUNCTION("""COMPUTED_VALUE"""),12189)</f>
        <v>12189</v>
      </c>
      <c r="N1184" s="10" t="str">
        <f ca="1">IFERROR(__xludf.DUMMYFUNCTION("""COMPUTED_VALUE"""),"PMU")</f>
        <v>PMU</v>
      </c>
      <c r="O1184" s="1"/>
      <c r="P1184" s="1"/>
      <c r="Q1184" s="1"/>
      <c r="R1184" s="1"/>
      <c r="S1184" s="1"/>
      <c r="T1184" s="1"/>
      <c r="U1184" s="1"/>
      <c r="V1184" s="1"/>
      <c r="W1184" s="1"/>
      <c r="X1184" s="1"/>
      <c r="Y1184" s="1"/>
      <c r="Z1184" s="1"/>
    </row>
    <row r="1185" spans="1:26" ht="12.75" customHeight="1">
      <c r="A1185" s="1"/>
      <c r="B1185" s="10" t="str">
        <f ca="1">IFERROR(__xludf.DUMMYFUNCTION("""COMPUTED_VALUE"""),"ADQUISICIÓN OFICINAS Y CAMARINES MODULARES CANCHA GENERAL BONILLA")</f>
        <v>ADQUISICIÓN OFICINAS Y CAMARINES MODULARES CANCHA GENERAL BONILLA</v>
      </c>
      <c r="C1185" s="10" t="str">
        <f ca="1">IFERROR(__xludf.DUMMYFUNCTION("""COMPUTED_VALUE"""),"1-B-2024-467")</f>
        <v>1-B-2024-467</v>
      </c>
      <c r="D1185" s="26"/>
      <c r="E1185" s="10" t="str">
        <f ca="1">IFERROR(__xludf.DUMMYFUNCTION("""COMPUTED_VALUE"""),"Guía Operativa")</f>
        <v>Guía Operativa</v>
      </c>
      <c r="F1185" s="10" t="str">
        <f ca="1">IFERROR(__xludf.DUMMYFUNCTION("""COMPUTED_VALUE"""),"MUNICIPALIDAD DE LO PRADO")</f>
        <v>MUNICIPALIDAD DE LO PRADO</v>
      </c>
      <c r="G1185" s="71">
        <f ca="1">IFERROR(__xludf.DUMMYFUNCTION("""COMPUTED_VALUE"""),56996351)</f>
        <v>56996351</v>
      </c>
      <c r="H1185" s="10" t="str">
        <f ca="1">IFERROR(__xludf.DUMMYFUNCTION("""COMPUTED_VALUE"""),"Resolución")</f>
        <v>Resolución</v>
      </c>
      <c r="I1185" s="10" t="str">
        <f ca="1">IFERROR(__xludf.DUMMYFUNCTION("""COMPUTED_VALUE"""),"OBRA")</f>
        <v>OBRA</v>
      </c>
      <c r="J1185" s="10" t="str">
        <f ca="1">IFERROR(__xludf.DUMMYFUNCTION("""COMPUTED_VALUE"""),"Cumplir con normativa y reglamentos internos del programa en base a los objetivos.")</f>
        <v>Cumplir con normativa y reglamentos internos del programa en base a los objetivos.</v>
      </c>
      <c r="K1185" s="71">
        <f ca="1">IFERROR(__xludf.DUMMYFUNCTION("""COMPUTED_VALUE"""),56996351)</f>
        <v>56996351</v>
      </c>
      <c r="L1185" s="72">
        <f ca="1">IFERROR(__xludf.DUMMYFUNCTION("""COMPUTED_VALUE"""),1)</f>
        <v>1</v>
      </c>
      <c r="M1185" s="10" t="str">
        <f ca="1">IFERROR(__xludf.DUMMYFUNCTION("""COMPUTED_VALUE"""),"E23006/2024")</f>
        <v>E23006/2024</v>
      </c>
      <c r="N1185" s="10" t="str">
        <f ca="1">IFERROR(__xludf.DUMMYFUNCTION("""COMPUTED_VALUE"""),"PMU")</f>
        <v>PMU</v>
      </c>
      <c r="O1185" s="1"/>
      <c r="P1185" s="1"/>
      <c r="Q1185" s="1"/>
      <c r="R1185" s="1"/>
      <c r="S1185" s="1"/>
      <c r="T1185" s="1"/>
      <c r="U1185" s="1"/>
      <c r="V1185" s="1"/>
      <c r="W1185" s="1"/>
      <c r="X1185" s="1"/>
      <c r="Y1185" s="1"/>
      <c r="Z1185" s="1"/>
    </row>
    <row r="1186" spans="1:26" ht="12.75" customHeight="1">
      <c r="A1186" s="1"/>
      <c r="B1186" s="10" t="str">
        <f ca="1">IFERROR(__xludf.DUMMYFUNCTION("""COMPUTED_VALUE"""),"AMPLIACIÓN Y MEJORAMIENTO SEDE CLUB DE ADULTO MAYOR RIBERA SUR ORIENTE, PUERTO AYSÉN")</f>
        <v>AMPLIACIÓN Y MEJORAMIENTO SEDE CLUB DE ADULTO MAYOR RIBERA SUR ORIENTE, PUERTO AYSÉN</v>
      </c>
      <c r="C1186" s="10" t="str">
        <f ca="1">IFERROR(__xludf.DUMMYFUNCTION("""COMPUTED_VALUE"""),"1-B-2024-181")</f>
        <v>1-B-2024-181</v>
      </c>
      <c r="D1186" s="26"/>
      <c r="E1186" s="10" t="str">
        <f ca="1">IFERROR(__xludf.DUMMYFUNCTION("""COMPUTED_VALUE"""),"Guía Operativa")</f>
        <v>Guía Operativa</v>
      </c>
      <c r="F1186" s="10" t="str">
        <f ca="1">IFERROR(__xludf.DUMMYFUNCTION("""COMPUTED_VALUE"""),"MUNICIPALIDAD DE AYSÉN")</f>
        <v>MUNICIPALIDAD DE AYSÉN</v>
      </c>
      <c r="G1186" s="71">
        <f ca="1">IFERROR(__xludf.DUMMYFUNCTION("""COMPUTED_VALUE"""),105000000)</f>
        <v>105000000</v>
      </c>
      <c r="H1186" s="10" t="str">
        <f ca="1">IFERROR(__xludf.DUMMYFUNCTION("""COMPUTED_VALUE"""),"Resolución")</f>
        <v>Resolución</v>
      </c>
      <c r="I1186" s="10" t="str">
        <f ca="1">IFERROR(__xludf.DUMMYFUNCTION("""COMPUTED_VALUE"""),"OBRA")</f>
        <v>OBRA</v>
      </c>
      <c r="J1186" s="10" t="str">
        <f ca="1">IFERROR(__xludf.DUMMYFUNCTION("""COMPUTED_VALUE"""),"Cumplir con normativa y reglamentos internos del programa en base a los objetivos.")</f>
        <v>Cumplir con normativa y reglamentos internos del programa en base a los objetivos.</v>
      </c>
      <c r="K1186" s="71">
        <f ca="1">IFERROR(__xludf.DUMMYFUNCTION("""COMPUTED_VALUE"""),31500000)</f>
        <v>31500000</v>
      </c>
      <c r="L1186" s="72">
        <f ca="1">IFERROR(__xludf.DUMMYFUNCTION("""COMPUTED_VALUE"""),0.3)</f>
        <v>0.3</v>
      </c>
      <c r="M1186" s="10" t="str">
        <f ca="1">IFERROR(__xludf.DUMMYFUNCTION("""COMPUTED_VALUE"""),"E24028/2024")</f>
        <v>E24028/2024</v>
      </c>
      <c r="N1186" s="10" t="str">
        <f ca="1">IFERROR(__xludf.DUMMYFUNCTION("""COMPUTED_VALUE"""),"PMU")</f>
        <v>PMU</v>
      </c>
      <c r="O1186" s="1"/>
      <c r="P1186" s="1"/>
      <c r="Q1186" s="1"/>
      <c r="R1186" s="1"/>
      <c r="S1186" s="1"/>
      <c r="T1186" s="1"/>
      <c r="U1186" s="1"/>
      <c r="V1186" s="1"/>
      <c r="W1186" s="1"/>
      <c r="X1186" s="1"/>
      <c r="Y1186" s="1"/>
      <c r="Z1186" s="1"/>
    </row>
    <row r="1187" spans="1:26" ht="12.75" customHeight="1">
      <c r="A1187" s="1"/>
      <c r="B1187" s="10" t="str">
        <f ca="1">IFERROR(__xludf.DUMMYFUNCTION("""COMPUTED_VALUE"""),"CONSERVACIÓN CALLE ESMERALDA CON CONSTRUCCIÓN DE LUGARES DE DESCANSO, CIUDAD DE RÍO BUENO")</f>
        <v>CONSERVACIÓN CALLE ESMERALDA CON CONSTRUCCIÓN DE LUGARES DE DESCANSO, CIUDAD DE RÍO BUENO</v>
      </c>
      <c r="C1187" s="10" t="str">
        <f ca="1">IFERROR(__xludf.DUMMYFUNCTION("""COMPUTED_VALUE"""),"1-C-2021-1799 [CHA]")</f>
        <v>1-C-2021-1799 [CHA]</v>
      </c>
      <c r="D1187" s="26"/>
      <c r="E1187" s="10" t="str">
        <f ca="1">IFERROR(__xludf.DUMMYFUNCTION("""COMPUTED_VALUE"""),"Guía Operativa")</f>
        <v>Guía Operativa</v>
      </c>
      <c r="F1187" s="10" t="str">
        <f ca="1">IFERROR(__xludf.DUMMYFUNCTION("""COMPUTED_VALUE"""),"MUNICIPALIDAD DE RÍO BUENO")</f>
        <v>MUNICIPALIDAD DE RÍO BUENO</v>
      </c>
      <c r="G1187" s="71">
        <f ca="1">IFERROR(__xludf.DUMMYFUNCTION("""COMPUTED_VALUE"""),99377726)</f>
        <v>99377726</v>
      </c>
      <c r="H1187" s="10" t="str">
        <f ca="1">IFERROR(__xludf.DUMMYFUNCTION("""COMPUTED_VALUE"""),"Resolución")</f>
        <v>Resolución</v>
      </c>
      <c r="I1187" s="10" t="str">
        <f ca="1">IFERROR(__xludf.DUMMYFUNCTION("""COMPUTED_VALUE"""),"OBRA")</f>
        <v>OBRA</v>
      </c>
      <c r="J1187" s="10" t="str">
        <f ca="1">IFERROR(__xludf.DUMMYFUNCTION("""COMPUTED_VALUE"""),"Cumplir con normativa y reglamentos internos del programa en base a los objetivos.")</f>
        <v>Cumplir con normativa y reglamentos internos del programa en base a los objetivos.</v>
      </c>
      <c r="K1187" s="71">
        <f ca="1">IFERROR(__xludf.DUMMYFUNCTION("""COMPUTED_VALUE"""),24294907)</f>
        <v>24294907</v>
      </c>
      <c r="L1187" s="72">
        <f ca="1">IFERROR(__xludf.DUMMYFUNCTION("""COMPUTED_VALUE"""),0.999165617856862)</f>
        <v>0.99916561785686198</v>
      </c>
      <c r="M1187" s="10">
        <f ca="1">IFERROR(__xludf.DUMMYFUNCTION("""COMPUTED_VALUE"""),7341)</f>
        <v>7341</v>
      </c>
      <c r="N1187" s="10" t="str">
        <f ca="1">IFERROR(__xludf.DUMMYFUNCTION("""COMPUTED_VALUE"""),"PMU")</f>
        <v>PMU</v>
      </c>
      <c r="O1187" s="1"/>
      <c r="P1187" s="1"/>
      <c r="Q1187" s="1"/>
      <c r="R1187" s="1"/>
      <c r="S1187" s="1"/>
      <c r="T1187" s="1"/>
      <c r="U1187" s="1"/>
      <c r="V1187" s="1"/>
      <c r="W1187" s="1"/>
      <c r="X1187" s="1"/>
      <c r="Y1187" s="1"/>
      <c r="Z1187" s="1"/>
    </row>
    <row r="1188" spans="1:26" ht="12.75" customHeight="1">
      <c r="A1188" s="1"/>
      <c r="B1188" s="10" t="str">
        <f ca="1">IFERROR(__xludf.DUMMYFUNCTION("""COMPUTED_VALUE"""),"CONSERVACION CANCHA DE FUTBOL LORA")</f>
        <v>CONSERVACION CANCHA DE FUTBOL LORA</v>
      </c>
      <c r="C1188" s="10" t="str">
        <f ca="1">IFERROR(__xludf.DUMMYFUNCTION("""COMPUTED_VALUE"""),"1-B-2024-304")</f>
        <v>1-B-2024-304</v>
      </c>
      <c r="D1188" s="26"/>
      <c r="E1188" s="10" t="str">
        <f ca="1">IFERROR(__xludf.DUMMYFUNCTION("""COMPUTED_VALUE"""),"Guía Operativa")</f>
        <v>Guía Operativa</v>
      </c>
      <c r="F1188" s="10" t="str">
        <f ca="1">IFERROR(__xludf.DUMMYFUNCTION("""COMPUTED_VALUE"""),"MUNICIPALIDAD DE LICANTÉN")</f>
        <v>MUNICIPALIDAD DE LICANTÉN</v>
      </c>
      <c r="G1188" s="71">
        <f ca="1">IFERROR(__xludf.DUMMYFUNCTION("""COMPUTED_VALUE"""),105326610)</f>
        <v>105326610</v>
      </c>
      <c r="H1188" s="10" t="str">
        <f ca="1">IFERROR(__xludf.DUMMYFUNCTION("""COMPUTED_VALUE"""),"Resolución")</f>
        <v>Resolución</v>
      </c>
      <c r="I1188" s="10" t="str">
        <f ca="1">IFERROR(__xludf.DUMMYFUNCTION("""COMPUTED_VALUE"""),"OBRA")</f>
        <v>OBRA</v>
      </c>
      <c r="J1188" s="10" t="str">
        <f ca="1">IFERROR(__xludf.DUMMYFUNCTION("""COMPUTED_VALUE"""),"Cumplir con normativa y reglamentos internos del programa en base a los objetivos.")</f>
        <v>Cumplir con normativa y reglamentos internos del programa en base a los objetivos.</v>
      </c>
      <c r="K1188" s="71">
        <f ca="1">IFERROR(__xludf.DUMMYFUNCTION("""COMPUTED_VALUE"""),105326610)</f>
        <v>105326610</v>
      </c>
      <c r="L1188" s="72">
        <f ca="1">IFERROR(__xludf.DUMMYFUNCTION("""COMPUTED_VALUE"""),1)</f>
        <v>1</v>
      </c>
      <c r="M1188" s="10" t="str">
        <f ca="1">IFERROR(__xludf.DUMMYFUNCTION("""COMPUTED_VALUE"""),"E23704/2024")</f>
        <v>E23704/2024</v>
      </c>
      <c r="N1188" s="10" t="str">
        <f ca="1">IFERROR(__xludf.DUMMYFUNCTION("""COMPUTED_VALUE"""),"PMU")</f>
        <v>PMU</v>
      </c>
      <c r="O1188" s="1"/>
      <c r="P1188" s="1"/>
      <c r="Q1188" s="1"/>
      <c r="R1188" s="1"/>
      <c r="S1188" s="1"/>
      <c r="T1188" s="1"/>
      <c r="U1188" s="1"/>
      <c r="V1188" s="1"/>
      <c r="W1188" s="1"/>
      <c r="X1188" s="1"/>
      <c r="Y1188" s="1"/>
      <c r="Z1188" s="1"/>
    </row>
    <row r="1189" spans="1:26" ht="12.75" customHeight="1">
      <c r="A1189" s="1"/>
      <c r="B1189" s="10" t="str">
        <f ca="1">IFERROR(__xludf.DUMMYFUNCTION("""COMPUTED_VALUE"""),"CONSERVACIÓN PILETAS CENTRO CIVICO, VALPARAÍSO")</f>
        <v>CONSERVACIÓN PILETAS CENTRO CIVICO, VALPARAÍSO</v>
      </c>
      <c r="C1189" s="10" t="str">
        <f ca="1">IFERROR(__xludf.DUMMYFUNCTION("""COMPUTED_VALUE"""),"1-C-2023-3049")</f>
        <v>1-C-2023-3049</v>
      </c>
      <c r="D1189" s="26"/>
      <c r="E1189" s="10" t="str">
        <f ca="1">IFERROR(__xludf.DUMMYFUNCTION("""COMPUTED_VALUE"""),"Guía Operativa")</f>
        <v>Guía Operativa</v>
      </c>
      <c r="F1189" s="10" t="str">
        <f ca="1">IFERROR(__xludf.DUMMYFUNCTION("""COMPUTED_VALUE"""),"MUNICIPALIDAD DE VALPARAÍSO")</f>
        <v>MUNICIPALIDAD DE VALPARAÍSO</v>
      </c>
      <c r="G1189" s="71">
        <f ca="1">IFERROR(__xludf.DUMMYFUNCTION("""COMPUTED_VALUE"""),151106947)</f>
        <v>151106947</v>
      </c>
      <c r="H1189" s="10" t="str">
        <f ca="1">IFERROR(__xludf.DUMMYFUNCTION("""COMPUTED_VALUE"""),"Resolución")</f>
        <v>Resolución</v>
      </c>
      <c r="I1189" s="10" t="str">
        <f ca="1">IFERROR(__xludf.DUMMYFUNCTION("""COMPUTED_VALUE"""),"OBRA")</f>
        <v>OBRA</v>
      </c>
      <c r="J1189" s="10" t="str">
        <f ca="1">IFERROR(__xludf.DUMMYFUNCTION("""COMPUTED_VALUE"""),"Cumplir con normativa y reglamentos internos del programa en base a los objetivos.")</f>
        <v>Cumplir con normativa y reglamentos internos del programa en base a los objetivos.</v>
      </c>
      <c r="K1189" s="71">
        <f ca="1">IFERROR(__xludf.DUMMYFUNCTION("""COMPUTED_VALUE"""),52887431)</f>
        <v>52887431</v>
      </c>
      <c r="L1189" s="72">
        <f ca="1">IFERROR(__xludf.DUMMYFUNCTION("""COMPUTED_VALUE"""),0.349999997021976)</f>
        <v>0.34999999702197598</v>
      </c>
      <c r="M1189" s="10">
        <f ca="1">IFERROR(__xludf.DUMMYFUNCTION("""COMPUTED_VALUE"""),12456)</f>
        <v>12456</v>
      </c>
      <c r="N1189" s="10" t="str">
        <f ca="1">IFERROR(__xludf.DUMMYFUNCTION("""COMPUTED_VALUE"""),"PMU")</f>
        <v>PMU</v>
      </c>
      <c r="O1189" s="1"/>
      <c r="P1189" s="1"/>
      <c r="Q1189" s="1"/>
      <c r="R1189" s="1"/>
      <c r="S1189" s="1"/>
      <c r="T1189" s="1"/>
      <c r="U1189" s="1"/>
      <c r="V1189" s="1"/>
      <c r="W1189" s="1"/>
      <c r="X1189" s="1"/>
      <c r="Y1189" s="1"/>
      <c r="Z1189" s="1"/>
    </row>
    <row r="1190" spans="1:26" ht="12.75" customHeight="1">
      <c r="A1190" s="1"/>
      <c r="B1190" s="10" t="str">
        <f ca="1">IFERROR(__xludf.DUMMYFUNCTION("""COMPUTED_VALUE"""),"CONSTRUCCION CANCHA DE PADEL, COMUNA DE RENAICO")</f>
        <v>CONSTRUCCION CANCHA DE PADEL, COMUNA DE RENAICO</v>
      </c>
      <c r="C1190" s="10" t="str">
        <f ca="1">IFERROR(__xludf.DUMMYFUNCTION("""COMPUTED_VALUE"""),"1-B-2024-530")</f>
        <v>1-B-2024-530</v>
      </c>
      <c r="D1190" s="26"/>
      <c r="E1190" s="10" t="str">
        <f ca="1">IFERROR(__xludf.DUMMYFUNCTION("""COMPUTED_VALUE"""),"Guía Operativa")</f>
        <v>Guía Operativa</v>
      </c>
      <c r="F1190" s="10" t="str">
        <f ca="1">IFERROR(__xludf.DUMMYFUNCTION("""COMPUTED_VALUE"""),"MUNICIPALIDAD DE RENAICO")</f>
        <v>MUNICIPALIDAD DE RENAICO</v>
      </c>
      <c r="G1190" s="71">
        <f ca="1">IFERROR(__xludf.DUMMYFUNCTION("""COMPUTED_VALUE"""),92172771)</f>
        <v>92172771</v>
      </c>
      <c r="H1190" s="10" t="str">
        <f ca="1">IFERROR(__xludf.DUMMYFUNCTION("""COMPUTED_VALUE"""),"Resolución")</f>
        <v>Resolución</v>
      </c>
      <c r="I1190" s="10" t="str">
        <f ca="1">IFERROR(__xludf.DUMMYFUNCTION("""COMPUTED_VALUE"""),"OBRA")</f>
        <v>OBRA</v>
      </c>
      <c r="J1190" s="10" t="str">
        <f ca="1">IFERROR(__xludf.DUMMYFUNCTION("""COMPUTED_VALUE"""),"Cumplir con normativa y reglamentos internos del programa en base a los objetivos.")</f>
        <v>Cumplir con normativa y reglamentos internos del programa en base a los objetivos.</v>
      </c>
      <c r="K1190" s="71">
        <f ca="1">IFERROR(__xludf.DUMMYFUNCTION("""COMPUTED_VALUE"""),92172771)</f>
        <v>92172771</v>
      </c>
      <c r="L1190" s="72">
        <f ca="1">IFERROR(__xludf.DUMMYFUNCTION("""COMPUTED_VALUE"""),1)</f>
        <v>1</v>
      </c>
      <c r="M1190" s="10" t="str">
        <f ca="1">IFERROR(__xludf.DUMMYFUNCTION("""COMPUTED_VALUE"""),"E23604/2024")</f>
        <v>E23604/2024</v>
      </c>
      <c r="N1190" s="10" t="str">
        <f ca="1">IFERROR(__xludf.DUMMYFUNCTION("""COMPUTED_VALUE"""),"PMU")</f>
        <v>PMU</v>
      </c>
      <c r="O1190" s="1"/>
      <c r="P1190" s="1"/>
      <c r="Q1190" s="1"/>
      <c r="R1190" s="1"/>
      <c r="S1190" s="1"/>
      <c r="T1190" s="1"/>
      <c r="U1190" s="1"/>
      <c r="V1190" s="1"/>
      <c r="W1190" s="1"/>
      <c r="X1190" s="1"/>
      <c r="Y1190" s="1"/>
      <c r="Z1190" s="1"/>
    </row>
    <row r="1191" spans="1:26" ht="12.75" customHeight="1">
      <c r="A1191" s="1"/>
      <c r="B1191" s="10" t="str">
        <f ca="1">IFERROR(__xludf.DUMMYFUNCTION("""COMPUTED_VALUE"""),"CONSTRUCCIÓN CIERRE PERIMETRAL Y CONSERVACIÓN SEDE JUNTA DE VECINOS 27 DE FEBRERO, LEBU")</f>
        <v>CONSTRUCCIÓN CIERRE PERIMETRAL Y CONSERVACIÓN SEDE JUNTA DE VECINOS 27 DE FEBRERO, LEBU</v>
      </c>
      <c r="C1191" s="10" t="str">
        <f ca="1">IFERROR(__xludf.DUMMYFUNCTION("""COMPUTED_VALUE"""),"1-C-2024-1747")</f>
        <v>1-C-2024-1747</v>
      </c>
      <c r="D1191" s="26"/>
      <c r="E1191" s="10" t="str">
        <f ca="1">IFERROR(__xludf.DUMMYFUNCTION("""COMPUTED_VALUE"""),"Guía Operativa")</f>
        <v>Guía Operativa</v>
      </c>
      <c r="F1191" s="10" t="str">
        <f ca="1">IFERROR(__xludf.DUMMYFUNCTION("""COMPUTED_VALUE"""),"MUNICIPALIDAD DE LEBU")</f>
        <v>MUNICIPALIDAD DE LEBU</v>
      </c>
      <c r="G1191" s="71">
        <f ca="1">IFERROR(__xludf.DUMMYFUNCTION("""COMPUTED_VALUE"""),135165836)</f>
        <v>135165836</v>
      </c>
      <c r="H1191" s="10" t="str">
        <f ca="1">IFERROR(__xludf.DUMMYFUNCTION("""COMPUTED_VALUE"""),"Resolución")</f>
        <v>Resolución</v>
      </c>
      <c r="I1191" s="10" t="str">
        <f ca="1">IFERROR(__xludf.DUMMYFUNCTION("""COMPUTED_VALUE"""),"OBRA")</f>
        <v>OBRA</v>
      </c>
      <c r="J1191" s="10" t="str">
        <f ca="1">IFERROR(__xludf.DUMMYFUNCTION("""COMPUTED_VALUE"""),"Cumplir con normativa y reglamentos internos del programa en base a los objetivos.")</f>
        <v>Cumplir con normativa y reglamentos internos del programa en base a los objetivos.</v>
      </c>
      <c r="K1191" s="71">
        <f ca="1">IFERROR(__xludf.DUMMYFUNCTION("""COMPUTED_VALUE"""),30000000)</f>
        <v>30000000</v>
      </c>
      <c r="L1191" s="72">
        <f ca="1">IFERROR(__xludf.DUMMYFUNCTION("""COMPUTED_VALUE"""),0.22194957607483)</f>
        <v>0.22194957607483001</v>
      </c>
      <c r="M1191" s="10">
        <f ca="1">IFERROR(__xludf.DUMMYFUNCTION("""COMPUTED_VALUE"""),12464)</f>
        <v>12464</v>
      </c>
      <c r="N1191" s="10" t="str">
        <f ca="1">IFERROR(__xludf.DUMMYFUNCTION("""COMPUTED_VALUE"""),"PMU")</f>
        <v>PMU</v>
      </c>
      <c r="O1191" s="1"/>
      <c r="P1191" s="1"/>
      <c r="Q1191" s="1"/>
      <c r="R1191" s="1"/>
      <c r="S1191" s="1"/>
      <c r="T1191" s="1"/>
      <c r="U1191" s="1"/>
      <c r="V1191" s="1"/>
      <c r="W1191" s="1"/>
      <c r="X1191" s="1"/>
      <c r="Y1191" s="1"/>
      <c r="Z1191" s="1"/>
    </row>
    <row r="1192" spans="1:26" ht="12.75" customHeight="1">
      <c r="A1192" s="1"/>
      <c r="B1192" s="10" t="str">
        <f ca="1">IFERROR(__xludf.DUMMYFUNCTION("""COMPUTED_VALUE"""),"CONSTRUCCION CUBIERTA GRADERIAS ESTADIO MUNICIPAL, COMUNA DE LOLOL")</f>
        <v>CONSTRUCCION CUBIERTA GRADERIAS ESTADIO MUNICIPAL, COMUNA DE LOLOL</v>
      </c>
      <c r="C1192" s="10" t="str">
        <f ca="1">IFERROR(__xludf.DUMMYFUNCTION("""COMPUTED_VALUE"""),"1-B-2024-346")</f>
        <v>1-B-2024-346</v>
      </c>
      <c r="D1192" s="26"/>
      <c r="E1192" s="10" t="str">
        <f ca="1">IFERROR(__xludf.DUMMYFUNCTION("""COMPUTED_VALUE"""),"Guía Operativa")</f>
        <v>Guía Operativa</v>
      </c>
      <c r="F1192" s="10" t="str">
        <f ca="1">IFERROR(__xludf.DUMMYFUNCTION("""COMPUTED_VALUE"""),"MUNICIPALIDAD DE LOLOL")</f>
        <v>MUNICIPALIDAD DE LOLOL</v>
      </c>
      <c r="G1192" s="71">
        <f ca="1">IFERROR(__xludf.DUMMYFUNCTION("""COMPUTED_VALUE"""),124485583)</f>
        <v>124485583</v>
      </c>
      <c r="H1192" s="10" t="str">
        <f ca="1">IFERROR(__xludf.DUMMYFUNCTION("""COMPUTED_VALUE"""),"Resolución")</f>
        <v>Resolución</v>
      </c>
      <c r="I1192" s="10" t="str">
        <f ca="1">IFERROR(__xludf.DUMMYFUNCTION("""COMPUTED_VALUE"""),"OBRA")</f>
        <v>OBRA</v>
      </c>
      <c r="J1192" s="10" t="str">
        <f ca="1">IFERROR(__xludf.DUMMYFUNCTION("""COMPUTED_VALUE"""),"Cumplir con normativa y reglamentos internos del programa en base a los objetivos.")</f>
        <v>Cumplir con normativa y reglamentos internos del programa en base a los objetivos.</v>
      </c>
      <c r="K1192" s="71">
        <f ca="1">IFERROR(__xludf.DUMMYFUNCTION("""COMPUTED_VALUE"""),124485583)</f>
        <v>124485583</v>
      </c>
      <c r="L1192" s="72">
        <f ca="1">IFERROR(__xludf.DUMMYFUNCTION("""COMPUTED_VALUE"""),1)</f>
        <v>1</v>
      </c>
      <c r="M1192" s="10">
        <f ca="1">IFERROR(__xludf.DUMMYFUNCTION("""COMPUTED_VALUE"""),11428)</f>
        <v>11428</v>
      </c>
      <c r="N1192" s="10" t="str">
        <f ca="1">IFERROR(__xludf.DUMMYFUNCTION("""COMPUTED_VALUE"""),"PMU")</f>
        <v>PMU</v>
      </c>
      <c r="O1192" s="1"/>
      <c r="P1192" s="1"/>
      <c r="Q1192" s="1"/>
      <c r="R1192" s="1"/>
      <c r="S1192" s="1"/>
      <c r="T1192" s="1"/>
      <c r="U1192" s="1"/>
      <c r="V1192" s="1"/>
      <c r="W1192" s="1"/>
      <c r="X1192" s="1"/>
      <c r="Y1192" s="1"/>
      <c r="Z1192" s="1"/>
    </row>
    <row r="1193" spans="1:26" ht="12.75" customHeight="1">
      <c r="A1193" s="1"/>
      <c r="B1193" s="10" t="str">
        <f ca="1">IFERROR(__xludf.DUMMYFUNCTION("""COMPUTED_VALUE"""),"CONSTRUCCIÓN CUBIERTA METÁLICA SEDE COMUNITARIA GUALLECO, COMUNA DE CUREPTO")</f>
        <v>CONSTRUCCIÓN CUBIERTA METÁLICA SEDE COMUNITARIA GUALLECO, COMUNA DE CUREPTO</v>
      </c>
      <c r="C1193" s="10" t="str">
        <f ca="1">IFERROR(__xludf.DUMMYFUNCTION("""COMPUTED_VALUE"""),"1-B-2024-217")</f>
        <v>1-B-2024-217</v>
      </c>
      <c r="D1193" s="26"/>
      <c r="E1193" s="10" t="str">
        <f ca="1">IFERROR(__xludf.DUMMYFUNCTION("""COMPUTED_VALUE"""),"Guía Operativa")</f>
        <v>Guía Operativa</v>
      </c>
      <c r="F1193" s="10" t="str">
        <f ca="1">IFERROR(__xludf.DUMMYFUNCTION("""COMPUTED_VALUE"""),"MUNICIPALIDAD DE CUREPTO")</f>
        <v>MUNICIPALIDAD DE CUREPTO</v>
      </c>
      <c r="G1193" s="71">
        <f ca="1">IFERROR(__xludf.DUMMYFUNCTION("""COMPUTED_VALUE"""),98587679)</f>
        <v>98587679</v>
      </c>
      <c r="H1193" s="10" t="str">
        <f ca="1">IFERROR(__xludf.DUMMYFUNCTION("""COMPUTED_VALUE"""),"Resolución")</f>
        <v>Resolución</v>
      </c>
      <c r="I1193" s="10" t="str">
        <f ca="1">IFERROR(__xludf.DUMMYFUNCTION("""COMPUTED_VALUE"""),"OBRA")</f>
        <v>OBRA</v>
      </c>
      <c r="J1193" s="10" t="str">
        <f ca="1">IFERROR(__xludf.DUMMYFUNCTION("""COMPUTED_VALUE"""),"Cumplir con normativa y reglamentos internos del programa en base a los objetivos.")</f>
        <v>Cumplir con normativa y reglamentos internos del programa en base a los objetivos.</v>
      </c>
      <c r="K1193" s="71">
        <f ca="1">IFERROR(__xludf.DUMMYFUNCTION("""COMPUTED_VALUE"""),29576304)</f>
        <v>29576304</v>
      </c>
      <c r="L1193" s="72">
        <f ca="1">IFERROR(__xludf.DUMMYFUNCTION("""COMPUTED_VALUE"""),0.300000003042976)</f>
        <v>0.30000000304297603</v>
      </c>
      <c r="M1193" s="10">
        <f ca="1">IFERROR(__xludf.DUMMYFUNCTION("""COMPUTED_VALUE"""),11732)</f>
        <v>11732</v>
      </c>
      <c r="N1193" s="10" t="str">
        <f ca="1">IFERROR(__xludf.DUMMYFUNCTION("""COMPUTED_VALUE"""),"PMU")</f>
        <v>PMU</v>
      </c>
      <c r="O1193" s="1"/>
      <c r="P1193" s="1"/>
      <c r="Q1193" s="1"/>
      <c r="R1193" s="1"/>
      <c r="S1193" s="1"/>
      <c r="T1193" s="1"/>
      <c r="U1193" s="1"/>
      <c r="V1193" s="1"/>
      <c r="W1193" s="1"/>
      <c r="X1193" s="1"/>
      <c r="Y1193" s="1"/>
      <c r="Z1193" s="1"/>
    </row>
    <row r="1194" spans="1:26" ht="12.75" customHeight="1">
      <c r="A1194" s="1"/>
      <c r="B1194" s="10" t="str">
        <f ca="1">IFERROR(__xludf.DUMMYFUNCTION("""COMPUTED_VALUE"""),"CONSTRUCCIÓN INFRAESTRUCTURA SOCIAL MULTIPROPÓSITO UCAM, CAUQUENES")</f>
        <v>CONSTRUCCIÓN INFRAESTRUCTURA SOCIAL MULTIPROPÓSITO UCAM, CAUQUENES</v>
      </c>
      <c r="C1194" s="10" t="str">
        <f ca="1">IFERROR(__xludf.DUMMYFUNCTION("""COMPUTED_VALUE"""),"1-C-2023-1508")</f>
        <v>1-C-2023-1508</v>
      </c>
      <c r="D1194" s="26"/>
      <c r="E1194" s="10" t="str">
        <f ca="1">IFERROR(__xludf.DUMMYFUNCTION("""COMPUTED_VALUE"""),"Guía Operativa")</f>
        <v>Guía Operativa</v>
      </c>
      <c r="F1194" s="10" t="str">
        <f ca="1">IFERROR(__xludf.DUMMYFUNCTION("""COMPUTED_VALUE"""),"MUNICIPALIDAD DE CAUQUENES")</f>
        <v>MUNICIPALIDAD DE CAUQUENES</v>
      </c>
      <c r="G1194" s="71">
        <f ca="1">IFERROR(__xludf.DUMMYFUNCTION("""COMPUTED_VALUE"""),132301231)</f>
        <v>132301231</v>
      </c>
      <c r="H1194" s="10" t="str">
        <f ca="1">IFERROR(__xludf.DUMMYFUNCTION("""COMPUTED_VALUE"""),"Resolución")</f>
        <v>Resolución</v>
      </c>
      <c r="I1194" s="10" t="str">
        <f ca="1">IFERROR(__xludf.DUMMYFUNCTION("""COMPUTED_VALUE"""),"OBRA")</f>
        <v>OBRA</v>
      </c>
      <c r="J1194" s="10" t="str">
        <f ca="1">IFERROR(__xludf.DUMMYFUNCTION("""COMPUTED_VALUE"""),"Cumplir con normativa y reglamentos internos del programa en base a los objetivos.")</f>
        <v>Cumplir con normativa y reglamentos internos del programa en base a los objetivos.</v>
      </c>
      <c r="K1194" s="71">
        <f ca="1">IFERROR(__xludf.DUMMYFUNCTION("""COMPUTED_VALUE"""),66150616)</f>
        <v>66150616</v>
      </c>
      <c r="L1194" s="72">
        <f ca="1">IFERROR(__xludf.DUMMYFUNCTION("""COMPUTED_VALUE"""),0.500000003779254)</f>
        <v>0.50000000377925402</v>
      </c>
      <c r="M1194" s="10" t="str">
        <f ca="1">IFERROR(__xludf.DUMMYFUNCTION("""COMPUTED_VALUE"""),"E20119/2024")</f>
        <v>E20119/2024</v>
      </c>
      <c r="N1194" s="10" t="str">
        <f ca="1">IFERROR(__xludf.DUMMYFUNCTION("""COMPUTED_VALUE"""),"PMU")</f>
        <v>PMU</v>
      </c>
      <c r="O1194" s="1"/>
      <c r="P1194" s="1"/>
      <c r="Q1194" s="1"/>
      <c r="R1194" s="1"/>
      <c r="S1194" s="1"/>
      <c r="T1194" s="1"/>
      <c r="U1194" s="1"/>
      <c r="V1194" s="1"/>
      <c r="W1194" s="1"/>
      <c r="X1194" s="1"/>
      <c r="Y1194" s="1"/>
      <c r="Z1194" s="1"/>
    </row>
    <row r="1195" spans="1:26" ht="12.75" customHeight="1">
      <c r="A1195" s="1"/>
      <c r="B1195" s="10" t="str">
        <f ca="1">IFERROR(__xludf.DUMMYFUNCTION("""COMPUTED_VALUE"""),"CONSTRUCCIÓN PLAZOLETA LOICA ABAJO")</f>
        <v>CONSTRUCCIÓN PLAZOLETA LOICA ABAJO</v>
      </c>
      <c r="C1195" s="10" t="str">
        <f ca="1">IFERROR(__xludf.DUMMYFUNCTION("""COMPUTED_VALUE"""),"1-B-2024-430")</f>
        <v>1-B-2024-430</v>
      </c>
      <c r="D1195" s="26"/>
      <c r="E1195" s="10" t="str">
        <f ca="1">IFERROR(__xludf.DUMMYFUNCTION("""COMPUTED_VALUE"""),"Guía Operativa")</f>
        <v>Guía Operativa</v>
      </c>
      <c r="F1195" s="10" t="str">
        <f ca="1">IFERROR(__xludf.DUMMYFUNCTION("""COMPUTED_VALUE"""),"MUNICIPALIDAD DE SAN PEDRO")</f>
        <v>MUNICIPALIDAD DE SAN PEDRO</v>
      </c>
      <c r="G1195" s="71">
        <f ca="1">IFERROR(__xludf.DUMMYFUNCTION("""COMPUTED_VALUE"""),126851963)</f>
        <v>126851963</v>
      </c>
      <c r="H1195" s="10" t="str">
        <f ca="1">IFERROR(__xludf.DUMMYFUNCTION("""COMPUTED_VALUE"""),"Resolución")</f>
        <v>Resolución</v>
      </c>
      <c r="I1195" s="10" t="str">
        <f ca="1">IFERROR(__xludf.DUMMYFUNCTION("""COMPUTED_VALUE"""),"OBRA")</f>
        <v>OBRA</v>
      </c>
      <c r="J1195" s="10" t="str">
        <f ca="1">IFERROR(__xludf.DUMMYFUNCTION("""COMPUTED_VALUE"""),"Cumplir con normativa y reglamentos internos del programa en base a los objetivos.")</f>
        <v>Cumplir con normativa y reglamentos internos del programa en base a los objetivos.</v>
      </c>
      <c r="K1195" s="71">
        <f ca="1">IFERROR(__xludf.DUMMYFUNCTION("""COMPUTED_VALUE"""),126851963)</f>
        <v>126851963</v>
      </c>
      <c r="L1195" s="72">
        <f ca="1">IFERROR(__xludf.DUMMYFUNCTION("""COMPUTED_VALUE"""),1)</f>
        <v>1</v>
      </c>
      <c r="M1195" s="10">
        <f ca="1">IFERROR(__xludf.DUMMYFUNCTION("""COMPUTED_VALUE"""),11756)</f>
        <v>11756</v>
      </c>
      <c r="N1195" s="10" t="str">
        <f ca="1">IFERROR(__xludf.DUMMYFUNCTION("""COMPUTED_VALUE"""),"PMU")</f>
        <v>PMU</v>
      </c>
      <c r="O1195" s="1"/>
      <c r="P1195" s="1"/>
      <c r="Q1195" s="1"/>
      <c r="R1195" s="1"/>
      <c r="S1195" s="1"/>
      <c r="T1195" s="1"/>
      <c r="U1195" s="1"/>
      <c r="V1195" s="1"/>
      <c r="W1195" s="1"/>
      <c r="X1195" s="1"/>
      <c r="Y1195" s="1"/>
      <c r="Z1195" s="1"/>
    </row>
    <row r="1196" spans="1:26" ht="12.75" customHeight="1">
      <c r="A1196" s="1"/>
      <c r="B1196" s="10" t="str">
        <f ca="1">IFERROR(__xludf.DUMMYFUNCTION("""COMPUTED_VALUE"""),"CONSTRUCCION PUNTOS DE ILUMINACIÓN UNIDADES VECINALES 52, 11, 32, 34, 17, 45, 38, 58, DE LA COMUNA DE SAN BERNARDO")</f>
        <v>CONSTRUCCION PUNTOS DE ILUMINACIÓN UNIDADES VECINALES 52, 11, 32, 34, 17, 45, 38, 58, DE LA COMUNA DE SAN BERNARDO</v>
      </c>
      <c r="C1196" s="10" t="str">
        <f ca="1">IFERROR(__xludf.DUMMYFUNCTION("""COMPUTED_VALUE"""),"1-B-2024-458")</f>
        <v>1-B-2024-458</v>
      </c>
      <c r="D1196" s="26"/>
      <c r="E1196" s="10" t="str">
        <f ca="1">IFERROR(__xludf.DUMMYFUNCTION("""COMPUTED_VALUE"""),"Guía Operativa")</f>
        <v>Guía Operativa</v>
      </c>
      <c r="F1196" s="10" t="str">
        <f ca="1">IFERROR(__xludf.DUMMYFUNCTION("""COMPUTED_VALUE"""),"MUNICIPALIDAD DE SAN BERNARDO")</f>
        <v>MUNICIPALIDAD DE SAN BERNARDO</v>
      </c>
      <c r="G1196" s="71">
        <f ca="1">IFERROR(__xludf.DUMMYFUNCTION("""COMPUTED_VALUE"""),84698250)</f>
        <v>84698250</v>
      </c>
      <c r="H1196" s="10" t="str">
        <f ca="1">IFERROR(__xludf.DUMMYFUNCTION("""COMPUTED_VALUE"""),"Resolución")</f>
        <v>Resolución</v>
      </c>
      <c r="I1196" s="10" t="str">
        <f ca="1">IFERROR(__xludf.DUMMYFUNCTION("""COMPUTED_VALUE"""),"OBRA")</f>
        <v>OBRA</v>
      </c>
      <c r="J1196" s="10" t="str">
        <f ca="1">IFERROR(__xludf.DUMMYFUNCTION("""COMPUTED_VALUE"""),"Cumplir con normativa y reglamentos internos del programa en base a los objetivos.")</f>
        <v>Cumplir con normativa y reglamentos internos del programa en base a los objetivos.</v>
      </c>
      <c r="K1196" s="71">
        <f ca="1">IFERROR(__xludf.DUMMYFUNCTION("""COMPUTED_VALUE"""),25409475)</f>
        <v>25409475</v>
      </c>
      <c r="L1196" s="72">
        <f ca="1">IFERROR(__xludf.DUMMYFUNCTION("""COMPUTED_VALUE"""),0.3)</f>
        <v>0.3</v>
      </c>
      <c r="M1196" s="10" t="str">
        <f ca="1">IFERROR(__xludf.DUMMYFUNCTION("""COMPUTED_VALUE"""),"E24011/2024")</f>
        <v>E24011/2024</v>
      </c>
      <c r="N1196" s="10" t="str">
        <f ca="1">IFERROR(__xludf.DUMMYFUNCTION("""COMPUTED_VALUE"""),"PMU")</f>
        <v>PMU</v>
      </c>
      <c r="O1196" s="1"/>
      <c r="P1196" s="1"/>
      <c r="Q1196" s="1"/>
      <c r="R1196" s="1"/>
      <c r="S1196" s="1"/>
      <c r="T1196" s="1"/>
      <c r="U1196" s="1"/>
      <c r="V1196" s="1"/>
      <c r="W1196" s="1"/>
      <c r="X1196" s="1"/>
      <c r="Y1196" s="1"/>
      <c r="Z1196" s="1"/>
    </row>
    <row r="1197" spans="1:26" ht="12.75" customHeight="1">
      <c r="A1197" s="1"/>
      <c r="B1197" s="10" t="str">
        <f ca="1">IFERROR(__xludf.DUMMYFUNCTION("""COMPUTED_VALUE"""),"CONSTRUCCIÓN SALON COMUNITARIO, CLUB DEPORTIVO ARRIMA, COMUNA DE PLACILLA")</f>
        <v>CONSTRUCCIÓN SALON COMUNITARIO, CLUB DEPORTIVO ARRIMA, COMUNA DE PLACILLA</v>
      </c>
      <c r="C1197" s="10" t="str">
        <f ca="1">IFERROR(__xludf.DUMMYFUNCTION("""COMPUTED_VALUE"""),"1-C-2019-1306")</f>
        <v>1-C-2019-1306</v>
      </c>
      <c r="D1197" s="26"/>
      <c r="E1197" s="10" t="str">
        <f ca="1">IFERROR(__xludf.DUMMYFUNCTION("""COMPUTED_VALUE"""),"Guía Operativa")</f>
        <v>Guía Operativa</v>
      </c>
      <c r="F1197" s="10" t="str">
        <f ca="1">IFERROR(__xludf.DUMMYFUNCTION("""COMPUTED_VALUE"""),"MUNICIPALIDAD DE PLACILLA")</f>
        <v>MUNICIPALIDAD DE PLACILLA</v>
      </c>
      <c r="G1197" s="71">
        <f ca="1">IFERROR(__xludf.DUMMYFUNCTION("""COMPUTED_VALUE"""),74999999)</f>
        <v>74999999</v>
      </c>
      <c r="H1197" s="10" t="str">
        <f ca="1">IFERROR(__xludf.DUMMYFUNCTION("""COMPUTED_VALUE"""),"Resolución")</f>
        <v>Resolución</v>
      </c>
      <c r="I1197" s="10" t="str">
        <f ca="1">IFERROR(__xludf.DUMMYFUNCTION("""COMPUTED_VALUE"""),"OBRA")</f>
        <v>OBRA</v>
      </c>
      <c r="J1197" s="10" t="str">
        <f ca="1">IFERROR(__xludf.DUMMYFUNCTION("""COMPUTED_VALUE"""),"Cumplir con normativa y reglamentos internos del programa en base a los objetivos.")</f>
        <v>Cumplir con normativa y reglamentos internos del programa en base a los objetivos.</v>
      </c>
      <c r="K1197" s="71">
        <f ca="1">IFERROR(__xludf.DUMMYFUNCTION("""COMPUTED_VALUE"""),15052261)</f>
        <v>15052261</v>
      </c>
      <c r="L1197" s="72">
        <f ca="1">IFERROR(__xludf.DUMMYFUNCTION("""COMPUTED_VALUE"""),0.998824666650995)</f>
        <v>0.99882466665099501</v>
      </c>
      <c r="M1197" s="10">
        <f ca="1">IFERROR(__xludf.DUMMYFUNCTION("""COMPUTED_VALUE"""),12257)</f>
        <v>12257</v>
      </c>
      <c r="N1197" s="10" t="str">
        <f ca="1">IFERROR(__xludf.DUMMYFUNCTION("""COMPUTED_VALUE"""),"PMU")</f>
        <v>PMU</v>
      </c>
      <c r="O1197" s="1"/>
      <c r="P1197" s="1"/>
      <c r="Q1197" s="1"/>
      <c r="R1197" s="1"/>
      <c r="S1197" s="1"/>
      <c r="T1197" s="1"/>
      <c r="U1197" s="1"/>
      <c r="V1197" s="1"/>
      <c r="W1197" s="1"/>
      <c r="X1197" s="1"/>
      <c r="Y1197" s="1"/>
      <c r="Z1197" s="1"/>
    </row>
    <row r="1198" spans="1:26" ht="12.75" customHeight="1">
      <c r="A1198" s="1"/>
      <c r="B1198" s="10" t="str">
        <f ca="1">IFERROR(__xludf.DUMMYFUNCTION("""COMPUTED_VALUE"""),"CONSTRUCCIÓN SEDE SOCIAL VILLA ALVARADO, COINCO")</f>
        <v>CONSTRUCCIÓN SEDE SOCIAL VILLA ALVARADO, COINCO</v>
      </c>
      <c r="C1198" s="10" t="str">
        <f ca="1">IFERROR(__xludf.DUMMYFUNCTION("""COMPUTED_VALUE"""),"1-B-2024-373")</f>
        <v>1-B-2024-373</v>
      </c>
      <c r="D1198" s="26"/>
      <c r="E1198" s="10" t="str">
        <f ca="1">IFERROR(__xludf.DUMMYFUNCTION("""COMPUTED_VALUE"""),"Guía Operativa")</f>
        <v>Guía Operativa</v>
      </c>
      <c r="F1198" s="10" t="str">
        <f ca="1">IFERROR(__xludf.DUMMYFUNCTION("""COMPUTED_VALUE"""),"MUNICIPALIDAD DE COINCO")</f>
        <v>MUNICIPALIDAD DE COINCO</v>
      </c>
      <c r="G1198" s="71">
        <f ca="1">IFERROR(__xludf.DUMMYFUNCTION("""COMPUTED_VALUE"""),106259907)</f>
        <v>106259907</v>
      </c>
      <c r="H1198" s="10" t="str">
        <f ca="1">IFERROR(__xludf.DUMMYFUNCTION("""COMPUTED_VALUE"""),"Resolución")</f>
        <v>Resolución</v>
      </c>
      <c r="I1198" s="10" t="str">
        <f ca="1">IFERROR(__xludf.DUMMYFUNCTION("""COMPUTED_VALUE"""),"OBRA")</f>
        <v>OBRA</v>
      </c>
      <c r="J1198" s="10" t="str">
        <f ca="1">IFERROR(__xludf.DUMMYFUNCTION("""COMPUTED_VALUE"""),"Cumplir con normativa y reglamentos internos del programa en base a los objetivos.")</f>
        <v>Cumplir con normativa y reglamentos internos del programa en base a los objetivos.</v>
      </c>
      <c r="K1198" s="71">
        <f ca="1">IFERROR(__xludf.DUMMYFUNCTION("""COMPUTED_VALUE"""),106259907)</f>
        <v>106259907</v>
      </c>
      <c r="L1198" s="72">
        <f ca="1">IFERROR(__xludf.DUMMYFUNCTION("""COMPUTED_VALUE"""),1)</f>
        <v>1</v>
      </c>
      <c r="M1198" s="10" t="str">
        <f ca="1">IFERROR(__xludf.DUMMYFUNCTION("""COMPUTED_VALUE"""),"E23097/2024")</f>
        <v>E23097/2024</v>
      </c>
      <c r="N1198" s="10" t="str">
        <f ca="1">IFERROR(__xludf.DUMMYFUNCTION("""COMPUTED_VALUE"""),"PMU")</f>
        <v>PMU</v>
      </c>
      <c r="O1198" s="1"/>
      <c r="P1198" s="1"/>
      <c r="Q1198" s="1"/>
      <c r="R1198" s="1"/>
      <c r="S1198" s="1"/>
      <c r="T1198" s="1"/>
      <c r="U1198" s="1"/>
      <c r="V1198" s="1"/>
      <c r="W1198" s="1"/>
      <c r="X1198" s="1"/>
      <c r="Y1198" s="1"/>
      <c r="Z1198" s="1"/>
    </row>
    <row r="1199" spans="1:26" ht="12.75" customHeight="1">
      <c r="A1199" s="1"/>
      <c r="B1199" s="10" t="str">
        <f ca="1">IFERROR(__xludf.DUMMYFUNCTION("""COMPUTED_VALUE"""),"CONSTRUCCIÓN SKATEPARK. COMUNA DE FLORIDA")</f>
        <v>CONSTRUCCIÓN SKATEPARK. COMUNA DE FLORIDA</v>
      </c>
      <c r="C1199" s="10" t="str">
        <f ca="1">IFERROR(__xludf.DUMMYFUNCTION("""COMPUTED_VALUE"""),"1-C-2022-119 [FET]")</f>
        <v>1-C-2022-119 [FET]</v>
      </c>
      <c r="D1199" s="26"/>
      <c r="E1199" s="10" t="str">
        <f ca="1">IFERROR(__xludf.DUMMYFUNCTION("""COMPUTED_VALUE"""),"Guía Operativa")</f>
        <v>Guía Operativa</v>
      </c>
      <c r="F1199" s="10" t="str">
        <f ca="1">IFERROR(__xludf.DUMMYFUNCTION("""COMPUTED_VALUE"""),"MUNICIPALIDAD DE FLORIDA")</f>
        <v>MUNICIPALIDAD DE FLORIDA</v>
      </c>
      <c r="G1199" s="71">
        <f ca="1">IFERROR(__xludf.DUMMYFUNCTION("""COMPUTED_VALUE"""),97341108)</f>
        <v>97341108</v>
      </c>
      <c r="H1199" s="10" t="str">
        <f ca="1">IFERROR(__xludf.DUMMYFUNCTION("""COMPUTED_VALUE"""),"Resolución")</f>
        <v>Resolución</v>
      </c>
      <c r="I1199" s="10" t="str">
        <f ca="1">IFERROR(__xludf.DUMMYFUNCTION("""COMPUTED_VALUE"""),"OBRA")</f>
        <v>OBRA</v>
      </c>
      <c r="J1199" s="10" t="str">
        <f ca="1">IFERROR(__xludf.DUMMYFUNCTION("""COMPUTED_VALUE"""),"Cumplir con normativa y reglamentos internos del programa en base a los objetivos.")</f>
        <v>Cumplir con normativa y reglamentos internos del programa en base a los objetivos.</v>
      </c>
      <c r="K1199" s="71">
        <f ca="1">IFERROR(__xludf.DUMMYFUNCTION("""COMPUTED_VALUE"""),22053265)</f>
        <v>22053265</v>
      </c>
      <c r="L1199" s="72">
        <f ca="1">IFERROR(__xludf.DUMMYFUNCTION("""COMPUTED_VALUE"""),0.996495755934892)</f>
        <v>0.99649575593489204</v>
      </c>
      <c r="M1199" s="10">
        <f ca="1">IFERROR(__xludf.DUMMYFUNCTION("""COMPUTED_VALUE"""),4339)</f>
        <v>4339</v>
      </c>
      <c r="N1199" s="10" t="str">
        <f ca="1">IFERROR(__xludf.DUMMYFUNCTION("""COMPUTED_VALUE"""),"PMU")</f>
        <v>PMU</v>
      </c>
      <c r="O1199" s="1"/>
      <c r="P1199" s="1"/>
      <c r="Q1199" s="1"/>
      <c r="R1199" s="1"/>
      <c r="S1199" s="1"/>
      <c r="T1199" s="1"/>
      <c r="U1199" s="1"/>
      <c r="V1199" s="1"/>
      <c r="W1199" s="1"/>
      <c r="X1199" s="1"/>
      <c r="Y1199" s="1"/>
      <c r="Z1199" s="1"/>
    </row>
    <row r="1200" spans="1:26" ht="12.75" customHeight="1">
      <c r="A1200" s="1"/>
      <c r="B1200" s="10" t="str">
        <f ca="1">IFERROR(__xludf.DUMMYFUNCTION("""COMPUTED_VALUE"""),"CSV CONSTRUCCIÓN Y MEJORAMIENTO DE ALUMBADO PÚBLICO Y VEREDAS EN AVENIDA ERRAZURIZ INTERSECCIÓN CAMPO DE HIELO")</f>
        <v>CSV CONSTRUCCIÓN Y MEJORAMIENTO DE ALUMBADO PÚBLICO Y VEREDAS EN AVENIDA ERRAZURIZ INTERSECCIÓN CAMPO DE HIELO</v>
      </c>
      <c r="C1200" s="10" t="str">
        <f ca="1">IFERROR(__xludf.DUMMYFUNCTION("""COMPUTED_VALUE"""),"1-C-2024-940")</f>
        <v>1-C-2024-940</v>
      </c>
      <c r="D1200" s="26"/>
      <c r="E1200" s="10" t="str">
        <f ca="1">IFERROR(__xludf.DUMMYFUNCTION("""COMPUTED_VALUE"""),"Guía Operativa")</f>
        <v>Guía Operativa</v>
      </c>
      <c r="F1200" s="10" t="str">
        <f ca="1">IFERROR(__xludf.DUMMYFUNCTION("""COMPUTED_VALUE"""),"MUNICIPALIDAD DE COYHAIQUE")</f>
        <v>MUNICIPALIDAD DE COYHAIQUE</v>
      </c>
      <c r="G1200" s="71">
        <f ca="1">IFERROR(__xludf.DUMMYFUNCTION("""COMPUTED_VALUE"""),160221417)</f>
        <v>160221417</v>
      </c>
      <c r="H1200" s="10" t="str">
        <f ca="1">IFERROR(__xludf.DUMMYFUNCTION("""COMPUTED_VALUE"""),"Resolución")</f>
        <v>Resolución</v>
      </c>
      <c r="I1200" s="10" t="str">
        <f ca="1">IFERROR(__xludf.DUMMYFUNCTION("""COMPUTED_VALUE"""),"OBRA")</f>
        <v>OBRA</v>
      </c>
      <c r="J1200" s="10" t="str">
        <f ca="1">IFERROR(__xludf.DUMMYFUNCTION("""COMPUTED_VALUE"""),"Cumplir con normativa y reglamentos internos del programa en base a los objetivos.")</f>
        <v>Cumplir con normativa y reglamentos internos del programa en base a los objetivos.</v>
      </c>
      <c r="K1200" s="71">
        <f ca="1">IFERROR(__xludf.DUMMYFUNCTION("""COMPUTED_VALUE"""),80110709)</f>
        <v>80110709</v>
      </c>
      <c r="L1200" s="72">
        <f ca="1">IFERROR(__xludf.DUMMYFUNCTION("""COMPUTED_VALUE"""),0.500000003120681)</f>
        <v>0.50000000312068105</v>
      </c>
      <c r="M1200" s="10">
        <f ca="1">IFERROR(__xludf.DUMMYFUNCTION("""COMPUTED_VALUE"""),12188)</f>
        <v>12188</v>
      </c>
      <c r="N1200" s="10" t="str">
        <f ca="1">IFERROR(__xludf.DUMMYFUNCTION("""COMPUTED_VALUE"""),"PMU")</f>
        <v>PMU</v>
      </c>
      <c r="O1200" s="1"/>
      <c r="P1200" s="1"/>
      <c r="Q1200" s="1"/>
      <c r="R1200" s="1"/>
      <c r="S1200" s="1"/>
      <c r="T1200" s="1"/>
      <c r="U1200" s="1"/>
      <c r="V1200" s="1"/>
      <c r="W1200" s="1"/>
      <c r="X1200" s="1"/>
      <c r="Y1200" s="1"/>
      <c r="Z1200" s="1"/>
    </row>
    <row r="1201" spans="1:26" ht="12.75" customHeight="1">
      <c r="A1201" s="1"/>
      <c r="B1201" s="10" t="str">
        <f ca="1">IFERROR(__xludf.DUMMYFUNCTION("""COMPUTED_VALUE"""),"CSV MEJORAMIENTO BANDEJONES SUR CALLE CAPITAN GUILLERMO,PUNTA ARENAS")</f>
        <v>CSV MEJORAMIENTO BANDEJONES SUR CALLE CAPITAN GUILLERMO,PUNTA ARENAS</v>
      </c>
      <c r="C1201" s="10" t="str">
        <f ca="1">IFERROR(__xludf.DUMMYFUNCTION("""COMPUTED_VALUE"""),"1-C-2023-2775")</f>
        <v>1-C-2023-2775</v>
      </c>
      <c r="D1201" s="26"/>
      <c r="E1201" s="10" t="str">
        <f ca="1">IFERROR(__xludf.DUMMYFUNCTION("""COMPUTED_VALUE"""),"Guía Operativa")</f>
        <v>Guía Operativa</v>
      </c>
      <c r="F1201" s="10" t="str">
        <f ca="1">IFERROR(__xludf.DUMMYFUNCTION("""COMPUTED_VALUE"""),"MUNICIPALIDAD DE PUNTA ARENAS")</f>
        <v>MUNICIPALIDAD DE PUNTA ARENAS</v>
      </c>
      <c r="G1201" s="71">
        <f ca="1">IFERROR(__xludf.DUMMYFUNCTION("""COMPUTED_VALUE"""),86240883)</f>
        <v>86240883</v>
      </c>
      <c r="H1201" s="10" t="str">
        <f ca="1">IFERROR(__xludf.DUMMYFUNCTION("""COMPUTED_VALUE"""),"Resolución")</f>
        <v>Resolución</v>
      </c>
      <c r="I1201" s="10" t="str">
        <f ca="1">IFERROR(__xludf.DUMMYFUNCTION("""COMPUTED_VALUE"""),"OBRA")</f>
        <v>OBRA</v>
      </c>
      <c r="J1201" s="10" t="str">
        <f ca="1">IFERROR(__xludf.DUMMYFUNCTION("""COMPUTED_VALUE"""),"Cumplir con normativa y reglamentos internos del programa en base a los objetivos.")</f>
        <v>Cumplir con normativa y reglamentos internos del programa en base a los objetivos.</v>
      </c>
      <c r="K1201" s="71">
        <f ca="1">IFERROR(__xludf.DUMMYFUNCTION("""COMPUTED_VALUE"""),43120442)</f>
        <v>43120442</v>
      </c>
      <c r="L1201" s="72">
        <f ca="1">IFERROR(__xludf.DUMMYFUNCTION("""COMPUTED_VALUE"""),0.500000005797714)</f>
        <v>0.50000000579771398</v>
      </c>
      <c r="M1201" s="10">
        <f ca="1">IFERROR(__xludf.DUMMYFUNCTION("""COMPUTED_VALUE"""),12158)</f>
        <v>12158</v>
      </c>
      <c r="N1201" s="10" t="str">
        <f ca="1">IFERROR(__xludf.DUMMYFUNCTION("""COMPUTED_VALUE"""),"PMU")</f>
        <v>PMU</v>
      </c>
      <c r="O1201" s="1"/>
      <c r="P1201" s="1"/>
      <c r="Q1201" s="1"/>
      <c r="R1201" s="1"/>
      <c r="S1201" s="1"/>
      <c r="T1201" s="1"/>
      <c r="U1201" s="1"/>
      <c r="V1201" s="1"/>
      <c r="W1201" s="1"/>
      <c r="X1201" s="1"/>
      <c r="Y1201" s="1"/>
      <c r="Z1201" s="1"/>
    </row>
    <row r="1202" spans="1:26" ht="12.75" customHeight="1">
      <c r="A1202" s="1"/>
      <c r="B1202" s="10" t="str">
        <f ca="1">IFERROR(__xludf.DUMMYFUNCTION("""COMPUTED_VALUE"""),"CSV MEJORAMIENTO PLAZA NELDA PANICUCCI, PUNTA ARENAS")</f>
        <v>CSV MEJORAMIENTO PLAZA NELDA PANICUCCI, PUNTA ARENAS</v>
      </c>
      <c r="C1202" s="10" t="str">
        <f ca="1">IFERROR(__xludf.DUMMYFUNCTION("""COMPUTED_VALUE"""),"1-C-2023-2770")</f>
        <v>1-C-2023-2770</v>
      </c>
      <c r="D1202" s="26"/>
      <c r="E1202" s="10" t="str">
        <f ca="1">IFERROR(__xludf.DUMMYFUNCTION("""COMPUTED_VALUE"""),"Guía Operativa")</f>
        <v>Guía Operativa</v>
      </c>
      <c r="F1202" s="10" t="str">
        <f ca="1">IFERROR(__xludf.DUMMYFUNCTION("""COMPUTED_VALUE"""),"MUNICIPALIDAD DE PUNTA ARENAS")</f>
        <v>MUNICIPALIDAD DE PUNTA ARENAS</v>
      </c>
      <c r="G1202" s="71">
        <f ca="1">IFERROR(__xludf.DUMMYFUNCTION("""COMPUTED_VALUE"""),152750174)</f>
        <v>152750174</v>
      </c>
      <c r="H1202" s="10" t="str">
        <f ca="1">IFERROR(__xludf.DUMMYFUNCTION("""COMPUTED_VALUE"""),"Resolución")</f>
        <v>Resolución</v>
      </c>
      <c r="I1202" s="10" t="str">
        <f ca="1">IFERROR(__xludf.DUMMYFUNCTION("""COMPUTED_VALUE"""),"OBRA")</f>
        <v>OBRA</v>
      </c>
      <c r="J1202" s="10" t="str">
        <f ca="1">IFERROR(__xludf.DUMMYFUNCTION("""COMPUTED_VALUE"""),"Cumplir con normativa y reglamentos internos del programa en base a los objetivos.")</f>
        <v>Cumplir con normativa y reglamentos internos del programa en base a los objetivos.</v>
      </c>
      <c r="K1202" s="71">
        <f ca="1">IFERROR(__xludf.DUMMYFUNCTION("""COMPUTED_VALUE"""),76375087)</f>
        <v>76375087</v>
      </c>
      <c r="L1202" s="72">
        <f ca="1">IFERROR(__xludf.DUMMYFUNCTION("""COMPUTED_VALUE"""),0.5)</f>
        <v>0.5</v>
      </c>
      <c r="M1202" s="10">
        <f ca="1">IFERROR(__xludf.DUMMYFUNCTION("""COMPUTED_VALUE"""),12158)</f>
        <v>12158</v>
      </c>
      <c r="N1202" s="10" t="str">
        <f ca="1">IFERROR(__xludf.DUMMYFUNCTION("""COMPUTED_VALUE"""),"PMU")</f>
        <v>PMU</v>
      </c>
      <c r="O1202" s="1"/>
      <c r="P1202" s="1"/>
      <c r="Q1202" s="1"/>
      <c r="R1202" s="1"/>
      <c r="S1202" s="1"/>
      <c r="T1202" s="1"/>
      <c r="U1202" s="1"/>
      <c r="V1202" s="1"/>
      <c r="W1202" s="1"/>
      <c r="X1202" s="1"/>
      <c r="Y1202" s="1"/>
      <c r="Z1202" s="1"/>
    </row>
    <row r="1203" spans="1:26" ht="12.75" customHeight="1">
      <c r="A1203" s="1"/>
      <c r="B1203" s="10" t="str">
        <f ca="1">IFERROR(__xludf.DUMMYFUNCTION("""COMPUTED_VALUE"""),"HABILITACIÓN CALLE LAS CATALPAS")</f>
        <v>HABILITACIÓN CALLE LAS CATALPAS</v>
      </c>
      <c r="C1203" s="10" t="str">
        <f ca="1">IFERROR(__xludf.DUMMYFUNCTION("""COMPUTED_VALUE"""),"1-B-2024-396")</f>
        <v>1-B-2024-396</v>
      </c>
      <c r="D1203" s="26"/>
      <c r="E1203" s="10" t="str">
        <f ca="1">IFERROR(__xludf.DUMMYFUNCTION("""COMPUTED_VALUE"""),"Guía Operativa")</f>
        <v>Guía Operativa</v>
      </c>
      <c r="F1203" s="10" t="str">
        <f ca="1">IFERROR(__xludf.DUMMYFUNCTION("""COMPUTED_VALUE"""),"MUNICIPALIDAD DE ESTACIÓN CENTRAL")</f>
        <v>MUNICIPALIDAD DE ESTACIÓN CENTRAL</v>
      </c>
      <c r="G1203" s="71">
        <f ca="1">IFERROR(__xludf.DUMMYFUNCTION("""COMPUTED_VALUE"""),150898841)</f>
        <v>150898841</v>
      </c>
      <c r="H1203" s="10" t="str">
        <f ca="1">IFERROR(__xludf.DUMMYFUNCTION("""COMPUTED_VALUE"""),"Resolución")</f>
        <v>Resolución</v>
      </c>
      <c r="I1203" s="10" t="str">
        <f ca="1">IFERROR(__xludf.DUMMYFUNCTION("""COMPUTED_VALUE"""),"OBRA")</f>
        <v>OBRA</v>
      </c>
      <c r="J1203" s="10" t="str">
        <f ca="1">IFERROR(__xludf.DUMMYFUNCTION("""COMPUTED_VALUE"""),"Cumplir con normativa y reglamentos internos del programa en base a los objetivos.")</f>
        <v>Cumplir con normativa y reglamentos internos del programa en base a los objetivos.</v>
      </c>
      <c r="K1203" s="71">
        <f ca="1">IFERROR(__xludf.DUMMYFUNCTION("""COMPUTED_VALUE"""),150898841)</f>
        <v>150898841</v>
      </c>
      <c r="L1203" s="72">
        <f ca="1">IFERROR(__xludf.DUMMYFUNCTION("""COMPUTED_VALUE"""),1)</f>
        <v>1</v>
      </c>
      <c r="M1203" s="10" t="str">
        <f ca="1">IFERROR(__xludf.DUMMYFUNCTION("""COMPUTED_VALUE"""),"E23313/2024")</f>
        <v>E23313/2024</v>
      </c>
      <c r="N1203" s="10" t="str">
        <f ca="1">IFERROR(__xludf.DUMMYFUNCTION("""COMPUTED_VALUE"""),"PMU")</f>
        <v>PMU</v>
      </c>
      <c r="O1203" s="1"/>
      <c r="P1203" s="1"/>
      <c r="Q1203" s="1"/>
      <c r="R1203" s="1"/>
      <c r="S1203" s="1"/>
      <c r="T1203" s="1"/>
      <c r="U1203" s="1"/>
      <c r="V1203" s="1"/>
      <c r="W1203" s="1"/>
      <c r="X1203" s="1"/>
      <c r="Y1203" s="1"/>
      <c r="Z1203" s="1"/>
    </row>
    <row r="1204" spans="1:26" ht="12.75" customHeight="1">
      <c r="A1204" s="1"/>
      <c r="B1204" s="10" t="str">
        <f ca="1">IFERROR(__xludf.DUMMYFUNCTION("""COMPUTED_VALUE"""),"ILUMINACIÓN ÁREAS VERDES SECTOR NORPONIENTE DE LA CIUDAD DE LOS ÁNGELES")</f>
        <v>ILUMINACIÓN ÁREAS VERDES SECTOR NORPONIENTE DE LA CIUDAD DE LOS ÁNGELES</v>
      </c>
      <c r="C1204" s="10" t="str">
        <f ca="1">IFERROR(__xludf.DUMMYFUNCTION("""COMPUTED_VALUE"""),"1-C-2023-2528")</f>
        <v>1-C-2023-2528</v>
      </c>
      <c r="D1204" s="26"/>
      <c r="E1204" s="10" t="str">
        <f ca="1">IFERROR(__xludf.DUMMYFUNCTION("""COMPUTED_VALUE"""),"Guía Operativa")</f>
        <v>Guía Operativa</v>
      </c>
      <c r="F1204" s="10" t="str">
        <f ca="1">IFERROR(__xludf.DUMMYFUNCTION("""COMPUTED_VALUE"""),"MUNICIPALIDAD DE LOS ÁNGELES")</f>
        <v>MUNICIPALIDAD DE LOS ÁNGELES</v>
      </c>
      <c r="G1204" s="71">
        <f ca="1">IFERROR(__xludf.DUMMYFUNCTION("""COMPUTED_VALUE"""),100295529)</f>
        <v>100295529</v>
      </c>
      <c r="H1204" s="10" t="str">
        <f ca="1">IFERROR(__xludf.DUMMYFUNCTION("""COMPUTED_VALUE"""),"Resolución")</f>
        <v>Resolución</v>
      </c>
      <c r="I1204" s="10" t="str">
        <f ca="1">IFERROR(__xludf.DUMMYFUNCTION("""COMPUTED_VALUE"""),"OBRA")</f>
        <v>OBRA</v>
      </c>
      <c r="J1204" s="10" t="str">
        <f ca="1">IFERROR(__xludf.DUMMYFUNCTION("""COMPUTED_VALUE"""),"Cumplir con normativa y reglamentos internos del programa en base a los objetivos.")</f>
        <v>Cumplir con normativa y reglamentos internos del programa en base a los objetivos.</v>
      </c>
      <c r="K1204" s="71">
        <f ca="1">IFERROR(__xludf.DUMMYFUNCTION("""COMPUTED_VALUE"""),50147765)</f>
        <v>50147765</v>
      </c>
      <c r="L1204" s="72">
        <f ca="1">IFERROR(__xludf.DUMMYFUNCTION("""COMPUTED_VALUE"""),0.500000004985267)</f>
        <v>0.50000000498526698</v>
      </c>
      <c r="M1204" s="10">
        <f ca="1">IFERROR(__xludf.DUMMYFUNCTION("""COMPUTED_VALUE"""),12159)</f>
        <v>12159</v>
      </c>
      <c r="N1204" s="10" t="str">
        <f ca="1">IFERROR(__xludf.DUMMYFUNCTION("""COMPUTED_VALUE"""),"PMU")</f>
        <v>PMU</v>
      </c>
      <c r="O1204" s="1"/>
      <c r="P1204" s="1"/>
      <c r="Q1204" s="1"/>
      <c r="R1204" s="1"/>
      <c r="S1204" s="1"/>
      <c r="T1204" s="1"/>
      <c r="U1204" s="1"/>
      <c r="V1204" s="1"/>
      <c r="W1204" s="1"/>
      <c r="X1204" s="1"/>
      <c r="Y1204" s="1"/>
      <c r="Z1204" s="1"/>
    </row>
    <row r="1205" spans="1:26" ht="12.75" customHeight="1">
      <c r="A1205" s="1"/>
      <c r="B1205" s="10" t="str">
        <f ca="1">IFERROR(__xludf.DUMMYFUNCTION("""COMPUTED_VALUE"""),"INSTALACION LUMINARIAS PEATONALES CALLE GUILLERMO BERRIOS TRAMO AVENIDA LA COMPAÑIA HASTA CALLE OVALLE ,COMUNA GRANEROS")</f>
        <v>INSTALACION LUMINARIAS PEATONALES CALLE GUILLERMO BERRIOS TRAMO AVENIDA LA COMPAÑIA HASTA CALLE OVALLE ,COMUNA GRANEROS</v>
      </c>
      <c r="C1205" s="10" t="str">
        <f ca="1">IFERROR(__xludf.DUMMYFUNCTION("""COMPUTED_VALUE"""),"1-B-2024-321")</f>
        <v>1-B-2024-321</v>
      </c>
      <c r="D1205" s="26"/>
      <c r="E1205" s="10" t="str">
        <f ca="1">IFERROR(__xludf.DUMMYFUNCTION("""COMPUTED_VALUE"""),"Guía Operativa")</f>
        <v>Guía Operativa</v>
      </c>
      <c r="F1205" s="10" t="str">
        <f ca="1">IFERROR(__xludf.DUMMYFUNCTION("""COMPUTED_VALUE"""),"MUNICIPALIDAD DE GRANEROS")</f>
        <v>MUNICIPALIDAD DE GRANEROS</v>
      </c>
      <c r="G1205" s="71">
        <f ca="1">IFERROR(__xludf.DUMMYFUNCTION("""COMPUTED_VALUE"""),57254869)</f>
        <v>57254869</v>
      </c>
      <c r="H1205" s="10" t="str">
        <f ca="1">IFERROR(__xludf.DUMMYFUNCTION("""COMPUTED_VALUE"""),"Resolución")</f>
        <v>Resolución</v>
      </c>
      <c r="I1205" s="10" t="str">
        <f ca="1">IFERROR(__xludf.DUMMYFUNCTION("""COMPUTED_VALUE"""),"OBRA")</f>
        <v>OBRA</v>
      </c>
      <c r="J1205" s="10" t="str">
        <f ca="1">IFERROR(__xludf.DUMMYFUNCTION("""COMPUTED_VALUE"""),"Cumplir con normativa y reglamentos internos del programa en base a los objetivos.")</f>
        <v>Cumplir con normativa y reglamentos internos del programa en base a los objetivos.</v>
      </c>
      <c r="K1205" s="71">
        <f ca="1">IFERROR(__xludf.DUMMYFUNCTION("""COMPUTED_VALUE"""),57254869)</f>
        <v>57254869</v>
      </c>
      <c r="L1205" s="72">
        <f ca="1">IFERROR(__xludf.DUMMYFUNCTION("""COMPUTED_VALUE"""),1)</f>
        <v>1</v>
      </c>
      <c r="M1205" s="10" t="str">
        <f ca="1">IFERROR(__xludf.DUMMYFUNCTION("""COMPUTED_VALUE"""),"E23464/2024")</f>
        <v>E23464/2024</v>
      </c>
      <c r="N1205" s="10" t="str">
        <f ca="1">IFERROR(__xludf.DUMMYFUNCTION("""COMPUTED_VALUE"""),"PMU")</f>
        <v>PMU</v>
      </c>
      <c r="O1205" s="1"/>
      <c r="P1205" s="1"/>
      <c r="Q1205" s="1"/>
      <c r="R1205" s="1"/>
      <c r="S1205" s="1"/>
      <c r="T1205" s="1"/>
      <c r="U1205" s="1"/>
      <c r="V1205" s="1"/>
      <c r="W1205" s="1"/>
      <c r="X1205" s="1"/>
      <c r="Y1205" s="1"/>
      <c r="Z1205" s="1"/>
    </row>
    <row r="1206" spans="1:26" ht="12.75" customHeight="1">
      <c r="A1206" s="1"/>
      <c r="B1206" s="10" t="str">
        <f ca="1">IFERROR(__xludf.DUMMYFUNCTION("""COMPUTED_VALUE"""),"MEJORAMIENTO ACCESO Y PATIO CESFAM PAREDONES")</f>
        <v>MEJORAMIENTO ACCESO Y PATIO CESFAM PAREDONES</v>
      </c>
      <c r="C1206" s="10" t="str">
        <f ca="1">IFERROR(__xludf.DUMMYFUNCTION("""COMPUTED_VALUE"""),"1-B-2024-368")</f>
        <v>1-B-2024-368</v>
      </c>
      <c r="D1206" s="26"/>
      <c r="E1206" s="10" t="str">
        <f ca="1">IFERROR(__xludf.DUMMYFUNCTION("""COMPUTED_VALUE"""),"Guía Operativa")</f>
        <v>Guía Operativa</v>
      </c>
      <c r="F1206" s="10" t="str">
        <f ca="1">IFERROR(__xludf.DUMMYFUNCTION("""COMPUTED_VALUE"""),"MUNICIPALIDAD DE PAREDONES")</f>
        <v>MUNICIPALIDAD DE PAREDONES</v>
      </c>
      <c r="G1206" s="71">
        <f ca="1">IFERROR(__xludf.DUMMYFUNCTION("""COMPUTED_VALUE"""),161000000)</f>
        <v>161000000</v>
      </c>
      <c r="H1206" s="10" t="str">
        <f ca="1">IFERROR(__xludf.DUMMYFUNCTION("""COMPUTED_VALUE"""),"Resolución")</f>
        <v>Resolución</v>
      </c>
      <c r="I1206" s="10" t="str">
        <f ca="1">IFERROR(__xludf.DUMMYFUNCTION("""COMPUTED_VALUE"""),"OBRA")</f>
        <v>OBRA</v>
      </c>
      <c r="J1206" s="10" t="str">
        <f ca="1">IFERROR(__xludf.DUMMYFUNCTION("""COMPUTED_VALUE"""),"Cumplir con normativa y reglamentos internos del programa en base a los objetivos.")</f>
        <v>Cumplir con normativa y reglamentos internos del programa en base a los objetivos.</v>
      </c>
      <c r="K1206" s="71">
        <f ca="1">IFERROR(__xludf.DUMMYFUNCTION("""COMPUTED_VALUE"""),161000000)</f>
        <v>161000000</v>
      </c>
      <c r="L1206" s="72">
        <f ca="1">IFERROR(__xludf.DUMMYFUNCTION("""COMPUTED_VALUE"""),1)</f>
        <v>1</v>
      </c>
      <c r="M1206" s="10" t="str">
        <f ca="1">IFERROR(__xludf.DUMMYFUNCTION("""COMPUTED_VALUE"""),"E21509/2024")</f>
        <v>E21509/2024</v>
      </c>
      <c r="N1206" s="10" t="str">
        <f ca="1">IFERROR(__xludf.DUMMYFUNCTION("""COMPUTED_VALUE"""),"PMU")</f>
        <v>PMU</v>
      </c>
      <c r="O1206" s="1"/>
      <c r="P1206" s="1"/>
      <c r="Q1206" s="1"/>
      <c r="R1206" s="1"/>
      <c r="S1206" s="1"/>
      <c r="T1206" s="1"/>
      <c r="U1206" s="1"/>
      <c r="V1206" s="1"/>
      <c r="W1206" s="1"/>
      <c r="X1206" s="1"/>
      <c r="Y1206" s="1"/>
      <c r="Z1206" s="1"/>
    </row>
    <row r="1207" spans="1:26" ht="12.75" customHeight="1">
      <c r="A1207" s="1"/>
      <c r="B1207" s="10" t="str">
        <f ca="1">IFERROR(__xludf.DUMMYFUNCTION("""COMPUTED_VALUE"""),"MEJORAMIENTO ACERAS PEATONALES CENTRO CÍVICO, VALPARAÍSO")</f>
        <v>MEJORAMIENTO ACERAS PEATONALES CENTRO CÍVICO, VALPARAÍSO</v>
      </c>
      <c r="C1207" s="10" t="str">
        <f ca="1">IFERROR(__xludf.DUMMYFUNCTION("""COMPUTED_VALUE"""),"1-C-2023-3018")</f>
        <v>1-C-2023-3018</v>
      </c>
      <c r="D1207" s="26"/>
      <c r="E1207" s="10" t="str">
        <f ca="1">IFERROR(__xludf.DUMMYFUNCTION("""COMPUTED_VALUE"""),"Guía Operativa")</f>
        <v>Guía Operativa</v>
      </c>
      <c r="F1207" s="10" t="str">
        <f ca="1">IFERROR(__xludf.DUMMYFUNCTION("""COMPUTED_VALUE"""),"MUNICIPALIDAD DE VALPARAÍSO")</f>
        <v>MUNICIPALIDAD DE VALPARAÍSO</v>
      </c>
      <c r="G1207" s="71">
        <f ca="1">IFERROR(__xludf.DUMMYFUNCTION("""COMPUTED_VALUE"""),154204420)</f>
        <v>154204420</v>
      </c>
      <c r="H1207" s="10" t="str">
        <f ca="1">IFERROR(__xludf.DUMMYFUNCTION("""COMPUTED_VALUE"""),"Resolución")</f>
        <v>Resolución</v>
      </c>
      <c r="I1207" s="10" t="str">
        <f ca="1">IFERROR(__xludf.DUMMYFUNCTION("""COMPUTED_VALUE"""),"OBRA")</f>
        <v>OBRA</v>
      </c>
      <c r="J1207" s="10" t="str">
        <f ca="1">IFERROR(__xludf.DUMMYFUNCTION("""COMPUTED_VALUE"""),"Cumplir con normativa y reglamentos internos del programa en base a los objetivos.")</f>
        <v>Cumplir con normativa y reglamentos internos del programa en base a los objetivos.</v>
      </c>
      <c r="K1207" s="71">
        <f ca="1">IFERROR(__xludf.DUMMYFUNCTION("""COMPUTED_VALUE"""),53971547)</f>
        <v>53971547</v>
      </c>
      <c r="L1207" s="72">
        <f ca="1">IFERROR(__xludf.DUMMYFUNCTION("""COMPUTED_VALUE"""),0.35)</f>
        <v>0.35</v>
      </c>
      <c r="M1207" s="10">
        <f ca="1">IFERROR(__xludf.DUMMYFUNCTION("""COMPUTED_VALUE"""),12456)</f>
        <v>12456</v>
      </c>
      <c r="N1207" s="10" t="str">
        <f ca="1">IFERROR(__xludf.DUMMYFUNCTION("""COMPUTED_VALUE"""),"PMU")</f>
        <v>PMU</v>
      </c>
      <c r="O1207" s="1"/>
      <c r="P1207" s="1"/>
      <c r="Q1207" s="1"/>
      <c r="R1207" s="1"/>
      <c r="S1207" s="1"/>
      <c r="T1207" s="1"/>
      <c r="U1207" s="1"/>
      <c r="V1207" s="1"/>
      <c r="W1207" s="1"/>
      <c r="X1207" s="1"/>
      <c r="Y1207" s="1"/>
      <c r="Z1207" s="1"/>
    </row>
    <row r="1208" spans="1:26" ht="12.75" customHeight="1">
      <c r="A1208" s="1"/>
      <c r="B1208" s="10" t="str">
        <f ca="1">IFERROR(__xludf.DUMMYFUNCTION("""COMPUTED_VALUE"""),"MEJORAMIENTO BANDEJÓN CENTRAL AVENIDA LAS AMÉRICAS ENTRE ALEMANIA Y CALLE 4, SECTOR LA PAMPA, COMUNA ALTO HOSPICIO")</f>
        <v>MEJORAMIENTO BANDEJÓN CENTRAL AVENIDA LAS AMÉRICAS ENTRE ALEMANIA Y CALLE 4, SECTOR LA PAMPA, COMUNA ALTO HOSPICIO</v>
      </c>
      <c r="C1208" s="10" t="str">
        <f ca="1">IFERROR(__xludf.DUMMYFUNCTION("""COMPUTED_VALUE"""),"1-C-2024-695")</f>
        <v>1-C-2024-695</v>
      </c>
      <c r="D1208" s="26"/>
      <c r="E1208" s="10" t="str">
        <f ca="1">IFERROR(__xludf.DUMMYFUNCTION("""COMPUTED_VALUE"""),"Guía Operativa")</f>
        <v>Guía Operativa</v>
      </c>
      <c r="F1208" s="10" t="str">
        <f ca="1">IFERROR(__xludf.DUMMYFUNCTION("""COMPUTED_VALUE"""),"MUNICIPALIDAD DE ALTO HOSPICIO")</f>
        <v>MUNICIPALIDAD DE ALTO HOSPICIO</v>
      </c>
      <c r="G1208" s="71">
        <f ca="1">IFERROR(__xludf.DUMMYFUNCTION("""COMPUTED_VALUE"""),154762887)</f>
        <v>154762887</v>
      </c>
      <c r="H1208" s="10" t="str">
        <f ca="1">IFERROR(__xludf.DUMMYFUNCTION("""COMPUTED_VALUE"""),"Resolución")</f>
        <v>Resolución</v>
      </c>
      <c r="I1208" s="10" t="str">
        <f ca="1">IFERROR(__xludf.DUMMYFUNCTION("""COMPUTED_VALUE"""),"OBRA")</f>
        <v>OBRA</v>
      </c>
      <c r="J1208" s="10" t="str">
        <f ca="1">IFERROR(__xludf.DUMMYFUNCTION("""COMPUTED_VALUE"""),"Cumplir con normativa y reglamentos internos del programa en base a los objetivos.")</f>
        <v>Cumplir con normativa y reglamentos internos del programa en base a los objetivos.</v>
      </c>
      <c r="K1208" s="71">
        <f ca="1">IFERROR(__xludf.DUMMYFUNCTION("""COMPUTED_VALUE"""),154762887)</f>
        <v>154762887</v>
      </c>
      <c r="L1208" s="72">
        <f ca="1">IFERROR(__xludf.DUMMYFUNCTION("""COMPUTED_VALUE"""),1)</f>
        <v>1</v>
      </c>
      <c r="M1208" s="10">
        <f ca="1">IFERROR(__xludf.DUMMYFUNCTION("""COMPUTED_VALUE"""),12191)</f>
        <v>12191</v>
      </c>
      <c r="N1208" s="10" t="str">
        <f ca="1">IFERROR(__xludf.DUMMYFUNCTION("""COMPUTED_VALUE"""),"PMU")</f>
        <v>PMU</v>
      </c>
      <c r="O1208" s="1"/>
      <c r="P1208" s="1"/>
      <c r="Q1208" s="1"/>
      <c r="R1208" s="1"/>
      <c r="S1208" s="1"/>
      <c r="T1208" s="1"/>
      <c r="U1208" s="1"/>
      <c r="V1208" s="1"/>
      <c r="W1208" s="1"/>
      <c r="X1208" s="1"/>
      <c r="Y1208" s="1"/>
      <c r="Z1208" s="1"/>
    </row>
    <row r="1209" spans="1:26" ht="12.75" customHeight="1">
      <c r="A1209" s="1"/>
      <c r="B1209" s="10" t="str">
        <f ca="1">IFERROR(__xludf.DUMMYFUNCTION("""COMPUTED_VALUE"""),"MEJORAMIENTO BANDEJÓN CENTRAL CANCHA RAYADA, TALCA")</f>
        <v>MEJORAMIENTO BANDEJÓN CENTRAL CANCHA RAYADA, TALCA</v>
      </c>
      <c r="C1209" s="10" t="str">
        <f ca="1">IFERROR(__xludf.DUMMYFUNCTION("""COMPUTED_VALUE"""),"1-B-2024-319")</f>
        <v>1-B-2024-319</v>
      </c>
      <c r="D1209" s="26"/>
      <c r="E1209" s="10" t="str">
        <f ca="1">IFERROR(__xludf.DUMMYFUNCTION("""COMPUTED_VALUE"""),"Guía Operativa")</f>
        <v>Guía Operativa</v>
      </c>
      <c r="F1209" s="10" t="str">
        <f ca="1">IFERROR(__xludf.DUMMYFUNCTION("""COMPUTED_VALUE"""),"MUNICIPALIDAD DE TALCA")</f>
        <v>MUNICIPALIDAD DE TALCA</v>
      </c>
      <c r="G1209" s="71">
        <f ca="1">IFERROR(__xludf.DUMMYFUNCTION("""COMPUTED_VALUE"""),105326610)</f>
        <v>105326610</v>
      </c>
      <c r="H1209" s="10" t="str">
        <f ca="1">IFERROR(__xludf.DUMMYFUNCTION("""COMPUTED_VALUE"""),"Resolución")</f>
        <v>Resolución</v>
      </c>
      <c r="I1209" s="10" t="str">
        <f ca="1">IFERROR(__xludf.DUMMYFUNCTION("""COMPUTED_VALUE"""),"OBRA")</f>
        <v>OBRA</v>
      </c>
      <c r="J1209" s="10" t="str">
        <f ca="1">IFERROR(__xludf.DUMMYFUNCTION("""COMPUTED_VALUE"""),"Cumplir con normativa y reglamentos internos del programa en base a los objetivos.")</f>
        <v>Cumplir con normativa y reglamentos internos del programa en base a los objetivos.</v>
      </c>
      <c r="K1209" s="71">
        <f ca="1">IFERROR(__xludf.DUMMYFUNCTION("""COMPUTED_VALUE"""),31597983)</f>
        <v>31597983</v>
      </c>
      <c r="L1209" s="72">
        <f ca="1">IFERROR(__xludf.DUMMYFUNCTION("""COMPUTED_VALUE"""),0.3)</f>
        <v>0.3</v>
      </c>
      <c r="M1209" s="10" t="str">
        <f ca="1">IFERROR(__xludf.DUMMYFUNCTION("""COMPUTED_VALUE"""),"E24014/2024")</f>
        <v>E24014/2024</v>
      </c>
      <c r="N1209" s="10" t="str">
        <f ca="1">IFERROR(__xludf.DUMMYFUNCTION("""COMPUTED_VALUE"""),"PMU")</f>
        <v>PMU</v>
      </c>
      <c r="O1209" s="1"/>
      <c r="P1209" s="1"/>
      <c r="Q1209" s="1"/>
      <c r="R1209" s="1"/>
      <c r="S1209" s="1"/>
      <c r="T1209" s="1"/>
      <c r="U1209" s="1"/>
      <c r="V1209" s="1"/>
      <c r="W1209" s="1"/>
      <c r="X1209" s="1"/>
      <c r="Y1209" s="1"/>
      <c r="Z1209" s="1"/>
    </row>
    <row r="1210" spans="1:26" ht="12.75" customHeight="1">
      <c r="A1210" s="1"/>
      <c r="B1210" s="10" t="str">
        <f ca="1">IFERROR(__xludf.DUMMYFUNCTION("""COMPUTED_VALUE"""),"MEJORAMIENTO BAÑOS Y PÉRGOLA PLAZA VICTORIA, VALPARAÍSO")</f>
        <v>MEJORAMIENTO BAÑOS Y PÉRGOLA PLAZA VICTORIA, VALPARAÍSO</v>
      </c>
      <c r="C1210" s="10" t="str">
        <f ca="1">IFERROR(__xludf.DUMMYFUNCTION("""COMPUTED_VALUE"""),"1-C-2023-3020")</f>
        <v>1-C-2023-3020</v>
      </c>
      <c r="D1210" s="26"/>
      <c r="E1210" s="10" t="str">
        <f ca="1">IFERROR(__xludf.DUMMYFUNCTION("""COMPUTED_VALUE"""),"Guía Operativa")</f>
        <v>Guía Operativa</v>
      </c>
      <c r="F1210" s="10" t="str">
        <f ca="1">IFERROR(__xludf.DUMMYFUNCTION("""COMPUTED_VALUE"""),"MUNICIPALIDAD DE VALPARAÍSO")</f>
        <v>MUNICIPALIDAD DE VALPARAÍSO</v>
      </c>
      <c r="G1210" s="71">
        <f ca="1">IFERROR(__xludf.DUMMYFUNCTION("""COMPUTED_VALUE"""),152486887)</f>
        <v>152486887</v>
      </c>
      <c r="H1210" s="10" t="str">
        <f ca="1">IFERROR(__xludf.DUMMYFUNCTION("""COMPUTED_VALUE"""),"Resolución")</f>
        <v>Resolución</v>
      </c>
      <c r="I1210" s="10" t="str">
        <f ca="1">IFERROR(__xludf.DUMMYFUNCTION("""COMPUTED_VALUE"""),"OBRA")</f>
        <v>OBRA</v>
      </c>
      <c r="J1210" s="10" t="str">
        <f ca="1">IFERROR(__xludf.DUMMYFUNCTION("""COMPUTED_VALUE"""),"Cumplir con normativa y reglamentos internos del programa en base a los objetivos.")</f>
        <v>Cumplir con normativa y reglamentos internos del programa en base a los objetivos.</v>
      </c>
      <c r="K1210" s="71">
        <f ca="1">IFERROR(__xludf.DUMMYFUNCTION("""COMPUTED_VALUE"""),53370410)</f>
        <v>53370410</v>
      </c>
      <c r="L1210" s="72">
        <f ca="1">IFERROR(__xludf.DUMMYFUNCTION("""COMPUTED_VALUE"""),0.349999997048926)</f>
        <v>0.34999999704892598</v>
      </c>
      <c r="M1210" s="10">
        <f ca="1">IFERROR(__xludf.DUMMYFUNCTION("""COMPUTED_VALUE"""),12456)</f>
        <v>12456</v>
      </c>
      <c r="N1210" s="10" t="str">
        <f ca="1">IFERROR(__xludf.DUMMYFUNCTION("""COMPUTED_VALUE"""),"PMU")</f>
        <v>PMU</v>
      </c>
      <c r="O1210" s="1"/>
      <c r="P1210" s="1"/>
      <c r="Q1210" s="1"/>
      <c r="R1210" s="1"/>
      <c r="S1210" s="1"/>
      <c r="T1210" s="1"/>
      <c r="U1210" s="1"/>
      <c r="V1210" s="1"/>
      <c r="W1210" s="1"/>
      <c r="X1210" s="1"/>
      <c r="Y1210" s="1"/>
      <c r="Z1210" s="1"/>
    </row>
    <row r="1211" spans="1:26" ht="12.75" customHeight="1">
      <c r="A1211" s="1"/>
      <c r="B1211" s="10" t="str">
        <f ca="1">IFERROR(__xludf.DUMMYFUNCTION("""COMPUTED_VALUE"""),"MEJORAMIENTO BODEGA MUNICIPAL DE CAMIÑA")</f>
        <v>MEJORAMIENTO BODEGA MUNICIPAL DE CAMIÑA</v>
      </c>
      <c r="C1211" s="10" t="str">
        <f ca="1">IFERROR(__xludf.DUMMYFUNCTION("""COMPUTED_VALUE"""),"1-C-2024-96")</f>
        <v>1-C-2024-96</v>
      </c>
      <c r="D1211" s="26"/>
      <c r="E1211" s="10" t="str">
        <f ca="1">IFERROR(__xludf.DUMMYFUNCTION("""COMPUTED_VALUE"""),"Guía Operativa")</f>
        <v>Guía Operativa</v>
      </c>
      <c r="F1211" s="10" t="str">
        <f ca="1">IFERROR(__xludf.DUMMYFUNCTION("""COMPUTED_VALUE"""),"MUNICIPALIDAD DE CAMIÑA")</f>
        <v>MUNICIPALIDAD DE CAMIÑA</v>
      </c>
      <c r="G1211" s="71">
        <f ca="1">IFERROR(__xludf.DUMMYFUNCTION("""COMPUTED_VALUE"""),105941643)</f>
        <v>105941643</v>
      </c>
      <c r="H1211" s="10" t="str">
        <f ca="1">IFERROR(__xludf.DUMMYFUNCTION("""COMPUTED_VALUE"""),"Resolución")</f>
        <v>Resolución</v>
      </c>
      <c r="I1211" s="10" t="str">
        <f ca="1">IFERROR(__xludf.DUMMYFUNCTION("""COMPUTED_VALUE"""),"OBRA")</f>
        <v>OBRA</v>
      </c>
      <c r="J1211" s="10" t="str">
        <f ca="1">IFERROR(__xludf.DUMMYFUNCTION("""COMPUTED_VALUE"""),"Cumplir con normativa y reglamentos internos del programa en base a los objetivos.")</f>
        <v>Cumplir con normativa y reglamentos internos del programa en base a los objetivos.</v>
      </c>
      <c r="K1211" s="71">
        <f ca="1">IFERROR(__xludf.DUMMYFUNCTION("""COMPUTED_VALUE"""),105941643)</f>
        <v>105941643</v>
      </c>
      <c r="L1211" s="72">
        <f ca="1">IFERROR(__xludf.DUMMYFUNCTION("""COMPUTED_VALUE"""),1)</f>
        <v>1</v>
      </c>
      <c r="M1211" s="10" t="str">
        <f ca="1">IFERROR(__xludf.DUMMYFUNCTION("""COMPUTED_VALUE"""),"E25395/2024")</f>
        <v>E25395/2024</v>
      </c>
      <c r="N1211" s="10" t="str">
        <f ca="1">IFERROR(__xludf.DUMMYFUNCTION("""COMPUTED_VALUE"""),"PMU")</f>
        <v>PMU</v>
      </c>
      <c r="O1211" s="1"/>
      <c r="P1211" s="1"/>
      <c r="Q1211" s="1"/>
      <c r="R1211" s="1"/>
      <c r="S1211" s="1"/>
      <c r="T1211" s="1"/>
      <c r="U1211" s="1"/>
      <c r="V1211" s="1"/>
      <c r="W1211" s="1"/>
      <c r="X1211" s="1"/>
      <c r="Y1211" s="1"/>
      <c r="Z1211" s="1"/>
    </row>
    <row r="1212" spans="1:26" ht="12.75" customHeight="1">
      <c r="A1212" s="1"/>
      <c r="B1212" s="10" t="str">
        <f ca="1">IFERROR(__xludf.DUMMYFUNCTION("""COMPUTED_VALUE"""),"MEJORAMIENTO CAMARINES ESTADIO Y GIMNASIO MUNICIPAL DE PELEQUEN, COMUNA DE MALLOA")</f>
        <v>MEJORAMIENTO CAMARINES ESTADIO Y GIMNASIO MUNICIPAL DE PELEQUEN, COMUNA DE MALLOA</v>
      </c>
      <c r="C1212" s="10" t="str">
        <f ca="1">IFERROR(__xludf.DUMMYFUNCTION("""COMPUTED_VALUE"""),"1-B-2024-366")</f>
        <v>1-B-2024-366</v>
      </c>
      <c r="D1212" s="26"/>
      <c r="E1212" s="10" t="str">
        <f ca="1">IFERROR(__xludf.DUMMYFUNCTION("""COMPUTED_VALUE"""),"Guía Operativa")</f>
        <v>Guía Operativa</v>
      </c>
      <c r="F1212" s="10" t="str">
        <f ca="1">IFERROR(__xludf.DUMMYFUNCTION("""COMPUTED_VALUE"""),"MUNICIPALIDAD DE MALLOA")</f>
        <v>MUNICIPALIDAD DE MALLOA</v>
      </c>
      <c r="G1212" s="71">
        <f ca="1">IFERROR(__xludf.DUMMYFUNCTION("""COMPUTED_VALUE"""),106369715)</f>
        <v>106369715</v>
      </c>
      <c r="H1212" s="10" t="str">
        <f ca="1">IFERROR(__xludf.DUMMYFUNCTION("""COMPUTED_VALUE"""),"Resolución")</f>
        <v>Resolución</v>
      </c>
      <c r="I1212" s="10" t="str">
        <f ca="1">IFERROR(__xludf.DUMMYFUNCTION("""COMPUTED_VALUE"""),"OBRA")</f>
        <v>OBRA</v>
      </c>
      <c r="J1212" s="10" t="str">
        <f ca="1">IFERROR(__xludf.DUMMYFUNCTION("""COMPUTED_VALUE"""),"Cumplir con normativa y reglamentos internos del programa en base a los objetivos.")</f>
        <v>Cumplir con normativa y reglamentos internos del programa en base a los objetivos.</v>
      </c>
      <c r="K1212" s="71">
        <f ca="1">IFERROR(__xludf.DUMMYFUNCTION("""COMPUTED_VALUE"""),106369715)</f>
        <v>106369715</v>
      </c>
      <c r="L1212" s="72">
        <f ca="1">IFERROR(__xludf.DUMMYFUNCTION("""COMPUTED_VALUE"""),1)</f>
        <v>1</v>
      </c>
      <c r="M1212" s="10" t="str">
        <f ca="1">IFERROR(__xludf.DUMMYFUNCTION("""COMPUTED_VALUE"""),"E23602/2024")</f>
        <v>E23602/2024</v>
      </c>
      <c r="N1212" s="10" t="str">
        <f ca="1">IFERROR(__xludf.DUMMYFUNCTION("""COMPUTED_VALUE"""),"PMU")</f>
        <v>PMU</v>
      </c>
      <c r="O1212" s="1"/>
      <c r="P1212" s="1"/>
      <c r="Q1212" s="1"/>
      <c r="R1212" s="1"/>
      <c r="S1212" s="1"/>
      <c r="T1212" s="1"/>
      <c r="U1212" s="1"/>
      <c r="V1212" s="1"/>
      <c r="W1212" s="1"/>
      <c r="X1212" s="1"/>
      <c r="Y1212" s="1"/>
      <c r="Z1212" s="1"/>
    </row>
    <row r="1213" spans="1:26" ht="12.75" customHeight="1">
      <c r="A1213" s="1"/>
      <c r="B1213" s="10" t="str">
        <f ca="1">IFERROR(__xludf.DUMMYFUNCTION("""COMPUTED_VALUE"""),"MEJORAMIENTO CIERRE PERIMETRAL CANCHA Nº2 ESTADIO MUNICIPAL DE PEUMO")</f>
        <v>MEJORAMIENTO CIERRE PERIMETRAL CANCHA Nº2 ESTADIO MUNICIPAL DE PEUMO</v>
      </c>
      <c r="C1213" s="10" t="str">
        <f ca="1">IFERROR(__xludf.DUMMYFUNCTION("""COMPUTED_VALUE"""),"1-B-2024-379")</f>
        <v>1-B-2024-379</v>
      </c>
      <c r="D1213" s="26"/>
      <c r="E1213" s="10" t="str">
        <f ca="1">IFERROR(__xludf.DUMMYFUNCTION("""COMPUTED_VALUE"""),"Guía Operativa")</f>
        <v>Guía Operativa</v>
      </c>
      <c r="F1213" s="10" t="str">
        <f ca="1">IFERROR(__xludf.DUMMYFUNCTION("""COMPUTED_VALUE"""),"MUNICIPALIDAD DE PEUMO")</f>
        <v>MUNICIPALIDAD DE PEUMO</v>
      </c>
      <c r="G1213" s="71">
        <f ca="1">IFERROR(__xludf.DUMMYFUNCTION("""COMPUTED_VALUE"""),83837067)</f>
        <v>83837067</v>
      </c>
      <c r="H1213" s="10" t="str">
        <f ca="1">IFERROR(__xludf.DUMMYFUNCTION("""COMPUTED_VALUE"""),"Resolución")</f>
        <v>Resolución</v>
      </c>
      <c r="I1213" s="10" t="str">
        <f ca="1">IFERROR(__xludf.DUMMYFUNCTION("""COMPUTED_VALUE"""),"OBRA")</f>
        <v>OBRA</v>
      </c>
      <c r="J1213" s="10" t="str">
        <f ca="1">IFERROR(__xludf.DUMMYFUNCTION("""COMPUTED_VALUE"""),"Cumplir con normativa y reglamentos internos del programa en base a los objetivos.")</f>
        <v>Cumplir con normativa y reglamentos internos del programa en base a los objetivos.</v>
      </c>
      <c r="K1213" s="71">
        <f ca="1">IFERROR(__xludf.DUMMYFUNCTION("""COMPUTED_VALUE"""),83837067)</f>
        <v>83837067</v>
      </c>
      <c r="L1213" s="72">
        <f ca="1">IFERROR(__xludf.DUMMYFUNCTION("""COMPUTED_VALUE"""),1)</f>
        <v>1</v>
      </c>
      <c r="M1213" s="10">
        <f ca="1">IFERROR(__xludf.DUMMYFUNCTION("""COMPUTED_VALUE"""),11405)</f>
        <v>11405</v>
      </c>
      <c r="N1213" s="10" t="str">
        <f ca="1">IFERROR(__xludf.DUMMYFUNCTION("""COMPUTED_VALUE"""),"PMU")</f>
        <v>PMU</v>
      </c>
      <c r="O1213" s="1"/>
      <c r="P1213" s="1"/>
      <c r="Q1213" s="1"/>
      <c r="R1213" s="1"/>
      <c r="S1213" s="1"/>
      <c r="T1213" s="1"/>
      <c r="U1213" s="1"/>
      <c r="V1213" s="1"/>
      <c r="W1213" s="1"/>
      <c r="X1213" s="1"/>
      <c r="Y1213" s="1"/>
      <c r="Z1213" s="1"/>
    </row>
    <row r="1214" spans="1:26" ht="12.75" customHeight="1">
      <c r="A1214" s="1"/>
      <c r="B1214" s="10" t="str">
        <f ca="1">IFERROR(__xludf.DUMMYFUNCTION("""COMPUTED_VALUE"""),"MEJORAMIENTO CLUB DEPORTIVO LA ORILLA")</f>
        <v>MEJORAMIENTO CLUB DEPORTIVO LA ORILLA</v>
      </c>
      <c r="C1214" s="10" t="str">
        <f ca="1">IFERROR(__xludf.DUMMYFUNCTION("""COMPUTED_VALUE"""),"1-B-2024-239")</f>
        <v>1-B-2024-239</v>
      </c>
      <c r="D1214" s="26"/>
      <c r="E1214" s="10" t="str">
        <f ca="1">IFERROR(__xludf.DUMMYFUNCTION("""COMPUTED_VALUE"""),"Guía Operativa")</f>
        <v>Guía Operativa</v>
      </c>
      <c r="F1214" s="10" t="str">
        <f ca="1">IFERROR(__xludf.DUMMYFUNCTION("""COMPUTED_VALUE"""),"MUNICIPALIDAD DE NANCAGUA")</f>
        <v>MUNICIPALIDAD DE NANCAGUA</v>
      </c>
      <c r="G1214" s="71">
        <f ca="1">IFERROR(__xludf.DUMMYFUNCTION("""COMPUTED_VALUE"""),96799085)</f>
        <v>96799085</v>
      </c>
      <c r="H1214" s="10" t="str">
        <f ca="1">IFERROR(__xludf.DUMMYFUNCTION("""COMPUTED_VALUE"""),"Resolución")</f>
        <v>Resolución</v>
      </c>
      <c r="I1214" s="10" t="str">
        <f ca="1">IFERROR(__xludf.DUMMYFUNCTION("""COMPUTED_VALUE"""),"OBRA")</f>
        <v>OBRA</v>
      </c>
      <c r="J1214" s="10" t="str">
        <f ca="1">IFERROR(__xludf.DUMMYFUNCTION("""COMPUTED_VALUE"""),"Cumplir con normativa y reglamentos internos del programa en base a los objetivos.")</f>
        <v>Cumplir con normativa y reglamentos internos del programa en base a los objetivos.</v>
      </c>
      <c r="K1214" s="71">
        <f ca="1">IFERROR(__xludf.DUMMYFUNCTION("""COMPUTED_VALUE"""),29039725)</f>
        <v>29039725</v>
      </c>
      <c r="L1214" s="72">
        <f ca="1">IFERROR(__xludf.DUMMYFUNCTION("""COMPUTED_VALUE"""),0.299999994834661)</f>
        <v>0.299999994834661</v>
      </c>
      <c r="M1214" s="10">
        <f ca="1">IFERROR(__xludf.DUMMYFUNCTION("""COMPUTED_VALUE"""),11757)</f>
        <v>11757</v>
      </c>
      <c r="N1214" s="10" t="str">
        <f ca="1">IFERROR(__xludf.DUMMYFUNCTION("""COMPUTED_VALUE"""),"PMU")</f>
        <v>PMU</v>
      </c>
      <c r="O1214" s="1"/>
      <c r="P1214" s="1"/>
      <c r="Q1214" s="1"/>
      <c r="R1214" s="1"/>
      <c r="S1214" s="1"/>
      <c r="T1214" s="1"/>
      <c r="U1214" s="1"/>
      <c r="V1214" s="1"/>
      <c r="W1214" s="1"/>
      <c r="X1214" s="1"/>
      <c r="Y1214" s="1"/>
      <c r="Z1214" s="1"/>
    </row>
    <row r="1215" spans="1:26" ht="12.75" customHeight="1">
      <c r="A1215" s="1"/>
      <c r="B1215" s="10" t="str">
        <f ca="1">IFERROR(__xludf.DUMMYFUNCTION("""COMPUTED_VALUE"""),"MEJORAMIENTO DE COCINAS DE ESTABLECIMIENTOS EDUCACIONALES , COMUNA DE CAMIÑA")</f>
        <v>MEJORAMIENTO DE COCINAS DE ESTABLECIMIENTOS EDUCACIONALES , COMUNA DE CAMIÑA</v>
      </c>
      <c r="C1215" s="10" t="str">
        <f ca="1">IFERROR(__xludf.DUMMYFUNCTION("""COMPUTED_VALUE"""),"1-C-2023-2363")</f>
        <v>1-C-2023-2363</v>
      </c>
      <c r="D1215" s="26"/>
      <c r="E1215" s="10" t="str">
        <f ca="1">IFERROR(__xludf.DUMMYFUNCTION("""COMPUTED_VALUE"""),"Guía Operativa")</f>
        <v>Guía Operativa</v>
      </c>
      <c r="F1215" s="10" t="str">
        <f ca="1">IFERROR(__xludf.DUMMYFUNCTION("""COMPUTED_VALUE"""),"MUNICIPALIDAD DE CAMIÑA")</f>
        <v>MUNICIPALIDAD DE CAMIÑA</v>
      </c>
      <c r="G1215" s="71">
        <f ca="1">IFERROR(__xludf.DUMMYFUNCTION("""COMPUTED_VALUE"""),83104955)</f>
        <v>83104955</v>
      </c>
      <c r="H1215" s="10" t="str">
        <f ca="1">IFERROR(__xludf.DUMMYFUNCTION("""COMPUTED_VALUE"""),"Resolución")</f>
        <v>Resolución</v>
      </c>
      <c r="I1215" s="10" t="str">
        <f ca="1">IFERROR(__xludf.DUMMYFUNCTION("""COMPUTED_VALUE"""),"OBRA")</f>
        <v>OBRA</v>
      </c>
      <c r="J1215" s="10" t="str">
        <f ca="1">IFERROR(__xludf.DUMMYFUNCTION("""COMPUTED_VALUE"""),"Cumplir con normativa y reglamentos internos del programa en base a los objetivos.")</f>
        <v>Cumplir con normativa y reglamentos internos del programa en base a los objetivos.</v>
      </c>
      <c r="K1215" s="71">
        <f ca="1">IFERROR(__xludf.DUMMYFUNCTION("""COMPUTED_VALUE"""),83104955)</f>
        <v>83104955</v>
      </c>
      <c r="L1215" s="72">
        <f ca="1">IFERROR(__xludf.DUMMYFUNCTION("""COMPUTED_VALUE"""),1)</f>
        <v>1</v>
      </c>
      <c r="M1215" s="10" t="str">
        <f ca="1">IFERROR(__xludf.DUMMYFUNCTION("""COMPUTED_VALUE"""),"E25395/2024")</f>
        <v>E25395/2024</v>
      </c>
      <c r="N1215" s="10" t="str">
        <f ca="1">IFERROR(__xludf.DUMMYFUNCTION("""COMPUTED_VALUE"""),"PMU")</f>
        <v>PMU</v>
      </c>
      <c r="O1215" s="1"/>
      <c r="P1215" s="1"/>
      <c r="Q1215" s="1"/>
      <c r="R1215" s="1"/>
      <c r="S1215" s="1"/>
      <c r="T1215" s="1"/>
      <c r="U1215" s="1"/>
      <c r="V1215" s="1"/>
      <c r="W1215" s="1"/>
      <c r="X1215" s="1"/>
      <c r="Y1215" s="1"/>
      <c r="Z1215" s="1"/>
    </row>
    <row r="1216" spans="1:26" ht="12.75" customHeight="1">
      <c r="A1216" s="1"/>
      <c r="B1216" s="10" t="str">
        <f ca="1">IFERROR(__xludf.DUMMYFUNCTION("""COMPUTED_VALUE"""),"MEJORAMIENTO DE MULTICANCHA CLUB DEPORTIVO RAÚL DEL CANTO, LA PINTANA")</f>
        <v>MEJORAMIENTO DE MULTICANCHA CLUB DEPORTIVO RAÚL DEL CANTO, LA PINTANA</v>
      </c>
      <c r="C1216" s="10" t="str">
        <f ca="1">IFERROR(__xludf.DUMMYFUNCTION("""COMPUTED_VALUE"""),"1-B-2024-452")</f>
        <v>1-B-2024-452</v>
      </c>
      <c r="D1216" s="26"/>
      <c r="E1216" s="10" t="str">
        <f ca="1">IFERROR(__xludf.DUMMYFUNCTION("""COMPUTED_VALUE"""),"Guía Operativa")</f>
        <v>Guía Operativa</v>
      </c>
      <c r="F1216" s="10" t="str">
        <f ca="1">IFERROR(__xludf.DUMMYFUNCTION("""COMPUTED_VALUE"""),"MUNICIPALIDAD DE LA PINTANA")</f>
        <v>MUNICIPALIDAD DE LA PINTANA</v>
      </c>
      <c r="G1216" s="71">
        <f ca="1">IFERROR(__xludf.DUMMYFUNCTION("""COMPUTED_VALUE"""),110670005)</f>
        <v>110670005</v>
      </c>
      <c r="H1216" s="10" t="str">
        <f ca="1">IFERROR(__xludf.DUMMYFUNCTION("""COMPUTED_VALUE"""),"Resolución")</f>
        <v>Resolución</v>
      </c>
      <c r="I1216" s="10" t="str">
        <f ca="1">IFERROR(__xludf.DUMMYFUNCTION("""COMPUTED_VALUE"""),"OBRA")</f>
        <v>OBRA</v>
      </c>
      <c r="J1216" s="10" t="str">
        <f ca="1">IFERROR(__xludf.DUMMYFUNCTION("""COMPUTED_VALUE"""),"Cumplir con normativa y reglamentos internos del programa en base a los objetivos.")</f>
        <v>Cumplir con normativa y reglamentos internos del programa en base a los objetivos.</v>
      </c>
      <c r="K1216" s="71">
        <f ca="1">IFERROR(__xludf.DUMMYFUNCTION("""COMPUTED_VALUE"""),110670005)</f>
        <v>110670005</v>
      </c>
      <c r="L1216" s="72">
        <f ca="1">IFERROR(__xludf.DUMMYFUNCTION("""COMPUTED_VALUE"""),1)</f>
        <v>1</v>
      </c>
      <c r="M1216" s="10">
        <f ca="1">IFERROR(__xludf.DUMMYFUNCTION("""COMPUTED_VALUE"""),11755)</f>
        <v>11755</v>
      </c>
      <c r="N1216" s="10" t="str">
        <f ca="1">IFERROR(__xludf.DUMMYFUNCTION("""COMPUTED_VALUE"""),"PMU")</f>
        <v>PMU</v>
      </c>
      <c r="O1216" s="1"/>
      <c r="P1216" s="1"/>
      <c r="Q1216" s="1"/>
      <c r="R1216" s="1"/>
      <c r="S1216" s="1"/>
      <c r="T1216" s="1"/>
      <c r="U1216" s="1"/>
      <c r="V1216" s="1"/>
      <c r="W1216" s="1"/>
      <c r="X1216" s="1"/>
      <c r="Y1216" s="1"/>
      <c r="Z1216" s="1"/>
    </row>
    <row r="1217" spans="1:26" ht="12.75" customHeight="1">
      <c r="A1217" s="1"/>
      <c r="B1217" s="10" t="str">
        <f ca="1">IFERROR(__xludf.DUMMYFUNCTION("""COMPUTED_VALUE"""),"MEJORAMIENTO DE PLAZA ESTRECHO DE MAGALLANES, LA PINTANA")</f>
        <v>MEJORAMIENTO DE PLAZA ESTRECHO DE MAGALLANES, LA PINTANA</v>
      </c>
      <c r="C1217" s="10" t="str">
        <f ca="1">IFERROR(__xludf.DUMMYFUNCTION("""COMPUTED_VALUE"""),"1-B-2024-451")</f>
        <v>1-B-2024-451</v>
      </c>
      <c r="D1217" s="26"/>
      <c r="E1217" s="10" t="str">
        <f ca="1">IFERROR(__xludf.DUMMYFUNCTION("""COMPUTED_VALUE"""),"Guía Operativa")</f>
        <v>Guía Operativa</v>
      </c>
      <c r="F1217" s="10" t="str">
        <f ca="1">IFERROR(__xludf.DUMMYFUNCTION("""COMPUTED_VALUE"""),"MUNICIPALIDAD DE LA PINTANA")</f>
        <v>MUNICIPALIDAD DE LA PINTANA</v>
      </c>
      <c r="G1217" s="71">
        <f ca="1">IFERROR(__xludf.DUMMYFUNCTION("""COMPUTED_VALUE"""),161664996)</f>
        <v>161664996</v>
      </c>
      <c r="H1217" s="10" t="str">
        <f ca="1">IFERROR(__xludf.DUMMYFUNCTION("""COMPUTED_VALUE"""),"Resolución")</f>
        <v>Resolución</v>
      </c>
      <c r="I1217" s="10" t="str">
        <f ca="1">IFERROR(__xludf.DUMMYFUNCTION("""COMPUTED_VALUE"""),"OBRA")</f>
        <v>OBRA</v>
      </c>
      <c r="J1217" s="10" t="str">
        <f ca="1">IFERROR(__xludf.DUMMYFUNCTION("""COMPUTED_VALUE"""),"Cumplir con normativa y reglamentos internos del programa en base a los objetivos.")</f>
        <v>Cumplir con normativa y reglamentos internos del programa en base a los objetivos.</v>
      </c>
      <c r="K1217" s="71">
        <f ca="1">IFERROR(__xludf.DUMMYFUNCTION("""COMPUTED_VALUE"""),48499499)</f>
        <v>48499499</v>
      </c>
      <c r="L1217" s="72">
        <f ca="1">IFERROR(__xludf.DUMMYFUNCTION("""COMPUTED_VALUE"""),0.300000001237126)</f>
        <v>0.300000001237126</v>
      </c>
      <c r="M1217" s="10">
        <f ca="1">IFERROR(__xludf.DUMMYFUNCTION("""COMPUTED_VALUE"""),11753)</f>
        <v>11753</v>
      </c>
      <c r="N1217" s="10" t="str">
        <f ca="1">IFERROR(__xludf.DUMMYFUNCTION("""COMPUTED_VALUE"""),"PMU")</f>
        <v>PMU</v>
      </c>
      <c r="O1217" s="1"/>
      <c r="P1217" s="1"/>
      <c r="Q1217" s="1"/>
      <c r="R1217" s="1"/>
      <c r="S1217" s="1"/>
      <c r="T1217" s="1"/>
      <c r="U1217" s="1"/>
      <c r="V1217" s="1"/>
      <c r="W1217" s="1"/>
      <c r="X1217" s="1"/>
      <c r="Y1217" s="1"/>
      <c r="Z1217" s="1"/>
    </row>
    <row r="1218" spans="1:26" ht="12.75" customHeight="1">
      <c r="A1218" s="1"/>
      <c r="B1218" s="10" t="str">
        <f ca="1">IFERROR(__xludf.DUMMYFUNCTION("""COMPUTED_VALUE"""),"MEJORAMIENTO DE S.S.H.H Y VESTIDORES DE ESTADIO TECHADO, COMUNA DE MARÍA ELENA")</f>
        <v>MEJORAMIENTO DE S.S.H.H Y VESTIDORES DE ESTADIO TECHADO, COMUNA DE MARÍA ELENA</v>
      </c>
      <c r="C1218" s="10" t="str">
        <f ca="1">IFERROR(__xludf.DUMMYFUNCTION("""COMPUTED_VALUE"""),"1-C-2024-930")</f>
        <v>1-C-2024-930</v>
      </c>
      <c r="D1218" s="26"/>
      <c r="E1218" s="10" t="str">
        <f ca="1">IFERROR(__xludf.DUMMYFUNCTION("""COMPUTED_VALUE"""),"Guía Operativa")</f>
        <v>Guía Operativa</v>
      </c>
      <c r="F1218" s="10" t="str">
        <f ca="1">IFERROR(__xludf.DUMMYFUNCTION("""COMPUTED_VALUE"""),"MUNICIPALIDAD DE MARÍA ELENA")</f>
        <v>MUNICIPALIDAD DE MARÍA ELENA</v>
      </c>
      <c r="G1218" s="71">
        <f ca="1">IFERROR(__xludf.DUMMYFUNCTION("""COMPUTED_VALUE"""),139783537)</f>
        <v>139783537</v>
      </c>
      <c r="H1218" s="10" t="str">
        <f ca="1">IFERROR(__xludf.DUMMYFUNCTION("""COMPUTED_VALUE"""),"Resolución")</f>
        <v>Resolución</v>
      </c>
      <c r="I1218" s="10" t="str">
        <f ca="1">IFERROR(__xludf.DUMMYFUNCTION("""COMPUTED_VALUE"""),"OBRA")</f>
        <v>OBRA</v>
      </c>
      <c r="J1218" s="10" t="str">
        <f ca="1">IFERROR(__xludf.DUMMYFUNCTION("""COMPUTED_VALUE"""),"Cumplir con normativa y reglamentos internos del programa en base a los objetivos.")</f>
        <v>Cumplir con normativa y reglamentos internos del programa en base a los objetivos.</v>
      </c>
      <c r="K1218" s="71">
        <f ca="1">IFERROR(__xludf.DUMMYFUNCTION("""COMPUTED_VALUE"""),139783537)</f>
        <v>139783537</v>
      </c>
      <c r="L1218" s="72">
        <f ca="1">IFERROR(__xludf.DUMMYFUNCTION("""COMPUTED_VALUE"""),1)</f>
        <v>1</v>
      </c>
      <c r="M1218" s="10">
        <f ca="1">IFERROR(__xludf.DUMMYFUNCTION("""COMPUTED_VALUE"""),12463)</f>
        <v>12463</v>
      </c>
      <c r="N1218" s="10" t="str">
        <f ca="1">IFERROR(__xludf.DUMMYFUNCTION("""COMPUTED_VALUE"""),"PMU")</f>
        <v>PMU</v>
      </c>
      <c r="O1218" s="1"/>
      <c r="P1218" s="1"/>
      <c r="Q1218" s="1"/>
      <c r="R1218" s="1"/>
      <c r="S1218" s="1"/>
      <c r="T1218" s="1"/>
      <c r="U1218" s="1"/>
      <c r="V1218" s="1"/>
      <c r="W1218" s="1"/>
      <c r="X1218" s="1"/>
      <c r="Y1218" s="1"/>
      <c r="Z1218" s="1"/>
    </row>
    <row r="1219" spans="1:26" ht="12.75" customHeight="1">
      <c r="A1219" s="1"/>
      <c r="B1219" s="10" t="str">
        <f ca="1">IFERROR(__xludf.DUMMYFUNCTION("""COMPUTED_VALUE"""),"MEJORAMIENTO DE SEDES VILLA TALACANTA Y ESPERANZA DE LONQUEN, COMUNA DE TALAGANTE")</f>
        <v>MEJORAMIENTO DE SEDES VILLA TALACANTA Y ESPERANZA DE LONQUEN, COMUNA DE TALAGANTE</v>
      </c>
      <c r="C1219" s="10" t="str">
        <f ca="1">IFERROR(__xludf.DUMMYFUNCTION("""COMPUTED_VALUE"""),"1-B-2024-427")</f>
        <v>1-B-2024-427</v>
      </c>
      <c r="D1219" s="26"/>
      <c r="E1219" s="10" t="str">
        <f ca="1">IFERROR(__xludf.DUMMYFUNCTION("""COMPUTED_VALUE"""),"Guía Operativa")</f>
        <v>Guía Operativa</v>
      </c>
      <c r="F1219" s="10" t="str">
        <f ca="1">IFERROR(__xludf.DUMMYFUNCTION("""COMPUTED_VALUE"""),"MUNICIPALIDAD DE TALAGANTE")</f>
        <v>MUNICIPALIDAD DE TALAGANTE</v>
      </c>
      <c r="G1219" s="71">
        <f ca="1">IFERROR(__xludf.DUMMYFUNCTION("""COMPUTED_VALUE"""),67326602)</f>
        <v>67326602</v>
      </c>
      <c r="H1219" s="10" t="str">
        <f ca="1">IFERROR(__xludf.DUMMYFUNCTION("""COMPUTED_VALUE"""),"Resolución")</f>
        <v>Resolución</v>
      </c>
      <c r="I1219" s="10" t="str">
        <f ca="1">IFERROR(__xludf.DUMMYFUNCTION("""COMPUTED_VALUE"""),"OBRA")</f>
        <v>OBRA</v>
      </c>
      <c r="J1219" s="10" t="str">
        <f ca="1">IFERROR(__xludf.DUMMYFUNCTION("""COMPUTED_VALUE"""),"Cumplir con normativa y reglamentos internos del programa en base a los objetivos.")</f>
        <v>Cumplir con normativa y reglamentos internos del programa en base a los objetivos.</v>
      </c>
      <c r="K1219" s="71">
        <f ca="1">IFERROR(__xludf.DUMMYFUNCTION("""COMPUTED_VALUE"""),20197981)</f>
        <v>20197981</v>
      </c>
      <c r="L1219" s="72">
        <f ca="1">IFERROR(__xludf.DUMMYFUNCTION("""COMPUTED_VALUE"""),0.300000005941188)</f>
        <v>0.30000000594118797</v>
      </c>
      <c r="M1219" s="10" t="str">
        <f ca="1">IFERROR(__xludf.DUMMYFUNCTION("""COMPUTED_VALUE"""),"E24013/2024")</f>
        <v>E24013/2024</v>
      </c>
      <c r="N1219" s="10" t="str">
        <f ca="1">IFERROR(__xludf.DUMMYFUNCTION("""COMPUTED_VALUE"""),"PMU")</f>
        <v>PMU</v>
      </c>
      <c r="O1219" s="1"/>
      <c r="P1219" s="1"/>
      <c r="Q1219" s="1"/>
      <c r="R1219" s="1"/>
      <c r="S1219" s="1"/>
      <c r="T1219" s="1"/>
      <c r="U1219" s="1"/>
      <c r="V1219" s="1"/>
      <c r="W1219" s="1"/>
      <c r="X1219" s="1"/>
      <c r="Y1219" s="1"/>
      <c r="Z1219" s="1"/>
    </row>
    <row r="1220" spans="1:26" ht="12.75" customHeight="1">
      <c r="A1220" s="1"/>
      <c r="B1220" s="10" t="str">
        <f ca="1">IFERROR(__xludf.DUMMYFUNCTION("""COMPUTED_VALUE"""),"MEJORAMIENTO DEMARCACIÓN, SEÑALETICA Y SEGURIDAD VIAL CALLE ARTURO PRATT")</f>
        <v>MEJORAMIENTO DEMARCACIÓN, SEÑALETICA Y SEGURIDAD VIAL CALLE ARTURO PRATT</v>
      </c>
      <c r="C1220" s="10" t="str">
        <f ca="1">IFERROR(__xludf.DUMMYFUNCTION("""COMPUTED_VALUE"""),"1-B-2024-170")</f>
        <v>1-B-2024-170</v>
      </c>
      <c r="D1220" s="26"/>
      <c r="E1220" s="10" t="str">
        <f ca="1">IFERROR(__xludf.DUMMYFUNCTION("""COMPUTED_VALUE"""),"Guía Operativa")</f>
        <v>Guía Operativa</v>
      </c>
      <c r="F1220" s="10" t="str">
        <f ca="1">IFERROR(__xludf.DUMMYFUNCTION("""COMPUTED_VALUE"""),"MUNICIPALIDAD DE PICHIDEGUA")</f>
        <v>MUNICIPALIDAD DE PICHIDEGUA</v>
      </c>
      <c r="G1220" s="71">
        <f ca="1">IFERROR(__xludf.DUMMYFUNCTION("""COMPUTED_VALUE"""),118628044)</f>
        <v>118628044</v>
      </c>
      <c r="H1220" s="10" t="str">
        <f ca="1">IFERROR(__xludf.DUMMYFUNCTION("""COMPUTED_VALUE"""),"Resolución")</f>
        <v>Resolución</v>
      </c>
      <c r="I1220" s="10" t="str">
        <f ca="1">IFERROR(__xludf.DUMMYFUNCTION("""COMPUTED_VALUE"""),"OBRA")</f>
        <v>OBRA</v>
      </c>
      <c r="J1220" s="10" t="str">
        <f ca="1">IFERROR(__xludf.DUMMYFUNCTION("""COMPUTED_VALUE"""),"Cumplir con normativa y reglamentos internos del programa en base a los objetivos.")</f>
        <v>Cumplir con normativa y reglamentos internos del programa en base a los objetivos.</v>
      </c>
      <c r="K1220" s="71">
        <f ca="1">IFERROR(__xludf.DUMMYFUNCTION("""COMPUTED_VALUE"""),118628044)</f>
        <v>118628044</v>
      </c>
      <c r="L1220" s="72">
        <f ca="1">IFERROR(__xludf.DUMMYFUNCTION("""COMPUTED_VALUE"""),1)</f>
        <v>1</v>
      </c>
      <c r="M1220" s="10" t="str">
        <f ca="1">IFERROR(__xludf.DUMMYFUNCTION("""COMPUTED_VALUE"""),"E23462/2024")</f>
        <v>E23462/2024</v>
      </c>
      <c r="N1220" s="10" t="str">
        <f ca="1">IFERROR(__xludf.DUMMYFUNCTION("""COMPUTED_VALUE"""),"PMU")</f>
        <v>PMU</v>
      </c>
      <c r="O1220" s="1"/>
      <c r="P1220" s="1"/>
      <c r="Q1220" s="1"/>
      <c r="R1220" s="1"/>
      <c r="S1220" s="1"/>
      <c r="T1220" s="1"/>
      <c r="U1220" s="1"/>
      <c r="V1220" s="1"/>
      <c r="W1220" s="1"/>
      <c r="X1220" s="1"/>
      <c r="Y1220" s="1"/>
      <c r="Z1220" s="1"/>
    </row>
    <row r="1221" spans="1:26" ht="12.75" customHeight="1">
      <c r="A1221" s="1"/>
      <c r="B1221" s="10" t="str">
        <f ca="1">IFERROR(__xludf.DUMMYFUNCTION("""COMPUTED_VALUE"""),"MEJORAMIENTO ENTORNO CENTRO COMUNITARIO DE CUIDADOS Y PROTECCION MARIA PINTO, COMUNA DE MARIA PINTO")</f>
        <v>MEJORAMIENTO ENTORNO CENTRO COMUNITARIO DE CUIDADOS Y PROTECCION MARIA PINTO, COMUNA DE MARIA PINTO</v>
      </c>
      <c r="C1221" s="10" t="str">
        <f ca="1">IFERROR(__xludf.DUMMYFUNCTION("""COMPUTED_VALUE"""),"1-B-2024-420")</f>
        <v>1-B-2024-420</v>
      </c>
      <c r="D1221" s="26"/>
      <c r="E1221" s="10" t="str">
        <f ca="1">IFERROR(__xludf.DUMMYFUNCTION("""COMPUTED_VALUE"""),"Guía Operativa")</f>
        <v>Guía Operativa</v>
      </c>
      <c r="F1221" s="10" t="str">
        <f ca="1">IFERROR(__xludf.DUMMYFUNCTION("""COMPUTED_VALUE"""),"MUNICIPALIDAD DE MARÍA PINTO")</f>
        <v>MUNICIPALIDAD DE MARÍA PINTO</v>
      </c>
      <c r="G1221" s="71">
        <f ca="1">IFERROR(__xludf.DUMMYFUNCTION("""COMPUTED_VALUE"""),114705859)</f>
        <v>114705859</v>
      </c>
      <c r="H1221" s="10" t="str">
        <f ca="1">IFERROR(__xludf.DUMMYFUNCTION("""COMPUTED_VALUE"""),"Resolución")</f>
        <v>Resolución</v>
      </c>
      <c r="I1221" s="10" t="str">
        <f ca="1">IFERROR(__xludf.DUMMYFUNCTION("""COMPUTED_VALUE"""),"OBRA")</f>
        <v>OBRA</v>
      </c>
      <c r="J1221" s="10" t="str">
        <f ca="1">IFERROR(__xludf.DUMMYFUNCTION("""COMPUTED_VALUE"""),"Cumplir con normativa y reglamentos internos del programa en base a los objetivos.")</f>
        <v>Cumplir con normativa y reglamentos internos del programa en base a los objetivos.</v>
      </c>
      <c r="K1221" s="71">
        <f ca="1">IFERROR(__xludf.DUMMYFUNCTION("""COMPUTED_VALUE"""),114705859)</f>
        <v>114705859</v>
      </c>
      <c r="L1221" s="72">
        <f ca="1">IFERROR(__xludf.DUMMYFUNCTION("""COMPUTED_VALUE"""),1)</f>
        <v>1</v>
      </c>
      <c r="M1221" s="10">
        <f ca="1">IFERROR(__xludf.DUMMYFUNCTION("""COMPUTED_VALUE"""),11414)</f>
        <v>11414</v>
      </c>
      <c r="N1221" s="10" t="str">
        <f ca="1">IFERROR(__xludf.DUMMYFUNCTION("""COMPUTED_VALUE"""),"PMU")</f>
        <v>PMU</v>
      </c>
      <c r="O1221" s="1"/>
      <c r="P1221" s="1"/>
      <c r="Q1221" s="1"/>
      <c r="R1221" s="1"/>
      <c r="S1221" s="1"/>
      <c r="T1221" s="1"/>
      <c r="U1221" s="1"/>
      <c r="V1221" s="1"/>
      <c r="W1221" s="1"/>
      <c r="X1221" s="1"/>
      <c r="Y1221" s="1"/>
      <c r="Z1221" s="1"/>
    </row>
    <row r="1222" spans="1:26" ht="12.75" customHeight="1">
      <c r="A1222" s="1"/>
      <c r="B1222" s="10" t="str">
        <f ca="1">IFERROR(__xludf.DUMMYFUNCTION("""COMPUTED_VALUE"""),"MEJORAMIENTO ESPACIO PUBLICO VILLA EL BOSQUE, SECTOR PARRAL, COMUNA DE COLTAUCO")</f>
        <v>MEJORAMIENTO ESPACIO PUBLICO VILLA EL BOSQUE, SECTOR PARRAL, COMUNA DE COLTAUCO</v>
      </c>
      <c r="C1222" s="10" t="str">
        <f ca="1">IFERROR(__xludf.DUMMYFUNCTION("""COMPUTED_VALUE"""),"1-B-2024-240")</f>
        <v>1-B-2024-240</v>
      </c>
      <c r="D1222" s="26"/>
      <c r="E1222" s="10" t="str">
        <f ca="1">IFERROR(__xludf.DUMMYFUNCTION("""COMPUTED_VALUE"""),"Guía Operativa")</f>
        <v>Guía Operativa</v>
      </c>
      <c r="F1222" s="10" t="str">
        <f ca="1">IFERROR(__xludf.DUMMYFUNCTION("""COMPUTED_VALUE"""),"MUNICIPALIDAD DE COLTAUCO")</f>
        <v>MUNICIPALIDAD DE COLTAUCO</v>
      </c>
      <c r="G1222" s="71">
        <f ca="1">IFERROR(__xludf.DUMMYFUNCTION("""COMPUTED_VALUE"""),108857151)</f>
        <v>108857151</v>
      </c>
      <c r="H1222" s="10" t="str">
        <f ca="1">IFERROR(__xludf.DUMMYFUNCTION("""COMPUTED_VALUE"""),"Resolución")</f>
        <v>Resolución</v>
      </c>
      <c r="I1222" s="10" t="str">
        <f ca="1">IFERROR(__xludf.DUMMYFUNCTION("""COMPUTED_VALUE"""),"OBRA")</f>
        <v>OBRA</v>
      </c>
      <c r="J1222" s="10" t="str">
        <f ca="1">IFERROR(__xludf.DUMMYFUNCTION("""COMPUTED_VALUE"""),"Cumplir con normativa y reglamentos internos del programa en base a los objetivos.")</f>
        <v>Cumplir con normativa y reglamentos internos del programa en base a los objetivos.</v>
      </c>
      <c r="K1222" s="71">
        <f ca="1">IFERROR(__xludf.DUMMYFUNCTION("""COMPUTED_VALUE"""),108857151)</f>
        <v>108857151</v>
      </c>
      <c r="L1222" s="72">
        <f ca="1">IFERROR(__xludf.DUMMYFUNCTION("""COMPUTED_VALUE"""),1)</f>
        <v>1</v>
      </c>
      <c r="M1222" s="10" t="str">
        <f ca="1">IFERROR(__xludf.DUMMYFUNCTION("""COMPUTED_VALUE"""),"E22525/2024")</f>
        <v>E22525/2024</v>
      </c>
      <c r="N1222" s="10" t="str">
        <f ca="1">IFERROR(__xludf.DUMMYFUNCTION("""COMPUTED_VALUE"""),"PMU")</f>
        <v>PMU</v>
      </c>
      <c r="O1222" s="1"/>
      <c r="P1222" s="1"/>
      <c r="Q1222" s="1"/>
      <c r="R1222" s="1"/>
      <c r="S1222" s="1"/>
      <c r="T1222" s="1"/>
      <c r="U1222" s="1"/>
      <c r="V1222" s="1"/>
      <c r="W1222" s="1"/>
      <c r="X1222" s="1"/>
      <c r="Y1222" s="1"/>
      <c r="Z1222" s="1"/>
    </row>
    <row r="1223" spans="1:26" ht="12.75" customHeight="1">
      <c r="A1223" s="1"/>
      <c r="B1223" s="10" t="str">
        <f ca="1">IFERROR(__xludf.DUMMYFUNCTION("""COMPUTED_VALUE"""),"MEJORAMIENTO INSTALACIONES INTERIORES PARQUE VIOLETA PARRA, COMUNA DE RENGO")</f>
        <v>MEJORAMIENTO INSTALACIONES INTERIORES PARQUE VIOLETA PARRA, COMUNA DE RENGO</v>
      </c>
      <c r="C1223" s="10" t="str">
        <f ca="1">IFERROR(__xludf.DUMMYFUNCTION("""COMPUTED_VALUE"""),"1-B-2024-365")</f>
        <v>1-B-2024-365</v>
      </c>
      <c r="D1223" s="26"/>
      <c r="E1223" s="10" t="str">
        <f ca="1">IFERROR(__xludf.DUMMYFUNCTION("""COMPUTED_VALUE"""),"Guía Operativa")</f>
        <v>Guía Operativa</v>
      </c>
      <c r="F1223" s="10" t="str">
        <f ca="1">IFERROR(__xludf.DUMMYFUNCTION("""COMPUTED_VALUE"""),"MUNICIPALIDAD DE RENGO")</f>
        <v>MUNICIPALIDAD DE RENGO</v>
      </c>
      <c r="G1223" s="71">
        <f ca="1">IFERROR(__xludf.DUMMYFUNCTION("""COMPUTED_VALUE"""),58935000)</f>
        <v>58935000</v>
      </c>
      <c r="H1223" s="10" t="str">
        <f ca="1">IFERROR(__xludf.DUMMYFUNCTION("""COMPUTED_VALUE"""),"Resolución")</f>
        <v>Resolución</v>
      </c>
      <c r="I1223" s="10" t="str">
        <f ca="1">IFERROR(__xludf.DUMMYFUNCTION("""COMPUTED_VALUE"""),"OBRA")</f>
        <v>OBRA</v>
      </c>
      <c r="J1223" s="10" t="str">
        <f ca="1">IFERROR(__xludf.DUMMYFUNCTION("""COMPUTED_VALUE"""),"Cumplir con normativa y reglamentos internos del programa en base a los objetivos.")</f>
        <v>Cumplir con normativa y reglamentos internos del programa en base a los objetivos.</v>
      </c>
      <c r="K1223" s="71">
        <f ca="1">IFERROR(__xludf.DUMMYFUNCTION("""COMPUTED_VALUE"""),58935000)</f>
        <v>58935000</v>
      </c>
      <c r="L1223" s="72">
        <f ca="1">IFERROR(__xludf.DUMMYFUNCTION("""COMPUTED_VALUE"""),1)</f>
        <v>1</v>
      </c>
      <c r="M1223" s="10" t="str">
        <f ca="1">IFERROR(__xludf.DUMMYFUNCTION("""COMPUTED_VALUE"""),"E23101/2024")</f>
        <v>E23101/2024</v>
      </c>
      <c r="N1223" s="10" t="str">
        <f ca="1">IFERROR(__xludf.DUMMYFUNCTION("""COMPUTED_VALUE"""),"PMU")</f>
        <v>PMU</v>
      </c>
      <c r="O1223" s="1"/>
      <c r="P1223" s="1"/>
      <c r="Q1223" s="1"/>
      <c r="R1223" s="1"/>
      <c r="S1223" s="1"/>
      <c r="T1223" s="1"/>
      <c r="U1223" s="1"/>
      <c r="V1223" s="1"/>
      <c r="W1223" s="1"/>
      <c r="X1223" s="1"/>
      <c r="Y1223" s="1"/>
      <c r="Z1223" s="1"/>
    </row>
    <row r="1224" spans="1:26" ht="12.75" customHeight="1">
      <c r="A1224" s="1"/>
      <c r="B1224" s="10" t="str">
        <f ca="1">IFERROR(__xludf.DUMMYFUNCTION("""COMPUTED_VALUE"""),"MEJORAMIENTO MULTICANCHA TECHADA LOS COLONOS")</f>
        <v>MEJORAMIENTO MULTICANCHA TECHADA LOS COLONOS</v>
      </c>
      <c r="C1224" s="10" t="str">
        <f ca="1">IFERROR(__xludf.DUMMYFUNCTION("""COMPUTED_VALUE"""),"1-B-2024-589")</f>
        <v>1-B-2024-589</v>
      </c>
      <c r="D1224" s="26"/>
      <c r="E1224" s="10" t="str">
        <f ca="1">IFERROR(__xludf.DUMMYFUNCTION("""COMPUTED_VALUE"""),"Guía Operativa")</f>
        <v>Guía Operativa</v>
      </c>
      <c r="F1224" s="10" t="str">
        <f ca="1">IFERROR(__xludf.DUMMYFUNCTION("""COMPUTED_VALUE"""),"MUNICIPALIDAD DE CISNES")</f>
        <v>MUNICIPALIDAD DE CISNES</v>
      </c>
      <c r="G1224" s="71">
        <f ca="1">IFERROR(__xludf.DUMMYFUNCTION("""COMPUTED_VALUE"""),105000000)</f>
        <v>105000000</v>
      </c>
      <c r="H1224" s="10" t="str">
        <f ca="1">IFERROR(__xludf.DUMMYFUNCTION("""COMPUTED_VALUE"""),"Resolución")</f>
        <v>Resolución</v>
      </c>
      <c r="I1224" s="10" t="str">
        <f ca="1">IFERROR(__xludf.DUMMYFUNCTION("""COMPUTED_VALUE"""),"OBRA")</f>
        <v>OBRA</v>
      </c>
      <c r="J1224" s="10" t="str">
        <f ca="1">IFERROR(__xludf.DUMMYFUNCTION("""COMPUTED_VALUE"""),"Cumplir con normativa y reglamentos internos del programa en base a los objetivos.")</f>
        <v>Cumplir con normativa y reglamentos internos del programa en base a los objetivos.</v>
      </c>
      <c r="K1224" s="71">
        <f ca="1">IFERROR(__xludf.DUMMYFUNCTION("""COMPUTED_VALUE"""),31500000)</f>
        <v>31500000</v>
      </c>
      <c r="L1224" s="72">
        <f ca="1">IFERROR(__xludf.DUMMYFUNCTION("""COMPUTED_VALUE"""),0.3)</f>
        <v>0.3</v>
      </c>
      <c r="M1224" s="10" t="str">
        <f ca="1">IFERROR(__xludf.DUMMYFUNCTION("""COMPUTED_VALUE"""),"E24030/2024")</f>
        <v>E24030/2024</v>
      </c>
      <c r="N1224" s="10" t="str">
        <f ca="1">IFERROR(__xludf.DUMMYFUNCTION("""COMPUTED_VALUE"""),"PMU")</f>
        <v>PMU</v>
      </c>
      <c r="O1224" s="1"/>
      <c r="P1224" s="1"/>
      <c r="Q1224" s="1"/>
      <c r="R1224" s="1"/>
      <c r="S1224" s="1"/>
      <c r="T1224" s="1"/>
      <c r="U1224" s="1"/>
      <c r="V1224" s="1"/>
      <c r="W1224" s="1"/>
      <c r="X1224" s="1"/>
      <c r="Y1224" s="1"/>
      <c r="Z1224" s="1"/>
    </row>
    <row r="1225" spans="1:26" ht="12.75" customHeight="1">
      <c r="A1225" s="1"/>
      <c r="B1225" s="10" t="str">
        <f ca="1">IFERROR(__xludf.DUMMYFUNCTION("""COMPUTED_VALUE"""),"MEJORAMIENTO PAVIMENTOS, VARIOS PUNTOS, VALPARAÍSO")</f>
        <v>MEJORAMIENTO PAVIMENTOS, VARIOS PUNTOS, VALPARAÍSO</v>
      </c>
      <c r="C1225" s="10" t="str">
        <f ca="1">IFERROR(__xludf.DUMMYFUNCTION("""COMPUTED_VALUE"""),"1-B-2024-186")</f>
        <v>1-B-2024-186</v>
      </c>
      <c r="D1225" s="26"/>
      <c r="E1225" s="10" t="str">
        <f ca="1">IFERROR(__xludf.DUMMYFUNCTION("""COMPUTED_VALUE"""),"Guía Operativa")</f>
        <v>Guía Operativa</v>
      </c>
      <c r="F1225" s="10" t="str">
        <f ca="1">IFERROR(__xludf.DUMMYFUNCTION("""COMPUTED_VALUE"""),"MUNICIPALIDAD DE VALPARAÍSO")</f>
        <v>MUNICIPALIDAD DE VALPARAÍSO</v>
      </c>
      <c r="G1225" s="71">
        <f ca="1">IFERROR(__xludf.DUMMYFUNCTION("""COMPUTED_VALUE"""),158282798)</f>
        <v>158282798</v>
      </c>
      <c r="H1225" s="10" t="str">
        <f ca="1">IFERROR(__xludf.DUMMYFUNCTION("""COMPUTED_VALUE"""),"Resolución")</f>
        <v>Resolución</v>
      </c>
      <c r="I1225" s="10" t="str">
        <f ca="1">IFERROR(__xludf.DUMMYFUNCTION("""COMPUTED_VALUE"""),"OBRA")</f>
        <v>OBRA</v>
      </c>
      <c r="J1225" s="10" t="str">
        <f ca="1">IFERROR(__xludf.DUMMYFUNCTION("""COMPUTED_VALUE"""),"Cumplir con normativa y reglamentos internos del programa en base a los objetivos.")</f>
        <v>Cumplir con normativa y reglamentos internos del programa en base a los objetivos.</v>
      </c>
      <c r="K1225" s="71">
        <f ca="1">IFERROR(__xludf.DUMMYFUNCTION("""COMPUTED_VALUE"""),158282798)</f>
        <v>158282798</v>
      </c>
      <c r="L1225" s="72">
        <f ca="1">IFERROR(__xludf.DUMMYFUNCTION("""COMPUTED_VALUE"""),1)</f>
        <v>1</v>
      </c>
      <c r="M1225" s="10">
        <f ca="1">IFERROR(__xludf.DUMMYFUNCTION("""COMPUTED_VALUE"""),11921)</f>
        <v>11921</v>
      </c>
      <c r="N1225" s="10" t="str">
        <f ca="1">IFERROR(__xludf.DUMMYFUNCTION("""COMPUTED_VALUE"""),"PMU")</f>
        <v>PMU</v>
      </c>
      <c r="O1225" s="1"/>
      <c r="P1225" s="1"/>
      <c r="Q1225" s="1"/>
      <c r="R1225" s="1"/>
      <c r="S1225" s="1"/>
      <c r="T1225" s="1"/>
      <c r="U1225" s="1"/>
      <c r="V1225" s="1"/>
      <c r="W1225" s="1"/>
      <c r="X1225" s="1"/>
      <c r="Y1225" s="1"/>
      <c r="Z1225" s="1"/>
    </row>
    <row r="1226" spans="1:26" ht="12.75" customHeight="1">
      <c r="A1226" s="1"/>
      <c r="B1226" s="10" t="str">
        <f ca="1">IFERROR(__xludf.DUMMYFUNCTION("""COMPUTED_VALUE"""),"MEJORAMIENTO PLATABANDA PASAJE GENERAL BARCELÓ LIRA U.V 10")</f>
        <v>MEJORAMIENTO PLATABANDA PASAJE GENERAL BARCELÓ LIRA U.V 10</v>
      </c>
      <c r="C1226" s="10" t="str">
        <f ca="1">IFERROR(__xludf.DUMMYFUNCTION("""COMPUTED_VALUE"""),"1-B-2024-175")</f>
        <v>1-B-2024-175</v>
      </c>
      <c r="D1226" s="26"/>
      <c r="E1226" s="10" t="str">
        <f ca="1">IFERROR(__xludf.DUMMYFUNCTION("""COMPUTED_VALUE"""),"Guía Operativa")</f>
        <v>Guía Operativa</v>
      </c>
      <c r="F1226" s="10" t="str">
        <f ca="1">IFERROR(__xludf.DUMMYFUNCTION("""COMPUTED_VALUE"""),"MUNICIPALIDAD DE SAN RAMÓN")</f>
        <v>MUNICIPALIDAD DE SAN RAMÓN</v>
      </c>
      <c r="G1226" s="71">
        <f ca="1">IFERROR(__xludf.DUMMYFUNCTION("""COMPUTED_VALUE"""),161662019)</f>
        <v>161662019</v>
      </c>
      <c r="H1226" s="10" t="str">
        <f ca="1">IFERROR(__xludf.DUMMYFUNCTION("""COMPUTED_VALUE"""),"Resolución")</f>
        <v>Resolución</v>
      </c>
      <c r="I1226" s="10" t="str">
        <f ca="1">IFERROR(__xludf.DUMMYFUNCTION("""COMPUTED_VALUE"""),"OBRA")</f>
        <v>OBRA</v>
      </c>
      <c r="J1226" s="10" t="str">
        <f ca="1">IFERROR(__xludf.DUMMYFUNCTION("""COMPUTED_VALUE"""),"Cumplir con normativa y reglamentos internos del programa en base a los objetivos.")</f>
        <v>Cumplir con normativa y reglamentos internos del programa en base a los objetivos.</v>
      </c>
      <c r="K1226" s="71">
        <f ca="1">IFERROR(__xludf.DUMMYFUNCTION("""COMPUTED_VALUE"""),161662019)</f>
        <v>161662019</v>
      </c>
      <c r="L1226" s="72">
        <f ca="1">IFERROR(__xludf.DUMMYFUNCTION("""COMPUTED_VALUE"""),1)</f>
        <v>1</v>
      </c>
      <c r="M1226" s="10">
        <f ca="1">IFERROR(__xludf.DUMMYFUNCTION("""COMPUTED_VALUE"""),11427)</f>
        <v>11427</v>
      </c>
      <c r="N1226" s="10" t="str">
        <f ca="1">IFERROR(__xludf.DUMMYFUNCTION("""COMPUTED_VALUE"""),"PMU")</f>
        <v>PMU</v>
      </c>
      <c r="O1226" s="1"/>
      <c r="P1226" s="1"/>
      <c r="Q1226" s="1"/>
      <c r="R1226" s="1"/>
      <c r="S1226" s="1"/>
      <c r="T1226" s="1"/>
      <c r="U1226" s="1"/>
      <c r="V1226" s="1"/>
      <c r="W1226" s="1"/>
      <c r="X1226" s="1"/>
      <c r="Y1226" s="1"/>
      <c r="Z1226" s="1"/>
    </row>
    <row r="1227" spans="1:26" ht="12.75" customHeight="1">
      <c r="A1227" s="1"/>
      <c r="B1227" s="10" t="str">
        <f ca="1">IFERROR(__xludf.DUMMYFUNCTION("""COMPUTED_VALUE"""),"MEJORAMIENTO PLAZA COMERCIAL SAN JOSÉ COMUNA DE INDEPENDENCIA")</f>
        <v>MEJORAMIENTO PLAZA COMERCIAL SAN JOSÉ COMUNA DE INDEPENDENCIA</v>
      </c>
      <c r="C1227" s="10" t="str">
        <f ca="1">IFERROR(__xludf.DUMMYFUNCTION("""COMPUTED_VALUE"""),"1-B-2024-103")</f>
        <v>1-B-2024-103</v>
      </c>
      <c r="D1227" s="26"/>
      <c r="E1227" s="10" t="str">
        <f ca="1">IFERROR(__xludf.DUMMYFUNCTION("""COMPUTED_VALUE"""),"Guía Operativa")</f>
        <v>Guía Operativa</v>
      </c>
      <c r="F1227" s="10" t="str">
        <f ca="1">IFERROR(__xludf.DUMMYFUNCTION("""COMPUTED_VALUE"""),"MUNICIPALIDAD DE INDEPENDENCIA")</f>
        <v>MUNICIPALIDAD DE INDEPENDENCIA</v>
      </c>
      <c r="G1227" s="71">
        <f ca="1">IFERROR(__xludf.DUMMYFUNCTION("""COMPUTED_VALUE"""),151783366)</f>
        <v>151783366</v>
      </c>
      <c r="H1227" s="10" t="str">
        <f ca="1">IFERROR(__xludf.DUMMYFUNCTION("""COMPUTED_VALUE"""),"Resolución")</f>
        <v>Resolución</v>
      </c>
      <c r="I1227" s="10" t="str">
        <f ca="1">IFERROR(__xludf.DUMMYFUNCTION("""COMPUTED_VALUE"""),"OBRA")</f>
        <v>OBRA</v>
      </c>
      <c r="J1227" s="10" t="str">
        <f ca="1">IFERROR(__xludf.DUMMYFUNCTION("""COMPUTED_VALUE"""),"Cumplir con normativa y reglamentos internos del programa en base a los objetivos.")</f>
        <v>Cumplir con normativa y reglamentos internos del programa en base a los objetivos.</v>
      </c>
      <c r="K1227" s="71">
        <f ca="1">IFERROR(__xludf.DUMMYFUNCTION("""COMPUTED_VALUE"""),45535010)</f>
        <v>45535010</v>
      </c>
      <c r="L1227" s="72">
        <f ca="1">IFERROR(__xludf.DUMMYFUNCTION("""COMPUTED_VALUE"""),0.300000001317667)</f>
        <v>0.30000000131766702</v>
      </c>
      <c r="M1227" s="10" t="str">
        <f ca="1">IFERROR(__xludf.DUMMYFUNCTION("""COMPUTED_VALUE"""),"E24024/2024")</f>
        <v>E24024/2024</v>
      </c>
      <c r="N1227" s="10" t="str">
        <f ca="1">IFERROR(__xludf.DUMMYFUNCTION("""COMPUTED_VALUE"""),"PMU")</f>
        <v>PMU</v>
      </c>
      <c r="O1227" s="1"/>
      <c r="P1227" s="1"/>
      <c r="Q1227" s="1"/>
      <c r="R1227" s="1"/>
      <c r="S1227" s="1"/>
      <c r="T1227" s="1"/>
      <c r="U1227" s="1"/>
      <c r="V1227" s="1"/>
      <c r="W1227" s="1"/>
      <c r="X1227" s="1"/>
      <c r="Y1227" s="1"/>
      <c r="Z1227" s="1"/>
    </row>
    <row r="1228" spans="1:26" ht="12.75" customHeight="1">
      <c r="A1228" s="1"/>
      <c r="B1228" s="10" t="str">
        <f ca="1">IFERROR(__xludf.DUMMYFUNCTION("""COMPUTED_VALUE"""),"MEJORAMIENTO PLAZA DRAGONES DE LA REINA")</f>
        <v>MEJORAMIENTO PLAZA DRAGONES DE LA REINA</v>
      </c>
      <c r="C1228" s="10" t="str">
        <f ca="1">IFERROR(__xludf.DUMMYFUNCTION("""COMPUTED_VALUE"""),"1-B-2024-424")</f>
        <v>1-B-2024-424</v>
      </c>
      <c r="D1228" s="26"/>
      <c r="E1228" s="10" t="str">
        <f ca="1">IFERROR(__xludf.DUMMYFUNCTION("""COMPUTED_VALUE"""),"Guía Operativa")</f>
        <v>Guía Operativa</v>
      </c>
      <c r="F1228" s="10" t="str">
        <f ca="1">IFERROR(__xludf.DUMMYFUNCTION("""COMPUTED_VALUE"""),"MUNICIPALIDAD DE LA REINA")</f>
        <v>MUNICIPALIDAD DE LA REINA</v>
      </c>
      <c r="G1228" s="71">
        <f ca="1">IFERROR(__xludf.DUMMYFUNCTION("""COMPUTED_VALUE"""),146346830)</f>
        <v>146346830</v>
      </c>
      <c r="H1228" s="10" t="str">
        <f ca="1">IFERROR(__xludf.DUMMYFUNCTION("""COMPUTED_VALUE"""),"Resolución")</f>
        <v>Resolución</v>
      </c>
      <c r="I1228" s="10" t="str">
        <f ca="1">IFERROR(__xludf.DUMMYFUNCTION("""COMPUTED_VALUE"""),"OBRA")</f>
        <v>OBRA</v>
      </c>
      <c r="J1228" s="10" t="str">
        <f ca="1">IFERROR(__xludf.DUMMYFUNCTION("""COMPUTED_VALUE"""),"Cumplir con normativa y reglamentos internos del programa en base a los objetivos.")</f>
        <v>Cumplir con normativa y reglamentos internos del programa en base a los objetivos.</v>
      </c>
      <c r="K1228" s="71">
        <f ca="1">IFERROR(__xludf.DUMMYFUNCTION("""COMPUTED_VALUE"""),43904049)</f>
        <v>43904049</v>
      </c>
      <c r="L1228" s="72">
        <f ca="1">IFERROR(__xludf.DUMMYFUNCTION("""COMPUTED_VALUE"""),0.3)</f>
        <v>0.3</v>
      </c>
      <c r="M1228" s="10">
        <f ca="1">IFERROR(__xludf.DUMMYFUNCTION("""COMPUTED_VALUE"""),11705)</f>
        <v>11705</v>
      </c>
      <c r="N1228" s="10" t="str">
        <f ca="1">IFERROR(__xludf.DUMMYFUNCTION("""COMPUTED_VALUE"""),"PMU")</f>
        <v>PMU</v>
      </c>
      <c r="O1228" s="1"/>
      <c r="P1228" s="1"/>
      <c r="Q1228" s="1"/>
      <c r="R1228" s="1"/>
      <c r="S1228" s="1"/>
      <c r="T1228" s="1"/>
      <c r="U1228" s="1"/>
      <c r="V1228" s="1"/>
      <c r="W1228" s="1"/>
      <c r="X1228" s="1"/>
      <c r="Y1228" s="1"/>
      <c r="Z1228" s="1"/>
    </row>
    <row r="1229" spans="1:26" ht="12.75" customHeight="1">
      <c r="A1229" s="1"/>
      <c r="B1229" s="10" t="str">
        <f ca="1">IFERROR(__xludf.DUMMYFUNCTION("""COMPUTED_VALUE"""),"MEJORAMIENTO PLAZA EL CARMEN E INSTALACIÓN LETRAS VOLUMÉTRICAS PLAZA LAS ÁNIMAS")</f>
        <v>MEJORAMIENTO PLAZA EL CARMEN E INSTALACIÓN LETRAS VOLUMÉTRICAS PLAZA LAS ÁNIMAS</v>
      </c>
      <c r="C1229" s="10" t="str">
        <f ca="1">IFERROR(__xludf.DUMMYFUNCTION("""COMPUTED_VALUE"""),"1-B-2024-377")</f>
        <v>1-B-2024-377</v>
      </c>
      <c r="D1229" s="26"/>
      <c r="E1229" s="10" t="str">
        <f ca="1">IFERROR(__xludf.DUMMYFUNCTION("""COMPUTED_VALUE"""),"Guía Operativa")</f>
        <v>Guía Operativa</v>
      </c>
      <c r="F1229" s="10" t="str">
        <f ca="1">IFERROR(__xludf.DUMMYFUNCTION("""COMPUTED_VALUE"""),"MUNICIPALIDAD DE LAS CABRAS")</f>
        <v>MUNICIPALIDAD DE LAS CABRAS</v>
      </c>
      <c r="G1229" s="71">
        <f ca="1">IFERROR(__xludf.DUMMYFUNCTION("""COMPUTED_VALUE"""),82306347)</f>
        <v>82306347</v>
      </c>
      <c r="H1229" s="10" t="str">
        <f ca="1">IFERROR(__xludf.DUMMYFUNCTION("""COMPUTED_VALUE"""),"Resolución")</f>
        <v>Resolución</v>
      </c>
      <c r="I1229" s="10" t="str">
        <f ca="1">IFERROR(__xludf.DUMMYFUNCTION("""COMPUTED_VALUE"""),"OBRA")</f>
        <v>OBRA</v>
      </c>
      <c r="J1229" s="10" t="str">
        <f ca="1">IFERROR(__xludf.DUMMYFUNCTION("""COMPUTED_VALUE"""),"Cumplir con normativa y reglamentos internos del programa en base a los objetivos.")</f>
        <v>Cumplir con normativa y reglamentos internos del programa en base a los objetivos.</v>
      </c>
      <c r="K1229" s="71">
        <f ca="1">IFERROR(__xludf.DUMMYFUNCTION("""COMPUTED_VALUE"""),82306347)</f>
        <v>82306347</v>
      </c>
      <c r="L1229" s="72">
        <f ca="1">IFERROR(__xludf.DUMMYFUNCTION("""COMPUTED_VALUE"""),1)</f>
        <v>1</v>
      </c>
      <c r="M1229" s="10">
        <f ca="1">IFERROR(__xludf.DUMMYFUNCTION("""COMPUTED_VALUE"""),11403)</f>
        <v>11403</v>
      </c>
      <c r="N1229" s="10" t="str">
        <f ca="1">IFERROR(__xludf.DUMMYFUNCTION("""COMPUTED_VALUE"""),"PMU")</f>
        <v>PMU</v>
      </c>
      <c r="O1229" s="1"/>
      <c r="P1229" s="1"/>
      <c r="Q1229" s="1"/>
      <c r="R1229" s="1"/>
      <c r="S1229" s="1"/>
      <c r="T1229" s="1"/>
      <c r="U1229" s="1"/>
      <c r="V1229" s="1"/>
      <c r="W1229" s="1"/>
      <c r="X1229" s="1"/>
      <c r="Y1229" s="1"/>
      <c r="Z1229" s="1"/>
    </row>
    <row r="1230" spans="1:26" ht="12.75" customHeight="1">
      <c r="A1230" s="1"/>
      <c r="B1230" s="10" t="str">
        <f ca="1">IFERROR(__xludf.DUMMYFUNCTION("""COMPUTED_VALUE"""),"MEJORAMIENTO PUNTOS LUMINICOS CALLE LA GRANJA , LA CISTERNA")</f>
        <v>MEJORAMIENTO PUNTOS LUMINICOS CALLE LA GRANJA , LA CISTERNA</v>
      </c>
      <c r="C1230" s="10" t="str">
        <f ca="1">IFERROR(__xludf.DUMMYFUNCTION("""COMPUTED_VALUE"""),"1-B-2024-433")</f>
        <v>1-B-2024-433</v>
      </c>
      <c r="D1230" s="26"/>
      <c r="E1230" s="10" t="str">
        <f ca="1">IFERROR(__xludf.DUMMYFUNCTION("""COMPUTED_VALUE"""),"Guía Operativa")</f>
        <v>Guía Operativa</v>
      </c>
      <c r="F1230" s="10" t="str">
        <f ca="1">IFERROR(__xludf.DUMMYFUNCTION("""COMPUTED_VALUE"""),"MUNICIPALIDAD DE LA CISTERNA")</f>
        <v>MUNICIPALIDAD DE LA CISTERNA</v>
      </c>
      <c r="G1230" s="71">
        <f ca="1">IFERROR(__xludf.DUMMYFUNCTION("""COMPUTED_VALUE"""),132957442)</f>
        <v>132957442</v>
      </c>
      <c r="H1230" s="10" t="str">
        <f ca="1">IFERROR(__xludf.DUMMYFUNCTION("""COMPUTED_VALUE"""),"Resolución")</f>
        <v>Resolución</v>
      </c>
      <c r="I1230" s="10" t="str">
        <f ca="1">IFERROR(__xludf.DUMMYFUNCTION("""COMPUTED_VALUE"""),"OBRA")</f>
        <v>OBRA</v>
      </c>
      <c r="J1230" s="10" t="str">
        <f ca="1">IFERROR(__xludf.DUMMYFUNCTION("""COMPUTED_VALUE"""),"Cumplir con normativa y reglamentos internos del programa en base a los objetivos.")</f>
        <v>Cumplir con normativa y reglamentos internos del programa en base a los objetivos.</v>
      </c>
      <c r="K1230" s="71">
        <f ca="1">IFERROR(__xludf.DUMMYFUNCTION("""COMPUTED_VALUE"""),132957442)</f>
        <v>132957442</v>
      </c>
      <c r="L1230" s="72">
        <f ca="1">IFERROR(__xludf.DUMMYFUNCTION("""COMPUTED_VALUE"""),1)</f>
        <v>1</v>
      </c>
      <c r="M1230" s="10">
        <f ca="1">IFERROR(__xludf.DUMMYFUNCTION("""COMPUTED_VALUE"""),11350)</f>
        <v>11350</v>
      </c>
      <c r="N1230" s="10" t="str">
        <f ca="1">IFERROR(__xludf.DUMMYFUNCTION("""COMPUTED_VALUE"""),"PMU")</f>
        <v>PMU</v>
      </c>
      <c r="O1230" s="1"/>
      <c r="P1230" s="1"/>
      <c r="Q1230" s="1"/>
      <c r="R1230" s="1"/>
      <c r="S1230" s="1"/>
      <c r="T1230" s="1"/>
      <c r="U1230" s="1"/>
      <c r="V1230" s="1"/>
      <c r="W1230" s="1"/>
      <c r="X1230" s="1"/>
      <c r="Y1230" s="1"/>
      <c r="Z1230" s="1"/>
    </row>
    <row r="1231" spans="1:26" ht="12.75" customHeight="1">
      <c r="A1231" s="1"/>
      <c r="B1231" s="10" t="str">
        <f ca="1">IFERROR(__xludf.DUMMYFUNCTION("""COMPUTED_VALUE"""),"MEJORAMIENTO Y EQUIPAMIENTO ÁREA VERDE BOLIVAR")</f>
        <v>MEJORAMIENTO Y EQUIPAMIENTO ÁREA VERDE BOLIVAR</v>
      </c>
      <c r="C1231" s="10" t="str">
        <f ca="1">IFERROR(__xludf.DUMMYFUNCTION("""COMPUTED_VALUE"""),"1-B-2024-280")</f>
        <v>1-B-2024-280</v>
      </c>
      <c r="D1231" s="26"/>
      <c r="E1231" s="10" t="str">
        <f ca="1">IFERROR(__xludf.DUMMYFUNCTION("""COMPUTED_VALUE"""),"Guía Operativa")</f>
        <v>Guía Operativa</v>
      </c>
      <c r="F1231" s="10" t="str">
        <f ca="1">IFERROR(__xludf.DUMMYFUNCTION("""COMPUTED_VALUE"""),"MUNICIPALIDAD DE PEÑALOLÉN")</f>
        <v>MUNICIPALIDAD DE PEÑALOLÉN</v>
      </c>
      <c r="G1231" s="71">
        <f ca="1">IFERROR(__xludf.DUMMYFUNCTION("""COMPUTED_VALUE"""),140897001)</f>
        <v>140897001</v>
      </c>
      <c r="H1231" s="10" t="str">
        <f ca="1">IFERROR(__xludf.DUMMYFUNCTION("""COMPUTED_VALUE"""),"Resolución")</f>
        <v>Resolución</v>
      </c>
      <c r="I1231" s="10" t="str">
        <f ca="1">IFERROR(__xludf.DUMMYFUNCTION("""COMPUTED_VALUE"""),"OBRA")</f>
        <v>OBRA</v>
      </c>
      <c r="J1231" s="10" t="str">
        <f ca="1">IFERROR(__xludf.DUMMYFUNCTION("""COMPUTED_VALUE"""),"Cumplir con normativa y reglamentos internos del programa en base a los objetivos.")</f>
        <v>Cumplir con normativa y reglamentos internos del programa en base a los objetivos.</v>
      </c>
      <c r="K1231" s="71">
        <f ca="1">IFERROR(__xludf.DUMMYFUNCTION("""COMPUTED_VALUE"""),42269100)</f>
        <v>42269100</v>
      </c>
      <c r="L1231" s="72">
        <f ca="1">IFERROR(__xludf.DUMMYFUNCTION("""COMPUTED_VALUE"""),0.299999997870785)</f>
        <v>0.29999999787078502</v>
      </c>
      <c r="M1231" s="10" t="str">
        <f ca="1">IFERROR(__xludf.DUMMYFUNCTION("""COMPUTED_VALUE"""),"E24021/2024")</f>
        <v>E24021/2024</v>
      </c>
      <c r="N1231" s="10" t="str">
        <f ca="1">IFERROR(__xludf.DUMMYFUNCTION("""COMPUTED_VALUE"""),"PMU")</f>
        <v>PMU</v>
      </c>
      <c r="O1231" s="1"/>
      <c r="P1231" s="1"/>
      <c r="Q1231" s="1"/>
      <c r="R1231" s="1"/>
      <c r="S1231" s="1"/>
      <c r="T1231" s="1"/>
      <c r="U1231" s="1"/>
      <c r="V1231" s="1"/>
      <c r="W1231" s="1"/>
      <c r="X1231" s="1"/>
      <c r="Y1231" s="1"/>
      <c r="Z1231" s="1"/>
    </row>
    <row r="1232" spans="1:26" ht="12.75" customHeight="1">
      <c r="A1232" s="1"/>
      <c r="B1232" s="10" t="str">
        <f ca="1">IFERROR(__xludf.DUMMYFUNCTION("""COMPUTED_VALUE"""),"NORMALIZACION SISTEMA ELECTRICO CON EFICIENCIA ENERGETICA DEPARTAMENTO DIDECO DE LA MUNICIPALIDAD DE CARAHUE")</f>
        <v>NORMALIZACION SISTEMA ELECTRICO CON EFICIENCIA ENERGETICA DEPARTAMENTO DIDECO DE LA MUNICIPALIDAD DE CARAHUE</v>
      </c>
      <c r="C1232" s="10" t="str">
        <f ca="1">IFERROR(__xludf.DUMMYFUNCTION("""COMPUTED_VALUE"""),"1-C-2023-2699")</f>
        <v>1-C-2023-2699</v>
      </c>
      <c r="D1232" s="26"/>
      <c r="E1232" s="10" t="str">
        <f ca="1">IFERROR(__xludf.DUMMYFUNCTION("""COMPUTED_VALUE"""),"Guía Operativa")</f>
        <v>Guía Operativa</v>
      </c>
      <c r="F1232" s="10" t="str">
        <f ca="1">IFERROR(__xludf.DUMMYFUNCTION("""COMPUTED_VALUE"""),"MUNICIPALIDAD DE CARAHUE")</f>
        <v>MUNICIPALIDAD DE CARAHUE</v>
      </c>
      <c r="G1232" s="71">
        <f ca="1">IFERROR(__xludf.DUMMYFUNCTION("""COMPUTED_VALUE"""),130403529)</f>
        <v>130403529</v>
      </c>
      <c r="H1232" s="10" t="str">
        <f ca="1">IFERROR(__xludf.DUMMYFUNCTION("""COMPUTED_VALUE"""),"Resolución")</f>
        <v>Resolución</v>
      </c>
      <c r="I1232" s="10" t="str">
        <f ca="1">IFERROR(__xludf.DUMMYFUNCTION("""COMPUTED_VALUE"""),"OBRA")</f>
        <v>OBRA</v>
      </c>
      <c r="J1232" s="10" t="str">
        <f ca="1">IFERROR(__xludf.DUMMYFUNCTION("""COMPUTED_VALUE"""),"Cumplir con normativa y reglamentos internos del programa en base a los objetivos.")</f>
        <v>Cumplir con normativa y reglamentos internos del programa en base a los objetivos.</v>
      </c>
      <c r="K1232" s="71">
        <f ca="1">IFERROR(__xludf.DUMMYFUNCTION("""COMPUTED_VALUE"""),130403529)</f>
        <v>130403529</v>
      </c>
      <c r="L1232" s="72">
        <f ca="1">IFERROR(__xludf.DUMMYFUNCTION("""COMPUTED_VALUE"""),1)</f>
        <v>1</v>
      </c>
      <c r="M1232" s="10">
        <f ca="1">IFERROR(__xludf.DUMMYFUNCTION("""COMPUTED_VALUE"""),12000)</f>
        <v>12000</v>
      </c>
      <c r="N1232" s="10" t="str">
        <f ca="1">IFERROR(__xludf.DUMMYFUNCTION("""COMPUTED_VALUE"""),"PMU")</f>
        <v>PMU</v>
      </c>
      <c r="O1232" s="1"/>
      <c r="P1232" s="1"/>
      <c r="Q1232" s="1"/>
      <c r="R1232" s="1"/>
      <c r="S1232" s="1"/>
      <c r="T1232" s="1"/>
      <c r="U1232" s="1"/>
      <c r="V1232" s="1"/>
      <c r="W1232" s="1"/>
      <c r="X1232" s="1"/>
      <c r="Y1232" s="1"/>
      <c r="Z1232" s="1"/>
    </row>
    <row r="1233" spans="1:26" ht="12.75" customHeight="1">
      <c r="A1233" s="1"/>
      <c r="B1233" s="10" t="str">
        <f ca="1">IFERROR(__xludf.DUMMYFUNCTION("""COMPUTED_VALUE"""),"RECAMBIO E INSTALACIÓN DE LUMINARIAS SECTOR RINCONADA DE MENESES, COMUNA DE CHÉPICA")</f>
        <v>RECAMBIO E INSTALACIÓN DE LUMINARIAS SECTOR RINCONADA DE MENESES, COMUNA DE CHÉPICA</v>
      </c>
      <c r="C1233" s="10" t="str">
        <f ca="1">IFERROR(__xludf.DUMMYFUNCTION("""COMPUTED_VALUE"""),"1-B-2024-369")</f>
        <v>1-B-2024-369</v>
      </c>
      <c r="D1233" s="26"/>
      <c r="E1233" s="10" t="str">
        <f ca="1">IFERROR(__xludf.DUMMYFUNCTION("""COMPUTED_VALUE"""),"Guía Operativa")</f>
        <v>Guía Operativa</v>
      </c>
      <c r="F1233" s="10" t="str">
        <f ca="1">IFERROR(__xludf.DUMMYFUNCTION("""COMPUTED_VALUE"""),"MUNICIPALIDAD DE CHÉPICA")</f>
        <v>MUNICIPALIDAD DE CHÉPICA</v>
      </c>
      <c r="G1233" s="71">
        <f ca="1">IFERROR(__xludf.DUMMYFUNCTION("""COMPUTED_VALUE"""),96297983)</f>
        <v>96297983</v>
      </c>
      <c r="H1233" s="10" t="str">
        <f ca="1">IFERROR(__xludf.DUMMYFUNCTION("""COMPUTED_VALUE"""),"Resolución")</f>
        <v>Resolución</v>
      </c>
      <c r="I1233" s="10" t="str">
        <f ca="1">IFERROR(__xludf.DUMMYFUNCTION("""COMPUTED_VALUE"""),"OBRA")</f>
        <v>OBRA</v>
      </c>
      <c r="J1233" s="10" t="str">
        <f ca="1">IFERROR(__xludf.DUMMYFUNCTION("""COMPUTED_VALUE"""),"Cumplir con normativa y reglamentos internos del programa en base a los objetivos.")</f>
        <v>Cumplir con normativa y reglamentos internos del programa en base a los objetivos.</v>
      </c>
      <c r="K1233" s="71">
        <f ca="1">IFERROR(__xludf.DUMMYFUNCTION("""COMPUTED_VALUE"""),96297983)</f>
        <v>96297983</v>
      </c>
      <c r="L1233" s="72">
        <f ca="1">IFERROR(__xludf.DUMMYFUNCTION("""COMPUTED_VALUE"""),1)</f>
        <v>1</v>
      </c>
      <c r="M1233" s="10" t="str">
        <f ca="1">IFERROR(__xludf.DUMMYFUNCTION("""COMPUTED_VALUE"""),"E23535/2024")</f>
        <v>E23535/2024</v>
      </c>
      <c r="N1233" s="10" t="str">
        <f ca="1">IFERROR(__xludf.DUMMYFUNCTION("""COMPUTED_VALUE"""),"PMU")</f>
        <v>PMU</v>
      </c>
      <c r="O1233" s="1"/>
      <c r="P1233" s="1"/>
      <c r="Q1233" s="1"/>
      <c r="R1233" s="1"/>
      <c r="S1233" s="1"/>
      <c r="T1233" s="1"/>
      <c r="U1233" s="1"/>
      <c r="V1233" s="1"/>
      <c r="W1233" s="1"/>
      <c r="X1233" s="1"/>
      <c r="Y1233" s="1"/>
      <c r="Z1233" s="1"/>
    </row>
    <row r="1234" spans="1:26" ht="12.75" customHeight="1">
      <c r="A1234" s="1"/>
      <c r="B1234" s="10" t="str">
        <f ca="1">IFERROR(__xludf.DUMMYFUNCTION("""COMPUTED_VALUE"""),"REPARACIÓN DE BACHES EN UNIDADES VECINALES N°25,17, 8, 7, 4, 3 Y 1, COMUNA DE SAN RAMÓN")</f>
        <v>REPARACIÓN DE BACHES EN UNIDADES VECINALES N°25,17, 8, 7, 4, 3 Y 1, COMUNA DE SAN RAMÓN</v>
      </c>
      <c r="C1234" s="10" t="str">
        <f ca="1">IFERROR(__xludf.DUMMYFUNCTION("""COMPUTED_VALUE"""),"1-B-2024-271")</f>
        <v>1-B-2024-271</v>
      </c>
      <c r="D1234" s="26"/>
      <c r="E1234" s="10" t="str">
        <f ca="1">IFERROR(__xludf.DUMMYFUNCTION("""COMPUTED_VALUE"""),"Guía Operativa")</f>
        <v>Guía Operativa</v>
      </c>
      <c r="F1234" s="10" t="str">
        <f ca="1">IFERROR(__xludf.DUMMYFUNCTION("""COMPUTED_VALUE"""),"MUNICIPALIDAD DE SAN RAMÓN")</f>
        <v>MUNICIPALIDAD DE SAN RAMÓN</v>
      </c>
      <c r="G1234" s="71">
        <f ca="1">IFERROR(__xludf.DUMMYFUNCTION("""COMPUTED_VALUE"""),73515930)</f>
        <v>73515930</v>
      </c>
      <c r="H1234" s="10" t="str">
        <f ca="1">IFERROR(__xludf.DUMMYFUNCTION("""COMPUTED_VALUE"""),"Resolución")</f>
        <v>Resolución</v>
      </c>
      <c r="I1234" s="10" t="str">
        <f ca="1">IFERROR(__xludf.DUMMYFUNCTION("""COMPUTED_VALUE"""),"OBRA")</f>
        <v>OBRA</v>
      </c>
      <c r="J1234" s="10" t="str">
        <f ca="1">IFERROR(__xludf.DUMMYFUNCTION("""COMPUTED_VALUE"""),"Cumplir con normativa y reglamentos internos del programa en base a los objetivos.")</f>
        <v>Cumplir con normativa y reglamentos internos del programa en base a los objetivos.</v>
      </c>
      <c r="K1234" s="71">
        <f ca="1">IFERROR(__xludf.DUMMYFUNCTION("""COMPUTED_VALUE"""),73515930)</f>
        <v>73515930</v>
      </c>
      <c r="L1234" s="72">
        <f ca="1">IFERROR(__xludf.DUMMYFUNCTION("""COMPUTED_VALUE"""),1)</f>
        <v>1</v>
      </c>
      <c r="M1234" s="10">
        <f ca="1">IFERROR(__xludf.DUMMYFUNCTION("""COMPUTED_VALUE"""),11422)</f>
        <v>11422</v>
      </c>
      <c r="N1234" s="10" t="str">
        <f ca="1">IFERROR(__xludf.DUMMYFUNCTION("""COMPUTED_VALUE"""),"PMU")</f>
        <v>PMU</v>
      </c>
      <c r="O1234" s="1"/>
      <c r="P1234" s="1"/>
      <c r="Q1234" s="1"/>
      <c r="R1234" s="1"/>
      <c r="S1234" s="1"/>
      <c r="T1234" s="1"/>
      <c r="U1234" s="1"/>
      <c r="V1234" s="1"/>
      <c r="W1234" s="1"/>
      <c r="X1234" s="1"/>
      <c r="Y1234" s="1"/>
      <c r="Z1234" s="1"/>
    </row>
    <row r="1235" spans="1:26" ht="12.75" customHeight="1">
      <c r="A1235" s="1"/>
      <c r="B1235" s="10" t="str">
        <f ca="1">IFERROR(__xludf.DUMMYFUNCTION("""COMPUTED_VALUE"""),"REPARACIÓN DE DIVERSAS CALLES DE PUERTO NATALES")</f>
        <v>REPARACIÓN DE DIVERSAS CALLES DE PUERTO NATALES</v>
      </c>
      <c r="C1235" s="10" t="str">
        <f ca="1">IFERROR(__xludf.DUMMYFUNCTION("""COMPUTED_VALUE"""),"1-C-2023-2573")</f>
        <v>1-C-2023-2573</v>
      </c>
      <c r="D1235" s="26"/>
      <c r="E1235" s="10" t="str">
        <f ca="1">IFERROR(__xludf.DUMMYFUNCTION("""COMPUTED_VALUE"""),"Guía Operativa")</f>
        <v>Guía Operativa</v>
      </c>
      <c r="F1235" s="10" t="str">
        <f ca="1">IFERROR(__xludf.DUMMYFUNCTION("""COMPUTED_VALUE"""),"MUNICIPALIDAD DE NATALES")</f>
        <v>MUNICIPALIDAD DE NATALES</v>
      </c>
      <c r="G1235" s="71">
        <f ca="1">IFERROR(__xludf.DUMMYFUNCTION("""COMPUTED_VALUE"""),93378018)</f>
        <v>93378018</v>
      </c>
      <c r="H1235" s="10" t="str">
        <f ca="1">IFERROR(__xludf.DUMMYFUNCTION("""COMPUTED_VALUE"""),"Resolución")</f>
        <v>Resolución</v>
      </c>
      <c r="I1235" s="10" t="str">
        <f ca="1">IFERROR(__xludf.DUMMYFUNCTION("""COMPUTED_VALUE"""),"OBRA")</f>
        <v>OBRA</v>
      </c>
      <c r="J1235" s="10" t="str">
        <f ca="1">IFERROR(__xludf.DUMMYFUNCTION("""COMPUTED_VALUE"""),"Cumplir con normativa y reglamentos internos del programa en base a los objetivos.")</f>
        <v>Cumplir con normativa y reglamentos internos del programa en base a los objetivos.</v>
      </c>
      <c r="K1235" s="71">
        <f ca="1">IFERROR(__xludf.DUMMYFUNCTION("""COMPUTED_VALUE"""),65682877)</f>
        <v>65682877</v>
      </c>
      <c r="L1235" s="72">
        <f ca="1">IFERROR(__xludf.DUMMYFUNCTION("""COMPUTED_VALUE"""),0.703408343920943)</f>
        <v>0.70340834392094298</v>
      </c>
      <c r="M1235" s="10">
        <f ca="1">IFERROR(__xludf.DUMMYFUNCTION("""COMPUTED_VALUE"""),12462)</f>
        <v>12462</v>
      </c>
      <c r="N1235" s="10" t="str">
        <f ca="1">IFERROR(__xludf.DUMMYFUNCTION("""COMPUTED_VALUE"""),"PMU")</f>
        <v>PMU</v>
      </c>
      <c r="O1235" s="1"/>
      <c r="P1235" s="1"/>
      <c r="Q1235" s="1"/>
      <c r="R1235" s="1"/>
      <c r="S1235" s="1"/>
      <c r="T1235" s="1"/>
      <c r="U1235" s="1"/>
      <c r="V1235" s="1"/>
      <c r="W1235" s="1"/>
      <c r="X1235" s="1"/>
      <c r="Y1235" s="1"/>
      <c r="Z1235" s="1"/>
    </row>
    <row r="1236" spans="1:26" ht="12.75" customHeight="1">
      <c r="A1236" s="1"/>
      <c r="B1236" s="10" t="str">
        <f ca="1">IFERROR(__xludf.DUMMYFUNCTION("""COMPUTED_VALUE"""),"REPOSICION LUMINARIAS TORRES ESTADIO MUNICIPAL JORGE SILVA VALENZUELA")</f>
        <v>REPOSICION LUMINARIAS TORRES ESTADIO MUNICIPAL JORGE SILVA VALENZUELA</v>
      </c>
      <c r="C1236" s="10" t="str">
        <f ca="1">IFERROR(__xludf.DUMMYFUNCTION("""COMPUTED_VALUE"""),"1-B-2024-353")</f>
        <v>1-B-2024-353</v>
      </c>
      <c r="D1236" s="26"/>
      <c r="E1236" s="10" t="str">
        <f ca="1">IFERROR(__xludf.DUMMYFUNCTION("""COMPUTED_VALUE"""),"Guía Operativa")</f>
        <v>Guía Operativa</v>
      </c>
      <c r="F1236" s="10" t="str">
        <f ca="1">IFERROR(__xludf.DUMMYFUNCTION("""COMPUTED_VALUE"""),"MUNICIPALIDAD DE SAN FERNANDO")</f>
        <v>MUNICIPALIDAD DE SAN FERNANDO</v>
      </c>
      <c r="G1236" s="71">
        <f ca="1">IFERROR(__xludf.DUMMYFUNCTION("""COMPUTED_VALUE"""),73956882)</f>
        <v>73956882</v>
      </c>
      <c r="H1236" s="10" t="str">
        <f ca="1">IFERROR(__xludf.DUMMYFUNCTION("""COMPUTED_VALUE"""),"Resolución")</f>
        <v>Resolución</v>
      </c>
      <c r="I1236" s="10" t="str">
        <f ca="1">IFERROR(__xludf.DUMMYFUNCTION("""COMPUTED_VALUE"""),"OBRA")</f>
        <v>OBRA</v>
      </c>
      <c r="J1236" s="10" t="str">
        <f ca="1">IFERROR(__xludf.DUMMYFUNCTION("""COMPUTED_VALUE"""),"Cumplir con normativa y reglamentos internos del programa en base a los objetivos.")</f>
        <v>Cumplir con normativa y reglamentos internos del programa en base a los objetivos.</v>
      </c>
      <c r="K1236" s="71">
        <f ca="1">IFERROR(__xludf.DUMMYFUNCTION("""COMPUTED_VALUE"""),73956882)</f>
        <v>73956882</v>
      </c>
      <c r="L1236" s="72">
        <f ca="1">IFERROR(__xludf.DUMMYFUNCTION("""COMPUTED_VALUE"""),1)</f>
        <v>1</v>
      </c>
      <c r="M1236" s="10">
        <f ca="1">IFERROR(__xludf.DUMMYFUNCTION("""COMPUTED_VALUE"""),11416)</f>
        <v>11416</v>
      </c>
      <c r="N1236" s="10" t="str">
        <f ca="1">IFERROR(__xludf.DUMMYFUNCTION("""COMPUTED_VALUE"""),"PMU")</f>
        <v>PMU</v>
      </c>
      <c r="O1236" s="1"/>
      <c r="P1236" s="1"/>
      <c r="Q1236" s="1"/>
      <c r="R1236" s="1"/>
      <c r="S1236" s="1"/>
      <c r="T1236" s="1"/>
      <c r="U1236" s="1"/>
      <c r="V1236" s="1"/>
      <c r="W1236" s="1"/>
      <c r="X1236" s="1"/>
      <c r="Y1236" s="1"/>
      <c r="Z1236" s="1"/>
    </row>
    <row r="1237" spans="1:26" ht="12.75" customHeight="1">
      <c r="A1237" s="1"/>
      <c r="B1237" s="10" t="str">
        <f ca="1">IFERROR(__xludf.DUMMYFUNCTION("""COMPUTED_VALUE"""),"RESTAURACION MONUMENTO LORD COCHRANE, VALPARAÍSO")</f>
        <v>RESTAURACION MONUMENTO LORD COCHRANE, VALPARAÍSO</v>
      </c>
      <c r="C1237" s="10" t="str">
        <f ca="1">IFERROR(__xludf.DUMMYFUNCTION("""COMPUTED_VALUE"""),"1-C-2024-1036")</f>
        <v>1-C-2024-1036</v>
      </c>
      <c r="D1237" s="26"/>
      <c r="E1237" s="10" t="str">
        <f ca="1">IFERROR(__xludf.DUMMYFUNCTION("""COMPUTED_VALUE"""),"Guía Operativa")</f>
        <v>Guía Operativa</v>
      </c>
      <c r="F1237" s="10" t="str">
        <f ca="1">IFERROR(__xludf.DUMMYFUNCTION("""COMPUTED_VALUE"""),"MUNICIPALIDAD DE VALPARAÍSO")</f>
        <v>MUNICIPALIDAD DE VALPARAÍSO</v>
      </c>
      <c r="G1237" s="71">
        <f ca="1">IFERROR(__xludf.DUMMYFUNCTION("""COMPUTED_VALUE"""),116363306)</f>
        <v>116363306</v>
      </c>
      <c r="H1237" s="10" t="str">
        <f ca="1">IFERROR(__xludf.DUMMYFUNCTION("""COMPUTED_VALUE"""),"Resolución")</f>
        <v>Resolución</v>
      </c>
      <c r="I1237" s="10" t="str">
        <f ca="1">IFERROR(__xludf.DUMMYFUNCTION("""COMPUTED_VALUE"""),"OBRA")</f>
        <v>OBRA</v>
      </c>
      <c r="J1237" s="10" t="str">
        <f ca="1">IFERROR(__xludf.DUMMYFUNCTION("""COMPUTED_VALUE"""),"Cumplir con normativa y reglamentos internos del programa en base a los objetivos.")</f>
        <v>Cumplir con normativa y reglamentos internos del programa en base a los objetivos.</v>
      </c>
      <c r="K1237" s="71">
        <f ca="1">IFERROR(__xludf.DUMMYFUNCTION("""COMPUTED_VALUE"""),40727157)</f>
        <v>40727157</v>
      </c>
      <c r="L1237" s="72">
        <f ca="1">IFERROR(__xludf.DUMMYFUNCTION("""COMPUTED_VALUE"""),0.349999999140622)</f>
        <v>0.34999999914062202</v>
      </c>
      <c r="M1237" s="10">
        <f ca="1">IFERROR(__xludf.DUMMYFUNCTION("""COMPUTED_VALUE"""),12456)</f>
        <v>12456</v>
      </c>
      <c r="N1237" s="10" t="str">
        <f ca="1">IFERROR(__xludf.DUMMYFUNCTION("""COMPUTED_VALUE"""),"PMU")</f>
        <v>PMU</v>
      </c>
      <c r="O1237" s="1"/>
      <c r="P1237" s="1"/>
      <c r="Q1237" s="1"/>
      <c r="R1237" s="1"/>
      <c r="S1237" s="1"/>
      <c r="T1237" s="1"/>
      <c r="U1237" s="1"/>
      <c r="V1237" s="1"/>
      <c r="W1237" s="1"/>
      <c r="X1237" s="1"/>
      <c r="Y1237" s="1"/>
      <c r="Z1237" s="1"/>
    </row>
    <row r="1238" spans="1:26" ht="12.75" customHeight="1">
      <c r="A1238" s="1"/>
      <c r="B1238" s="10" t="str">
        <f ca="1">IFERROR(__xludf.DUMMYFUNCTION("""COMPUTED_VALUE"""),"SATE - REPOSICIÓN SEDE CLUB ADULTO MAYOR MILLARAY, LEBU")</f>
        <v>SATE - REPOSICIÓN SEDE CLUB ADULTO MAYOR MILLARAY, LEBU</v>
      </c>
      <c r="C1238" s="10" t="str">
        <f ca="1">IFERROR(__xludf.DUMMYFUNCTION("""COMPUTED_VALUE"""),"1-C-2022-1889")</f>
        <v>1-C-2022-1889</v>
      </c>
      <c r="D1238" s="26"/>
      <c r="E1238" s="10" t="str">
        <f ca="1">IFERROR(__xludf.DUMMYFUNCTION("""COMPUTED_VALUE"""),"Guía Operativa")</f>
        <v>Guía Operativa</v>
      </c>
      <c r="F1238" s="10" t="str">
        <f ca="1">IFERROR(__xludf.DUMMYFUNCTION("""COMPUTED_VALUE"""),"MUNICIPALIDAD DE LEBU")</f>
        <v>MUNICIPALIDAD DE LEBU</v>
      </c>
      <c r="G1238" s="71">
        <f ca="1">IFERROR(__xludf.DUMMYFUNCTION("""COMPUTED_VALUE"""),89858167)</f>
        <v>89858167</v>
      </c>
      <c r="H1238" s="10" t="str">
        <f ca="1">IFERROR(__xludf.DUMMYFUNCTION("""COMPUTED_VALUE"""),"Resolución")</f>
        <v>Resolución</v>
      </c>
      <c r="I1238" s="10" t="str">
        <f ca="1">IFERROR(__xludf.DUMMYFUNCTION("""COMPUTED_VALUE"""),"OBRA")</f>
        <v>OBRA</v>
      </c>
      <c r="J1238" s="10" t="str">
        <f ca="1">IFERROR(__xludf.DUMMYFUNCTION("""COMPUTED_VALUE"""),"Cumplir con normativa y reglamentos internos del programa en base a los objetivos.")</f>
        <v>Cumplir con normativa y reglamentos internos del programa en base a los objetivos.</v>
      </c>
      <c r="K1238" s="71">
        <f ca="1">IFERROR(__xludf.DUMMYFUNCTION("""COMPUTED_VALUE"""),14858168)</f>
        <v>14858168</v>
      </c>
      <c r="L1238" s="72">
        <f ca="1">IFERROR(__xludf.DUMMYFUNCTION("""COMPUTED_VALUE"""),1)</f>
        <v>1</v>
      </c>
      <c r="M1238" s="10">
        <f ca="1">IFERROR(__xludf.DUMMYFUNCTION("""COMPUTED_VALUE"""),7205)</f>
        <v>7205</v>
      </c>
      <c r="N1238" s="10" t="str">
        <f ca="1">IFERROR(__xludf.DUMMYFUNCTION("""COMPUTED_VALUE"""),"PMU")</f>
        <v>PMU</v>
      </c>
      <c r="O1238" s="1"/>
      <c r="P1238" s="1"/>
      <c r="Q1238" s="1"/>
      <c r="R1238" s="1"/>
      <c r="S1238" s="1"/>
      <c r="T1238" s="1"/>
      <c r="U1238" s="1"/>
      <c r="V1238" s="1"/>
      <c r="W1238" s="1"/>
      <c r="X1238" s="1"/>
      <c r="Y1238" s="1"/>
      <c r="Z1238" s="1"/>
    </row>
    <row r="1239" spans="1:26" ht="12.75" customHeight="1">
      <c r="A1239" s="1"/>
      <c r="B1239" s="10" t="str">
        <f ca="1">IFERROR(__xludf.DUMMYFUNCTION("""COMPUTED_VALUE"""),"SEMAFORIZACION CRUCE LAUTARO CON ZUMAETA, COMUNA DE LA CALERA")</f>
        <v>SEMAFORIZACION CRUCE LAUTARO CON ZUMAETA, COMUNA DE LA CALERA</v>
      </c>
      <c r="C1239" s="10" t="str">
        <f ca="1">IFERROR(__xludf.DUMMYFUNCTION("""COMPUTED_VALUE"""),"1-C-2022-1724")</f>
        <v>1-C-2022-1724</v>
      </c>
      <c r="D1239" s="26"/>
      <c r="E1239" s="10" t="str">
        <f ca="1">IFERROR(__xludf.DUMMYFUNCTION("""COMPUTED_VALUE"""),"Guía Operativa")</f>
        <v>Guía Operativa</v>
      </c>
      <c r="F1239" s="10" t="str">
        <f ca="1">IFERROR(__xludf.DUMMYFUNCTION("""COMPUTED_VALUE"""),"MUNICIPALIDAD DE CALERA")</f>
        <v>MUNICIPALIDAD DE CALERA</v>
      </c>
      <c r="G1239" s="71">
        <f ca="1">IFERROR(__xludf.DUMMYFUNCTION("""COMPUTED_VALUE"""),82124982)</f>
        <v>82124982</v>
      </c>
      <c r="H1239" s="10" t="str">
        <f ca="1">IFERROR(__xludf.DUMMYFUNCTION("""COMPUTED_VALUE"""),"Resolución")</f>
        <v>Resolución</v>
      </c>
      <c r="I1239" s="10" t="str">
        <f ca="1">IFERROR(__xludf.DUMMYFUNCTION("""COMPUTED_VALUE"""),"OBRA")</f>
        <v>OBRA</v>
      </c>
      <c r="J1239" s="10" t="str">
        <f ca="1">IFERROR(__xludf.DUMMYFUNCTION("""COMPUTED_VALUE"""),"Cumplir con normativa y reglamentos internos del programa en base a los objetivos.")</f>
        <v>Cumplir con normativa y reglamentos internos del programa en base a los objetivos.</v>
      </c>
      <c r="K1239" s="71">
        <f ca="1">IFERROR(__xludf.DUMMYFUNCTION("""COMPUTED_VALUE"""),18951919)</f>
        <v>18951919</v>
      </c>
      <c r="L1239" s="72">
        <f ca="1">IFERROR(__xludf.DUMMYFUNCTION("""COMPUTED_VALUE"""),1)</f>
        <v>1</v>
      </c>
      <c r="M1239" s="10">
        <f ca="1">IFERROR(__xludf.DUMMYFUNCTION("""COMPUTED_VALUE"""),4324)</f>
        <v>4324</v>
      </c>
      <c r="N1239" s="10" t="str">
        <f ca="1">IFERROR(__xludf.DUMMYFUNCTION("""COMPUTED_VALUE"""),"PMU")</f>
        <v>PMU</v>
      </c>
      <c r="O1239" s="1"/>
      <c r="P1239" s="1"/>
      <c r="Q1239" s="1"/>
      <c r="R1239" s="1"/>
      <c r="S1239" s="1"/>
      <c r="T1239" s="1"/>
      <c r="U1239" s="1"/>
      <c r="V1239" s="1"/>
      <c r="W1239" s="1"/>
      <c r="X1239" s="1"/>
      <c r="Y1239" s="1"/>
      <c r="Z1239" s="1"/>
    </row>
    <row r="1240" spans="1:26" ht="12.75" customHeight="1">
      <c r="A1240" s="1"/>
      <c r="B1240" s="10" t="str">
        <f ca="1">IFERROR(__xludf.DUMMYFUNCTION("""COMPUTED_VALUE"""),"[SATE]¨ CONSTRUCCION TECHUMBRE MULTICANCHA DE CUISAMA")</f>
        <v>[SATE]¨ CONSTRUCCION TECHUMBRE MULTICANCHA DE CUISAMA</v>
      </c>
      <c r="C1240" s="10" t="str">
        <f ca="1">IFERROR(__xludf.DUMMYFUNCTION("""COMPUTED_VALUE"""),"1-C-2023-1144")</f>
        <v>1-C-2023-1144</v>
      </c>
      <c r="D1240" s="26"/>
      <c r="E1240" s="10" t="str">
        <f ca="1">IFERROR(__xludf.DUMMYFUNCTION("""COMPUTED_VALUE"""),"Guía Operativa")</f>
        <v>Guía Operativa</v>
      </c>
      <c r="F1240" s="10" t="str">
        <f ca="1">IFERROR(__xludf.DUMMYFUNCTION("""COMPUTED_VALUE"""),"MUNICIPALIDAD DE CAMIÑA")</f>
        <v>MUNICIPALIDAD DE CAMIÑA</v>
      </c>
      <c r="G1240" s="71">
        <f ca="1">IFERROR(__xludf.DUMMYFUNCTION("""COMPUTED_VALUE"""),128342060)</f>
        <v>128342060</v>
      </c>
      <c r="H1240" s="10" t="str">
        <f ca="1">IFERROR(__xludf.DUMMYFUNCTION("""COMPUTED_VALUE"""),"Resolución")</f>
        <v>Resolución</v>
      </c>
      <c r="I1240" s="10" t="str">
        <f ca="1">IFERROR(__xludf.DUMMYFUNCTION("""COMPUTED_VALUE"""),"OBRA")</f>
        <v>OBRA</v>
      </c>
      <c r="J1240" s="10" t="str">
        <f ca="1">IFERROR(__xludf.DUMMYFUNCTION("""COMPUTED_VALUE"""),"Cumplir con normativa y reglamentos internos del programa en base a los objetivos.")</f>
        <v>Cumplir con normativa y reglamentos internos del programa en base a los objetivos.</v>
      </c>
      <c r="K1240" s="71">
        <f ca="1">IFERROR(__xludf.DUMMYFUNCTION("""COMPUTED_VALUE"""),128342060)</f>
        <v>128342060</v>
      </c>
      <c r="L1240" s="72">
        <f ca="1">IFERROR(__xludf.DUMMYFUNCTION("""COMPUTED_VALUE"""),1)</f>
        <v>1</v>
      </c>
      <c r="M1240" s="10" t="str">
        <f ca="1">IFERROR(__xludf.DUMMYFUNCTION("""COMPUTED_VALUE"""),"E25395/2024")</f>
        <v>E25395/2024</v>
      </c>
      <c r="N1240" s="10" t="str">
        <f ca="1">IFERROR(__xludf.DUMMYFUNCTION("""COMPUTED_VALUE"""),"PMU")</f>
        <v>PMU</v>
      </c>
      <c r="O1240" s="1"/>
      <c r="P1240" s="1"/>
      <c r="Q1240" s="1"/>
      <c r="R1240" s="1"/>
      <c r="S1240" s="1"/>
      <c r="T1240" s="1"/>
      <c r="U1240" s="1"/>
      <c r="V1240" s="1"/>
      <c r="W1240" s="1"/>
      <c r="X1240" s="1"/>
      <c r="Y1240" s="1"/>
      <c r="Z1240" s="1"/>
    </row>
    <row r="1241" spans="1:26" ht="12.75" customHeight="1">
      <c r="A1241" s="1"/>
      <c r="B1241" s="10" t="str">
        <f ca="1">IFERROR(__xludf.DUMMYFUNCTION("""COMPUTED_VALUE"""),"“NORMALIZACIÓN SISTEMA ELÉCTRICO PARA ESTADIO NUEVO DE CARAHUE”, REGIÓN DE LA ARAUCANIA”")</f>
        <v>“NORMALIZACIÓN SISTEMA ELÉCTRICO PARA ESTADIO NUEVO DE CARAHUE”, REGIÓN DE LA ARAUCANIA”</v>
      </c>
      <c r="C1241" s="10" t="str">
        <f ca="1">IFERROR(__xludf.DUMMYFUNCTION("""COMPUTED_VALUE"""),"1-C-2023-2131")</f>
        <v>1-C-2023-2131</v>
      </c>
      <c r="D1241" s="26"/>
      <c r="E1241" s="10" t="str">
        <f ca="1">IFERROR(__xludf.DUMMYFUNCTION("""COMPUTED_VALUE"""),"Guía Operativa")</f>
        <v>Guía Operativa</v>
      </c>
      <c r="F1241" s="10" t="str">
        <f ca="1">IFERROR(__xludf.DUMMYFUNCTION("""COMPUTED_VALUE"""),"MUNICIPALIDAD DE CARAHUE")</f>
        <v>MUNICIPALIDAD DE CARAHUE</v>
      </c>
      <c r="G1241" s="71">
        <f ca="1">IFERROR(__xludf.DUMMYFUNCTION("""COMPUTED_VALUE"""),131830110)</f>
        <v>131830110</v>
      </c>
      <c r="H1241" s="10" t="str">
        <f ca="1">IFERROR(__xludf.DUMMYFUNCTION("""COMPUTED_VALUE"""),"Resolución")</f>
        <v>Resolución</v>
      </c>
      <c r="I1241" s="10" t="str">
        <f ca="1">IFERROR(__xludf.DUMMYFUNCTION("""COMPUTED_VALUE"""),"OBRA")</f>
        <v>OBRA</v>
      </c>
      <c r="J1241" s="10" t="str">
        <f ca="1">IFERROR(__xludf.DUMMYFUNCTION("""COMPUTED_VALUE"""),"Cumplir con normativa y reglamentos internos del programa en base a los objetivos.")</f>
        <v>Cumplir con normativa y reglamentos internos del programa en base a los objetivos.</v>
      </c>
      <c r="K1241" s="71">
        <f ca="1">IFERROR(__xludf.DUMMYFUNCTION("""COMPUTED_VALUE"""),131830110)</f>
        <v>131830110</v>
      </c>
      <c r="L1241" s="72">
        <f ca="1">IFERROR(__xludf.DUMMYFUNCTION("""COMPUTED_VALUE"""),1)</f>
        <v>1</v>
      </c>
      <c r="M1241" s="10">
        <f ca="1">IFERROR(__xludf.DUMMYFUNCTION("""COMPUTED_VALUE"""),11999)</f>
        <v>11999</v>
      </c>
      <c r="N1241" s="10" t="str">
        <f ca="1">IFERROR(__xludf.DUMMYFUNCTION("""COMPUTED_VALUE"""),"PMU")</f>
        <v>PMU</v>
      </c>
      <c r="O1241" s="1"/>
      <c r="P1241" s="1"/>
      <c r="Q1241" s="1"/>
      <c r="R1241" s="1"/>
      <c r="S1241" s="1"/>
      <c r="T1241" s="1"/>
      <c r="U1241" s="1"/>
      <c r="V1241" s="1"/>
      <c r="W1241" s="1"/>
      <c r="X1241" s="1"/>
      <c r="Y1241" s="1"/>
      <c r="Z1241" s="1"/>
    </row>
    <row r="1242" spans="1:26" ht="12.75" customHeight="1">
      <c r="A1242" s="1"/>
      <c r="B1242" s="10"/>
      <c r="C1242" s="10"/>
      <c r="D1242" s="26"/>
      <c r="E1242" s="10"/>
      <c r="F1242" s="10"/>
      <c r="G1242" s="71"/>
      <c r="H1242" s="10"/>
      <c r="I1242" s="10"/>
      <c r="J1242" s="10"/>
      <c r="K1242" s="71"/>
      <c r="L1242" s="72"/>
      <c r="M1242" s="10"/>
      <c r="N1242" s="10"/>
      <c r="O1242" s="1"/>
      <c r="P1242" s="1"/>
      <c r="Q1242" s="1"/>
      <c r="R1242" s="1"/>
      <c r="S1242" s="1"/>
      <c r="T1242" s="1"/>
      <c r="U1242" s="1"/>
      <c r="V1242" s="1"/>
      <c r="W1242" s="1"/>
      <c r="X1242" s="1"/>
      <c r="Y1242" s="1"/>
      <c r="Z1242" s="1"/>
    </row>
    <row r="1243" spans="1:26" ht="12.75" customHeight="1">
      <c r="A1243" s="1"/>
      <c r="B1243" s="10"/>
      <c r="C1243" s="10"/>
      <c r="D1243" s="26"/>
      <c r="E1243" s="10"/>
      <c r="F1243" s="10"/>
      <c r="G1243" s="71"/>
      <c r="H1243" s="10"/>
      <c r="I1243" s="10"/>
      <c r="J1243" s="10"/>
      <c r="K1243" s="71"/>
      <c r="L1243" s="72"/>
      <c r="M1243" s="10"/>
      <c r="N1243" s="10"/>
      <c r="O1243" s="1"/>
      <c r="P1243" s="1"/>
      <c r="Q1243" s="1"/>
      <c r="R1243" s="1"/>
      <c r="S1243" s="1"/>
      <c r="T1243" s="1"/>
      <c r="U1243" s="1"/>
      <c r="V1243" s="1"/>
      <c r="W1243" s="1"/>
      <c r="X1243" s="1"/>
      <c r="Y1243" s="1"/>
      <c r="Z1243" s="1"/>
    </row>
    <row r="1244" spans="1:26" ht="12.75" hidden="1" customHeight="1">
      <c r="A1244" s="1"/>
      <c r="B1244" s="10"/>
      <c r="C1244" s="10"/>
      <c r="D1244" s="26"/>
      <c r="E1244" s="10"/>
      <c r="F1244" s="10"/>
      <c r="G1244" s="71"/>
      <c r="H1244" s="10"/>
      <c r="I1244" s="10"/>
      <c r="J1244" s="10"/>
      <c r="K1244" s="71"/>
      <c r="L1244" s="72"/>
      <c r="M1244" s="10"/>
      <c r="N1244" s="10"/>
      <c r="O1244" s="1"/>
      <c r="P1244" s="1"/>
      <c r="Q1244" s="1"/>
      <c r="R1244" s="1"/>
      <c r="S1244" s="1"/>
      <c r="T1244" s="1"/>
      <c r="U1244" s="1"/>
      <c r="V1244" s="1"/>
      <c r="W1244" s="1"/>
      <c r="X1244" s="1"/>
      <c r="Y1244" s="1"/>
      <c r="Z1244" s="1"/>
    </row>
    <row r="1245" spans="1:26" ht="12.75" hidden="1" customHeight="1">
      <c r="A1245" s="1"/>
      <c r="B1245" s="10"/>
      <c r="C1245" s="10"/>
      <c r="D1245" s="26"/>
      <c r="E1245" s="10"/>
      <c r="F1245" s="10"/>
      <c r="G1245" s="71"/>
      <c r="H1245" s="10"/>
      <c r="I1245" s="10"/>
      <c r="J1245" s="10"/>
      <c r="K1245" s="71"/>
      <c r="L1245" s="72"/>
      <c r="M1245" s="10"/>
      <c r="N1245" s="10"/>
      <c r="O1245" s="1"/>
      <c r="P1245" s="1"/>
      <c r="Q1245" s="1"/>
      <c r="R1245" s="1"/>
      <c r="S1245" s="1"/>
      <c r="T1245" s="1"/>
      <c r="U1245" s="1"/>
      <c r="V1245" s="1"/>
      <c r="W1245" s="1"/>
      <c r="X1245" s="1"/>
      <c r="Y1245" s="1"/>
      <c r="Z1245" s="1"/>
    </row>
    <row r="1246" spans="1:26" ht="12.75" hidden="1" customHeight="1">
      <c r="A1246" s="1"/>
      <c r="B1246" s="10"/>
      <c r="C1246" s="10"/>
      <c r="D1246" s="26"/>
      <c r="E1246" s="10"/>
      <c r="F1246" s="10"/>
      <c r="G1246" s="71"/>
      <c r="H1246" s="10"/>
      <c r="I1246" s="10"/>
      <c r="J1246" s="10"/>
      <c r="K1246" s="71"/>
      <c r="L1246" s="72"/>
      <c r="M1246" s="10"/>
      <c r="N1246" s="10"/>
      <c r="O1246" s="1"/>
      <c r="P1246" s="1"/>
      <c r="Q1246" s="1"/>
      <c r="R1246" s="1"/>
      <c r="S1246" s="1"/>
      <c r="T1246" s="1"/>
      <c r="U1246" s="1"/>
      <c r="V1246" s="1"/>
      <c r="W1246" s="1"/>
      <c r="X1246" s="1"/>
      <c r="Y1246" s="1"/>
      <c r="Z1246" s="1"/>
    </row>
    <row r="1247" spans="1:26" ht="12.75" hidden="1" customHeight="1">
      <c r="A1247" s="1"/>
      <c r="B1247" s="10"/>
      <c r="C1247" s="10"/>
      <c r="D1247" s="26"/>
      <c r="E1247" s="10"/>
      <c r="F1247" s="10"/>
      <c r="G1247" s="71"/>
      <c r="H1247" s="10"/>
      <c r="I1247" s="10"/>
      <c r="J1247" s="10"/>
      <c r="K1247" s="71"/>
      <c r="L1247" s="72"/>
      <c r="M1247" s="10"/>
      <c r="N1247" s="10"/>
      <c r="O1247" s="1"/>
      <c r="P1247" s="1"/>
      <c r="Q1247" s="1"/>
      <c r="R1247" s="1"/>
      <c r="S1247" s="1"/>
      <c r="T1247" s="1"/>
      <c r="U1247" s="1"/>
      <c r="V1247" s="1"/>
      <c r="W1247" s="1"/>
      <c r="X1247" s="1"/>
      <c r="Y1247" s="1"/>
      <c r="Z1247" s="1"/>
    </row>
    <row r="1248" spans="1:26" ht="12.75" hidden="1" customHeight="1">
      <c r="A1248" s="1"/>
      <c r="B1248" s="10"/>
      <c r="C1248" s="10"/>
      <c r="D1248" s="26"/>
      <c r="E1248" s="10"/>
      <c r="F1248" s="10"/>
      <c r="G1248" s="71"/>
      <c r="H1248" s="10"/>
      <c r="I1248" s="10"/>
      <c r="J1248" s="10"/>
      <c r="K1248" s="71"/>
      <c r="L1248" s="72"/>
      <c r="M1248" s="10"/>
      <c r="N1248" s="10"/>
      <c r="O1248" s="1"/>
      <c r="P1248" s="1"/>
      <c r="Q1248" s="1"/>
      <c r="R1248" s="1"/>
      <c r="S1248" s="1"/>
      <c r="T1248" s="1"/>
      <c r="U1248" s="1"/>
      <c r="V1248" s="1"/>
      <c r="W1248" s="1"/>
      <c r="X1248" s="1"/>
      <c r="Y1248" s="1"/>
      <c r="Z1248" s="1"/>
    </row>
    <row r="1249" spans="1:26" ht="12.75" hidden="1" customHeight="1">
      <c r="A1249" s="1"/>
      <c r="B1249" s="10"/>
      <c r="C1249" s="10"/>
      <c r="D1249" s="26"/>
      <c r="E1249" s="10"/>
      <c r="F1249" s="10"/>
      <c r="G1249" s="71"/>
      <c r="H1249" s="10"/>
      <c r="I1249" s="10"/>
      <c r="J1249" s="10"/>
      <c r="K1249" s="71"/>
      <c r="L1249" s="72"/>
      <c r="M1249" s="10"/>
      <c r="N1249" s="10"/>
      <c r="O1249" s="1"/>
      <c r="P1249" s="1"/>
      <c r="Q1249" s="1"/>
      <c r="R1249" s="1"/>
      <c r="S1249" s="1"/>
      <c r="T1249" s="1"/>
      <c r="U1249" s="1"/>
      <c r="V1249" s="1"/>
      <c r="W1249" s="1"/>
      <c r="X1249" s="1"/>
      <c r="Y1249" s="1"/>
      <c r="Z1249" s="1"/>
    </row>
    <row r="1250" spans="1:26" ht="12.75" hidden="1" customHeight="1">
      <c r="A1250" s="1"/>
      <c r="B1250" s="10"/>
      <c r="C1250" s="10"/>
      <c r="D1250" s="26"/>
      <c r="E1250" s="10"/>
      <c r="F1250" s="10"/>
      <c r="G1250" s="71"/>
      <c r="H1250" s="10"/>
      <c r="I1250" s="10"/>
      <c r="J1250" s="10"/>
      <c r="K1250" s="71"/>
      <c r="L1250" s="72"/>
      <c r="M1250" s="10"/>
      <c r="N1250" s="10"/>
      <c r="O1250" s="1"/>
      <c r="P1250" s="1"/>
      <c r="Q1250" s="1"/>
      <c r="R1250" s="1"/>
      <c r="S1250" s="1"/>
      <c r="T1250" s="1"/>
      <c r="U1250" s="1"/>
      <c r="V1250" s="1"/>
      <c r="W1250" s="1"/>
      <c r="X1250" s="1"/>
      <c r="Y1250" s="1"/>
      <c r="Z1250" s="1"/>
    </row>
    <row r="1251" spans="1:26" ht="12.75" hidden="1" customHeight="1">
      <c r="A1251" s="1"/>
      <c r="B1251" s="10"/>
      <c r="C1251" s="10"/>
      <c r="D1251" s="26"/>
      <c r="E1251" s="10"/>
      <c r="F1251" s="10"/>
      <c r="G1251" s="71"/>
      <c r="H1251" s="10"/>
      <c r="I1251" s="10"/>
      <c r="J1251" s="10"/>
      <c r="K1251" s="71"/>
      <c r="L1251" s="72"/>
      <c r="M1251" s="10"/>
      <c r="N1251" s="10"/>
      <c r="O1251" s="1"/>
      <c r="P1251" s="1"/>
      <c r="Q1251" s="1"/>
      <c r="R1251" s="1"/>
      <c r="S1251" s="1"/>
      <c r="T1251" s="1"/>
      <c r="U1251" s="1"/>
      <c r="V1251" s="1"/>
      <c r="W1251" s="1"/>
      <c r="X1251" s="1"/>
      <c r="Y1251" s="1"/>
      <c r="Z1251" s="1"/>
    </row>
    <row r="1252" spans="1:26" ht="12.75" hidden="1" customHeight="1">
      <c r="A1252" s="1"/>
      <c r="B1252" s="10"/>
      <c r="C1252" s="10"/>
      <c r="D1252" s="26"/>
      <c r="E1252" s="10"/>
      <c r="F1252" s="10"/>
      <c r="G1252" s="71"/>
      <c r="H1252" s="10"/>
      <c r="I1252" s="10"/>
      <c r="J1252" s="10"/>
      <c r="K1252" s="71"/>
      <c r="L1252" s="72"/>
      <c r="M1252" s="10"/>
      <c r="N1252" s="10"/>
      <c r="O1252" s="1"/>
      <c r="P1252" s="1"/>
      <c r="Q1252" s="1"/>
      <c r="R1252" s="1"/>
      <c r="S1252" s="1"/>
      <c r="T1252" s="1"/>
      <c r="U1252" s="1"/>
      <c r="V1252" s="1"/>
      <c r="W1252" s="1"/>
      <c r="X1252" s="1"/>
      <c r="Y1252" s="1"/>
      <c r="Z1252" s="1"/>
    </row>
    <row r="1253" spans="1:26" ht="12.75" hidden="1" customHeight="1">
      <c r="A1253" s="1"/>
      <c r="B1253" s="10"/>
      <c r="C1253" s="10"/>
      <c r="D1253" s="26"/>
      <c r="E1253" s="10"/>
      <c r="F1253" s="10"/>
      <c r="G1253" s="71"/>
      <c r="H1253" s="10"/>
      <c r="I1253" s="10"/>
      <c r="J1253" s="10"/>
      <c r="K1253" s="71"/>
      <c r="L1253" s="72"/>
      <c r="M1253" s="10"/>
      <c r="N1253" s="10"/>
      <c r="O1253" s="1"/>
      <c r="P1253" s="1"/>
      <c r="Q1253" s="1"/>
      <c r="R1253" s="1"/>
      <c r="S1253" s="1"/>
      <c r="T1253" s="1"/>
      <c r="U1253" s="1"/>
      <c r="V1253" s="1"/>
      <c r="W1253" s="1"/>
      <c r="X1253" s="1"/>
      <c r="Y1253" s="1"/>
      <c r="Z1253" s="1"/>
    </row>
    <row r="1254" spans="1:26" ht="12.75" hidden="1" customHeight="1">
      <c r="A1254" s="1"/>
      <c r="B1254" s="10"/>
      <c r="C1254" s="10"/>
      <c r="D1254" s="26"/>
      <c r="E1254" s="10"/>
      <c r="F1254" s="10"/>
      <c r="G1254" s="71"/>
      <c r="H1254" s="10"/>
      <c r="I1254" s="10"/>
      <c r="J1254" s="10"/>
      <c r="K1254" s="71"/>
      <c r="L1254" s="72"/>
      <c r="M1254" s="10"/>
      <c r="N1254" s="10"/>
      <c r="O1254" s="1"/>
      <c r="P1254" s="1"/>
      <c r="Q1254" s="1"/>
      <c r="R1254" s="1"/>
      <c r="S1254" s="1"/>
      <c r="T1254" s="1"/>
      <c r="U1254" s="1"/>
      <c r="V1254" s="1"/>
      <c r="W1254" s="1"/>
      <c r="X1254" s="1"/>
      <c r="Y1254" s="1"/>
      <c r="Z1254" s="1"/>
    </row>
    <row r="1255" spans="1:26" ht="12.75" hidden="1" customHeight="1">
      <c r="A1255" s="1"/>
      <c r="B1255" s="10"/>
      <c r="C1255" s="10"/>
      <c r="D1255" s="26"/>
      <c r="E1255" s="10"/>
      <c r="F1255" s="10"/>
      <c r="G1255" s="71"/>
      <c r="H1255" s="10"/>
      <c r="I1255" s="10"/>
      <c r="J1255" s="10"/>
      <c r="K1255" s="71"/>
      <c r="L1255" s="72"/>
      <c r="M1255" s="10"/>
      <c r="N1255" s="10"/>
      <c r="O1255" s="1"/>
      <c r="P1255" s="1"/>
      <c r="Q1255" s="1"/>
      <c r="R1255" s="1"/>
      <c r="S1255" s="1"/>
      <c r="T1255" s="1"/>
      <c r="U1255" s="1"/>
      <c r="V1255" s="1"/>
      <c r="W1255" s="1"/>
      <c r="X1255" s="1"/>
      <c r="Y1255" s="1"/>
      <c r="Z1255" s="1"/>
    </row>
    <row r="1256" spans="1:26" ht="12.75" hidden="1" customHeight="1">
      <c r="A1256" s="1"/>
      <c r="B1256" s="10"/>
      <c r="C1256" s="10"/>
      <c r="D1256" s="26"/>
      <c r="E1256" s="10"/>
      <c r="F1256" s="10"/>
      <c r="G1256" s="71"/>
      <c r="H1256" s="10"/>
      <c r="I1256" s="10"/>
      <c r="J1256" s="10"/>
      <c r="K1256" s="71"/>
      <c r="L1256" s="72"/>
      <c r="M1256" s="10"/>
      <c r="N1256" s="10"/>
      <c r="O1256" s="1"/>
      <c r="P1256" s="1"/>
      <c r="Q1256" s="1"/>
      <c r="R1256" s="1"/>
      <c r="S1256" s="1"/>
      <c r="T1256" s="1"/>
      <c r="U1256" s="1"/>
      <c r="V1256" s="1"/>
      <c r="W1256" s="1"/>
      <c r="X1256" s="1"/>
      <c r="Y1256" s="1"/>
      <c r="Z1256" s="1"/>
    </row>
    <row r="1257" spans="1:26" ht="12.75" hidden="1" customHeight="1">
      <c r="A1257" s="1"/>
      <c r="B1257" s="10"/>
      <c r="C1257" s="10"/>
      <c r="D1257" s="26"/>
      <c r="E1257" s="10"/>
      <c r="F1257" s="10"/>
      <c r="G1257" s="71"/>
      <c r="H1257" s="10"/>
      <c r="I1257" s="10"/>
      <c r="J1257" s="10"/>
      <c r="K1257" s="71"/>
      <c r="L1257" s="72"/>
      <c r="M1257" s="10"/>
      <c r="N1257" s="10"/>
      <c r="O1257" s="1"/>
      <c r="P1257" s="1"/>
      <c r="Q1257" s="1"/>
      <c r="R1257" s="1"/>
      <c r="S1257" s="1"/>
      <c r="T1257" s="1"/>
      <c r="U1257" s="1"/>
      <c r="V1257" s="1"/>
      <c r="W1257" s="1"/>
      <c r="X1257" s="1"/>
      <c r="Y1257" s="1"/>
      <c r="Z1257" s="1"/>
    </row>
    <row r="1258" spans="1:26" ht="12.75" hidden="1" customHeight="1">
      <c r="A1258" s="1"/>
      <c r="B1258" s="10"/>
      <c r="C1258" s="10"/>
      <c r="D1258" s="26"/>
      <c r="E1258" s="10"/>
      <c r="F1258" s="10"/>
      <c r="G1258" s="71"/>
      <c r="H1258" s="10"/>
      <c r="I1258" s="10"/>
      <c r="J1258" s="10"/>
      <c r="K1258" s="71"/>
      <c r="L1258" s="72"/>
      <c r="M1258" s="10"/>
      <c r="N1258" s="10"/>
      <c r="O1258" s="1"/>
      <c r="P1258" s="1"/>
      <c r="Q1258" s="1"/>
      <c r="R1258" s="1"/>
      <c r="S1258" s="1"/>
      <c r="T1258" s="1"/>
      <c r="U1258" s="1"/>
      <c r="V1258" s="1"/>
      <c r="W1258" s="1"/>
      <c r="X1258" s="1"/>
      <c r="Y1258" s="1"/>
      <c r="Z1258" s="1"/>
    </row>
    <row r="1259" spans="1:26" ht="12.75" hidden="1" customHeight="1">
      <c r="A1259" s="1"/>
      <c r="B1259" s="10"/>
      <c r="C1259" s="10"/>
      <c r="D1259" s="26"/>
      <c r="E1259" s="10"/>
      <c r="F1259" s="10"/>
      <c r="G1259" s="71"/>
      <c r="H1259" s="10"/>
      <c r="I1259" s="10"/>
      <c r="J1259" s="10"/>
      <c r="K1259" s="71"/>
      <c r="L1259" s="72"/>
      <c r="M1259" s="10"/>
      <c r="N1259" s="10"/>
      <c r="O1259" s="1"/>
      <c r="P1259" s="1"/>
      <c r="Q1259" s="1"/>
      <c r="R1259" s="1"/>
      <c r="S1259" s="1"/>
      <c r="T1259" s="1"/>
      <c r="U1259" s="1"/>
      <c r="V1259" s="1"/>
      <c r="W1259" s="1"/>
      <c r="X1259" s="1"/>
      <c r="Y1259" s="1"/>
      <c r="Z1259" s="1"/>
    </row>
    <row r="1260" spans="1:26" ht="12.75" hidden="1" customHeight="1">
      <c r="A1260" s="1"/>
      <c r="B1260" s="10"/>
      <c r="C1260" s="10"/>
      <c r="D1260" s="26"/>
      <c r="E1260" s="10"/>
      <c r="F1260" s="10"/>
      <c r="G1260" s="71"/>
      <c r="H1260" s="10"/>
      <c r="I1260" s="10"/>
      <c r="J1260" s="10"/>
      <c r="K1260" s="71"/>
      <c r="L1260" s="72"/>
      <c r="M1260" s="10"/>
      <c r="N1260" s="10"/>
      <c r="O1260" s="1"/>
      <c r="P1260" s="1"/>
      <c r="Q1260" s="1"/>
      <c r="R1260" s="1"/>
      <c r="S1260" s="1"/>
      <c r="T1260" s="1"/>
      <c r="U1260" s="1"/>
      <c r="V1260" s="1"/>
      <c r="W1260" s="1"/>
      <c r="X1260" s="1"/>
      <c r="Y1260" s="1"/>
      <c r="Z1260" s="1"/>
    </row>
    <row r="1261" spans="1:26" ht="12.75" hidden="1" customHeight="1">
      <c r="A1261" s="1"/>
      <c r="B1261" s="10"/>
      <c r="C1261" s="10"/>
      <c r="D1261" s="26"/>
      <c r="E1261" s="10"/>
      <c r="F1261" s="10"/>
      <c r="G1261" s="71"/>
      <c r="H1261" s="10"/>
      <c r="I1261" s="10"/>
      <c r="J1261" s="10"/>
      <c r="K1261" s="71"/>
      <c r="L1261" s="72"/>
      <c r="M1261" s="10"/>
      <c r="N1261" s="10"/>
      <c r="O1261" s="1"/>
      <c r="P1261" s="1"/>
      <c r="Q1261" s="1"/>
      <c r="R1261" s="1"/>
      <c r="S1261" s="1"/>
      <c r="T1261" s="1"/>
      <c r="U1261" s="1"/>
      <c r="V1261" s="1"/>
      <c r="W1261" s="1"/>
      <c r="X1261" s="1"/>
      <c r="Y1261" s="1"/>
      <c r="Z1261" s="1"/>
    </row>
    <row r="1262" spans="1:26" ht="12.75" hidden="1" customHeight="1">
      <c r="A1262" s="1"/>
      <c r="B1262" s="10"/>
      <c r="C1262" s="10"/>
      <c r="D1262" s="26"/>
      <c r="E1262" s="10"/>
      <c r="F1262" s="10"/>
      <c r="G1262" s="71"/>
      <c r="H1262" s="10"/>
      <c r="I1262" s="10"/>
      <c r="J1262" s="10"/>
      <c r="K1262" s="71"/>
      <c r="L1262" s="72"/>
      <c r="M1262" s="10"/>
      <c r="N1262" s="10"/>
      <c r="O1262" s="1"/>
      <c r="P1262" s="1"/>
      <c r="Q1262" s="1"/>
      <c r="R1262" s="1"/>
      <c r="S1262" s="1"/>
      <c r="T1262" s="1"/>
      <c r="U1262" s="1"/>
      <c r="V1262" s="1"/>
      <c r="W1262" s="1"/>
      <c r="X1262" s="1"/>
      <c r="Y1262" s="1"/>
      <c r="Z1262" s="1"/>
    </row>
    <row r="1263" spans="1:26" ht="12.75" hidden="1" customHeight="1">
      <c r="A1263" s="1"/>
      <c r="B1263" s="10"/>
      <c r="C1263" s="10"/>
      <c r="D1263" s="26"/>
      <c r="E1263" s="10"/>
      <c r="F1263" s="10"/>
      <c r="G1263" s="71"/>
      <c r="H1263" s="10"/>
      <c r="I1263" s="10"/>
      <c r="J1263" s="10"/>
      <c r="K1263" s="71"/>
      <c r="L1263" s="72"/>
      <c r="M1263" s="10"/>
      <c r="N1263" s="10"/>
      <c r="O1263" s="1"/>
      <c r="P1263" s="1"/>
      <c r="Q1263" s="1"/>
      <c r="R1263" s="1"/>
      <c r="S1263" s="1"/>
      <c r="T1263" s="1"/>
      <c r="U1263" s="1"/>
      <c r="V1263" s="1"/>
      <c r="W1263" s="1"/>
      <c r="X1263" s="1"/>
      <c r="Y1263" s="1"/>
      <c r="Z1263" s="1"/>
    </row>
    <row r="1264" spans="1:26" ht="12.75" hidden="1" customHeight="1">
      <c r="A1264" s="1"/>
      <c r="B1264" s="10"/>
      <c r="C1264" s="10"/>
      <c r="D1264" s="26"/>
      <c r="E1264" s="10"/>
      <c r="F1264" s="10"/>
      <c r="G1264" s="71"/>
      <c r="H1264" s="10"/>
      <c r="I1264" s="10"/>
      <c r="J1264" s="10"/>
      <c r="K1264" s="71"/>
      <c r="L1264" s="72"/>
      <c r="M1264" s="10"/>
      <c r="N1264" s="10"/>
      <c r="O1264" s="1"/>
      <c r="P1264" s="1"/>
      <c r="Q1264" s="1"/>
      <c r="R1264" s="1"/>
      <c r="S1264" s="1"/>
      <c r="T1264" s="1"/>
      <c r="U1264" s="1"/>
      <c r="V1264" s="1"/>
      <c r="W1264" s="1"/>
      <c r="X1264" s="1"/>
      <c r="Y1264" s="1"/>
      <c r="Z1264" s="1"/>
    </row>
    <row r="1265" spans="1:26" ht="12.75" hidden="1" customHeight="1">
      <c r="A1265" s="1"/>
      <c r="B1265" s="10"/>
      <c r="C1265" s="10"/>
      <c r="D1265" s="26"/>
      <c r="E1265" s="10"/>
      <c r="F1265" s="10"/>
      <c r="G1265" s="71"/>
      <c r="H1265" s="10"/>
      <c r="I1265" s="10"/>
      <c r="J1265" s="10"/>
      <c r="K1265" s="71"/>
      <c r="L1265" s="72"/>
      <c r="M1265" s="10"/>
      <c r="N1265" s="10"/>
      <c r="O1265" s="1"/>
      <c r="P1265" s="1"/>
      <c r="Q1265" s="1"/>
      <c r="R1265" s="1"/>
      <c r="S1265" s="1"/>
      <c r="T1265" s="1"/>
      <c r="U1265" s="1"/>
      <c r="V1265" s="1"/>
      <c r="W1265" s="1"/>
      <c r="X1265" s="1"/>
      <c r="Y1265" s="1"/>
      <c r="Z1265" s="1"/>
    </row>
    <row r="1266" spans="1:26" ht="12.75" hidden="1" customHeight="1">
      <c r="A1266" s="1"/>
      <c r="B1266" s="10"/>
      <c r="C1266" s="10"/>
      <c r="D1266" s="26"/>
      <c r="E1266" s="10"/>
      <c r="F1266" s="10"/>
      <c r="G1266" s="71"/>
      <c r="H1266" s="10"/>
      <c r="I1266" s="10"/>
      <c r="J1266" s="10"/>
      <c r="K1266" s="71"/>
      <c r="L1266" s="72"/>
      <c r="M1266" s="10"/>
      <c r="N1266" s="10"/>
      <c r="O1266" s="1"/>
      <c r="P1266" s="1"/>
      <c r="Q1266" s="1"/>
      <c r="R1266" s="1"/>
      <c r="S1266" s="1"/>
      <c r="T1266" s="1"/>
      <c r="U1266" s="1"/>
      <c r="V1266" s="1"/>
      <c r="W1266" s="1"/>
      <c r="X1266" s="1"/>
      <c r="Y1266" s="1"/>
      <c r="Z1266" s="1"/>
    </row>
    <row r="1267" spans="1:26" ht="12.75" hidden="1" customHeight="1">
      <c r="A1267" s="1"/>
      <c r="B1267" s="10"/>
      <c r="C1267" s="10"/>
      <c r="D1267" s="26"/>
      <c r="E1267" s="10"/>
      <c r="F1267" s="10"/>
      <c r="G1267" s="71"/>
      <c r="H1267" s="10"/>
      <c r="I1267" s="10"/>
      <c r="J1267" s="10"/>
      <c r="K1267" s="71"/>
      <c r="L1267" s="72"/>
      <c r="M1267" s="10"/>
      <c r="N1267" s="10"/>
      <c r="O1267" s="1"/>
      <c r="P1267" s="1"/>
      <c r="Q1267" s="1"/>
      <c r="R1267" s="1"/>
      <c r="S1267" s="1"/>
      <c r="T1267" s="1"/>
      <c r="U1267" s="1"/>
      <c r="V1267" s="1"/>
      <c r="W1267" s="1"/>
      <c r="X1267" s="1"/>
      <c r="Y1267" s="1"/>
      <c r="Z1267" s="1"/>
    </row>
    <row r="1268" spans="1:26" ht="12.75" hidden="1" customHeight="1">
      <c r="A1268" s="1"/>
      <c r="B1268" s="10"/>
      <c r="C1268" s="10"/>
      <c r="D1268" s="26"/>
      <c r="E1268" s="10"/>
      <c r="F1268" s="10"/>
      <c r="G1268" s="71"/>
      <c r="H1268" s="10"/>
      <c r="I1268" s="10"/>
      <c r="J1268" s="10"/>
      <c r="K1268" s="71"/>
      <c r="L1268" s="72"/>
      <c r="M1268" s="10"/>
      <c r="N1268" s="10"/>
      <c r="O1268" s="1"/>
      <c r="P1268" s="1"/>
      <c r="Q1268" s="1"/>
      <c r="R1268" s="1"/>
      <c r="S1268" s="1"/>
      <c r="T1268" s="1"/>
      <c r="U1268" s="1"/>
      <c r="V1268" s="1"/>
      <c r="W1268" s="1"/>
      <c r="X1268" s="1"/>
      <c r="Y1268" s="1"/>
      <c r="Z1268" s="1"/>
    </row>
    <row r="1269" spans="1:26" ht="12.75" hidden="1" customHeight="1">
      <c r="A1269" s="1"/>
      <c r="B1269" s="10"/>
      <c r="C1269" s="10"/>
      <c r="D1269" s="26"/>
      <c r="E1269" s="10"/>
      <c r="F1269" s="10"/>
      <c r="G1269" s="71"/>
      <c r="H1269" s="10"/>
      <c r="I1269" s="10"/>
      <c r="J1269" s="10"/>
      <c r="K1269" s="71"/>
      <c r="L1269" s="72"/>
      <c r="M1269" s="10"/>
      <c r="N1269" s="10"/>
      <c r="O1269" s="1"/>
      <c r="P1269" s="1"/>
      <c r="Q1269" s="1"/>
      <c r="R1269" s="1"/>
      <c r="S1269" s="1"/>
      <c r="T1269" s="1"/>
      <c r="U1269" s="1"/>
      <c r="V1269" s="1"/>
      <c r="W1269" s="1"/>
      <c r="X1269" s="1"/>
      <c r="Y1269" s="1"/>
      <c r="Z1269" s="1"/>
    </row>
    <row r="1270" spans="1:26" ht="12.75" hidden="1" customHeight="1">
      <c r="A1270" s="1"/>
      <c r="B1270" s="10"/>
      <c r="C1270" s="10"/>
      <c r="D1270" s="26"/>
      <c r="E1270" s="10"/>
      <c r="F1270" s="10"/>
      <c r="G1270" s="71"/>
      <c r="H1270" s="10"/>
      <c r="I1270" s="10"/>
      <c r="J1270" s="10"/>
      <c r="K1270" s="71"/>
      <c r="L1270" s="72"/>
      <c r="M1270" s="10"/>
      <c r="N1270" s="10"/>
      <c r="O1270" s="1"/>
      <c r="P1270" s="1"/>
      <c r="Q1270" s="1"/>
      <c r="R1270" s="1"/>
      <c r="S1270" s="1"/>
      <c r="T1270" s="1"/>
      <c r="U1270" s="1"/>
      <c r="V1270" s="1"/>
      <c r="W1270" s="1"/>
      <c r="X1270" s="1"/>
      <c r="Y1270" s="1"/>
      <c r="Z1270" s="1"/>
    </row>
    <row r="1271" spans="1:26" ht="12.75" hidden="1" customHeight="1">
      <c r="A1271" s="1"/>
      <c r="B1271" s="10"/>
      <c r="C1271" s="10"/>
      <c r="D1271" s="26"/>
      <c r="E1271" s="10"/>
      <c r="F1271" s="10"/>
      <c r="G1271" s="71"/>
      <c r="H1271" s="10"/>
      <c r="I1271" s="10"/>
      <c r="J1271" s="10"/>
      <c r="K1271" s="71"/>
      <c r="L1271" s="72"/>
      <c r="M1271" s="10"/>
      <c r="N1271" s="10"/>
      <c r="O1271" s="1"/>
      <c r="P1271" s="1"/>
      <c r="Q1271" s="1"/>
      <c r="R1271" s="1"/>
      <c r="S1271" s="1"/>
      <c r="T1271" s="1"/>
      <c r="U1271" s="1"/>
      <c r="V1271" s="1"/>
      <c r="W1271" s="1"/>
      <c r="X1271" s="1"/>
      <c r="Y1271" s="1"/>
      <c r="Z1271" s="1"/>
    </row>
    <row r="1272" spans="1:26" ht="12.75" hidden="1" customHeight="1">
      <c r="A1272" s="1"/>
      <c r="B1272" s="10"/>
      <c r="C1272" s="10"/>
      <c r="D1272" s="26"/>
      <c r="E1272" s="10"/>
      <c r="F1272" s="10"/>
      <c r="G1272" s="71"/>
      <c r="H1272" s="10"/>
      <c r="I1272" s="10"/>
      <c r="J1272" s="10"/>
      <c r="K1272" s="71"/>
      <c r="L1272" s="72"/>
      <c r="M1272" s="10"/>
      <c r="N1272" s="10"/>
      <c r="O1272" s="1"/>
      <c r="P1272" s="1"/>
      <c r="Q1272" s="1"/>
      <c r="R1272" s="1"/>
      <c r="S1272" s="1"/>
      <c r="T1272" s="1"/>
      <c r="U1272" s="1"/>
      <c r="V1272" s="1"/>
      <c r="W1272" s="1"/>
      <c r="X1272" s="1"/>
      <c r="Y1272" s="1"/>
      <c r="Z1272" s="1"/>
    </row>
    <row r="1273" spans="1:26" ht="12.75" hidden="1" customHeight="1">
      <c r="A1273" s="1"/>
      <c r="B1273" s="10"/>
      <c r="C1273" s="10"/>
      <c r="D1273" s="26"/>
      <c r="E1273" s="10"/>
      <c r="F1273" s="10"/>
      <c r="G1273" s="71"/>
      <c r="H1273" s="10"/>
      <c r="I1273" s="10"/>
      <c r="J1273" s="10"/>
      <c r="K1273" s="71"/>
      <c r="L1273" s="72"/>
      <c r="M1273" s="10"/>
      <c r="N1273" s="10"/>
      <c r="O1273" s="1"/>
      <c r="P1273" s="1"/>
      <c r="Q1273" s="1"/>
      <c r="R1273" s="1"/>
      <c r="S1273" s="1"/>
      <c r="T1273" s="1"/>
      <c r="U1273" s="1"/>
      <c r="V1273" s="1"/>
      <c r="W1273" s="1"/>
      <c r="X1273" s="1"/>
      <c r="Y1273" s="1"/>
      <c r="Z1273" s="1"/>
    </row>
    <row r="1274" spans="1:26" ht="12.75" hidden="1" customHeight="1">
      <c r="A1274" s="1"/>
      <c r="B1274" s="10"/>
      <c r="C1274" s="10"/>
      <c r="D1274" s="26"/>
      <c r="E1274" s="10"/>
      <c r="F1274" s="10"/>
      <c r="G1274" s="71"/>
      <c r="H1274" s="10"/>
      <c r="I1274" s="10"/>
      <c r="J1274" s="10"/>
      <c r="K1274" s="71"/>
      <c r="L1274" s="72"/>
      <c r="M1274" s="10"/>
      <c r="N1274" s="10"/>
      <c r="O1274" s="1"/>
      <c r="P1274" s="1"/>
      <c r="Q1274" s="1"/>
      <c r="R1274" s="1"/>
      <c r="S1274" s="1"/>
      <c r="T1274" s="1"/>
      <c r="U1274" s="1"/>
      <c r="V1274" s="1"/>
      <c r="W1274" s="1"/>
      <c r="X1274" s="1"/>
      <c r="Y1274" s="1"/>
      <c r="Z1274" s="1"/>
    </row>
    <row r="1275" spans="1:26" ht="12.75" hidden="1" customHeight="1">
      <c r="A1275" s="1"/>
      <c r="B1275" s="10"/>
      <c r="C1275" s="10"/>
      <c r="D1275" s="26"/>
      <c r="E1275" s="10"/>
      <c r="F1275" s="10"/>
      <c r="G1275" s="71"/>
      <c r="H1275" s="10"/>
      <c r="I1275" s="10"/>
      <c r="J1275" s="10"/>
      <c r="K1275" s="71"/>
      <c r="L1275" s="72"/>
      <c r="M1275" s="10"/>
      <c r="N1275" s="10"/>
      <c r="O1275" s="1"/>
      <c r="P1275" s="1"/>
      <c r="Q1275" s="1"/>
      <c r="R1275" s="1"/>
      <c r="S1275" s="1"/>
      <c r="T1275" s="1"/>
      <c r="U1275" s="1"/>
      <c r="V1275" s="1"/>
      <c r="W1275" s="1"/>
      <c r="X1275" s="1"/>
      <c r="Y1275" s="1"/>
      <c r="Z1275" s="1"/>
    </row>
    <row r="1276" spans="1:26" ht="12.75" hidden="1" customHeight="1">
      <c r="A1276" s="1"/>
      <c r="B1276" s="10"/>
      <c r="C1276" s="10"/>
      <c r="D1276" s="26"/>
      <c r="E1276" s="10"/>
      <c r="F1276" s="10"/>
      <c r="G1276" s="71"/>
      <c r="H1276" s="10"/>
      <c r="I1276" s="10"/>
      <c r="J1276" s="10"/>
      <c r="K1276" s="71"/>
      <c r="L1276" s="72"/>
      <c r="M1276" s="10"/>
      <c r="N1276" s="10"/>
      <c r="O1276" s="1"/>
      <c r="P1276" s="1"/>
      <c r="Q1276" s="1"/>
      <c r="R1276" s="1"/>
      <c r="S1276" s="1"/>
      <c r="T1276" s="1"/>
      <c r="U1276" s="1"/>
      <c r="V1276" s="1"/>
      <c r="W1276" s="1"/>
      <c r="X1276" s="1"/>
      <c r="Y1276" s="1"/>
      <c r="Z1276" s="1"/>
    </row>
    <row r="1277" spans="1:26" ht="12.75" customHeight="1">
      <c r="A1277" s="73"/>
      <c r="B1277" s="32"/>
      <c r="C1277" s="32"/>
      <c r="D1277" s="33"/>
      <c r="E1277" s="32"/>
      <c r="F1277" s="32"/>
      <c r="G1277" s="74"/>
      <c r="H1277" s="32"/>
      <c r="I1277" s="32"/>
      <c r="J1277" s="32"/>
      <c r="K1277" s="74"/>
      <c r="L1277" s="75"/>
      <c r="M1277" s="32"/>
      <c r="N1277" s="32"/>
      <c r="O1277" s="73"/>
      <c r="P1277" s="73"/>
      <c r="Q1277" s="73"/>
      <c r="R1277" s="73"/>
      <c r="S1277" s="73"/>
      <c r="T1277" s="73"/>
      <c r="U1277" s="73"/>
      <c r="V1277" s="73"/>
      <c r="W1277" s="73"/>
      <c r="X1277" s="73"/>
      <c r="Y1277" s="73"/>
      <c r="Z1277" s="73"/>
    </row>
    <row r="1278" spans="1:26" ht="12.75" customHeight="1">
      <c r="A1278" s="73"/>
      <c r="B1278" s="32"/>
      <c r="C1278" s="32"/>
      <c r="D1278" s="33"/>
      <c r="E1278" s="32"/>
      <c r="F1278" s="32"/>
      <c r="G1278" s="74"/>
      <c r="H1278" s="32"/>
      <c r="I1278" s="32"/>
      <c r="J1278" s="32"/>
      <c r="K1278" s="74"/>
      <c r="L1278" s="75"/>
      <c r="M1278" s="32"/>
      <c r="N1278" s="32"/>
      <c r="O1278" s="73"/>
      <c r="P1278" s="73"/>
      <c r="Q1278" s="73"/>
      <c r="R1278" s="73"/>
      <c r="S1278" s="73"/>
      <c r="T1278" s="73"/>
      <c r="U1278" s="73"/>
      <c r="V1278" s="73"/>
      <c r="W1278" s="73"/>
      <c r="X1278" s="73"/>
      <c r="Y1278" s="73"/>
      <c r="Z1278" s="73"/>
    </row>
    <row r="1279" spans="1:26" ht="21.75" customHeight="1">
      <c r="A1279" s="76"/>
      <c r="B1279" s="38" t="s">
        <v>40</v>
      </c>
      <c r="C1279" s="40"/>
      <c r="D1279" s="39"/>
      <c r="E1279" s="40"/>
      <c r="F1279" s="40"/>
      <c r="G1279" s="77">
        <f ca="1">SUBTOTAL(9,G21:G1276)</f>
        <v>142401703152</v>
      </c>
      <c r="H1279" s="40"/>
      <c r="I1279" s="40"/>
      <c r="J1279" s="40"/>
      <c r="K1279" s="77">
        <f ca="1">SUBTOTAL(9,K21:K1276)</f>
        <v>118984060604</v>
      </c>
      <c r="L1279" s="78"/>
      <c r="M1279" s="40"/>
      <c r="N1279" s="40"/>
      <c r="O1279" s="76"/>
      <c r="P1279" s="76"/>
      <c r="Q1279" s="76"/>
      <c r="R1279" s="76"/>
      <c r="S1279" s="76"/>
      <c r="T1279" s="76"/>
      <c r="U1279" s="76"/>
      <c r="V1279" s="76"/>
      <c r="W1279" s="76"/>
      <c r="X1279" s="76"/>
      <c r="Y1279" s="76"/>
      <c r="Z1279" s="76"/>
    </row>
    <row r="1280" spans="1:26" ht="12.75" customHeight="1">
      <c r="A1280" s="73"/>
      <c r="B1280" s="32"/>
      <c r="C1280" s="32"/>
      <c r="D1280" s="33"/>
      <c r="E1280" s="32"/>
      <c r="F1280" s="32"/>
      <c r="G1280" s="74"/>
      <c r="H1280" s="32"/>
      <c r="I1280" s="32"/>
      <c r="J1280" s="32"/>
      <c r="K1280" s="74"/>
      <c r="L1280" s="75"/>
      <c r="M1280" s="32"/>
      <c r="N1280" s="32"/>
      <c r="O1280" s="73"/>
      <c r="P1280" s="73"/>
      <c r="Q1280" s="73"/>
      <c r="R1280" s="73"/>
      <c r="S1280" s="73"/>
      <c r="T1280" s="73"/>
      <c r="U1280" s="73"/>
      <c r="V1280" s="73"/>
      <c r="W1280" s="73"/>
      <c r="X1280" s="73"/>
      <c r="Y1280" s="73"/>
      <c r="Z1280" s="73"/>
    </row>
    <row r="1281" spans="1:26" ht="12.75" customHeight="1">
      <c r="A1281" s="73"/>
      <c r="B1281" s="32"/>
      <c r="C1281" s="32"/>
      <c r="D1281" s="33"/>
      <c r="E1281" s="32"/>
      <c r="F1281" s="32"/>
      <c r="G1281" s="74"/>
      <c r="H1281" s="32"/>
      <c r="I1281" s="32"/>
      <c r="J1281" s="32"/>
      <c r="K1281" s="74"/>
      <c r="L1281" s="75"/>
      <c r="M1281" s="32"/>
      <c r="N1281" s="32"/>
      <c r="O1281" s="73"/>
      <c r="P1281" s="73"/>
      <c r="Q1281" s="73"/>
      <c r="R1281" s="73"/>
      <c r="S1281" s="73"/>
      <c r="T1281" s="73"/>
      <c r="U1281" s="73"/>
      <c r="V1281" s="73"/>
      <c r="W1281" s="73"/>
      <c r="X1281" s="73"/>
      <c r="Y1281" s="73"/>
      <c r="Z1281" s="73"/>
    </row>
    <row r="1282" spans="1:26" ht="12.75" customHeight="1">
      <c r="A1282" s="73"/>
      <c r="B1282" s="65" t="s">
        <v>41</v>
      </c>
      <c r="C1282" s="15" t="s">
        <v>118</v>
      </c>
      <c r="D1282" s="33"/>
      <c r="E1282" s="32"/>
      <c r="F1282" s="32"/>
      <c r="G1282" s="74"/>
      <c r="H1282" s="32"/>
      <c r="I1282" s="32"/>
      <c r="J1282" s="32"/>
      <c r="K1282" s="74"/>
      <c r="L1282" s="75"/>
      <c r="M1282" s="32"/>
      <c r="N1282" s="32"/>
      <c r="O1282" s="73"/>
      <c r="P1282" s="73"/>
      <c r="Q1282" s="73"/>
      <c r="R1282" s="73"/>
      <c r="S1282" s="73"/>
      <c r="T1282" s="73"/>
      <c r="U1282" s="73"/>
      <c r="V1282" s="73"/>
      <c r="W1282" s="73"/>
      <c r="X1282" s="73"/>
      <c r="Y1282" s="73"/>
      <c r="Z1282" s="73"/>
    </row>
    <row r="1283" spans="1:26" ht="12.75" customHeight="1">
      <c r="A1283" s="73"/>
      <c r="B1283" s="1"/>
      <c r="C1283" s="1"/>
      <c r="D1283" s="33"/>
      <c r="E1283" s="32"/>
      <c r="F1283" s="32"/>
      <c r="G1283" s="74"/>
      <c r="H1283" s="32"/>
      <c r="I1283" s="32"/>
      <c r="J1283" s="32"/>
      <c r="K1283" s="74"/>
      <c r="L1283" s="75"/>
      <c r="M1283" s="32"/>
      <c r="N1283" s="32"/>
      <c r="O1283" s="73"/>
      <c r="P1283" s="73"/>
      <c r="Q1283" s="73"/>
      <c r="R1283" s="73"/>
      <c r="S1283" s="73"/>
      <c r="T1283" s="73"/>
      <c r="U1283" s="73"/>
      <c r="V1283" s="73"/>
      <c r="W1283" s="73"/>
      <c r="X1283" s="73"/>
      <c r="Y1283" s="73"/>
      <c r="Z1283" s="73"/>
    </row>
    <row r="1284" spans="1:26" ht="12.75" customHeight="1">
      <c r="A1284" s="73"/>
      <c r="B1284" s="32"/>
      <c r="C1284" s="32"/>
      <c r="D1284" s="33"/>
      <c r="E1284" s="32"/>
      <c r="F1284" s="32"/>
      <c r="G1284" s="74"/>
      <c r="H1284" s="32"/>
      <c r="I1284" s="32"/>
      <c r="J1284" s="32"/>
      <c r="K1284" s="74"/>
      <c r="L1284" s="75"/>
      <c r="M1284" s="32"/>
      <c r="N1284" s="32"/>
      <c r="O1284" s="73"/>
      <c r="P1284" s="73"/>
      <c r="Q1284" s="73"/>
      <c r="R1284" s="73"/>
      <c r="S1284" s="73"/>
      <c r="T1284" s="73"/>
      <c r="U1284" s="73"/>
      <c r="V1284" s="73"/>
      <c r="W1284" s="73"/>
      <c r="X1284" s="73"/>
      <c r="Y1284" s="73"/>
      <c r="Z1284" s="73"/>
    </row>
    <row r="1285" spans="1:26" ht="12.75" customHeight="1">
      <c r="A1285" s="73"/>
      <c r="B1285" s="32"/>
      <c r="C1285" s="32"/>
      <c r="D1285" s="33"/>
      <c r="E1285" s="32"/>
      <c r="F1285" s="32"/>
      <c r="G1285" s="74"/>
      <c r="H1285" s="32"/>
      <c r="I1285" s="32"/>
      <c r="J1285" s="32"/>
      <c r="K1285" s="74"/>
      <c r="L1285" s="75"/>
      <c r="M1285" s="32"/>
      <c r="N1285" s="32"/>
      <c r="O1285" s="73"/>
      <c r="P1285" s="73"/>
      <c r="Q1285" s="73"/>
      <c r="R1285" s="73"/>
      <c r="S1285" s="73"/>
      <c r="T1285" s="73"/>
      <c r="U1285" s="73"/>
      <c r="V1285" s="73"/>
      <c r="W1285" s="73"/>
      <c r="X1285" s="73"/>
      <c r="Y1285" s="73"/>
      <c r="Z1285" s="73"/>
    </row>
    <row r="1286" spans="1:26" ht="12.75" customHeight="1">
      <c r="A1286" s="73"/>
      <c r="B1286" s="32"/>
      <c r="C1286" s="32"/>
      <c r="D1286" s="33"/>
      <c r="E1286" s="32"/>
      <c r="F1286" s="32"/>
      <c r="G1286" s="74"/>
      <c r="H1286" s="32"/>
      <c r="I1286" s="32"/>
      <c r="J1286" s="32"/>
      <c r="K1286" s="74"/>
      <c r="L1286" s="75"/>
      <c r="M1286" s="32"/>
      <c r="N1286" s="32"/>
      <c r="O1286" s="73"/>
      <c r="P1286" s="73"/>
      <c r="Q1286" s="73"/>
      <c r="R1286" s="73"/>
      <c r="S1286" s="73"/>
      <c r="T1286" s="73"/>
      <c r="U1286" s="73"/>
      <c r="V1286" s="73"/>
      <c r="W1286" s="73"/>
      <c r="X1286" s="73"/>
      <c r="Y1286" s="73"/>
      <c r="Z1286" s="73"/>
    </row>
    <row r="1287" spans="1:26" ht="12.75" customHeight="1">
      <c r="A1287" s="73"/>
      <c r="B1287" s="32"/>
      <c r="C1287" s="32"/>
      <c r="D1287" s="33"/>
      <c r="E1287" s="32"/>
      <c r="F1287" s="32"/>
      <c r="G1287" s="74"/>
      <c r="H1287" s="32"/>
      <c r="I1287" s="32"/>
      <c r="J1287" s="32"/>
      <c r="K1287" s="74"/>
      <c r="L1287" s="75"/>
      <c r="M1287" s="32"/>
      <c r="N1287" s="32"/>
      <c r="O1287" s="73"/>
      <c r="P1287" s="73"/>
      <c r="Q1287" s="73"/>
      <c r="R1287" s="73"/>
      <c r="S1287" s="73"/>
      <c r="T1287" s="73"/>
      <c r="U1287" s="73"/>
      <c r="V1287" s="73"/>
      <c r="W1287" s="73"/>
      <c r="X1287" s="73"/>
      <c r="Y1287" s="73"/>
      <c r="Z1287" s="73"/>
    </row>
    <row r="1288" spans="1:26" ht="12.75" customHeight="1">
      <c r="A1288" s="73"/>
      <c r="B1288" s="32"/>
      <c r="C1288" s="32"/>
      <c r="D1288" s="33"/>
      <c r="E1288" s="32"/>
      <c r="F1288" s="32"/>
      <c r="G1288" s="74"/>
      <c r="H1288" s="32"/>
      <c r="I1288" s="32"/>
      <c r="J1288" s="32"/>
      <c r="K1288" s="74"/>
      <c r="L1288" s="75"/>
      <c r="M1288" s="32"/>
      <c r="N1288" s="32"/>
      <c r="O1288" s="73"/>
      <c r="P1288" s="73"/>
      <c r="Q1288" s="73"/>
      <c r="R1288" s="73"/>
      <c r="S1288" s="73"/>
      <c r="T1288" s="73"/>
      <c r="U1288" s="73"/>
      <c r="V1288" s="73"/>
      <c r="W1288" s="73"/>
      <c r="X1288" s="73"/>
      <c r="Y1288" s="73"/>
      <c r="Z1288" s="73"/>
    </row>
    <row r="1289" spans="1:26" ht="12.75" customHeight="1">
      <c r="A1289" s="73"/>
      <c r="B1289" s="32"/>
      <c r="C1289" s="32"/>
      <c r="D1289" s="33"/>
      <c r="E1289" s="32"/>
      <c r="F1289" s="32"/>
      <c r="G1289" s="74"/>
      <c r="H1289" s="32"/>
      <c r="I1289" s="32"/>
      <c r="J1289" s="32"/>
      <c r="K1289" s="74"/>
      <c r="L1289" s="75"/>
      <c r="M1289" s="32"/>
      <c r="N1289" s="32"/>
      <c r="O1289" s="73"/>
      <c r="P1289" s="73"/>
      <c r="Q1289" s="73"/>
      <c r="R1289" s="73"/>
      <c r="S1289" s="73"/>
      <c r="T1289" s="73"/>
      <c r="U1289" s="73"/>
      <c r="V1289" s="73"/>
      <c r="W1289" s="73"/>
      <c r="X1289" s="73"/>
      <c r="Y1289" s="73"/>
      <c r="Z1289" s="73"/>
    </row>
    <row r="1290" spans="1:26" ht="12.75" customHeight="1">
      <c r="A1290" s="73"/>
      <c r="B1290" s="32"/>
      <c r="C1290" s="32"/>
      <c r="D1290" s="33"/>
      <c r="E1290" s="32"/>
      <c r="F1290" s="32"/>
      <c r="G1290" s="74"/>
      <c r="H1290" s="32"/>
      <c r="I1290" s="32"/>
      <c r="J1290" s="32"/>
      <c r="K1290" s="74"/>
      <c r="L1290" s="75"/>
      <c r="M1290" s="32"/>
      <c r="N1290" s="32"/>
      <c r="O1290" s="73"/>
      <c r="P1290" s="73"/>
      <c r="Q1290" s="73"/>
      <c r="R1290" s="73"/>
      <c r="S1290" s="73"/>
      <c r="T1290" s="73"/>
      <c r="U1290" s="73"/>
      <c r="V1290" s="73"/>
      <c r="W1290" s="73"/>
      <c r="X1290" s="73"/>
      <c r="Y1290" s="73"/>
      <c r="Z1290" s="73"/>
    </row>
    <row r="1291" spans="1:26" ht="12.75" customHeight="1">
      <c r="A1291" s="73"/>
      <c r="B1291" s="32"/>
      <c r="C1291" s="32"/>
      <c r="D1291" s="33"/>
      <c r="E1291" s="32"/>
      <c r="F1291" s="32"/>
      <c r="G1291" s="74"/>
      <c r="H1291" s="32"/>
      <c r="I1291" s="32"/>
      <c r="J1291" s="32"/>
      <c r="K1291" s="74"/>
      <c r="L1291" s="75"/>
      <c r="M1291" s="32"/>
      <c r="N1291" s="32"/>
      <c r="O1291" s="73"/>
      <c r="P1291" s="73"/>
      <c r="Q1291" s="73"/>
      <c r="R1291" s="73"/>
      <c r="S1291" s="73"/>
      <c r="T1291" s="73"/>
      <c r="U1291" s="73"/>
      <c r="V1291" s="73"/>
      <c r="W1291" s="73"/>
      <c r="X1291" s="73"/>
      <c r="Y1291" s="73"/>
      <c r="Z1291" s="73"/>
    </row>
    <row r="1292" spans="1:26" ht="12.75" customHeight="1">
      <c r="A1292" s="73"/>
      <c r="B1292" s="32"/>
      <c r="C1292" s="32"/>
      <c r="D1292" s="33"/>
      <c r="E1292" s="32"/>
      <c r="F1292" s="32"/>
      <c r="G1292" s="74"/>
      <c r="H1292" s="32"/>
      <c r="I1292" s="32"/>
      <c r="J1292" s="32"/>
      <c r="K1292" s="74"/>
      <c r="L1292" s="75"/>
      <c r="M1292" s="32"/>
      <c r="N1292" s="32"/>
      <c r="O1292" s="73"/>
      <c r="P1292" s="73"/>
      <c r="Q1292" s="73"/>
      <c r="R1292" s="73"/>
      <c r="S1292" s="73"/>
      <c r="T1292" s="73"/>
      <c r="U1292" s="73"/>
      <c r="V1292" s="73"/>
      <c r="W1292" s="73"/>
      <c r="X1292" s="73"/>
      <c r="Y1292" s="73"/>
      <c r="Z1292" s="73"/>
    </row>
    <row r="1293" spans="1:26" ht="12.75" customHeight="1">
      <c r="A1293" s="73"/>
      <c r="B1293" s="32"/>
      <c r="C1293" s="32"/>
      <c r="D1293" s="33"/>
      <c r="E1293" s="32"/>
      <c r="F1293" s="32"/>
      <c r="G1293" s="74"/>
      <c r="H1293" s="32"/>
      <c r="I1293" s="32"/>
      <c r="J1293" s="32"/>
      <c r="K1293" s="74"/>
      <c r="L1293" s="75"/>
      <c r="M1293" s="32"/>
      <c r="N1293" s="32"/>
      <c r="O1293" s="73"/>
      <c r="P1293" s="73"/>
      <c r="Q1293" s="73"/>
      <c r="R1293" s="73"/>
      <c r="S1293" s="73"/>
      <c r="T1293" s="73"/>
      <c r="U1293" s="73"/>
      <c r="V1293" s="73"/>
      <c r="W1293" s="73"/>
      <c r="X1293" s="73"/>
      <c r="Y1293" s="73"/>
      <c r="Z1293" s="73"/>
    </row>
    <row r="1294" spans="1:26" ht="12.75" customHeight="1">
      <c r="A1294" s="73"/>
      <c r="B1294" s="32"/>
      <c r="C1294" s="32"/>
      <c r="D1294" s="33"/>
      <c r="E1294" s="32"/>
      <c r="F1294" s="32"/>
      <c r="G1294" s="74"/>
      <c r="H1294" s="32"/>
      <c r="I1294" s="32"/>
      <c r="J1294" s="32"/>
      <c r="K1294" s="74"/>
      <c r="L1294" s="75"/>
      <c r="M1294" s="32"/>
      <c r="N1294" s="32"/>
      <c r="O1294" s="73"/>
      <c r="P1294" s="73"/>
      <c r="Q1294" s="73"/>
      <c r="R1294" s="73"/>
      <c r="S1294" s="73"/>
      <c r="T1294" s="73"/>
      <c r="U1294" s="73"/>
      <c r="V1294" s="73"/>
      <c r="W1294" s="73"/>
      <c r="X1294" s="73"/>
      <c r="Y1294" s="73"/>
      <c r="Z1294" s="73"/>
    </row>
    <row r="1295" spans="1:26" ht="12.75" customHeight="1">
      <c r="A1295" s="73"/>
      <c r="B1295" s="32"/>
      <c r="C1295" s="32"/>
      <c r="D1295" s="33"/>
      <c r="E1295" s="32"/>
      <c r="F1295" s="32"/>
      <c r="G1295" s="74"/>
      <c r="H1295" s="32"/>
      <c r="I1295" s="32"/>
      <c r="J1295" s="32"/>
      <c r="K1295" s="74"/>
      <c r="L1295" s="75"/>
      <c r="M1295" s="32"/>
      <c r="N1295" s="32"/>
      <c r="O1295" s="73"/>
      <c r="P1295" s="73"/>
      <c r="Q1295" s="73"/>
      <c r="R1295" s="73"/>
      <c r="S1295" s="73"/>
      <c r="T1295" s="73"/>
      <c r="U1295" s="73"/>
      <c r="V1295" s="73"/>
      <c r="W1295" s="73"/>
      <c r="X1295" s="73"/>
      <c r="Y1295" s="73"/>
      <c r="Z1295" s="73"/>
    </row>
    <row r="1296" spans="1:26" ht="12.75" customHeight="1">
      <c r="A1296" s="73"/>
      <c r="B1296" s="32"/>
      <c r="C1296" s="32"/>
      <c r="D1296" s="33"/>
      <c r="E1296" s="32"/>
      <c r="F1296" s="32"/>
      <c r="G1296" s="74"/>
      <c r="H1296" s="32"/>
      <c r="I1296" s="32"/>
      <c r="J1296" s="32"/>
      <c r="K1296" s="74"/>
      <c r="L1296" s="75"/>
      <c r="M1296" s="32"/>
      <c r="N1296" s="32"/>
      <c r="O1296" s="73"/>
      <c r="P1296" s="73"/>
      <c r="Q1296" s="73"/>
      <c r="R1296" s="73"/>
      <c r="S1296" s="73"/>
      <c r="T1296" s="73"/>
      <c r="U1296" s="73"/>
      <c r="V1296" s="73"/>
      <c r="W1296" s="73"/>
      <c r="X1296" s="73"/>
      <c r="Y1296" s="73"/>
      <c r="Z1296" s="73"/>
    </row>
    <row r="1297" spans="1:26" ht="12.75" customHeight="1">
      <c r="A1297" s="73"/>
      <c r="B1297" s="32"/>
      <c r="C1297" s="32"/>
      <c r="D1297" s="33"/>
      <c r="E1297" s="32"/>
      <c r="F1297" s="32"/>
      <c r="G1297" s="74"/>
      <c r="H1297" s="32"/>
      <c r="I1297" s="32"/>
      <c r="J1297" s="32"/>
      <c r="K1297" s="74"/>
      <c r="L1297" s="75"/>
      <c r="M1297" s="32"/>
      <c r="N1297" s="32"/>
      <c r="O1297" s="73"/>
      <c r="P1297" s="73"/>
      <c r="Q1297" s="73"/>
      <c r="R1297" s="73"/>
      <c r="S1297" s="73"/>
      <c r="T1297" s="73"/>
      <c r="U1297" s="73"/>
      <c r="V1297" s="73"/>
      <c r="W1297" s="73"/>
      <c r="X1297" s="73"/>
      <c r="Y1297" s="73"/>
      <c r="Z1297" s="73"/>
    </row>
    <row r="1298" spans="1:26" ht="12.75" customHeight="1">
      <c r="A1298" s="73"/>
      <c r="B1298" s="32"/>
      <c r="C1298" s="32"/>
      <c r="D1298" s="33"/>
      <c r="E1298" s="32"/>
      <c r="F1298" s="32"/>
      <c r="G1298" s="74"/>
      <c r="H1298" s="32"/>
      <c r="I1298" s="32"/>
      <c r="J1298" s="32"/>
      <c r="K1298" s="74"/>
      <c r="L1298" s="75"/>
      <c r="M1298" s="32"/>
      <c r="N1298" s="32"/>
      <c r="O1298" s="73"/>
      <c r="P1298" s="73"/>
      <c r="Q1298" s="73"/>
      <c r="R1298" s="73"/>
      <c r="S1298" s="73"/>
      <c r="T1298" s="73"/>
      <c r="U1298" s="73"/>
      <c r="V1298" s="73"/>
      <c r="W1298" s="73"/>
      <c r="X1298" s="73"/>
      <c r="Y1298" s="73"/>
      <c r="Z1298" s="73"/>
    </row>
    <row r="1299" spans="1:26" ht="12.75" customHeight="1">
      <c r="A1299" s="73"/>
      <c r="B1299" s="32"/>
      <c r="C1299" s="32"/>
      <c r="D1299" s="33"/>
      <c r="E1299" s="32"/>
      <c r="F1299" s="32"/>
      <c r="G1299" s="74"/>
      <c r="H1299" s="32"/>
      <c r="I1299" s="32"/>
      <c r="J1299" s="32"/>
      <c r="K1299" s="74"/>
      <c r="L1299" s="75"/>
      <c r="M1299" s="32"/>
      <c r="N1299" s="32"/>
      <c r="O1299" s="73"/>
      <c r="P1299" s="73"/>
      <c r="Q1299" s="73"/>
      <c r="R1299" s="73"/>
      <c r="S1299" s="73"/>
      <c r="T1299" s="73"/>
      <c r="U1299" s="73"/>
      <c r="V1299" s="73"/>
      <c r="W1299" s="73"/>
      <c r="X1299" s="73"/>
      <c r="Y1299" s="73"/>
      <c r="Z1299" s="73"/>
    </row>
    <row r="1300" spans="1:26" ht="12.75" customHeight="1">
      <c r="A1300" s="73"/>
      <c r="B1300" s="32"/>
      <c r="C1300" s="32"/>
      <c r="D1300" s="33"/>
      <c r="E1300" s="32"/>
      <c r="F1300" s="32"/>
      <c r="G1300" s="74"/>
      <c r="H1300" s="32"/>
      <c r="I1300" s="32"/>
      <c r="J1300" s="32"/>
      <c r="K1300" s="74"/>
      <c r="L1300" s="75"/>
      <c r="M1300" s="32"/>
      <c r="N1300" s="32"/>
      <c r="O1300" s="73"/>
      <c r="P1300" s="73"/>
      <c r="Q1300" s="73"/>
      <c r="R1300" s="73"/>
      <c r="S1300" s="73"/>
      <c r="T1300" s="73"/>
      <c r="U1300" s="73"/>
      <c r="V1300" s="73"/>
      <c r="W1300" s="73"/>
      <c r="X1300" s="73"/>
      <c r="Y1300" s="73"/>
      <c r="Z1300" s="73"/>
    </row>
    <row r="1301" spans="1:26" ht="12.75" customHeight="1">
      <c r="A1301" s="73"/>
      <c r="B1301" s="32"/>
      <c r="C1301" s="32"/>
      <c r="D1301" s="33"/>
      <c r="E1301" s="32"/>
      <c r="F1301" s="32"/>
      <c r="G1301" s="74"/>
      <c r="H1301" s="32"/>
      <c r="I1301" s="32"/>
      <c r="J1301" s="32"/>
      <c r="K1301" s="74"/>
      <c r="L1301" s="75"/>
      <c r="M1301" s="32"/>
      <c r="N1301" s="32"/>
      <c r="O1301" s="73"/>
      <c r="P1301" s="73"/>
      <c r="Q1301" s="73"/>
      <c r="R1301" s="73"/>
      <c r="S1301" s="73"/>
      <c r="T1301" s="73"/>
      <c r="U1301" s="73"/>
      <c r="V1301" s="73"/>
      <c r="W1301" s="73"/>
      <c r="X1301" s="73"/>
      <c r="Y1301" s="73"/>
      <c r="Z1301" s="73"/>
    </row>
    <row r="1302" spans="1:26" ht="12.75" customHeight="1">
      <c r="A1302" s="73"/>
      <c r="B1302" s="32"/>
      <c r="C1302" s="32"/>
      <c r="D1302" s="33"/>
      <c r="E1302" s="32"/>
      <c r="F1302" s="32"/>
      <c r="G1302" s="74"/>
      <c r="H1302" s="32"/>
      <c r="I1302" s="32"/>
      <c r="J1302" s="32"/>
      <c r="K1302" s="74"/>
      <c r="L1302" s="75"/>
      <c r="M1302" s="32"/>
      <c r="N1302" s="32"/>
      <c r="O1302" s="73"/>
      <c r="P1302" s="73"/>
      <c r="Q1302" s="73"/>
      <c r="R1302" s="73"/>
      <c r="S1302" s="73"/>
      <c r="T1302" s="73"/>
      <c r="U1302" s="73"/>
      <c r="V1302" s="73"/>
      <c r="W1302" s="73"/>
      <c r="X1302" s="73"/>
      <c r="Y1302" s="73"/>
      <c r="Z1302" s="73"/>
    </row>
    <row r="1303" spans="1:26" ht="12.75" customHeight="1">
      <c r="A1303" s="73"/>
      <c r="B1303" s="32"/>
      <c r="C1303" s="32"/>
      <c r="D1303" s="33"/>
      <c r="E1303" s="32"/>
      <c r="F1303" s="32"/>
      <c r="G1303" s="74"/>
      <c r="H1303" s="32"/>
      <c r="I1303" s="32"/>
      <c r="J1303" s="32"/>
      <c r="K1303" s="74"/>
      <c r="L1303" s="75"/>
      <c r="M1303" s="32"/>
      <c r="N1303" s="32"/>
      <c r="O1303" s="73"/>
      <c r="P1303" s="73"/>
      <c r="Q1303" s="73"/>
      <c r="R1303" s="73"/>
      <c r="S1303" s="73"/>
      <c r="T1303" s="73"/>
      <c r="U1303" s="73"/>
      <c r="V1303" s="73"/>
      <c r="W1303" s="73"/>
      <c r="X1303" s="73"/>
      <c r="Y1303" s="73"/>
      <c r="Z1303" s="73"/>
    </row>
    <row r="1304" spans="1:26" ht="12.75" customHeight="1">
      <c r="A1304" s="73"/>
      <c r="B1304" s="32"/>
      <c r="C1304" s="32"/>
      <c r="D1304" s="33"/>
      <c r="E1304" s="32"/>
      <c r="F1304" s="32"/>
      <c r="G1304" s="74"/>
      <c r="H1304" s="32"/>
      <c r="I1304" s="32"/>
      <c r="J1304" s="32"/>
      <c r="K1304" s="74"/>
      <c r="L1304" s="75"/>
      <c r="M1304" s="32"/>
      <c r="N1304" s="32"/>
      <c r="O1304" s="73"/>
      <c r="P1304" s="73"/>
      <c r="Q1304" s="73"/>
      <c r="R1304" s="73"/>
      <c r="S1304" s="73"/>
      <c r="T1304" s="73"/>
      <c r="U1304" s="73"/>
      <c r="V1304" s="73"/>
      <c r="W1304" s="73"/>
      <c r="X1304" s="73"/>
      <c r="Y1304" s="73"/>
      <c r="Z1304" s="73"/>
    </row>
    <row r="1305" spans="1:26" ht="12.75" customHeight="1">
      <c r="A1305" s="73"/>
      <c r="B1305" s="32"/>
      <c r="C1305" s="32"/>
      <c r="D1305" s="33"/>
      <c r="E1305" s="32"/>
      <c r="F1305" s="32"/>
      <c r="G1305" s="74"/>
      <c r="H1305" s="32"/>
      <c r="I1305" s="32"/>
      <c r="J1305" s="32"/>
      <c r="K1305" s="74"/>
      <c r="L1305" s="75"/>
      <c r="M1305" s="32"/>
      <c r="N1305" s="32"/>
      <c r="O1305" s="73"/>
      <c r="P1305" s="73"/>
      <c r="Q1305" s="73"/>
      <c r="R1305" s="73"/>
      <c r="S1305" s="73"/>
      <c r="T1305" s="73"/>
      <c r="U1305" s="73"/>
      <c r="V1305" s="73"/>
      <c r="W1305" s="73"/>
      <c r="X1305" s="73"/>
      <c r="Y1305" s="73"/>
      <c r="Z1305" s="73"/>
    </row>
    <row r="1306" spans="1:26" ht="12.75" customHeight="1">
      <c r="A1306" s="73"/>
      <c r="B1306" s="32"/>
      <c r="C1306" s="32"/>
      <c r="D1306" s="33"/>
      <c r="E1306" s="32"/>
      <c r="F1306" s="32"/>
      <c r="G1306" s="74"/>
      <c r="H1306" s="32"/>
      <c r="I1306" s="32"/>
      <c r="J1306" s="32"/>
      <c r="K1306" s="74"/>
      <c r="L1306" s="75"/>
      <c r="M1306" s="32"/>
      <c r="N1306" s="32"/>
      <c r="O1306" s="73"/>
      <c r="P1306" s="73"/>
      <c r="Q1306" s="73"/>
      <c r="R1306" s="73"/>
      <c r="S1306" s="73"/>
      <c r="T1306" s="73"/>
      <c r="U1306" s="73"/>
      <c r="V1306" s="73"/>
      <c r="W1306" s="73"/>
      <c r="X1306" s="73"/>
      <c r="Y1306" s="73"/>
      <c r="Z1306" s="73"/>
    </row>
    <row r="1307" spans="1:26" ht="12.75" customHeight="1">
      <c r="A1307" s="73"/>
      <c r="B1307" s="32"/>
      <c r="C1307" s="32"/>
      <c r="D1307" s="33"/>
      <c r="E1307" s="32"/>
      <c r="F1307" s="32"/>
      <c r="G1307" s="74"/>
      <c r="H1307" s="32"/>
      <c r="I1307" s="32"/>
      <c r="J1307" s="32"/>
      <c r="K1307" s="74"/>
      <c r="L1307" s="75"/>
      <c r="M1307" s="32"/>
      <c r="N1307" s="32"/>
      <c r="O1307" s="73"/>
      <c r="P1307" s="73"/>
      <c r="Q1307" s="73"/>
      <c r="R1307" s="73"/>
      <c r="S1307" s="73"/>
      <c r="T1307" s="73"/>
      <c r="U1307" s="73"/>
      <c r="V1307" s="73"/>
      <c r="W1307" s="73"/>
      <c r="X1307" s="73"/>
      <c r="Y1307" s="73"/>
      <c r="Z1307" s="73"/>
    </row>
    <row r="1308" spans="1:26" ht="12.75" customHeight="1">
      <c r="A1308" s="73"/>
      <c r="B1308" s="32"/>
      <c r="C1308" s="32"/>
      <c r="D1308" s="33"/>
      <c r="E1308" s="32"/>
      <c r="F1308" s="32"/>
      <c r="G1308" s="74"/>
      <c r="H1308" s="32"/>
      <c r="I1308" s="32"/>
      <c r="J1308" s="32"/>
      <c r="K1308" s="74"/>
      <c r="L1308" s="75"/>
      <c r="M1308" s="32"/>
      <c r="N1308" s="32"/>
      <c r="O1308" s="73"/>
      <c r="P1308" s="73"/>
      <c r="Q1308" s="73"/>
      <c r="R1308" s="73"/>
      <c r="S1308" s="73"/>
      <c r="T1308" s="73"/>
      <c r="U1308" s="73"/>
      <c r="V1308" s="73"/>
      <c r="W1308" s="73"/>
      <c r="X1308" s="73"/>
      <c r="Y1308" s="73"/>
      <c r="Z1308" s="73"/>
    </row>
    <row r="1309" spans="1:26" ht="12.75" customHeight="1">
      <c r="A1309" s="73"/>
      <c r="B1309" s="32"/>
      <c r="C1309" s="32"/>
      <c r="D1309" s="33"/>
      <c r="E1309" s="32"/>
      <c r="F1309" s="32"/>
      <c r="G1309" s="74"/>
      <c r="H1309" s="32"/>
      <c r="I1309" s="32"/>
      <c r="J1309" s="32"/>
      <c r="K1309" s="74"/>
      <c r="L1309" s="75"/>
      <c r="M1309" s="32"/>
      <c r="N1309" s="32"/>
      <c r="O1309" s="73"/>
      <c r="P1309" s="73"/>
      <c r="Q1309" s="73"/>
      <c r="R1309" s="73"/>
      <c r="S1309" s="73"/>
      <c r="T1309" s="73"/>
      <c r="U1309" s="73"/>
      <c r="V1309" s="73"/>
      <c r="W1309" s="73"/>
      <c r="X1309" s="73"/>
      <c r="Y1309" s="73"/>
      <c r="Z1309" s="73"/>
    </row>
    <row r="1310" spans="1:26" ht="12.75" customHeight="1">
      <c r="A1310" s="73"/>
      <c r="B1310" s="32"/>
      <c r="C1310" s="32"/>
      <c r="D1310" s="33"/>
      <c r="E1310" s="32"/>
      <c r="F1310" s="32"/>
      <c r="G1310" s="74"/>
      <c r="H1310" s="32"/>
      <c r="I1310" s="32"/>
      <c r="J1310" s="32"/>
      <c r="K1310" s="74"/>
      <c r="L1310" s="75"/>
      <c r="M1310" s="32"/>
      <c r="N1310" s="32"/>
      <c r="O1310" s="73"/>
      <c r="P1310" s="73"/>
      <c r="Q1310" s="73"/>
      <c r="R1310" s="73"/>
      <c r="S1310" s="73"/>
      <c r="T1310" s="73"/>
      <c r="U1310" s="73"/>
      <c r="V1310" s="73"/>
      <c r="W1310" s="73"/>
      <c r="X1310" s="73"/>
      <c r="Y1310" s="73"/>
      <c r="Z1310" s="73"/>
    </row>
    <row r="1311" spans="1:26" ht="12.75" customHeight="1">
      <c r="A1311" s="73"/>
      <c r="B1311" s="32"/>
      <c r="C1311" s="32"/>
      <c r="D1311" s="33"/>
      <c r="E1311" s="32"/>
      <c r="F1311" s="32"/>
      <c r="G1311" s="74"/>
      <c r="H1311" s="32"/>
      <c r="I1311" s="32"/>
      <c r="J1311" s="32"/>
      <c r="K1311" s="74"/>
      <c r="L1311" s="75"/>
      <c r="M1311" s="32"/>
      <c r="N1311" s="32"/>
      <c r="O1311" s="73"/>
      <c r="P1311" s="73"/>
      <c r="Q1311" s="73"/>
      <c r="R1311" s="73"/>
      <c r="S1311" s="73"/>
      <c r="T1311" s="73"/>
      <c r="U1311" s="73"/>
      <c r="V1311" s="73"/>
      <c r="W1311" s="73"/>
      <c r="X1311" s="73"/>
      <c r="Y1311" s="73"/>
      <c r="Z1311" s="73"/>
    </row>
    <row r="1312" spans="1:26" ht="12.75" customHeight="1">
      <c r="A1312" s="73"/>
      <c r="B1312" s="32"/>
      <c r="C1312" s="32"/>
      <c r="D1312" s="33"/>
      <c r="E1312" s="32"/>
      <c r="F1312" s="32"/>
      <c r="G1312" s="74"/>
      <c r="H1312" s="32"/>
      <c r="I1312" s="32"/>
      <c r="J1312" s="32"/>
      <c r="K1312" s="74"/>
      <c r="L1312" s="75"/>
      <c r="M1312" s="32"/>
      <c r="N1312" s="32"/>
      <c r="O1312" s="73"/>
      <c r="P1312" s="73"/>
      <c r="Q1312" s="73"/>
      <c r="R1312" s="73"/>
      <c r="S1312" s="73"/>
      <c r="T1312" s="73"/>
      <c r="U1312" s="73"/>
      <c r="V1312" s="73"/>
      <c r="W1312" s="73"/>
      <c r="X1312" s="73"/>
      <c r="Y1312" s="73"/>
      <c r="Z1312" s="73"/>
    </row>
    <row r="1313" spans="1:26" ht="12.75" customHeight="1">
      <c r="A1313" s="73"/>
      <c r="B1313" s="32"/>
      <c r="C1313" s="32"/>
      <c r="D1313" s="33"/>
      <c r="E1313" s="32"/>
      <c r="F1313" s="32"/>
      <c r="G1313" s="74"/>
      <c r="H1313" s="32"/>
      <c r="I1313" s="32"/>
      <c r="J1313" s="32"/>
      <c r="K1313" s="74"/>
      <c r="L1313" s="75"/>
      <c r="M1313" s="32"/>
      <c r="N1313" s="32"/>
      <c r="O1313" s="73"/>
      <c r="P1313" s="73"/>
      <c r="Q1313" s="73"/>
      <c r="R1313" s="73"/>
      <c r="S1313" s="73"/>
      <c r="T1313" s="73"/>
      <c r="U1313" s="73"/>
      <c r="V1313" s="73"/>
      <c r="W1313" s="73"/>
      <c r="X1313" s="73"/>
      <c r="Y1313" s="73"/>
      <c r="Z1313" s="73"/>
    </row>
    <row r="1314" spans="1:26" ht="12.75" customHeight="1">
      <c r="A1314" s="73"/>
      <c r="B1314" s="32"/>
      <c r="C1314" s="32"/>
      <c r="D1314" s="33"/>
      <c r="E1314" s="32"/>
      <c r="F1314" s="32"/>
      <c r="G1314" s="74"/>
      <c r="H1314" s="32"/>
      <c r="I1314" s="32"/>
      <c r="J1314" s="32"/>
      <c r="K1314" s="74"/>
      <c r="L1314" s="75"/>
      <c r="M1314" s="32"/>
      <c r="N1314" s="32"/>
      <c r="O1314" s="73"/>
      <c r="P1314" s="73"/>
      <c r="Q1314" s="73"/>
      <c r="R1314" s="73"/>
      <c r="S1314" s="73"/>
      <c r="T1314" s="73"/>
      <c r="U1314" s="73"/>
      <c r="V1314" s="73"/>
      <c r="W1314" s="73"/>
      <c r="X1314" s="73"/>
      <c r="Y1314" s="73"/>
      <c r="Z1314" s="73"/>
    </row>
    <row r="1315" spans="1:26" ht="12.75" customHeight="1">
      <c r="A1315" s="73"/>
      <c r="B1315" s="32"/>
      <c r="C1315" s="32"/>
      <c r="D1315" s="33"/>
      <c r="E1315" s="32"/>
      <c r="F1315" s="32"/>
      <c r="G1315" s="74"/>
      <c r="H1315" s="32"/>
      <c r="I1315" s="32"/>
      <c r="J1315" s="32"/>
      <c r="K1315" s="74"/>
      <c r="L1315" s="75"/>
      <c r="M1315" s="32"/>
      <c r="N1315" s="32"/>
      <c r="O1315" s="73"/>
      <c r="P1315" s="73"/>
      <c r="Q1315" s="73"/>
      <c r="R1315" s="73"/>
      <c r="S1315" s="73"/>
      <c r="T1315" s="73"/>
      <c r="U1315" s="73"/>
      <c r="V1315" s="73"/>
      <c r="W1315" s="73"/>
      <c r="X1315" s="73"/>
      <c r="Y1315" s="73"/>
      <c r="Z1315" s="73"/>
    </row>
    <row r="1316" spans="1:26" ht="12.75" customHeight="1">
      <c r="A1316" s="73"/>
      <c r="B1316" s="32"/>
      <c r="C1316" s="32"/>
      <c r="D1316" s="33"/>
      <c r="E1316" s="32"/>
      <c r="F1316" s="32"/>
      <c r="G1316" s="74"/>
      <c r="H1316" s="32"/>
      <c r="I1316" s="32"/>
      <c r="J1316" s="32"/>
      <c r="K1316" s="74"/>
      <c r="L1316" s="75"/>
      <c r="M1316" s="32"/>
      <c r="N1316" s="32"/>
      <c r="O1316" s="73"/>
      <c r="P1316" s="73"/>
      <c r="Q1316" s="73"/>
      <c r="R1316" s="73"/>
      <c r="S1316" s="73"/>
      <c r="T1316" s="73"/>
      <c r="U1316" s="73"/>
      <c r="V1316" s="73"/>
      <c r="W1316" s="73"/>
      <c r="X1316" s="73"/>
      <c r="Y1316" s="73"/>
      <c r="Z1316" s="73"/>
    </row>
    <row r="1317" spans="1:26" ht="12.75" customHeight="1">
      <c r="A1317" s="73"/>
      <c r="B1317" s="32"/>
      <c r="C1317" s="32"/>
      <c r="D1317" s="33"/>
      <c r="E1317" s="32"/>
      <c r="F1317" s="32"/>
      <c r="G1317" s="74"/>
      <c r="H1317" s="32"/>
      <c r="I1317" s="32"/>
      <c r="J1317" s="32"/>
      <c r="K1317" s="74"/>
      <c r="L1317" s="75"/>
      <c r="M1317" s="32"/>
      <c r="N1317" s="32"/>
      <c r="O1317" s="73"/>
      <c r="P1317" s="73"/>
      <c r="Q1317" s="73"/>
      <c r="R1317" s="73"/>
      <c r="S1317" s="73"/>
      <c r="T1317" s="73"/>
      <c r="U1317" s="73"/>
      <c r="V1317" s="73"/>
      <c r="W1317" s="73"/>
      <c r="X1317" s="73"/>
      <c r="Y1317" s="73"/>
      <c r="Z1317" s="73"/>
    </row>
    <row r="1318" spans="1:26" ht="12.75" customHeight="1">
      <c r="A1318" s="73"/>
      <c r="B1318" s="32"/>
      <c r="C1318" s="32"/>
      <c r="D1318" s="33"/>
      <c r="E1318" s="32"/>
      <c r="F1318" s="32"/>
      <c r="G1318" s="74"/>
      <c r="H1318" s="32"/>
      <c r="I1318" s="32"/>
      <c r="J1318" s="32"/>
      <c r="K1318" s="74"/>
      <c r="L1318" s="75"/>
      <c r="M1318" s="32"/>
      <c r="N1318" s="32"/>
      <c r="O1318" s="73"/>
      <c r="P1318" s="73"/>
      <c r="Q1318" s="73"/>
      <c r="R1318" s="73"/>
      <c r="S1318" s="73"/>
      <c r="T1318" s="73"/>
      <c r="U1318" s="73"/>
      <c r="V1318" s="73"/>
      <c r="W1318" s="73"/>
      <c r="X1318" s="73"/>
      <c r="Y1318" s="73"/>
      <c r="Z1318" s="73"/>
    </row>
    <row r="1319" spans="1:26" ht="12.75" customHeight="1">
      <c r="A1319" s="73"/>
      <c r="B1319" s="32"/>
      <c r="C1319" s="32"/>
      <c r="D1319" s="33"/>
      <c r="E1319" s="32"/>
      <c r="F1319" s="32"/>
      <c r="G1319" s="74"/>
      <c r="H1319" s="32"/>
      <c r="I1319" s="32"/>
      <c r="J1319" s="32"/>
      <c r="K1319" s="74"/>
      <c r="L1319" s="75"/>
      <c r="M1319" s="32"/>
      <c r="N1319" s="32"/>
      <c r="O1319" s="73"/>
      <c r="P1319" s="73"/>
      <c r="Q1319" s="73"/>
      <c r="R1319" s="73"/>
      <c r="S1319" s="73"/>
      <c r="T1319" s="73"/>
      <c r="U1319" s="73"/>
      <c r="V1319" s="73"/>
      <c r="W1319" s="73"/>
      <c r="X1319" s="73"/>
      <c r="Y1319" s="73"/>
      <c r="Z1319" s="73"/>
    </row>
    <row r="1320" spans="1:26" ht="12.75" customHeight="1">
      <c r="A1320" s="73"/>
      <c r="B1320" s="32"/>
      <c r="C1320" s="32"/>
      <c r="D1320" s="33"/>
      <c r="E1320" s="32"/>
      <c r="F1320" s="32"/>
      <c r="G1320" s="74"/>
      <c r="H1320" s="32"/>
      <c r="I1320" s="32"/>
      <c r="J1320" s="32"/>
      <c r="K1320" s="74"/>
      <c r="L1320" s="75"/>
      <c r="M1320" s="32"/>
      <c r="N1320" s="32"/>
      <c r="O1320" s="73"/>
      <c r="P1320" s="73"/>
      <c r="Q1320" s="73"/>
      <c r="R1320" s="73"/>
      <c r="S1320" s="73"/>
      <c r="T1320" s="73"/>
      <c r="U1320" s="73"/>
      <c r="V1320" s="73"/>
      <c r="W1320" s="73"/>
      <c r="X1320" s="73"/>
      <c r="Y1320" s="73"/>
      <c r="Z1320" s="73"/>
    </row>
    <row r="1321" spans="1:26" ht="12.75" customHeight="1">
      <c r="A1321" s="73"/>
      <c r="B1321" s="32"/>
      <c r="C1321" s="32"/>
      <c r="D1321" s="33"/>
      <c r="E1321" s="32"/>
      <c r="F1321" s="32"/>
      <c r="G1321" s="74"/>
      <c r="H1321" s="32"/>
      <c r="I1321" s="32"/>
      <c r="J1321" s="32"/>
      <c r="K1321" s="74"/>
      <c r="L1321" s="75"/>
      <c r="M1321" s="32"/>
      <c r="N1321" s="32"/>
      <c r="O1321" s="73"/>
      <c r="P1321" s="73"/>
      <c r="Q1321" s="73"/>
      <c r="R1321" s="73"/>
      <c r="S1321" s="73"/>
      <c r="T1321" s="73"/>
      <c r="U1321" s="73"/>
      <c r="V1321" s="73"/>
      <c r="W1321" s="73"/>
      <c r="X1321" s="73"/>
      <c r="Y1321" s="73"/>
      <c r="Z1321" s="73"/>
    </row>
    <row r="1322" spans="1:26" ht="12.75" customHeight="1">
      <c r="A1322" s="73"/>
      <c r="B1322" s="32"/>
      <c r="C1322" s="32"/>
      <c r="D1322" s="33"/>
      <c r="E1322" s="32"/>
      <c r="F1322" s="32"/>
      <c r="G1322" s="74"/>
      <c r="H1322" s="32"/>
      <c r="I1322" s="32"/>
      <c r="J1322" s="32"/>
      <c r="K1322" s="74"/>
      <c r="L1322" s="75"/>
      <c r="M1322" s="32"/>
      <c r="N1322" s="32"/>
      <c r="O1322" s="73"/>
      <c r="P1322" s="73"/>
      <c r="Q1322" s="73"/>
      <c r="R1322" s="73"/>
      <c r="S1322" s="73"/>
      <c r="T1322" s="73"/>
      <c r="U1322" s="73"/>
      <c r="V1322" s="73"/>
      <c r="W1322" s="73"/>
      <c r="X1322" s="73"/>
      <c r="Y1322" s="73"/>
      <c r="Z1322" s="73"/>
    </row>
    <row r="1323" spans="1:26" ht="12.75" customHeight="1">
      <c r="A1323" s="73"/>
      <c r="B1323" s="32"/>
      <c r="C1323" s="32"/>
      <c r="D1323" s="33"/>
      <c r="E1323" s="32"/>
      <c r="F1323" s="32"/>
      <c r="G1323" s="74"/>
      <c r="H1323" s="32"/>
      <c r="I1323" s="32"/>
      <c r="J1323" s="32"/>
      <c r="K1323" s="74"/>
      <c r="L1323" s="75"/>
      <c r="M1323" s="32"/>
      <c r="N1323" s="32"/>
      <c r="O1323" s="73"/>
      <c r="P1323" s="73"/>
      <c r="Q1323" s="73"/>
      <c r="R1323" s="73"/>
      <c r="S1323" s="73"/>
      <c r="T1323" s="73"/>
      <c r="U1323" s="73"/>
      <c r="V1323" s="73"/>
      <c r="W1323" s="73"/>
      <c r="X1323" s="73"/>
      <c r="Y1323" s="73"/>
      <c r="Z1323" s="73"/>
    </row>
    <row r="1324" spans="1:26" ht="12.75" customHeight="1">
      <c r="A1324" s="73"/>
      <c r="B1324" s="32"/>
      <c r="C1324" s="32"/>
      <c r="D1324" s="33"/>
      <c r="E1324" s="32"/>
      <c r="F1324" s="32"/>
      <c r="G1324" s="74"/>
      <c r="H1324" s="32"/>
      <c r="I1324" s="32"/>
      <c r="J1324" s="32"/>
      <c r="K1324" s="74"/>
      <c r="L1324" s="75"/>
      <c r="M1324" s="32"/>
      <c r="N1324" s="32"/>
      <c r="O1324" s="73"/>
      <c r="P1324" s="73"/>
      <c r="Q1324" s="73"/>
      <c r="R1324" s="73"/>
      <c r="S1324" s="73"/>
      <c r="T1324" s="73"/>
      <c r="U1324" s="73"/>
      <c r="V1324" s="73"/>
      <c r="W1324" s="73"/>
      <c r="X1324" s="73"/>
      <c r="Y1324" s="73"/>
      <c r="Z1324" s="73"/>
    </row>
    <row r="1325" spans="1:26" ht="12.75" customHeight="1">
      <c r="A1325" s="73"/>
      <c r="B1325" s="32"/>
      <c r="C1325" s="32"/>
      <c r="D1325" s="33"/>
      <c r="E1325" s="32"/>
      <c r="F1325" s="32"/>
      <c r="G1325" s="74"/>
      <c r="H1325" s="32"/>
      <c r="I1325" s="32"/>
      <c r="J1325" s="32"/>
      <c r="K1325" s="74"/>
      <c r="L1325" s="75"/>
      <c r="M1325" s="32"/>
      <c r="N1325" s="32"/>
      <c r="O1325" s="73"/>
      <c r="P1325" s="73"/>
      <c r="Q1325" s="73"/>
      <c r="R1325" s="73"/>
      <c r="S1325" s="73"/>
      <c r="T1325" s="73"/>
      <c r="U1325" s="73"/>
      <c r="V1325" s="73"/>
      <c r="W1325" s="73"/>
      <c r="X1325" s="73"/>
      <c r="Y1325" s="73"/>
      <c r="Z1325" s="73"/>
    </row>
    <row r="1326" spans="1:26" ht="12.75" customHeight="1">
      <c r="A1326" s="73"/>
      <c r="B1326" s="32"/>
      <c r="C1326" s="32"/>
      <c r="D1326" s="33"/>
      <c r="E1326" s="32"/>
      <c r="F1326" s="32"/>
      <c r="G1326" s="74"/>
      <c r="H1326" s="32"/>
      <c r="I1326" s="32"/>
      <c r="J1326" s="32"/>
      <c r="K1326" s="74"/>
      <c r="L1326" s="75"/>
      <c r="M1326" s="32"/>
      <c r="N1326" s="32"/>
      <c r="O1326" s="73"/>
      <c r="P1326" s="73"/>
      <c r="Q1326" s="73"/>
      <c r="R1326" s="73"/>
      <c r="S1326" s="73"/>
      <c r="T1326" s="73"/>
      <c r="U1326" s="73"/>
      <c r="V1326" s="73"/>
      <c r="W1326" s="73"/>
      <c r="X1326" s="73"/>
      <c r="Y1326" s="73"/>
      <c r="Z1326" s="73"/>
    </row>
    <row r="1327" spans="1:26" ht="12.75" customHeight="1">
      <c r="A1327" s="73"/>
      <c r="B1327" s="32"/>
      <c r="C1327" s="32"/>
      <c r="D1327" s="33"/>
      <c r="E1327" s="32"/>
      <c r="F1327" s="32"/>
      <c r="G1327" s="74"/>
      <c r="H1327" s="32"/>
      <c r="I1327" s="32"/>
      <c r="J1327" s="32"/>
      <c r="K1327" s="74"/>
      <c r="L1327" s="75"/>
      <c r="M1327" s="32"/>
      <c r="N1327" s="32"/>
      <c r="O1327" s="73"/>
      <c r="P1327" s="73"/>
      <c r="Q1327" s="73"/>
      <c r="R1327" s="73"/>
      <c r="S1327" s="73"/>
      <c r="T1327" s="73"/>
      <c r="U1327" s="73"/>
      <c r="V1327" s="73"/>
      <c r="W1327" s="73"/>
      <c r="X1327" s="73"/>
      <c r="Y1327" s="73"/>
      <c r="Z1327" s="73"/>
    </row>
    <row r="1328" spans="1:26" ht="12.75" customHeight="1">
      <c r="A1328" s="73"/>
      <c r="B1328" s="32"/>
      <c r="C1328" s="32"/>
      <c r="D1328" s="33"/>
      <c r="E1328" s="32"/>
      <c r="F1328" s="32"/>
      <c r="G1328" s="74"/>
      <c r="H1328" s="32"/>
      <c r="I1328" s="32"/>
      <c r="J1328" s="32"/>
      <c r="K1328" s="74"/>
      <c r="L1328" s="75"/>
      <c r="M1328" s="32"/>
      <c r="N1328" s="32"/>
      <c r="O1328" s="73"/>
      <c r="P1328" s="73"/>
      <c r="Q1328" s="73"/>
      <c r="R1328" s="73"/>
      <c r="S1328" s="73"/>
      <c r="T1328" s="73"/>
      <c r="U1328" s="73"/>
      <c r="V1328" s="73"/>
      <c r="W1328" s="73"/>
      <c r="X1328" s="73"/>
      <c r="Y1328" s="73"/>
      <c r="Z1328" s="73"/>
    </row>
    <row r="1329" spans="1:26" ht="12.75" customHeight="1">
      <c r="A1329" s="73"/>
      <c r="B1329" s="32"/>
      <c r="C1329" s="32"/>
      <c r="D1329" s="33"/>
      <c r="E1329" s="32"/>
      <c r="F1329" s="32"/>
      <c r="G1329" s="74"/>
      <c r="H1329" s="32"/>
      <c r="I1329" s="32"/>
      <c r="J1329" s="32"/>
      <c r="K1329" s="74"/>
      <c r="L1329" s="75"/>
      <c r="M1329" s="32"/>
      <c r="N1329" s="32"/>
      <c r="O1329" s="73"/>
      <c r="P1329" s="73"/>
      <c r="Q1329" s="73"/>
      <c r="R1329" s="73"/>
      <c r="S1329" s="73"/>
      <c r="T1329" s="73"/>
      <c r="U1329" s="73"/>
      <c r="V1329" s="73"/>
      <c r="W1329" s="73"/>
      <c r="X1329" s="73"/>
      <c r="Y1329" s="73"/>
      <c r="Z1329" s="73"/>
    </row>
    <row r="1330" spans="1:26" ht="12.75" customHeight="1">
      <c r="A1330" s="73"/>
      <c r="B1330" s="32"/>
      <c r="C1330" s="32"/>
      <c r="D1330" s="33"/>
      <c r="E1330" s="32"/>
      <c r="F1330" s="32"/>
      <c r="G1330" s="74"/>
      <c r="H1330" s="32"/>
      <c r="I1330" s="32"/>
      <c r="J1330" s="32"/>
      <c r="K1330" s="74"/>
      <c r="L1330" s="75"/>
      <c r="M1330" s="32"/>
      <c r="N1330" s="32"/>
      <c r="O1330" s="73"/>
      <c r="P1330" s="73"/>
      <c r="Q1330" s="73"/>
      <c r="R1330" s="73"/>
      <c r="S1330" s="73"/>
      <c r="T1330" s="73"/>
      <c r="U1330" s="73"/>
      <c r="V1330" s="73"/>
      <c r="W1330" s="73"/>
      <c r="X1330" s="73"/>
      <c r="Y1330" s="73"/>
      <c r="Z1330" s="73"/>
    </row>
    <row r="1331" spans="1:26" ht="12.75" customHeight="1">
      <c r="A1331" s="73"/>
      <c r="B1331" s="32"/>
      <c r="C1331" s="32"/>
      <c r="D1331" s="33"/>
      <c r="E1331" s="32"/>
      <c r="F1331" s="32"/>
      <c r="G1331" s="74"/>
      <c r="H1331" s="32"/>
      <c r="I1331" s="32"/>
      <c r="J1331" s="32"/>
      <c r="K1331" s="74"/>
      <c r="L1331" s="75"/>
      <c r="M1331" s="32"/>
      <c r="N1331" s="32"/>
      <c r="O1331" s="73"/>
      <c r="P1331" s="73"/>
      <c r="Q1331" s="73"/>
      <c r="R1331" s="73"/>
      <c r="S1331" s="73"/>
      <c r="T1331" s="73"/>
      <c r="U1331" s="73"/>
      <c r="V1331" s="73"/>
      <c r="W1331" s="73"/>
      <c r="X1331" s="73"/>
      <c r="Y1331" s="73"/>
      <c r="Z1331" s="73"/>
    </row>
    <row r="1332" spans="1:26" ht="12.75" customHeight="1">
      <c r="A1332" s="73"/>
      <c r="B1332" s="32"/>
      <c r="C1332" s="32"/>
      <c r="D1332" s="33"/>
      <c r="E1332" s="32"/>
      <c r="F1332" s="32"/>
      <c r="G1332" s="74"/>
      <c r="H1332" s="32"/>
      <c r="I1332" s="32"/>
      <c r="J1332" s="32"/>
      <c r="K1332" s="74"/>
      <c r="L1332" s="75"/>
      <c r="M1332" s="32"/>
      <c r="N1332" s="32"/>
      <c r="O1332" s="73"/>
      <c r="P1332" s="73"/>
      <c r="Q1332" s="73"/>
      <c r="R1332" s="73"/>
      <c r="S1332" s="73"/>
      <c r="T1332" s="73"/>
      <c r="U1332" s="73"/>
      <c r="V1332" s="73"/>
      <c r="W1332" s="73"/>
      <c r="X1332" s="73"/>
      <c r="Y1332" s="73"/>
      <c r="Z1332" s="73"/>
    </row>
    <row r="1333" spans="1:26" ht="12.75" customHeight="1">
      <c r="A1333" s="73"/>
      <c r="B1333" s="32"/>
      <c r="C1333" s="32"/>
      <c r="D1333" s="33"/>
      <c r="E1333" s="32"/>
      <c r="F1333" s="32"/>
      <c r="G1333" s="74"/>
      <c r="H1333" s="32"/>
      <c r="I1333" s="32"/>
      <c r="J1333" s="32"/>
      <c r="K1333" s="74"/>
      <c r="L1333" s="75"/>
      <c r="M1333" s="32"/>
      <c r="N1333" s="32"/>
      <c r="O1333" s="73"/>
      <c r="P1333" s="73"/>
      <c r="Q1333" s="73"/>
      <c r="R1333" s="73"/>
      <c r="S1333" s="73"/>
      <c r="T1333" s="73"/>
      <c r="U1333" s="73"/>
      <c r="V1333" s="73"/>
      <c r="W1333" s="73"/>
      <c r="X1333" s="73"/>
      <c r="Y1333" s="73"/>
      <c r="Z1333" s="73"/>
    </row>
    <row r="1334" spans="1:26" ht="12.75" customHeight="1">
      <c r="A1334" s="73"/>
      <c r="B1334" s="32"/>
      <c r="C1334" s="32"/>
      <c r="D1334" s="33"/>
      <c r="E1334" s="32"/>
      <c r="F1334" s="32"/>
      <c r="G1334" s="74"/>
      <c r="H1334" s="32"/>
      <c r="I1334" s="32"/>
      <c r="J1334" s="32"/>
      <c r="K1334" s="74"/>
      <c r="L1334" s="75"/>
      <c r="M1334" s="32"/>
      <c r="N1334" s="32"/>
      <c r="O1334" s="73"/>
      <c r="P1334" s="73"/>
      <c r="Q1334" s="73"/>
      <c r="R1334" s="73"/>
      <c r="S1334" s="73"/>
      <c r="T1334" s="73"/>
      <c r="U1334" s="73"/>
      <c r="V1334" s="73"/>
      <c r="W1334" s="73"/>
      <c r="X1334" s="73"/>
      <c r="Y1334" s="73"/>
      <c r="Z1334" s="73"/>
    </row>
    <row r="1335" spans="1:26" ht="12.75" customHeight="1">
      <c r="A1335" s="73"/>
      <c r="B1335" s="32"/>
      <c r="C1335" s="32"/>
      <c r="D1335" s="33"/>
      <c r="E1335" s="32"/>
      <c r="F1335" s="32"/>
      <c r="G1335" s="74"/>
      <c r="H1335" s="32"/>
      <c r="I1335" s="32"/>
      <c r="J1335" s="32"/>
      <c r="K1335" s="74"/>
      <c r="L1335" s="75"/>
      <c r="M1335" s="32"/>
      <c r="N1335" s="32"/>
      <c r="O1335" s="73"/>
      <c r="P1335" s="73"/>
      <c r="Q1335" s="73"/>
      <c r="R1335" s="73"/>
      <c r="S1335" s="73"/>
      <c r="T1335" s="73"/>
      <c r="U1335" s="73"/>
      <c r="V1335" s="73"/>
      <c r="W1335" s="73"/>
      <c r="X1335" s="73"/>
      <c r="Y1335" s="73"/>
      <c r="Z1335" s="73"/>
    </row>
    <row r="1336" spans="1:26" ht="12.75" customHeight="1">
      <c r="A1336" s="73"/>
      <c r="B1336" s="32"/>
      <c r="C1336" s="32"/>
      <c r="D1336" s="33"/>
      <c r="E1336" s="32"/>
      <c r="F1336" s="32"/>
      <c r="G1336" s="74"/>
      <c r="H1336" s="32"/>
      <c r="I1336" s="32"/>
      <c r="J1336" s="32"/>
      <c r="K1336" s="74"/>
      <c r="L1336" s="75"/>
      <c r="M1336" s="32"/>
      <c r="N1336" s="32"/>
      <c r="O1336" s="73"/>
      <c r="P1336" s="73"/>
      <c r="Q1336" s="73"/>
      <c r="R1336" s="73"/>
      <c r="S1336" s="73"/>
      <c r="T1336" s="73"/>
      <c r="U1336" s="73"/>
      <c r="V1336" s="73"/>
      <c r="W1336" s="73"/>
      <c r="X1336" s="73"/>
      <c r="Y1336" s="73"/>
      <c r="Z1336" s="73"/>
    </row>
    <row r="1337" spans="1:26" ht="12.75" customHeight="1">
      <c r="A1337" s="73"/>
      <c r="B1337" s="32"/>
      <c r="C1337" s="32"/>
      <c r="D1337" s="33"/>
      <c r="E1337" s="32"/>
      <c r="F1337" s="32"/>
      <c r="G1337" s="74"/>
      <c r="H1337" s="32"/>
      <c r="I1337" s="32"/>
      <c r="J1337" s="32"/>
      <c r="K1337" s="74"/>
      <c r="L1337" s="75"/>
      <c r="M1337" s="32"/>
      <c r="N1337" s="32"/>
      <c r="O1337" s="73"/>
      <c r="P1337" s="73"/>
      <c r="Q1337" s="73"/>
      <c r="R1337" s="73"/>
      <c r="S1337" s="73"/>
      <c r="T1337" s="73"/>
      <c r="U1337" s="73"/>
      <c r="V1337" s="73"/>
      <c r="W1337" s="73"/>
      <c r="X1337" s="73"/>
      <c r="Y1337" s="73"/>
      <c r="Z1337" s="73"/>
    </row>
    <row r="1338" spans="1:26" ht="12.75" customHeight="1">
      <c r="A1338" s="73"/>
      <c r="B1338" s="32"/>
      <c r="C1338" s="32"/>
      <c r="D1338" s="33"/>
      <c r="E1338" s="32"/>
      <c r="F1338" s="32"/>
      <c r="G1338" s="74"/>
      <c r="H1338" s="32"/>
      <c r="I1338" s="32"/>
      <c r="J1338" s="32"/>
      <c r="K1338" s="74"/>
      <c r="L1338" s="75"/>
      <c r="M1338" s="32"/>
      <c r="N1338" s="32"/>
      <c r="O1338" s="73"/>
      <c r="P1338" s="73"/>
      <c r="Q1338" s="73"/>
      <c r="R1338" s="73"/>
      <c r="S1338" s="73"/>
      <c r="T1338" s="73"/>
      <c r="U1338" s="73"/>
      <c r="V1338" s="73"/>
      <c r="W1338" s="73"/>
      <c r="X1338" s="73"/>
      <c r="Y1338" s="73"/>
      <c r="Z1338" s="73"/>
    </row>
    <row r="1339" spans="1:26" ht="12.75" customHeight="1">
      <c r="A1339" s="73"/>
      <c r="B1339" s="32"/>
      <c r="C1339" s="32"/>
      <c r="D1339" s="33"/>
      <c r="E1339" s="32"/>
      <c r="F1339" s="32"/>
      <c r="G1339" s="74"/>
      <c r="H1339" s="32"/>
      <c r="I1339" s="32"/>
      <c r="J1339" s="32"/>
      <c r="K1339" s="74"/>
      <c r="L1339" s="75"/>
      <c r="M1339" s="32"/>
      <c r="N1339" s="32"/>
      <c r="O1339" s="73"/>
      <c r="P1339" s="73"/>
      <c r="Q1339" s="73"/>
      <c r="R1339" s="73"/>
      <c r="S1339" s="73"/>
      <c r="T1339" s="73"/>
      <c r="U1339" s="73"/>
      <c r="V1339" s="73"/>
      <c r="W1339" s="73"/>
      <c r="X1339" s="73"/>
      <c r="Y1339" s="73"/>
      <c r="Z1339" s="73"/>
    </row>
    <row r="1340" spans="1:26" ht="12.75" customHeight="1">
      <c r="A1340" s="73"/>
      <c r="B1340" s="32"/>
      <c r="C1340" s="32"/>
      <c r="D1340" s="33"/>
      <c r="E1340" s="32"/>
      <c r="F1340" s="32"/>
      <c r="G1340" s="74"/>
      <c r="H1340" s="32"/>
      <c r="I1340" s="32"/>
      <c r="J1340" s="32"/>
      <c r="K1340" s="74"/>
      <c r="L1340" s="75"/>
      <c r="M1340" s="32"/>
      <c r="N1340" s="32"/>
      <c r="O1340" s="73"/>
      <c r="P1340" s="73"/>
      <c r="Q1340" s="73"/>
      <c r="R1340" s="73"/>
      <c r="S1340" s="73"/>
      <c r="T1340" s="73"/>
      <c r="U1340" s="73"/>
      <c r="V1340" s="73"/>
      <c r="W1340" s="73"/>
      <c r="X1340" s="73"/>
      <c r="Y1340" s="73"/>
      <c r="Z1340" s="73"/>
    </row>
    <row r="1341" spans="1:26" ht="12.75" customHeight="1">
      <c r="A1341" s="73"/>
      <c r="B1341" s="32"/>
      <c r="C1341" s="32"/>
      <c r="D1341" s="33"/>
      <c r="E1341" s="32"/>
      <c r="F1341" s="32"/>
      <c r="G1341" s="74"/>
      <c r="H1341" s="32"/>
      <c r="I1341" s="32"/>
      <c r="J1341" s="32"/>
      <c r="K1341" s="74"/>
      <c r="L1341" s="75"/>
      <c r="M1341" s="32"/>
      <c r="N1341" s="32"/>
      <c r="O1341" s="73"/>
      <c r="P1341" s="73"/>
      <c r="Q1341" s="73"/>
      <c r="R1341" s="73"/>
      <c r="S1341" s="73"/>
      <c r="T1341" s="73"/>
      <c r="U1341" s="73"/>
      <c r="V1341" s="73"/>
      <c r="W1341" s="73"/>
      <c r="X1341" s="73"/>
      <c r="Y1341" s="73"/>
      <c r="Z1341" s="73"/>
    </row>
    <row r="1342" spans="1:26" ht="12.75" customHeight="1">
      <c r="A1342" s="73"/>
      <c r="B1342" s="32"/>
      <c r="C1342" s="32"/>
      <c r="D1342" s="33"/>
      <c r="E1342" s="32"/>
      <c r="F1342" s="32"/>
      <c r="G1342" s="74"/>
      <c r="H1342" s="32"/>
      <c r="I1342" s="32"/>
      <c r="J1342" s="32"/>
      <c r="K1342" s="74"/>
      <c r="L1342" s="75"/>
      <c r="M1342" s="32"/>
      <c r="N1342" s="32"/>
      <c r="O1342" s="73"/>
      <c r="P1342" s="73"/>
      <c r="Q1342" s="73"/>
      <c r="R1342" s="73"/>
      <c r="S1342" s="73"/>
      <c r="T1342" s="73"/>
      <c r="U1342" s="73"/>
      <c r="V1342" s="73"/>
      <c r="W1342" s="73"/>
      <c r="X1342" s="73"/>
      <c r="Y1342" s="73"/>
      <c r="Z1342" s="73"/>
    </row>
    <row r="1343" spans="1:26" ht="12.75" customHeight="1">
      <c r="A1343" s="73"/>
      <c r="B1343" s="32"/>
      <c r="C1343" s="32"/>
      <c r="D1343" s="33"/>
      <c r="E1343" s="32"/>
      <c r="F1343" s="32"/>
      <c r="G1343" s="74"/>
      <c r="H1343" s="32"/>
      <c r="I1343" s="32"/>
      <c r="J1343" s="32"/>
      <c r="K1343" s="74"/>
      <c r="L1343" s="75"/>
      <c r="M1343" s="32"/>
      <c r="N1343" s="32"/>
      <c r="O1343" s="73"/>
      <c r="P1343" s="73"/>
      <c r="Q1343" s="73"/>
      <c r="R1343" s="73"/>
      <c r="S1343" s="73"/>
      <c r="T1343" s="73"/>
      <c r="U1343" s="73"/>
      <c r="V1343" s="73"/>
      <c r="W1343" s="73"/>
      <c r="X1343" s="73"/>
      <c r="Y1343" s="73"/>
      <c r="Z1343" s="73"/>
    </row>
    <row r="1344" spans="1:26" ht="12.75" customHeight="1">
      <c r="A1344" s="73"/>
      <c r="B1344" s="32"/>
      <c r="C1344" s="32"/>
      <c r="D1344" s="33"/>
      <c r="E1344" s="32"/>
      <c r="F1344" s="32"/>
      <c r="G1344" s="74"/>
      <c r="H1344" s="32"/>
      <c r="I1344" s="32"/>
      <c r="J1344" s="32"/>
      <c r="K1344" s="74"/>
      <c r="L1344" s="75"/>
      <c r="M1344" s="32"/>
      <c r="N1344" s="32"/>
      <c r="O1344" s="73"/>
      <c r="P1344" s="73"/>
      <c r="Q1344" s="73"/>
      <c r="R1344" s="73"/>
      <c r="S1344" s="73"/>
      <c r="T1344" s="73"/>
      <c r="U1344" s="73"/>
      <c r="V1344" s="73"/>
      <c r="W1344" s="73"/>
      <c r="X1344" s="73"/>
      <c r="Y1344" s="73"/>
      <c r="Z1344" s="73"/>
    </row>
    <row r="1345" spans="1:26" ht="12.75" customHeight="1">
      <c r="A1345" s="73"/>
      <c r="B1345" s="32"/>
      <c r="C1345" s="32"/>
      <c r="D1345" s="33"/>
      <c r="E1345" s="32"/>
      <c r="F1345" s="32"/>
      <c r="G1345" s="74"/>
      <c r="H1345" s="32"/>
      <c r="I1345" s="32"/>
      <c r="J1345" s="32"/>
      <c r="K1345" s="74"/>
      <c r="L1345" s="75"/>
      <c r="M1345" s="32"/>
      <c r="N1345" s="32"/>
      <c r="O1345" s="73"/>
      <c r="P1345" s="73"/>
      <c r="Q1345" s="73"/>
      <c r="R1345" s="73"/>
      <c r="S1345" s="73"/>
      <c r="T1345" s="73"/>
      <c r="U1345" s="73"/>
      <c r="V1345" s="73"/>
      <c r="W1345" s="73"/>
      <c r="X1345" s="73"/>
      <c r="Y1345" s="73"/>
      <c r="Z1345" s="73"/>
    </row>
    <row r="1346" spans="1:26" ht="12.75" customHeight="1">
      <c r="A1346" s="73"/>
      <c r="B1346" s="32"/>
      <c r="C1346" s="32"/>
      <c r="D1346" s="33"/>
      <c r="E1346" s="32"/>
      <c r="F1346" s="32"/>
      <c r="G1346" s="74"/>
      <c r="H1346" s="32"/>
      <c r="I1346" s="32"/>
      <c r="J1346" s="32"/>
      <c r="K1346" s="74"/>
      <c r="L1346" s="75"/>
      <c r="M1346" s="32"/>
      <c r="N1346" s="32"/>
      <c r="O1346" s="73"/>
      <c r="P1346" s="73"/>
      <c r="Q1346" s="73"/>
      <c r="R1346" s="73"/>
      <c r="S1346" s="73"/>
      <c r="T1346" s="73"/>
      <c r="U1346" s="73"/>
      <c r="V1346" s="73"/>
      <c r="W1346" s="73"/>
      <c r="X1346" s="73"/>
      <c r="Y1346" s="73"/>
      <c r="Z1346" s="73"/>
    </row>
    <row r="1347" spans="1:26" ht="12.75" customHeight="1">
      <c r="A1347" s="73"/>
      <c r="B1347" s="32"/>
      <c r="C1347" s="32"/>
      <c r="D1347" s="33"/>
      <c r="E1347" s="32"/>
      <c r="F1347" s="32"/>
      <c r="G1347" s="74"/>
      <c r="H1347" s="32"/>
      <c r="I1347" s="32"/>
      <c r="J1347" s="32"/>
      <c r="K1347" s="74"/>
      <c r="L1347" s="75"/>
      <c r="M1347" s="32"/>
      <c r="N1347" s="32"/>
      <c r="O1347" s="73"/>
      <c r="P1347" s="73"/>
      <c r="Q1347" s="73"/>
      <c r="R1347" s="73"/>
      <c r="S1347" s="73"/>
      <c r="T1347" s="73"/>
      <c r="U1347" s="73"/>
      <c r="V1347" s="73"/>
      <c r="W1347" s="73"/>
      <c r="X1347" s="73"/>
      <c r="Y1347" s="73"/>
      <c r="Z1347" s="73"/>
    </row>
    <row r="1348" spans="1:26" ht="12.75" customHeight="1">
      <c r="A1348" s="73"/>
      <c r="B1348" s="32"/>
      <c r="C1348" s="32"/>
      <c r="D1348" s="33"/>
      <c r="E1348" s="32"/>
      <c r="F1348" s="32"/>
      <c r="G1348" s="74"/>
      <c r="H1348" s="32"/>
      <c r="I1348" s="32"/>
      <c r="J1348" s="32"/>
      <c r="K1348" s="74"/>
      <c r="L1348" s="75"/>
      <c r="M1348" s="32"/>
      <c r="N1348" s="32"/>
      <c r="O1348" s="73"/>
      <c r="P1348" s="73"/>
      <c r="Q1348" s="73"/>
      <c r="R1348" s="73"/>
      <c r="S1348" s="73"/>
      <c r="T1348" s="73"/>
      <c r="U1348" s="73"/>
      <c r="V1348" s="73"/>
      <c r="W1348" s="73"/>
      <c r="X1348" s="73"/>
      <c r="Y1348" s="73"/>
      <c r="Z1348" s="73"/>
    </row>
    <row r="1349" spans="1:26" ht="12.75" customHeight="1">
      <c r="A1349" s="73"/>
      <c r="B1349" s="32"/>
      <c r="C1349" s="32"/>
      <c r="D1349" s="33"/>
      <c r="E1349" s="32"/>
      <c r="F1349" s="32"/>
      <c r="G1349" s="74"/>
      <c r="H1349" s="32"/>
      <c r="I1349" s="32"/>
      <c r="J1349" s="32"/>
      <c r="K1349" s="74"/>
      <c r="L1349" s="75"/>
      <c r="M1349" s="32"/>
      <c r="N1349" s="32"/>
      <c r="O1349" s="73"/>
      <c r="P1349" s="73"/>
      <c r="Q1349" s="73"/>
      <c r="R1349" s="73"/>
      <c r="S1349" s="73"/>
      <c r="T1349" s="73"/>
      <c r="U1349" s="73"/>
      <c r="V1349" s="73"/>
      <c r="W1349" s="73"/>
      <c r="X1349" s="73"/>
      <c r="Y1349" s="73"/>
      <c r="Z1349" s="73"/>
    </row>
    <row r="1350" spans="1:26" ht="12.75" customHeight="1">
      <c r="A1350" s="73"/>
      <c r="B1350" s="32"/>
      <c r="C1350" s="32"/>
      <c r="D1350" s="33"/>
      <c r="E1350" s="32"/>
      <c r="F1350" s="32"/>
      <c r="G1350" s="74"/>
      <c r="H1350" s="32"/>
      <c r="I1350" s="32"/>
      <c r="J1350" s="32"/>
      <c r="K1350" s="74"/>
      <c r="L1350" s="75"/>
      <c r="M1350" s="32"/>
      <c r="N1350" s="32"/>
      <c r="O1350" s="73"/>
      <c r="P1350" s="73"/>
      <c r="Q1350" s="73"/>
      <c r="R1350" s="73"/>
      <c r="S1350" s="73"/>
      <c r="T1350" s="73"/>
      <c r="U1350" s="73"/>
      <c r="V1350" s="73"/>
      <c r="W1350" s="73"/>
      <c r="X1350" s="73"/>
      <c r="Y1350" s="73"/>
      <c r="Z1350" s="73"/>
    </row>
    <row r="1351" spans="1:26" ht="12.75" customHeight="1">
      <c r="A1351" s="73"/>
      <c r="B1351" s="32"/>
      <c r="C1351" s="32"/>
      <c r="D1351" s="33"/>
      <c r="E1351" s="32"/>
      <c r="F1351" s="32"/>
      <c r="G1351" s="74"/>
      <c r="H1351" s="32"/>
      <c r="I1351" s="32"/>
      <c r="J1351" s="32"/>
      <c r="K1351" s="74"/>
      <c r="L1351" s="75"/>
      <c r="M1351" s="32"/>
      <c r="N1351" s="32"/>
      <c r="O1351" s="73"/>
      <c r="P1351" s="73"/>
      <c r="Q1351" s="73"/>
      <c r="R1351" s="73"/>
      <c r="S1351" s="73"/>
      <c r="T1351" s="73"/>
      <c r="U1351" s="73"/>
      <c r="V1351" s="73"/>
      <c r="W1351" s="73"/>
      <c r="X1351" s="73"/>
      <c r="Y1351" s="73"/>
      <c r="Z1351" s="73"/>
    </row>
    <row r="1352" spans="1:26" ht="12.75" customHeight="1">
      <c r="A1352" s="73"/>
      <c r="B1352" s="32"/>
      <c r="C1352" s="32"/>
      <c r="D1352" s="33"/>
      <c r="E1352" s="32"/>
      <c r="F1352" s="32"/>
      <c r="G1352" s="74"/>
      <c r="H1352" s="32"/>
      <c r="I1352" s="32"/>
      <c r="J1352" s="32"/>
      <c r="K1352" s="74"/>
      <c r="L1352" s="75"/>
      <c r="M1352" s="32"/>
      <c r="N1352" s="32"/>
      <c r="O1352" s="73"/>
      <c r="P1352" s="73"/>
      <c r="Q1352" s="73"/>
      <c r="R1352" s="73"/>
      <c r="S1352" s="73"/>
      <c r="T1352" s="73"/>
      <c r="U1352" s="73"/>
      <c r="V1352" s="73"/>
      <c r="W1352" s="73"/>
      <c r="X1352" s="73"/>
      <c r="Y1352" s="73"/>
      <c r="Z1352" s="73"/>
    </row>
    <row r="1353" spans="1:26" ht="12.75" customHeight="1">
      <c r="A1353" s="73"/>
      <c r="B1353" s="32"/>
      <c r="C1353" s="32"/>
      <c r="D1353" s="33"/>
      <c r="E1353" s="32"/>
      <c r="F1353" s="32"/>
      <c r="G1353" s="74"/>
      <c r="H1353" s="32"/>
      <c r="I1353" s="32"/>
      <c r="J1353" s="32"/>
      <c r="K1353" s="74"/>
      <c r="L1353" s="75"/>
      <c r="M1353" s="32"/>
      <c r="N1353" s="32"/>
      <c r="O1353" s="73"/>
      <c r="P1353" s="73"/>
      <c r="Q1353" s="73"/>
      <c r="R1353" s="73"/>
      <c r="S1353" s="73"/>
      <c r="T1353" s="73"/>
      <c r="U1353" s="73"/>
      <c r="V1353" s="73"/>
      <c r="W1353" s="73"/>
      <c r="X1353" s="73"/>
      <c r="Y1353" s="73"/>
      <c r="Z1353" s="73"/>
    </row>
    <row r="1354" spans="1:26" ht="12.75" customHeight="1">
      <c r="A1354" s="73"/>
      <c r="B1354" s="32"/>
      <c r="C1354" s="32"/>
      <c r="D1354" s="33"/>
      <c r="E1354" s="32"/>
      <c r="F1354" s="32"/>
      <c r="G1354" s="74"/>
      <c r="H1354" s="32"/>
      <c r="I1354" s="32"/>
      <c r="J1354" s="32"/>
      <c r="K1354" s="74"/>
      <c r="L1354" s="75"/>
      <c r="M1354" s="32"/>
      <c r="N1354" s="32"/>
      <c r="O1354" s="73"/>
      <c r="P1354" s="73"/>
      <c r="Q1354" s="73"/>
      <c r="R1354" s="73"/>
      <c r="S1354" s="73"/>
      <c r="T1354" s="73"/>
      <c r="U1354" s="73"/>
      <c r="V1354" s="73"/>
      <c r="W1354" s="73"/>
      <c r="X1354" s="73"/>
      <c r="Y1354" s="73"/>
      <c r="Z1354" s="73"/>
    </row>
    <row r="1355" spans="1:26" ht="12.75" customHeight="1">
      <c r="A1355" s="73"/>
      <c r="B1355" s="32"/>
      <c r="C1355" s="32"/>
      <c r="D1355" s="33"/>
      <c r="E1355" s="32"/>
      <c r="F1355" s="32"/>
      <c r="G1355" s="74"/>
      <c r="H1355" s="32"/>
      <c r="I1355" s="32"/>
      <c r="J1355" s="32"/>
      <c r="K1355" s="74"/>
      <c r="L1355" s="75"/>
      <c r="M1355" s="32"/>
      <c r="N1355" s="32"/>
      <c r="O1355" s="73"/>
      <c r="P1355" s="73"/>
      <c r="Q1355" s="73"/>
      <c r="R1355" s="73"/>
      <c r="S1355" s="73"/>
      <c r="T1355" s="73"/>
      <c r="U1355" s="73"/>
      <c r="V1355" s="73"/>
      <c r="W1355" s="73"/>
      <c r="X1355" s="73"/>
      <c r="Y1355" s="73"/>
      <c r="Z1355" s="73"/>
    </row>
    <row r="1356" spans="1:26" ht="12.75" customHeight="1">
      <c r="A1356" s="73"/>
      <c r="B1356" s="32"/>
      <c r="C1356" s="32"/>
      <c r="D1356" s="33"/>
      <c r="E1356" s="32"/>
      <c r="F1356" s="32"/>
      <c r="G1356" s="74"/>
      <c r="H1356" s="32"/>
      <c r="I1356" s="32"/>
      <c r="J1356" s="32"/>
      <c r="K1356" s="74"/>
      <c r="L1356" s="75"/>
      <c r="M1356" s="32"/>
      <c r="N1356" s="32"/>
      <c r="O1356" s="73"/>
      <c r="P1356" s="73"/>
      <c r="Q1356" s="73"/>
      <c r="R1356" s="73"/>
      <c r="S1356" s="73"/>
      <c r="T1356" s="73"/>
      <c r="U1356" s="73"/>
      <c r="V1356" s="73"/>
      <c r="W1356" s="73"/>
      <c r="X1356" s="73"/>
      <c r="Y1356" s="73"/>
      <c r="Z1356" s="73"/>
    </row>
    <row r="1357" spans="1:26" ht="12.75" customHeight="1">
      <c r="A1357" s="73"/>
      <c r="B1357" s="32"/>
      <c r="C1357" s="32"/>
      <c r="D1357" s="33"/>
      <c r="E1357" s="32"/>
      <c r="F1357" s="32"/>
      <c r="G1357" s="74"/>
      <c r="H1357" s="32"/>
      <c r="I1357" s="32"/>
      <c r="J1357" s="32"/>
      <c r="K1357" s="74"/>
      <c r="L1357" s="75"/>
      <c r="M1357" s="32"/>
      <c r="N1357" s="32"/>
      <c r="O1357" s="73"/>
      <c r="P1357" s="73"/>
      <c r="Q1357" s="73"/>
      <c r="R1357" s="73"/>
      <c r="S1357" s="73"/>
      <c r="T1357" s="73"/>
      <c r="U1357" s="73"/>
      <c r="V1357" s="73"/>
      <c r="W1357" s="73"/>
      <c r="X1357" s="73"/>
      <c r="Y1357" s="73"/>
      <c r="Z1357" s="73"/>
    </row>
    <row r="1358" spans="1:26" ht="12.75" customHeight="1">
      <c r="A1358" s="73"/>
      <c r="B1358" s="32"/>
      <c r="C1358" s="32"/>
      <c r="D1358" s="33"/>
      <c r="E1358" s="32"/>
      <c r="F1358" s="32"/>
      <c r="G1358" s="74"/>
      <c r="H1358" s="32"/>
      <c r="I1358" s="32"/>
      <c r="J1358" s="32"/>
      <c r="K1358" s="74"/>
      <c r="L1358" s="75"/>
      <c r="M1358" s="32"/>
      <c r="N1358" s="32"/>
      <c r="O1358" s="73"/>
      <c r="P1358" s="73"/>
      <c r="Q1358" s="73"/>
      <c r="R1358" s="73"/>
      <c r="S1358" s="73"/>
      <c r="T1358" s="73"/>
      <c r="U1358" s="73"/>
      <c r="V1358" s="73"/>
      <c r="W1358" s="73"/>
      <c r="X1358" s="73"/>
      <c r="Y1358" s="73"/>
      <c r="Z1358" s="73"/>
    </row>
    <row r="1359" spans="1:26" ht="12.75" customHeight="1">
      <c r="A1359" s="73"/>
      <c r="B1359" s="32"/>
      <c r="C1359" s="32"/>
      <c r="D1359" s="33"/>
      <c r="E1359" s="32"/>
      <c r="F1359" s="32"/>
      <c r="G1359" s="74"/>
      <c r="H1359" s="32"/>
      <c r="I1359" s="32"/>
      <c r="J1359" s="32"/>
      <c r="K1359" s="74"/>
      <c r="L1359" s="75"/>
      <c r="M1359" s="32"/>
      <c r="N1359" s="32"/>
      <c r="O1359" s="73"/>
      <c r="P1359" s="73"/>
      <c r="Q1359" s="73"/>
      <c r="R1359" s="73"/>
      <c r="S1359" s="73"/>
      <c r="T1359" s="73"/>
      <c r="U1359" s="73"/>
      <c r="V1359" s="73"/>
      <c r="W1359" s="73"/>
      <c r="X1359" s="73"/>
      <c r="Y1359" s="73"/>
      <c r="Z1359" s="73"/>
    </row>
    <row r="1360" spans="1:26" ht="12.75" customHeight="1">
      <c r="A1360" s="73"/>
      <c r="B1360" s="32"/>
      <c r="C1360" s="32"/>
      <c r="D1360" s="33"/>
      <c r="E1360" s="32"/>
      <c r="F1360" s="32"/>
      <c r="G1360" s="74"/>
      <c r="H1360" s="32"/>
      <c r="I1360" s="32"/>
      <c r="J1360" s="32"/>
      <c r="K1360" s="74"/>
      <c r="L1360" s="75"/>
      <c r="M1360" s="32"/>
      <c r="N1360" s="32"/>
      <c r="O1360" s="73"/>
      <c r="P1360" s="73"/>
      <c r="Q1360" s="73"/>
      <c r="R1360" s="73"/>
      <c r="S1360" s="73"/>
      <c r="T1360" s="73"/>
      <c r="U1360" s="73"/>
      <c r="V1360" s="73"/>
      <c r="W1360" s="73"/>
      <c r="X1360" s="73"/>
      <c r="Y1360" s="73"/>
      <c r="Z1360" s="73"/>
    </row>
    <row r="1361" spans="1:26" ht="12.75" customHeight="1">
      <c r="A1361" s="73"/>
      <c r="B1361" s="32"/>
      <c r="C1361" s="32"/>
      <c r="D1361" s="33"/>
      <c r="E1361" s="32"/>
      <c r="F1361" s="32"/>
      <c r="G1361" s="74"/>
      <c r="H1361" s="32"/>
      <c r="I1361" s="32"/>
      <c r="J1361" s="32"/>
      <c r="K1361" s="74"/>
      <c r="L1361" s="75"/>
      <c r="M1361" s="32"/>
      <c r="N1361" s="32"/>
      <c r="O1361" s="73"/>
      <c r="P1361" s="73"/>
      <c r="Q1361" s="73"/>
      <c r="R1361" s="73"/>
      <c r="S1361" s="73"/>
      <c r="T1361" s="73"/>
      <c r="U1361" s="73"/>
      <c r="V1361" s="73"/>
      <c r="W1361" s="73"/>
      <c r="X1361" s="73"/>
      <c r="Y1361" s="73"/>
      <c r="Z1361" s="73"/>
    </row>
    <row r="1362" spans="1:26" ht="12.75" customHeight="1">
      <c r="A1362" s="73"/>
      <c r="B1362" s="32"/>
      <c r="C1362" s="32"/>
      <c r="D1362" s="33"/>
      <c r="E1362" s="32"/>
      <c r="F1362" s="32"/>
      <c r="G1362" s="74"/>
      <c r="H1362" s="32"/>
      <c r="I1362" s="32"/>
      <c r="J1362" s="32"/>
      <c r="K1362" s="74"/>
      <c r="L1362" s="75"/>
      <c r="M1362" s="32"/>
      <c r="N1362" s="32"/>
      <c r="O1362" s="73"/>
      <c r="P1362" s="73"/>
      <c r="Q1362" s="73"/>
      <c r="R1362" s="73"/>
      <c r="S1362" s="73"/>
      <c r="T1362" s="73"/>
      <c r="U1362" s="73"/>
      <c r="V1362" s="73"/>
      <c r="W1362" s="73"/>
      <c r="X1362" s="73"/>
      <c r="Y1362" s="73"/>
      <c r="Z1362" s="73"/>
    </row>
    <row r="1363" spans="1:26" ht="12.75" customHeight="1">
      <c r="A1363" s="73"/>
      <c r="B1363" s="32"/>
      <c r="C1363" s="32"/>
      <c r="D1363" s="33"/>
      <c r="E1363" s="32"/>
      <c r="F1363" s="32"/>
      <c r="G1363" s="74"/>
      <c r="H1363" s="32"/>
      <c r="I1363" s="32"/>
      <c r="J1363" s="32"/>
      <c r="K1363" s="74"/>
      <c r="L1363" s="75"/>
      <c r="M1363" s="32"/>
      <c r="N1363" s="32"/>
      <c r="O1363" s="73"/>
      <c r="P1363" s="73"/>
      <c r="Q1363" s="73"/>
      <c r="R1363" s="73"/>
      <c r="S1363" s="73"/>
      <c r="T1363" s="73"/>
      <c r="U1363" s="73"/>
      <c r="V1363" s="73"/>
      <c r="W1363" s="73"/>
      <c r="X1363" s="73"/>
      <c r="Y1363" s="73"/>
      <c r="Z1363" s="73"/>
    </row>
    <row r="1364" spans="1:26" ht="12.75" customHeight="1">
      <c r="A1364" s="73"/>
      <c r="B1364" s="32"/>
      <c r="C1364" s="32"/>
      <c r="D1364" s="33"/>
      <c r="E1364" s="32"/>
      <c r="F1364" s="32"/>
      <c r="G1364" s="74"/>
      <c r="H1364" s="32"/>
      <c r="I1364" s="32"/>
      <c r="J1364" s="32"/>
      <c r="K1364" s="74"/>
      <c r="L1364" s="75"/>
      <c r="M1364" s="32"/>
      <c r="N1364" s="32"/>
      <c r="O1364" s="73"/>
      <c r="P1364" s="73"/>
      <c r="Q1364" s="73"/>
      <c r="R1364" s="73"/>
      <c r="S1364" s="73"/>
      <c r="T1364" s="73"/>
      <c r="U1364" s="73"/>
      <c r="V1364" s="73"/>
      <c r="W1364" s="73"/>
      <c r="X1364" s="73"/>
      <c r="Y1364" s="73"/>
      <c r="Z1364" s="73"/>
    </row>
    <row r="1365" spans="1:26" ht="12.75" customHeight="1">
      <c r="A1365" s="73"/>
      <c r="B1365" s="32"/>
      <c r="C1365" s="32"/>
      <c r="D1365" s="33"/>
      <c r="E1365" s="32"/>
      <c r="F1365" s="32"/>
      <c r="G1365" s="74"/>
      <c r="H1365" s="32"/>
      <c r="I1365" s="32"/>
      <c r="J1365" s="32"/>
      <c r="K1365" s="74"/>
      <c r="L1365" s="75"/>
      <c r="M1365" s="32"/>
      <c r="N1365" s="32"/>
      <c r="O1365" s="73"/>
      <c r="P1365" s="73"/>
      <c r="Q1365" s="73"/>
      <c r="R1365" s="73"/>
      <c r="S1365" s="73"/>
      <c r="T1365" s="73"/>
      <c r="U1365" s="73"/>
      <c r="V1365" s="73"/>
      <c r="W1365" s="73"/>
      <c r="X1365" s="73"/>
      <c r="Y1365" s="73"/>
      <c r="Z1365" s="73"/>
    </row>
    <row r="1366" spans="1:26" ht="12.75" customHeight="1">
      <c r="A1366" s="73"/>
      <c r="B1366" s="32"/>
      <c r="C1366" s="32"/>
      <c r="D1366" s="33"/>
      <c r="E1366" s="32"/>
      <c r="F1366" s="32"/>
      <c r="G1366" s="74"/>
      <c r="H1366" s="32"/>
      <c r="I1366" s="32"/>
      <c r="J1366" s="32"/>
      <c r="K1366" s="74"/>
      <c r="L1366" s="75"/>
      <c r="M1366" s="32"/>
      <c r="N1366" s="32"/>
      <c r="O1366" s="73"/>
      <c r="P1366" s="73"/>
      <c r="Q1366" s="73"/>
      <c r="R1366" s="73"/>
      <c r="S1366" s="73"/>
      <c r="T1366" s="73"/>
      <c r="U1366" s="73"/>
      <c r="V1366" s="73"/>
      <c r="W1366" s="73"/>
      <c r="X1366" s="73"/>
      <c r="Y1366" s="73"/>
      <c r="Z1366" s="73"/>
    </row>
    <row r="1367" spans="1:26" ht="12.75" customHeight="1">
      <c r="A1367" s="73"/>
      <c r="B1367" s="32"/>
      <c r="C1367" s="32"/>
      <c r="D1367" s="33"/>
      <c r="E1367" s="32"/>
      <c r="F1367" s="32"/>
      <c r="G1367" s="74"/>
      <c r="H1367" s="32"/>
      <c r="I1367" s="32"/>
      <c r="J1367" s="32"/>
      <c r="K1367" s="74"/>
      <c r="L1367" s="75"/>
      <c r="M1367" s="32"/>
      <c r="N1367" s="32"/>
      <c r="O1367" s="73"/>
      <c r="P1367" s="73"/>
      <c r="Q1367" s="73"/>
      <c r="R1367" s="73"/>
      <c r="S1367" s="73"/>
      <c r="T1367" s="73"/>
      <c r="U1367" s="73"/>
      <c r="V1367" s="73"/>
      <c r="W1367" s="73"/>
      <c r="X1367" s="73"/>
      <c r="Y1367" s="73"/>
      <c r="Z1367" s="73"/>
    </row>
    <row r="1368" spans="1:26" ht="12.75" customHeight="1">
      <c r="A1368" s="73"/>
      <c r="B1368" s="32"/>
      <c r="C1368" s="32"/>
      <c r="D1368" s="33"/>
      <c r="E1368" s="32"/>
      <c r="F1368" s="32"/>
      <c r="G1368" s="74"/>
      <c r="H1368" s="32"/>
      <c r="I1368" s="32"/>
      <c r="J1368" s="32"/>
      <c r="K1368" s="74"/>
      <c r="L1368" s="75"/>
      <c r="M1368" s="32"/>
      <c r="N1368" s="32"/>
      <c r="O1368" s="73"/>
      <c r="P1368" s="73"/>
      <c r="Q1368" s="73"/>
      <c r="R1368" s="73"/>
      <c r="S1368" s="73"/>
      <c r="T1368" s="73"/>
      <c r="U1368" s="73"/>
      <c r="V1368" s="73"/>
      <c r="W1368" s="73"/>
      <c r="X1368" s="73"/>
      <c r="Y1368" s="73"/>
      <c r="Z1368" s="73"/>
    </row>
    <row r="1369" spans="1:26" ht="12.75" customHeight="1">
      <c r="A1369" s="73"/>
      <c r="B1369" s="32"/>
      <c r="C1369" s="32"/>
      <c r="D1369" s="33"/>
      <c r="E1369" s="32"/>
      <c r="F1369" s="32"/>
      <c r="G1369" s="74"/>
      <c r="H1369" s="32"/>
      <c r="I1369" s="32"/>
      <c r="J1369" s="32"/>
      <c r="K1369" s="74"/>
      <c r="L1369" s="75"/>
      <c r="M1369" s="32"/>
      <c r="N1369" s="32"/>
      <c r="O1369" s="73"/>
      <c r="P1369" s="73"/>
      <c r="Q1369" s="73"/>
      <c r="R1369" s="73"/>
      <c r="S1369" s="73"/>
      <c r="T1369" s="73"/>
      <c r="U1369" s="73"/>
      <c r="V1369" s="73"/>
      <c r="W1369" s="73"/>
      <c r="X1369" s="73"/>
      <c r="Y1369" s="73"/>
      <c r="Z1369" s="73"/>
    </row>
    <row r="1370" spans="1:26" ht="12.75" customHeight="1">
      <c r="A1370" s="73"/>
      <c r="B1370" s="32"/>
      <c r="C1370" s="32"/>
      <c r="D1370" s="33"/>
      <c r="E1370" s="32"/>
      <c r="F1370" s="32"/>
      <c r="G1370" s="74"/>
      <c r="H1370" s="32"/>
      <c r="I1370" s="32"/>
      <c r="J1370" s="32"/>
      <c r="K1370" s="74"/>
      <c r="L1370" s="75"/>
      <c r="M1370" s="32"/>
      <c r="N1370" s="32"/>
      <c r="O1370" s="73"/>
      <c r="P1370" s="73"/>
      <c r="Q1370" s="73"/>
      <c r="R1370" s="73"/>
      <c r="S1370" s="73"/>
      <c r="T1370" s="73"/>
      <c r="U1370" s="73"/>
      <c r="V1370" s="73"/>
      <c r="W1370" s="73"/>
      <c r="X1370" s="73"/>
      <c r="Y1370" s="73"/>
      <c r="Z1370" s="73"/>
    </row>
    <row r="1371" spans="1:26" ht="12.75" customHeight="1">
      <c r="A1371" s="73"/>
      <c r="B1371" s="32"/>
      <c r="C1371" s="32"/>
      <c r="D1371" s="33"/>
      <c r="E1371" s="32"/>
      <c r="F1371" s="32"/>
      <c r="G1371" s="74"/>
      <c r="H1371" s="32"/>
      <c r="I1371" s="32"/>
      <c r="J1371" s="32"/>
      <c r="K1371" s="74"/>
      <c r="L1371" s="75"/>
      <c r="M1371" s="32"/>
      <c r="N1371" s="32"/>
      <c r="O1371" s="73"/>
      <c r="P1371" s="73"/>
      <c r="Q1371" s="73"/>
      <c r="R1371" s="73"/>
      <c r="S1371" s="73"/>
      <c r="T1371" s="73"/>
      <c r="U1371" s="73"/>
      <c r="V1371" s="73"/>
      <c r="W1371" s="73"/>
      <c r="X1371" s="73"/>
      <c r="Y1371" s="73"/>
      <c r="Z1371" s="73"/>
    </row>
    <row r="1372" spans="1:26" ht="12.75" customHeight="1">
      <c r="A1372" s="73"/>
      <c r="B1372" s="32"/>
      <c r="C1372" s="32"/>
      <c r="D1372" s="33"/>
      <c r="E1372" s="32"/>
      <c r="F1372" s="32"/>
      <c r="G1372" s="74"/>
      <c r="H1372" s="32"/>
      <c r="I1372" s="32"/>
      <c r="J1372" s="32"/>
      <c r="K1372" s="74"/>
      <c r="L1372" s="75"/>
      <c r="M1372" s="32"/>
      <c r="N1372" s="32"/>
      <c r="O1372" s="73"/>
      <c r="P1372" s="73"/>
      <c r="Q1372" s="73"/>
      <c r="R1372" s="73"/>
      <c r="S1372" s="73"/>
      <c r="T1372" s="73"/>
      <c r="U1372" s="73"/>
      <c r="V1372" s="73"/>
      <c r="W1372" s="73"/>
      <c r="X1372" s="73"/>
      <c r="Y1372" s="73"/>
      <c r="Z1372" s="73"/>
    </row>
    <row r="1373" spans="1:26" ht="12.75" customHeight="1">
      <c r="A1373" s="73"/>
      <c r="B1373" s="32"/>
      <c r="C1373" s="32"/>
      <c r="D1373" s="33"/>
      <c r="E1373" s="32"/>
      <c r="F1373" s="32"/>
      <c r="G1373" s="74"/>
      <c r="H1373" s="32"/>
      <c r="I1373" s="32"/>
      <c r="J1373" s="32"/>
      <c r="K1373" s="74"/>
      <c r="L1373" s="75"/>
      <c r="M1373" s="32"/>
      <c r="N1373" s="32"/>
      <c r="O1373" s="73"/>
      <c r="P1373" s="73"/>
      <c r="Q1373" s="73"/>
      <c r="R1373" s="73"/>
      <c r="S1373" s="73"/>
      <c r="T1373" s="73"/>
      <c r="U1373" s="73"/>
      <c r="V1373" s="73"/>
      <c r="W1373" s="73"/>
      <c r="X1373" s="73"/>
      <c r="Y1373" s="73"/>
      <c r="Z1373" s="73"/>
    </row>
    <row r="1374" spans="1:26" ht="12.75" customHeight="1">
      <c r="A1374" s="73"/>
      <c r="B1374" s="32"/>
      <c r="C1374" s="32"/>
      <c r="D1374" s="33"/>
      <c r="E1374" s="32"/>
      <c r="F1374" s="32"/>
      <c r="G1374" s="74"/>
      <c r="H1374" s="32"/>
      <c r="I1374" s="32"/>
      <c r="J1374" s="32"/>
      <c r="K1374" s="74"/>
      <c r="L1374" s="75"/>
      <c r="M1374" s="32"/>
      <c r="N1374" s="32"/>
      <c r="O1374" s="73"/>
      <c r="P1374" s="73"/>
      <c r="Q1374" s="73"/>
      <c r="R1374" s="73"/>
      <c r="S1374" s="73"/>
      <c r="T1374" s="73"/>
      <c r="U1374" s="73"/>
      <c r="V1374" s="73"/>
      <c r="W1374" s="73"/>
      <c r="X1374" s="73"/>
      <c r="Y1374" s="73"/>
      <c r="Z1374" s="73"/>
    </row>
    <row r="1375" spans="1:26" ht="12.75" customHeight="1">
      <c r="A1375" s="73"/>
      <c r="B1375" s="32"/>
      <c r="C1375" s="32"/>
      <c r="D1375" s="33"/>
      <c r="E1375" s="32"/>
      <c r="F1375" s="32"/>
      <c r="G1375" s="74"/>
      <c r="H1375" s="32"/>
      <c r="I1375" s="32"/>
      <c r="J1375" s="32"/>
      <c r="K1375" s="74"/>
      <c r="L1375" s="75"/>
      <c r="M1375" s="32"/>
      <c r="N1375" s="32"/>
      <c r="O1375" s="73"/>
      <c r="P1375" s="73"/>
      <c r="Q1375" s="73"/>
      <c r="R1375" s="73"/>
      <c r="S1375" s="73"/>
      <c r="T1375" s="73"/>
      <c r="U1375" s="73"/>
      <c r="V1375" s="73"/>
      <c r="W1375" s="73"/>
      <c r="X1375" s="73"/>
      <c r="Y1375" s="73"/>
      <c r="Z1375" s="73"/>
    </row>
    <row r="1376" spans="1:26" ht="12.75" customHeight="1">
      <c r="A1376" s="73"/>
      <c r="B1376" s="32"/>
      <c r="C1376" s="32"/>
      <c r="D1376" s="33"/>
      <c r="E1376" s="32"/>
      <c r="F1376" s="32"/>
      <c r="G1376" s="74"/>
      <c r="H1376" s="32"/>
      <c r="I1376" s="32"/>
      <c r="J1376" s="32"/>
      <c r="K1376" s="74"/>
      <c r="L1376" s="75"/>
      <c r="M1376" s="32"/>
      <c r="N1376" s="32"/>
      <c r="O1376" s="73"/>
      <c r="P1376" s="73"/>
      <c r="Q1376" s="73"/>
      <c r="R1376" s="73"/>
      <c r="S1376" s="73"/>
      <c r="T1376" s="73"/>
      <c r="U1376" s="73"/>
      <c r="V1376" s="73"/>
      <c r="W1376" s="73"/>
      <c r="X1376" s="73"/>
      <c r="Y1376" s="73"/>
      <c r="Z1376" s="73"/>
    </row>
    <row r="1377" spans="1:26" ht="12.75" customHeight="1">
      <c r="A1377" s="73"/>
      <c r="B1377" s="32"/>
      <c r="C1377" s="32"/>
      <c r="D1377" s="33"/>
      <c r="E1377" s="32"/>
      <c r="F1377" s="32"/>
      <c r="G1377" s="74"/>
      <c r="H1377" s="32"/>
      <c r="I1377" s="32"/>
      <c r="J1377" s="32"/>
      <c r="K1377" s="74"/>
      <c r="L1377" s="75"/>
      <c r="M1377" s="32"/>
      <c r="N1377" s="32"/>
      <c r="O1377" s="73"/>
      <c r="P1377" s="73"/>
      <c r="Q1377" s="73"/>
      <c r="R1377" s="73"/>
      <c r="S1377" s="73"/>
      <c r="T1377" s="73"/>
      <c r="U1377" s="73"/>
      <c r="V1377" s="73"/>
      <c r="W1377" s="73"/>
      <c r="X1377" s="73"/>
      <c r="Y1377" s="73"/>
      <c r="Z1377" s="73"/>
    </row>
    <row r="1378" spans="1:26" ht="12.75" customHeight="1">
      <c r="A1378" s="73"/>
      <c r="B1378" s="32"/>
      <c r="C1378" s="32"/>
      <c r="D1378" s="33"/>
      <c r="E1378" s="32"/>
      <c r="F1378" s="32"/>
      <c r="G1378" s="74"/>
      <c r="H1378" s="32"/>
      <c r="I1378" s="32"/>
      <c r="J1378" s="32"/>
      <c r="K1378" s="74"/>
      <c r="L1378" s="75"/>
      <c r="M1378" s="32"/>
      <c r="N1378" s="32"/>
      <c r="O1378" s="73"/>
      <c r="P1378" s="73"/>
      <c r="Q1378" s="73"/>
      <c r="R1378" s="73"/>
      <c r="S1378" s="73"/>
      <c r="T1378" s="73"/>
      <c r="U1378" s="73"/>
      <c r="V1378" s="73"/>
      <c r="W1378" s="73"/>
      <c r="X1378" s="73"/>
      <c r="Y1378" s="73"/>
      <c r="Z1378" s="73"/>
    </row>
    <row r="1379" spans="1:26" ht="12.75" customHeight="1">
      <c r="A1379" s="73"/>
      <c r="B1379" s="32"/>
      <c r="C1379" s="32"/>
      <c r="D1379" s="33"/>
      <c r="E1379" s="32"/>
      <c r="F1379" s="32"/>
      <c r="G1379" s="74"/>
      <c r="H1379" s="32"/>
      <c r="I1379" s="32"/>
      <c r="J1379" s="32"/>
      <c r="K1379" s="74"/>
      <c r="L1379" s="75"/>
      <c r="M1379" s="32"/>
      <c r="N1379" s="32"/>
      <c r="O1379" s="73"/>
      <c r="P1379" s="73"/>
      <c r="Q1379" s="73"/>
      <c r="R1379" s="73"/>
      <c r="S1379" s="73"/>
      <c r="T1379" s="73"/>
      <c r="U1379" s="73"/>
      <c r="V1379" s="73"/>
      <c r="W1379" s="73"/>
      <c r="X1379" s="73"/>
      <c r="Y1379" s="73"/>
      <c r="Z1379" s="73"/>
    </row>
    <row r="1380" spans="1:26" ht="12.75" customHeight="1">
      <c r="A1380" s="73"/>
      <c r="B1380" s="32"/>
      <c r="C1380" s="32"/>
      <c r="D1380" s="33"/>
      <c r="E1380" s="32"/>
      <c r="F1380" s="32"/>
      <c r="G1380" s="74"/>
      <c r="H1380" s="32"/>
      <c r="I1380" s="32"/>
      <c r="J1380" s="32"/>
      <c r="K1380" s="74"/>
      <c r="L1380" s="75"/>
      <c r="M1380" s="32"/>
      <c r="N1380" s="32"/>
      <c r="O1380" s="73"/>
      <c r="P1380" s="73"/>
      <c r="Q1380" s="73"/>
      <c r="R1380" s="73"/>
      <c r="S1380" s="73"/>
      <c r="T1380" s="73"/>
      <c r="U1380" s="73"/>
      <c r="V1380" s="73"/>
      <c r="W1380" s="73"/>
      <c r="X1380" s="73"/>
      <c r="Y1380" s="73"/>
      <c r="Z1380" s="73"/>
    </row>
    <row r="1381" spans="1:26" ht="12.75" customHeight="1">
      <c r="A1381" s="73"/>
      <c r="B1381" s="32"/>
      <c r="C1381" s="32"/>
      <c r="D1381" s="33"/>
      <c r="E1381" s="32"/>
      <c r="F1381" s="32"/>
      <c r="G1381" s="74"/>
      <c r="H1381" s="32"/>
      <c r="I1381" s="32"/>
      <c r="J1381" s="32"/>
      <c r="K1381" s="74"/>
      <c r="L1381" s="75"/>
      <c r="M1381" s="32"/>
      <c r="N1381" s="32"/>
      <c r="O1381" s="73"/>
      <c r="P1381" s="73"/>
      <c r="Q1381" s="73"/>
      <c r="R1381" s="73"/>
      <c r="S1381" s="73"/>
      <c r="T1381" s="73"/>
      <c r="U1381" s="73"/>
      <c r="V1381" s="73"/>
      <c r="W1381" s="73"/>
      <c r="X1381" s="73"/>
      <c r="Y1381" s="73"/>
      <c r="Z1381" s="73"/>
    </row>
    <row r="1382" spans="1:26" ht="12.75" customHeight="1">
      <c r="A1382" s="73"/>
      <c r="B1382" s="32"/>
      <c r="C1382" s="32"/>
      <c r="D1382" s="33"/>
      <c r="E1382" s="32"/>
      <c r="F1382" s="32"/>
      <c r="G1382" s="74"/>
      <c r="H1382" s="32"/>
      <c r="I1382" s="32"/>
      <c r="J1382" s="32"/>
      <c r="K1382" s="74"/>
      <c r="L1382" s="75"/>
      <c r="M1382" s="32"/>
      <c r="N1382" s="32"/>
      <c r="O1382" s="73"/>
      <c r="P1382" s="73"/>
      <c r="Q1382" s="73"/>
      <c r="R1382" s="73"/>
      <c r="S1382" s="73"/>
      <c r="T1382" s="73"/>
      <c r="U1382" s="73"/>
      <c r="V1382" s="73"/>
      <c r="W1382" s="73"/>
      <c r="X1382" s="73"/>
      <c r="Y1382" s="73"/>
      <c r="Z1382" s="73"/>
    </row>
    <row r="1383" spans="1:26" ht="12.75" customHeight="1">
      <c r="A1383" s="73"/>
      <c r="B1383" s="32"/>
      <c r="C1383" s="32"/>
      <c r="D1383" s="33"/>
      <c r="E1383" s="32"/>
      <c r="F1383" s="32"/>
      <c r="G1383" s="74"/>
      <c r="H1383" s="32"/>
      <c r="I1383" s="32"/>
      <c r="J1383" s="32"/>
      <c r="K1383" s="74"/>
      <c r="L1383" s="75"/>
      <c r="M1383" s="32"/>
      <c r="N1383" s="32"/>
      <c r="O1383" s="73"/>
      <c r="P1383" s="73"/>
      <c r="Q1383" s="73"/>
      <c r="R1383" s="73"/>
      <c r="S1383" s="73"/>
      <c r="T1383" s="73"/>
      <c r="U1383" s="73"/>
      <c r="V1383" s="73"/>
      <c r="W1383" s="73"/>
      <c r="X1383" s="73"/>
      <c r="Y1383" s="73"/>
      <c r="Z1383" s="73"/>
    </row>
    <row r="1384" spans="1:26" ht="12.75" customHeight="1">
      <c r="A1384" s="73"/>
      <c r="B1384" s="32"/>
      <c r="C1384" s="32"/>
      <c r="D1384" s="33"/>
      <c r="E1384" s="32"/>
      <c r="F1384" s="32"/>
      <c r="G1384" s="74"/>
      <c r="H1384" s="32"/>
      <c r="I1384" s="32"/>
      <c r="J1384" s="32"/>
      <c r="K1384" s="74"/>
      <c r="L1384" s="75"/>
      <c r="M1384" s="32"/>
      <c r="N1384" s="32"/>
      <c r="O1384" s="73"/>
      <c r="P1384" s="73"/>
      <c r="Q1384" s="73"/>
      <c r="R1384" s="73"/>
      <c r="S1384" s="73"/>
      <c r="T1384" s="73"/>
      <c r="U1384" s="73"/>
      <c r="V1384" s="73"/>
      <c r="W1384" s="73"/>
      <c r="X1384" s="73"/>
      <c r="Y1384" s="73"/>
      <c r="Z1384" s="73"/>
    </row>
    <row r="1385" spans="1:26" ht="12.75" customHeight="1">
      <c r="A1385" s="73"/>
      <c r="B1385" s="32"/>
      <c r="C1385" s="32"/>
      <c r="D1385" s="33"/>
      <c r="E1385" s="32"/>
      <c r="F1385" s="32"/>
      <c r="G1385" s="74"/>
      <c r="H1385" s="32"/>
      <c r="I1385" s="32"/>
      <c r="J1385" s="32"/>
      <c r="K1385" s="74"/>
      <c r="L1385" s="75"/>
      <c r="M1385" s="32"/>
      <c r="N1385" s="32"/>
      <c r="O1385" s="73"/>
      <c r="P1385" s="73"/>
      <c r="Q1385" s="73"/>
      <c r="R1385" s="73"/>
      <c r="S1385" s="73"/>
      <c r="T1385" s="73"/>
      <c r="U1385" s="73"/>
      <c r="V1385" s="73"/>
      <c r="W1385" s="73"/>
      <c r="X1385" s="73"/>
      <c r="Y1385" s="73"/>
      <c r="Z1385" s="73"/>
    </row>
    <row r="1386" spans="1:26" ht="12.75" customHeight="1">
      <c r="A1386" s="73"/>
      <c r="B1386" s="32"/>
      <c r="C1386" s="32"/>
      <c r="D1386" s="33"/>
      <c r="E1386" s="32"/>
      <c r="F1386" s="32"/>
      <c r="G1386" s="74"/>
      <c r="H1386" s="32"/>
      <c r="I1386" s="32"/>
      <c r="J1386" s="32"/>
      <c r="K1386" s="74"/>
      <c r="L1386" s="75"/>
      <c r="M1386" s="32"/>
      <c r="N1386" s="32"/>
      <c r="O1386" s="73"/>
      <c r="P1386" s="73"/>
      <c r="Q1386" s="73"/>
      <c r="R1386" s="73"/>
      <c r="S1386" s="73"/>
      <c r="T1386" s="73"/>
      <c r="U1386" s="73"/>
      <c r="V1386" s="73"/>
      <c r="W1386" s="73"/>
      <c r="X1386" s="73"/>
      <c r="Y1386" s="73"/>
      <c r="Z1386" s="73"/>
    </row>
    <row r="1387" spans="1:26" ht="12.75" customHeight="1">
      <c r="A1387" s="73"/>
      <c r="B1387" s="32"/>
      <c r="C1387" s="32"/>
      <c r="D1387" s="33"/>
      <c r="E1387" s="32"/>
      <c r="F1387" s="32"/>
      <c r="G1387" s="74"/>
      <c r="H1387" s="32"/>
      <c r="I1387" s="32"/>
      <c r="J1387" s="32"/>
      <c r="K1387" s="74"/>
      <c r="L1387" s="75"/>
      <c r="M1387" s="32"/>
      <c r="N1387" s="32"/>
      <c r="O1387" s="73"/>
      <c r="P1387" s="73"/>
      <c r="Q1387" s="73"/>
      <c r="R1387" s="73"/>
      <c r="S1387" s="73"/>
      <c r="T1387" s="73"/>
      <c r="U1387" s="73"/>
      <c r="V1387" s="73"/>
      <c r="W1387" s="73"/>
      <c r="X1387" s="73"/>
      <c r="Y1387" s="73"/>
      <c r="Z1387" s="73"/>
    </row>
    <row r="1388" spans="1:26" ht="12.75" customHeight="1">
      <c r="A1388" s="73"/>
      <c r="B1388" s="32"/>
      <c r="C1388" s="32"/>
      <c r="D1388" s="33"/>
      <c r="E1388" s="32"/>
      <c r="F1388" s="32"/>
      <c r="G1388" s="74"/>
      <c r="H1388" s="32"/>
      <c r="I1388" s="32"/>
      <c r="J1388" s="32"/>
      <c r="K1388" s="74"/>
      <c r="L1388" s="75"/>
      <c r="M1388" s="32"/>
      <c r="N1388" s="32"/>
      <c r="O1388" s="73"/>
      <c r="P1388" s="73"/>
      <c r="Q1388" s="73"/>
      <c r="R1388" s="73"/>
      <c r="S1388" s="73"/>
      <c r="T1388" s="73"/>
      <c r="U1388" s="73"/>
      <c r="V1388" s="73"/>
      <c r="W1388" s="73"/>
      <c r="X1388" s="73"/>
      <c r="Y1388" s="73"/>
      <c r="Z1388" s="73"/>
    </row>
    <row r="1389" spans="1:26" ht="12.75" customHeight="1">
      <c r="A1389" s="73"/>
      <c r="B1389" s="32"/>
      <c r="C1389" s="32"/>
      <c r="D1389" s="33"/>
      <c r="E1389" s="32"/>
      <c r="F1389" s="32"/>
      <c r="G1389" s="74"/>
      <c r="H1389" s="32"/>
      <c r="I1389" s="32"/>
      <c r="J1389" s="32"/>
      <c r="K1389" s="74"/>
      <c r="L1389" s="75"/>
      <c r="M1389" s="32"/>
      <c r="N1389" s="32"/>
      <c r="O1389" s="73"/>
      <c r="P1389" s="73"/>
      <c r="Q1389" s="73"/>
      <c r="R1389" s="73"/>
      <c r="S1389" s="73"/>
      <c r="T1389" s="73"/>
      <c r="U1389" s="73"/>
      <c r="V1389" s="73"/>
      <c r="W1389" s="73"/>
      <c r="X1389" s="73"/>
      <c r="Y1389" s="73"/>
      <c r="Z1389" s="73"/>
    </row>
    <row r="1390" spans="1:26" ht="12.75" customHeight="1">
      <c r="A1390" s="73"/>
      <c r="B1390" s="32"/>
      <c r="C1390" s="32"/>
      <c r="D1390" s="33"/>
      <c r="E1390" s="32"/>
      <c r="F1390" s="32"/>
      <c r="G1390" s="74"/>
      <c r="H1390" s="32"/>
      <c r="I1390" s="32"/>
      <c r="J1390" s="32"/>
      <c r="K1390" s="74"/>
      <c r="L1390" s="75"/>
      <c r="M1390" s="32"/>
      <c r="N1390" s="32"/>
      <c r="O1390" s="73"/>
      <c r="P1390" s="73"/>
      <c r="Q1390" s="73"/>
      <c r="R1390" s="73"/>
      <c r="S1390" s="73"/>
      <c r="T1390" s="73"/>
      <c r="U1390" s="73"/>
      <c r="V1390" s="73"/>
      <c r="W1390" s="73"/>
      <c r="X1390" s="73"/>
      <c r="Y1390" s="73"/>
      <c r="Z1390" s="73"/>
    </row>
    <row r="1391" spans="1:26" ht="12.75" customHeight="1">
      <c r="A1391" s="73"/>
      <c r="B1391" s="32"/>
      <c r="C1391" s="32"/>
      <c r="D1391" s="33"/>
      <c r="E1391" s="32"/>
      <c r="F1391" s="32"/>
      <c r="G1391" s="74"/>
      <c r="H1391" s="32"/>
      <c r="I1391" s="32"/>
      <c r="J1391" s="32"/>
      <c r="K1391" s="74"/>
      <c r="L1391" s="75"/>
      <c r="M1391" s="32"/>
      <c r="N1391" s="32"/>
      <c r="O1391" s="73"/>
      <c r="P1391" s="73"/>
      <c r="Q1391" s="73"/>
      <c r="R1391" s="73"/>
      <c r="S1391" s="73"/>
      <c r="T1391" s="73"/>
      <c r="U1391" s="73"/>
      <c r="V1391" s="73"/>
      <c r="W1391" s="73"/>
      <c r="X1391" s="73"/>
      <c r="Y1391" s="73"/>
      <c r="Z1391" s="73"/>
    </row>
    <row r="1392" spans="1:26" ht="12.75" customHeight="1">
      <c r="A1392" s="73"/>
      <c r="B1392" s="32"/>
      <c r="C1392" s="32"/>
      <c r="D1392" s="33"/>
      <c r="E1392" s="32"/>
      <c r="F1392" s="32"/>
      <c r="G1392" s="74"/>
      <c r="H1392" s="32"/>
      <c r="I1392" s="32"/>
      <c r="J1392" s="32"/>
      <c r="K1392" s="74"/>
      <c r="L1392" s="75"/>
      <c r="M1392" s="32"/>
      <c r="N1392" s="32"/>
      <c r="O1392" s="73"/>
      <c r="P1392" s="73"/>
      <c r="Q1392" s="73"/>
      <c r="R1392" s="73"/>
      <c r="S1392" s="73"/>
      <c r="T1392" s="73"/>
      <c r="U1392" s="73"/>
      <c r="V1392" s="73"/>
      <c r="W1392" s="73"/>
      <c r="X1392" s="73"/>
      <c r="Y1392" s="73"/>
      <c r="Z1392" s="73"/>
    </row>
    <row r="1393" spans="1:26" ht="12.75" customHeight="1">
      <c r="A1393" s="73"/>
      <c r="B1393" s="32"/>
      <c r="C1393" s="32"/>
      <c r="D1393" s="33"/>
      <c r="E1393" s="32"/>
      <c r="F1393" s="32"/>
      <c r="G1393" s="74"/>
      <c r="H1393" s="32"/>
      <c r="I1393" s="32"/>
      <c r="J1393" s="32"/>
      <c r="K1393" s="74"/>
      <c r="L1393" s="75"/>
      <c r="M1393" s="32"/>
      <c r="N1393" s="32"/>
      <c r="O1393" s="73"/>
      <c r="P1393" s="73"/>
      <c r="Q1393" s="73"/>
      <c r="R1393" s="73"/>
      <c r="S1393" s="73"/>
      <c r="T1393" s="73"/>
      <c r="U1393" s="73"/>
      <c r="V1393" s="73"/>
      <c r="W1393" s="73"/>
      <c r="X1393" s="73"/>
      <c r="Y1393" s="73"/>
      <c r="Z1393" s="73"/>
    </row>
    <row r="1394" spans="1:26" ht="12.75" customHeight="1">
      <c r="A1394" s="73"/>
      <c r="B1394" s="32"/>
      <c r="C1394" s="32"/>
      <c r="D1394" s="33"/>
      <c r="E1394" s="32"/>
      <c r="F1394" s="32"/>
      <c r="G1394" s="74"/>
      <c r="H1394" s="32"/>
      <c r="I1394" s="32"/>
      <c r="J1394" s="32"/>
      <c r="K1394" s="74"/>
      <c r="L1394" s="75"/>
      <c r="M1394" s="32"/>
      <c r="N1394" s="32"/>
      <c r="O1394" s="73"/>
      <c r="P1394" s="73"/>
      <c r="Q1394" s="73"/>
      <c r="R1394" s="73"/>
      <c r="S1394" s="73"/>
      <c r="T1394" s="73"/>
      <c r="U1394" s="73"/>
      <c r="V1394" s="73"/>
      <c r="W1394" s="73"/>
      <c r="X1394" s="73"/>
      <c r="Y1394" s="73"/>
      <c r="Z1394" s="73"/>
    </row>
    <row r="1395" spans="1:26" ht="12.75" customHeight="1">
      <c r="A1395" s="73"/>
      <c r="B1395" s="32"/>
      <c r="C1395" s="32"/>
      <c r="D1395" s="33"/>
      <c r="E1395" s="32"/>
      <c r="F1395" s="32"/>
      <c r="G1395" s="74"/>
      <c r="H1395" s="32"/>
      <c r="I1395" s="32"/>
      <c r="J1395" s="32"/>
      <c r="K1395" s="74"/>
      <c r="L1395" s="75"/>
      <c r="M1395" s="32"/>
      <c r="N1395" s="32"/>
      <c r="O1395" s="73"/>
      <c r="P1395" s="73"/>
      <c r="Q1395" s="73"/>
      <c r="R1395" s="73"/>
      <c r="S1395" s="73"/>
      <c r="T1395" s="73"/>
      <c r="U1395" s="73"/>
      <c r="V1395" s="73"/>
      <c r="W1395" s="73"/>
      <c r="X1395" s="73"/>
      <c r="Y1395" s="73"/>
      <c r="Z1395" s="73"/>
    </row>
    <row r="1396" spans="1:26" ht="12.75" customHeight="1">
      <c r="A1396" s="73"/>
      <c r="B1396" s="32"/>
      <c r="C1396" s="32"/>
      <c r="D1396" s="33"/>
      <c r="E1396" s="32"/>
      <c r="F1396" s="32"/>
      <c r="G1396" s="74"/>
      <c r="H1396" s="32"/>
      <c r="I1396" s="32"/>
      <c r="J1396" s="32"/>
      <c r="K1396" s="74"/>
      <c r="L1396" s="75"/>
      <c r="M1396" s="32"/>
      <c r="N1396" s="32"/>
      <c r="O1396" s="73"/>
      <c r="P1396" s="73"/>
      <c r="Q1396" s="73"/>
      <c r="R1396" s="73"/>
      <c r="S1396" s="73"/>
      <c r="T1396" s="73"/>
      <c r="U1396" s="73"/>
      <c r="V1396" s="73"/>
      <c r="W1396" s="73"/>
      <c r="X1396" s="73"/>
      <c r="Y1396" s="73"/>
      <c r="Z1396" s="73"/>
    </row>
    <row r="1397" spans="1:26" ht="12.75" customHeight="1">
      <c r="A1397" s="73"/>
      <c r="B1397" s="32"/>
      <c r="C1397" s="32"/>
      <c r="D1397" s="33"/>
      <c r="E1397" s="32"/>
      <c r="F1397" s="32"/>
      <c r="G1397" s="74"/>
      <c r="H1397" s="32"/>
      <c r="I1397" s="32"/>
      <c r="J1397" s="32"/>
      <c r="K1397" s="74"/>
      <c r="L1397" s="75"/>
      <c r="M1397" s="32"/>
      <c r="N1397" s="32"/>
      <c r="O1397" s="73"/>
      <c r="P1397" s="73"/>
      <c r="Q1397" s="73"/>
      <c r="R1397" s="73"/>
      <c r="S1397" s="73"/>
      <c r="T1397" s="73"/>
      <c r="U1397" s="73"/>
      <c r="V1397" s="73"/>
      <c r="W1397" s="73"/>
      <c r="X1397" s="73"/>
      <c r="Y1397" s="73"/>
      <c r="Z1397" s="73"/>
    </row>
    <row r="1398" spans="1:26" ht="12.75" customHeight="1">
      <c r="A1398" s="73"/>
      <c r="B1398" s="32"/>
      <c r="C1398" s="32"/>
      <c r="D1398" s="33"/>
      <c r="E1398" s="32"/>
      <c r="F1398" s="32"/>
      <c r="G1398" s="74"/>
      <c r="H1398" s="32"/>
      <c r="I1398" s="32"/>
      <c r="J1398" s="32"/>
      <c r="K1398" s="74"/>
      <c r="L1398" s="75"/>
      <c r="M1398" s="32"/>
      <c r="N1398" s="32"/>
      <c r="O1398" s="73"/>
      <c r="P1398" s="73"/>
      <c r="Q1398" s="73"/>
      <c r="R1398" s="73"/>
      <c r="S1398" s="73"/>
      <c r="T1398" s="73"/>
      <c r="U1398" s="73"/>
      <c r="V1398" s="73"/>
      <c r="W1398" s="73"/>
      <c r="X1398" s="73"/>
      <c r="Y1398" s="73"/>
      <c r="Z1398" s="73"/>
    </row>
    <row r="1399" spans="1:26" ht="12.75" customHeight="1">
      <c r="A1399" s="73"/>
      <c r="B1399" s="32"/>
      <c r="C1399" s="32"/>
      <c r="D1399" s="33"/>
      <c r="E1399" s="32"/>
      <c r="F1399" s="32"/>
      <c r="G1399" s="74"/>
      <c r="H1399" s="32"/>
      <c r="I1399" s="32"/>
      <c r="J1399" s="32"/>
      <c r="K1399" s="74"/>
      <c r="L1399" s="75"/>
      <c r="M1399" s="32"/>
      <c r="N1399" s="32"/>
      <c r="O1399" s="73"/>
      <c r="P1399" s="73"/>
      <c r="Q1399" s="73"/>
      <c r="R1399" s="73"/>
      <c r="S1399" s="73"/>
      <c r="T1399" s="73"/>
      <c r="U1399" s="73"/>
      <c r="V1399" s="73"/>
      <c r="W1399" s="73"/>
      <c r="X1399" s="73"/>
      <c r="Y1399" s="73"/>
      <c r="Z1399" s="73"/>
    </row>
    <row r="1400" spans="1:26" ht="12.75" customHeight="1">
      <c r="A1400" s="73"/>
      <c r="B1400" s="32"/>
      <c r="C1400" s="32"/>
      <c r="D1400" s="33"/>
      <c r="E1400" s="32"/>
      <c r="F1400" s="32"/>
      <c r="G1400" s="74"/>
      <c r="H1400" s="32"/>
      <c r="I1400" s="32"/>
      <c r="J1400" s="32"/>
      <c r="K1400" s="74"/>
      <c r="L1400" s="75"/>
      <c r="M1400" s="32"/>
      <c r="N1400" s="32"/>
      <c r="O1400" s="73"/>
      <c r="P1400" s="73"/>
      <c r="Q1400" s="73"/>
      <c r="R1400" s="73"/>
      <c r="S1400" s="73"/>
      <c r="T1400" s="73"/>
      <c r="U1400" s="73"/>
      <c r="V1400" s="73"/>
      <c r="W1400" s="73"/>
      <c r="X1400" s="73"/>
      <c r="Y1400" s="73"/>
      <c r="Z1400" s="73"/>
    </row>
    <row r="1401" spans="1:26" ht="12.75" customHeight="1">
      <c r="A1401" s="73"/>
      <c r="B1401" s="32"/>
      <c r="C1401" s="32"/>
      <c r="D1401" s="33"/>
      <c r="E1401" s="32"/>
      <c r="F1401" s="32"/>
      <c r="G1401" s="74"/>
      <c r="H1401" s="32"/>
      <c r="I1401" s="32"/>
      <c r="J1401" s="32"/>
      <c r="K1401" s="74"/>
      <c r="L1401" s="75"/>
      <c r="M1401" s="32"/>
      <c r="N1401" s="32"/>
      <c r="O1401" s="73"/>
      <c r="P1401" s="73"/>
      <c r="Q1401" s="73"/>
      <c r="R1401" s="73"/>
      <c r="S1401" s="73"/>
      <c r="T1401" s="73"/>
      <c r="U1401" s="73"/>
      <c r="V1401" s="73"/>
      <c r="W1401" s="73"/>
      <c r="X1401" s="73"/>
      <c r="Y1401" s="73"/>
      <c r="Z1401" s="73"/>
    </row>
    <row r="1402" spans="1:26" ht="12.75" customHeight="1">
      <c r="A1402" s="73"/>
      <c r="B1402" s="32"/>
      <c r="C1402" s="32"/>
      <c r="D1402" s="33"/>
      <c r="E1402" s="32"/>
      <c r="F1402" s="32"/>
      <c r="G1402" s="74"/>
      <c r="H1402" s="32"/>
      <c r="I1402" s="32"/>
      <c r="J1402" s="32"/>
      <c r="K1402" s="74"/>
      <c r="L1402" s="75"/>
      <c r="M1402" s="32"/>
      <c r="N1402" s="32"/>
      <c r="O1402" s="73"/>
      <c r="P1402" s="73"/>
      <c r="Q1402" s="73"/>
      <c r="R1402" s="73"/>
      <c r="S1402" s="73"/>
      <c r="T1402" s="73"/>
      <c r="U1402" s="73"/>
      <c r="V1402" s="73"/>
      <c r="W1402" s="73"/>
      <c r="X1402" s="73"/>
      <c r="Y1402" s="73"/>
      <c r="Z1402" s="73"/>
    </row>
    <row r="1403" spans="1:26" ht="12.75" customHeight="1">
      <c r="A1403" s="73"/>
      <c r="B1403" s="32"/>
      <c r="C1403" s="32"/>
      <c r="D1403" s="33"/>
      <c r="E1403" s="32"/>
      <c r="F1403" s="32"/>
      <c r="G1403" s="74"/>
      <c r="H1403" s="32"/>
      <c r="I1403" s="32"/>
      <c r="J1403" s="32"/>
      <c r="K1403" s="74"/>
      <c r="L1403" s="75"/>
      <c r="M1403" s="32"/>
      <c r="N1403" s="32"/>
      <c r="O1403" s="73"/>
      <c r="P1403" s="73"/>
      <c r="Q1403" s="73"/>
      <c r="R1403" s="73"/>
      <c r="S1403" s="73"/>
      <c r="T1403" s="73"/>
      <c r="U1403" s="73"/>
      <c r="V1403" s="73"/>
      <c r="W1403" s="73"/>
      <c r="X1403" s="73"/>
      <c r="Y1403" s="73"/>
      <c r="Z1403" s="73"/>
    </row>
    <row r="1404" spans="1:26" ht="12.75" customHeight="1">
      <c r="A1404" s="73"/>
      <c r="B1404" s="32"/>
      <c r="C1404" s="32"/>
      <c r="D1404" s="33"/>
      <c r="E1404" s="32"/>
      <c r="F1404" s="32"/>
      <c r="G1404" s="74"/>
      <c r="H1404" s="32"/>
      <c r="I1404" s="32"/>
      <c r="J1404" s="32"/>
      <c r="K1404" s="74"/>
      <c r="L1404" s="75"/>
      <c r="M1404" s="32"/>
      <c r="N1404" s="32"/>
      <c r="O1404" s="73"/>
      <c r="P1404" s="73"/>
      <c r="Q1404" s="73"/>
      <c r="R1404" s="73"/>
      <c r="S1404" s="73"/>
      <c r="T1404" s="73"/>
      <c r="U1404" s="73"/>
      <c r="V1404" s="73"/>
      <c r="W1404" s="73"/>
      <c r="X1404" s="73"/>
      <c r="Y1404" s="73"/>
      <c r="Z1404" s="73"/>
    </row>
    <row r="1405" spans="1:26" ht="12.75" customHeight="1">
      <c r="A1405" s="73"/>
      <c r="B1405" s="32"/>
      <c r="C1405" s="32"/>
      <c r="D1405" s="33"/>
      <c r="E1405" s="32"/>
      <c r="F1405" s="32"/>
      <c r="G1405" s="74"/>
      <c r="H1405" s="32"/>
      <c r="I1405" s="32"/>
      <c r="J1405" s="32"/>
      <c r="K1405" s="74"/>
      <c r="L1405" s="75"/>
      <c r="M1405" s="32"/>
      <c r="N1405" s="32"/>
      <c r="O1405" s="73"/>
      <c r="P1405" s="73"/>
      <c r="Q1405" s="73"/>
      <c r="R1405" s="73"/>
      <c r="S1405" s="73"/>
      <c r="T1405" s="73"/>
      <c r="U1405" s="73"/>
      <c r="V1405" s="73"/>
      <c r="W1405" s="73"/>
      <c r="X1405" s="73"/>
      <c r="Y1405" s="73"/>
      <c r="Z1405" s="73"/>
    </row>
    <row r="1406" spans="1:26" ht="12.75" customHeight="1">
      <c r="A1406" s="73"/>
      <c r="B1406" s="32"/>
      <c r="C1406" s="32"/>
      <c r="D1406" s="33"/>
      <c r="E1406" s="32"/>
      <c r="F1406" s="32"/>
      <c r="G1406" s="74"/>
      <c r="H1406" s="32"/>
      <c r="I1406" s="32"/>
      <c r="J1406" s="32"/>
      <c r="K1406" s="74"/>
      <c r="L1406" s="75"/>
      <c r="M1406" s="32"/>
      <c r="N1406" s="32"/>
      <c r="O1406" s="73"/>
      <c r="P1406" s="73"/>
      <c r="Q1406" s="73"/>
      <c r="R1406" s="73"/>
      <c r="S1406" s="73"/>
      <c r="T1406" s="73"/>
      <c r="U1406" s="73"/>
      <c r="V1406" s="73"/>
      <c r="W1406" s="73"/>
      <c r="X1406" s="73"/>
      <c r="Y1406" s="73"/>
      <c r="Z1406" s="73"/>
    </row>
    <row r="1407" spans="1:26" ht="12.75" customHeight="1">
      <c r="A1407" s="73"/>
      <c r="B1407" s="32"/>
      <c r="C1407" s="32"/>
      <c r="D1407" s="33"/>
      <c r="E1407" s="32"/>
      <c r="F1407" s="32"/>
      <c r="G1407" s="74"/>
      <c r="H1407" s="32"/>
      <c r="I1407" s="32"/>
      <c r="J1407" s="32"/>
      <c r="K1407" s="74"/>
      <c r="L1407" s="75"/>
      <c r="M1407" s="32"/>
      <c r="N1407" s="32"/>
      <c r="O1407" s="73"/>
      <c r="P1407" s="73"/>
      <c r="Q1407" s="73"/>
      <c r="R1407" s="73"/>
      <c r="S1407" s="73"/>
      <c r="T1407" s="73"/>
      <c r="U1407" s="73"/>
      <c r="V1407" s="73"/>
      <c r="W1407" s="73"/>
      <c r="X1407" s="73"/>
      <c r="Y1407" s="73"/>
      <c r="Z1407" s="73"/>
    </row>
    <row r="1408" spans="1:26" ht="12.75" customHeight="1">
      <c r="A1408" s="73"/>
      <c r="B1408" s="32"/>
      <c r="C1408" s="32"/>
      <c r="D1408" s="33"/>
      <c r="E1408" s="32"/>
      <c r="F1408" s="32"/>
      <c r="G1408" s="74"/>
      <c r="H1408" s="32"/>
      <c r="I1408" s="32"/>
      <c r="J1408" s="32"/>
      <c r="K1408" s="74"/>
      <c r="L1408" s="75"/>
      <c r="M1408" s="32"/>
      <c r="N1408" s="32"/>
      <c r="O1408" s="73"/>
      <c r="P1408" s="73"/>
      <c r="Q1408" s="73"/>
      <c r="R1408" s="73"/>
      <c r="S1408" s="73"/>
      <c r="T1408" s="73"/>
      <c r="U1408" s="73"/>
      <c r="V1408" s="73"/>
      <c r="W1408" s="73"/>
      <c r="X1408" s="73"/>
      <c r="Y1408" s="73"/>
      <c r="Z1408" s="73"/>
    </row>
    <row r="1409" spans="1:26" ht="12.75" customHeight="1">
      <c r="A1409" s="73"/>
      <c r="B1409" s="32"/>
      <c r="C1409" s="32"/>
      <c r="D1409" s="33"/>
      <c r="E1409" s="32"/>
      <c r="F1409" s="32"/>
      <c r="G1409" s="74"/>
      <c r="H1409" s="32"/>
      <c r="I1409" s="32"/>
      <c r="J1409" s="32"/>
      <c r="K1409" s="74"/>
      <c r="L1409" s="75"/>
      <c r="M1409" s="32"/>
      <c r="N1409" s="32"/>
      <c r="O1409" s="73"/>
      <c r="P1409" s="73"/>
      <c r="Q1409" s="73"/>
      <c r="R1409" s="73"/>
      <c r="S1409" s="73"/>
      <c r="T1409" s="73"/>
      <c r="U1409" s="73"/>
      <c r="V1409" s="73"/>
      <c r="W1409" s="73"/>
      <c r="X1409" s="73"/>
      <c r="Y1409" s="73"/>
      <c r="Z1409" s="73"/>
    </row>
    <row r="1410" spans="1:26" ht="12.75" customHeight="1">
      <c r="A1410" s="73"/>
      <c r="B1410" s="32"/>
      <c r="C1410" s="32"/>
      <c r="D1410" s="33"/>
      <c r="E1410" s="32"/>
      <c r="F1410" s="32"/>
      <c r="G1410" s="74"/>
      <c r="H1410" s="32"/>
      <c r="I1410" s="32"/>
      <c r="J1410" s="32"/>
      <c r="K1410" s="74"/>
      <c r="L1410" s="75"/>
      <c r="M1410" s="32"/>
      <c r="N1410" s="32"/>
      <c r="O1410" s="73"/>
      <c r="P1410" s="73"/>
      <c r="Q1410" s="73"/>
      <c r="R1410" s="73"/>
      <c r="S1410" s="73"/>
      <c r="T1410" s="73"/>
      <c r="U1410" s="73"/>
      <c r="V1410" s="73"/>
      <c r="W1410" s="73"/>
      <c r="X1410" s="73"/>
      <c r="Y1410" s="73"/>
      <c r="Z1410" s="73"/>
    </row>
    <row r="1411" spans="1:26" ht="12.75" customHeight="1">
      <c r="A1411" s="73"/>
      <c r="B1411" s="32"/>
      <c r="C1411" s="32"/>
      <c r="D1411" s="33"/>
      <c r="E1411" s="32"/>
      <c r="F1411" s="32"/>
      <c r="G1411" s="74"/>
      <c r="H1411" s="32"/>
      <c r="I1411" s="32"/>
      <c r="J1411" s="32"/>
      <c r="K1411" s="74"/>
      <c r="L1411" s="75"/>
      <c r="M1411" s="32"/>
      <c r="N1411" s="32"/>
      <c r="O1411" s="73"/>
      <c r="P1411" s="73"/>
      <c r="Q1411" s="73"/>
      <c r="R1411" s="73"/>
      <c r="S1411" s="73"/>
      <c r="T1411" s="73"/>
      <c r="U1411" s="73"/>
      <c r="V1411" s="73"/>
      <c r="W1411" s="73"/>
      <c r="X1411" s="73"/>
      <c r="Y1411" s="73"/>
      <c r="Z1411" s="73"/>
    </row>
    <row r="1412" spans="1:26" ht="12.75" customHeight="1">
      <c r="A1412" s="73"/>
      <c r="B1412" s="32"/>
      <c r="C1412" s="32"/>
      <c r="D1412" s="33"/>
      <c r="E1412" s="32"/>
      <c r="F1412" s="32"/>
      <c r="G1412" s="74"/>
      <c r="H1412" s="32"/>
      <c r="I1412" s="32"/>
      <c r="J1412" s="32"/>
      <c r="K1412" s="74"/>
      <c r="L1412" s="75"/>
      <c r="M1412" s="32"/>
      <c r="N1412" s="32"/>
      <c r="O1412" s="73"/>
      <c r="P1412" s="73"/>
      <c r="Q1412" s="73"/>
      <c r="R1412" s="73"/>
      <c r="S1412" s="73"/>
      <c r="T1412" s="73"/>
      <c r="U1412" s="73"/>
      <c r="V1412" s="73"/>
      <c r="W1412" s="73"/>
      <c r="X1412" s="73"/>
      <c r="Y1412" s="73"/>
      <c r="Z1412" s="73"/>
    </row>
    <row r="1413" spans="1:26" ht="12.75" customHeight="1">
      <c r="A1413" s="73"/>
      <c r="B1413" s="32"/>
      <c r="C1413" s="32"/>
      <c r="D1413" s="33"/>
      <c r="E1413" s="32"/>
      <c r="F1413" s="32"/>
      <c r="G1413" s="74"/>
      <c r="H1413" s="32"/>
      <c r="I1413" s="32"/>
      <c r="J1413" s="32"/>
      <c r="K1413" s="74"/>
      <c r="L1413" s="75"/>
      <c r="M1413" s="32"/>
      <c r="N1413" s="32"/>
      <c r="O1413" s="73"/>
      <c r="P1413" s="73"/>
      <c r="Q1413" s="73"/>
      <c r="R1413" s="73"/>
      <c r="S1413" s="73"/>
      <c r="T1413" s="73"/>
      <c r="U1413" s="73"/>
      <c r="V1413" s="73"/>
      <c r="W1413" s="73"/>
      <c r="X1413" s="73"/>
      <c r="Y1413" s="73"/>
      <c r="Z1413" s="73"/>
    </row>
    <row r="1414" spans="1:26" ht="12.75" customHeight="1">
      <c r="A1414" s="73"/>
      <c r="B1414" s="32"/>
      <c r="C1414" s="32"/>
      <c r="D1414" s="33"/>
      <c r="E1414" s="32"/>
      <c r="F1414" s="32"/>
      <c r="G1414" s="74"/>
      <c r="H1414" s="32"/>
      <c r="I1414" s="32"/>
      <c r="J1414" s="32"/>
      <c r="K1414" s="74"/>
      <c r="L1414" s="75"/>
      <c r="M1414" s="32"/>
      <c r="N1414" s="32"/>
      <c r="O1414" s="73"/>
      <c r="P1414" s="73"/>
      <c r="Q1414" s="73"/>
      <c r="R1414" s="73"/>
      <c r="S1414" s="73"/>
      <c r="T1414" s="73"/>
      <c r="U1414" s="73"/>
      <c r="V1414" s="73"/>
      <c r="W1414" s="73"/>
      <c r="X1414" s="73"/>
      <c r="Y1414" s="73"/>
      <c r="Z1414" s="73"/>
    </row>
    <row r="1415" spans="1:26" ht="12.75" customHeight="1">
      <c r="A1415" s="73"/>
      <c r="B1415" s="32"/>
      <c r="C1415" s="32"/>
      <c r="D1415" s="33"/>
      <c r="E1415" s="32"/>
      <c r="F1415" s="32"/>
      <c r="G1415" s="74"/>
      <c r="H1415" s="32"/>
      <c r="I1415" s="32"/>
      <c r="J1415" s="32"/>
      <c r="K1415" s="74"/>
      <c r="L1415" s="75"/>
      <c r="M1415" s="32"/>
      <c r="N1415" s="32"/>
      <c r="O1415" s="73"/>
      <c r="P1415" s="73"/>
      <c r="Q1415" s="73"/>
      <c r="R1415" s="73"/>
      <c r="S1415" s="73"/>
      <c r="T1415" s="73"/>
      <c r="U1415" s="73"/>
      <c r="V1415" s="73"/>
      <c r="W1415" s="73"/>
      <c r="X1415" s="73"/>
      <c r="Y1415" s="73"/>
      <c r="Z1415" s="73"/>
    </row>
    <row r="1416" spans="1:26" ht="12.75" customHeight="1">
      <c r="A1416" s="73"/>
      <c r="B1416" s="32"/>
      <c r="C1416" s="32"/>
      <c r="D1416" s="33"/>
      <c r="E1416" s="32"/>
      <c r="F1416" s="32"/>
      <c r="G1416" s="74"/>
      <c r="H1416" s="32"/>
      <c r="I1416" s="32"/>
      <c r="J1416" s="32"/>
      <c r="K1416" s="74"/>
      <c r="L1416" s="75"/>
      <c r="M1416" s="32"/>
      <c r="N1416" s="32"/>
      <c r="O1416" s="73"/>
      <c r="P1416" s="73"/>
      <c r="Q1416" s="73"/>
      <c r="R1416" s="73"/>
      <c r="S1416" s="73"/>
      <c r="T1416" s="73"/>
      <c r="U1416" s="73"/>
      <c r="V1416" s="73"/>
      <c r="W1416" s="73"/>
      <c r="X1416" s="73"/>
      <c r="Y1416" s="73"/>
      <c r="Z1416" s="73"/>
    </row>
    <row r="1417" spans="1:26" ht="12.75" customHeight="1">
      <c r="A1417" s="73"/>
      <c r="B1417" s="32"/>
      <c r="C1417" s="32"/>
      <c r="D1417" s="33"/>
      <c r="E1417" s="32"/>
      <c r="F1417" s="32"/>
      <c r="G1417" s="74"/>
      <c r="H1417" s="32"/>
      <c r="I1417" s="32"/>
      <c r="J1417" s="32"/>
      <c r="K1417" s="74"/>
      <c r="L1417" s="75"/>
      <c r="M1417" s="32"/>
      <c r="N1417" s="32"/>
      <c r="O1417" s="73"/>
      <c r="P1417" s="73"/>
      <c r="Q1417" s="73"/>
      <c r="R1417" s="73"/>
      <c r="S1417" s="73"/>
      <c r="T1417" s="73"/>
      <c r="U1417" s="73"/>
      <c r="V1417" s="73"/>
      <c r="W1417" s="73"/>
      <c r="X1417" s="73"/>
      <c r="Y1417" s="73"/>
      <c r="Z1417" s="73"/>
    </row>
    <row r="1418" spans="1:26" ht="12.75" customHeight="1">
      <c r="A1418" s="73"/>
      <c r="B1418" s="32"/>
      <c r="C1418" s="32"/>
      <c r="D1418" s="33"/>
      <c r="E1418" s="32"/>
      <c r="F1418" s="32"/>
      <c r="G1418" s="74"/>
      <c r="H1418" s="32"/>
      <c r="I1418" s="32"/>
      <c r="J1418" s="32"/>
      <c r="K1418" s="74"/>
      <c r="L1418" s="75"/>
      <c r="M1418" s="32"/>
      <c r="N1418" s="32"/>
      <c r="O1418" s="73"/>
      <c r="P1418" s="73"/>
      <c r="Q1418" s="73"/>
      <c r="R1418" s="73"/>
      <c r="S1418" s="73"/>
      <c r="T1418" s="73"/>
      <c r="U1418" s="73"/>
      <c r="V1418" s="73"/>
      <c r="W1418" s="73"/>
      <c r="X1418" s="73"/>
      <c r="Y1418" s="73"/>
      <c r="Z1418" s="73"/>
    </row>
    <row r="1419" spans="1:26" ht="12.75" customHeight="1">
      <c r="A1419" s="73"/>
      <c r="B1419" s="32"/>
      <c r="C1419" s="32"/>
      <c r="D1419" s="33"/>
      <c r="E1419" s="32"/>
      <c r="F1419" s="32"/>
      <c r="G1419" s="74"/>
      <c r="H1419" s="32"/>
      <c r="I1419" s="32"/>
      <c r="J1419" s="32"/>
      <c r="K1419" s="74"/>
      <c r="L1419" s="75"/>
      <c r="M1419" s="32"/>
      <c r="N1419" s="32"/>
      <c r="O1419" s="73"/>
      <c r="P1419" s="73"/>
      <c r="Q1419" s="73"/>
      <c r="R1419" s="73"/>
      <c r="S1419" s="73"/>
      <c r="T1419" s="73"/>
      <c r="U1419" s="73"/>
      <c r="V1419" s="73"/>
      <c r="W1419" s="73"/>
      <c r="X1419" s="73"/>
      <c r="Y1419" s="73"/>
      <c r="Z1419" s="73"/>
    </row>
    <row r="1420" spans="1:26" ht="12.75" customHeight="1">
      <c r="A1420" s="73"/>
      <c r="B1420" s="32"/>
      <c r="C1420" s="32"/>
      <c r="D1420" s="33"/>
      <c r="E1420" s="32"/>
      <c r="F1420" s="32"/>
      <c r="G1420" s="74"/>
      <c r="H1420" s="32"/>
      <c r="I1420" s="32"/>
      <c r="J1420" s="32"/>
      <c r="K1420" s="74"/>
      <c r="L1420" s="75"/>
      <c r="M1420" s="32"/>
      <c r="N1420" s="32"/>
      <c r="O1420" s="73"/>
      <c r="P1420" s="73"/>
      <c r="Q1420" s="73"/>
      <c r="R1420" s="73"/>
      <c r="S1420" s="73"/>
      <c r="T1420" s="73"/>
      <c r="U1420" s="73"/>
      <c r="V1420" s="73"/>
      <c r="W1420" s="73"/>
      <c r="X1420" s="73"/>
      <c r="Y1420" s="73"/>
      <c r="Z1420" s="73"/>
    </row>
    <row r="1421" spans="1:26" ht="12.75" customHeight="1">
      <c r="A1421" s="73"/>
      <c r="B1421" s="32"/>
      <c r="C1421" s="32"/>
      <c r="D1421" s="33"/>
      <c r="E1421" s="32"/>
      <c r="F1421" s="32"/>
      <c r="G1421" s="74"/>
      <c r="H1421" s="32"/>
      <c r="I1421" s="32"/>
      <c r="J1421" s="32"/>
      <c r="K1421" s="74"/>
      <c r="L1421" s="75"/>
      <c r="M1421" s="32"/>
      <c r="N1421" s="32"/>
      <c r="O1421" s="73"/>
      <c r="P1421" s="73"/>
      <c r="Q1421" s="73"/>
      <c r="R1421" s="73"/>
      <c r="S1421" s="73"/>
      <c r="T1421" s="73"/>
      <c r="U1421" s="73"/>
      <c r="V1421" s="73"/>
      <c r="W1421" s="73"/>
      <c r="X1421" s="73"/>
      <c r="Y1421" s="73"/>
      <c r="Z1421" s="73"/>
    </row>
    <row r="1422" spans="1:26" ht="12.75" customHeight="1">
      <c r="A1422" s="73"/>
      <c r="B1422" s="32"/>
      <c r="C1422" s="32"/>
      <c r="D1422" s="33"/>
      <c r="E1422" s="32"/>
      <c r="F1422" s="32"/>
      <c r="G1422" s="74"/>
      <c r="H1422" s="32"/>
      <c r="I1422" s="32"/>
      <c r="J1422" s="32"/>
      <c r="K1422" s="74"/>
      <c r="L1422" s="75"/>
      <c r="M1422" s="32"/>
      <c r="N1422" s="32"/>
      <c r="O1422" s="73"/>
      <c r="P1422" s="73"/>
      <c r="Q1422" s="73"/>
      <c r="R1422" s="73"/>
      <c r="S1422" s="73"/>
      <c r="T1422" s="73"/>
      <c r="U1422" s="73"/>
      <c r="V1422" s="73"/>
      <c r="W1422" s="73"/>
      <c r="X1422" s="73"/>
      <c r="Y1422" s="73"/>
      <c r="Z1422" s="73"/>
    </row>
    <row r="1423" spans="1:26" ht="12.75" customHeight="1">
      <c r="A1423" s="73"/>
      <c r="B1423" s="32"/>
      <c r="C1423" s="32"/>
      <c r="D1423" s="33"/>
      <c r="E1423" s="32"/>
      <c r="F1423" s="32"/>
      <c r="G1423" s="74"/>
      <c r="H1423" s="32"/>
      <c r="I1423" s="32"/>
      <c r="J1423" s="32"/>
      <c r="K1423" s="74"/>
      <c r="L1423" s="75"/>
      <c r="M1423" s="32"/>
      <c r="N1423" s="32"/>
      <c r="O1423" s="73"/>
      <c r="P1423" s="73"/>
      <c r="Q1423" s="73"/>
      <c r="R1423" s="73"/>
      <c r="S1423" s="73"/>
      <c r="T1423" s="73"/>
      <c r="U1423" s="73"/>
      <c r="V1423" s="73"/>
      <c r="W1423" s="73"/>
      <c r="X1423" s="73"/>
      <c r="Y1423" s="73"/>
      <c r="Z1423" s="73"/>
    </row>
    <row r="1424" spans="1:26" ht="12.75" customHeight="1">
      <c r="A1424" s="73"/>
      <c r="B1424" s="32"/>
      <c r="C1424" s="32"/>
      <c r="D1424" s="33"/>
      <c r="E1424" s="32"/>
      <c r="F1424" s="32"/>
      <c r="G1424" s="74"/>
      <c r="H1424" s="32"/>
      <c r="I1424" s="32"/>
      <c r="J1424" s="32"/>
      <c r="K1424" s="74"/>
      <c r="L1424" s="75"/>
      <c r="M1424" s="32"/>
      <c r="N1424" s="32"/>
      <c r="O1424" s="73"/>
      <c r="P1424" s="73"/>
      <c r="Q1424" s="73"/>
      <c r="R1424" s="73"/>
      <c r="S1424" s="73"/>
      <c r="T1424" s="73"/>
      <c r="U1424" s="73"/>
      <c r="V1424" s="73"/>
      <c r="W1424" s="73"/>
      <c r="X1424" s="73"/>
      <c r="Y1424" s="73"/>
      <c r="Z1424" s="73"/>
    </row>
    <row r="1425" spans="1:26" ht="12.75" customHeight="1">
      <c r="A1425" s="73"/>
      <c r="B1425" s="32"/>
      <c r="C1425" s="32"/>
      <c r="D1425" s="33"/>
      <c r="E1425" s="32"/>
      <c r="F1425" s="32"/>
      <c r="G1425" s="74"/>
      <c r="H1425" s="32"/>
      <c r="I1425" s="32"/>
      <c r="J1425" s="32"/>
      <c r="K1425" s="74"/>
      <c r="L1425" s="75"/>
      <c r="M1425" s="32"/>
      <c r="N1425" s="32"/>
      <c r="O1425" s="73"/>
      <c r="P1425" s="73"/>
      <c r="Q1425" s="73"/>
      <c r="R1425" s="73"/>
      <c r="S1425" s="73"/>
      <c r="T1425" s="73"/>
      <c r="U1425" s="73"/>
      <c r="V1425" s="73"/>
      <c r="W1425" s="73"/>
      <c r="X1425" s="73"/>
      <c r="Y1425" s="73"/>
      <c r="Z1425" s="73"/>
    </row>
    <row r="1426" spans="1:26" ht="12.75" customHeight="1">
      <c r="A1426" s="73"/>
      <c r="B1426" s="32"/>
      <c r="C1426" s="32"/>
      <c r="D1426" s="33"/>
      <c r="E1426" s="32"/>
      <c r="F1426" s="32"/>
      <c r="G1426" s="74"/>
      <c r="H1426" s="32"/>
      <c r="I1426" s="32"/>
      <c r="J1426" s="32"/>
      <c r="K1426" s="74"/>
      <c r="L1426" s="75"/>
      <c r="M1426" s="32"/>
      <c r="N1426" s="32"/>
      <c r="O1426" s="73"/>
      <c r="P1426" s="73"/>
      <c r="Q1426" s="73"/>
      <c r="R1426" s="73"/>
      <c r="S1426" s="73"/>
      <c r="T1426" s="73"/>
      <c r="U1426" s="73"/>
      <c r="V1426" s="73"/>
      <c r="W1426" s="73"/>
      <c r="X1426" s="73"/>
      <c r="Y1426" s="73"/>
      <c r="Z1426" s="73"/>
    </row>
    <row r="1427" spans="1:26" ht="12.75" customHeight="1">
      <c r="A1427" s="73"/>
      <c r="B1427" s="32"/>
      <c r="C1427" s="32"/>
      <c r="D1427" s="33"/>
      <c r="E1427" s="32"/>
      <c r="F1427" s="32"/>
      <c r="G1427" s="74"/>
      <c r="H1427" s="32"/>
      <c r="I1427" s="32"/>
      <c r="J1427" s="32"/>
      <c r="K1427" s="74"/>
      <c r="L1427" s="75"/>
      <c r="M1427" s="32"/>
      <c r="N1427" s="32"/>
      <c r="O1427" s="73"/>
      <c r="P1427" s="73"/>
      <c r="Q1427" s="73"/>
      <c r="R1427" s="73"/>
      <c r="S1427" s="73"/>
      <c r="T1427" s="73"/>
      <c r="U1427" s="73"/>
      <c r="V1427" s="73"/>
      <c r="W1427" s="73"/>
      <c r="X1427" s="73"/>
      <c r="Y1427" s="73"/>
      <c r="Z1427" s="73"/>
    </row>
    <row r="1428" spans="1:26" ht="12.75" customHeight="1">
      <c r="A1428" s="73"/>
      <c r="B1428" s="32"/>
      <c r="C1428" s="32"/>
      <c r="D1428" s="33"/>
      <c r="E1428" s="32"/>
      <c r="F1428" s="32"/>
      <c r="G1428" s="74"/>
      <c r="H1428" s="32"/>
      <c r="I1428" s="32"/>
      <c r="J1428" s="32"/>
      <c r="K1428" s="74"/>
      <c r="L1428" s="75"/>
      <c r="M1428" s="32"/>
      <c r="N1428" s="32"/>
      <c r="O1428" s="73"/>
      <c r="P1428" s="73"/>
      <c r="Q1428" s="73"/>
      <c r="R1428" s="73"/>
      <c r="S1428" s="73"/>
      <c r="T1428" s="73"/>
      <c r="U1428" s="73"/>
      <c r="V1428" s="73"/>
      <c r="W1428" s="73"/>
      <c r="X1428" s="73"/>
      <c r="Y1428" s="73"/>
      <c r="Z1428" s="73"/>
    </row>
    <row r="1429" spans="1:26" ht="12.75" customHeight="1">
      <c r="A1429" s="73"/>
      <c r="B1429" s="32"/>
      <c r="C1429" s="32"/>
      <c r="D1429" s="33"/>
      <c r="E1429" s="32"/>
      <c r="F1429" s="32"/>
      <c r="G1429" s="74"/>
      <c r="H1429" s="32"/>
      <c r="I1429" s="32"/>
      <c r="J1429" s="32"/>
      <c r="K1429" s="74"/>
      <c r="L1429" s="75"/>
      <c r="M1429" s="32"/>
      <c r="N1429" s="32"/>
      <c r="O1429" s="73"/>
      <c r="P1429" s="73"/>
      <c r="Q1429" s="73"/>
      <c r="R1429" s="73"/>
      <c r="S1429" s="73"/>
      <c r="T1429" s="73"/>
      <c r="U1429" s="73"/>
      <c r="V1429" s="73"/>
      <c r="W1429" s="73"/>
      <c r="X1429" s="73"/>
      <c r="Y1429" s="73"/>
      <c r="Z1429" s="73"/>
    </row>
    <row r="1430" spans="1:26" ht="12.75" customHeight="1">
      <c r="A1430" s="73"/>
      <c r="B1430" s="32"/>
      <c r="C1430" s="32"/>
      <c r="D1430" s="33"/>
      <c r="E1430" s="32"/>
      <c r="F1430" s="32"/>
      <c r="G1430" s="74"/>
      <c r="H1430" s="32"/>
      <c r="I1430" s="32"/>
      <c r="J1430" s="32"/>
      <c r="K1430" s="74"/>
      <c r="L1430" s="75"/>
      <c r="M1430" s="32"/>
      <c r="N1430" s="32"/>
      <c r="O1430" s="73"/>
      <c r="P1430" s="73"/>
      <c r="Q1430" s="73"/>
      <c r="R1430" s="73"/>
      <c r="S1430" s="73"/>
      <c r="T1430" s="73"/>
      <c r="U1430" s="73"/>
      <c r="V1430" s="73"/>
      <c r="W1430" s="73"/>
      <c r="X1430" s="73"/>
      <c r="Y1430" s="73"/>
      <c r="Z1430" s="73"/>
    </row>
    <row r="1431" spans="1:26" ht="12.75" customHeight="1">
      <c r="A1431" s="73"/>
      <c r="B1431" s="32"/>
      <c r="C1431" s="32"/>
      <c r="D1431" s="33"/>
      <c r="E1431" s="32"/>
      <c r="F1431" s="32"/>
      <c r="G1431" s="74"/>
      <c r="H1431" s="32"/>
      <c r="I1431" s="32"/>
      <c r="J1431" s="32"/>
      <c r="K1431" s="74"/>
      <c r="L1431" s="75"/>
      <c r="M1431" s="32"/>
      <c r="N1431" s="32"/>
      <c r="O1431" s="73"/>
      <c r="P1431" s="73"/>
      <c r="Q1431" s="73"/>
      <c r="R1431" s="73"/>
      <c r="S1431" s="73"/>
      <c r="T1431" s="73"/>
      <c r="U1431" s="73"/>
      <c r="V1431" s="73"/>
      <c r="W1431" s="73"/>
      <c r="X1431" s="73"/>
      <c r="Y1431" s="73"/>
      <c r="Z1431" s="73"/>
    </row>
    <row r="1432" spans="1:26" ht="12.75" customHeight="1">
      <c r="A1432" s="73"/>
      <c r="B1432" s="32"/>
      <c r="C1432" s="32"/>
      <c r="D1432" s="33"/>
      <c r="E1432" s="32"/>
      <c r="F1432" s="32"/>
      <c r="G1432" s="74"/>
      <c r="H1432" s="32"/>
      <c r="I1432" s="32"/>
      <c r="J1432" s="32"/>
      <c r="K1432" s="74"/>
      <c r="L1432" s="75"/>
      <c r="M1432" s="32"/>
      <c r="N1432" s="32"/>
      <c r="O1432" s="73"/>
      <c r="P1432" s="73"/>
      <c r="Q1432" s="73"/>
      <c r="R1432" s="73"/>
      <c r="S1432" s="73"/>
      <c r="T1432" s="73"/>
      <c r="U1432" s="73"/>
      <c r="V1432" s="73"/>
      <c r="W1432" s="73"/>
      <c r="X1432" s="73"/>
      <c r="Y1432" s="73"/>
      <c r="Z1432" s="73"/>
    </row>
    <row r="1433" spans="1:26" ht="12.75" customHeight="1">
      <c r="A1433" s="73"/>
      <c r="B1433" s="32"/>
      <c r="C1433" s="32"/>
      <c r="D1433" s="33"/>
      <c r="E1433" s="32"/>
      <c r="F1433" s="32"/>
      <c r="G1433" s="74"/>
      <c r="H1433" s="32"/>
      <c r="I1433" s="32"/>
      <c r="J1433" s="32"/>
      <c r="K1433" s="74"/>
      <c r="L1433" s="75"/>
      <c r="M1433" s="32"/>
      <c r="N1433" s="32"/>
      <c r="O1433" s="73"/>
      <c r="P1433" s="73"/>
      <c r="Q1433" s="73"/>
      <c r="R1433" s="73"/>
      <c r="S1433" s="73"/>
      <c r="T1433" s="73"/>
      <c r="U1433" s="73"/>
      <c r="V1433" s="73"/>
      <c r="W1433" s="73"/>
      <c r="X1433" s="73"/>
      <c r="Y1433" s="73"/>
      <c r="Z1433" s="73"/>
    </row>
    <row r="1434" spans="1:26" ht="12.75" customHeight="1">
      <c r="A1434" s="73"/>
      <c r="B1434" s="32"/>
      <c r="C1434" s="32"/>
      <c r="D1434" s="33"/>
      <c r="E1434" s="32"/>
      <c r="F1434" s="32"/>
      <c r="G1434" s="74"/>
      <c r="H1434" s="32"/>
      <c r="I1434" s="32"/>
      <c r="J1434" s="32"/>
      <c r="K1434" s="74"/>
      <c r="L1434" s="75"/>
      <c r="M1434" s="32"/>
      <c r="N1434" s="32"/>
      <c r="O1434" s="73"/>
      <c r="P1434" s="73"/>
      <c r="Q1434" s="73"/>
      <c r="R1434" s="73"/>
      <c r="S1434" s="73"/>
      <c r="T1434" s="73"/>
      <c r="U1434" s="73"/>
      <c r="V1434" s="73"/>
      <c r="W1434" s="73"/>
      <c r="X1434" s="73"/>
      <c r="Y1434" s="73"/>
      <c r="Z1434" s="73"/>
    </row>
    <row r="1435" spans="1:26" ht="12.75" customHeight="1">
      <c r="A1435" s="73"/>
      <c r="B1435" s="32"/>
      <c r="C1435" s="32"/>
      <c r="D1435" s="33"/>
      <c r="E1435" s="32"/>
      <c r="F1435" s="32"/>
      <c r="G1435" s="74"/>
      <c r="H1435" s="32"/>
      <c r="I1435" s="32"/>
      <c r="J1435" s="32"/>
      <c r="K1435" s="74"/>
      <c r="L1435" s="75"/>
      <c r="M1435" s="32"/>
      <c r="N1435" s="32"/>
      <c r="O1435" s="73"/>
      <c r="P1435" s="73"/>
      <c r="Q1435" s="73"/>
      <c r="R1435" s="73"/>
      <c r="S1435" s="73"/>
      <c r="T1435" s="73"/>
      <c r="U1435" s="73"/>
      <c r="V1435" s="73"/>
      <c r="W1435" s="73"/>
      <c r="X1435" s="73"/>
      <c r="Y1435" s="73"/>
      <c r="Z1435" s="73"/>
    </row>
    <row r="1436" spans="1:26" ht="12.75" customHeight="1">
      <c r="A1436" s="73"/>
      <c r="B1436" s="32"/>
      <c r="C1436" s="32"/>
      <c r="D1436" s="33"/>
      <c r="E1436" s="32"/>
      <c r="F1436" s="32"/>
      <c r="G1436" s="74"/>
      <c r="H1436" s="32"/>
      <c r="I1436" s="32"/>
      <c r="J1436" s="32"/>
      <c r="K1436" s="74"/>
      <c r="L1436" s="75"/>
      <c r="M1436" s="32"/>
      <c r="N1436" s="32"/>
      <c r="O1436" s="73"/>
      <c r="P1436" s="73"/>
      <c r="Q1436" s="73"/>
      <c r="R1436" s="73"/>
      <c r="S1436" s="73"/>
      <c r="T1436" s="73"/>
      <c r="U1436" s="73"/>
      <c r="V1436" s="73"/>
      <c r="W1436" s="73"/>
      <c r="X1436" s="73"/>
      <c r="Y1436" s="73"/>
      <c r="Z1436" s="73"/>
    </row>
    <row r="1437" spans="1:26" ht="12.75" customHeight="1">
      <c r="A1437" s="73"/>
      <c r="B1437" s="32"/>
      <c r="C1437" s="32"/>
      <c r="D1437" s="33"/>
      <c r="E1437" s="32"/>
      <c r="F1437" s="32"/>
      <c r="G1437" s="74"/>
      <c r="H1437" s="32"/>
      <c r="I1437" s="32"/>
      <c r="J1437" s="32"/>
      <c r="K1437" s="74"/>
      <c r="L1437" s="75"/>
      <c r="M1437" s="32"/>
      <c r="N1437" s="32"/>
      <c r="O1437" s="73"/>
      <c r="P1437" s="73"/>
      <c r="Q1437" s="73"/>
      <c r="R1437" s="73"/>
      <c r="S1437" s="73"/>
      <c r="T1437" s="73"/>
      <c r="U1437" s="73"/>
      <c r="V1437" s="73"/>
      <c r="W1437" s="73"/>
      <c r="X1437" s="73"/>
      <c r="Y1437" s="73"/>
      <c r="Z1437" s="73"/>
    </row>
    <row r="1438" spans="1:26" ht="12.75" customHeight="1">
      <c r="A1438" s="73"/>
      <c r="B1438" s="32"/>
      <c r="C1438" s="32"/>
      <c r="D1438" s="33"/>
      <c r="E1438" s="32"/>
      <c r="F1438" s="32"/>
      <c r="G1438" s="74"/>
      <c r="H1438" s="32"/>
      <c r="I1438" s="32"/>
      <c r="J1438" s="32"/>
      <c r="K1438" s="74"/>
      <c r="L1438" s="75"/>
      <c r="M1438" s="32"/>
      <c r="N1438" s="32"/>
      <c r="O1438" s="73"/>
      <c r="P1438" s="73"/>
      <c r="Q1438" s="73"/>
      <c r="R1438" s="73"/>
      <c r="S1438" s="73"/>
      <c r="T1438" s="73"/>
      <c r="U1438" s="73"/>
      <c r="V1438" s="73"/>
      <c r="W1438" s="73"/>
      <c r="X1438" s="73"/>
      <c r="Y1438" s="73"/>
      <c r="Z1438" s="73"/>
    </row>
    <row r="1439" spans="1:26" ht="12.75" customHeight="1">
      <c r="A1439" s="73"/>
      <c r="B1439" s="32"/>
      <c r="C1439" s="32"/>
      <c r="D1439" s="33"/>
      <c r="E1439" s="32"/>
      <c r="F1439" s="32"/>
      <c r="G1439" s="74"/>
      <c r="H1439" s="32"/>
      <c r="I1439" s="32"/>
      <c r="J1439" s="32"/>
      <c r="K1439" s="74"/>
      <c r="L1439" s="75"/>
      <c r="M1439" s="32"/>
      <c r="N1439" s="32"/>
      <c r="O1439" s="73"/>
      <c r="P1439" s="73"/>
      <c r="Q1439" s="73"/>
      <c r="R1439" s="73"/>
      <c r="S1439" s="73"/>
      <c r="T1439" s="73"/>
      <c r="U1439" s="73"/>
      <c r="V1439" s="73"/>
      <c r="W1439" s="73"/>
      <c r="X1439" s="73"/>
      <c r="Y1439" s="73"/>
      <c r="Z1439" s="73"/>
    </row>
    <row r="1440" spans="1:26" ht="12.75" customHeight="1">
      <c r="A1440" s="73"/>
      <c r="B1440" s="32"/>
      <c r="C1440" s="32"/>
      <c r="D1440" s="33"/>
      <c r="E1440" s="32"/>
      <c r="F1440" s="32"/>
      <c r="G1440" s="74"/>
      <c r="H1440" s="32"/>
      <c r="I1440" s="32"/>
      <c r="J1440" s="32"/>
      <c r="K1440" s="74"/>
      <c r="L1440" s="75"/>
      <c r="M1440" s="32"/>
      <c r="N1440" s="32"/>
      <c r="O1440" s="73"/>
      <c r="P1440" s="73"/>
      <c r="Q1440" s="73"/>
      <c r="R1440" s="73"/>
      <c r="S1440" s="73"/>
      <c r="T1440" s="73"/>
      <c r="U1440" s="73"/>
      <c r="V1440" s="73"/>
      <c r="W1440" s="73"/>
      <c r="X1440" s="73"/>
      <c r="Y1440" s="73"/>
      <c r="Z1440" s="73"/>
    </row>
    <row r="1441" spans="1:26" ht="12.75" customHeight="1">
      <c r="A1441" s="73"/>
      <c r="B1441" s="32"/>
      <c r="C1441" s="32"/>
      <c r="D1441" s="33"/>
      <c r="E1441" s="32"/>
      <c r="F1441" s="32"/>
      <c r="G1441" s="74"/>
      <c r="H1441" s="32"/>
      <c r="I1441" s="32"/>
      <c r="J1441" s="32"/>
      <c r="K1441" s="74"/>
      <c r="L1441" s="75"/>
      <c r="M1441" s="32"/>
      <c r="N1441" s="32"/>
      <c r="O1441" s="73"/>
      <c r="P1441" s="73"/>
      <c r="Q1441" s="73"/>
      <c r="R1441" s="73"/>
      <c r="S1441" s="73"/>
      <c r="T1441" s="73"/>
      <c r="U1441" s="73"/>
      <c r="V1441" s="73"/>
      <c r="W1441" s="73"/>
      <c r="X1441" s="73"/>
      <c r="Y1441" s="73"/>
      <c r="Z1441" s="73"/>
    </row>
    <row r="1442" spans="1:26" ht="12.75" customHeight="1">
      <c r="A1442" s="73"/>
      <c r="B1442" s="32"/>
      <c r="C1442" s="32"/>
      <c r="D1442" s="33"/>
      <c r="E1442" s="32"/>
      <c r="F1442" s="32"/>
      <c r="G1442" s="74"/>
      <c r="H1442" s="32"/>
      <c r="I1442" s="32"/>
      <c r="J1442" s="32"/>
      <c r="K1442" s="74"/>
      <c r="L1442" s="75"/>
      <c r="M1442" s="32"/>
      <c r="N1442" s="32"/>
      <c r="O1442" s="73"/>
      <c r="P1442" s="73"/>
      <c r="Q1442" s="73"/>
      <c r="R1442" s="73"/>
      <c r="S1442" s="73"/>
      <c r="T1442" s="73"/>
      <c r="U1442" s="73"/>
      <c r="V1442" s="73"/>
      <c r="W1442" s="73"/>
      <c r="X1442" s="73"/>
      <c r="Y1442" s="73"/>
      <c r="Z1442" s="73"/>
    </row>
    <row r="1443" spans="1:26" ht="12.75" customHeight="1">
      <c r="A1443" s="73"/>
      <c r="B1443" s="32"/>
      <c r="C1443" s="32"/>
      <c r="D1443" s="33"/>
      <c r="E1443" s="32"/>
      <c r="F1443" s="32"/>
      <c r="G1443" s="74"/>
      <c r="H1443" s="32"/>
      <c r="I1443" s="32"/>
      <c r="J1443" s="32"/>
      <c r="K1443" s="74"/>
      <c r="L1443" s="75"/>
      <c r="M1443" s="32"/>
      <c r="N1443" s="32"/>
      <c r="O1443" s="73"/>
      <c r="P1443" s="73"/>
      <c r="Q1443" s="73"/>
      <c r="R1443" s="73"/>
      <c r="S1443" s="73"/>
      <c r="T1443" s="73"/>
      <c r="U1443" s="73"/>
      <c r="V1443" s="73"/>
      <c r="W1443" s="73"/>
      <c r="X1443" s="73"/>
      <c r="Y1443" s="73"/>
      <c r="Z1443" s="73"/>
    </row>
    <row r="1444" spans="1:26" ht="12.75" customHeight="1">
      <c r="A1444" s="73"/>
      <c r="B1444" s="32"/>
      <c r="C1444" s="32"/>
      <c r="D1444" s="33"/>
      <c r="E1444" s="32"/>
      <c r="F1444" s="32"/>
      <c r="G1444" s="74"/>
      <c r="H1444" s="32"/>
      <c r="I1444" s="32"/>
      <c r="J1444" s="32"/>
      <c r="K1444" s="74"/>
      <c r="L1444" s="75"/>
      <c r="M1444" s="32"/>
      <c r="N1444" s="32"/>
      <c r="O1444" s="73"/>
      <c r="P1444" s="73"/>
      <c r="Q1444" s="73"/>
      <c r="R1444" s="73"/>
      <c r="S1444" s="73"/>
      <c r="T1444" s="73"/>
      <c r="U1444" s="73"/>
      <c r="V1444" s="73"/>
      <c r="W1444" s="73"/>
      <c r="X1444" s="73"/>
      <c r="Y1444" s="73"/>
      <c r="Z1444" s="73"/>
    </row>
    <row r="1445" spans="1:26" ht="12.75" customHeight="1">
      <c r="A1445" s="73"/>
      <c r="B1445" s="32"/>
      <c r="C1445" s="32"/>
      <c r="D1445" s="33"/>
      <c r="E1445" s="32"/>
      <c r="F1445" s="32"/>
      <c r="G1445" s="74"/>
      <c r="H1445" s="32"/>
      <c r="I1445" s="32"/>
      <c r="J1445" s="32"/>
      <c r="K1445" s="74"/>
      <c r="L1445" s="75"/>
      <c r="M1445" s="32"/>
      <c r="N1445" s="32"/>
      <c r="O1445" s="73"/>
      <c r="P1445" s="73"/>
      <c r="Q1445" s="73"/>
      <c r="R1445" s="73"/>
      <c r="S1445" s="73"/>
      <c r="T1445" s="73"/>
      <c r="U1445" s="73"/>
      <c r="V1445" s="73"/>
      <c r="W1445" s="73"/>
      <c r="X1445" s="73"/>
      <c r="Y1445" s="73"/>
      <c r="Z1445" s="73"/>
    </row>
    <row r="1446" spans="1:26" ht="12.75" customHeight="1">
      <c r="A1446" s="73"/>
      <c r="B1446" s="32"/>
      <c r="C1446" s="32"/>
      <c r="D1446" s="33"/>
      <c r="E1446" s="32"/>
      <c r="F1446" s="32"/>
      <c r="G1446" s="74"/>
      <c r="H1446" s="32"/>
      <c r="I1446" s="32"/>
      <c r="J1446" s="32"/>
      <c r="K1446" s="74"/>
      <c r="L1446" s="75"/>
      <c r="M1446" s="32"/>
      <c r="N1446" s="32"/>
      <c r="O1446" s="73"/>
      <c r="P1446" s="73"/>
      <c r="Q1446" s="73"/>
      <c r="R1446" s="73"/>
      <c r="S1446" s="73"/>
      <c r="T1446" s="73"/>
      <c r="U1446" s="73"/>
      <c r="V1446" s="73"/>
      <c r="W1446" s="73"/>
      <c r="X1446" s="73"/>
      <c r="Y1446" s="73"/>
      <c r="Z1446" s="73"/>
    </row>
    <row r="1447" spans="1:26" ht="12.75" customHeight="1">
      <c r="A1447" s="73"/>
      <c r="B1447" s="32"/>
      <c r="C1447" s="32"/>
      <c r="D1447" s="33"/>
      <c r="E1447" s="32"/>
      <c r="F1447" s="32"/>
      <c r="G1447" s="74"/>
      <c r="H1447" s="32"/>
      <c r="I1447" s="32"/>
      <c r="J1447" s="32"/>
      <c r="K1447" s="74"/>
      <c r="L1447" s="75"/>
      <c r="M1447" s="32"/>
      <c r="N1447" s="32"/>
      <c r="O1447" s="73"/>
      <c r="P1447" s="73"/>
      <c r="Q1447" s="73"/>
      <c r="R1447" s="73"/>
      <c r="S1447" s="73"/>
      <c r="T1447" s="73"/>
      <c r="U1447" s="73"/>
      <c r="V1447" s="73"/>
      <c r="W1447" s="73"/>
      <c r="X1447" s="73"/>
      <c r="Y1447" s="73"/>
      <c r="Z1447" s="73"/>
    </row>
    <row r="1448" spans="1:26" ht="12.75" customHeight="1">
      <c r="A1448" s="73"/>
      <c r="B1448" s="32"/>
      <c r="C1448" s="32"/>
      <c r="D1448" s="33"/>
      <c r="E1448" s="32"/>
      <c r="F1448" s="32"/>
      <c r="G1448" s="74"/>
      <c r="H1448" s="32"/>
      <c r="I1448" s="32"/>
      <c r="J1448" s="32"/>
      <c r="K1448" s="74"/>
      <c r="L1448" s="75"/>
      <c r="M1448" s="32"/>
      <c r="N1448" s="32"/>
      <c r="O1448" s="73"/>
      <c r="P1448" s="73"/>
      <c r="Q1448" s="73"/>
      <c r="R1448" s="73"/>
      <c r="S1448" s="73"/>
      <c r="T1448" s="73"/>
      <c r="U1448" s="73"/>
      <c r="V1448" s="73"/>
      <c r="W1448" s="73"/>
      <c r="X1448" s="73"/>
      <c r="Y1448" s="73"/>
      <c r="Z1448" s="73"/>
    </row>
    <row r="1449" spans="1:26" ht="12.75" customHeight="1">
      <c r="A1449" s="73"/>
      <c r="B1449" s="32"/>
      <c r="C1449" s="32"/>
      <c r="D1449" s="33"/>
      <c r="E1449" s="32"/>
      <c r="F1449" s="32"/>
      <c r="G1449" s="74"/>
      <c r="H1449" s="32"/>
      <c r="I1449" s="32"/>
      <c r="J1449" s="32"/>
      <c r="K1449" s="74"/>
      <c r="L1449" s="75"/>
      <c r="M1449" s="32"/>
      <c r="N1449" s="32"/>
      <c r="O1449" s="73"/>
      <c r="P1449" s="73"/>
      <c r="Q1449" s="73"/>
      <c r="R1449" s="73"/>
      <c r="S1449" s="73"/>
      <c r="T1449" s="73"/>
      <c r="U1449" s="73"/>
      <c r="V1449" s="73"/>
      <c r="W1449" s="73"/>
      <c r="X1449" s="73"/>
      <c r="Y1449" s="73"/>
      <c r="Z1449" s="73"/>
    </row>
    <row r="1450" spans="1:26" ht="12.75" customHeight="1">
      <c r="A1450" s="73"/>
      <c r="B1450" s="32"/>
      <c r="C1450" s="32"/>
      <c r="D1450" s="33"/>
      <c r="E1450" s="32"/>
      <c r="F1450" s="32"/>
      <c r="G1450" s="74"/>
      <c r="H1450" s="32"/>
      <c r="I1450" s="32"/>
      <c r="J1450" s="32"/>
      <c r="K1450" s="74"/>
      <c r="L1450" s="75"/>
      <c r="M1450" s="32"/>
      <c r="N1450" s="32"/>
      <c r="O1450" s="73"/>
      <c r="P1450" s="73"/>
      <c r="Q1450" s="73"/>
      <c r="R1450" s="73"/>
      <c r="S1450" s="73"/>
      <c r="T1450" s="73"/>
      <c r="U1450" s="73"/>
      <c r="V1450" s="73"/>
      <c r="W1450" s="73"/>
      <c r="X1450" s="73"/>
      <c r="Y1450" s="73"/>
      <c r="Z1450" s="73"/>
    </row>
    <row r="1451" spans="1:26" ht="12.75" customHeight="1">
      <c r="A1451" s="73"/>
      <c r="B1451" s="32"/>
      <c r="C1451" s="32"/>
      <c r="D1451" s="33"/>
      <c r="E1451" s="32"/>
      <c r="F1451" s="32"/>
      <c r="G1451" s="74"/>
      <c r="H1451" s="32"/>
      <c r="I1451" s="32"/>
      <c r="J1451" s="32"/>
      <c r="K1451" s="74"/>
      <c r="L1451" s="75"/>
      <c r="M1451" s="32"/>
      <c r="N1451" s="32"/>
      <c r="O1451" s="73"/>
      <c r="P1451" s="73"/>
      <c r="Q1451" s="73"/>
      <c r="R1451" s="73"/>
      <c r="S1451" s="73"/>
      <c r="T1451" s="73"/>
      <c r="U1451" s="73"/>
      <c r="V1451" s="73"/>
      <c r="W1451" s="73"/>
      <c r="X1451" s="73"/>
      <c r="Y1451" s="73"/>
      <c r="Z1451" s="73"/>
    </row>
    <row r="1452" spans="1:26" ht="12.75" customHeight="1">
      <c r="A1452" s="73"/>
      <c r="B1452" s="32"/>
      <c r="C1452" s="32"/>
      <c r="D1452" s="33"/>
      <c r="E1452" s="32"/>
      <c r="F1452" s="32"/>
      <c r="G1452" s="74"/>
      <c r="H1452" s="32"/>
      <c r="I1452" s="32"/>
      <c r="J1452" s="32"/>
      <c r="K1452" s="74"/>
      <c r="L1452" s="75"/>
      <c r="M1452" s="32"/>
      <c r="N1452" s="32"/>
      <c r="O1452" s="73"/>
      <c r="P1452" s="73"/>
      <c r="Q1452" s="73"/>
      <c r="R1452" s="73"/>
      <c r="S1452" s="73"/>
      <c r="T1452" s="73"/>
      <c r="U1452" s="73"/>
      <c r="V1452" s="73"/>
      <c r="W1452" s="73"/>
      <c r="X1452" s="73"/>
      <c r="Y1452" s="73"/>
      <c r="Z1452" s="73"/>
    </row>
    <row r="1453" spans="1:26" ht="12.75" customHeight="1">
      <c r="A1453" s="73"/>
      <c r="B1453" s="32"/>
      <c r="C1453" s="32"/>
      <c r="D1453" s="33"/>
      <c r="E1453" s="32"/>
      <c r="F1453" s="32"/>
      <c r="G1453" s="74"/>
      <c r="H1453" s="32"/>
      <c r="I1453" s="32"/>
      <c r="J1453" s="32"/>
      <c r="K1453" s="74"/>
      <c r="L1453" s="75"/>
      <c r="M1453" s="32"/>
      <c r="N1453" s="32"/>
      <c r="O1453" s="73"/>
      <c r="P1453" s="73"/>
      <c r="Q1453" s="73"/>
      <c r="R1453" s="73"/>
      <c r="S1453" s="73"/>
      <c r="T1453" s="73"/>
      <c r="U1453" s="73"/>
      <c r="V1453" s="73"/>
      <c r="W1453" s="73"/>
      <c r="X1453" s="73"/>
      <c r="Y1453" s="73"/>
      <c r="Z1453" s="73"/>
    </row>
    <row r="1454" spans="1:26" ht="12.75" customHeight="1">
      <c r="A1454" s="73"/>
      <c r="B1454" s="32"/>
      <c r="C1454" s="32"/>
      <c r="D1454" s="33"/>
      <c r="E1454" s="32"/>
      <c r="F1454" s="32"/>
      <c r="G1454" s="74"/>
      <c r="H1454" s="32"/>
      <c r="I1454" s="32"/>
      <c r="J1454" s="32"/>
      <c r="K1454" s="74"/>
      <c r="L1454" s="75"/>
      <c r="M1454" s="32"/>
      <c r="N1454" s="32"/>
      <c r="O1454" s="73"/>
      <c r="P1454" s="73"/>
      <c r="Q1454" s="73"/>
      <c r="R1454" s="73"/>
      <c r="S1454" s="73"/>
      <c r="T1454" s="73"/>
      <c r="U1454" s="73"/>
      <c r="V1454" s="73"/>
      <c r="W1454" s="73"/>
      <c r="X1454" s="73"/>
      <c r="Y1454" s="73"/>
      <c r="Z1454" s="73"/>
    </row>
    <row r="1455" spans="1:26" ht="12.75" customHeight="1">
      <c r="A1455" s="73"/>
      <c r="B1455" s="32"/>
      <c r="C1455" s="32"/>
      <c r="D1455" s="33"/>
      <c r="E1455" s="32"/>
      <c r="F1455" s="32"/>
      <c r="G1455" s="74"/>
      <c r="H1455" s="32"/>
      <c r="I1455" s="32"/>
      <c r="J1455" s="32"/>
      <c r="K1455" s="74"/>
      <c r="L1455" s="75"/>
      <c r="M1455" s="32"/>
      <c r="N1455" s="32"/>
      <c r="O1455" s="73"/>
      <c r="P1455" s="73"/>
      <c r="Q1455" s="73"/>
      <c r="R1455" s="73"/>
      <c r="S1455" s="73"/>
      <c r="T1455" s="73"/>
      <c r="U1455" s="73"/>
      <c r="V1455" s="73"/>
      <c r="W1455" s="73"/>
      <c r="X1455" s="73"/>
      <c r="Y1455" s="73"/>
      <c r="Z1455" s="73"/>
    </row>
    <row r="1456" spans="1:26" ht="12.75" customHeight="1">
      <c r="A1456" s="73"/>
      <c r="B1456" s="32"/>
      <c r="C1456" s="32"/>
      <c r="D1456" s="33"/>
      <c r="E1456" s="32"/>
      <c r="F1456" s="32"/>
      <c r="G1456" s="74"/>
      <c r="H1456" s="32"/>
      <c r="I1456" s="32"/>
      <c r="J1456" s="32"/>
      <c r="K1456" s="74"/>
      <c r="L1456" s="75"/>
      <c r="M1456" s="32"/>
      <c r="N1456" s="32"/>
      <c r="O1456" s="73"/>
      <c r="P1456" s="73"/>
      <c r="Q1456" s="73"/>
      <c r="R1456" s="73"/>
      <c r="S1456" s="73"/>
      <c r="T1456" s="73"/>
      <c r="U1456" s="73"/>
      <c r="V1456" s="73"/>
      <c r="W1456" s="73"/>
      <c r="X1456" s="73"/>
      <c r="Y1456" s="73"/>
      <c r="Z1456" s="73"/>
    </row>
    <row r="1457" spans="1:26" ht="12.75" customHeight="1">
      <c r="A1457" s="73"/>
      <c r="B1457" s="32"/>
      <c r="C1457" s="32"/>
      <c r="D1457" s="33"/>
      <c r="E1457" s="32"/>
      <c r="F1457" s="32"/>
      <c r="G1457" s="74"/>
      <c r="H1457" s="32"/>
      <c r="I1457" s="32"/>
      <c r="J1457" s="32"/>
      <c r="K1457" s="74"/>
      <c r="L1457" s="75"/>
      <c r="M1457" s="32"/>
      <c r="N1457" s="32"/>
      <c r="O1457" s="73"/>
      <c r="P1457" s="73"/>
      <c r="Q1457" s="73"/>
      <c r="R1457" s="73"/>
      <c r="S1457" s="73"/>
      <c r="T1457" s="73"/>
      <c r="U1457" s="73"/>
      <c r="V1457" s="73"/>
      <c r="W1457" s="73"/>
      <c r="X1457" s="73"/>
      <c r="Y1457" s="73"/>
      <c r="Z1457" s="73"/>
    </row>
    <row r="1458" spans="1:26" ht="12.75" customHeight="1">
      <c r="A1458" s="73"/>
      <c r="B1458" s="32"/>
      <c r="C1458" s="32"/>
      <c r="D1458" s="33"/>
      <c r="E1458" s="32"/>
      <c r="F1458" s="32"/>
      <c r="G1458" s="74"/>
      <c r="H1458" s="32"/>
      <c r="I1458" s="32"/>
      <c r="J1458" s="32"/>
      <c r="K1458" s="74"/>
      <c r="L1458" s="75"/>
      <c r="M1458" s="32"/>
      <c r="N1458" s="32"/>
      <c r="O1458" s="73"/>
      <c r="P1458" s="73"/>
      <c r="Q1458" s="73"/>
      <c r="R1458" s="73"/>
      <c r="S1458" s="73"/>
      <c r="T1458" s="73"/>
      <c r="U1458" s="73"/>
      <c r="V1458" s="73"/>
      <c r="W1458" s="73"/>
      <c r="X1458" s="73"/>
      <c r="Y1458" s="73"/>
      <c r="Z1458" s="73"/>
    </row>
    <row r="1459" spans="1:26" ht="12.75" customHeight="1">
      <c r="A1459" s="73"/>
      <c r="B1459" s="32"/>
      <c r="C1459" s="32"/>
      <c r="D1459" s="33"/>
      <c r="E1459" s="32"/>
      <c r="F1459" s="32"/>
      <c r="G1459" s="74"/>
      <c r="H1459" s="32"/>
      <c r="I1459" s="32"/>
      <c r="J1459" s="32"/>
      <c r="K1459" s="74"/>
      <c r="L1459" s="75"/>
      <c r="M1459" s="32"/>
      <c r="N1459" s="32"/>
      <c r="O1459" s="73"/>
      <c r="P1459" s="73"/>
      <c r="Q1459" s="73"/>
      <c r="R1459" s="73"/>
      <c r="S1459" s="73"/>
      <c r="T1459" s="73"/>
      <c r="U1459" s="73"/>
      <c r="V1459" s="73"/>
      <c r="W1459" s="73"/>
      <c r="X1459" s="73"/>
      <c r="Y1459" s="73"/>
      <c r="Z1459" s="73"/>
    </row>
    <row r="1460" spans="1:26" ht="12.75" customHeight="1">
      <c r="A1460" s="73"/>
      <c r="B1460" s="32"/>
      <c r="C1460" s="32"/>
      <c r="D1460" s="33"/>
      <c r="E1460" s="32"/>
      <c r="F1460" s="32"/>
      <c r="G1460" s="74"/>
      <c r="H1460" s="32"/>
      <c r="I1460" s="32"/>
      <c r="J1460" s="32"/>
      <c r="K1460" s="74"/>
      <c r="L1460" s="75"/>
      <c r="M1460" s="32"/>
      <c r="N1460" s="32"/>
      <c r="O1460" s="73"/>
      <c r="P1460" s="73"/>
      <c r="Q1460" s="73"/>
      <c r="R1460" s="73"/>
      <c r="S1460" s="73"/>
      <c r="T1460" s="73"/>
      <c r="U1460" s="73"/>
      <c r="V1460" s="73"/>
      <c r="W1460" s="73"/>
      <c r="X1460" s="73"/>
      <c r="Y1460" s="73"/>
      <c r="Z1460" s="73"/>
    </row>
    <row r="1461" spans="1:26" ht="12.75" customHeight="1">
      <c r="A1461" s="73"/>
      <c r="B1461" s="32"/>
      <c r="C1461" s="32"/>
      <c r="D1461" s="33"/>
      <c r="E1461" s="32"/>
      <c r="F1461" s="32"/>
      <c r="G1461" s="74"/>
      <c r="H1461" s="32"/>
      <c r="I1461" s="32"/>
      <c r="J1461" s="32"/>
      <c r="K1461" s="74"/>
      <c r="L1461" s="75"/>
      <c r="M1461" s="32"/>
      <c r="N1461" s="32"/>
      <c r="O1461" s="73"/>
      <c r="P1461" s="73"/>
      <c r="Q1461" s="73"/>
      <c r="R1461" s="73"/>
      <c r="S1461" s="73"/>
      <c r="T1461" s="73"/>
      <c r="U1461" s="73"/>
      <c r="V1461" s="73"/>
      <c r="W1461" s="73"/>
      <c r="X1461" s="73"/>
      <c r="Y1461" s="73"/>
      <c r="Z1461" s="73"/>
    </row>
    <row r="1462" spans="1:26" ht="12.75" customHeight="1">
      <c r="A1462" s="73"/>
      <c r="B1462" s="32"/>
      <c r="C1462" s="32"/>
      <c r="D1462" s="33"/>
      <c r="E1462" s="32"/>
      <c r="F1462" s="32"/>
      <c r="G1462" s="74"/>
      <c r="H1462" s="32"/>
      <c r="I1462" s="32"/>
      <c r="J1462" s="32"/>
      <c r="K1462" s="74"/>
      <c r="L1462" s="75"/>
      <c r="M1462" s="32"/>
      <c r="N1462" s="32"/>
      <c r="O1462" s="73"/>
      <c r="P1462" s="73"/>
      <c r="Q1462" s="73"/>
      <c r="R1462" s="73"/>
      <c r="S1462" s="73"/>
      <c r="T1462" s="73"/>
      <c r="U1462" s="73"/>
      <c r="V1462" s="73"/>
      <c r="W1462" s="73"/>
      <c r="X1462" s="73"/>
      <c r="Y1462" s="73"/>
      <c r="Z1462" s="73"/>
    </row>
    <row r="1463" spans="1:26" ht="12.75" customHeight="1">
      <c r="A1463" s="73"/>
      <c r="B1463" s="32"/>
      <c r="C1463" s="32"/>
      <c r="D1463" s="33"/>
      <c r="E1463" s="32"/>
      <c r="F1463" s="32"/>
      <c r="G1463" s="74"/>
      <c r="H1463" s="32"/>
      <c r="I1463" s="32"/>
      <c r="J1463" s="32"/>
      <c r="K1463" s="74"/>
      <c r="L1463" s="75"/>
      <c r="M1463" s="32"/>
      <c r="N1463" s="32"/>
      <c r="O1463" s="73"/>
      <c r="P1463" s="73"/>
      <c r="Q1463" s="73"/>
      <c r="R1463" s="73"/>
      <c r="S1463" s="73"/>
      <c r="T1463" s="73"/>
      <c r="U1463" s="73"/>
      <c r="V1463" s="73"/>
      <c r="W1463" s="73"/>
      <c r="X1463" s="73"/>
      <c r="Y1463" s="73"/>
      <c r="Z1463" s="73"/>
    </row>
    <row r="1464" spans="1:26" ht="12.75" customHeight="1">
      <c r="A1464" s="73"/>
      <c r="B1464" s="32"/>
      <c r="C1464" s="32"/>
      <c r="D1464" s="33"/>
      <c r="E1464" s="32"/>
      <c r="F1464" s="32"/>
      <c r="G1464" s="74"/>
      <c r="H1464" s="32"/>
      <c r="I1464" s="32"/>
      <c r="J1464" s="32"/>
      <c r="K1464" s="74"/>
      <c r="L1464" s="75"/>
      <c r="M1464" s="32"/>
      <c r="N1464" s="32"/>
      <c r="O1464" s="73"/>
      <c r="P1464" s="73"/>
      <c r="Q1464" s="73"/>
      <c r="R1464" s="73"/>
      <c r="S1464" s="73"/>
      <c r="T1464" s="73"/>
      <c r="U1464" s="73"/>
      <c r="V1464" s="73"/>
      <c r="W1464" s="73"/>
      <c r="X1464" s="73"/>
      <c r="Y1464" s="73"/>
      <c r="Z1464" s="73"/>
    </row>
    <row r="1465" spans="1:26" ht="12.75" customHeight="1">
      <c r="A1465" s="73"/>
      <c r="B1465" s="32"/>
      <c r="C1465" s="32"/>
      <c r="D1465" s="33"/>
      <c r="E1465" s="32"/>
      <c r="F1465" s="32"/>
      <c r="G1465" s="74"/>
      <c r="H1465" s="32"/>
      <c r="I1465" s="32"/>
      <c r="J1465" s="32"/>
      <c r="K1465" s="74"/>
      <c r="L1465" s="75"/>
      <c r="M1465" s="32"/>
      <c r="N1465" s="32"/>
      <c r="O1465" s="73"/>
      <c r="P1465" s="73"/>
      <c r="Q1465" s="73"/>
      <c r="R1465" s="73"/>
      <c r="S1465" s="73"/>
      <c r="T1465" s="73"/>
      <c r="U1465" s="73"/>
      <c r="V1465" s="73"/>
      <c r="W1465" s="73"/>
      <c r="X1465" s="73"/>
      <c r="Y1465" s="73"/>
      <c r="Z1465" s="73"/>
    </row>
    <row r="1466" spans="1:26" ht="12.75" customHeight="1">
      <c r="A1466" s="73"/>
      <c r="B1466" s="32"/>
      <c r="C1466" s="32"/>
      <c r="D1466" s="33"/>
      <c r="E1466" s="32"/>
      <c r="F1466" s="32"/>
      <c r="G1466" s="74"/>
      <c r="H1466" s="32"/>
      <c r="I1466" s="32"/>
      <c r="J1466" s="32"/>
      <c r="K1466" s="74"/>
      <c r="L1466" s="75"/>
      <c r="M1466" s="32"/>
      <c r="N1466" s="32"/>
      <c r="O1466" s="73"/>
      <c r="P1466" s="73"/>
      <c r="Q1466" s="73"/>
      <c r="R1466" s="73"/>
      <c r="S1466" s="73"/>
      <c r="T1466" s="73"/>
      <c r="U1466" s="73"/>
      <c r="V1466" s="73"/>
      <c r="W1466" s="73"/>
      <c r="X1466" s="73"/>
      <c r="Y1466" s="73"/>
      <c r="Z1466" s="73"/>
    </row>
    <row r="1467" spans="1:26" ht="12.75" customHeight="1">
      <c r="A1467" s="73"/>
      <c r="B1467" s="32"/>
      <c r="C1467" s="32"/>
      <c r="D1467" s="33"/>
      <c r="E1467" s="32"/>
      <c r="F1467" s="32"/>
      <c r="G1467" s="74"/>
      <c r="H1467" s="32"/>
      <c r="I1467" s="32"/>
      <c r="J1467" s="32"/>
      <c r="K1467" s="74"/>
      <c r="L1467" s="75"/>
      <c r="M1467" s="32"/>
      <c r="N1467" s="32"/>
      <c r="O1467" s="73"/>
      <c r="P1467" s="73"/>
      <c r="Q1467" s="73"/>
      <c r="R1467" s="73"/>
      <c r="S1467" s="73"/>
      <c r="T1467" s="73"/>
      <c r="U1467" s="73"/>
      <c r="V1467" s="73"/>
      <c r="W1467" s="73"/>
      <c r="X1467" s="73"/>
      <c r="Y1467" s="73"/>
      <c r="Z1467" s="73"/>
    </row>
    <row r="1468" spans="1:26" ht="12.75" customHeight="1">
      <c r="A1468" s="73"/>
      <c r="B1468" s="32"/>
      <c r="C1468" s="32"/>
      <c r="D1468" s="33"/>
      <c r="E1468" s="32"/>
      <c r="F1468" s="32"/>
      <c r="G1468" s="74"/>
      <c r="H1468" s="32"/>
      <c r="I1468" s="32"/>
      <c r="J1468" s="32"/>
      <c r="K1468" s="74"/>
      <c r="L1468" s="75"/>
      <c r="M1468" s="32"/>
      <c r="N1468" s="32"/>
      <c r="O1468" s="73"/>
      <c r="P1468" s="73"/>
      <c r="Q1468" s="73"/>
      <c r="R1468" s="73"/>
      <c r="S1468" s="73"/>
      <c r="T1468" s="73"/>
      <c r="U1468" s="73"/>
      <c r="V1468" s="73"/>
      <c r="W1468" s="73"/>
      <c r="X1468" s="73"/>
      <c r="Y1468" s="73"/>
      <c r="Z1468" s="73"/>
    </row>
    <row r="1469" spans="1:26" ht="12.75" customHeight="1">
      <c r="A1469" s="73"/>
      <c r="B1469" s="32"/>
      <c r="C1469" s="32"/>
      <c r="D1469" s="33"/>
      <c r="E1469" s="32"/>
      <c r="F1469" s="32"/>
      <c r="G1469" s="74"/>
      <c r="H1469" s="32"/>
      <c r="I1469" s="32"/>
      <c r="J1469" s="32"/>
      <c r="K1469" s="74"/>
      <c r="L1469" s="75"/>
      <c r="M1469" s="32"/>
      <c r="N1469" s="32"/>
      <c r="O1469" s="73"/>
      <c r="P1469" s="73"/>
      <c r="Q1469" s="73"/>
      <c r="R1469" s="73"/>
      <c r="S1469" s="73"/>
      <c r="T1469" s="73"/>
      <c r="U1469" s="73"/>
      <c r="V1469" s="73"/>
      <c r="W1469" s="73"/>
      <c r="X1469" s="73"/>
      <c r="Y1469" s="73"/>
      <c r="Z1469" s="73"/>
    </row>
    <row r="1470" spans="1:26" ht="12.75" customHeight="1">
      <c r="A1470" s="73"/>
      <c r="B1470" s="32"/>
      <c r="C1470" s="32"/>
      <c r="D1470" s="33"/>
      <c r="E1470" s="32"/>
      <c r="F1470" s="32"/>
      <c r="G1470" s="74"/>
      <c r="H1470" s="32"/>
      <c r="I1470" s="32"/>
      <c r="J1470" s="32"/>
      <c r="K1470" s="74"/>
      <c r="L1470" s="75"/>
      <c r="M1470" s="32"/>
      <c r="N1470" s="32"/>
      <c r="O1470" s="73"/>
      <c r="P1470" s="73"/>
      <c r="Q1470" s="73"/>
      <c r="R1470" s="73"/>
      <c r="S1470" s="73"/>
      <c r="T1470" s="73"/>
      <c r="U1470" s="73"/>
      <c r="V1470" s="73"/>
      <c r="W1470" s="73"/>
      <c r="X1470" s="73"/>
      <c r="Y1470" s="73"/>
      <c r="Z1470" s="73"/>
    </row>
    <row r="1471" spans="1:26" ht="12.75" customHeight="1">
      <c r="A1471" s="73"/>
      <c r="B1471" s="32"/>
      <c r="C1471" s="32"/>
      <c r="D1471" s="33"/>
      <c r="E1471" s="32"/>
      <c r="F1471" s="32"/>
      <c r="G1471" s="74"/>
      <c r="H1471" s="32"/>
      <c r="I1471" s="32"/>
      <c r="J1471" s="32"/>
      <c r="K1471" s="74"/>
      <c r="L1471" s="75"/>
      <c r="M1471" s="32"/>
      <c r="N1471" s="32"/>
      <c r="O1471" s="73"/>
      <c r="P1471" s="73"/>
      <c r="Q1471" s="73"/>
      <c r="R1471" s="73"/>
      <c r="S1471" s="73"/>
      <c r="T1471" s="73"/>
      <c r="U1471" s="73"/>
      <c r="V1471" s="73"/>
      <c r="W1471" s="73"/>
      <c r="X1471" s="73"/>
      <c r="Y1471" s="73"/>
      <c r="Z1471" s="73"/>
    </row>
    <row r="1472" spans="1:26" ht="12.75" customHeight="1">
      <c r="A1472" s="73"/>
      <c r="B1472" s="32"/>
      <c r="C1472" s="32"/>
      <c r="D1472" s="33"/>
      <c r="E1472" s="32"/>
      <c r="F1472" s="32"/>
      <c r="G1472" s="74"/>
      <c r="H1472" s="32"/>
      <c r="I1472" s="32"/>
      <c r="J1472" s="32"/>
      <c r="K1472" s="74"/>
      <c r="L1472" s="75"/>
      <c r="M1472" s="32"/>
      <c r="N1472" s="32"/>
      <c r="O1472" s="73"/>
      <c r="P1472" s="73"/>
      <c r="Q1472" s="73"/>
      <c r="R1472" s="73"/>
      <c r="S1472" s="73"/>
      <c r="T1472" s="73"/>
      <c r="U1472" s="73"/>
      <c r="V1472" s="73"/>
      <c r="W1472" s="73"/>
      <c r="X1472" s="73"/>
      <c r="Y1472" s="73"/>
      <c r="Z1472" s="73"/>
    </row>
    <row r="1473" spans="1:26" ht="12.75" customHeight="1">
      <c r="A1473" s="73"/>
      <c r="B1473" s="32"/>
      <c r="C1473" s="32"/>
      <c r="D1473" s="33"/>
      <c r="E1473" s="32"/>
      <c r="F1473" s="32"/>
      <c r="G1473" s="74"/>
      <c r="H1473" s="32"/>
      <c r="I1473" s="32"/>
      <c r="J1473" s="32"/>
      <c r="K1473" s="74"/>
      <c r="L1473" s="75"/>
      <c r="M1473" s="32"/>
      <c r="N1473" s="32"/>
      <c r="O1473" s="73"/>
      <c r="P1473" s="73"/>
      <c r="Q1473" s="73"/>
      <c r="R1473" s="73"/>
      <c r="S1473" s="73"/>
      <c r="T1473" s="73"/>
      <c r="U1473" s="73"/>
      <c r="V1473" s="73"/>
      <c r="W1473" s="73"/>
      <c r="X1473" s="73"/>
      <c r="Y1473" s="73"/>
      <c r="Z1473" s="73"/>
    </row>
    <row r="1474" spans="1:26" ht="12.75" customHeight="1">
      <c r="A1474" s="73"/>
      <c r="B1474" s="32"/>
      <c r="C1474" s="32"/>
      <c r="D1474" s="33"/>
      <c r="E1474" s="32"/>
      <c r="F1474" s="32"/>
      <c r="G1474" s="74"/>
      <c r="H1474" s="32"/>
      <c r="I1474" s="32"/>
      <c r="J1474" s="32"/>
      <c r="K1474" s="74"/>
      <c r="L1474" s="75"/>
      <c r="M1474" s="32"/>
      <c r="N1474" s="32"/>
      <c r="O1474" s="73"/>
      <c r="P1474" s="73"/>
      <c r="Q1474" s="73"/>
      <c r="R1474" s="73"/>
      <c r="S1474" s="73"/>
      <c r="T1474" s="73"/>
      <c r="U1474" s="73"/>
      <c r="V1474" s="73"/>
      <c r="W1474" s="73"/>
      <c r="X1474" s="73"/>
      <c r="Y1474" s="73"/>
      <c r="Z1474" s="73"/>
    </row>
    <row r="1475" spans="1:26" ht="12.75" customHeight="1">
      <c r="A1475" s="73"/>
      <c r="B1475" s="32"/>
      <c r="C1475" s="32"/>
      <c r="D1475" s="33"/>
      <c r="E1475" s="32"/>
      <c r="F1475" s="32"/>
      <c r="G1475" s="74"/>
      <c r="H1475" s="32"/>
      <c r="I1475" s="32"/>
      <c r="J1475" s="32"/>
      <c r="K1475" s="74"/>
      <c r="L1475" s="75"/>
      <c r="M1475" s="32"/>
      <c r="N1475" s="32"/>
      <c r="O1475" s="73"/>
      <c r="P1475" s="73"/>
      <c r="Q1475" s="73"/>
      <c r="R1475" s="73"/>
      <c r="S1475" s="73"/>
      <c r="T1475" s="73"/>
      <c r="U1475" s="73"/>
      <c r="V1475" s="73"/>
      <c r="W1475" s="73"/>
      <c r="X1475" s="73"/>
      <c r="Y1475" s="73"/>
      <c r="Z1475" s="73"/>
    </row>
    <row r="1476" spans="1:26" ht="12.75" customHeight="1">
      <c r="A1476" s="73"/>
      <c r="B1476" s="32"/>
      <c r="C1476" s="32"/>
      <c r="D1476" s="33"/>
      <c r="E1476" s="32"/>
      <c r="F1476" s="32"/>
      <c r="G1476" s="74"/>
      <c r="H1476" s="32"/>
      <c r="I1476" s="32"/>
      <c r="J1476" s="32"/>
      <c r="K1476" s="74"/>
      <c r="L1476" s="75"/>
      <c r="M1476" s="32"/>
      <c r="N1476" s="32"/>
      <c r="O1476" s="73"/>
      <c r="P1476" s="73"/>
      <c r="Q1476" s="73"/>
      <c r="R1476" s="73"/>
      <c r="S1476" s="73"/>
      <c r="T1476" s="73"/>
      <c r="U1476" s="73"/>
      <c r="V1476" s="73"/>
      <c r="W1476" s="73"/>
      <c r="X1476" s="73"/>
      <c r="Y1476" s="73"/>
      <c r="Z1476" s="73"/>
    </row>
    <row r="1477" spans="1:26" ht="12.75" customHeight="1">
      <c r="A1477" s="73"/>
      <c r="B1477" s="32"/>
      <c r="C1477" s="32"/>
      <c r="D1477" s="33"/>
      <c r="E1477" s="32"/>
      <c r="F1477" s="32"/>
      <c r="G1477" s="74"/>
      <c r="H1477" s="32"/>
      <c r="I1477" s="32"/>
      <c r="J1477" s="32"/>
      <c r="K1477" s="74"/>
      <c r="L1477" s="75"/>
      <c r="M1477" s="32"/>
      <c r="N1477" s="32"/>
      <c r="O1477" s="73"/>
      <c r="P1477" s="73"/>
      <c r="Q1477" s="73"/>
      <c r="R1477" s="73"/>
      <c r="S1477" s="73"/>
      <c r="T1477" s="73"/>
      <c r="U1477" s="73"/>
      <c r="V1477" s="73"/>
      <c r="W1477" s="73"/>
      <c r="X1477" s="73"/>
      <c r="Y1477" s="73"/>
      <c r="Z1477" s="73"/>
    </row>
    <row r="1478" spans="1:26" ht="12.75" customHeight="1">
      <c r="A1478" s="73"/>
      <c r="B1478" s="32"/>
      <c r="C1478" s="32"/>
      <c r="D1478" s="33"/>
      <c r="E1478" s="32"/>
      <c r="F1478" s="32"/>
      <c r="G1478" s="74"/>
      <c r="H1478" s="32"/>
      <c r="I1478" s="32"/>
      <c r="J1478" s="32"/>
      <c r="K1478" s="74"/>
      <c r="L1478" s="75"/>
      <c r="M1478" s="32"/>
      <c r="N1478" s="32"/>
      <c r="O1478" s="73"/>
      <c r="P1478" s="73"/>
      <c r="Q1478" s="73"/>
      <c r="R1478" s="73"/>
      <c r="S1478" s="73"/>
      <c r="T1478" s="73"/>
      <c r="U1478" s="73"/>
      <c r="V1478" s="73"/>
      <c r="W1478" s="73"/>
      <c r="X1478" s="73"/>
      <c r="Y1478" s="73"/>
      <c r="Z1478" s="73"/>
    </row>
    <row r="1479" spans="1:26" ht="12.75" customHeight="1">
      <c r="A1479" s="73"/>
      <c r="B1479" s="32"/>
      <c r="C1479" s="32"/>
      <c r="D1479" s="33"/>
      <c r="E1479" s="32"/>
      <c r="F1479" s="32"/>
      <c r="G1479" s="74"/>
      <c r="H1479" s="32"/>
      <c r="I1479" s="32"/>
      <c r="J1479" s="32"/>
      <c r="K1479" s="74"/>
      <c r="L1479" s="75"/>
      <c r="M1479" s="32"/>
      <c r="N1479" s="32"/>
      <c r="O1479" s="73"/>
      <c r="P1479" s="73"/>
      <c r="Q1479" s="73"/>
      <c r="R1479" s="73"/>
      <c r="S1479" s="73"/>
      <c r="T1479" s="73"/>
      <c r="U1479" s="73"/>
      <c r="V1479" s="73"/>
      <c r="W1479" s="73"/>
      <c r="X1479" s="73"/>
      <c r="Y1479" s="73"/>
      <c r="Z1479" s="73"/>
    </row>
    <row r="1480" spans="1:26" ht="12.75" customHeight="1">
      <c r="A1480" s="73"/>
      <c r="B1480" s="32"/>
      <c r="C1480" s="32"/>
      <c r="D1480" s="33"/>
      <c r="E1480" s="32"/>
      <c r="F1480" s="32"/>
      <c r="G1480" s="74"/>
      <c r="H1480" s="32"/>
      <c r="I1480" s="32"/>
      <c r="J1480" s="32"/>
      <c r="K1480" s="74"/>
      <c r="L1480" s="75"/>
      <c r="M1480" s="32"/>
      <c r="N1480" s="32"/>
      <c r="O1480" s="73"/>
      <c r="P1480" s="73"/>
      <c r="Q1480" s="73"/>
      <c r="R1480" s="73"/>
      <c r="S1480" s="73"/>
      <c r="T1480" s="73"/>
      <c r="U1480" s="73"/>
      <c r="V1480" s="73"/>
      <c r="W1480" s="73"/>
      <c r="X1480" s="73"/>
      <c r="Y1480" s="73"/>
      <c r="Z1480" s="73"/>
    </row>
    <row r="1481" spans="1:26" ht="12.75" customHeight="1">
      <c r="A1481" s="73"/>
      <c r="B1481" s="32"/>
      <c r="C1481" s="32"/>
      <c r="D1481" s="33"/>
      <c r="E1481" s="32"/>
      <c r="F1481" s="32"/>
      <c r="G1481" s="74"/>
      <c r="H1481" s="32"/>
      <c r="I1481" s="32"/>
      <c r="J1481" s="32"/>
      <c r="K1481" s="74"/>
      <c r="L1481" s="75"/>
      <c r="M1481" s="32"/>
      <c r="N1481" s="32"/>
      <c r="O1481" s="73"/>
      <c r="P1481" s="73"/>
      <c r="Q1481" s="73"/>
      <c r="R1481" s="73"/>
      <c r="S1481" s="73"/>
      <c r="T1481" s="73"/>
      <c r="U1481" s="73"/>
      <c r="V1481" s="73"/>
      <c r="W1481" s="73"/>
      <c r="X1481" s="73"/>
      <c r="Y1481" s="73"/>
      <c r="Z1481" s="73"/>
    </row>
    <row r="1482" spans="1:26" ht="12.75" customHeight="1">
      <c r="A1482" s="73"/>
      <c r="B1482" s="32"/>
      <c r="C1482" s="32"/>
      <c r="D1482" s="33"/>
      <c r="E1482" s="32"/>
      <c r="F1482" s="32"/>
      <c r="G1482" s="74"/>
      <c r="H1482" s="32"/>
      <c r="I1482" s="32"/>
      <c r="J1482" s="32"/>
      <c r="K1482" s="74"/>
      <c r="L1482" s="75"/>
      <c r="M1482" s="32"/>
      <c r="N1482" s="32"/>
      <c r="O1482" s="73"/>
      <c r="P1482" s="73"/>
      <c r="Q1482" s="73"/>
      <c r="R1482" s="73"/>
      <c r="S1482" s="73"/>
      <c r="T1482" s="73"/>
      <c r="U1482" s="73"/>
      <c r="V1482" s="73"/>
      <c r="W1482" s="73"/>
      <c r="X1482" s="73"/>
      <c r="Y1482" s="73"/>
      <c r="Z1482" s="73"/>
    </row>
    <row r="1483" spans="1:26" ht="12.75" customHeight="1">
      <c r="A1483" s="73"/>
      <c r="B1483" s="32"/>
      <c r="C1483" s="32"/>
      <c r="D1483" s="33"/>
      <c r="E1483" s="32"/>
      <c r="F1483" s="32"/>
      <c r="G1483" s="74"/>
      <c r="H1483" s="32"/>
      <c r="I1483" s="32"/>
      <c r="J1483" s="32"/>
      <c r="K1483" s="74"/>
      <c r="L1483" s="75"/>
      <c r="M1483" s="32"/>
      <c r="N1483" s="32"/>
      <c r="O1483" s="73"/>
      <c r="P1483" s="73"/>
      <c r="Q1483" s="73"/>
      <c r="R1483" s="73"/>
      <c r="S1483" s="73"/>
      <c r="T1483" s="73"/>
      <c r="U1483" s="73"/>
      <c r="V1483" s="73"/>
      <c r="W1483" s="73"/>
      <c r="X1483" s="73"/>
      <c r="Y1483" s="73"/>
      <c r="Z1483" s="73"/>
    </row>
    <row r="1484" spans="1:26" ht="12.75" customHeight="1">
      <c r="A1484" s="73"/>
      <c r="B1484" s="32"/>
      <c r="C1484" s="32"/>
      <c r="D1484" s="33"/>
      <c r="E1484" s="32"/>
      <c r="F1484" s="32"/>
      <c r="G1484" s="74"/>
      <c r="H1484" s="32"/>
      <c r="I1484" s="32"/>
      <c r="J1484" s="32"/>
      <c r="K1484" s="74"/>
      <c r="L1484" s="75"/>
      <c r="M1484" s="32"/>
      <c r="N1484" s="32"/>
      <c r="O1484" s="73"/>
      <c r="P1484" s="73"/>
      <c r="Q1484" s="73"/>
      <c r="R1484" s="73"/>
      <c r="S1484" s="73"/>
      <c r="T1484" s="73"/>
      <c r="U1484" s="73"/>
      <c r="V1484" s="73"/>
      <c r="W1484" s="73"/>
      <c r="X1484" s="73"/>
      <c r="Y1484" s="73"/>
      <c r="Z1484" s="73"/>
    </row>
    <row r="1485" spans="1:26" ht="12.75" customHeight="1">
      <c r="A1485" s="73"/>
      <c r="B1485" s="32"/>
      <c r="C1485" s="32"/>
      <c r="D1485" s="33"/>
      <c r="E1485" s="32"/>
      <c r="F1485" s="32"/>
      <c r="G1485" s="74"/>
      <c r="H1485" s="32"/>
      <c r="I1485" s="32"/>
      <c r="J1485" s="32"/>
      <c r="K1485" s="74"/>
      <c r="L1485" s="75"/>
      <c r="M1485" s="32"/>
      <c r="N1485" s="32"/>
      <c r="O1485" s="73"/>
      <c r="P1485" s="73"/>
      <c r="Q1485" s="73"/>
      <c r="R1485" s="73"/>
      <c r="S1485" s="73"/>
      <c r="T1485" s="73"/>
      <c r="U1485" s="73"/>
      <c r="V1485" s="73"/>
      <c r="W1485" s="73"/>
      <c r="X1485" s="73"/>
      <c r="Y1485" s="73"/>
      <c r="Z1485" s="73"/>
    </row>
    <row r="1486" spans="1:26" ht="12.75" customHeight="1">
      <c r="A1486" s="73"/>
      <c r="B1486" s="32"/>
      <c r="C1486" s="32"/>
      <c r="D1486" s="33"/>
      <c r="E1486" s="32"/>
      <c r="F1486" s="32"/>
      <c r="G1486" s="74"/>
      <c r="H1486" s="32"/>
      <c r="I1486" s="32"/>
      <c r="J1486" s="32"/>
      <c r="K1486" s="74"/>
      <c r="L1486" s="75"/>
      <c r="M1486" s="32"/>
      <c r="N1486" s="32"/>
      <c r="O1486" s="73"/>
      <c r="P1486" s="73"/>
      <c r="Q1486" s="73"/>
      <c r="R1486" s="73"/>
      <c r="S1486" s="73"/>
      <c r="T1486" s="73"/>
      <c r="U1486" s="73"/>
      <c r="V1486" s="73"/>
      <c r="W1486" s="73"/>
      <c r="X1486" s="73"/>
      <c r="Y1486" s="73"/>
      <c r="Z1486" s="73"/>
    </row>
    <row r="1487" spans="1:26" ht="12.75" customHeight="1">
      <c r="A1487" s="73"/>
      <c r="B1487" s="32"/>
      <c r="C1487" s="32"/>
      <c r="D1487" s="33"/>
      <c r="E1487" s="32"/>
      <c r="F1487" s="32"/>
      <c r="G1487" s="74"/>
      <c r="H1487" s="32"/>
      <c r="I1487" s="32"/>
      <c r="J1487" s="32"/>
      <c r="K1487" s="74"/>
      <c r="L1487" s="75"/>
      <c r="M1487" s="32"/>
      <c r="N1487" s="32"/>
      <c r="O1487" s="73"/>
      <c r="P1487" s="73"/>
      <c r="Q1487" s="73"/>
      <c r="R1487" s="73"/>
      <c r="S1487" s="73"/>
      <c r="T1487" s="73"/>
      <c r="U1487" s="73"/>
      <c r="V1487" s="73"/>
      <c r="W1487" s="73"/>
      <c r="X1487" s="73"/>
      <c r="Y1487" s="73"/>
      <c r="Z1487" s="73"/>
    </row>
    <row r="1488" spans="1:26" ht="12.75" customHeight="1">
      <c r="A1488" s="73"/>
      <c r="B1488" s="32"/>
      <c r="C1488" s="32"/>
      <c r="D1488" s="33"/>
      <c r="E1488" s="32"/>
      <c r="F1488" s="32"/>
      <c r="G1488" s="74"/>
      <c r="H1488" s="32"/>
      <c r="I1488" s="32"/>
      <c r="J1488" s="32"/>
      <c r="K1488" s="74"/>
      <c r="L1488" s="75"/>
      <c r="M1488" s="32"/>
      <c r="N1488" s="32"/>
      <c r="O1488" s="73"/>
      <c r="P1488" s="73"/>
      <c r="Q1488" s="73"/>
      <c r="R1488" s="73"/>
      <c r="S1488" s="73"/>
      <c r="T1488" s="73"/>
      <c r="U1488" s="73"/>
      <c r="V1488" s="73"/>
      <c r="W1488" s="73"/>
      <c r="X1488" s="73"/>
      <c r="Y1488" s="73"/>
      <c r="Z1488" s="73"/>
    </row>
    <row r="1489" spans="1:26" ht="12.75" customHeight="1">
      <c r="A1489" s="73"/>
      <c r="B1489" s="32"/>
      <c r="C1489" s="32"/>
      <c r="D1489" s="33"/>
      <c r="E1489" s="32"/>
      <c r="F1489" s="32"/>
      <c r="G1489" s="74"/>
      <c r="H1489" s="32"/>
      <c r="I1489" s="32"/>
      <c r="J1489" s="32"/>
      <c r="K1489" s="74"/>
      <c r="L1489" s="75"/>
      <c r="M1489" s="32"/>
      <c r="N1489" s="32"/>
      <c r="O1489" s="73"/>
      <c r="P1489" s="73"/>
      <c r="Q1489" s="73"/>
      <c r="R1489" s="73"/>
      <c r="S1489" s="73"/>
      <c r="T1489" s="73"/>
      <c r="U1489" s="73"/>
      <c r="V1489" s="73"/>
      <c r="W1489" s="73"/>
      <c r="X1489" s="73"/>
      <c r="Y1489" s="73"/>
      <c r="Z1489" s="73"/>
    </row>
    <row r="1490" spans="1:26" ht="12.75" customHeight="1">
      <c r="A1490" s="73"/>
      <c r="B1490" s="32"/>
      <c r="C1490" s="32"/>
      <c r="D1490" s="33"/>
      <c r="E1490" s="32"/>
      <c r="F1490" s="32"/>
      <c r="G1490" s="74"/>
      <c r="H1490" s="32"/>
      <c r="I1490" s="32"/>
      <c r="J1490" s="32"/>
      <c r="K1490" s="74"/>
      <c r="L1490" s="75"/>
      <c r="M1490" s="32"/>
      <c r="N1490" s="32"/>
      <c r="O1490" s="73"/>
      <c r="P1490" s="73"/>
      <c r="Q1490" s="73"/>
      <c r="R1490" s="73"/>
      <c r="S1490" s="73"/>
      <c r="T1490" s="73"/>
      <c r="U1490" s="73"/>
      <c r="V1490" s="73"/>
      <c r="W1490" s="73"/>
      <c r="X1490" s="73"/>
      <c r="Y1490" s="73"/>
      <c r="Z1490" s="73"/>
    </row>
    <row r="1491" spans="1:26" ht="12.75" customHeight="1">
      <c r="A1491" s="73"/>
      <c r="B1491" s="32"/>
      <c r="C1491" s="32"/>
      <c r="D1491" s="33"/>
      <c r="E1491" s="32"/>
      <c r="F1491" s="32"/>
      <c r="G1491" s="74"/>
      <c r="H1491" s="32"/>
      <c r="I1491" s="32"/>
      <c r="J1491" s="32"/>
      <c r="K1491" s="74"/>
      <c r="L1491" s="75"/>
      <c r="M1491" s="32"/>
      <c r="N1491" s="32"/>
      <c r="O1491" s="73"/>
      <c r="P1491" s="73"/>
      <c r="Q1491" s="73"/>
      <c r="R1491" s="73"/>
      <c r="S1491" s="73"/>
      <c r="T1491" s="73"/>
      <c r="U1491" s="73"/>
      <c r="V1491" s="73"/>
      <c r="W1491" s="73"/>
      <c r="X1491" s="73"/>
      <c r="Y1491" s="73"/>
      <c r="Z1491" s="73"/>
    </row>
    <row r="1492" spans="1:26" ht="12.75" customHeight="1">
      <c r="A1492" s="73"/>
      <c r="B1492" s="32"/>
      <c r="C1492" s="32"/>
      <c r="D1492" s="33"/>
      <c r="E1492" s="32"/>
      <c r="F1492" s="32"/>
      <c r="G1492" s="74"/>
      <c r="H1492" s="32"/>
      <c r="I1492" s="32"/>
      <c r="J1492" s="32"/>
      <c r="K1492" s="74"/>
      <c r="L1492" s="75"/>
      <c r="M1492" s="32"/>
      <c r="N1492" s="32"/>
      <c r="O1492" s="73"/>
      <c r="P1492" s="73"/>
      <c r="Q1492" s="73"/>
      <c r="R1492" s="73"/>
      <c r="S1492" s="73"/>
      <c r="T1492" s="73"/>
      <c r="U1492" s="73"/>
      <c r="V1492" s="73"/>
      <c r="W1492" s="73"/>
      <c r="X1492" s="73"/>
      <c r="Y1492" s="73"/>
      <c r="Z1492" s="73"/>
    </row>
    <row r="1493" spans="1:26" ht="12.75" customHeight="1">
      <c r="A1493" s="73"/>
      <c r="B1493" s="32"/>
      <c r="C1493" s="32"/>
      <c r="D1493" s="33"/>
      <c r="E1493" s="32"/>
      <c r="F1493" s="32"/>
      <c r="G1493" s="74"/>
      <c r="H1493" s="32"/>
      <c r="I1493" s="32"/>
      <c r="J1493" s="32"/>
      <c r="K1493" s="74"/>
      <c r="L1493" s="75"/>
      <c r="M1493" s="32"/>
      <c r="N1493" s="32"/>
      <c r="O1493" s="73"/>
      <c r="P1493" s="73"/>
      <c r="Q1493" s="73"/>
      <c r="R1493" s="73"/>
      <c r="S1493" s="73"/>
      <c r="T1493" s="73"/>
      <c r="U1493" s="73"/>
      <c r="V1493" s="73"/>
      <c r="W1493" s="73"/>
      <c r="X1493" s="73"/>
      <c r="Y1493" s="73"/>
      <c r="Z1493" s="73"/>
    </row>
    <row r="1494" spans="1:26" ht="12.75" customHeight="1">
      <c r="A1494" s="73"/>
      <c r="B1494" s="32"/>
      <c r="C1494" s="32"/>
      <c r="D1494" s="33"/>
      <c r="E1494" s="32"/>
      <c r="F1494" s="32"/>
      <c r="G1494" s="74"/>
      <c r="H1494" s="32"/>
      <c r="I1494" s="32"/>
      <c r="J1494" s="32"/>
      <c r="K1494" s="74"/>
      <c r="L1494" s="75"/>
      <c r="M1494" s="32"/>
      <c r="N1494" s="32"/>
      <c r="O1494" s="73"/>
      <c r="P1494" s="73"/>
      <c r="Q1494" s="73"/>
      <c r="R1494" s="73"/>
      <c r="S1494" s="73"/>
      <c r="T1494" s="73"/>
      <c r="U1494" s="73"/>
      <c r="V1494" s="73"/>
      <c r="W1494" s="73"/>
      <c r="X1494" s="73"/>
      <c r="Y1494" s="73"/>
      <c r="Z1494" s="73"/>
    </row>
    <row r="1495" spans="1:26" ht="12.75" customHeight="1">
      <c r="A1495" s="73"/>
      <c r="B1495" s="32"/>
      <c r="C1495" s="32"/>
      <c r="D1495" s="33"/>
      <c r="E1495" s="32"/>
      <c r="F1495" s="32"/>
      <c r="G1495" s="74"/>
      <c r="H1495" s="32"/>
      <c r="I1495" s="32"/>
      <c r="J1495" s="32"/>
      <c r="K1495" s="74"/>
      <c r="L1495" s="75"/>
      <c r="M1495" s="32"/>
      <c r="N1495" s="32"/>
      <c r="O1495" s="73"/>
      <c r="P1495" s="73"/>
      <c r="Q1495" s="73"/>
      <c r="R1495" s="73"/>
      <c r="S1495" s="73"/>
      <c r="T1495" s="73"/>
      <c r="U1495" s="73"/>
      <c r="V1495" s="73"/>
      <c r="W1495" s="73"/>
      <c r="X1495" s="73"/>
      <c r="Y1495" s="73"/>
      <c r="Z1495" s="73"/>
    </row>
    <row r="1496" spans="1:26" ht="12.75" customHeight="1">
      <c r="A1496" s="73"/>
      <c r="B1496" s="32"/>
      <c r="C1496" s="32"/>
      <c r="D1496" s="33"/>
      <c r="E1496" s="32"/>
      <c r="F1496" s="32"/>
      <c r="G1496" s="74"/>
      <c r="H1496" s="32"/>
      <c r="I1496" s="32"/>
      <c r="J1496" s="32"/>
      <c r="K1496" s="74"/>
      <c r="L1496" s="75"/>
      <c r="M1496" s="32"/>
      <c r="N1496" s="32"/>
      <c r="O1496" s="73"/>
      <c r="P1496" s="73"/>
      <c r="Q1496" s="73"/>
      <c r="R1496" s="73"/>
      <c r="S1496" s="73"/>
      <c r="T1496" s="73"/>
      <c r="U1496" s="73"/>
      <c r="V1496" s="73"/>
      <c r="W1496" s="73"/>
      <c r="X1496" s="73"/>
      <c r="Y1496" s="73"/>
      <c r="Z1496" s="73"/>
    </row>
    <row r="1497" spans="1:26" ht="12.75" customHeight="1">
      <c r="A1497" s="73"/>
      <c r="B1497" s="32"/>
      <c r="C1497" s="32"/>
      <c r="D1497" s="33"/>
      <c r="E1497" s="32"/>
      <c r="F1497" s="32"/>
      <c r="G1497" s="74"/>
      <c r="H1497" s="32"/>
      <c r="I1497" s="32"/>
      <c r="J1497" s="32"/>
      <c r="K1497" s="74"/>
      <c r="L1497" s="75"/>
      <c r="M1497" s="32"/>
      <c r="N1497" s="32"/>
      <c r="O1497" s="73"/>
      <c r="P1497" s="73"/>
      <c r="Q1497" s="73"/>
      <c r="R1497" s="73"/>
      <c r="S1497" s="73"/>
      <c r="T1497" s="73"/>
      <c r="U1497" s="73"/>
      <c r="V1497" s="73"/>
      <c r="W1497" s="73"/>
      <c r="X1497" s="73"/>
      <c r="Y1497" s="73"/>
      <c r="Z1497" s="73"/>
    </row>
    <row r="1498" spans="1:26" ht="12.75" customHeight="1">
      <c r="A1498" s="73"/>
      <c r="B1498" s="32"/>
      <c r="C1498" s="32"/>
      <c r="D1498" s="33"/>
      <c r="E1498" s="32"/>
      <c r="F1498" s="32"/>
      <c r="G1498" s="74"/>
      <c r="H1498" s="32"/>
      <c r="I1498" s="32"/>
      <c r="J1498" s="32"/>
      <c r="K1498" s="74"/>
      <c r="L1498" s="75"/>
      <c r="M1498" s="32"/>
      <c r="N1498" s="32"/>
      <c r="O1498" s="73"/>
      <c r="P1498" s="73"/>
      <c r="Q1498" s="73"/>
      <c r="R1498" s="73"/>
      <c r="S1498" s="73"/>
      <c r="T1498" s="73"/>
      <c r="U1498" s="73"/>
      <c r="V1498" s="73"/>
      <c r="W1498" s="73"/>
      <c r="X1498" s="73"/>
      <c r="Y1498" s="73"/>
      <c r="Z1498" s="73"/>
    </row>
    <row r="1499" spans="1:26" ht="12.75" customHeight="1">
      <c r="A1499" s="73"/>
      <c r="B1499" s="32"/>
      <c r="C1499" s="32"/>
      <c r="D1499" s="33"/>
      <c r="E1499" s="32"/>
      <c r="F1499" s="32"/>
      <c r="G1499" s="74"/>
      <c r="H1499" s="32"/>
      <c r="I1499" s="32"/>
      <c r="J1499" s="32"/>
      <c r="K1499" s="74"/>
      <c r="L1499" s="75"/>
      <c r="M1499" s="32"/>
      <c r="N1499" s="32"/>
      <c r="O1499" s="73"/>
      <c r="P1499" s="73"/>
      <c r="Q1499" s="73"/>
      <c r="R1499" s="73"/>
      <c r="S1499" s="73"/>
      <c r="T1499" s="73"/>
      <c r="U1499" s="73"/>
      <c r="V1499" s="73"/>
      <c r="W1499" s="73"/>
      <c r="X1499" s="73"/>
      <c r="Y1499" s="73"/>
      <c r="Z1499" s="73"/>
    </row>
    <row r="1500" spans="1:26" ht="12.75" customHeight="1">
      <c r="A1500" s="73"/>
      <c r="B1500" s="32"/>
      <c r="C1500" s="32"/>
      <c r="D1500" s="33"/>
      <c r="E1500" s="32"/>
      <c r="F1500" s="32"/>
      <c r="G1500" s="74"/>
      <c r="H1500" s="32"/>
      <c r="I1500" s="32"/>
      <c r="J1500" s="32"/>
      <c r="K1500" s="74"/>
      <c r="L1500" s="75"/>
      <c r="M1500" s="32"/>
      <c r="N1500" s="32"/>
      <c r="O1500" s="73"/>
      <c r="P1500" s="73"/>
      <c r="Q1500" s="73"/>
      <c r="R1500" s="73"/>
      <c r="S1500" s="73"/>
      <c r="T1500" s="73"/>
      <c r="U1500" s="73"/>
      <c r="V1500" s="73"/>
      <c r="W1500" s="73"/>
      <c r="X1500" s="73"/>
      <c r="Y1500" s="73"/>
      <c r="Z1500" s="73"/>
    </row>
    <row r="1501" spans="1:26" ht="12.75" customHeight="1">
      <c r="A1501" s="73"/>
      <c r="B1501" s="32"/>
      <c r="C1501" s="32"/>
      <c r="D1501" s="33"/>
      <c r="E1501" s="32"/>
      <c r="F1501" s="32"/>
      <c r="G1501" s="74"/>
      <c r="H1501" s="32"/>
      <c r="I1501" s="32"/>
      <c r="J1501" s="32"/>
      <c r="K1501" s="74"/>
      <c r="L1501" s="75"/>
      <c r="M1501" s="32"/>
      <c r="N1501" s="32"/>
      <c r="O1501" s="73"/>
      <c r="P1501" s="73"/>
      <c r="Q1501" s="73"/>
      <c r="R1501" s="73"/>
      <c r="S1501" s="73"/>
      <c r="T1501" s="73"/>
      <c r="U1501" s="73"/>
      <c r="V1501" s="73"/>
      <c r="W1501" s="73"/>
      <c r="X1501" s="73"/>
      <c r="Y1501" s="73"/>
      <c r="Z1501" s="73"/>
    </row>
    <row r="1502" spans="1:26" ht="12.75" customHeight="1">
      <c r="A1502" s="73"/>
      <c r="B1502" s="32"/>
      <c r="C1502" s="32"/>
      <c r="D1502" s="33"/>
      <c r="E1502" s="32"/>
      <c r="F1502" s="32"/>
      <c r="G1502" s="74"/>
      <c r="H1502" s="32"/>
      <c r="I1502" s="32"/>
      <c r="J1502" s="32"/>
      <c r="K1502" s="74"/>
      <c r="L1502" s="75"/>
      <c r="M1502" s="32"/>
      <c r="N1502" s="32"/>
      <c r="O1502" s="73"/>
      <c r="P1502" s="73"/>
      <c r="Q1502" s="73"/>
      <c r="R1502" s="73"/>
      <c r="S1502" s="73"/>
      <c r="T1502" s="73"/>
      <c r="U1502" s="73"/>
      <c r="V1502" s="73"/>
      <c r="W1502" s="73"/>
      <c r="X1502" s="73"/>
      <c r="Y1502" s="73"/>
      <c r="Z1502" s="73"/>
    </row>
    <row r="1503" spans="1:26" ht="12.75" customHeight="1">
      <c r="A1503" s="73"/>
      <c r="B1503" s="32"/>
      <c r="C1503" s="32"/>
      <c r="D1503" s="33"/>
      <c r="E1503" s="32"/>
      <c r="F1503" s="32"/>
      <c r="G1503" s="74"/>
      <c r="H1503" s="32"/>
      <c r="I1503" s="32"/>
      <c r="J1503" s="32"/>
      <c r="K1503" s="74"/>
      <c r="L1503" s="75"/>
      <c r="M1503" s="32"/>
      <c r="N1503" s="32"/>
      <c r="O1503" s="73"/>
      <c r="P1503" s="73"/>
      <c r="Q1503" s="73"/>
      <c r="R1503" s="73"/>
      <c r="S1503" s="73"/>
      <c r="T1503" s="73"/>
      <c r="U1503" s="73"/>
      <c r="V1503" s="73"/>
      <c r="W1503" s="73"/>
      <c r="X1503" s="73"/>
      <c r="Y1503" s="73"/>
      <c r="Z1503" s="73"/>
    </row>
    <row r="1504" spans="1:26" ht="12.75" customHeight="1">
      <c r="A1504" s="73"/>
      <c r="B1504" s="32"/>
      <c r="C1504" s="32"/>
      <c r="D1504" s="33"/>
      <c r="E1504" s="32"/>
      <c r="F1504" s="32"/>
      <c r="G1504" s="74"/>
      <c r="H1504" s="32"/>
      <c r="I1504" s="32"/>
      <c r="J1504" s="32"/>
      <c r="K1504" s="74"/>
      <c r="L1504" s="75"/>
      <c r="M1504" s="32"/>
      <c r="N1504" s="32"/>
      <c r="O1504" s="73"/>
      <c r="P1504" s="73"/>
      <c r="Q1504" s="73"/>
      <c r="R1504" s="73"/>
      <c r="S1504" s="73"/>
      <c r="T1504" s="73"/>
      <c r="U1504" s="73"/>
      <c r="V1504" s="73"/>
      <c r="W1504" s="73"/>
      <c r="X1504" s="73"/>
      <c r="Y1504" s="73"/>
      <c r="Z1504" s="73"/>
    </row>
    <row r="1505" spans="1:26" ht="12.75" customHeight="1">
      <c r="A1505" s="73"/>
      <c r="B1505" s="32"/>
      <c r="C1505" s="32"/>
      <c r="D1505" s="33"/>
      <c r="E1505" s="32"/>
      <c r="F1505" s="32"/>
      <c r="G1505" s="74"/>
      <c r="H1505" s="32"/>
      <c r="I1505" s="32"/>
      <c r="J1505" s="32"/>
      <c r="K1505" s="74"/>
      <c r="L1505" s="75"/>
      <c r="M1505" s="32"/>
      <c r="N1505" s="32"/>
      <c r="O1505" s="73"/>
      <c r="P1505" s="73"/>
      <c r="Q1505" s="73"/>
      <c r="R1505" s="73"/>
      <c r="S1505" s="73"/>
      <c r="T1505" s="73"/>
      <c r="U1505" s="73"/>
      <c r="V1505" s="73"/>
      <c r="W1505" s="73"/>
      <c r="X1505" s="73"/>
      <c r="Y1505" s="73"/>
      <c r="Z1505" s="73"/>
    </row>
    <row r="1506" spans="1:26" ht="12.75" customHeight="1">
      <c r="A1506" s="73"/>
      <c r="B1506" s="32"/>
      <c r="C1506" s="32"/>
      <c r="D1506" s="33"/>
      <c r="E1506" s="32"/>
      <c r="F1506" s="32"/>
      <c r="G1506" s="74"/>
      <c r="H1506" s="32"/>
      <c r="I1506" s="32"/>
      <c r="J1506" s="32"/>
      <c r="K1506" s="74"/>
      <c r="L1506" s="75"/>
      <c r="M1506" s="32"/>
      <c r="N1506" s="32"/>
      <c r="O1506" s="73"/>
      <c r="P1506" s="73"/>
      <c r="Q1506" s="73"/>
      <c r="R1506" s="73"/>
      <c r="S1506" s="73"/>
      <c r="T1506" s="73"/>
      <c r="U1506" s="73"/>
      <c r="V1506" s="73"/>
      <c r="W1506" s="73"/>
      <c r="X1506" s="73"/>
      <c r="Y1506" s="73"/>
      <c r="Z1506" s="73"/>
    </row>
    <row r="1507" spans="1:26" ht="12.75" customHeight="1">
      <c r="A1507" s="73"/>
      <c r="B1507" s="32"/>
      <c r="C1507" s="32"/>
      <c r="D1507" s="33"/>
      <c r="E1507" s="32"/>
      <c r="F1507" s="32"/>
      <c r="G1507" s="74"/>
      <c r="H1507" s="32"/>
      <c r="I1507" s="32"/>
      <c r="J1507" s="32"/>
      <c r="K1507" s="74"/>
      <c r="L1507" s="75"/>
      <c r="M1507" s="32"/>
      <c r="N1507" s="32"/>
      <c r="O1507" s="73"/>
      <c r="P1507" s="73"/>
      <c r="Q1507" s="73"/>
      <c r="R1507" s="73"/>
      <c r="S1507" s="73"/>
      <c r="T1507" s="73"/>
      <c r="U1507" s="73"/>
      <c r="V1507" s="73"/>
      <c r="W1507" s="73"/>
      <c r="X1507" s="73"/>
      <c r="Y1507" s="73"/>
      <c r="Z1507" s="73"/>
    </row>
    <row r="1508" spans="1:26" ht="12.75" customHeight="1">
      <c r="A1508" s="73"/>
      <c r="B1508" s="32"/>
      <c r="C1508" s="32"/>
      <c r="D1508" s="33"/>
      <c r="E1508" s="32"/>
      <c r="F1508" s="32"/>
      <c r="G1508" s="74"/>
      <c r="H1508" s="32"/>
      <c r="I1508" s="32"/>
      <c r="J1508" s="32"/>
      <c r="K1508" s="74"/>
      <c r="L1508" s="75"/>
      <c r="M1508" s="32"/>
      <c r="N1508" s="32"/>
      <c r="O1508" s="73"/>
      <c r="P1508" s="73"/>
      <c r="Q1508" s="73"/>
      <c r="R1508" s="73"/>
      <c r="S1508" s="73"/>
      <c r="T1508" s="73"/>
      <c r="U1508" s="73"/>
      <c r="V1508" s="73"/>
      <c r="W1508" s="73"/>
      <c r="X1508" s="73"/>
      <c r="Y1508" s="73"/>
      <c r="Z1508" s="73"/>
    </row>
    <row r="1509" spans="1:26" ht="12.75" customHeight="1">
      <c r="A1509" s="73"/>
      <c r="B1509" s="32"/>
      <c r="C1509" s="32"/>
      <c r="D1509" s="33"/>
      <c r="E1509" s="32"/>
      <c r="F1509" s="32"/>
      <c r="G1509" s="74"/>
      <c r="H1509" s="32"/>
      <c r="I1509" s="32"/>
      <c r="J1509" s="32"/>
      <c r="K1509" s="74"/>
      <c r="L1509" s="75"/>
      <c r="M1509" s="32"/>
      <c r="N1509" s="32"/>
      <c r="O1509" s="73"/>
      <c r="P1509" s="73"/>
      <c r="Q1509" s="73"/>
      <c r="R1509" s="73"/>
      <c r="S1509" s="73"/>
      <c r="T1509" s="73"/>
      <c r="U1509" s="73"/>
      <c r="V1509" s="73"/>
      <c r="W1509" s="73"/>
      <c r="X1509" s="73"/>
      <c r="Y1509" s="73"/>
      <c r="Z1509" s="73"/>
    </row>
    <row r="1510" spans="1:26" ht="12.75" customHeight="1">
      <c r="A1510" s="73"/>
      <c r="B1510" s="32"/>
      <c r="C1510" s="32"/>
      <c r="D1510" s="33"/>
      <c r="E1510" s="32"/>
      <c r="F1510" s="32"/>
      <c r="G1510" s="74"/>
      <c r="H1510" s="32"/>
      <c r="I1510" s="32"/>
      <c r="J1510" s="32"/>
      <c r="K1510" s="74"/>
      <c r="L1510" s="75"/>
      <c r="M1510" s="32"/>
      <c r="N1510" s="32"/>
      <c r="O1510" s="73"/>
      <c r="P1510" s="73"/>
      <c r="Q1510" s="73"/>
      <c r="R1510" s="73"/>
      <c r="S1510" s="73"/>
      <c r="T1510" s="73"/>
      <c r="U1510" s="73"/>
      <c r="V1510" s="73"/>
      <c r="W1510" s="73"/>
      <c r="X1510" s="73"/>
      <c r="Y1510" s="73"/>
      <c r="Z1510" s="73"/>
    </row>
    <row r="1511" spans="1:26" ht="12.75" customHeight="1">
      <c r="A1511" s="73"/>
      <c r="B1511" s="32"/>
      <c r="C1511" s="32"/>
      <c r="D1511" s="33"/>
      <c r="E1511" s="32"/>
      <c r="F1511" s="32"/>
      <c r="G1511" s="74"/>
      <c r="H1511" s="32"/>
      <c r="I1511" s="32"/>
      <c r="J1511" s="32"/>
      <c r="K1511" s="74"/>
      <c r="L1511" s="75"/>
      <c r="M1511" s="32"/>
      <c r="N1511" s="32"/>
      <c r="O1511" s="73"/>
      <c r="P1511" s="73"/>
      <c r="Q1511" s="73"/>
      <c r="R1511" s="73"/>
      <c r="S1511" s="73"/>
      <c r="T1511" s="73"/>
      <c r="U1511" s="73"/>
      <c r="V1511" s="73"/>
      <c r="W1511" s="73"/>
      <c r="X1511" s="73"/>
      <c r="Y1511" s="73"/>
      <c r="Z1511" s="73"/>
    </row>
    <row r="1512" spans="1:26" ht="12.75" customHeight="1">
      <c r="A1512" s="73"/>
      <c r="B1512" s="32"/>
      <c r="C1512" s="32"/>
      <c r="D1512" s="33"/>
      <c r="E1512" s="32"/>
      <c r="F1512" s="32"/>
      <c r="G1512" s="74"/>
      <c r="H1512" s="32"/>
      <c r="I1512" s="32"/>
      <c r="J1512" s="32"/>
      <c r="K1512" s="74"/>
      <c r="L1512" s="75"/>
      <c r="M1512" s="32"/>
      <c r="N1512" s="32"/>
      <c r="O1512" s="73"/>
      <c r="P1512" s="73"/>
      <c r="Q1512" s="73"/>
      <c r="R1512" s="73"/>
      <c r="S1512" s="73"/>
      <c r="T1512" s="73"/>
      <c r="U1512" s="73"/>
      <c r="V1512" s="73"/>
      <c r="W1512" s="73"/>
      <c r="X1512" s="73"/>
      <c r="Y1512" s="73"/>
      <c r="Z1512" s="73"/>
    </row>
    <row r="1513" spans="1:26" ht="12.75" customHeight="1">
      <c r="A1513" s="73"/>
      <c r="B1513" s="32"/>
      <c r="C1513" s="32"/>
      <c r="D1513" s="33"/>
      <c r="E1513" s="32"/>
      <c r="F1513" s="32"/>
      <c r="G1513" s="74"/>
      <c r="H1513" s="32"/>
      <c r="I1513" s="32"/>
      <c r="J1513" s="32"/>
      <c r="K1513" s="74"/>
      <c r="L1513" s="75"/>
      <c r="M1513" s="32"/>
      <c r="N1513" s="32"/>
      <c r="O1513" s="73"/>
      <c r="P1513" s="73"/>
      <c r="Q1513" s="73"/>
      <c r="R1513" s="73"/>
      <c r="S1513" s="73"/>
      <c r="T1513" s="73"/>
      <c r="U1513" s="73"/>
      <c r="V1513" s="73"/>
      <c r="W1513" s="73"/>
      <c r="X1513" s="73"/>
      <c r="Y1513" s="73"/>
      <c r="Z1513" s="73"/>
    </row>
    <row r="1514" spans="1:26" ht="12.75" customHeight="1">
      <c r="A1514" s="73"/>
      <c r="B1514" s="32"/>
      <c r="C1514" s="32"/>
      <c r="D1514" s="33"/>
      <c r="E1514" s="32"/>
      <c r="F1514" s="32"/>
      <c r="G1514" s="74"/>
      <c r="H1514" s="32"/>
      <c r="I1514" s="32"/>
      <c r="J1514" s="32"/>
      <c r="K1514" s="74"/>
      <c r="L1514" s="75"/>
      <c r="M1514" s="32"/>
      <c r="N1514" s="32"/>
      <c r="O1514" s="73"/>
      <c r="P1514" s="73"/>
      <c r="Q1514" s="73"/>
      <c r="R1514" s="73"/>
      <c r="S1514" s="73"/>
      <c r="T1514" s="73"/>
      <c r="U1514" s="73"/>
      <c r="V1514" s="73"/>
      <c r="W1514" s="73"/>
      <c r="X1514" s="73"/>
      <c r="Y1514" s="73"/>
      <c r="Z1514" s="73"/>
    </row>
    <row r="1515" spans="1:26" ht="12.75" customHeight="1">
      <c r="A1515" s="73"/>
      <c r="B1515" s="32"/>
      <c r="C1515" s="32"/>
      <c r="D1515" s="33"/>
      <c r="E1515" s="32"/>
      <c r="F1515" s="32"/>
      <c r="G1515" s="74"/>
      <c r="H1515" s="32"/>
      <c r="I1515" s="32"/>
      <c r="J1515" s="32"/>
      <c r="K1515" s="74"/>
      <c r="L1515" s="75"/>
      <c r="M1515" s="32"/>
      <c r="N1515" s="32"/>
      <c r="O1515" s="73"/>
      <c r="P1515" s="73"/>
      <c r="Q1515" s="73"/>
      <c r="R1515" s="73"/>
      <c r="S1515" s="73"/>
      <c r="T1515" s="73"/>
      <c r="U1515" s="73"/>
      <c r="V1515" s="73"/>
      <c r="W1515" s="73"/>
      <c r="X1515" s="73"/>
      <c r="Y1515" s="73"/>
      <c r="Z1515" s="73"/>
    </row>
    <row r="1516" spans="1:26" ht="12.75" customHeight="1">
      <c r="A1516" s="73"/>
      <c r="B1516" s="32"/>
      <c r="C1516" s="32"/>
      <c r="D1516" s="33"/>
      <c r="E1516" s="32"/>
      <c r="F1516" s="32"/>
      <c r="G1516" s="74"/>
      <c r="H1516" s="32"/>
      <c r="I1516" s="32"/>
      <c r="J1516" s="32"/>
      <c r="K1516" s="74"/>
      <c r="L1516" s="75"/>
      <c r="M1516" s="32"/>
      <c r="N1516" s="32"/>
      <c r="O1516" s="73"/>
      <c r="P1516" s="73"/>
      <c r="Q1516" s="73"/>
      <c r="R1516" s="73"/>
      <c r="S1516" s="73"/>
      <c r="T1516" s="73"/>
      <c r="U1516" s="73"/>
      <c r="V1516" s="73"/>
      <c r="W1516" s="73"/>
      <c r="X1516" s="73"/>
      <c r="Y1516" s="73"/>
      <c r="Z1516" s="73"/>
    </row>
    <row r="1517" spans="1:26" ht="12.75" customHeight="1">
      <c r="A1517" s="73"/>
      <c r="B1517" s="32"/>
      <c r="C1517" s="32"/>
      <c r="D1517" s="33"/>
      <c r="E1517" s="32"/>
      <c r="F1517" s="32"/>
      <c r="G1517" s="74"/>
      <c r="H1517" s="32"/>
      <c r="I1517" s="32"/>
      <c r="J1517" s="32"/>
      <c r="K1517" s="74"/>
      <c r="L1517" s="75"/>
      <c r="M1517" s="32"/>
      <c r="N1517" s="32"/>
      <c r="O1517" s="73"/>
      <c r="P1517" s="73"/>
      <c r="Q1517" s="73"/>
      <c r="R1517" s="73"/>
      <c r="S1517" s="73"/>
      <c r="T1517" s="73"/>
      <c r="U1517" s="73"/>
      <c r="V1517" s="73"/>
      <c r="W1517" s="73"/>
      <c r="X1517" s="73"/>
      <c r="Y1517" s="73"/>
      <c r="Z1517" s="73"/>
    </row>
    <row r="1518" spans="1:26" ht="12.75" customHeight="1">
      <c r="A1518" s="73"/>
      <c r="B1518" s="32"/>
      <c r="C1518" s="32"/>
      <c r="D1518" s="33"/>
      <c r="E1518" s="32"/>
      <c r="F1518" s="32"/>
      <c r="G1518" s="74"/>
      <c r="H1518" s="32"/>
      <c r="I1518" s="32"/>
      <c r="J1518" s="32"/>
      <c r="K1518" s="74"/>
      <c r="L1518" s="75"/>
      <c r="M1518" s="32"/>
      <c r="N1518" s="32"/>
      <c r="O1518" s="73"/>
      <c r="P1518" s="73"/>
      <c r="Q1518" s="73"/>
      <c r="R1518" s="73"/>
      <c r="S1518" s="73"/>
      <c r="T1518" s="73"/>
      <c r="U1518" s="73"/>
      <c r="V1518" s="73"/>
      <c r="W1518" s="73"/>
      <c r="X1518" s="73"/>
      <c r="Y1518" s="73"/>
      <c r="Z1518" s="73"/>
    </row>
    <row r="1519" spans="1:26" ht="12.75" customHeight="1">
      <c r="A1519" s="73"/>
      <c r="B1519" s="32"/>
      <c r="C1519" s="32"/>
      <c r="D1519" s="33"/>
      <c r="E1519" s="32"/>
      <c r="F1519" s="32"/>
      <c r="G1519" s="74"/>
      <c r="H1519" s="32"/>
      <c r="I1519" s="32"/>
      <c r="J1519" s="32"/>
      <c r="K1519" s="74"/>
      <c r="L1519" s="75"/>
      <c r="M1519" s="32"/>
      <c r="N1519" s="32"/>
      <c r="O1519" s="73"/>
      <c r="P1519" s="73"/>
      <c r="Q1519" s="73"/>
      <c r="R1519" s="73"/>
      <c r="S1519" s="73"/>
      <c r="T1519" s="73"/>
      <c r="U1519" s="73"/>
      <c r="V1519" s="73"/>
      <c r="W1519" s="73"/>
      <c r="X1519" s="73"/>
      <c r="Y1519" s="73"/>
      <c r="Z1519" s="73"/>
    </row>
    <row r="1520" spans="1:26" ht="12.75" customHeight="1">
      <c r="A1520" s="73"/>
      <c r="B1520" s="32"/>
      <c r="C1520" s="32"/>
      <c r="D1520" s="33"/>
      <c r="E1520" s="32"/>
      <c r="F1520" s="32"/>
      <c r="G1520" s="74"/>
      <c r="H1520" s="32"/>
      <c r="I1520" s="32"/>
      <c r="J1520" s="32"/>
      <c r="K1520" s="74"/>
      <c r="L1520" s="75"/>
      <c r="M1520" s="32"/>
      <c r="N1520" s="32"/>
      <c r="O1520" s="73"/>
      <c r="P1520" s="73"/>
      <c r="Q1520" s="73"/>
      <c r="R1520" s="73"/>
      <c r="S1520" s="73"/>
      <c r="T1520" s="73"/>
      <c r="U1520" s="73"/>
      <c r="V1520" s="73"/>
      <c r="W1520" s="73"/>
      <c r="X1520" s="73"/>
      <c r="Y1520" s="73"/>
      <c r="Z1520" s="73"/>
    </row>
    <row r="1521" spans="1:26" ht="12.75" customHeight="1">
      <c r="A1521" s="73"/>
      <c r="B1521" s="32"/>
      <c r="C1521" s="32"/>
      <c r="D1521" s="33"/>
      <c r="E1521" s="32"/>
      <c r="F1521" s="32"/>
      <c r="G1521" s="74"/>
      <c r="H1521" s="32"/>
      <c r="I1521" s="32"/>
      <c r="J1521" s="32"/>
      <c r="K1521" s="74"/>
      <c r="L1521" s="75"/>
      <c r="M1521" s="32"/>
      <c r="N1521" s="32"/>
      <c r="O1521" s="73"/>
      <c r="P1521" s="73"/>
      <c r="Q1521" s="73"/>
      <c r="R1521" s="73"/>
      <c r="S1521" s="73"/>
      <c r="T1521" s="73"/>
      <c r="U1521" s="73"/>
      <c r="V1521" s="73"/>
      <c r="W1521" s="73"/>
      <c r="X1521" s="73"/>
      <c r="Y1521" s="73"/>
      <c r="Z1521" s="73"/>
    </row>
    <row r="1522" spans="1:26" ht="12.75" customHeight="1">
      <c r="A1522" s="73"/>
      <c r="B1522" s="32"/>
      <c r="C1522" s="32"/>
      <c r="D1522" s="33"/>
      <c r="E1522" s="32"/>
      <c r="F1522" s="32"/>
      <c r="G1522" s="74"/>
      <c r="H1522" s="32"/>
      <c r="I1522" s="32"/>
      <c r="J1522" s="32"/>
      <c r="K1522" s="74"/>
      <c r="L1522" s="75"/>
      <c r="M1522" s="32"/>
      <c r="N1522" s="32"/>
      <c r="O1522" s="73"/>
      <c r="P1522" s="73"/>
      <c r="Q1522" s="73"/>
      <c r="R1522" s="73"/>
      <c r="S1522" s="73"/>
      <c r="T1522" s="73"/>
      <c r="U1522" s="73"/>
      <c r="V1522" s="73"/>
      <c r="W1522" s="73"/>
      <c r="X1522" s="73"/>
      <c r="Y1522" s="73"/>
      <c r="Z1522" s="73"/>
    </row>
    <row r="1523" spans="1:26" ht="12.75" customHeight="1">
      <c r="A1523" s="73"/>
      <c r="B1523" s="32"/>
      <c r="C1523" s="32"/>
      <c r="D1523" s="33"/>
      <c r="E1523" s="32"/>
      <c r="F1523" s="32"/>
      <c r="G1523" s="74"/>
      <c r="H1523" s="32"/>
      <c r="I1523" s="32"/>
      <c r="J1523" s="32"/>
      <c r="K1523" s="74"/>
      <c r="L1523" s="75"/>
      <c r="M1523" s="32"/>
      <c r="N1523" s="32"/>
      <c r="O1523" s="73"/>
      <c r="P1523" s="73"/>
      <c r="Q1523" s="73"/>
      <c r="R1523" s="73"/>
      <c r="S1523" s="73"/>
      <c r="T1523" s="73"/>
      <c r="U1523" s="73"/>
      <c r="V1523" s="73"/>
      <c r="W1523" s="73"/>
      <c r="X1523" s="73"/>
      <c r="Y1523" s="73"/>
      <c r="Z1523" s="73"/>
    </row>
    <row r="1524" spans="1:26" ht="12.75" customHeight="1">
      <c r="A1524" s="73"/>
      <c r="B1524" s="32"/>
      <c r="C1524" s="32"/>
      <c r="D1524" s="33"/>
      <c r="E1524" s="32"/>
      <c r="F1524" s="32"/>
      <c r="G1524" s="74"/>
      <c r="H1524" s="32"/>
      <c r="I1524" s="32"/>
      <c r="J1524" s="32"/>
      <c r="K1524" s="74"/>
      <c r="L1524" s="75"/>
      <c r="M1524" s="32"/>
      <c r="N1524" s="32"/>
      <c r="O1524" s="73"/>
      <c r="P1524" s="73"/>
      <c r="Q1524" s="73"/>
      <c r="R1524" s="73"/>
      <c r="S1524" s="73"/>
      <c r="T1524" s="73"/>
      <c r="U1524" s="73"/>
      <c r="V1524" s="73"/>
      <c r="W1524" s="73"/>
      <c r="X1524" s="73"/>
      <c r="Y1524" s="73"/>
      <c r="Z1524" s="73"/>
    </row>
    <row r="1525" spans="1:26" ht="12.75" customHeight="1">
      <c r="A1525" s="73"/>
      <c r="B1525" s="32"/>
      <c r="C1525" s="32"/>
      <c r="D1525" s="33"/>
      <c r="E1525" s="32"/>
      <c r="F1525" s="32"/>
      <c r="G1525" s="74"/>
      <c r="H1525" s="32"/>
      <c r="I1525" s="32"/>
      <c r="J1525" s="32"/>
      <c r="K1525" s="74"/>
      <c r="L1525" s="75"/>
      <c r="M1525" s="32"/>
      <c r="N1525" s="32"/>
      <c r="O1525" s="73"/>
      <c r="P1525" s="73"/>
      <c r="Q1525" s="73"/>
      <c r="R1525" s="73"/>
      <c r="S1525" s="73"/>
      <c r="T1525" s="73"/>
      <c r="U1525" s="73"/>
      <c r="V1525" s="73"/>
      <c r="W1525" s="73"/>
      <c r="X1525" s="73"/>
      <c r="Y1525" s="73"/>
      <c r="Z1525" s="73"/>
    </row>
    <row r="1526" spans="1:26" ht="12.75" customHeight="1">
      <c r="A1526" s="73"/>
      <c r="B1526" s="32"/>
      <c r="C1526" s="32"/>
      <c r="D1526" s="33"/>
      <c r="E1526" s="32"/>
      <c r="F1526" s="32"/>
      <c r="G1526" s="74"/>
      <c r="H1526" s="32"/>
      <c r="I1526" s="32"/>
      <c r="J1526" s="32"/>
      <c r="K1526" s="74"/>
      <c r="L1526" s="75"/>
      <c r="M1526" s="32"/>
      <c r="N1526" s="32"/>
      <c r="O1526" s="73"/>
      <c r="P1526" s="73"/>
      <c r="Q1526" s="73"/>
      <c r="R1526" s="73"/>
      <c r="S1526" s="73"/>
      <c r="T1526" s="73"/>
      <c r="U1526" s="73"/>
      <c r="V1526" s="73"/>
      <c r="W1526" s="73"/>
      <c r="X1526" s="73"/>
      <c r="Y1526" s="73"/>
      <c r="Z1526" s="73"/>
    </row>
    <row r="1527" spans="1:26" ht="12.75" customHeight="1">
      <c r="A1527" s="73"/>
      <c r="B1527" s="32"/>
      <c r="C1527" s="32"/>
      <c r="D1527" s="33"/>
      <c r="E1527" s="32"/>
      <c r="F1527" s="32"/>
      <c r="G1527" s="74"/>
      <c r="H1527" s="32"/>
      <c r="I1527" s="32"/>
      <c r="J1527" s="32"/>
      <c r="K1527" s="74"/>
      <c r="L1527" s="75"/>
      <c r="M1527" s="32"/>
      <c r="N1527" s="32"/>
      <c r="O1527" s="73"/>
      <c r="P1527" s="73"/>
      <c r="Q1527" s="73"/>
      <c r="R1527" s="73"/>
      <c r="S1527" s="73"/>
      <c r="T1527" s="73"/>
      <c r="U1527" s="73"/>
      <c r="V1527" s="73"/>
      <c r="W1527" s="73"/>
      <c r="X1527" s="73"/>
      <c r="Y1527" s="73"/>
      <c r="Z1527" s="73"/>
    </row>
    <row r="1528" spans="1:26" ht="12.75" customHeight="1">
      <c r="A1528" s="73"/>
      <c r="B1528" s="32"/>
      <c r="C1528" s="32"/>
      <c r="D1528" s="33"/>
      <c r="E1528" s="32"/>
      <c r="F1528" s="32"/>
      <c r="G1528" s="74"/>
      <c r="H1528" s="32"/>
      <c r="I1528" s="32"/>
      <c r="J1528" s="32"/>
      <c r="K1528" s="74"/>
      <c r="L1528" s="75"/>
      <c r="M1528" s="32"/>
      <c r="N1528" s="32"/>
      <c r="O1528" s="73"/>
      <c r="P1528" s="73"/>
      <c r="Q1528" s="73"/>
      <c r="R1528" s="73"/>
      <c r="S1528" s="73"/>
      <c r="T1528" s="73"/>
      <c r="U1528" s="73"/>
      <c r="V1528" s="73"/>
      <c r="W1528" s="73"/>
      <c r="X1528" s="73"/>
      <c r="Y1528" s="73"/>
      <c r="Z1528" s="73"/>
    </row>
    <row r="1529" spans="1:26" ht="12.75" customHeight="1">
      <c r="A1529" s="73"/>
      <c r="B1529" s="32"/>
      <c r="C1529" s="32"/>
      <c r="D1529" s="33"/>
      <c r="E1529" s="32"/>
      <c r="F1529" s="32"/>
      <c r="G1529" s="74"/>
      <c r="H1529" s="32"/>
      <c r="I1529" s="32"/>
      <c r="J1529" s="32"/>
      <c r="K1529" s="74"/>
      <c r="L1529" s="75"/>
      <c r="M1529" s="32"/>
      <c r="N1529" s="32"/>
      <c r="O1529" s="73"/>
      <c r="P1529" s="73"/>
      <c r="Q1529" s="73"/>
      <c r="R1529" s="73"/>
      <c r="S1529" s="73"/>
      <c r="T1529" s="73"/>
      <c r="U1529" s="73"/>
      <c r="V1529" s="73"/>
      <c r="W1529" s="73"/>
      <c r="X1529" s="73"/>
      <c r="Y1529" s="73"/>
      <c r="Z1529" s="73"/>
    </row>
    <row r="1530" spans="1:26" ht="12.75" customHeight="1">
      <c r="A1530" s="73"/>
      <c r="B1530" s="32"/>
      <c r="C1530" s="32"/>
      <c r="D1530" s="33"/>
      <c r="E1530" s="32"/>
      <c r="F1530" s="32"/>
      <c r="G1530" s="74"/>
      <c r="H1530" s="32"/>
      <c r="I1530" s="32"/>
      <c r="J1530" s="32"/>
      <c r="K1530" s="74"/>
      <c r="L1530" s="75"/>
      <c r="M1530" s="32"/>
      <c r="N1530" s="32"/>
      <c r="O1530" s="73"/>
      <c r="P1530" s="73"/>
      <c r="Q1530" s="73"/>
      <c r="R1530" s="73"/>
      <c r="S1530" s="73"/>
      <c r="T1530" s="73"/>
      <c r="U1530" s="73"/>
      <c r="V1530" s="73"/>
      <c r="W1530" s="73"/>
      <c r="X1530" s="73"/>
      <c r="Y1530" s="73"/>
      <c r="Z1530" s="73"/>
    </row>
    <row r="1531" spans="1:26" ht="12.75" customHeight="1">
      <c r="A1531" s="73"/>
      <c r="B1531" s="32"/>
      <c r="C1531" s="32"/>
      <c r="D1531" s="33"/>
      <c r="E1531" s="32"/>
      <c r="F1531" s="32"/>
      <c r="G1531" s="74"/>
      <c r="H1531" s="32"/>
      <c r="I1531" s="32"/>
      <c r="J1531" s="32"/>
      <c r="K1531" s="74"/>
      <c r="L1531" s="75"/>
      <c r="M1531" s="32"/>
      <c r="N1531" s="32"/>
      <c r="O1531" s="73"/>
      <c r="P1531" s="73"/>
      <c r="Q1531" s="73"/>
      <c r="R1531" s="73"/>
      <c r="S1531" s="73"/>
      <c r="T1531" s="73"/>
      <c r="U1531" s="73"/>
      <c r="V1531" s="73"/>
      <c r="W1531" s="73"/>
      <c r="X1531" s="73"/>
      <c r="Y1531" s="73"/>
      <c r="Z1531" s="73"/>
    </row>
    <row r="1532" spans="1:26" ht="12.75" customHeight="1">
      <c r="A1532" s="73"/>
      <c r="B1532" s="32"/>
      <c r="C1532" s="32"/>
      <c r="D1532" s="33"/>
      <c r="E1532" s="32"/>
      <c r="F1532" s="32"/>
      <c r="G1532" s="74"/>
      <c r="H1532" s="32"/>
      <c r="I1532" s="32"/>
      <c r="J1532" s="32"/>
      <c r="K1532" s="74"/>
      <c r="L1532" s="75"/>
      <c r="M1532" s="32"/>
      <c r="N1532" s="32"/>
      <c r="O1532" s="73"/>
      <c r="P1532" s="73"/>
      <c r="Q1532" s="73"/>
      <c r="R1532" s="73"/>
      <c r="S1532" s="73"/>
      <c r="T1532" s="73"/>
      <c r="U1532" s="73"/>
      <c r="V1532" s="73"/>
      <c r="W1532" s="73"/>
      <c r="X1532" s="73"/>
      <c r="Y1532" s="73"/>
      <c r="Z1532" s="73"/>
    </row>
    <row r="1533" spans="1:26" ht="12.75" customHeight="1">
      <c r="A1533" s="73"/>
      <c r="B1533" s="32"/>
      <c r="C1533" s="32"/>
      <c r="D1533" s="33"/>
      <c r="E1533" s="32"/>
      <c r="F1533" s="32"/>
      <c r="G1533" s="74"/>
      <c r="H1533" s="32"/>
      <c r="I1533" s="32"/>
      <c r="J1533" s="32"/>
      <c r="K1533" s="74"/>
      <c r="L1533" s="75"/>
      <c r="M1533" s="32"/>
      <c r="N1533" s="32"/>
      <c r="O1533" s="73"/>
      <c r="P1533" s="73"/>
      <c r="Q1533" s="73"/>
      <c r="R1533" s="73"/>
      <c r="S1533" s="73"/>
      <c r="T1533" s="73"/>
      <c r="U1533" s="73"/>
      <c r="V1533" s="73"/>
      <c r="W1533" s="73"/>
      <c r="X1533" s="73"/>
      <c r="Y1533" s="73"/>
      <c r="Z1533" s="73"/>
    </row>
    <row r="1534" spans="1:26" ht="12.75" customHeight="1">
      <c r="A1534" s="73"/>
      <c r="B1534" s="32"/>
      <c r="C1534" s="32"/>
      <c r="D1534" s="33"/>
      <c r="E1534" s="32"/>
      <c r="F1534" s="32"/>
      <c r="G1534" s="74"/>
      <c r="H1534" s="32"/>
      <c r="I1534" s="32"/>
      <c r="J1534" s="32"/>
      <c r="K1534" s="74"/>
      <c r="L1534" s="75"/>
      <c r="M1534" s="32"/>
      <c r="N1534" s="32"/>
      <c r="O1534" s="73"/>
      <c r="P1534" s="73"/>
      <c r="Q1534" s="73"/>
      <c r="R1534" s="73"/>
      <c r="S1534" s="73"/>
      <c r="T1534" s="73"/>
      <c r="U1534" s="73"/>
      <c r="V1534" s="73"/>
      <c r="W1534" s="73"/>
      <c r="X1534" s="73"/>
      <c r="Y1534" s="73"/>
      <c r="Z1534" s="73"/>
    </row>
    <row r="1535" spans="1:26" ht="12.75" customHeight="1">
      <c r="A1535" s="73"/>
      <c r="B1535" s="32"/>
      <c r="C1535" s="32"/>
      <c r="D1535" s="33"/>
      <c r="E1535" s="32"/>
      <c r="F1535" s="32"/>
      <c r="G1535" s="74"/>
      <c r="H1535" s="32"/>
      <c r="I1535" s="32"/>
      <c r="J1535" s="32"/>
      <c r="K1535" s="74"/>
      <c r="L1535" s="75"/>
      <c r="M1535" s="32"/>
      <c r="N1535" s="32"/>
      <c r="O1535" s="73"/>
      <c r="P1535" s="73"/>
      <c r="Q1535" s="73"/>
      <c r="R1535" s="73"/>
      <c r="S1535" s="73"/>
      <c r="T1535" s="73"/>
      <c r="U1535" s="73"/>
      <c r="V1535" s="73"/>
      <c r="W1535" s="73"/>
      <c r="X1535" s="73"/>
      <c r="Y1535" s="73"/>
      <c r="Z1535" s="73"/>
    </row>
    <row r="1536" spans="1:26" ht="12.75" customHeight="1">
      <c r="A1536" s="73"/>
      <c r="B1536" s="32"/>
      <c r="C1536" s="32"/>
      <c r="D1536" s="33"/>
      <c r="E1536" s="32"/>
      <c r="F1536" s="32"/>
      <c r="G1536" s="74"/>
      <c r="H1536" s="32"/>
      <c r="I1536" s="32"/>
      <c r="J1536" s="32"/>
      <c r="K1536" s="74"/>
      <c r="L1536" s="75"/>
      <c r="M1536" s="32"/>
      <c r="N1536" s="32"/>
      <c r="O1536" s="73"/>
      <c r="P1536" s="73"/>
      <c r="Q1536" s="73"/>
      <c r="R1536" s="73"/>
      <c r="S1536" s="73"/>
      <c r="T1536" s="73"/>
      <c r="U1536" s="73"/>
      <c r="V1536" s="73"/>
      <c r="W1536" s="73"/>
      <c r="X1536" s="73"/>
      <c r="Y1536" s="73"/>
      <c r="Z1536" s="73"/>
    </row>
    <row r="1537" spans="1:26" ht="12.75" customHeight="1">
      <c r="A1537" s="73"/>
      <c r="B1537" s="32"/>
      <c r="C1537" s="32"/>
      <c r="D1537" s="33"/>
      <c r="E1537" s="32"/>
      <c r="F1537" s="32"/>
      <c r="G1537" s="74"/>
      <c r="H1537" s="32"/>
      <c r="I1537" s="32"/>
      <c r="J1537" s="32"/>
      <c r="K1537" s="74"/>
      <c r="L1537" s="75"/>
      <c r="M1537" s="32"/>
      <c r="N1537" s="32"/>
      <c r="O1537" s="73"/>
      <c r="P1537" s="73"/>
      <c r="Q1537" s="73"/>
      <c r="R1537" s="73"/>
      <c r="S1537" s="73"/>
      <c r="T1537" s="73"/>
      <c r="U1537" s="73"/>
      <c r="V1537" s="73"/>
      <c r="W1537" s="73"/>
      <c r="X1537" s="73"/>
      <c r="Y1537" s="73"/>
      <c r="Z1537" s="73"/>
    </row>
    <row r="1538" spans="1:26" ht="12.75" customHeight="1">
      <c r="A1538" s="73"/>
      <c r="B1538" s="32"/>
      <c r="C1538" s="32"/>
      <c r="D1538" s="33"/>
      <c r="E1538" s="32"/>
      <c r="F1538" s="32"/>
      <c r="G1538" s="74"/>
      <c r="H1538" s="32"/>
      <c r="I1538" s="32"/>
      <c r="J1538" s="32"/>
      <c r="K1538" s="74"/>
      <c r="L1538" s="75"/>
      <c r="M1538" s="32"/>
      <c r="N1538" s="32"/>
      <c r="O1538" s="73"/>
      <c r="P1538" s="73"/>
      <c r="Q1538" s="73"/>
      <c r="R1538" s="73"/>
      <c r="S1538" s="73"/>
      <c r="T1538" s="73"/>
      <c r="U1538" s="73"/>
      <c r="V1538" s="73"/>
      <c r="W1538" s="73"/>
      <c r="X1538" s="73"/>
      <c r="Y1538" s="73"/>
      <c r="Z1538" s="73"/>
    </row>
    <row r="1539" spans="1:26" ht="12.75" customHeight="1">
      <c r="A1539" s="73"/>
      <c r="B1539" s="32"/>
      <c r="C1539" s="32"/>
      <c r="D1539" s="33"/>
      <c r="E1539" s="32"/>
      <c r="F1539" s="32"/>
      <c r="G1539" s="74"/>
      <c r="H1539" s="32"/>
      <c r="I1539" s="32"/>
      <c r="J1539" s="32"/>
      <c r="K1539" s="74"/>
      <c r="L1539" s="75"/>
      <c r="M1539" s="32"/>
      <c r="N1539" s="32"/>
      <c r="O1539" s="73"/>
      <c r="P1539" s="73"/>
      <c r="Q1539" s="73"/>
      <c r="R1539" s="73"/>
      <c r="S1539" s="73"/>
      <c r="T1539" s="73"/>
      <c r="U1539" s="73"/>
      <c r="V1539" s="73"/>
      <c r="W1539" s="73"/>
      <c r="X1539" s="73"/>
      <c r="Y1539" s="73"/>
      <c r="Z1539" s="73"/>
    </row>
    <row r="1540" spans="1:26" ht="12.75" customHeight="1">
      <c r="A1540" s="73"/>
      <c r="B1540" s="32"/>
      <c r="C1540" s="32"/>
      <c r="D1540" s="33"/>
      <c r="E1540" s="32"/>
      <c r="F1540" s="32"/>
      <c r="G1540" s="74"/>
      <c r="H1540" s="32"/>
      <c r="I1540" s="32"/>
      <c r="J1540" s="32"/>
      <c r="K1540" s="74"/>
      <c r="L1540" s="75"/>
      <c r="M1540" s="32"/>
      <c r="N1540" s="32"/>
      <c r="O1540" s="73"/>
      <c r="P1540" s="73"/>
      <c r="Q1540" s="73"/>
      <c r="R1540" s="73"/>
      <c r="S1540" s="73"/>
      <c r="T1540" s="73"/>
      <c r="U1540" s="73"/>
      <c r="V1540" s="73"/>
      <c r="W1540" s="73"/>
      <c r="X1540" s="73"/>
      <c r="Y1540" s="73"/>
      <c r="Z1540" s="73"/>
    </row>
    <row r="1541" spans="1:26" ht="12.75" customHeight="1">
      <c r="A1541" s="73"/>
      <c r="B1541" s="32"/>
      <c r="C1541" s="32"/>
      <c r="D1541" s="33"/>
      <c r="E1541" s="32"/>
      <c r="F1541" s="32"/>
      <c r="G1541" s="74"/>
      <c r="H1541" s="32"/>
      <c r="I1541" s="32"/>
      <c r="J1541" s="32"/>
      <c r="K1541" s="74"/>
      <c r="L1541" s="75"/>
      <c r="M1541" s="32"/>
      <c r="N1541" s="32"/>
      <c r="O1541" s="73"/>
      <c r="P1541" s="73"/>
      <c r="Q1541" s="73"/>
      <c r="R1541" s="73"/>
      <c r="S1541" s="73"/>
      <c r="T1541" s="73"/>
      <c r="U1541" s="73"/>
      <c r="V1541" s="73"/>
      <c r="W1541" s="73"/>
      <c r="X1541" s="73"/>
      <c r="Y1541" s="73"/>
      <c r="Z1541" s="73"/>
    </row>
    <row r="1542" spans="1:26" ht="12.75" customHeight="1">
      <c r="A1542" s="73"/>
      <c r="B1542" s="32"/>
      <c r="C1542" s="32"/>
      <c r="D1542" s="33"/>
      <c r="E1542" s="32"/>
      <c r="F1542" s="32"/>
      <c r="G1542" s="74"/>
      <c r="H1542" s="32"/>
      <c r="I1542" s="32"/>
      <c r="J1542" s="32"/>
      <c r="K1542" s="74"/>
      <c r="L1542" s="75"/>
      <c r="M1542" s="32"/>
      <c r="N1542" s="32"/>
      <c r="O1542" s="73"/>
      <c r="P1542" s="73"/>
      <c r="Q1542" s="73"/>
      <c r="R1542" s="73"/>
      <c r="S1542" s="73"/>
      <c r="T1542" s="73"/>
      <c r="U1542" s="73"/>
      <c r="V1542" s="73"/>
      <c r="W1542" s="73"/>
      <c r="X1542" s="73"/>
      <c r="Y1542" s="73"/>
      <c r="Z1542" s="73"/>
    </row>
    <row r="1543" spans="1:26" ht="12.75" customHeight="1">
      <c r="A1543" s="73"/>
      <c r="B1543" s="32"/>
      <c r="C1543" s="32"/>
      <c r="D1543" s="33"/>
      <c r="E1543" s="32"/>
      <c r="F1543" s="32"/>
      <c r="G1543" s="74"/>
      <c r="H1543" s="32"/>
      <c r="I1543" s="32"/>
      <c r="J1543" s="32"/>
      <c r="K1543" s="74"/>
      <c r="L1543" s="75"/>
      <c r="M1543" s="32"/>
      <c r="N1543" s="32"/>
      <c r="O1543" s="73"/>
      <c r="P1543" s="73"/>
      <c r="Q1543" s="73"/>
      <c r="R1543" s="73"/>
      <c r="S1543" s="73"/>
      <c r="T1543" s="73"/>
      <c r="U1543" s="73"/>
      <c r="V1543" s="73"/>
      <c r="W1543" s="73"/>
      <c r="X1543" s="73"/>
      <c r="Y1543" s="73"/>
      <c r="Z1543" s="73"/>
    </row>
    <row r="1544" spans="1:26" ht="12.75" customHeight="1">
      <c r="A1544" s="73"/>
      <c r="B1544" s="32"/>
      <c r="C1544" s="32"/>
      <c r="D1544" s="33"/>
      <c r="E1544" s="32"/>
      <c r="F1544" s="32"/>
      <c r="G1544" s="74"/>
      <c r="H1544" s="32"/>
      <c r="I1544" s="32"/>
      <c r="J1544" s="32"/>
      <c r="K1544" s="74"/>
      <c r="L1544" s="75"/>
      <c r="M1544" s="32"/>
      <c r="N1544" s="32"/>
      <c r="O1544" s="73"/>
      <c r="P1544" s="73"/>
      <c r="Q1544" s="73"/>
      <c r="R1544" s="73"/>
      <c r="S1544" s="73"/>
      <c r="T1544" s="73"/>
      <c r="U1544" s="73"/>
      <c r="V1544" s="73"/>
      <c r="W1544" s="73"/>
      <c r="X1544" s="73"/>
      <c r="Y1544" s="73"/>
      <c r="Z1544" s="73"/>
    </row>
    <row r="1545" spans="1:26" ht="12.75" customHeight="1">
      <c r="A1545" s="73"/>
      <c r="B1545" s="32"/>
      <c r="C1545" s="32"/>
      <c r="D1545" s="33"/>
      <c r="E1545" s="32"/>
      <c r="F1545" s="32"/>
      <c r="G1545" s="74"/>
      <c r="H1545" s="32"/>
      <c r="I1545" s="32"/>
      <c r="J1545" s="32"/>
      <c r="K1545" s="74"/>
      <c r="L1545" s="75"/>
      <c r="M1545" s="32"/>
      <c r="N1545" s="32"/>
      <c r="O1545" s="73"/>
      <c r="P1545" s="73"/>
      <c r="Q1545" s="73"/>
      <c r="R1545" s="73"/>
      <c r="S1545" s="73"/>
      <c r="T1545" s="73"/>
      <c r="U1545" s="73"/>
      <c r="V1545" s="73"/>
      <c r="W1545" s="73"/>
      <c r="X1545" s="73"/>
      <c r="Y1545" s="73"/>
      <c r="Z1545" s="73"/>
    </row>
    <row r="1546" spans="1:26" ht="12.75" customHeight="1">
      <c r="A1546" s="73"/>
      <c r="B1546" s="32"/>
      <c r="C1546" s="32"/>
      <c r="D1546" s="33"/>
      <c r="E1546" s="32"/>
      <c r="F1546" s="32"/>
      <c r="G1546" s="74"/>
      <c r="H1546" s="32"/>
      <c r="I1546" s="32"/>
      <c r="J1546" s="32"/>
      <c r="K1546" s="74"/>
      <c r="L1546" s="75"/>
      <c r="M1546" s="32"/>
      <c r="N1546" s="32"/>
      <c r="O1546" s="73"/>
      <c r="P1546" s="73"/>
      <c r="Q1546" s="73"/>
      <c r="R1546" s="73"/>
      <c r="S1546" s="73"/>
      <c r="T1546" s="73"/>
      <c r="U1546" s="73"/>
      <c r="V1546" s="73"/>
      <c r="W1546" s="73"/>
      <c r="X1546" s="73"/>
      <c r="Y1546" s="73"/>
      <c r="Z1546" s="73"/>
    </row>
    <row r="1547" spans="1:26" ht="12.75" customHeight="1">
      <c r="A1547" s="73"/>
      <c r="B1547" s="32"/>
      <c r="C1547" s="32"/>
      <c r="D1547" s="33"/>
      <c r="E1547" s="32"/>
      <c r="F1547" s="32"/>
      <c r="G1547" s="74"/>
      <c r="H1547" s="32"/>
      <c r="I1547" s="32"/>
      <c r="J1547" s="32"/>
      <c r="K1547" s="74"/>
      <c r="L1547" s="75"/>
      <c r="M1547" s="32"/>
      <c r="N1547" s="32"/>
      <c r="O1547" s="73"/>
      <c r="P1547" s="73"/>
      <c r="Q1547" s="73"/>
      <c r="R1547" s="73"/>
      <c r="S1547" s="73"/>
      <c r="T1547" s="73"/>
      <c r="U1547" s="73"/>
      <c r="V1547" s="73"/>
      <c r="W1547" s="73"/>
      <c r="X1547" s="73"/>
      <c r="Y1547" s="73"/>
      <c r="Z1547" s="73"/>
    </row>
    <row r="1548" spans="1:26" ht="12.75" customHeight="1">
      <c r="A1548" s="73"/>
      <c r="B1548" s="32"/>
      <c r="C1548" s="32"/>
      <c r="D1548" s="33"/>
      <c r="E1548" s="32"/>
      <c r="F1548" s="32"/>
      <c r="G1548" s="74"/>
      <c r="H1548" s="32"/>
      <c r="I1548" s="32"/>
      <c r="J1548" s="32"/>
      <c r="K1548" s="74"/>
      <c r="L1548" s="75"/>
      <c r="M1548" s="32"/>
      <c r="N1548" s="32"/>
      <c r="O1548" s="73"/>
      <c r="P1548" s="73"/>
      <c r="Q1548" s="73"/>
      <c r="R1548" s="73"/>
      <c r="S1548" s="73"/>
      <c r="T1548" s="73"/>
      <c r="U1548" s="73"/>
      <c r="V1548" s="73"/>
      <c r="W1548" s="73"/>
      <c r="X1548" s="73"/>
      <c r="Y1548" s="73"/>
      <c r="Z1548" s="73"/>
    </row>
    <row r="1549" spans="1:26" ht="12.75" customHeight="1">
      <c r="A1549" s="73"/>
      <c r="B1549" s="32"/>
      <c r="C1549" s="32"/>
      <c r="D1549" s="33"/>
      <c r="E1549" s="32"/>
      <c r="F1549" s="32"/>
      <c r="G1549" s="74"/>
      <c r="H1549" s="32"/>
      <c r="I1549" s="32"/>
      <c r="J1549" s="32"/>
      <c r="K1549" s="74"/>
      <c r="L1549" s="75"/>
      <c r="M1549" s="32"/>
      <c r="N1549" s="32"/>
      <c r="O1549" s="73"/>
      <c r="P1549" s="73"/>
      <c r="Q1549" s="73"/>
      <c r="R1549" s="73"/>
      <c r="S1549" s="73"/>
      <c r="T1549" s="73"/>
      <c r="U1549" s="73"/>
      <c r="V1549" s="73"/>
      <c r="W1549" s="73"/>
      <c r="X1549" s="73"/>
      <c r="Y1549" s="73"/>
      <c r="Z1549" s="73"/>
    </row>
    <row r="1550" spans="1:26" ht="12.75" customHeight="1">
      <c r="A1550" s="73"/>
      <c r="B1550" s="32"/>
      <c r="C1550" s="32"/>
      <c r="D1550" s="33"/>
      <c r="E1550" s="32"/>
      <c r="F1550" s="32"/>
      <c r="G1550" s="74"/>
      <c r="H1550" s="32"/>
      <c r="I1550" s="32"/>
      <c r="J1550" s="32"/>
      <c r="K1550" s="74"/>
      <c r="L1550" s="75"/>
      <c r="M1550" s="32"/>
      <c r="N1550" s="32"/>
      <c r="O1550" s="73"/>
      <c r="P1550" s="73"/>
      <c r="Q1550" s="73"/>
      <c r="R1550" s="73"/>
      <c r="S1550" s="73"/>
      <c r="T1550" s="73"/>
      <c r="U1550" s="73"/>
      <c r="V1550" s="73"/>
      <c r="W1550" s="73"/>
      <c r="X1550" s="73"/>
      <c r="Y1550" s="73"/>
      <c r="Z1550" s="73"/>
    </row>
    <row r="1551" spans="1:26" ht="12.75" customHeight="1">
      <c r="A1551" s="73"/>
      <c r="B1551" s="32"/>
      <c r="C1551" s="32"/>
      <c r="D1551" s="33"/>
      <c r="E1551" s="32"/>
      <c r="F1551" s="32"/>
      <c r="G1551" s="74"/>
      <c r="H1551" s="32"/>
      <c r="I1551" s="32"/>
      <c r="J1551" s="32"/>
      <c r="K1551" s="74"/>
      <c r="L1551" s="75"/>
      <c r="M1551" s="32"/>
      <c r="N1551" s="32"/>
      <c r="O1551" s="73"/>
      <c r="P1551" s="73"/>
      <c r="Q1551" s="73"/>
      <c r="R1551" s="73"/>
      <c r="S1551" s="73"/>
      <c r="T1551" s="73"/>
      <c r="U1551" s="73"/>
      <c r="V1551" s="73"/>
      <c r="W1551" s="73"/>
      <c r="X1551" s="73"/>
      <c r="Y1551" s="73"/>
      <c r="Z1551" s="73"/>
    </row>
    <row r="1552" spans="1:26" ht="12.75" customHeight="1">
      <c r="A1552" s="73"/>
      <c r="B1552" s="32"/>
      <c r="C1552" s="32"/>
      <c r="D1552" s="33"/>
      <c r="E1552" s="32"/>
      <c r="F1552" s="32"/>
      <c r="G1552" s="74"/>
      <c r="H1552" s="32"/>
      <c r="I1552" s="32"/>
      <c r="J1552" s="32"/>
      <c r="K1552" s="74"/>
      <c r="L1552" s="75"/>
      <c r="M1552" s="32"/>
      <c r="N1552" s="32"/>
      <c r="O1552" s="73"/>
      <c r="P1552" s="73"/>
      <c r="Q1552" s="73"/>
      <c r="R1552" s="73"/>
      <c r="S1552" s="73"/>
      <c r="T1552" s="73"/>
      <c r="U1552" s="73"/>
      <c r="V1552" s="73"/>
      <c r="W1552" s="73"/>
      <c r="X1552" s="73"/>
      <c r="Y1552" s="73"/>
      <c r="Z1552" s="73"/>
    </row>
    <row r="1553" spans="1:26" ht="12.75" customHeight="1">
      <c r="A1553" s="73"/>
      <c r="B1553" s="32"/>
      <c r="C1553" s="32"/>
      <c r="D1553" s="33"/>
      <c r="E1553" s="32"/>
      <c r="F1553" s="32"/>
      <c r="G1553" s="74"/>
      <c r="H1553" s="32"/>
      <c r="I1553" s="32"/>
      <c r="J1553" s="32"/>
      <c r="K1553" s="74"/>
      <c r="L1553" s="75"/>
      <c r="M1553" s="32"/>
      <c r="N1553" s="32"/>
      <c r="O1553" s="73"/>
      <c r="P1553" s="73"/>
      <c r="Q1553" s="73"/>
      <c r="R1553" s="73"/>
      <c r="S1553" s="73"/>
      <c r="T1553" s="73"/>
      <c r="U1553" s="73"/>
      <c r="V1553" s="73"/>
      <c r="W1553" s="73"/>
      <c r="X1553" s="73"/>
      <c r="Y1553" s="73"/>
      <c r="Z1553" s="73"/>
    </row>
    <row r="1554" spans="1:26" ht="12.75" customHeight="1">
      <c r="A1554" s="73"/>
      <c r="B1554" s="32"/>
      <c r="C1554" s="32"/>
      <c r="D1554" s="33"/>
      <c r="E1554" s="32"/>
      <c r="F1554" s="32"/>
      <c r="G1554" s="74"/>
      <c r="H1554" s="32"/>
      <c r="I1554" s="32"/>
      <c r="J1554" s="32"/>
      <c r="K1554" s="74"/>
      <c r="L1554" s="75"/>
      <c r="M1554" s="32"/>
      <c r="N1554" s="32"/>
      <c r="O1554" s="73"/>
      <c r="P1554" s="73"/>
      <c r="Q1554" s="73"/>
      <c r="R1554" s="73"/>
      <c r="S1554" s="73"/>
      <c r="T1554" s="73"/>
      <c r="U1554" s="73"/>
      <c r="V1554" s="73"/>
      <c r="W1554" s="73"/>
      <c r="X1554" s="73"/>
      <c r="Y1554" s="73"/>
      <c r="Z1554" s="73"/>
    </row>
    <row r="1555" spans="1:26" ht="12.75" customHeight="1">
      <c r="A1555" s="73"/>
      <c r="B1555" s="32"/>
      <c r="C1555" s="32"/>
      <c r="D1555" s="33"/>
      <c r="E1555" s="32"/>
      <c r="F1555" s="32"/>
      <c r="G1555" s="74"/>
      <c r="H1555" s="32"/>
      <c r="I1555" s="32"/>
      <c r="J1555" s="32"/>
      <c r="K1555" s="74"/>
      <c r="L1555" s="75"/>
      <c r="M1555" s="32"/>
      <c r="N1555" s="32"/>
      <c r="O1555" s="73"/>
      <c r="P1555" s="73"/>
      <c r="Q1555" s="73"/>
      <c r="R1555" s="73"/>
      <c r="S1555" s="73"/>
      <c r="T1555" s="73"/>
      <c r="U1555" s="73"/>
      <c r="V1555" s="73"/>
      <c r="W1555" s="73"/>
      <c r="X1555" s="73"/>
      <c r="Y1555" s="73"/>
      <c r="Z1555" s="73"/>
    </row>
    <row r="1556" spans="1:26" ht="12.75" customHeight="1">
      <c r="A1556" s="73"/>
      <c r="B1556" s="32"/>
      <c r="C1556" s="32"/>
      <c r="D1556" s="33"/>
      <c r="E1556" s="32"/>
      <c r="F1556" s="32"/>
      <c r="G1556" s="74"/>
      <c r="H1556" s="32"/>
      <c r="I1556" s="32"/>
      <c r="J1556" s="32"/>
      <c r="K1556" s="74"/>
      <c r="L1556" s="75"/>
      <c r="M1556" s="32"/>
      <c r="N1556" s="32"/>
      <c r="O1556" s="73"/>
      <c r="P1556" s="73"/>
      <c r="Q1556" s="73"/>
      <c r="R1556" s="73"/>
      <c r="S1556" s="73"/>
      <c r="T1556" s="73"/>
      <c r="U1556" s="73"/>
      <c r="V1556" s="73"/>
      <c r="W1556" s="73"/>
      <c r="X1556" s="73"/>
      <c r="Y1556" s="73"/>
      <c r="Z1556" s="73"/>
    </row>
    <row r="1557" spans="1:26" ht="12.75" customHeight="1">
      <c r="A1557" s="73"/>
      <c r="B1557" s="32"/>
      <c r="C1557" s="32"/>
      <c r="D1557" s="33"/>
      <c r="E1557" s="32"/>
      <c r="F1557" s="32"/>
      <c r="G1557" s="74"/>
      <c r="H1557" s="32"/>
      <c r="I1557" s="32"/>
      <c r="J1557" s="32"/>
      <c r="K1557" s="74"/>
      <c r="L1557" s="75"/>
      <c r="M1557" s="32"/>
      <c r="N1557" s="32"/>
      <c r="O1557" s="73"/>
      <c r="P1557" s="73"/>
      <c r="Q1557" s="73"/>
      <c r="R1557" s="73"/>
      <c r="S1557" s="73"/>
      <c r="T1557" s="73"/>
      <c r="U1557" s="73"/>
      <c r="V1557" s="73"/>
      <c r="W1557" s="73"/>
      <c r="X1557" s="73"/>
      <c r="Y1557" s="73"/>
      <c r="Z1557" s="73"/>
    </row>
    <row r="1558" spans="1:26" ht="12.75" customHeight="1">
      <c r="A1558" s="73"/>
      <c r="B1558" s="32"/>
      <c r="C1558" s="32"/>
      <c r="D1558" s="33"/>
      <c r="E1558" s="32"/>
      <c r="F1558" s="32"/>
      <c r="G1558" s="74"/>
      <c r="H1558" s="32"/>
      <c r="I1558" s="32"/>
      <c r="J1558" s="32"/>
      <c r="K1558" s="74"/>
      <c r="L1558" s="75"/>
      <c r="M1558" s="32"/>
      <c r="N1558" s="32"/>
      <c r="O1558" s="73"/>
      <c r="P1558" s="73"/>
      <c r="Q1558" s="73"/>
      <c r="R1558" s="73"/>
      <c r="S1558" s="73"/>
      <c r="T1558" s="73"/>
      <c r="U1558" s="73"/>
      <c r="V1558" s="73"/>
      <c r="W1558" s="73"/>
      <c r="X1558" s="73"/>
      <c r="Y1558" s="73"/>
      <c r="Z1558" s="73"/>
    </row>
    <row r="1559" spans="1:26" ht="12.75" customHeight="1">
      <c r="A1559" s="73"/>
      <c r="B1559" s="32"/>
      <c r="C1559" s="32"/>
      <c r="D1559" s="33"/>
      <c r="E1559" s="32"/>
      <c r="F1559" s="32"/>
      <c r="G1559" s="74"/>
      <c r="H1559" s="32"/>
      <c r="I1559" s="32"/>
      <c r="J1559" s="32"/>
      <c r="K1559" s="74"/>
      <c r="L1559" s="75"/>
      <c r="M1559" s="32"/>
      <c r="N1559" s="32"/>
      <c r="O1559" s="73"/>
      <c r="P1559" s="73"/>
      <c r="Q1559" s="73"/>
      <c r="R1559" s="73"/>
      <c r="S1559" s="73"/>
      <c r="T1559" s="73"/>
      <c r="U1559" s="73"/>
      <c r="V1559" s="73"/>
      <c r="W1559" s="73"/>
      <c r="X1559" s="73"/>
      <c r="Y1559" s="73"/>
      <c r="Z1559" s="73"/>
    </row>
    <row r="1560" spans="1:26" ht="12.75" customHeight="1">
      <c r="A1560" s="73"/>
      <c r="B1560" s="32"/>
      <c r="C1560" s="32"/>
      <c r="D1560" s="33"/>
      <c r="E1560" s="32"/>
      <c r="F1560" s="32"/>
      <c r="G1560" s="74"/>
      <c r="H1560" s="32"/>
      <c r="I1560" s="32"/>
      <c r="J1560" s="32"/>
      <c r="K1560" s="74"/>
      <c r="L1560" s="75"/>
      <c r="M1560" s="32"/>
      <c r="N1560" s="32"/>
      <c r="O1560" s="73"/>
      <c r="P1560" s="73"/>
      <c r="Q1560" s="73"/>
      <c r="R1560" s="73"/>
      <c r="S1560" s="73"/>
      <c r="T1560" s="73"/>
      <c r="U1560" s="73"/>
      <c r="V1560" s="73"/>
      <c r="W1560" s="73"/>
      <c r="X1560" s="73"/>
      <c r="Y1560" s="73"/>
      <c r="Z1560" s="73"/>
    </row>
    <row r="1561" spans="1:26" ht="12.75" customHeight="1">
      <c r="A1561" s="73"/>
      <c r="B1561" s="32"/>
      <c r="C1561" s="32"/>
      <c r="D1561" s="33"/>
      <c r="E1561" s="32"/>
      <c r="F1561" s="32"/>
      <c r="G1561" s="74"/>
      <c r="H1561" s="32"/>
      <c r="I1561" s="32"/>
      <c r="J1561" s="32"/>
      <c r="K1561" s="74"/>
      <c r="L1561" s="75"/>
      <c r="M1561" s="32"/>
      <c r="N1561" s="32"/>
      <c r="O1561" s="73"/>
      <c r="P1561" s="73"/>
      <c r="Q1561" s="73"/>
      <c r="R1561" s="73"/>
      <c r="S1561" s="73"/>
      <c r="T1561" s="73"/>
      <c r="U1561" s="73"/>
      <c r="V1561" s="73"/>
      <c r="W1561" s="73"/>
      <c r="X1561" s="73"/>
      <c r="Y1561" s="73"/>
      <c r="Z1561" s="73"/>
    </row>
    <row r="1562" spans="1:26" ht="12.75" customHeight="1">
      <c r="A1562" s="73"/>
      <c r="B1562" s="32"/>
      <c r="C1562" s="32"/>
      <c r="D1562" s="33"/>
      <c r="E1562" s="32"/>
      <c r="F1562" s="32"/>
      <c r="G1562" s="74"/>
      <c r="H1562" s="32"/>
      <c r="I1562" s="32"/>
      <c r="J1562" s="32"/>
      <c r="K1562" s="74"/>
      <c r="L1562" s="75"/>
      <c r="M1562" s="32"/>
      <c r="N1562" s="32"/>
      <c r="O1562" s="73"/>
      <c r="P1562" s="73"/>
      <c r="Q1562" s="73"/>
      <c r="R1562" s="73"/>
      <c r="S1562" s="73"/>
      <c r="T1562" s="73"/>
      <c r="U1562" s="73"/>
      <c r="V1562" s="73"/>
      <c r="W1562" s="73"/>
      <c r="X1562" s="73"/>
      <c r="Y1562" s="73"/>
      <c r="Z1562" s="73"/>
    </row>
    <row r="1563" spans="1:26" ht="12.75" customHeight="1">
      <c r="A1563" s="73"/>
      <c r="B1563" s="32"/>
      <c r="C1563" s="32"/>
      <c r="D1563" s="33"/>
      <c r="E1563" s="32"/>
      <c r="F1563" s="32"/>
      <c r="G1563" s="74"/>
      <c r="H1563" s="32"/>
      <c r="I1563" s="32"/>
      <c r="J1563" s="32"/>
      <c r="K1563" s="74"/>
      <c r="L1563" s="75"/>
      <c r="M1563" s="32"/>
      <c r="N1563" s="32"/>
      <c r="O1563" s="73"/>
      <c r="P1563" s="73"/>
      <c r="Q1563" s="73"/>
      <c r="R1563" s="73"/>
      <c r="S1563" s="73"/>
      <c r="T1563" s="73"/>
      <c r="U1563" s="73"/>
      <c r="V1563" s="73"/>
      <c r="W1563" s="73"/>
      <c r="X1563" s="73"/>
      <c r="Y1563" s="73"/>
      <c r="Z1563" s="73"/>
    </row>
    <row r="1564" spans="1:26" ht="12.75" customHeight="1">
      <c r="A1564" s="73"/>
      <c r="B1564" s="32"/>
      <c r="C1564" s="32"/>
      <c r="D1564" s="33"/>
      <c r="E1564" s="32"/>
      <c r="F1564" s="32"/>
      <c r="G1564" s="74"/>
      <c r="H1564" s="32"/>
      <c r="I1564" s="32"/>
      <c r="J1564" s="32"/>
      <c r="K1564" s="74"/>
      <c r="L1564" s="75"/>
      <c r="M1564" s="32"/>
      <c r="N1564" s="32"/>
      <c r="O1564" s="73"/>
      <c r="P1564" s="73"/>
      <c r="Q1564" s="73"/>
      <c r="R1564" s="73"/>
      <c r="S1564" s="73"/>
      <c r="T1564" s="73"/>
      <c r="U1564" s="73"/>
      <c r="V1564" s="73"/>
      <c r="W1564" s="73"/>
      <c r="X1564" s="73"/>
      <c r="Y1564" s="73"/>
      <c r="Z1564" s="73"/>
    </row>
    <row r="1565" spans="1:26" ht="12.75" customHeight="1">
      <c r="A1565" s="73"/>
      <c r="B1565" s="32"/>
      <c r="C1565" s="32"/>
      <c r="D1565" s="33"/>
      <c r="E1565" s="32"/>
      <c r="F1565" s="32"/>
      <c r="G1565" s="74"/>
      <c r="H1565" s="32"/>
      <c r="I1565" s="32"/>
      <c r="J1565" s="32"/>
      <c r="K1565" s="74"/>
      <c r="L1565" s="75"/>
      <c r="M1565" s="32"/>
      <c r="N1565" s="32"/>
      <c r="O1565" s="73"/>
      <c r="P1565" s="73"/>
      <c r="Q1565" s="73"/>
      <c r="R1565" s="73"/>
      <c r="S1565" s="73"/>
      <c r="T1565" s="73"/>
      <c r="U1565" s="73"/>
      <c r="V1565" s="73"/>
      <c r="W1565" s="73"/>
      <c r="X1565" s="73"/>
      <c r="Y1565" s="73"/>
      <c r="Z1565" s="73"/>
    </row>
    <row r="1566" spans="1:26" ht="12.75" customHeight="1">
      <c r="A1566" s="73"/>
      <c r="B1566" s="32"/>
      <c r="C1566" s="32"/>
      <c r="D1566" s="33"/>
      <c r="E1566" s="32"/>
      <c r="F1566" s="32"/>
      <c r="G1566" s="74"/>
      <c r="H1566" s="32"/>
      <c r="I1566" s="32"/>
      <c r="J1566" s="32"/>
      <c r="K1566" s="74"/>
      <c r="L1566" s="75"/>
      <c r="M1566" s="32"/>
      <c r="N1566" s="32"/>
      <c r="O1566" s="73"/>
      <c r="P1566" s="73"/>
      <c r="Q1566" s="73"/>
      <c r="R1566" s="73"/>
      <c r="S1566" s="73"/>
      <c r="T1566" s="73"/>
      <c r="U1566" s="73"/>
      <c r="V1566" s="73"/>
      <c r="W1566" s="73"/>
      <c r="X1566" s="73"/>
      <c r="Y1566" s="73"/>
      <c r="Z1566" s="73"/>
    </row>
    <row r="1567" spans="1:26" ht="12.75" customHeight="1">
      <c r="A1567" s="73"/>
      <c r="B1567" s="32"/>
      <c r="C1567" s="32"/>
      <c r="D1567" s="33"/>
      <c r="E1567" s="32"/>
      <c r="F1567" s="32"/>
      <c r="G1567" s="74"/>
      <c r="H1567" s="32"/>
      <c r="I1567" s="32"/>
      <c r="J1567" s="32"/>
      <c r="K1567" s="74"/>
      <c r="L1567" s="75"/>
      <c r="M1567" s="32"/>
      <c r="N1567" s="32"/>
      <c r="O1567" s="73"/>
      <c r="P1567" s="73"/>
      <c r="Q1567" s="73"/>
      <c r="R1567" s="73"/>
      <c r="S1567" s="73"/>
      <c r="T1567" s="73"/>
      <c r="U1567" s="73"/>
      <c r="V1567" s="73"/>
      <c r="W1567" s="73"/>
      <c r="X1567" s="73"/>
      <c r="Y1567" s="73"/>
      <c r="Z1567" s="73"/>
    </row>
    <row r="1568" spans="1:26" ht="12.75" customHeight="1">
      <c r="A1568" s="73"/>
      <c r="B1568" s="32"/>
      <c r="C1568" s="32"/>
      <c r="D1568" s="33"/>
      <c r="E1568" s="32"/>
      <c r="F1568" s="32"/>
      <c r="G1568" s="74"/>
      <c r="H1568" s="32"/>
      <c r="I1568" s="32"/>
      <c r="J1568" s="32"/>
      <c r="K1568" s="74"/>
      <c r="L1568" s="75"/>
      <c r="M1568" s="32"/>
      <c r="N1568" s="32"/>
      <c r="O1568" s="73"/>
      <c r="P1568" s="73"/>
      <c r="Q1568" s="73"/>
      <c r="R1568" s="73"/>
      <c r="S1568" s="73"/>
      <c r="T1568" s="73"/>
      <c r="U1568" s="73"/>
      <c r="V1568" s="73"/>
      <c r="W1568" s="73"/>
      <c r="X1568" s="73"/>
      <c r="Y1568" s="73"/>
      <c r="Z1568" s="73"/>
    </row>
    <row r="1569" spans="1:26" ht="12.75" customHeight="1">
      <c r="A1569" s="73"/>
      <c r="B1569" s="32"/>
      <c r="C1569" s="32"/>
      <c r="D1569" s="33"/>
      <c r="E1569" s="32"/>
      <c r="F1569" s="32"/>
      <c r="G1569" s="74"/>
      <c r="H1569" s="32"/>
      <c r="I1569" s="32"/>
      <c r="J1569" s="32"/>
      <c r="K1569" s="74"/>
      <c r="L1569" s="75"/>
      <c r="M1569" s="32"/>
      <c r="N1569" s="32"/>
      <c r="O1569" s="73"/>
      <c r="P1569" s="73"/>
      <c r="Q1569" s="73"/>
      <c r="R1569" s="73"/>
      <c r="S1569" s="73"/>
      <c r="T1569" s="73"/>
      <c r="U1569" s="73"/>
      <c r="V1569" s="73"/>
      <c r="W1569" s="73"/>
      <c r="X1569" s="73"/>
      <c r="Y1569" s="73"/>
      <c r="Z1569" s="73"/>
    </row>
    <row r="1570" spans="1:26" ht="12.75" customHeight="1">
      <c r="A1570" s="73"/>
      <c r="B1570" s="32"/>
      <c r="C1570" s="32"/>
      <c r="D1570" s="33"/>
      <c r="E1570" s="32"/>
      <c r="F1570" s="32"/>
      <c r="G1570" s="74"/>
      <c r="H1570" s="32"/>
      <c r="I1570" s="32"/>
      <c r="J1570" s="32"/>
      <c r="K1570" s="74"/>
      <c r="L1570" s="75"/>
      <c r="M1570" s="32"/>
      <c r="N1570" s="32"/>
      <c r="O1570" s="73"/>
      <c r="P1570" s="73"/>
      <c r="Q1570" s="73"/>
      <c r="R1570" s="73"/>
      <c r="S1570" s="73"/>
      <c r="T1570" s="73"/>
      <c r="U1570" s="73"/>
      <c r="V1570" s="73"/>
      <c r="W1570" s="73"/>
      <c r="X1570" s="73"/>
      <c r="Y1570" s="73"/>
      <c r="Z1570" s="73"/>
    </row>
    <row r="1571" spans="1:26" ht="12.75" customHeight="1">
      <c r="A1571" s="73"/>
      <c r="B1571" s="32"/>
      <c r="C1571" s="32"/>
      <c r="D1571" s="33"/>
      <c r="E1571" s="32"/>
      <c r="F1571" s="32"/>
      <c r="G1571" s="74"/>
      <c r="H1571" s="32"/>
      <c r="I1571" s="32"/>
      <c r="J1571" s="32"/>
      <c r="K1571" s="74"/>
      <c r="L1571" s="75"/>
      <c r="M1571" s="32"/>
      <c r="N1571" s="32"/>
      <c r="O1571" s="73"/>
      <c r="P1571" s="73"/>
      <c r="Q1571" s="73"/>
      <c r="R1571" s="73"/>
      <c r="S1571" s="73"/>
      <c r="T1571" s="73"/>
      <c r="U1571" s="73"/>
      <c r="V1571" s="73"/>
      <c r="W1571" s="73"/>
      <c r="X1571" s="73"/>
      <c r="Y1571" s="73"/>
      <c r="Z1571" s="73"/>
    </row>
    <row r="1572" spans="1:26" ht="12.75" customHeight="1">
      <c r="A1572" s="73"/>
      <c r="B1572" s="32"/>
      <c r="C1572" s="32"/>
      <c r="D1572" s="33"/>
      <c r="E1572" s="32"/>
      <c r="F1572" s="32"/>
      <c r="G1572" s="74"/>
      <c r="H1572" s="32"/>
      <c r="I1572" s="32"/>
      <c r="J1572" s="32"/>
      <c r="K1572" s="74"/>
      <c r="L1572" s="75"/>
      <c r="M1572" s="32"/>
      <c r="N1572" s="32"/>
      <c r="O1572" s="73"/>
      <c r="P1572" s="73"/>
      <c r="Q1572" s="73"/>
      <c r="R1572" s="73"/>
      <c r="S1572" s="73"/>
      <c r="T1572" s="73"/>
      <c r="U1572" s="73"/>
      <c r="V1572" s="73"/>
      <c r="W1572" s="73"/>
      <c r="X1572" s="73"/>
      <c r="Y1572" s="73"/>
      <c r="Z1572" s="73"/>
    </row>
    <row r="1573" spans="1:26" ht="12.75" customHeight="1">
      <c r="A1573" s="73"/>
      <c r="B1573" s="32"/>
      <c r="C1573" s="32"/>
      <c r="D1573" s="33"/>
      <c r="E1573" s="32"/>
      <c r="F1573" s="32"/>
      <c r="G1573" s="74"/>
      <c r="H1573" s="32"/>
      <c r="I1573" s="32"/>
      <c r="J1573" s="32"/>
      <c r="K1573" s="74"/>
      <c r="L1573" s="75"/>
      <c r="M1573" s="32"/>
      <c r="N1573" s="32"/>
      <c r="O1573" s="73"/>
      <c r="P1573" s="73"/>
      <c r="Q1573" s="73"/>
      <c r="R1573" s="73"/>
      <c r="S1573" s="73"/>
      <c r="T1573" s="73"/>
      <c r="U1573" s="73"/>
      <c r="V1573" s="73"/>
      <c r="W1573" s="73"/>
      <c r="X1573" s="73"/>
      <c r="Y1573" s="73"/>
      <c r="Z1573" s="73"/>
    </row>
    <row r="1574" spans="1:26" ht="12.75" customHeight="1">
      <c r="A1574" s="73"/>
      <c r="B1574" s="32"/>
      <c r="C1574" s="32"/>
      <c r="D1574" s="33"/>
      <c r="E1574" s="32"/>
      <c r="F1574" s="32"/>
      <c r="G1574" s="74"/>
      <c r="H1574" s="32"/>
      <c r="I1574" s="32"/>
      <c r="J1574" s="32"/>
      <c r="K1574" s="74"/>
      <c r="L1574" s="75"/>
      <c r="M1574" s="32"/>
      <c r="N1574" s="32"/>
      <c r="O1574" s="73"/>
      <c r="P1574" s="73"/>
      <c r="Q1574" s="73"/>
      <c r="R1574" s="73"/>
      <c r="S1574" s="73"/>
      <c r="T1574" s="73"/>
      <c r="U1574" s="73"/>
      <c r="V1574" s="73"/>
      <c r="W1574" s="73"/>
      <c r="X1574" s="73"/>
      <c r="Y1574" s="73"/>
      <c r="Z1574" s="73"/>
    </row>
    <row r="1575" spans="1:26" ht="12.75" customHeight="1">
      <c r="A1575" s="73"/>
      <c r="B1575" s="32"/>
      <c r="C1575" s="32"/>
      <c r="D1575" s="33"/>
      <c r="E1575" s="32"/>
      <c r="F1575" s="32"/>
      <c r="G1575" s="74"/>
      <c r="H1575" s="32"/>
      <c r="I1575" s="32"/>
      <c r="J1575" s="32"/>
      <c r="K1575" s="74"/>
      <c r="L1575" s="75"/>
      <c r="M1575" s="32"/>
      <c r="N1575" s="32"/>
      <c r="O1575" s="73"/>
      <c r="P1575" s="73"/>
      <c r="Q1575" s="73"/>
      <c r="R1575" s="73"/>
      <c r="S1575" s="73"/>
      <c r="T1575" s="73"/>
      <c r="U1575" s="73"/>
      <c r="V1575" s="73"/>
      <c r="W1575" s="73"/>
      <c r="X1575" s="73"/>
      <c r="Y1575" s="73"/>
      <c r="Z1575" s="73"/>
    </row>
    <row r="1576" spans="1:26" ht="12.75" customHeight="1">
      <c r="A1576" s="73"/>
      <c r="B1576" s="32"/>
      <c r="C1576" s="32"/>
      <c r="D1576" s="33"/>
      <c r="E1576" s="32"/>
      <c r="F1576" s="32"/>
      <c r="G1576" s="74"/>
      <c r="H1576" s="32"/>
      <c r="I1576" s="32"/>
      <c r="J1576" s="32"/>
      <c r="K1576" s="74"/>
      <c r="L1576" s="75"/>
      <c r="M1576" s="32"/>
      <c r="N1576" s="32"/>
      <c r="O1576" s="73"/>
      <c r="P1576" s="73"/>
      <c r="Q1576" s="73"/>
      <c r="R1576" s="73"/>
      <c r="S1576" s="73"/>
      <c r="T1576" s="73"/>
      <c r="U1576" s="73"/>
      <c r="V1576" s="73"/>
      <c r="W1576" s="73"/>
      <c r="X1576" s="73"/>
      <c r="Y1576" s="73"/>
      <c r="Z1576" s="73"/>
    </row>
    <row r="1577" spans="1:26" ht="12.75" customHeight="1">
      <c r="A1577" s="73"/>
      <c r="B1577" s="32"/>
      <c r="C1577" s="32"/>
      <c r="D1577" s="33"/>
      <c r="E1577" s="32"/>
      <c r="F1577" s="32"/>
      <c r="G1577" s="74"/>
      <c r="H1577" s="32"/>
      <c r="I1577" s="32"/>
      <c r="J1577" s="32"/>
      <c r="K1577" s="74"/>
      <c r="L1577" s="75"/>
      <c r="M1577" s="32"/>
      <c r="N1577" s="32"/>
      <c r="O1577" s="73"/>
      <c r="P1577" s="73"/>
      <c r="Q1577" s="73"/>
      <c r="R1577" s="73"/>
      <c r="S1577" s="73"/>
      <c r="T1577" s="73"/>
      <c r="U1577" s="73"/>
      <c r="V1577" s="73"/>
      <c r="W1577" s="73"/>
      <c r="X1577" s="73"/>
      <c r="Y1577" s="73"/>
      <c r="Z1577" s="73"/>
    </row>
    <row r="1578" spans="1:26" ht="12.75" customHeight="1">
      <c r="A1578" s="73"/>
      <c r="B1578" s="32"/>
      <c r="C1578" s="32"/>
      <c r="D1578" s="33"/>
      <c r="E1578" s="32"/>
      <c r="F1578" s="32"/>
      <c r="G1578" s="74"/>
      <c r="H1578" s="32"/>
      <c r="I1578" s="32"/>
      <c r="J1578" s="32"/>
      <c r="K1578" s="74"/>
      <c r="L1578" s="75"/>
      <c r="M1578" s="32"/>
      <c r="N1578" s="32"/>
      <c r="O1578" s="73"/>
      <c r="P1578" s="73"/>
      <c r="Q1578" s="73"/>
      <c r="R1578" s="73"/>
      <c r="S1578" s="73"/>
      <c r="T1578" s="73"/>
      <c r="U1578" s="73"/>
      <c r="V1578" s="73"/>
      <c r="W1578" s="73"/>
      <c r="X1578" s="73"/>
      <c r="Y1578" s="73"/>
      <c r="Z1578" s="73"/>
    </row>
    <row r="1579" spans="1:26" ht="12.75" customHeight="1">
      <c r="A1579" s="73"/>
      <c r="B1579" s="32"/>
      <c r="C1579" s="32"/>
      <c r="D1579" s="33"/>
      <c r="E1579" s="32"/>
      <c r="F1579" s="32"/>
      <c r="G1579" s="74"/>
      <c r="H1579" s="32"/>
      <c r="I1579" s="32"/>
      <c r="J1579" s="32"/>
      <c r="K1579" s="74"/>
      <c r="L1579" s="75"/>
      <c r="M1579" s="32"/>
      <c r="N1579" s="32"/>
      <c r="O1579" s="73"/>
      <c r="P1579" s="73"/>
      <c r="Q1579" s="73"/>
      <c r="R1579" s="73"/>
      <c r="S1579" s="73"/>
      <c r="T1579" s="73"/>
      <c r="U1579" s="73"/>
      <c r="V1579" s="73"/>
      <c r="W1579" s="73"/>
      <c r="X1579" s="73"/>
      <c r="Y1579" s="73"/>
      <c r="Z1579" s="73"/>
    </row>
    <row r="1580" spans="1:26" ht="12.75" customHeight="1">
      <c r="A1580" s="73"/>
      <c r="B1580" s="32"/>
      <c r="C1580" s="32"/>
      <c r="D1580" s="33"/>
      <c r="E1580" s="32"/>
      <c r="F1580" s="32"/>
      <c r="G1580" s="74"/>
      <c r="H1580" s="32"/>
      <c r="I1580" s="32"/>
      <c r="J1580" s="32"/>
      <c r="K1580" s="74"/>
      <c r="L1580" s="75"/>
      <c r="M1580" s="32"/>
      <c r="N1580" s="32"/>
      <c r="O1580" s="73"/>
      <c r="P1580" s="73"/>
      <c r="Q1580" s="73"/>
      <c r="R1580" s="73"/>
      <c r="S1580" s="73"/>
      <c r="T1580" s="73"/>
      <c r="U1580" s="73"/>
      <c r="V1580" s="73"/>
      <c r="W1580" s="73"/>
      <c r="X1580" s="73"/>
      <c r="Y1580" s="73"/>
      <c r="Z1580" s="73"/>
    </row>
    <row r="1581" spans="1:26" ht="12.75" customHeight="1">
      <c r="A1581" s="73"/>
      <c r="B1581" s="32"/>
      <c r="C1581" s="32"/>
      <c r="D1581" s="33"/>
      <c r="E1581" s="32"/>
      <c r="F1581" s="32"/>
      <c r="G1581" s="74"/>
      <c r="H1581" s="32"/>
      <c r="I1581" s="32"/>
      <c r="J1581" s="32"/>
      <c r="K1581" s="74"/>
      <c r="L1581" s="75"/>
      <c r="M1581" s="32"/>
      <c r="N1581" s="32"/>
      <c r="O1581" s="73"/>
      <c r="P1581" s="73"/>
      <c r="Q1581" s="73"/>
      <c r="R1581" s="73"/>
      <c r="S1581" s="73"/>
      <c r="T1581" s="73"/>
      <c r="U1581" s="73"/>
      <c r="V1581" s="73"/>
      <c r="W1581" s="73"/>
      <c r="X1581" s="73"/>
      <c r="Y1581" s="73"/>
      <c r="Z1581" s="73"/>
    </row>
    <row r="1582" spans="1:26" ht="12.75" customHeight="1">
      <c r="A1582" s="73"/>
      <c r="B1582" s="32"/>
      <c r="C1582" s="32"/>
      <c r="D1582" s="33"/>
      <c r="E1582" s="32"/>
      <c r="F1582" s="32"/>
      <c r="G1582" s="74"/>
      <c r="H1582" s="32"/>
      <c r="I1582" s="32"/>
      <c r="J1582" s="32"/>
      <c r="K1582" s="74"/>
      <c r="L1582" s="75"/>
      <c r="M1582" s="32"/>
      <c r="N1582" s="32"/>
      <c r="O1582" s="73"/>
      <c r="P1582" s="73"/>
      <c r="Q1582" s="73"/>
      <c r="R1582" s="73"/>
      <c r="S1582" s="73"/>
      <c r="T1582" s="73"/>
      <c r="U1582" s="73"/>
      <c r="V1582" s="73"/>
      <c r="W1582" s="73"/>
      <c r="X1582" s="73"/>
      <c r="Y1582" s="73"/>
      <c r="Z1582" s="73"/>
    </row>
    <row r="1583" spans="1:26" ht="12.75" customHeight="1">
      <c r="A1583" s="73"/>
      <c r="B1583" s="32"/>
      <c r="C1583" s="32"/>
      <c r="D1583" s="33"/>
      <c r="E1583" s="32"/>
      <c r="F1583" s="32"/>
      <c r="G1583" s="74"/>
      <c r="H1583" s="32"/>
      <c r="I1583" s="32"/>
      <c r="J1583" s="32"/>
      <c r="K1583" s="74"/>
      <c r="L1583" s="75"/>
      <c r="M1583" s="32"/>
      <c r="N1583" s="32"/>
      <c r="O1583" s="73"/>
      <c r="P1583" s="73"/>
      <c r="Q1583" s="73"/>
      <c r="R1583" s="73"/>
      <c r="S1583" s="73"/>
      <c r="T1583" s="73"/>
      <c r="U1583" s="73"/>
      <c r="V1583" s="73"/>
      <c r="W1583" s="73"/>
      <c r="X1583" s="73"/>
      <c r="Y1583" s="73"/>
      <c r="Z1583" s="73"/>
    </row>
    <row r="1584" spans="1:26" ht="12.75" customHeight="1">
      <c r="A1584" s="73"/>
      <c r="B1584" s="32"/>
      <c r="C1584" s="32"/>
      <c r="D1584" s="33"/>
      <c r="E1584" s="32"/>
      <c r="F1584" s="32"/>
      <c r="G1584" s="74"/>
      <c r="H1584" s="32"/>
      <c r="I1584" s="32"/>
      <c r="J1584" s="32"/>
      <c r="K1584" s="74"/>
      <c r="L1584" s="75"/>
      <c r="M1584" s="32"/>
      <c r="N1584" s="32"/>
      <c r="O1584" s="73"/>
      <c r="P1584" s="73"/>
      <c r="Q1584" s="73"/>
      <c r="R1584" s="73"/>
      <c r="S1584" s="73"/>
      <c r="T1584" s="73"/>
      <c r="U1584" s="73"/>
      <c r="V1584" s="73"/>
      <c r="W1584" s="73"/>
      <c r="X1584" s="73"/>
      <c r="Y1584" s="73"/>
      <c r="Z1584" s="73"/>
    </row>
    <row r="1585" spans="1:26" ht="12.75" customHeight="1">
      <c r="A1585" s="73"/>
      <c r="B1585" s="32"/>
      <c r="C1585" s="32"/>
      <c r="D1585" s="33"/>
      <c r="E1585" s="32"/>
      <c r="F1585" s="32"/>
      <c r="G1585" s="74"/>
      <c r="H1585" s="32"/>
      <c r="I1585" s="32"/>
      <c r="J1585" s="32"/>
      <c r="K1585" s="74"/>
      <c r="L1585" s="75"/>
      <c r="M1585" s="32"/>
      <c r="N1585" s="32"/>
      <c r="O1585" s="73"/>
      <c r="P1585" s="73"/>
      <c r="Q1585" s="73"/>
      <c r="R1585" s="73"/>
      <c r="S1585" s="73"/>
      <c r="T1585" s="73"/>
      <c r="U1585" s="73"/>
      <c r="V1585" s="73"/>
      <c r="W1585" s="73"/>
      <c r="X1585" s="73"/>
      <c r="Y1585" s="73"/>
      <c r="Z1585" s="73"/>
    </row>
    <row r="1586" spans="1:26" ht="12.75" customHeight="1">
      <c r="A1586" s="73"/>
      <c r="B1586" s="32"/>
      <c r="C1586" s="32"/>
      <c r="D1586" s="33"/>
      <c r="E1586" s="32"/>
      <c r="F1586" s="32"/>
      <c r="G1586" s="74"/>
      <c r="H1586" s="32"/>
      <c r="I1586" s="32"/>
      <c r="J1586" s="32"/>
      <c r="K1586" s="74"/>
      <c r="L1586" s="75"/>
      <c r="M1586" s="32"/>
      <c r="N1586" s="32"/>
      <c r="O1586" s="73"/>
      <c r="P1586" s="73"/>
      <c r="Q1586" s="73"/>
      <c r="R1586" s="73"/>
      <c r="S1586" s="73"/>
      <c r="T1586" s="73"/>
      <c r="U1586" s="73"/>
      <c r="V1586" s="73"/>
      <c r="W1586" s="73"/>
      <c r="X1586" s="73"/>
      <c r="Y1586" s="73"/>
      <c r="Z1586" s="73"/>
    </row>
    <row r="1587" spans="1:26" ht="12.75" customHeight="1">
      <c r="A1587" s="73"/>
      <c r="B1587" s="32"/>
      <c r="C1587" s="32"/>
      <c r="D1587" s="33"/>
      <c r="E1587" s="32"/>
      <c r="F1587" s="32"/>
      <c r="G1587" s="74"/>
      <c r="H1587" s="32"/>
      <c r="I1587" s="32"/>
      <c r="J1587" s="32"/>
      <c r="K1587" s="74"/>
      <c r="L1587" s="75"/>
      <c r="M1587" s="32"/>
      <c r="N1587" s="32"/>
      <c r="O1587" s="73"/>
      <c r="P1587" s="73"/>
      <c r="Q1587" s="73"/>
      <c r="R1587" s="73"/>
      <c r="S1587" s="73"/>
      <c r="T1587" s="73"/>
      <c r="U1587" s="73"/>
      <c r="V1587" s="73"/>
      <c r="W1587" s="73"/>
      <c r="X1587" s="73"/>
      <c r="Y1587" s="73"/>
      <c r="Z1587" s="73"/>
    </row>
    <row r="1588" spans="1:26" ht="12.75" customHeight="1">
      <c r="A1588" s="73"/>
      <c r="B1588" s="32"/>
      <c r="C1588" s="32"/>
      <c r="D1588" s="33"/>
      <c r="E1588" s="32"/>
      <c r="F1588" s="32"/>
      <c r="G1588" s="74"/>
      <c r="H1588" s="32"/>
      <c r="I1588" s="32"/>
      <c r="J1588" s="32"/>
      <c r="K1588" s="74"/>
      <c r="L1588" s="75"/>
      <c r="M1588" s="32"/>
      <c r="N1588" s="32"/>
      <c r="O1588" s="73"/>
      <c r="P1588" s="73"/>
      <c r="Q1588" s="73"/>
      <c r="R1588" s="73"/>
      <c r="S1588" s="73"/>
      <c r="T1588" s="73"/>
      <c r="U1588" s="73"/>
      <c r="V1588" s="73"/>
      <c r="W1588" s="73"/>
      <c r="X1588" s="73"/>
      <c r="Y1588" s="73"/>
      <c r="Z1588" s="73"/>
    </row>
    <row r="1589" spans="1:26" ht="12.75" customHeight="1">
      <c r="A1589" s="73"/>
      <c r="B1589" s="32"/>
      <c r="C1589" s="32"/>
      <c r="D1589" s="33"/>
      <c r="E1589" s="32"/>
      <c r="F1589" s="32"/>
      <c r="G1589" s="74"/>
      <c r="H1589" s="32"/>
      <c r="I1589" s="32"/>
      <c r="J1589" s="32"/>
      <c r="K1589" s="74"/>
      <c r="L1589" s="75"/>
      <c r="M1589" s="32"/>
      <c r="N1589" s="32"/>
      <c r="O1589" s="73"/>
      <c r="P1589" s="73"/>
      <c r="Q1589" s="73"/>
      <c r="R1589" s="73"/>
      <c r="S1589" s="73"/>
      <c r="T1589" s="73"/>
      <c r="U1589" s="73"/>
      <c r="V1589" s="73"/>
      <c r="W1589" s="73"/>
      <c r="X1589" s="73"/>
      <c r="Y1589" s="73"/>
      <c r="Z1589" s="73"/>
    </row>
    <row r="1590" spans="1:26" ht="12.75" customHeight="1">
      <c r="A1590" s="73"/>
      <c r="B1590" s="32"/>
      <c r="C1590" s="32"/>
      <c r="D1590" s="33"/>
      <c r="E1590" s="32"/>
      <c r="F1590" s="32"/>
      <c r="G1590" s="74"/>
      <c r="H1590" s="32"/>
      <c r="I1590" s="32"/>
      <c r="J1590" s="32"/>
      <c r="K1590" s="74"/>
      <c r="L1590" s="75"/>
      <c r="M1590" s="32"/>
      <c r="N1590" s="32"/>
      <c r="O1590" s="73"/>
      <c r="P1590" s="73"/>
      <c r="Q1590" s="73"/>
      <c r="R1590" s="73"/>
      <c r="S1590" s="73"/>
      <c r="T1590" s="73"/>
      <c r="U1590" s="73"/>
      <c r="V1590" s="73"/>
      <c r="W1590" s="73"/>
      <c r="X1590" s="73"/>
      <c r="Y1590" s="73"/>
      <c r="Z1590" s="73"/>
    </row>
    <row r="1591" spans="1:26" ht="12.75" customHeight="1">
      <c r="A1591" s="73"/>
      <c r="B1591" s="32"/>
      <c r="C1591" s="32"/>
      <c r="D1591" s="33"/>
      <c r="E1591" s="32"/>
      <c r="F1591" s="32"/>
      <c r="G1591" s="74"/>
      <c r="H1591" s="32"/>
      <c r="I1591" s="32"/>
      <c r="J1591" s="32"/>
      <c r="K1591" s="74"/>
      <c r="L1591" s="75"/>
      <c r="M1591" s="32"/>
      <c r="N1591" s="32"/>
      <c r="O1591" s="73"/>
      <c r="P1591" s="73"/>
      <c r="Q1591" s="73"/>
      <c r="R1591" s="73"/>
      <c r="S1591" s="73"/>
      <c r="T1591" s="73"/>
      <c r="U1591" s="73"/>
      <c r="V1591" s="73"/>
      <c r="W1591" s="73"/>
      <c r="X1591" s="73"/>
      <c r="Y1591" s="73"/>
      <c r="Z1591" s="73"/>
    </row>
    <row r="1592" spans="1:26" ht="12.75" customHeight="1">
      <c r="A1592" s="73"/>
      <c r="B1592" s="32"/>
      <c r="C1592" s="32"/>
      <c r="D1592" s="33"/>
      <c r="E1592" s="32"/>
      <c r="F1592" s="32"/>
      <c r="G1592" s="74"/>
      <c r="H1592" s="32"/>
      <c r="I1592" s="32"/>
      <c r="J1592" s="32"/>
      <c r="K1592" s="74"/>
      <c r="L1592" s="75"/>
      <c r="M1592" s="32"/>
      <c r="N1592" s="32"/>
      <c r="O1592" s="73"/>
      <c r="P1592" s="73"/>
      <c r="Q1592" s="73"/>
      <c r="R1592" s="73"/>
      <c r="S1592" s="73"/>
      <c r="T1592" s="73"/>
      <c r="U1592" s="73"/>
      <c r="V1592" s="73"/>
      <c r="W1592" s="73"/>
      <c r="X1592" s="73"/>
      <c r="Y1592" s="73"/>
      <c r="Z1592" s="73"/>
    </row>
    <row r="1593" spans="1:26" ht="12.75" customHeight="1">
      <c r="A1593" s="73"/>
      <c r="B1593" s="32"/>
      <c r="C1593" s="32"/>
      <c r="D1593" s="33"/>
      <c r="E1593" s="32"/>
      <c r="F1593" s="32"/>
      <c r="G1593" s="74"/>
      <c r="H1593" s="32"/>
      <c r="I1593" s="32"/>
      <c r="J1593" s="32"/>
      <c r="K1593" s="74"/>
      <c r="L1593" s="75"/>
      <c r="M1593" s="32"/>
      <c r="N1593" s="32"/>
      <c r="O1593" s="73"/>
      <c r="P1593" s="73"/>
      <c r="Q1593" s="73"/>
      <c r="R1593" s="73"/>
      <c r="S1593" s="73"/>
      <c r="T1593" s="73"/>
      <c r="U1593" s="73"/>
      <c r="V1593" s="73"/>
      <c r="W1593" s="73"/>
      <c r="X1593" s="73"/>
      <c r="Y1593" s="73"/>
      <c r="Z1593" s="73"/>
    </row>
    <row r="1594" spans="1:26" ht="12.75" customHeight="1">
      <c r="A1594" s="73"/>
      <c r="B1594" s="32"/>
      <c r="C1594" s="32"/>
      <c r="D1594" s="33"/>
      <c r="E1594" s="32"/>
      <c r="F1594" s="32"/>
      <c r="G1594" s="74"/>
      <c r="H1594" s="32"/>
      <c r="I1594" s="32"/>
      <c r="J1594" s="32"/>
      <c r="K1594" s="74"/>
      <c r="L1594" s="75"/>
      <c r="M1594" s="32"/>
      <c r="N1594" s="32"/>
      <c r="O1594" s="73"/>
      <c r="P1594" s="73"/>
      <c r="Q1594" s="73"/>
      <c r="R1594" s="73"/>
      <c r="S1594" s="73"/>
      <c r="T1594" s="73"/>
      <c r="U1594" s="73"/>
      <c r="V1594" s="73"/>
      <c r="W1594" s="73"/>
      <c r="X1594" s="73"/>
      <c r="Y1594" s="73"/>
      <c r="Z1594" s="73"/>
    </row>
    <row r="1595" spans="1:26" ht="12.75" customHeight="1">
      <c r="A1595" s="73"/>
      <c r="B1595" s="32"/>
      <c r="C1595" s="32"/>
      <c r="D1595" s="33"/>
      <c r="E1595" s="32"/>
      <c r="F1595" s="32"/>
      <c r="G1595" s="74"/>
      <c r="H1595" s="32"/>
      <c r="I1595" s="32"/>
      <c r="J1595" s="32"/>
      <c r="K1595" s="74"/>
      <c r="L1595" s="75"/>
      <c r="M1595" s="32"/>
      <c r="N1595" s="32"/>
      <c r="O1595" s="73"/>
      <c r="P1595" s="73"/>
      <c r="Q1595" s="73"/>
      <c r="R1595" s="73"/>
      <c r="S1595" s="73"/>
      <c r="T1595" s="73"/>
      <c r="U1595" s="73"/>
      <c r="V1595" s="73"/>
      <c r="W1595" s="73"/>
      <c r="X1595" s="73"/>
      <c r="Y1595" s="73"/>
      <c r="Z1595" s="73"/>
    </row>
    <row r="1596" spans="1:26" ht="12.75" customHeight="1">
      <c r="A1596" s="73"/>
      <c r="B1596" s="32"/>
      <c r="C1596" s="32"/>
      <c r="D1596" s="33"/>
      <c r="E1596" s="32"/>
      <c r="F1596" s="32"/>
      <c r="G1596" s="74"/>
      <c r="H1596" s="32"/>
      <c r="I1596" s="32"/>
      <c r="J1596" s="32"/>
      <c r="K1596" s="74"/>
      <c r="L1596" s="75"/>
      <c r="M1596" s="32"/>
      <c r="N1596" s="32"/>
      <c r="O1596" s="73"/>
      <c r="P1596" s="73"/>
      <c r="Q1596" s="73"/>
      <c r="R1596" s="73"/>
      <c r="S1596" s="73"/>
      <c r="T1596" s="73"/>
      <c r="U1596" s="73"/>
      <c r="V1596" s="73"/>
      <c r="W1596" s="73"/>
      <c r="X1596" s="73"/>
      <c r="Y1596" s="73"/>
      <c r="Z1596" s="73"/>
    </row>
    <row r="1597" spans="1:26" ht="12.75" customHeight="1">
      <c r="A1597" s="73"/>
      <c r="B1597" s="32"/>
      <c r="C1597" s="32"/>
      <c r="D1597" s="33"/>
      <c r="E1597" s="32"/>
      <c r="F1597" s="32"/>
      <c r="G1597" s="74"/>
      <c r="H1597" s="32"/>
      <c r="I1597" s="32"/>
      <c r="J1597" s="32"/>
      <c r="K1597" s="74"/>
      <c r="L1597" s="75"/>
      <c r="M1597" s="32"/>
      <c r="N1597" s="32"/>
      <c r="O1597" s="73"/>
      <c r="P1597" s="73"/>
      <c r="Q1597" s="73"/>
      <c r="R1597" s="73"/>
      <c r="S1597" s="73"/>
      <c r="T1597" s="73"/>
      <c r="U1597" s="73"/>
      <c r="V1597" s="73"/>
      <c r="W1597" s="73"/>
      <c r="X1597" s="73"/>
      <c r="Y1597" s="73"/>
      <c r="Z1597" s="73"/>
    </row>
    <row r="1598" spans="1:26" ht="12.75" customHeight="1">
      <c r="A1598" s="73"/>
      <c r="B1598" s="32"/>
      <c r="C1598" s="32"/>
      <c r="D1598" s="33"/>
      <c r="E1598" s="32"/>
      <c r="F1598" s="32"/>
      <c r="G1598" s="74"/>
      <c r="H1598" s="32"/>
      <c r="I1598" s="32"/>
      <c r="J1598" s="32"/>
      <c r="K1598" s="74"/>
      <c r="L1598" s="75"/>
      <c r="M1598" s="32"/>
      <c r="N1598" s="32"/>
      <c r="O1598" s="73"/>
      <c r="P1598" s="73"/>
      <c r="Q1598" s="73"/>
      <c r="R1598" s="73"/>
      <c r="S1598" s="73"/>
      <c r="T1598" s="73"/>
      <c r="U1598" s="73"/>
      <c r="V1598" s="73"/>
      <c r="W1598" s="73"/>
      <c r="X1598" s="73"/>
      <c r="Y1598" s="73"/>
      <c r="Z1598" s="73"/>
    </row>
    <row r="1599" spans="1:26" ht="12.75" customHeight="1">
      <c r="A1599" s="73"/>
      <c r="B1599" s="32"/>
      <c r="C1599" s="32"/>
      <c r="D1599" s="33"/>
      <c r="E1599" s="32"/>
      <c r="F1599" s="32"/>
      <c r="G1599" s="74"/>
      <c r="H1599" s="32"/>
      <c r="I1599" s="32"/>
      <c r="J1599" s="32"/>
      <c r="K1599" s="74"/>
      <c r="L1599" s="75"/>
      <c r="M1599" s="32"/>
      <c r="N1599" s="32"/>
      <c r="O1599" s="73"/>
      <c r="P1599" s="73"/>
      <c r="Q1599" s="73"/>
      <c r="R1599" s="73"/>
      <c r="S1599" s="73"/>
      <c r="T1599" s="73"/>
      <c r="U1599" s="73"/>
      <c r="V1599" s="73"/>
      <c r="W1599" s="73"/>
      <c r="X1599" s="73"/>
      <c r="Y1599" s="73"/>
      <c r="Z1599" s="73"/>
    </row>
    <row r="1600" spans="1:26" ht="12.75" customHeight="1">
      <c r="A1600" s="73"/>
      <c r="B1600" s="32"/>
      <c r="C1600" s="32"/>
      <c r="D1600" s="33"/>
      <c r="E1600" s="32"/>
      <c r="F1600" s="32"/>
      <c r="G1600" s="74"/>
      <c r="H1600" s="32"/>
      <c r="I1600" s="32"/>
      <c r="J1600" s="32"/>
      <c r="K1600" s="74"/>
      <c r="L1600" s="75"/>
      <c r="M1600" s="32"/>
      <c r="N1600" s="32"/>
      <c r="O1600" s="73"/>
      <c r="P1600" s="73"/>
      <c r="Q1600" s="73"/>
      <c r="R1600" s="73"/>
      <c r="S1600" s="73"/>
      <c r="T1600" s="73"/>
      <c r="U1600" s="73"/>
      <c r="V1600" s="73"/>
      <c r="W1600" s="73"/>
      <c r="X1600" s="73"/>
      <c r="Y1600" s="73"/>
      <c r="Z1600" s="73"/>
    </row>
    <row r="1601" spans="1:26" ht="12.75" customHeight="1">
      <c r="A1601" s="73"/>
      <c r="B1601" s="32"/>
      <c r="C1601" s="32"/>
      <c r="D1601" s="33"/>
      <c r="E1601" s="32"/>
      <c r="F1601" s="32"/>
      <c r="G1601" s="74"/>
      <c r="H1601" s="32"/>
      <c r="I1601" s="32"/>
      <c r="J1601" s="32"/>
      <c r="K1601" s="74"/>
      <c r="L1601" s="75"/>
      <c r="M1601" s="32"/>
      <c r="N1601" s="32"/>
      <c r="O1601" s="73"/>
      <c r="P1601" s="73"/>
      <c r="Q1601" s="73"/>
      <c r="R1601" s="73"/>
      <c r="S1601" s="73"/>
      <c r="T1601" s="73"/>
      <c r="U1601" s="73"/>
      <c r="V1601" s="73"/>
      <c r="W1601" s="73"/>
      <c r="X1601" s="73"/>
      <c r="Y1601" s="73"/>
      <c r="Z1601" s="73"/>
    </row>
    <row r="1602" spans="1:26" ht="12.75" customHeight="1">
      <c r="A1602" s="73"/>
      <c r="B1602" s="32"/>
      <c r="C1602" s="32"/>
      <c r="D1602" s="33"/>
      <c r="E1602" s="32"/>
      <c r="F1602" s="32"/>
      <c r="G1602" s="74"/>
      <c r="H1602" s="32"/>
      <c r="I1602" s="32"/>
      <c r="J1602" s="32"/>
      <c r="K1602" s="74"/>
      <c r="L1602" s="75"/>
      <c r="M1602" s="32"/>
      <c r="N1602" s="32"/>
      <c r="O1602" s="73"/>
      <c r="P1602" s="73"/>
      <c r="Q1602" s="73"/>
      <c r="R1602" s="73"/>
      <c r="S1602" s="73"/>
      <c r="T1602" s="73"/>
      <c r="U1602" s="73"/>
      <c r="V1602" s="73"/>
      <c r="W1602" s="73"/>
      <c r="X1602" s="73"/>
      <c r="Y1602" s="73"/>
      <c r="Z1602" s="73"/>
    </row>
    <row r="1603" spans="1:26" ht="12.75" customHeight="1">
      <c r="A1603" s="73"/>
      <c r="B1603" s="32"/>
      <c r="C1603" s="32"/>
      <c r="D1603" s="33"/>
      <c r="E1603" s="32"/>
      <c r="F1603" s="32"/>
      <c r="G1603" s="74"/>
      <c r="H1603" s="32"/>
      <c r="I1603" s="32"/>
      <c r="J1603" s="32"/>
      <c r="K1603" s="74"/>
      <c r="L1603" s="75"/>
      <c r="M1603" s="32"/>
      <c r="N1603" s="32"/>
      <c r="O1603" s="73"/>
      <c r="P1603" s="73"/>
      <c r="Q1603" s="73"/>
      <c r="R1603" s="73"/>
      <c r="S1603" s="73"/>
      <c r="T1603" s="73"/>
      <c r="U1603" s="73"/>
      <c r="V1603" s="73"/>
      <c r="W1603" s="73"/>
      <c r="X1603" s="73"/>
      <c r="Y1603" s="73"/>
      <c r="Z1603" s="73"/>
    </row>
    <row r="1604" spans="1:26" ht="12.75" customHeight="1">
      <c r="A1604" s="73"/>
      <c r="B1604" s="32"/>
      <c r="C1604" s="32"/>
      <c r="D1604" s="33"/>
      <c r="E1604" s="32"/>
      <c r="F1604" s="32"/>
      <c r="G1604" s="74"/>
      <c r="H1604" s="32"/>
      <c r="I1604" s="32"/>
      <c r="J1604" s="32"/>
      <c r="K1604" s="74"/>
      <c r="L1604" s="75"/>
      <c r="M1604" s="32"/>
      <c r="N1604" s="32"/>
      <c r="O1604" s="73"/>
      <c r="P1604" s="73"/>
      <c r="Q1604" s="73"/>
      <c r="R1604" s="73"/>
      <c r="S1604" s="73"/>
      <c r="T1604" s="73"/>
      <c r="U1604" s="73"/>
      <c r="V1604" s="73"/>
      <c r="W1604" s="73"/>
      <c r="X1604" s="73"/>
      <c r="Y1604" s="73"/>
      <c r="Z1604" s="73"/>
    </row>
    <row r="1605" spans="1:26" ht="12.75" customHeight="1">
      <c r="A1605" s="73"/>
      <c r="B1605" s="32"/>
      <c r="C1605" s="32"/>
      <c r="D1605" s="33"/>
      <c r="E1605" s="32"/>
      <c r="F1605" s="32"/>
      <c r="G1605" s="74"/>
      <c r="H1605" s="32"/>
      <c r="I1605" s="32"/>
      <c r="J1605" s="32"/>
      <c r="K1605" s="74"/>
      <c r="L1605" s="75"/>
      <c r="M1605" s="32"/>
      <c r="N1605" s="32"/>
      <c r="O1605" s="73"/>
      <c r="P1605" s="73"/>
      <c r="Q1605" s="73"/>
      <c r="R1605" s="73"/>
      <c r="S1605" s="73"/>
      <c r="T1605" s="73"/>
      <c r="U1605" s="73"/>
      <c r="V1605" s="73"/>
      <c r="W1605" s="73"/>
      <c r="X1605" s="73"/>
      <c r="Y1605" s="73"/>
      <c r="Z1605" s="73"/>
    </row>
    <row r="1606" spans="1:26" ht="12.75" customHeight="1">
      <c r="A1606" s="73"/>
      <c r="B1606" s="32"/>
      <c r="C1606" s="32"/>
      <c r="D1606" s="33"/>
      <c r="E1606" s="32"/>
      <c r="F1606" s="32"/>
      <c r="G1606" s="74"/>
      <c r="H1606" s="32"/>
      <c r="I1606" s="32"/>
      <c r="J1606" s="32"/>
      <c r="K1606" s="74"/>
      <c r="L1606" s="75"/>
      <c r="M1606" s="32"/>
      <c r="N1606" s="32"/>
      <c r="O1606" s="73"/>
      <c r="P1606" s="73"/>
      <c r="Q1606" s="73"/>
      <c r="R1606" s="73"/>
      <c r="S1606" s="73"/>
      <c r="T1606" s="73"/>
      <c r="U1606" s="73"/>
      <c r="V1606" s="73"/>
      <c r="W1606" s="73"/>
      <c r="X1606" s="73"/>
      <c r="Y1606" s="73"/>
      <c r="Z1606" s="73"/>
    </row>
    <row r="1607" spans="1:26" ht="12.75" customHeight="1">
      <c r="A1607" s="73"/>
      <c r="B1607" s="32"/>
      <c r="C1607" s="32"/>
      <c r="D1607" s="33"/>
      <c r="E1607" s="32"/>
      <c r="F1607" s="32"/>
      <c r="G1607" s="74"/>
      <c r="H1607" s="32"/>
      <c r="I1607" s="32"/>
      <c r="J1607" s="32"/>
      <c r="K1607" s="74"/>
      <c r="L1607" s="75"/>
      <c r="M1607" s="32"/>
      <c r="N1607" s="32"/>
      <c r="O1607" s="73"/>
      <c r="P1607" s="73"/>
      <c r="Q1607" s="73"/>
      <c r="R1607" s="73"/>
      <c r="S1607" s="73"/>
      <c r="T1607" s="73"/>
      <c r="U1607" s="73"/>
      <c r="V1607" s="73"/>
      <c r="W1607" s="73"/>
      <c r="X1607" s="73"/>
      <c r="Y1607" s="73"/>
      <c r="Z1607" s="73"/>
    </row>
    <row r="1608" spans="1:26" ht="12.75" customHeight="1">
      <c r="A1608" s="73"/>
      <c r="B1608" s="32"/>
      <c r="C1608" s="32"/>
      <c r="D1608" s="33"/>
      <c r="E1608" s="32"/>
      <c r="F1608" s="32"/>
      <c r="G1608" s="74"/>
      <c r="H1608" s="32"/>
      <c r="I1608" s="32"/>
      <c r="J1608" s="32"/>
      <c r="K1608" s="74"/>
      <c r="L1608" s="75"/>
      <c r="M1608" s="32"/>
      <c r="N1608" s="32"/>
      <c r="O1608" s="73"/>
      <c r="P1608" s="73"/>
      <c r="Q1608" s="73"/>
      <c r="R1608" s="73"/>
      <c r="S1608" s="73"/>
      <c r="T1608" s="73"/>
      <c r="U1608" s="73"/>
      <c r="V1608" s="73"/>
      <c r="W1608" s="73"/>
      <c r="X1608" s="73"/>
      <c r="Y1608" s="73"/>
      <c r="Z1608" s="73"/>
    </row>
    <row r="1609" spans="1:26" ht="12.75" customHeight="1">
      <c r="A1609" s="73"/>
      <c r="B1609" s="32"/>
      <c r="C1609" s="32"/>
      <c r="D1609" s="33"/>
      <c r="E1609" s="32"/>
      <c r="F1609" s="32"/>
      <c r="G1609" s="74"/>
      <c r="H1609" s="32"/>
      <c r="I1609" s="32"/>
      <c r="J1609" s="32"/>
      <c r="K1609" s="74"/>
      <c r="L1609" s="75"/>
      <c r="M1609" s="32"/>
      <c r="N1609" s="32"/>
      <c r="O1609" s="73"/>
      <c r="P1609" s="73"/>
      <c r="Q1609" s="73"/>
      <c r="R1609" s="73"/>
      <c r="S1609" s="73"/>
      <c r="T1609" s="73"/>
      <c r="U1609" s="73"/>
      <c r="V1609" s="73"/>
      <c r="W1609" s="73"/>
      <c r="X1609" s="73"/>
      <c r="Y1609" s="73"/>
      <c r="Z1609" s="73"/>
    </row>
    <row r="1610" spans="1:26" ht="12.75" customHeight="1">
      <c r="A1610" s="73"/>
      <c r="B1610" s="32"/>
      <c r="C1610" s="32"/>
      <c r="D1610" s="33"/>
      <c r="E1610" s="32"/>
      <c r="F1610" s="32"/>
      <c r="G1610" s="74"/>
      <c r="H1610" s="32"/>
      <c r="I1610" s="32"/>
      <c r="J1610" s="32"/>
      <c r="K1610" s="74"/>
      <c r="L1610" s="75"/>
      <c r="M1610" s="32"/>
      <c r="N1610" s="32"/>
      <c r="O1610" s="73"/>
      <c r="P1610" s="73"/>
      <c r="Q1610" s="73"/>
      <c r="R1610" s="73"/>
      <c r="S1610" s="73"/>
      <c r="T1610" s="73"/>
      <c r="U1610" s="73"/>
      <c r="V1610" s="73"/>
      <c r="W1610" s="73"/>
      <c r="X1610" s="73"/>
      <c r="Y1610" s="73"/>
      <c r="Z1610" s="73"/>
    </row>
    <row r="1611" spans="1:26" ht="12.75" customHeight="1">
      <c r="A1611" s="73"/>
      <c r="B1611" s="32"/>
      <c r="C1611" s="32"/>
      <c r="D1611" s="33"/>
      <c r="E1611" s="32"/>
      <c r="F1611" s="32"/>
      <c r="G1611" s="74"/>
      <c r="H1611" s="32"/>
      <c r="I1611" s="32"/>
      <c r="J1611" s="32"/>
      <c r="K1611" s="74"/>
      <c r="L1611" s="75"/>
      <c r="M1611" s="32"/>
      <c r="N1611" s="32"/>
      <c r="O1611" s="73"/>
      <c r="P1611" s="73"/>
      <c r="Q1611" s="73"/>
      <c r="R1611" s="73"/>
      <c r="S1611" s="73"/>
      <c r="T1611" s="73"/>
      <c r="U1611" s="73"/>
      <c r="V1611" s="73"/>
      <c r="W1611" s="73"/>
      <c r="X1611" s="73"/>
      <c r="Y1611" s="73"/>
      <c r="Z1611" s="73"/>
    </row>
    <row r="1612" spans="1:26" ht="12.75" customHeight="1">
      <c r="A1612" s="73"/>
      <c r="B1612" s="32"/>
      <c r="C1612" s="32"/>
      <c r="D1612" s="33"/>
      <c r="E1612" s="32"/>
      <c r="F1612" s="32"/>
      <c r="G1612" s="74"/>
      <c r="H1612" s="32"/>
      <c r="I1612" s="32"/>
      <c r="J1612" s="32"/>
      <c r="K1612" s="74"/>
      <c r="L1612" s="75"/>
      <c r="M1612" s="32"/>
      <c r="N1612" s="32"/>
      <c r="O1612" s="73"/>
      <c r="P1612" s="73"/>
      <c r="Q1612" s="73"/>
      <c r="R1612" s="73"/>
      <c r="S1612" s="73"/>
      <c r="T1612" s="73"/>
      <c r="U1612" s="73"/>
      <c r="V1612" s="73"/>
      <c r="W1612" s="73"/>
      <c r="X1612" s="73"/>
      <c r="Y1612" s="73"/>
      <c r="Z1612" s="73"/>
    </row>
    <row r="1613" spans="1:26" ht="12.75" customHeight="1">
      <c r="A1613" s="73"/>
      <c r="B1613" s="32"/>
      <c r="C1613" s="32"/>
      <c r="D1613" s="33"/>
      <c r="E1613" s="32"/>
      <c r="F1613" s="32"/>
      <c r="G1613" s="74"/>
      <c r="H1613" s="32"/>
      <c r="I1613" s="32"/>
      <c r="J1613" s="32"/>
      <c r="K1613" s="74"/>
      <c r="L1613" s="75"/>
      <c r="M1613" s="32"/>
      <c r="N1613" s="32"/>
      <c r="O1613" s="73"/>
      <c r="P1613" s="73"/>
      <c r="Q1613" s="73"/>
      <c r="R1613" s="73"/>
      <c r="S1613" s="73"/>
      <c r="T1613" s="73"/>
      <c r="U1613" s="73"/>
      <c r="V1613" s="73"/>
      <c r="W1613" s="73"/>
      <c r="X1613" s="73"/>
      <c r="Y1613" s="73"/>
      <c r="Z1613" s="73"/>
    </row>
    <row r="1614" spans="1:26" ht="12.75" customHeight="1">
      <c r="A1614" s="73"/>
      <c r="B1614" s="32"/>
      <c r="C1614" s="32"/>
      <c r="D1614" s="33"/>
      <c r="E1614" s="32"/>
      <c r="F1614" s="32"/>
      <c r="G1614" s="74"/>
      <c r="H1614" s="32"/>
      <c r="I1614" s="32"/>
      <c r="J1614" s="32"/>
      <c r="K1614" s="74"/>
      <c r="L1614" s="75"/>
      <c r="M1614" s="32"/>
      <c r="N1614" s="32"/>
      <c r="O1614" s="73"/>
      <c r="P1614" s="73"/>
      <c r="Q1614" s="73"/>
      <c r="R1614" s="73"/>
      <c r="S1614" s="73"/>
      <c r="T1614" s="73"/>
      <c r="U1614" s="73"/>
      <c r="V1614" s="73"/>
      <c r="W1614" s="73"/>
      <c r="X1614" s="73"/>
      <c r="Y1614" s="73"/>
      <c r="Z1614" s="73"/>
    </row>
    <row r="1615" spans="1:26" ht="12.75" customHeight="1">
      <c r="A1615" s="73"/>
      <c r="B1615" s="32"/>
      <c r="C1615" s="32"/>
      <c r="D1615" s="33"/>
      <c r="E1615" s="32"/>
      <c r="F1615" s="32"/>
      <c r="G1615" s="74"/>
      <c r="H1615" s="32"/>
      <c r="I1615" s="32"/>
      <c r="J1615" s="32"/>
      <c r="K1615" s="74"/>
      <c r="L1615" s="75"/>
      <c r="M1615" s="32"/>
      <c r="N1615" s="32"/>
      <c r="O1615" s="73"/>
      <c r="P1615" s="73"/>
      <c r="Q1615" s="73"/>
      <c r="R1615" s="73"/>
      <c r="S1615" s="73"/>
      <c r="T1615" s="73"/>
      <c r="U1615" s="73"/>
      <c r="V1615" s="73"/>
      <c r="W1615" s="73"/>
      <c r="X1615" s="73"/>
      <c r="Y1615" s="73"/>
      <c r="Z1615" s="73"/>
    </row>
    <row r="1616" spans="1:26" ht="12.75" customHeight="1">
      <c r="A1616" s="73"/>
      <c r="B1616" s="32"/>
      <c r="C1616" s="32"/>
      <c r="D1616" s="33"/>
      <c r="E1616" s="32"/>
      <c r="F1616" s="32"/>
      <c r="G1616" s="74"/>
      <c r="H1616" s="32"/>
      <c r="I1616" s="32"/>
      <c r="J1616" s="32"/>
      <c r="K1616" s="74"/>
      <c r="L1616" s="75"/>
      <c r="M1616" s="32"/>
      <c r="N1616" s="32"/>
      <c r="O1616" s="73"/>
      <c r="P1616" s="73"/>
      <c r="Q1616" s="73"/>
      <c r="R1616" s="73"/>
      <c r="S1616" s="73"/>
      <c r="T1616" s="73"/>
      <c r="U1616" s="73"/>
      <c r="V1616" s="73"/>
      <c r="W1616" s="73"/>
      <c r="X1616" s="73"/>
      <c r="Y1616" s="73"/>
      <c r="Z1616" s="73"/>
    </row>
    <row r="1617" spans="1:26" ht="12.75" customHeight="1">
      <c r="A1617" s="73"/>
      <c r="B1617" s="32"/>
      <c r="C1617" s="32"/>
      <c r="D1617" s="33"/>
      <c r="E1617" s="32"/>
      <c r="F1617" s="32"/>
      <c r="G1617" s="74"/>
      <c r="H1617" s="32"/>
      <c r="I1617" s="32"/>
      <c r="J1617" s="32"/>
      <c r="K1617" s="74"/>
      <c r="L1617" s="75"/>
      <c r="M1617" s="32"/>
      <c r="N1617" s="32"/>
      <c r="O1617" s="73"/>
      <c r="P1617" s="73"/>
      <c r="Q1617" s="73"/>
      <c r="R1617" s="73"/>
      <c r="S1617" s="73"/>
      <c r="T1617" s="73"/>
      <c r="U1617" s="73"/>
      <c r="V1617" s="73"/>
      <c r="W1617" s="73"/>
      <c r="X1617" s="73"/>
      <c r="Y1617" s="73"/>
      <c r="Z1617" s="73"/>
    </row>
    <row r="1618" spans="1:26" ht="12.75" customHeight="1">
      <c r="A1618" s="73"/>
      <c r="B1618" s="32"/>
      <c r="C1618" s="32"/>
      <c r="D1618" s="33"/>
      <c r="E1618" s="32"/>
      <c r="F1618" s="32"/>
      <c r="G1618" s="74"/>
      <c r="H1618" s="32"/>
      <c r="I1618" s="32"/>
      <c r="J1618" s="32"/>
      <c r="K1618" s="74"/>
      <c r="L1618" s="75"/>
      <c r="M1618" s="32"/>
      <c r="N1618" s="32"/>
      <c r="O1618" s="73"/>
      <c r="P1618" s="73"/>
      <c r="Q1618" s="73"/>
      <c r="R1618" s="73"/>
      <c r="S1618" s="73"/>
      <c r="T1618" s="73"/>
      <c r="U1618" s="73"/>
      <c r="V1618" s="73"/>
      <c r="W1618" s="73"/>
      <c r="X1618" s="73"/>
      <c r="Y1618" s="73"/>
      <c r="Z1618" s="73"/>
    </row>
    <row r="1619" spans="1:26" ht="12.75" customHeight="1">
      <c r="A1619" s="73"/>
      <c r="B1619" s="32"/>
      <c r="C1619" s="32"/>
      <c r="D1619" s="33"/>
      <c r="E1619" s="32"/>
      <c r="F1619" s="32"/>
      <c r="G1619" s="74"/>
      <c r="H1619" s="32"/>
      <c r="I1619" s="32"/>
      <c r="J1619" s="32"/>
      <c r="K1619" s="74"/>
      <c r="L1619" s="75"/>
      <c r="M1619" s="32"/>
      <c r="N1619" s="32"/>
      <c r="O1619" s="73"/>
      <c r="P1619" s="73"/>
      <c r="Q1619" s="73"/>
      <c r="R1619" s="73"/>
      <c r="S1619" s="73"/>
      <c r="T1619" s="73"/>
      <c r="U1619" s="73"/>
      <c r="V1619" s="73"/>
      <c r="W1619" s="73"/>
      <c r="X1619" s="73"/>
      <c r="Y1619" s="73"/>
      <c r="Z1619" s="73"/>
    </row>
    <row r="1620" spans="1:26" ht="12.75" customHeight="1">
      <c r="A1620" s="73"/>
      <c r="B1620" s="32"/>
      <c r="C1620" s="32"/>
      <c r="D1620" s="33"/>
      <c r="E1620" s="32"/>
      <c r="F1620" s="32"/>
      <c r="G1620" s="74"/>
      <c r="H1620" s="32"/>
      <c r="I1620" s="32"/>
      <c r="J1620" s="32"/>
      <c r="K1620" s="74"/>
      <c r="L1620" s="75"/>
      <c r="M1620" s="32"/>
      <c r="N1620" s="32"/>
      <c r="O1620" s="73"/>
      <c r="P1620" s="73"/>
      <c r="Q1620" s="73"/>
      <c r="R1620" s="73"/>
      <c r="S1620" s="73"/>
      <c r="T1620" s="73"/>
      <c r="U1620" s="73"/>
      <c r="V1620" s="73"/>
      <c r="W1620" s="73"/>
      <c r="X1620" s="73"/>
      <c r="Y1620" s="73"/>
      <c r="Z1620" s="73"/>
    </row>
    <row r="1621" spans="1:26" ht="12.75" customHeight="1">
      <c r="A1621" s="73"/>
      <c r="B1621" s="32"/>
      <c r="C1621" s="32"/>
      <c r="D1621" s="33"/>
      <c r="E1621" s="32"/>
      <c r="F1621" s="32"/>
      <c r="G1621" s="74"/>
      <c r="H1621" s="32"/>
      <c r="I1621" s="32"/>
      <c r="J1621" s="32"/>
      <c r="K1621" s="74"/>
      <c r="L1621" s="75"/>
      <c r="M1621" s="32"/>
      <c r="N1621" s="32"/>
      <c r="O1621" s="73"/>
      <c r="P1621" s="73"/>
      <c r="Q1621" s="73"/>
      <c r="R1621" s="73"/>
      <c r="S1621" s="73"/>
      <c r="T1621" s="73"/>
      <c r="U1621" s="73"/>
      <c r="V1621" s="73"/>
      <c r="W1621" s="73"/>
      <c r="X1621" s="73"/>
      <c r="Y1621" s="73"/>
      <c r="Z1621" s="73"/>
    </row>
    <row r="1622" spans="1:26" ht="12.75" customHeight="1">
      <c r="A1622" s="73"/>
      <c r="B1622" s="32"/>
      <c r="C1622" s="32"/>
      <c r="D1622" s="33"/>
      <c r="E1622" s="32"/>
      <c r="F1622" s="32"/>
      <c r="G1622" s="74"/>
      <c r="H1622" s="32"/>
      <c r="I1622" s="32"/>
      <c r="J1622" s="32"/>
      <c r="K1622" s="74"/>
      <c r="L1622" s="75"/>
      <c r="M1622" s="32"/>
      <c r="N1622" s="32"/>
      <c r="O1622" s="73"/>
      <c r="P1622" s="73"/>
      <c r="Q1622" s="73"/>
      <c r="R1622" s="73"/>
      <c r="S1622" s="73"/>
      <c r="T1622" s="73"/>
      <c r="U1622" s="73"/>
      <c r="V1622" s="73"/>
      <c r="W1622" s="73"/>
      <c r="X1622" s="73"/>
      <c r="Y1622" s="73"/>
      <c r="Z1622" s="73"/>
    </row>
    <row r="1623" spans="1:26" ht="12.75" customHeight="1">
      <c r="A1623" s="73"/>
      <c r="B1623" s="32"/>
      <c r="C1623" s="32"/>
      <c r="D1623" s="33"/>
      <c r="E1623" s="32"/>
      <c r="F1623" s="32"/>
      <c r="G1623" s="74"/>
      <c r="H1623" s="32"/>
      <c r="I1623" s="32"/>
      <c r="J1623" s="32"/>
      <c r="K1623" s="74"/>
      <c r="L1623" s="75"/>
      <c r="M1623" s="32"/>
      <c r="N1623" s="32"/>
      <c r="O1623" s="73"/>
      <c r="P1623" s="73"/>
      <c r="Q1623" s="73"/>
      <c r="R1623" s="73"/>
      <c r="S1623" s="73"/>
      <c r="T1623" s="73"/>
      <c r="U1623" s="73"/>
      <c r="V1623" s="73"/>
      <c r="W1623" s="73"/>
      <c r="X1623" s="73"/>
      <c r="Y1623" s="73"/>
      <c r="Z1623" s="73"/>
    </row>
    <row r="1624" spans="1:26" ht="12.75" customHeight="1">
      <c r="A1624" s="73"/>
      <c r="B1624" s="32"/>
      <c r="C1624" s="32"/>
      <c r="D1624" s="33"/>
      <c r="E1624" s="32"/>
      <c r="F1624" s="32"/>
      <c r="G1624" s="74"/>
      <c r="H1624" s="32"/>
      <c r="I1624" s="32"/>
      <c r="J1624" s="32"/>
      <c r="K1624" s="74"/>
      <c r="L1624" s="75"/>
      <c r="M1624" s="32"/>
      <c r="N1624" s="32"/>
      <c r="O1624" s="73"/>
      <c r="P1624" s="73"/>
      <c r="Q1624" s="73"/>
      <c r="R1624" s="73"/>
      <c r="S1624" s="73"/>
      <c r="T1624" s="73"/>
      <c r="U1624" s="73"/>
      <c r="V1624" s="73"/>
      <c r="W1624" s="73"/>
      <c r="X1624" s="73"/>
      <c r="Y1624" s="73"/>
      <c r="Z1624" s="73"/>
    </row>
    <row r="1625" spans="1:26" ht="12.75" customHeight="1">
      <c r="A1625" s="73"/>
      <c r="B1625" s="32"/>
      <c r="C1625" s="32"/>
      <c r="D1625" s="33"/>
      <c r="E1625" s="32"/>
      <c r="F1625" s="32"/>
      <c r="G1625" s="74"/>
      <c r="H1625" s="32"/>
      <c r="I1625" s="32"/>
      <c r="J1625" s="32"/>
      <c r="K1625" s="74"/>
      <c r="L1625" s="75"/>
      <c r="M1625" s="32"/>
      <c r="N1625" s="32"/>
      <c r="O1625" s="73"/>
      <c r="P1625" s="73"/>
      <c r="Q1625" s="73"/>
      <c r="R1625" s="73"/>
      <c r="S1625" s="73"/>
      <c r="T1625" s="73"/>
      <c r="U1625" s="73"/>
      <c r="V1625" s="73"/>
      <c r="W1625" s="73"/>
      <c r="X1625" s="73"/>
      <c r="Y1625" s="73"/>
      <c r="Z1625" s="73"/>
    </row>
    <row r="1626" spans="1:26" ht="12.75" customHeight="1">
      <c r="A1626" s="73"/>
      <c r="B1626" s="32"/>
      <c r="C1626" s="32"/>
      <c r="D1626" s="33"/>
      <c r="E1626" s="32"/>
      <c r="F1626" s="32"/>
      <c r="G1626" s="74"/>
      <c r="H1626" s="32"/>
      <c r="I1626" s="32"/>
      <c r="J1626" s="32"/>
      <c r="K1626" s="74"/>
      <c r="L1626" s="75"/>
      <c r="M1626" s="32"/>
      <c r="N1626" s="32"/>
      <c r="O1626" s="73"/>
      <c r="P1626" s="73"/>
      <c r="Q1626" s="73"/>
      <c r="R1626" s="73"/>
      <c r="S1626" s="73"/>
      <c r="T1626" s="73"/>
      <c r="U1626" s="73"/>
      <c r="V1626" s="73"/>
      <c r="W1626" s="73"/>
      <c r="X1626" s="73"/>
      <c r="Y1626" s="73"/>
      <c r="Z1626" s="73"/>
    </row>
    <row r="1627" spans="1:26" ht="12.75" customHeight="1">
      <c r="A1627" s="73"/>
      <c r="B1627" s="32"/>
      <c r="C1627" s="32"/>
      <c r="D1627" s="33"/>
      <c r="E1627" s="32"/>
      <c r="F1627" s="32"/>
      <c r="G1627" s="74"/>
      <c r="H1627" s="32"/>
      <c r="I1627" s="32"/>
      <c r="J1627" s="32"/>
      <c r="K1627" s="74"/>
      <c r="L1627" s="75"/>
      <c r="M1627" s="32"/>
      <c r="N1627" s="32"/>
      <c r="O1627" s="73"/>
      <c r="P1627" s="73"/>
      <c r="Q1627" s="73"/>
      <c r="R1627" s="73"/>
      <c r="S1627" s="73"/>
      <c r="T1627" s="73"/>
      <c r="U1627" s="73"/>
      <c r="V1627" s="73"/>
      <c r="W1627" s="73"/>
      <c r="X1627" s="73"/>
      <c r="Y1627" s="73"/>
      <c r="Z1627" s="73"/>
    </row>
    <row r="1628" spans="1:26" ht="12.75" customHeight="1">
      <c r="A1628" s="73"/>
      <c r="B1628" s="32"/>
      <c r="C1628" s="32"/>
      <c r="D1628" s="33"/>
      <c r="E1628" s="32"/>
      <c r="F1628" s="32"/>
      <c r="G1628" s="74"/>
      <c r="H1628" s="32"/>
      <c r="I1628" s="32"/>
      <c r="J1628" s="32"/>
      <c r="K1628" s="74"/>
      <c r="L1628" s="75"/>
      <c r="M1628" s="32"/>
      <c r="N1628" s="32"/>
      <c r="O1628" s="73"/>
      <c r="P1628" s="73"/>
      <c r="Q1628" s="73"/>
      <c r="R1628" s="73"/>
      <c r="S1628" s="73"/>
      <c r="T1628" s="73"/>
      <c r="U1628" s="73"/>
      <c r="V1628" s="73"/>
      <c r="W1628" s="73"/>
      <c r="X1628" s="73"/>
      <c r="Y1628" s="73"/>
      <c r="Z1628" s="73"/>
    </row>
    <row r="1629" spans="1:26" ht="12.75" customHeight="1">
      <c r="A1629" s="73"/>
      <c r="B1629" s="32"/>
      <c r="C1629" s="32"/>
      <c r="D1629" s="33"/>
      <c r="E1629" s="32"/>
      <c r="F1629" s="32"/>
      <c r="G1629" s="74"/>
      <c r="H1629" s="32"/>
      <c r="I1629" s="32"/>
      <c r="J1629" s="32"/>
      <c r="K1629" s="74"/>
      <c r="L1629" s="75"/>
      <c r="M1629" s="32"/>
      <c r="N1629" s="32"/>
      <c r="O1629" s="73"/>
      <c r="P1629" s="73"/>
      <c r="Q1629" s="73"/>
      <c r="R1629" s="73"/>
      <c r="S1629" s="73"/>
      <c r="T1629" s="73"/>
      <c r="U1629" s="73"/>
      <c r="V1629" s="73"/>
      <c r="W1629" s="73"/>
      <c r="X1629" s="73"/>
      <c r="Y1629" s="73"/>
      <c r="Z1629" s="73"/>
    </row>
    <row r="1630" spans="1:26" ht="12.75" customHeight="1">
      <c r="A1630" s="73"/>
      <c r="B1630" s="32"/>
      <c r="C1630" s="32"/>
      <c r="D1630" s="33"/>
      <c r="E1630" s="32"/>
      <c r="F1630" s="32"/>
      <c r="G1630" s="74"/>
      <c r="H1630" s="32"/>
      <c r="I1630" s="32"/>
      <c r="J1630" s="32"/>
      <c r="K1630" s="74"/>
      <c r="L1630" s="75"/>
      <c r="M1630" s="32"/>
      <c r="N1630" s="32"/>
      <c r="O1630" s="73"/>
      <c r="P1630" s="73"/>
      <c r="Q1630" s="73"/>
      <c r="R1630" s="73"/>
      <c r="S1630" s="73"/>
      <c r="T1630" s="73"/>
      <c r="U1630" s="73"/>
      <c r="V1630" s="73"/>
      <c r="W1630" s="73"/>
      <c r="X1630" s="73"/>
      <c r="Y1630" s="73"/>
      <c r="Z1630" s="73"/>
    </row>
    <row r="1631" spans="1:26" ht="12.75" customHeight="1">
      <c r="A1631" s="73"/>
      <c r="B1631" s="32"/>
      <c r="C1631" s="32"/>
      <c r="D1631" s="33"/>
      <c r="E1631" s="32"/>
      <c r="F1631" s="32"/>
      <c r="G1631" s="74"/>
      <c r="H1631" s="32"/>
      <c r="I1631" s="32"/>
      <c r="J1631" s="32"/>
      <c r="K1631" s="74"/>
      <c r="L1631" s="75"/>
      <c r="M1631" s="32"/>
      <c r="N1631" s="32"/>
      <c r="O1631" s="73"/>
      <c r="P1631" s="73"/>
      <c r="Q1631" s="73"/>
      <c r="R1631" s="73"/>
      <c r="S1631" s="73"/>
      <c r="T1631" s="73"/>
      <c r="U1631" s="73"/>
      <c r="V1631" s="73"/>
      <c r="W1631" s="73"/>
      <c r="X1631" s="73"/>
      <c r="Y1631" s="73"/>
      <c r="Z1631" s="73"/>
    </row>
    <row r="1632" spans="1:26" ht="12.75" customHeight="1">
      <c r="A1632" s="73"/>
      <c r="B1632" s="32"/>
      <c r="C1632" s="32"/>
      <c r="D1632" s="33"/>
      <c r="E1632" s="32"/>
      <c r="F1632" s="32"/>
      <c r="G1632" s="74"/>
      <c r="H1632" s="32"/>
      <c r="I1632" s="32"/>
      <c r="J1632" s="32"/>
      <c r="K1632" s="74"/>
      <c r="L1632" s="75"/>
      <c r="M1632" s="32"/>
      <c r="N1632" s="32"/>
      <c r="O1632" s="73"/>
      <c r="P1632" s="73"/>
      <c r="Q1632" s="73"/>
      <c r="R1632" s="73"/>
      <c r="S1632" s="73"/>
      <c r="T1632" s="73"/>
      <c r="U1632" s="73"/>
      <c r="V1632" s="73"/>
      <c r="W1632" s="73"/>
      <c r="X1632" s="73"/>
      <c r="Y1632" s="73"/>
      <c r="Z1632" s="73"/>
    </row>
    <row r="1633" spans="1:26" ht="12.75" customHeight="1">
      <c r="A1633" s="73"/>
      <c r="B1633" s="32"/>
      <c r="C1633" s="32"/>
      <c r="D1633" s="33"/>
      <c r="E1633" s="32"/>
      <c r="F1633" s="32"/>
      <c r="G1633" s="74"/>
      <c r="H1633" s="32"/>
      <c r="I1633" s="32"/>
      <c r="J1633" s="32"/>
      <c r="K1633" s="74"/>
      <c r="L1633" s="75"/>
      <c r="M1633" s="32"/>
      <c r="N1633" s="32"/>
      <c r="O1633" s="73"/>
      <c r="P1633" s="73"/>
      <c r="Q1633" s="73"/>
      <c r="R1633" s="73"/>
      <c r="S1633" s="73"/>
      <c r="T1633" s="73"/>
      <c r="U1633" s="73"/>
      <c r="V1633" s="73"/>
      <c r="W1633" s="73"/>
      <c r="X1633" s="73"/>
      <c r="Y1633" s="73"/>
      <c r="Z1633" s="73"/>
    </row>
    <row r="1634" spans="1:26" ht="12.75" customHeight="1">
      <c r="A1634" s="73"/>
      <c r="B1634" s="32"/>
      <c r="C1634" s="32"/>
      <c r="D1634" s="33"/>
      <c r="E1634" s="32"/>
      <c r="F1634" s="32"/>
      <c r="G1634" s="74"/>
      <c r="H1634" s="32"/>
      <c r="I1634" s="32"/>
      <c r="J1634" s="32"/>
      <c r="K1634" s="74"/>
      <c r="L1634" s="75"/>
      <c r="M1634" s="32"/>
      <c r="N1634" s="32"/>
      <c r="O1634" s="73"/>
      <c r="P1634" s="73"/>
      <c r="Q1634" s="73"/>
      <c r="R1634" s="73"/>
      <c r="S1634" s="73"/>
      <c r="T1634" s="73"/>
      <c r="U1634" s="73"/>
      <c r="V1634" s="73"/>
      <c r="W1634" s="73"/>
      <c r="X1634" s="73"/>
      <c r="Y1634" s="73"/>
      <c r="Z1634" s="73"/>
    </row>
    <row r="1635" spans="1:26" ht="12.75" customHeight="1">
      <c r="A1635" s="73"/>
      <c r="B1635" s="32"/>
      <c r="C1635" s="32"/>
      <c r="D1635" s="33"/>
      <c r="E1635" s="32"/>
      <c r="F1635" s="32"/>
      <c r="G1635" s="74"/>
      <c r="H1635" s="32"/>
      <c r="I1635" s="32"/>
      <c r="J1635" s="32"/>
      <c r="K1635" s="74"/>
      <c r="L1635" s="75"/>
      <c r="M1635" s="32"/>
      <c r="N1635" s="32"/>
      <c r="O1635" s="73"/>
      <c r="P1635" s="73"/>
      <c r="Q1635" s="73"/>
      <c r="R1635" s="73"/>
      <c r="S1635" s="73"/>
      <c r="T1635" s="73"/>
      <c r="U1635" s="73"/>
      <c r="V1635" s="73"/>
      <c r="W1635" s="73"/>
      <c r="X1635" s="73"/>
      <c r="Y1635" s="73"/>
      <c r="Z1635" s="73"/>
    </row>
    <row r="1636" spans="1:26" ht="12.75" customHeight="1">
      <c r="A1636" s="73"/>
      <c r="B1636" s="32"/>
      <c r="C1636" s="32"/>
      <c r="D1636" s="33"/>
      <c r="E1636" s="32"/>
      <c r="F1636" s="32"/>
      <c r="G1636" s="74"/>
      <c r="H1636" s="32"/>
      <c r="I1636" s="32"/>
      <c r="J1636" s="32"/>
      <c r="K1636" s="74"/>
      <c r="L1636" s="75"/>
      <c r="M1636" s="32"/>
      <c r="N1636" s="32"/>
      <c r="O1636" s="73"/>
      <c r="P1636" s="73"/>
      <c r="Q1636" s="73"/>
      <c r="R1636" s="73"/>
      <c r="S1636" s="73"/>
      <c r="T1636" s="73"/>
      <c r="U1636" s="73"/>
      <c r="V1636" s="73"/>
      <c r="W1636" s="73"/>
      <c r="X1636" s="73"/>
      <c r="Y1636" s="73"/>
      <c r="Z1636" s="73"/>
    </row>
    <row r="1637" spans="1:26" ht="12.75" customHeight="1">
      <c r="A1637" s="73"/>
      <c r="B1637" s="32"/>
      <c r="C1637" s="32"/>
      <c r="D1637" s="33"/>
      <c r="E1637" s="32"/>
      <c r="F1637" s="32"/>
      <c r="G1637" s="74"/>
      <c r="H1637" s="32"/>
      <c r="I1637" s="32"/>
      <c r="J1637" s="32"/>
      <c r="K1637" s="74"/>
      <c r="L1637" s="75"/>
      <c r="M1637" s="32"/>
      <c r="N1637" s="32"/>
      <c r="O1637" s="73"/>
      <c r="P1637" s="73"/>
      <c r="Q1637" s="73"/>
      <c r="R1637" s="73"/>
      <c r="S1637" s="73"/>
      <c r="T1637" s="73"/>
      <c r="U1637" s="73"/>
      <c r="V1637" s="73"/>
      <c r="W1637" s="73"/>
      <c r="X1637" s="73"/>
      <c r="Y1637" s="73"/>
      <c r="Z1637" s="73"/>
    </row>
    <row r="1638" spans="1:26" ht="12.75" customHeight="1">
      <c r="A1638" s="73"/>
      <c r="B1638" s="32"/>
      <c r="C1638" s="32"/>
      <c r="D1638" s="33"/>
      <c r="E1638" s="32"/>
      <c r="F1638" s="32"/>
      <c r="G1638" s="74"/>
      <c r="H1638" s="32"/>
      <c r="I1638" s="32"/>
      <c r="J1638" s="32"/>
      <c r="K1638" s="74"/>
      <c r="L1638" s="75"/>
      <c r="M1638" s="32"/>
      <c r="N1638" s="32"/>
      <c r="O1638" s="73"/>
      <c r="P1638" s="73"/>
      <c r="Q1638" s="73"/>
      <c r="R1638" s="73"/>
      <c r="S1638" s="73"/>
      <c r="T1638" s="73"/>
      <c r="U1638" s="73"/>
      <c r="V1638" s="73"/>
      <c r="W1638" s="73"/>
      <c r="X1638" s="73"/>
      <c r="Y1638" s="73"/>
      <c r="Z1638" s="73"/>
    </row>
    <row r="1639" spans="1:26" ht="12.75" customHeight="1">
      <c r="A1639" s="73"/>
      <c r="B1639" s="32"/>
      <c r="C1639" s="32"/>
      <c r="D1639" s="33"/>
      <c r="E1639" s="32"/>
      <c r="F1639" s="32"/>
      <c r="G1639" s="74"/>
      <c r="H1639" s="32"/>
      <c r="I1639" s="32"/>
      <c r="J1639" s="32"/>
      <c r="K1639" s="74"/>
      <c r="L1639" s="75"/>
      <c r="M1639" s="32"/>
      <c r="N1639" s="32"/>
      <c r="O1639" s="73"/>
      <c r="P1639" s="73"/>
      <c r="Q1639" s="73"/>
      <c r="R1639" s="73"/>
      <c r="S1639" s="73"/>
      <c r="T1639" s="73"/>
      <c r="U1639" s="73"/>
      <c r="V1639" s="73"/>
      <c r="W1639" s="73"/>
      <c r="X1639" s="73"/>
      <c r="Y1639" s="73"/>
      <c r="Z1639" s="73"/>
    </row>
    <row r="1640" spans="1:26" ht="12.75" customHeight="1">
      <c r="A1640" s="73"/>
      <c r="B1640" s="32"/>
      <c r="C1640" s="32"/>
      <c r="D1640" s="33"/>
      <c r="E1640" s="32"/>
      <c r="F1640" s="32"/>
      <c r="G1640" s="74"/>
      <c r="H1640" s="32"/>
      <c r="I1640" s="32"/>
      <c r="J1640" s="32"/>
      <c r="K1640" s="74"/>
      <c r="L1640" s="75"/>
      <c r="M1640" s="32"/>
      <c r="N1640" s="32"/>
      <c r="O1640" s="73"/>
      <c r="P1640" s="73"/>
      <c r="Q1640" s="73"/>
      <c r="R1640" s="73"/>
      <c r="S1640" s="73"/>
      <c r="T1640" s="73"/>
      <c r="U1640" s="73"/>
      <c r="V1640" s="73"/>
      <c r="W1640" s="73"/>
      <c r="X1640" s="73"/>
      <c r="Y1640" s="73"/>
      <c r="Z1640" s="73"/>
    </row>
    <row r="1641" spans="1:26" ht="12.75" customHeight="1">
      <c r="A1641" s="73"/>
      <c r="B1641" s="32"/>
      <c r="C1641" s="32"/>
      <c r="D1641" s="33"/>
      <c r="E1641" s="32"/>
      <c r="F1641" s="32"/>
      <c r="G1641" s="74"/>
      <c r="H1641" s="32"/>
      <c r="I1641" s="32"/>
      <c r="J1641" s="32"/>
      <c r="K1641" s="74"/>
      <c r="L1641" s="75"/>
      <c r="M1641" s="32"/>
      <c r="N1641" s="32"/>
      <c r="O1641" s="73"/>
      <c r="P1641" s="73"/>
      <c r="Q1641" s="73"/>
      <c r="R1641" s="73"/>
      <c r="S1641" s="73"/>
      <c r="T1641" s="73"/>
      <c r="U1641" s="73"/>
      <c r="V1641" s="73"/>
      <c r="W1641" s="73"/>
      <c r="X1641" s="73"/>
      <c r="Y1641" s="73"/>
      <c r="Z1641" s="73"/>
    </row>
    <row r="1642" spans="1:26" ht="12.75" customHeight="1">
      <c r="A1642" s="73"/>
      <c r="B1642" s="32"/>
      <c r="C1642" s="32"/>
      <c r="D1642" s="33"/>
      <c r="E1642" s="32"/>
      <c r="F1642" s="32"/>
      <c r="G1642" s="74"/>
      <c r="H1642" s="32"/>
      <c r="I1642" s="32"/>
      <c r="J1642" s="32"/>
      <c r="K1642" s="74"/>
      <c r="L1642" s="75"/>
      <c r="M1642" s="32"/>
      <c r="N1642" s="32"/>
      <c r="O1642" s="73"/>
      <c r="P1642" s="73"/>
      <c r="Q1642" s="73"/>
      <c r="R1642" s="73"/>
      <c r="S1642" s="73"/>
      <c r="T1642" s="73"/>
      <c r="U1642" s="73"/>
      <c r="V1642" s="73"/>
      <c r="W1642" s="73"/>
      <c r="X1642" s="73"/>
      <c r="Y1642" s="73"/>
      <c r="Z1642" s="73"/>
    </row>
    <row r="1643" spans="1:26" ht="12.75" customHeight="1">
      <c r="A1643" s="73"/>
      <c r="B1643" s="32"/>
      <c r="C1643" s="32"/>
      <c r="D1643" s="33"/>
      <c r="E1643" s="32"/>
      <c r="F1643" s="32"/>
      <c r="G1643" s="74"/>
      <c r="H1643" s="32"/>
      <c r="I1643" s="32"/>
      <c r="J1643" s="32"/>
      <c r="K1643" s="74"/>
      <c r="L1643" s="75"/>
      <c r="M1643" s="32"/>
      <c r="N1643" s="32"/>
      <c r="O1643" s="73"/>
      <c r="P1643" s="73"/>
      <c r="Q1643" s="73"/>
      <c r="R1643" s="73"/>
      <c r="S1643" s="73"/>
      <c r="T1643" s="73"/>
      <c r="U1643" s="73"/>
      <c r="V1643" s="73"/>
      <c r="W1643" s="73"/>
      <c r="X1643" s="73"/>
      <c r="Y1643" s="73"/>
      <c r="Z1643" s="73"/>
    </row>
    <row r="1644" spans="1:26" ht="12.75" customHeight="1">
      <c r="A1644" s="73"/>
      <c r="B1644" s="32"/>
      <c r="C1644" s="32"/>
      <c r="D1644" s="33"/>
      <c r="E1644" s="32"/>
      <c r="F1644" s="32"/>
      <c r="G1644" s="74"/>
      <c r="H1644" s="32"/>
      <c r="I1644" s="32"/>
      <c r="J1644" s="32"/>
      <c r="K1644" s="74"/>
      <c r="L1644" s="75"/>
      <c r="M1644" s="32"/>
      <c r="N1644" s="32"/>
      <c r="O1644" s="73"/>
      <c r="P1644" s="73"/>
      <c r="Q1644" s="73"/>
      <c r="R1644" s="73"/>
      <c r="S1644" s="73"/>
      <c r="T1644" s="73"/>
      <c r="U1644" s="73"/>
      <c r="V1644" s="73"/>
      <c r="W1644" s="73"/>
      <c r="X1644" s="73"/>
      <c r="Y1644" s="73"/>
      <c r="Z1644" s="73"/>
    </row>
    <row r="1645" spans="1:26" ht="12.75" customHeight="1">
      <c r="A1645" s="73"/>
      <c r="B1645" s="32"/>
      <c r="C1645" s="32"/>
      <c r="D1645" s="33"/>
      <c r="E1645" s="32"/>
      <c r="F1645" s="32"/>
      <c r="G1645" s="74"/>
      <c r="H1645" s="32"/>
      <c r="I1645" s="32"/>
      <c r="J1645" s="32"/>
      <c r="K1645" s="74"/>
      <c r="L1645" s="75"/>
      <c r="M1645" s="32"/>
      <c r="N1645" s="32"/>
      <c r="O1645" s="73"/>
      <c r="P1645" s="73"/>
      <c r="Q1645" s="73"/>
      <c r="R1645" s="73"/>
      <c r="S1645" s="73"/>
      <c r="T1645" s="73"/>
      <c r="U1645" s="73"/>
      <c r="V1645" s="73"/>
      <c r="W1645" s="73"/>
      <c r="X1645" s="73"/>
      <c r="Y1645" s="73"/>
      <c r="Z1645" s="73"/>
    </row>
    <row r="1646" spans="1:26" ht="12.75" customHeight="1">
      <c r="A1646" s="73"/>
      <c r="B1646" s="32"/>
      <c r="C1646" s="32"/>
      <c r="D1646" s="33"/>
      <c r="E1646" s="32"/>
      <c r="F1646" s="32"/>
      <c r="G1646" s="74"/>
      <c r="H1646" s="32"/>
      <c r="I1646" s="32"/>
      <c r="J1646" s="32"/>
      <c r="K1646" s="74"/>
      <c r="L1646" s="75"/>
      <c r="M1646" s="32"/>
      <c r="N1646" s="32"/>
      <c r="O1646" s="73"/>
      <c r="P1646" s="73"/>
      <c r="Q1646" s="73"/>
      <c r="R1646" s="73"/>
      <c r="S1646" s="73"/>
      <c r="T1646" s="73"/>
      <c r="U1646" s="73"/>
      <c r="V1646" s="73"/>
      <c r="W1646" s="73"/>
      <c r="X1646" s="73"/>
      <c r="Y1646" s="73"/>
      <c r="Z1646" s="73"/>
    </row>
    <row r="1647" spans="1:26" ht="12.75" customHeight="1">
      <c r="A1647" s="73"/>
      <c r="B1647" s="32"/>
      <c r="C1647" s="32"/>
      <c r="D1647" s="33"/>
      <c r="E1647" s="32"/>
      <c r="F1647" s="32"/>
      <c r="G1647" s="74"/>
      <c r="H1647" s="32"/>
      <c r="I1647" s="32"/>
      <c r="J1647" s="32"/>
      <c r="K1647" s="74"/>
      <c r="L1647" s="75"/>
      <c r="M1647" s="32"/>
      <c r="N1647" s="32"/>
      <c r="O1647" s="73"/>
      <c r="P1647" s="73"/>
      <c r="Q1647" s="73"/>
      <c r="R1647" s="73"/>
      <c r="S1647" s="73"/>
      <c r="T1647" s="73"/>
      <c r="U1647" s="73"/>
      <c r="V1647" s="73"/>
      <c r="W1647" s="73"/>
      <c r="X1647" s="73"/>
      <c r="Y1647" s="73"/>
      <c r="Z1647" s="73"/>
    </row>
    <row r="1648" spans="1:26" ht="12.75" customHeight="1">
      <c r="A1648" s="73"/>
      <c r="B1648" s="32"/>
      <c r="C1648" s="32"/>
      <c r="D1648" s="33"/>
      <c r="E1648" s="32"/>
      <c r="F1648" s="32"/>
      <c r="G1648" s="74"/>
      <c r="H1648" s="32"/>
      <c r="I1648" s="32"/>
      <c r="J1648" s="32"/>
      <c r="K1648" s="74"/>
      <c r="L1648" s="75"/>
      <c r="M1648" s="32"/>
      <c r="N1648" s="32"/>
      <c r="O1648" s="73"/>
      <c r="P1648" s="73"/>
      <c r="Q1648" s="73"/>
      <c r="R1648" s="73"/>
      <c r="S1648" s="73"/>
      <c r="T1648" s="73"/>
      <c r="U1648" s="73"/>
      <c r="V1648" s="73"/>
      <c r="W1648" s="73"/>
      <c r="X1648" s="73"/>
      <c r="Y1648" s="73"/>
      <c r="Z1648" s="73"/>
    </row>
    <row r="1649" spans="1:26" ht="12.75" customHeight="1">
      <c r="A1649" s="73"/>
      <c r="B1649" s="32"/>
      <c r="C1649" s="32"/>
      <c r="D1649" s="33"/>
      <c r="E1649" s="32"/>
      <c r="F1649" s="32"/>
      <c r="G1649" s="74"/>
      <c r="H1649" s="32"/>
      <c r="I1649" s="32"/>
      <c r="J1649" s="32"/>
      <c r="K1649" s="74"/>
      <c r="L1649" s="75"/>
      <c r="M1649" s="32"/>
      <c r="N1649" s="32"/>
      <c r="O1649" s="73"/>
      <c r="P1649" s="73"/>
      <c r="Q1649" s="73"/>
      <c r="R1649" s="73"/>
      <c r="S1649" s="73"/>
      <c r="T1649" s="73"/>
      <c r="U1649" s="73"/>
      <c r="V1649" s="73"/>
      <c r="W1649" s="73"/>
      <c r="X1649" s="73"/>
      <c r="Y1649" s="73"/>
      <c r="Z1649" s="73"/>
    </row>
    <row r="1650" spans="1:26" ht="12.75" customHeight="1">
      <c r="A1650" s="73"/>
      <c r="B1650" s="32"/>
      <c r="C1650" s="32"/>
      <c r="D1650" s="33"/>
      <c r="E1650" s="32"/>
      <c r="F1650" s="32"/>
      <c r="G1650" s="74"/>
      <c r="H1650" s="32"/>
      <c r="I1650" s="32"/>
      <c r="J1650" s="32"/>
      <c r="K1650" s="74"/>
      <c r="L1650" s="75"/>
      <c r="M1650" s="32"/>
      <c r="N1650" s="32"/>
      <c r="O1650" s="73"/>
      <c r="P1650" s="73"/>
      <c r="Q1650" s="73"/>
      <c r="R1650" s="73"/>
      <c r="S1650" s="73"/>
      <c r="T1650" s="73"/>
      <c r="U1650" s="73"/>
      <c r="V1650" s="73"/>
      <c r="W1650" s="73"/>
      <c r="X1650" s="73"/>
      <c r="Y1650" s="73"/>
      <c r="Z1650" s="73"/>
    </row>
    <row r="1651" spans="1:26" ht="12.75" customHeight="1">
      <c r="A1651" s="73"/>
      <c r="B1651" s="32"/>
      <c r="C1651" s="32"/>
      <c r="D1651" s="33"/>
      <c r="E1651" s="32"/>
      <c r="F1651" s="32"/>
      <c r="G1651" s="74"/>
      <c r="H1651" s="32"/>
      <c r="I1651" s="32"/>
      <c r="J1651" s="32"/>
      <c r="K1651" s="74"/>
      <c r="L1651" s="75"/>
      <c r="M1651" s="32"/>
      <c r="N1651" s="32"/>
      <c r="O1651" s="73"/>
      <c r="P1651" s="73"/>
      <c r="Q1651" s="73"/>
      <c r="R1651" s="73"/>
      <c r="S1651" s="73"/>
      <c r="T1651" s="73"/>
      <c r="U1651" s="73"/>
      <c r="V1651" s="73"/>
      <c r="W1651" s="73"/>
      <c r="X1651" s="73"/>
      <c r="Y1651" s="73"/>
      <c r="Z1651" s="73"/>
    </row>
    <row r="1652" spans="1:26" ht="12.75" customHeight="1">
      <c r="A1652" s="73"/>
      <c r="B1652" s="32"/>
      <c r="C1652" s="32"/>
      <c r="D1652" s="33"/>
      <c r="E1652" s="32"/>
      <c r="F1652" s="32"/>
      <c r="G1652" s="74"/>
      <c r="H1652" s="32"/>
      <c r="I1652" s="32"/>
      <c r="J1652" s="32"/>
      <c r="K1652" s="74"/>
      <c r="L1652" s="75"/>
      <c r="M1652" s="32"/>
      <c r="N1652" s="32"/>
      <c r="O1652" s="73"/>
      <c r="P1652" s="73"/>
      <c r="Q1652" s="73"/>
      <c r="R1652" s="73"/>
      <c r="S1652" s="73"/>
      <c r="T1652" s="73"/>
      <c r="U1652" s="73"/>
      <c r="V1652" s="73"/>
      <c r="W1652" s="73"/>
      <c r="X1652" s="73"/>
      <c r="Y1652" s="73"/>
      <c r="Z1652" s="73"/>
    </row>
    <row r="1653" spans="1:26" ht="12.75" customHeight="1">
      <c r="A1653" s="73"/>
      <c r="B1653" s="32"/>
      <c r="C1653" s="32"/>
      <c r="D1653" s="33"/>
      <c r="E1653" s="32"/>
      <c r="F1653" s="32"/>
      <c r="G1653" s="74"/>
      <c r="H1653" s="32"/>
      <c r="I1653" s="32"/>
      <c r="J1653" s="32"/>
      <c r="K1653" s="74"/>
      <c r="L1653" s="75"/>
      <c r="M1653" s="32"/>
      <c r="N1653" s="32"/>
      <c r="O1653" s="73"/>
      <c r="P1653" s="73"/>
      <c r="Q1653" s="73"/>
      <c r="R1653" s="73"/>
      <c r="S1653" s="73"/>
      <c r="T1653" s="73"/>
      <c r="U1653" s="73"/>
      <c r="V1653" s="73"/>
      <c r="W1653" s="73"/>
      <c r="X1653" s="73"/>
      <c r="Y1653" s="73"/>
      <c r="Z1653" s="73"/>
    </row>
    <row r="1654" spans="1:26" ht="12.75" customHeight="1">
      <c r="A1654" s="73"/>
      <c r="B1654" s="32"/>
      <c r="C1654" s="32"/>
      <c r="D1654" s="33"/>
      <c r="E1654" s="32"/>
      <c r="F1654" s="32"/>
      <c r="G1654" s="74"/>
      <c r="H1654" s="32"/>
      <c r="I1654" s="32"/>
      <c r="J1654" s="32"/>
      <c r="K1654" s="74"/>
      <c r="L1654" s="75"/>
      <c r="M1654" s="32"/>
      <c r="N1654" s="32"/>
      <c r="O1654" s="73"/>
      <c r="P1654" s="73"/>
      <c r="Q1654" s="73"/>
      <c r="R1654" s="73"/>
      <c r="S1654" s="73"/>
      <c r="T1654" s="73"/>
      <c r="U1654" s="73"/>
      <c r="V1654" s="73"/>
      <c r="W1654" s="73"/>
      <c r="X1654" s="73"/>
      <c r="Y1654" s="73"/>
      <c r="Z1654" s="73"/>
    </row>
    <row r="1655" spans="1:26" ht="12.75" customHeight="1">
      <c r="A1655" s="73"/>
      <c r="B1655" s="32"/>
      <c r="C1655" s="32"/>
      <c r="D1655" s="33"/>
      <c r="E1655" s="32"/>
      <c r="F1655" s="32"/>
      <c r="G1655" s="74"/>
      <c r="H1655" s="32"/>
      <c r="I1655" s="32"/>
      <c r="J1655" s="32"/>
      <c r="K1655" s="74"/>
      <c r="L1655" s="75"/>
      <c r="M1655" s="32"/>
      <c r="N1655" s="32"/>
      <c r="O1655" s="73"/>
      <c r="P1655" s="73"/>
      <c r="Q1655" s="73"/>
      <c r="R1655" s="73"/>
      <c r="S1655" s="73"/>
      <c r="T1655" s="73"/>
      <c r="U1655" s="73"/>
      <c r="V1655" s="73"/>
      <c r="W1655" s="73"/>
      <c r="X1655" s="73"/>
      <c r="Y1655" s="73"/>
      <c r="Z1655" s="73"/>
    </row>
    <row r="1656" spans="1:26" ht="12.75" customHeight="1">
      <c r="A1656" s="73"/>
      <c r="B1656" s="32"/>
      <c r="C1656" s="32"/>
      <c r="D1656" s="33"/>
      <c r="E1656" s="32"/>
      <c r="F1656" s="32"/>
      <c r="G1656" s="74"/>
      <c r="H1656" s="32"/>
      <c r="I1656" s="32"/>
      <c r="J1656" s="32"/>
      <c r="K1656" s="74"/>
      <c r="L1656" s="75"/>
      <c r="M1656" s="32"/>
      <c r="N1656" s="32"/>
      <c r="O1656" s="73"/>
      <c r="P1656" s="73"/>
      <c r="Q1656" s="73"/>
      <c r="R1656" s="73"/>
      <c r="S1656" s="73"/>
      <c r="T1656" s="73"/>
      <c r="U1656" s="73"/>
      <c r="V1656" s="73"/>
      <c r="W1656" s="73"/>
      <c r="X1656" s="73"/>
      <c r="Y1656" s="73"/>
      <c r="Z1656" s="73"/>
    </row>
    <row r="1657" spans="1:26" ht="12.75" customHeight="1">
      <c r="A1657" s="73"/>
      <c r="B1657" s="32"/>
      <c r="C1657" s="32"/>
      <c r="D1657" s="33"/>
      <c r="E1657" s="32"/>
      <c r="F1657" s="32"/>
      <c r="G1657" s="74"/>
      <c r="H1657" s="32"/>
      <c r="I1657" s="32"/>
      <c r="J1657" s="32"/>
      <c r="K1657" s="74"/>
      <c r="L1657" s="75"/>
      <c r="M1657" s="32"/>
      <c r="N1657" s="32"/>
      <c r="O1657" s="73"/>
      <c r="P1657" s="73"/>
      <c r="Q1657" s="73"/>
      <c r="R1657" s="73"/>
      <c r="S1657" s="73"/>
      <c r="T1657" s="73"/>
      <c r="U1657" s="73"/>
      <c r="V1657" s="73"/>
      <c r="W1657" s="73"/>
      <c r="X1657" s="73"/>
      <c r="Y1657" s="73"/>
      <c r="Z1657" s="73"/>
    </row>
    <row r="1658" spans="1:26" ht="12.75" customHeight="1">
      <c r="A1658" s="73"/>
      <c r="B1658" s="32"/>
      <c r="C1658" s="32"/>
      <c r="D1658" s="33"/>
      <c r="E1658" s="32"/>
      <c r="F1658" s="32"/>
      <c r="G1658" s="74"/>
      <c r="H1658" s="32"/>
      <c r="I1658" s="32"/>
      <c r="J1658" s="32"/>
      <c r="K1658" s="74"/>
      <c r="L1658" s="75"/>
      <c r="M1658" s="32"/>
      <c r="N1658" s="32"/>
      <c r="O1658" s="73"/>
      <c r="P1658" s="73"/>
      <c r="Q1658" s="73"/>
      <c r="R1658" s="73"/>
      <c r="S1658" s="73"/>
      <c r="T1658" s="73"/>
      <c r="U1658" s="73"/>
      <c r="V1658" s="73"/>
      <c r="W1658" s="73"/>
      <c r="X1658" s="73"/>
      <c r="Y1658" s="73"/>
      <c r="Z1658" s="73"/>
    </row>
    <row r="1659" spans="1:26" ht="12.75" customHeight="1">
      <c r="A1659" s="73"/>
      <c r="B1659" s="32"/>
      <c r="C1659" s="32"/>
      <c r="D1659" s="33"/>
      <c r="E1659" s="32"/>
      <c r="F1659" s="32"/>
      <c r="G1659" s="74"/>
      <c r="H1659" s="32"/>
      <c r="I1659" s="32"/>
      <c r="J1659" s="32"/>
      <c r="K1659" s="74"/>
      <c r="L1659" s="75"/>
      <c r="M1659" s="32"/>
      <c r="N1659" s="32"/>
      <c r="O1659" s="73"/>
      <c r="P1659" s="73"/>
      <c r="Q1659" s="73"/>
      <c r="R1659" s="73"/>
      <c r="S1659" s="73"/>
      <c r="T1659" s="73"/>
      <c r="U1659" s="73"/>
      <c r="V1659" s="73"/>
      <c r="W1659" s="73"/>
      <c r="X1659" s="73"/>
      <c r="Y1659" s="73"/>
      <c r="Z1659" s="73"/>
    </row>
    <row r="1660" spans="1:26" ht="12.75" customHeight="1">
      <c r="A1660" s="73"/>
      <c r="B1660" s="32"/>
      <c r="C1660" s="32"/>
      <c r="D1660" s="33"/>
      <c r="E1660" s="32"/>
      <c r="F1660" s="32"/>
      <c r="G1660" s="74"/>
      <c r="H1660" s="32"/>
      <c r="I1660" s="32"/>
      <c r="J1660" s="32"/>
      <c r="K1660" s="74"/>
      <c r="L1660" s="75"/>
      <c r="M1660" s="32"/>
      <c r="N1660" s="32"/>
      <c r="O1660" s="73"/>
      <c r="P1660" s="73"/>
      <c r="Q1660" s="73"/>
      <c r="R1660" s="73"/>
      <c r="S1660" s="73"/>
      <c r="T1660" s="73"/>
      <c r="U1660" s="73"/>
      <c r="V1660" s="73"/>
      <c r="W1660" s="73"/>
      <c r="X1660" s="73"/>
      <c r="Y1660" s="73"/>
      <c r="Z1660" s="73"/>
    </row>
    <row r="1661" spans="1:26" ht="12.75" customHeight="1">
      <c r="A1661" s="73"/>
      <c r="B1661" s="32"/>
      <c r="C1661" s="32"/>
      <c r="D1661" s="33"/>
      <c r="E1661" s="32"/>
      <c r="F1661" s="32"/>
      <c r="G1661" s="74"/>
      <c r="H1661" s="32"/>
      <c r="I1661" s="32"/>
      <c r="J1661" s="32"/>
      <c r="K1661" s="74"/>
      <c r="L1661" s="75"/>
      <c r="M1661" s="32"/>
      <c r="N1661" s="32"/>
      <c r="O1661" s="73"/>
      <c r="P1661" s="73"/>
      <c r="Q1661" s="73"/>
      <c r="R1661" s="73"/>
      <c r="S1661" s="73"/>
      <c r="T1661" s="73"/>
      <c r="U1661" s="73"/>
      <c r="V1661" s="73"/>
      <c r="W1661" s="73"/>
      <c r="X1661" s="73"/>
      <c r="Y1661" s="73"/>
      <c r="Z1661" s="73"/>
    </row>
    <row r="1662" spans="1:26" ht="12.75" customHeight="1">
      <c r="A1662" s="73"/>
      <c r="B1662" s="32"/>
      <c r="C1662" s="32"/>
      <c r="D1662" s="33"/>
      <c r="E1662" s="32"/>
      <c r="F1662" s="32"/>
      <c r="G1662" s="74"/>
      <c r="H1662" s="32"/>
      <c r="I1662" s="32"/>
      <c r="J1662" s="32"/>
      <c r="K1662" s="74"/>
      <c r="L1662" s="75"/>
      <c r="M1662" s="32"/>
      <c r="N1662" s="32"/>
      <c r="O1662" s="73"/>
      <c r="P1662" s="73"/>
      <c r="Q1662" s="73"/>
      <c r="R1662" s="73"/>
      <c r="S1662" s="73"/>
      <c r="T1662" s="73"/>
      <c r="U1662" s="73"/>
      <c r="V1662" s="73"/>
      <c r="W1662" s="73"/>
      <c r="X1662" s="73"/>
      <c r="Y1662" s="73"/>
      <c r="Z1662" s="73"/>
    </row>
    <row r="1663" spans="1:26" ht="12.75" customHeight="1">
      <c r="A1663" s="73"/>
      <c r="B1663" s="32"/>
      <c r="C1663" s="32"/>
      <c r="D1663" s="33"/>
      <c r="E1663" s="32"/>
      <c r="F1663" s="32"/>
      <c r="G1663" s="74"/>
      <c r="H1663" s="32"/>
      <c r="I1663" s="32"/>
      <c r="J1663" s="32"/>
      <c r="K1663" s="74"/>
      <c r="L1663" s="75"/>
      <c r="M1663" s="32"/>
      <c r="N1663" s="32"/>
      <c r="O1663" s="73"/>
      <c r="P1663" s="73"/>
      <c r="Q1663" s="73"/>
      <c r="R1663" s="73"/>
      <c r="S1663" s="73"/>
      <c r="T1663" s="73"/>
      <c r="U1663" s="73"/>
      <c r="V1663" s="73"/>
      <c r="W1663" s="73"/>
      <c r="X1663" s="73"/>
      <c r="Y1663" s="73"/>
      <c r="Z1663" s="73"/>
    </row>
    <row r="1664" spans="1:26" ht="12.75" customHeight="1">
      <c r="A1664" s="73"/>
      <c r="B1664" s="32"/>
      <c r="C1664" s="32"/>
      <c r="D1664" s="33"/>
      <c r="E1664" s="32"/>
      <c r="F1664" s="32"/>
      <c r="G1664" s="74"/>
      <c r="H1664" s="32"/>
      <c r="I1664" s="32"/>
      <c r="J1664" s="32"/>
      <c r="K1664" s="74"/>
      <c r="L1664" s="75"/>
      <c r="M1664" s="32"/>
      <c r="N1664" s="32"/>
      <c r="O1664" s="73"/>
      <c r="P1664" s="73"/>
      <c r="Q1664" s="73"/>
      <c r="R1664" s="73"/>
      <c r="S1664" s="73"/>
      <c r="T1664" s="73"/>
      <c r="U1664" s="73"/>
      <c r="V1664" s="73"/>
      <c r="W1664" s="73"/>
      <c r="X1664" s="73"/>
      <c r="Y1664" s="73"/>
      <c r="Z1664" s="73"/>
    </row>
    <row r="1665" spans="1:26" ht="12.75" customHeight="1">
      <c r="A1665" s="73"/>
      <c r="B1665" s="32"/>
      <c r="C1665" s="32"/>
      <c r="D1665" s="33"/>
      <c r="E1665" s="32"/>
      <c r="F1665" s="32"/>
      <c r="G1665" s="74"/>
      <c r="H1665" s="32"/>
      <c r="I1665" s="32"/>
      <c r="J1665" s="32"/>
      <c r="K1665" s="74"/>
      <c r="L1665" s="75"/>
      <c r="M1665" s="32"/>
      <c r="N1665" s="32"/>
      <c r="O1665" s="73"/>
      <c r="P1665" s="73"/>
      <c r="Q1665" s="73"/>
      <c r="R1665" s="73"/>
      <c r="S1665" s="73"/>
      <c r="T1665" s="73"/>
      <c r="U1665" s="73"/>
      <c r="V1665" s="73"/>
      <c r="W1665" s="73"/>
      <c r="X1665" s="73"/>
      <c r="Y1665" s="73"/>
      <c r="Z1665" s="73"/>
    </row>
    <row r="1666" spans="1:26" ht="12.75" customHeight="1">
      <c r="A1666" s="73"/>
      <c r="B1666" s="32"/>
      <c r="C1666" s="32"/>
      <c r="D1666" s="33"/>
      <c r="E1666" s="32"/>
      <c r="F1666" s="32"/>
      <c r="G1666" s="74"/>
      <c r="H1666" s="32"/>
      <c r="I1666" s="32"/>
      <c r="J1666" s="32"/>
      <c r="K1666" s="74"/>
      <c r="L1666" s="75"/>
      <c r="M1666" s="32"/>
      <c r="N1666" s="32"/>
      <c r="O1666" s="73"/>
      <c r="P1666" s="73"/>
      <c r="Q1666" s="73"/>
      <c r="R1666" s="73"/>
      <c r="S1666" s="73"/>
      <c r="T1666" s="73"/>
      <c r="U1666" s="73"/>
      <c r="V1666" s="73"/>
      <c r="W1666" s="73"/>
      <c r="X1666" s="73"/>
      <c r="Y1666" s="73"/>
      <c r="Z1666" s="73"/>
    </row>
    <row r="1667" spans="1:26" ht="12.75" customHeight="1">
      <c r="A1667" s="73"/>
      <c r="B1667" s="32"/>
      <c r="C1667" s="32"/>
      <c r="D1667" s="33"/>
      <c r="E1667" s="32"/>
      <c r="F1667" s="32"/>
      <c r="G1667" s="74"/>
      <c r="H1667" s="32"/>
      <c r="I1667" s="32"/>
      <c r="J1667" s="32"/>
      <c r="K1667" s="74"/>
      <c r="L1667" s="75"/>
      <c r="M1667" s="32"/>
      <c r="N1667" s="32"/>
      <c r="O1667" s="73"/>
      <c r="P1667" s="73"/>
      <c r="Q1667" s="73"/>
      <c r="R1667" s="73"/>
      <c r="S1667" s="73"/>
      <c r="T1667" s="73"/>
      <c r="U1667" s="73"/>
      <c r="V1667" s="73"/>
      <c r="W1667" s="73"/>
      <c r="X1667" s="73"/>
      <c r="Y1667" s="73"/>
      <c r="Z1667" s="73"/>
    </row>
    <row r="1668" spans="1:26" ht="12.75" customHeight="1">
      <c r="A1668" s="73"/>
      <c r="B1668" s="32"/>
      <c r="C1668" s="32"/>
      <c r="D1668" s="33"/>
      <c r="E1668" s="32"/>
      <c r="F1668" s="32"/>
      <c r="G1668" s="74"/>
      <c r="H1668" s="32"/>
      <c r="I1668" s="32"/>
      <c r="J1668" s="32"/>
      <c r="K1668" s="74"/>
      <c r="L1668" s="75"/>
      <c r="M1668" s="32"/>
      <c r="N1668" s="32"/>
      <c r="O1668" s="73"/>
      <c r="P1668" s="73"/>
      <c r="Q1668" s="73"/>
      <c r="R1668" s="73"/>
      <c r="S1668" s="73"/>
      <c r="T1668" s="73"/>
      <c r="U1668" s="73"/>
      <c r="V1668" s="73"/>
      <c r="W1668" s="73"/>
      <c r="X1668" s="73"/>
      <c r="Y1668" s="73"/>
      <c r="Z1668" s="73"/>
    </row>
    <row r="1669" spans="1:26" ht="12.75" customHeight="1">
      <c r="A1669" s="73"/>
      <c r="B1669" s="32"/>
      <c r="C1669" s="32"/>
      <c r="D1669" s="33"/>
      <c r="E1669" s="32"/>
      <c r="F1669" s="32"/>
      <c r="G1669" s="74"/>
      <c r="H1669" s="32"/>
      <c r="I1669" s="32"/>
      <c r="J1669" s="32"/>
      <c r="K1669" s="74"/>
      <c r="L1669" s="75"/>
      <c r="M1669" s="32"/>
      <c r="N1669" s="32"/>
      <c r="O1669" s="73"/>
      <c r="P1669" s="73"/>
      <c r="Q1669" s="73"/>
      <c r="R1669" s="73"/>
      <c r="S1669" s="73"/>
      <c r="T1669" s="73"/>
      <c r="U1669" s="73"/>
      <c r="V1669" s="73"/>
      <c r="W1669" s="73"/>
      <c r="X1669" s="73"/>
      <c r="Y1669" s="73"/>
      <c r="Z1669" s="73"/>
    </row>
    <row r="1670" spans="1:26" ht="12.75" customHeight="1">
      <c r="A1670" s="73"/>
      <c r="B1670" s="32"/>
      <c r="C1670" s="32"/>
      <c r="D1670" s="33"/>
      <c r="E1670" s="32"/>
      <c r="F1670" s="32"/>
      <c r="G1670" s="74"/>
      <c r="H1670" s="32"/>
      <c r="I1670" s="32"/>
      <c r="J1670" s="32"/>
      <c r="K1670" s="74"/>
      <c r="L1670" s="75"/>
      <c r="M1670" s="32"/>
      <c r="N1670" s="32"/>
      <c r="O1670" s="73"/>
      <c r="P1670" s="73"/>
      <c r="Q1670" s="73"/>
      <c r="R1670" s="73"/>
      <c r="S1670" s="73"/>
      <c r="T1670" s="73"/>
      <c r="U1670" s="73"/>
      <c r="V1670" s="73"/>
      <c r="W1670" s="73"/>
      <c r="X1670" s="73"/>
      <c r="Y1670" s="73"/>
      <c r="Z1670" s="73"/>
    </row>
    <row r="1671" spans="1:26" ht="12.75" customHeight="1">
      <c r="A1671" s="73"/>
      <c r="B1671" s="32"/>
      <c r="C1671" s="32"/>
      <c r="D1671" s="33"/>
      <c r="E1671" s="32"/>
      <c r="F1671" s="32"/>
      <c r="G1671" s="74"/>
      <c r="H1671" s="32"/>
      <c r="I1671" s="32"/>
      <c r="J1671" s="32"/>
      <c r="K1671" s="74"/>
      <c r="L1671" s="75"/>
      <c r="M1671" s="32"/>
      <c r="N1671" s="32"/>
      <c r="O1671" s="73"/>
      <c r="P1671" s="73"/>
      <c r="Q1671" s="73"/>
      <c r="R1671" s="73"/>
      <c r="S1671" s="73"/>
      <c r="T1671" s="73"/>
      <c r="U1671" s="73"/>
      <c r="V1671" s="73"/>
      <c r="W1671" s="73"/>
      <c r="X1671" s="73"/>
      <c r="Y1671" s="73"/>
      <c r="Z1671" s="73"/>
    </row>
    <row r="1672" spans="1:26" ht="12.75" customHeight="1">
      <c r="A1672" s="73"/>
      <c r="B1672" s="32"/>
      <c r="C1672" s="32"/>
      <c r="D1672" s="33"/>
      <c r="E1672" s="32"/>
      <c r="F1672" s="32"/>
      <c r="G1672" s="74"/>
      <c r="H1672" s="32"/>
      <c r="I1672" s="32"/>
      <c r="J1672" s="32"/>
      <c r="K1672" s="74"/>
      <c r="L1672" s="75"/>
      <c r="M1672" s="32"/>
      <c r="N1672" s="32"/>
      <c r="O1672" s="73"/>
      <c r="P1672" s="73"/>
      <c r="Q1672" s="73"/>
      <c r="R1672" s="73"/>
      <c r="S1672" s="73"/>
      <c r="T1672" s="73"/>
      <c r="U1672" s="73"/>
      <c r="V1672" s="73"/>
      <c r="W1672" s="73"/>
      <c r="X1672" s="73"/>
      <c r="Y1672" s="73"/>
      <c r="Z1672" s="73"/>
    </row>
    <row r="1673" spans="1:26" ht="12.75" customHeight="1">
      <c r="A1673" s="73"/>
      <c r="B1673" s="32"/>
      <c r="C1673" s="32"/>
      <c r="D1673" s="33"/>
      <c r="E1673" s="32"/>
      <c r="F1673" s="32"/>
      <c r="G1673" s="74"/>
      <c r="H1673" s="32"/>
      <c r="I1673" s="32"/>
      <c r="J1673" s="32"/>
      <c r="K1673" s="74"/>
      <c r="L1673" s="75"/>
      <c r="M1673" s="32"/>
      <c r="N1673" s="32"/>
      <c r="O1673" s="73"/>
      <c r="P1673" s="73"/>
      <c r="Q1673" s="73"/>
      <c r="R1673" s="73"/>
      <c r="S1673" s="73"/>
      <c r="T1673" s="73"/>
      <c r="U1673" s="73"/>
      <c r="V1673" s="73"/>
      <c r="W1673" s="73"/>
      <c r="X1673" s="73"/>
      <c r="Y1673" s="73"/>
      <c r="Z1673" s="73"/>
    </row>
    <row r="1674" spans="1:26" ht="12.75" customHeight="1">
      <c r="A1674" s="73"/>
      <c r="B1674" s="32"/>
      <c r="C1674" s="32"/>
      <c r="D1674" s="33"/>
      <c r="E1674" s="32"/>
      <c r="F1674" s="32"/>
      <c r="G1674" s="74"/>
      <c r="H1674" s="32"/>
      <c r="I1674" s="32"/>
      <c r="J1674" s="32"/>
      <c r="K1674" s="74"/>
      <c r="L1674" s="75"/>
      <c r="M1674" s="32"/>
      <c r="N1674" s="32"/>
      <c r="O1674" s="73"/>
      <c r="P1674" s="73"/>
      <c r="Q1674" s="73"/>
      <c r="R1674" s="73"/>
      <c r="S1674" s="73"/>
      <c r="T1674" s="73"/>
      <c r="U1674" s="73"/>
      <c r="V1674" s="73"/>
      <c r="W1674" s="73"/>
      <c r="X1674" s="73"/>
      <c r="Y1674" s="73"/>
      <c r="Z1674" s="73"/>
    </row>
    <row r="1675" spans="1:26" ht="12.75" customHeight="1">
      <c r="A1675" s="73"/>
      <c r="B1675" s="32"/>
      <c r="C1675" s="32"/>
      <c r="D1675" s="33"/>
      <c r="E1675" s="32"/>
      <c r="F1675" s="32"/>
      <c r="G1675" s="74"/>
      <c r="H1675" s="32"/>
      <c r="I1675" s="32"/>
      <c r="J1675" s="32"/>
      <c r="K1675" s="74"/>
      <c r="L1675" s="75"/>
      <c r="M1675" s="32"/>
      <c r="N1675" s="32"/>
      <c r="O1675" s="73"/>
      <c r="P1675" s="73"/>
      <c r="Q1675" s="73"/>
      <c r="R1675" s="73"/>
      <c r="S1675" s="73"/>
      <c r="T1675" s="73"/>
      <c r="U1675" s="73"/>
      <c r="V1675" s="73"/>
      <c r="W1675" s="73"/>
      <c r="X1675" s="73"/>
      <c r="Y1675" s="73"/>
      <c r="Z1675" s="73"/>
    </row>
    <row r="1676" spans="1:26" ht="12.75" customHeight="1">
      <c r="A1676" s="73"/>
      <c r="B1676" s="32"/>
      <c r="C1676" s="32"/>
      <c r="D1676" s="33"/>
      <c r="E1676" s="32"/>
      <c r="F1676" s="32"/>
      <c r="G1676" s="74"/>
      <c r="H1676" s="32"/>
      <c r="I1676" s="32"/>
      <c r="J1676" s="32"/>
      <c r="K1676" s="74"/>
      <c r="L1676" s="75"/>
      <c r="M1676" s="32"/>
      <c r="N1676" s="32"/>
      <c r="O1676" s="73"/>
      <c r="P1676" s="73"/>
      <c r="Q1676" s="73"/>
      <c r="R1676" s="73"/>
      <c r="S1676" s="73"/>
      <c r="T1676" s="73"/>
      <c r="U1676" s="73"/>
      <c r="V1676" s="73"/>
      <c r="W1676" s="73"/>
      <c r="X1676" s="73"/>
      <c r="Y1676" s="73"/>
      <c r="Z1676" s="73"/>
    </row>
    <row r="1677" spans="1:26" ht="12.75" customHeight="1">
      <c r="A1677" s="73"/>
      <c r="B1677" s="32"/>
      <c r="C1677" s="32"/>
      <c r="D1677" s="33"/>
      <c r="E1677" s="32"/>
      <c r="F1677" s="32"/>
      <c r="G1677" s="74"/>
      <c r="H1677" s="32"/>
      <c r="I1677" s="32"/>
      <c r="J1677" s="32"/>
      <c r="K1677" s="74"/>
      <c r="L1677" s="75"/>
      <c r="M1677" s="32"/>
      <c r="N1677" s="32"/>
      <c r="O1677" s="73"/>
      <c r="P1677" s="73"/>
      <c r="Q1677" s="73"/>
      <c r="R1677" s="73"/>
      <c r="S1677" s="73"/>
      <c r="T1677" s="73"/>
      <c r="U1677" s="73"/>
      <c r="V1677" s="73"/>
      <c r="W1677" s="73"/>
      <c r="X1677" s="73"/>
      <c r="Y1677" s="73"/>
      <c r="Z1677" s="73"/>
    </row>
    <row r="1678" spans="1:26" ht="12.75" customHeight="1">
      <c r="A1678" s="73"/>
      <c r="B1678" s="32"/>
      <c r="C1678" s="32"/>
      <c r="D1678" s="33"/>
      <c r="E1678" s="32"/>
      <c r="F1678" s="32"/>
      <c r="G1678" s="74"/>
      <c r="H1678" s="32"/>
      <c r="I1678" s="32"/>
      <c r="J1678" s="32"/>
      <c r="K1678" s="74"/>
      <c r="L1678" s="75"/>
      <c r="M1678" s="32"/>
      <c r="N1678" s="32"/>
      <c r="O1678" s="73"/>
      <c r="P1678" s="73"/>
      <c r="Q1678" s="73"/>
      <c r="R1678" s="73"/>
      <c r="S1678" s="73"/>
      <c r="T1678" s="73"/>
      <c r="U1678" s="73"/>
      <c r="V1678" s="73"/>
      <c r="W1678" s="73"/>
      <c r="X1678" s="73"/>
      <c r="Y1678" s="73"/>
      <c r="Z1678" s="73"/>
    </row>
    <row r="1679" spans="1:26" ht="12.75" customHeight="1">
      <c r="A1679" s="73"/>
      <c r="B1679" s="32"/>
      <c r="C1679" s="32"/>
      <c r="D1679" s="33"/>
      <c r="E1679" s="32"/>
      <c r="F1679" s="32"/>
      <c r="G1679" s="74"/>
      <c r="H1679" s="32"/>
      <c r="I1679" s="32"/>
      <c r="J1679" s="32"/>
      <c r="K1679" s="74"/>
      <c r="L1679" s="75"/>
      <c r="M1679" s="32"/>
      <c r="N1679" s="32"/>
      <c r="O1679" s="73"/>
      <c r="P1679" s="73"/>
      <c r="Q1679" s="73"/>
      <c r="R1679" s="73"/>
      <c r="S1679" s="73"/>
      <c r="T1679" s="73"/>
      <c r="U1679" s="73"/>
      <c r="V1679" s="73"/>
      <c r="W1679" s="73"/>
      <c r="X1679" s="73"/>
      <c r="Y1679" s="73"/>
      <c r="Z1679" s="73"/>
    </row>
    <row r="1680" spans="1:26" ht="12.75" customHeight="1">
      <c r="A1680" s="73"/>
      <c r="B1680" s="32"/>
      <c r="C1680" s="32"/>
      <c r="D1680" s="33"/>
      <c r="E1680" s="32"/>
      <c r="F1680" s="32"/>
      <c r="G1680" s="74"/>
      <c r="H1680" s="32"/>
      <c r="I1680" s="32"/>
      <c r="J1680" s="32"/>
      <c r="K1680" s="74"/>
      <c r="L1680" s="75"/>
      <c r="M1680" s="32"/>
      <c r="N1680" s="32"/>
      <c r="O1680" s="73"/>
      <c r="P1680" s="73"/>
      <c r="Q1680" s="73"/>
      <c r="R1680" s="73"/>
      <c r="S1680" s="73"/>
      <c r="T1680" s="73"/>
      <c r="U1680" s="73"/>
      <c r="V1680" s="73"/>
      <c r="W1680" s="73"/>
      <c r="X1680" s="73"/>
      <c r="Y1680" s="73"/>
      <c r="Z1680" s="73"/>
    </row>
    <row r="1681" spans="1:26" ht="12.75" customHeight="1">
      <c r="A1681" s="73"/>
      <c r="B1681" s="32"/>
      <c r="C1681" s="32"/>
      <c r="D1681" s="33"/>
      <c r="E1681" s="32"/>
      <c r="F1681" s="32"/>
      <c r="G1681" s="74"/>
      <c r="H1681" s="32"/>
      <c r="I1681" s="32"/>
      <c r="J1681" s="32"/>
      <c r="K1681" s="74"/>
      <c r="L1681" s="75"/>
      <c r="M1681" s="32"/>
      <c r="N1681" s="32"/>
      <c r="O1681" s="73"/>
      <c r="P1681" s="73"/>
      <c r="Q1681" s="73"/>
      <c r="R1681" s="73"/>
      <c r="S1681" s="73"/>
      <c r="T1681" s="73"/>
      <c r="U1681" s="73"/>
      <c r="V1681" s="73"/>
      <c r="W1681" s="73"/>
      <c r="X1681" s="73"/>
      <c r="Y1681" s="73"/>
      <c r="Z1681" s="73"/>
    </row>
    <row r="1682" spans="1:26" ht="12.75" customHeight="1">
      <c r="A1682" s="73"/>
      <c r="B1682" s="32"/>
      <c r="C1682" s="32"/>
      <c r="D1682" s="33"/>
      <c r="E1682" s="32"/>
      <c r="F1682" s="32"/>
      <c r="G1682" s="74"/>
      <c r="H1682" s="32"/>
      <c r="I1682" s="32"/>
      <c r="J1682" s="32"/>
      <c r="K1682" s="74"/>
      <c r="L1682" s="75"/>
      <c r="M1682" s="32"/>
      <c r="N1682" s="32"/>
      <c r="O1682" s="73"/>
      <c r="P1682" s="73"/>
      <c r="Q1682" s="73"/>
      <c r="R1682" s="73"/>
      <c r="S1682" s="73"/>
      <c r="T1682" s="73"/>
      <c r="U1682" s="73"/>
      <c r="V1682" s="73"/>
      <c r="W1682" s="73"/>
      <c r="X1682" s="73"/>
      <c r="Y1682" s="73"/>
      <c r="Z1682" s="73"/>
    </row>
    <row r="1683" spans="1:26" ht="12.75" customHeight="1">
      <c r="A1683" s="73"/>
      <c r="B1683" s="32"/>
      <c r="C1683" s="32"/>
      <c r="D1683" s="33"/>
      <c r="E1683" s="32"/>
      <c r="F1683" s="32"/>
      <c r="G1683" s="74"/>
      <c r="H1683" s="32"/>
      <c r="I1683" s="32"/>
      <c r="J1683" s="32"/>
      <c r="K1683" s="74"/>
      <c r="L1683" s="75"/>
      <c r="M1683" s="32"/>
      <c r="N1683" s="32"/>
      <c r="O1683" s="73"/>
      <c r="P1683" s="73"/>
      <c r="Q1683" s="73"/>
      <c r="R1683" s="73"/>
      <c r="S1683" s="73"/>
      <c r="T1683" s="73"/>
      <c r="U1683" s="73"/>
      <c r="V1683" s="73"/>
      <c r="W1683" s="73"/>
      <c r="X1683" s="73"/>
      <c r="Y1683" s="73"/>
      <c r="Z1683" s="73"/>
    </row>
    <row r="1684" spans="1:26" ht="12.75" customHeight="1">
      <c r="A1684" s="73"/>
      <c r="B1684" s="32"/>
      <c r="C1684" s="32"/>
      <c r="D1684" s="33"/>
      <c r="E1684" s="32"/>
      <c r="F1684" s="32"/>
      <c r="G1684" s="74"/>
      <c r="H1684" s="32"/>
      <c r="I1684" s="32"/>
      <c r="J1684" s="32"/>
      <c r="K1684" s="74"/>
      <c r="L1684" s="75"/>
      <c r="M1684" s="32"/>
      <c r="N1684" s="32"/>
      <c r="O1684" s="73"/>
      <c r="P1684" s="73"/>
      <c r="Q1684" s="73"/>
      <c r="R1684" s="73"/>
      <c r="S1684" s="73"/>
      <c r="T1684" s="73"/>
      <c r="U1684" s="73"/>
      <c r="V1684" s="73"/>
      <c r="W1684" s="73"/>
      <c r="X1684" s="73"/>
      <c r="Y1684" s="73"/>
      <c r="Z1684" s="73"/>
    </row>
    <row r="1685" spans="1:26" ht="12.75" customHeight="1">
      <c r="A1685" s="73"/>
      <c r="B1685" s="32"/>
      <c r="C1685" s="32"/>
      <c r="D1685" s="33"/>
      <c r="E1685" s="32"/>
      <c r="F1685" s="32"/>
      <c r="G1685" s="74"/>
      <c r="H1685" s="32"/>
      <c r="I1685" s="32"/>
      <c r="J1685" s="32"/>
      <c r="K1685" s="74"/>
      <c r="L1685" s="75"/>
      <c r="M1685" s="32"/>
      <c r="N1685" s="32"/>
      <c r="O1685" s="73"/>
      <c r="P1685" s="73"/>
      <c r="Q1685" s="73"/>
      <c r="R1685" s="73"/>
      <c r="S1685" s="73"/>
      <c r="T1685" s="73"/>
      <c r="U1685" s="73"/>
      <c r="V1685" s="73"/>
      <c r="W1685" s="73"/>
      <c r="X1685" s="73"/>
      <c r="Y1685" s="73"/>
      <c r="Z1685" s="73"/>
    </row>
    <row r="1686" spans="1:26" ht="12.75" customHeight="1">
      <c r="A1686" s="73"/>
      <c r="B1686" s="32"/>
      <c r="C1686" s="32"/>
      <c r="D1686" s="33"/>
      <c r="E1686" s="32"/>
      <c r="F1686" s="32"/>
      <c r="G1686" s="74"/>
      <c r="H1686" s="32"/>
      <c r="I1686" s="32"/>
      <c r="J1686" s="32"/>
      <c r="K1686" s="74"/>
      <c r="L1686" s="75"/>
      <c r="M1686" s="32"/>
      <c r="N1686" s="32"/>
      <c r="O1686" s="73"/>
      <c r="P1686" s="73"/>
      <c r="Q1686" s="73"/>
      <c r="R1686" s="73"/>
      <c r="S1686" s="73"/>
      <c r="T1686" s="73"/>
      <c r="U1686" s="73"/>
      <c r="V1686" s="73"/>
      <c r="W1686" s="73"/>
      <c r="X1686" s="73"/>
      <c r="Y1686" s="73"/>
      <c r="Z1686" s="73"/>
    </row>
    <row r="1687" spans="1:26" ht="12.75" customHeight="1">
      <c r="A1687" s="73"/>
      <c r="B1687" s="32"/>
      <c r="C1687" s="32"/>
      <c r="D1687" s="33"/>
      <c r="E1687" s="32"/>
      <c r="F1687" s="32"/>
      <c r="G1687" s="74"/>
      <c r="H1687" s="32"/>
      <c r="I1687" s="32"/>
      <c r="J1687" s="32"/>
      <c r="K1687" s="74"/>
      <c r="L1687" s="75"/>
      <c r="M1687" s="32"/>
      <c r="N1687" s="32"/>
      <c r="O1687" s="73"/>
      <c r="P1687" s="73"/>
      <c r="Q1687" s="73"/>
      <c r="R1687" s="73"/>
      <c r="S1687" s="73"/>
      <c r="T1687" s="73"/>
      <c r="U1687" s="73"/>
      <c r="V1687" s="73"/>
      <c r="W1687" s="73"/>
      <c r="X1687" s="73"/>
      <c r="Y1687" s="73"/>
      <c r="Z1687" s="73"/>
    </row>
    <row r="1688" spans="1:26" ht="12.75" customHeight="1">
      <c r="A1688" s="73"/>
      <c r="B1688" s="32"/>
      <c r="C1688" s="32"/>
      <c r="D1688" s="33"/>
      <c r="E1688" s="32"/>
      <c r="F1688" s="32"/>
      <c r="G1688" s="74"/>
      <c r="H1688" s="32"/>
      <c r="I1688" s="32"/>
      <c r="J1688" s="32"/>
      <c r="K1688" s="74"/>
      <c r="L1688" s="75"/>
      <c r="M1688" s="32"/>
      <c r="N1688" s="32"/>
      <c r="O1688" s="73"/>
      <c r="P1688" s="73"/>
      <c r="Q1688" s="73"/>
      <c r="R1688" s="73"/>
      <c r="S1688" s="73"/>
      <c r="T1688" s="73"/>
      <c r="U1688" s="73"/>
      <c r="V1688" s="73"/>
      <c r="W1688" s="73"/>
      <c r="X1688" s="73"/>
      <c r="Y1688" s="73"/>
      <c r="Z1688" s="73"/>
    </row>
    <row r="1689" spans="1:26" ht="12.75" customHeight="1">
      <c r="A1689" s="73"/>
      <c r="B1689" s="32"/>
      <c r="C1689" s="32"/>
      <c r="D1689" s="33"/>
      <c r="E1689" s="32"/>
      <c r="F1689" s="32"/>
      <c r="G1689" s="74"/>
      <c r="H1689" s="32"/>
      <c r="I1689" s="32"/>
      <c r="J1689" s="32"/>
      <c r="K1689" s="74"/>
      <c r="L1689" s="75"/>
      <c r="M1689" s="32"/>
      <c r="N1689" s="32"/>
      <c r="O1689" s="73"/>
      <c r="P1689" s="73"/>
      <c r="Q1689" s="73"/>
      <c r="R1689" s="73"/>
      <c r="S1689" s="73"/>
      <c r="T1689" s="73"/>
      <c r="U1689" s="73"/>
      <c r="V1689" s="73"/>
      <c r="W1689" s="73"/>
      <c r="X1689" s="73"/>
      <c r="Y1689" s="73"/>
      <c r="Z1689" s="73"/>
    </row>
    <row r="1690" spans="1:26" ht="12.75" customHeight="1">
      <c r="A1690" s="73"/>
      <c r="B1690" s="32"/>
      <c r="C1690" s="32"/>
      <c r="D1690" s="33"/>
      <c r="E1690" s="32"/>
      <c r="F1690" s="32"/>
      <c r="G1690" s="74"/>
      <c r="H1690" s="32"/>
      <c r="I1690" s="32"/>
      <c r="J1690" s="32"/>
      <c r="K1690" s="74"/>
      <c r="L1690" s="75"/>
      <c r="M1690" s="32"/>
      <c r="N1690" s="32"/>
      <c r="O1690" s="73"/>
      <c r="P1690" s="73"/>
      <c r="Q1690" s="73"/>
      <c r="R1690" s="73"/>
      <c r="S1690" s="73"/>
      <c r="T1690" s="73"/>
      <c r="U1690" s="73"/>
      <c r="V1690" s="73"/>
      <c r="W1690" s="73"/>
      <c r="X1690" s="73"/>
      <c r="Y1690" s="73"/>
      <c r="Z1690" s="73"/>
    </row>
    <row r="1691" spans="1:26" ht="12.75" customHeight="1">
      <c r="A1691" s="73"/>
      <c r="B1691" s="32"/>
      <c r="C1691" s="32"/>
      <c r="D1691" s="33"/>
      <c r="E1691" s="32"/>
      <c r="F1691" s="32"/>
      <c r="G1691" s="74"/>
      <c r="H1691" s="32"/>
      <c r="I1691" s="32"/>
      <c r="J1691" s="32"/>
      <c r="K1691" s="74"/>
      <c r="L1691" s="75"/>
      <c r="M1691" s="32"/>
      <c r="N1691" s="32"/>
      <c r="O1691" s="73"/>
      <c r="P1691" s="73"/>
      <c r="Q1691" s="73"/>
      <c r="R1691" s="73"/>
      <c r="S1691" s="73"/>
      <c r="T1691" s="73"/>
      <c r="U1691" s="73"/>
      <c r="V1691" s="73"/>
      <c r="W1691" s="73"/>
      <c r="X1691" s="73"/>
      <c r="Y1691" s="73"/>
      <c r="Z1691" s="73"/>
    </row>
    <row r="1692" spans="1:26" ht="12.75" customHeight="1">
      <c r="A1692" s="73"/>
      <c r="B1692" s="32"/>
      <c r="C1692" s="32"/>
      <c r="D1692" s="33"/>
      <c r="E1692" s="32"/>
      <c r="F1692" s="32"/>
      <c r="G1692" s="74"/>
      <c r="H1692" s="32"/>
      <c r="I1692" s="32"/>
      <c r="J1692" s="32"/>
      <c r="K1692" s="74"/>
      <c r="L1692" s="75"/>
      <c r="M1692" s="32"/>
      <c r="N1692" s="32"/>
      <c r="O1692" s="73"/>
      <c r="P1692" s="73"/>
      <c r="Q1692" s="73"/>
      <c r="R1692" s="73"/>
      <c r="S1692" s="73"/>
      <c r="T1692" s="73"/>
      <c r="U1692" s="73"/>
      <c r="V1692" s="73"/>
      <c r="W1692" s="73"/>
      <c r="X1692" s="73"/>
      <c r="Y1692" s="73"/>
      <c r="Z1692" s="73"/>
    </row>
    <row r="1693" spans="1:26" ht="12.75" customHeight="1">
      <c r="A1693" s="73"/>
      <c r="B1693" s="32"/>
      <c r="C1693" s="32"/>
      <c r="D1693" s="33"/>
      <c r="E1693" s="32"/>
      <c r="F1693" s="32"/>
      <c r="G1693" s="74"/>
      <c r="H1693" s="32"/>
      <c r="I1693" s="32"/>
      <c r="J1693" s="32"/>
      <c r="K1693" s="74"/>
      <c r="L1693" s="75"/>
      <c r="M1693" s="32"/>
      <c r="N1693" s="32"/>
      <c r="O1693" s="73"/>
      <c r="P1693" s="73"/>
      <c r="Q1693" s="73"/>
      <c r="R1693" s="73"/>
      <c r="S1693" s="73"/>
      <c r="T1693" s="73"/>
      <c r="U1693" s="73"/>
      <c r="V1693" s="73"/>
      <c r="W1693" s="73"/>
      <c r="X1693" s="73"/>
      <c r="Y1693" s="73"/>
      <c r="Z1693" s="73"/>
    </row>
    <row r="1694" spans="1:26" ht="12.75" customHeight="1">
      <c r="A1694" s="73"/>
      <c r="B1694" s="32"/>
      <c r="C1694" s="32"/>
      <c r="D1694" s="33"/>
      <c r="E1694" s="32"/>
      <c r="F1694" s="32"/>
      <c r="G1694" s="74"/>
      <c r="H1694" s="32"/>
      <c r="I1694" s="32"/>
      <c r="J1694" s="32"/>
      <c r="K1694" s="74"/>
      <c r="L1694" s="75"/>
      <c r="M1694" s="32"/>
      <c r="N1694" s="32"/>
      <c r="O1694" s="73"/>
      <c r="P1694" s="73"/>
      <c r="Q1694" s="73"/>
      <c r="R1694" s="73"/>
      <c r="S1694" s="73"/>
      <c r="T1694" s="73"/>
      <c r="U1694" s="73"/>
      <c r="V1694" s="73"/>
      <c r="W1694" s="73"/>
      <c r="X1694" s="73"/>
      <c r="Y1694" s="73"/>
      <c r="Z1694" s="73"/>
    </row>
    <row r="1695" spans="1:26" ht="12.75" customHeight="1">
      <c r="A1695" s="73"/>
      <c r="B1695" s="32"/>
      <c r="C1695" s="32"/>
      <c r="D1695" s="33"/>
      <c r="E1695" s="32"/>
      <c r="F1695" s="32"/>
      <c r="G1695" s="74"/>
      <c r="H1695" s="32"/>
      <c r="I1695" s="32"/>
      <c r="J1695" s="32"/>
      <c r="K1695" s="74"/>
      <c r="L1695" s="75"/>
      <c r="M1695" s="32"/>
      <c r="N1695" s="32"/>
      <c r="O1695" s="73"/>
      <c r="P1695" s="73"/>
      <c r="Q1695" s="73"/>
      <c r="R1695" s="73"/>
      <c r="S1695" s="73"/>
      <c r="T1695" s="73"/>
      <c r="U1695" s="73"/>
      <c r="V1695" s="73"/>
      <c r="W1695" s="73"/>
      <c r="X1695" s="73"/>
      <c r="Y1695" s="73"/>
      <c r="Z1695" s="73"/>
    </row>
    <row r="1696" spans="1:26" ht="12.75" customHeight="1">
      <c r="A1696" s="73"/>
      <c r="B1696" s="32"/>
      <c r="C1696" s="32"/>
      <c r="D1696" s="33"/>
      <c r="E1696" s="32"/>
      <c r="F1696" s="32"/>
      <c r="G1696" s="74"/>
      <c r="H1696" s="32"/>
      <c r="I1696" s="32"/>
      <c r="J1696" s="32"/>
      <c r="K1696" s="74"/>
      <c r="L1696" s="75"/>
      <c r="M1696" s="32"/>
      <c r="N1696" s="32"/>
      <c r="O1696" s="73"/>
      <c r="P1696" s="73"/>
      <c r="Q1696" s="73"/>
      <c r="R1696" s="73"/>
      <c r="S1696" s="73"/>
      <c r="T1696" s="73"/>
      <c r="U1696" s="73"/>
      <c r="V1696" s="73"/>
      <c r="W1696" s="73"/>
      <c r="X1696" s="73"/>
      <c r="Y1696" s="73"/>
      <c r="Z1696" s="73"/>
    </row>
    <row r="1697" spans="1:26" ht="12.75" customHeight="1">
      <c r="A1697" s="73"/>
      <c r="B1697" s="32"/>
      <c r="C1697" s="32"/>
      <c r="D1697" s="33"/>
      <c r="E1697" s="32"/>
      <c r="F1697" s="32"/>
      <c r="G1697" s="74"/>
      <c r="H1697" s="32"/>
      <c r="I1697" s="32"/>
      <c r="J1697" s="32"/>
      <c r="K1697" s="74"/>
      <c r="L1697" s="75"/>
      <c r="M1697" s="32"/>
      <c r="N1697" s="32"/>
      <c r="O1697" s="73"/>
      <c r="P1697" s="73"/>
      <c r="Q1697" s="73"/>
      <c r="R1697" s="73"/>
      <c r="S1697" s="73"/>
      <c r="T1697" s="73"/>
      <c r="U1697" s="73"/>
      <c r="V1697" s="73"/>
      <c r="W1697" s="73"/>
      <c r="X1697" s="73"/>
      <c r="Y1697" s="73"/>
      <c r="Z1697" s="73"/>
    </row>
    <row r="1698" spans="1:26" ht="12.75" customHeight="1">
      <c r="A1698" s="73"/>
      <c r="B1698" s="32"/>
      <c r="C1698" s="32"/>
      <c r="D1698" s="33"/>
      <c r="E1698" s="32"/>
      <c r="F1698" s="32"/>
      <c r="G1698" s="74"/>
      <c r="H1698" s="32"/>
      <c r="I1698" s="32"/>
      <c r="J1698" s="32"/>
      <c r="K1698" s="74"/>
      <c r="L1698" s="75"/>
      <c r="M1698" s="32"/>
      <c r="N1698" s="32"/>
      <c r="O1698" s="73"/>
      <c r="P1698" s="73"/>
      <c r="Q1698" s="73"/>
      <c r="R1698" s="73"/>
      <c r="S1698" s="73"/>
      <c r="T1698" s="73"/>
      <c r="U1698" s="73"/>
      <c r="V1698" s="73"/>
      <c r="W1698" s="73"/>
      <c r="X1698" s="73"/>
      <c r="Y1698" s="73"/>
      <c r="Z1698" s="73"/>
    </row>
    <row r="1699" spans="1:26" ht="12.75" customHeight="1">
      <c r="A1699" s="73"/>
      <c r="B1699" s="32"/>
      <c r="C1699" s="32"/>
      <c r="D1699" s="33"/>
      <c r="E1699" s="32"/>
      <c r="F1699" s="32"/>
      <c r="G1699" s="74"/>
      <c r="H1699" s="32"/>
      <c r="I1699" s="32"/>
      <c r="J1699" s="32"/>
      <c r="K1699" s="74"/>
      <c r="L1699" s="75"/>
      <c r="M1699" s="32"/>
      <c r="N1699" s="32"/>
      <c r="O1699" s="73"/>
      <c r="P1699" s="73"/>
      <c r="Q1699" s="73"/>
      <c r="R1699" s="73"/>
      <c r="S1699" s="73"/>
      <c r="T1699" s="73"/>
      <c r="U1699" s="73"/>
      <c r="V1699" s="73"/>
      <c r="W1699" s="73"/>
      <c r="X1699" s="73"/>
      <c r="Y1699" s="73"/>
      <c r="Z1699" s="73"/>
    </row>
    <row r="1700" spans="1:26" ht="12.75" customHeight="1">
      <c r="A1700" s="73"/>
      <c r="B1700" s="32"/>
      <c r="C1700" s="32"/>
      <c r="D1700" s="33"/>
      <c r="E1700" s="32"/>
      <c r="F1700" s="32"/>
      <c r="G1700" s="74"/>
      <c r="H1700" s="32"/>
      <c r="I1700" s="32"/>
      <c r="J1700" s="32"/>
      <c r="K1700" s="74"/>
      <c r="L1700" s="75"/>
      <c r="M1700" s="32"/>
      <c r="N1700" s="32"/>
      <c r="O1700" s="73"/>
      <c r="P1700" s="73"/>
      <c r="Q1700" s="73"/>
      <c r="R1700" s="73"/>
      <c r="S1700" s="73"/>
      <c r="T1700" s="73"/>
      <c r="U1700" s="73"/>
      <c r="V1700" s="73"/>
      <c r="W1700" s="73"/>
      <c r="X1700" s="73"/>
      <c r="Y1700" s="73"/>
      <c r="Z1700" s="73"/>
    </row>
    <row r="1701" spans="1:26" ht="12.75" customHeight="1">
      <c r="A1701" s="73"/>
      <c r="B1701" s="32"/>
      <c r="C1701" s="32"/>
      <c r="D1701" s="33"/>
      <c r="E1701" s="32"/>
      <c r="F1701" s="32"/>
      <c r="G1701" s="74"/>
      <c r="H1701" s="32"/>
      <c r="I1701" s="32"/>
      <c r="J1701" s="32"/>
      <c r="K1701" s="74"/>
      <c r="L1701" s="75"/>
      <c r="M1701" s="32"/>
      <c r="N1701" s="32"/>
      <c r="O1701" s="73"/>
      <c r="P1701" s="73"/>
      <c r="Q1701" s="73"/>
      <c r="R1701" s="73"/>
      <c r="S1701" s="73"/>
      <c r="T1701" s="73"/>
      <c r="U1701" s="73"/>
      <c r="V1701" s="73"/>
      <c r="W1701" s="73"/>
      <c r="X1701" s="73"/>
      <c r="Y1701" s="73"/>
      <c r="Z1701" s="73"/>
    </row>
    <row r="1702" spans="1:26" ht="12.75" customHeight="1">
      <c r="A1702" s="73"/>
      <c r="B1702" s="32"/>
      <c r="C1702" s="32"/>
      <c r="D1702" s="33"/>
      <c r="E1702" s="32"/>
      <c r="F1702" s="32"/>
      <c r="G1702" s="74"/>
      <c r="H1702" s="32"/>
      <c r="I1702" s="32"/>
      <c r="J1702" s="32"/>
      <c r="K1702" s="74"/>
      <c r="L1702" s="75"/>
      <c r="M1702" s="32"/>
      <c r="N1702" s="32"/>
      <c r="O1702" s="73"/>
      <c r="P1702" s="73"/>
      <c r="Q1702" s="73"/>
      <c r="R1702" s="73"/>
      <c r="S1702" s="73"/>
      <c r="T1702" s="73"/>
      <c r="U1702" s="73"/>
      <c r="V1702" s="73"/>
      <c r="W1702" s="73"/>
      <c r="X1702" s="73"/>
      <c r="Y1702" s="73"/>
      <c r="Z1702" s="73"/>
    </row>
    <row r="1703" spans="1:26" ht="12.75" customHeight="1">
      <c r="A1703" s="73"/>
      <c r="B1703" s="32"/>
      <c r="C1703" s="32"/>
      <c r="D1703" s="33"/>
      <c r="E1703" s="32"/>
      <c r="F1703" s="32"/>
      <c r="G1703" s="74"/>
      <c r="H1703" s="32"/>
      <c r="I1703" s="32"/>
      <c r="J1703" s="32"/>
      <c r="K1703" s="74"/>
      <c r="L1703" s="75"/>
      <c r="M1703" s="32"/>
      <c r="N1703" s="32"/>
      <c r="O1703" s="73"/>
      <c r="P1703" s="73"/>
      <c r="Q1703" s="73"/>
      <c r="R1703" s="73"/>
      <c r="S1703" s="73"/>
      <c r="T1703" s="73"/>
      <c r="U1703" s="73"/>
      <c r="V1703" s="73"/>
      <c r="W1703" s="73"/>
      <c r="X1703" s="73"/>
      <c r="Y1703" s="73"/>
      <c r="Z1703" s="73"/>
    </row>
    <row r="1704" spans="1:26" ht="12.75" customHeight="1">
      <c r="A1704" s="73"/>
      <c r="B1704" s="32"/>
      <c r="C1704" s="32"/>
      <c r="D1704" s="33"/>
      <c r="E1704" s="32"/>
      <c r="F1704" s="32"/>
      <c r="G1704" s="74"/>
      <c r="H1704" s="32"/>
      <c r="I1704" s="32"/>
      <c r="J1704" s="32"/>
      <c r="K1704" s="74"/>
      <c r="L1704" s="75"/>
      <c r="M1704" s="32"/>
      <c r="N1704" s="32"/>
      <c r="O1704" s="73"/>
      <c r="P1704" s="73"/>
      <c r="Q1704" s="73"/>
      <c r="R1704" s="73"/>
      <c r="S1704" s="73"/>
      <c r="T1704" s="73"/>
      <c r="U1704" s="73"/>
      <c r="V1704" s="73"/>
      <c r="W1704" s="73"/>
      <c r="X1704" s="73"/>
      <c r="Y1704" s="73"/>
      <c r="Z1704" s="73"/>
    </row>
    <row r="1705" spans="1:26" ht="12.75" customHeight="1">
      <c r="A1705" s="73"/>
      <c r="B1705" s="32"/>
      <c r="C1705" s="32"/>
      <c r="D1705" s="33"/>
      <c r="E1705" s="32"/>
      <c r="F1705" s="32"/>
      <c r="G1705" s="74"/>
      <c r="H1705" s="32"/>
      <c r="I1705" s="32"/>
      <c r="J1705" s="32"/>
      <c r="K1705" s="74"/>
      <c r="L1705" s="75"/>
      <c r="M1705" s="32"/>
      <c r="N1705" s="32"/>
      <c r="O1705" s="73"/>
      <c r="P1705" s="73"/>
      <c r="Q1705" s="73"/>
      <c r="R1705" s="73"/>
      <c r="S1705" s="73"/>
      <c r="T1705" s="73"/>
      <c r="U1705" s="73"/>
      <c r="V1705" s="73"/>
      <c r="W1705" s="73"/>
      <c r="X1705" s="73"/>
      <c r="Y1705" s="73"/>
      <c r="Z1705" s="73"/>
    </row>
    <row r="1706" spans="1:26" ht="12.75" customHeight="1">
      <c r="A1706" s="73"/>
      <c r="B1706" s="32"/>
      <c r="C1706" s="32"/>
      <c r="D1706" s="33"/>
      <c r="E1706" s="32"/>
      <c r="F1706" s="32"/>
      <c r="G1706" s="74"/>
      <c r="H1706" s="32"/>
      <c r="I1706" s="32"/>
      <c r="J1706" s="32"/>
      <c r="K1706" s="74"/>
      <c r="L1706" s="75"/>
      <c r="M1706" s="32"/>
      <c r="N1706" s="32"/>
      <c r="O1706" s="73"/>
      <c r="P1706" s="73"/>
      <c r="Q1706" s="73"/>
      <c r="R1706" s="73"/>
      <c r="S1706" s="73"/>
      <c r="T1706" s="73"/>
      <c r="U1706" s="73"/>
      <c r="V1706" s="73"/>
      <c r="W1706" s="73"/>
      <c r="X1706" s="73"/>
      <c r="Y1706" s="73"/>
      <c r="Z1706" s="73"/>
    </row>
    <row r="1707" spans="1:26" ht="12.75" customHeight="1">
      <c r="A1707" s="73"/>
      <c r="B1707" s="32"/>
      <c r="C1707" s="32"/>
      <c r="D1707" s="33"/>
      <c r="E1707" s="32"/>
      <c r="F1707" s="32"/>
      <c r="G1707" s="74"/>
      <c r="H1707" s="32"/>
      <c r="I1707" s="32"/>
      <c r="J1707" s="32"/>
      <c r="K1707" s="74"/>
      <c r="L1707" s="75"/>
      <c r="M1707" s="32"/>
      <c r="N1707" s="32"/>
      <c r="O1707" s="73"/>
      <c r="P1707" s="73"/>
      <c r="Q1707" s="73"/>
      <c r="R1707" s="73"/>
      <c r="S1707" s="73"/>
      <c r="T1707" s="73"/>
      <c r="U1707" s="73"/>
      <c r="V1707" s="73"/>
      <c r="W1707" s="73"/>
      <c r="X1707" s="73"/>
      <c r="Y1707" s="73"/>
      <c r="Z1707" s="73"/>
    </row>
    <row r="1708" spans="1:26" ht="12.75" customHeight="1">
      <c r="A1708" s="73"/>
      <c r="B1708" s="32"/>
      <c r="C1708" s="32"/>
      <c r="D1708" s="33"/>
      <c r="E1708" s="32"/>
      <c r="F1708" s="32"/>
      <c r="G1708" s="74"/>
      <c r="H1708" s="32"/>
      <c r="I1708" s="32"/>
      <c r="J1708" s="32"/>
      <c r="K1708" s="74"/>
      <c r="L1708" s="75"/>
      <c r="M1708" s="32"/>
      <c r="N1708" s="32"/>
      <c r="O1708" s="73"/>
      <c r="P1708" s="73"/>
      <c r="Q1708" s="73"/>
      <c r="R1708" s="73"/>
      <c r="S1708" s="73"/>
      <c r="T1708" s="73"/>
      <c r="U1708" s="73"/>
      <c r="V1708" s="73"/>
      <c r="W1708" s="73"/>
      <c r="X1708" s="73"/>
      <c r="Y1708" s="73"/>
      <c r="Z1708" s="73"/>
    </row>
    <row r="1709" spans="1:26" ht="12.75" customHeight="1">
      <c r="A1709" s="73"/>
      <c r="B1709" s="32"/>
      <c r="C1709" s="32"/>
      <c r="D1709" s="33"/>
      <c r="E1709" s="32"/>
      <c r="F1709" s="32"/>
      <c r="G1709" s="74"/>
      <c r="H1709" s="32"/>
      <c r="I1709" s="32"/>
      <c r="J1709" s="32"/>
      <c r="K1709" s="74"/>
      <c r="L1709" s="75"/>
      <c r="M1709" s="32"/>
      <c r="N1709" s="32"/>
      <c r="O1709" s="73"/>
      <c r="P1709" s="73"/>
      <c r="Q1709" s="73"/>
      <c r="R1709" s="73"/>
      <c r="S1709" s="73"/>
      <c r="T1709" s="73"/>
      <c r="U1709" s="73"/>
      <c r="V1709" s="73"/>
      <c r="W1709" s="73"/>
      <c r="X1709" s="73"/>
      <c r="Y1709" s="73"/>
      <c r="Z1709" s="73"/>
    </row>
    <row r="1710" spans="1:26" ht="12.75" customHeight="1">
      <c r="A1710" s="73"/>
      <c r="B1710" s="32"/>
      <c r="C1710" s="32"/>
      <c r="D1710" s="33"/>
      <c r="E1710" s="32"/>
      <c r="F1710" s="32"/>
      <c r="G1710" s="74"/>
      <c r="H1710" s="32"/>
      <c r="I1710" s="32"/>
      <c r="J1710" s="32"/>
      <c r="K1710" s="74"/>
      <c r="L1710" s="75"/>
      <c r="M1710" s="32"/>
      <c r="N1710" s="32"/>
      <c r="O1710" s="73"/>
      <c r="P1710" s="73"/>
      <c r="Q1710" s="73"/>
      <c r="R1710" s="73"/>
      <c r="S1710" s="73"/>
      <c r="T1710" s="73"/>
      <c r="U1710" s="73"/>
      <c r="V1710" s="73"/>
      <c r="W1710" s="73"/>
      <c r="X1710" s="73"/>
      <c r="Y1710" s="73"/>
      <c r="Z1710" s="73"/>
    </row>
    <row r="1711" spans="1:26" ht="12.75" customHeight="1">
      <c r="A1711" s="73"/>
      <c r="B1711" s="32"/>
      <c r="C1711" s="32"/>
      <c r="D1711" s="33"/>
      <c r="E1711" s="32"/>
      <c r="F1711" s="32"/>
      <c r="G1711" s="74"/>
      <c r="H1711" s="32"/>
      <c r="I1711" s="32"/>
      <c r="J1711" s="32"/>
      <c r="K1711" s="74"/>
      <c r="L1711" s="75"/>
      <c r="M1711" s="32"/>
      <c r="N1711" s="32"/>
      <c r="O1711" s="73"/>
      <c r="P1711" s="73"/>
      <c r="Q1711" s="73"/>
      <c r="R1711" s="73"/>
      <c r="S1711" s="73"/>
      <c r="T1711" s="73"/>
      <c r="U1711" s="73"/>
      <c r="V1711" s="73"/>
      <c r="W1711" s="73"/>
      <c r="X1711" s="73"/>
      <c r="Y1711" s="73"/>
      <c r="Z1711" s="73"/>
    </row>
    <row r="1712" spans="1:26" ht="12.75" customHeight="1">
      <c r="A1712" s="73"/>
      <c r="B1712" s="32"/>
      <c r="C1712" s="32"/>
      <c r="D1712" s="33"/>
      <c r="E1712" s="32"/>
      <c r="F1712" s="32"/>
      <c r="G1712" s="74"/>
      <c r="H1712" s="32"/>
      <c r="I1712" s="32"/>
      <c r="J1712" s="32"/>
      <c r="K1712" s="74"/>
      <c r="L1712" s="75"/>
      <c r="M1712" s="32"/>
      <c r="N1712" s="32"/>
      <c r="O1712" s="73"/>
      <c r="P1712" s="73"/>
      <c r="Q1712" s="73"/>
      <c r="R1712" s="73"/>
      <c r="S1712" s="73"/>
      <c r="T1712" s="73"/>
      <c r="U1712" s="73"/>
      <c r="V1712" s="73"/>
      <c r="W1712" s="73"/>
      <c r="X1712" s="73"/>
      <c r="Y1712" s="73"/>
      <c r="Z1712" s="73"/>
    </row>
    <row r="1713" spans="1:26" ht="12.75" customHeight="1">
      <c r="A1713" s="73"/>
      <c r="B1713" s="32"/>
      <c r="C1713" s="32"/>
      <c r="D1713" s="33"/>
      <c r="E1713" s="32"/>
      <c r="F1713" s="32"/>
      <c r="G1713" s="74"/>
      <c r="H1713" s="32"/>
      <c r="I1713" s="32"/>
      <c r="J1713" s="32"/>
      <c r="K1713" s="74"/>
      <c r="L1713" s="75"/>
      <c r="M1713" s="32"/>
      <c r="N1713" s="32"/>
      <c r="O1713" s="73"/>
      <c r="P1713" s="73"/>
      <c r="Q1713" s="73"/>
      <c r="R1713" s="73"/>
      <c r="S1713" s="73"/>
      <c r="T1713" s="73"/>
      <c r="U1713" s="73"/>
      <c r="V1713" s="73"/>
      <c r="W1713" s="73"/>
      <c r="X1713" s="73"/>
      <c r="Y1713" s="73"/>
      <c r="Z1713" s="73"/>
    </row>
    <row r="1714" spans="1:26" ht="12.75" customHeight="1">
      <c r="A1714" s="73"/>
      <c r="B1714" s="32"/>
      <c r="C1714" s="32"/>
      <c r="D1714" s="33"/>
      <c r="E1714" s="32"/>
      <c r="F1714" s="32"/>
      <c r="G1714" s="74"/>
      <c r="H1714" s="32"/>
      <c r="I1714" s="32"/>
      <c r="J1714" s="32"/>
      <c r="K1714" s="74"/>
      <c r="L1714" s="75"/>
      <c r="M1714" s="32"/>
      <c r="N1714" s="32"/>
      <c r="O1714" s="73"/>
      <c r="P1714" s="73"/>
      <c r="Q1714" s="73"/>
      <c r="R1714" s="73"/>
      <c r="S1714" s="73"/>
      <c r="T1714" s="73"/>
      <c r="U1714" s="73"/>
      <c r="V1714" s="73"/>
      <c r="W1714" s="73"/>
      <c r="X1714" s="73"/>
      <c r="Y1714" s="73"/>
      <c r="Z1714" s="73"/>
    </row>
    <row r="1715" spans="1:26" ht="12.75" customHeight="1">
      <c r="A1715" s="73"/>
      <c r="B1715" s="32"/>
      <c r="C1715" s="32"/>
      <c r="D1715" s="33"/>
      <c r="E1715" s="32"/>
      <c r="F1715" s="32"/>
      <c r="G1715" s="74"/>
      <c r="H1715" s="32"/>
      <c r="I1715" s="32"/>
      <c r="J1715" s="32"/>
      <c r="K1715" s="74"/>
      <c r="L1715" s="75"/>
      <c r="M1715" s="32"/>
      <c r="N1715" s="32"/>
      <c r="O1715" s="73"/>
      <c r="P1715" s="73"/>
      <c r="Q1715" s="73"/>
      <c r="R1715" s="73"/>
      <c r="S1715" s="73"/>
      <c r="T1715" s="73"/>
      <c r="U1715" s="73"/>
      <c r="V1715" s="73"/>
      <c r="W1715" s="73"/>
      <c r="X1715" s="73"/>
      <c r="Y1715" s="73"/>
      <c r="Z1715" s="73"/>
    </row>
    <row r="1716" spans="1:26" ht="12.75" customHeight="1">
      <c r="A1716" s="73"/>
      <c r="B1716" s="32"/>
      <c r="C1716" s="32"/>
      <c r="D1716" s="33"/>
      <c r="E1716" s="32"/>
      <c r="F1716" s="32"/>
      <c r="G1716" s="74"/>
      <c r="H1716" s="32"/>
      <c r="I1716" s="32"/>
      <c r="J1716" s="32"/>
      <c r="K1716" s="74"/>
      <c r="L1716" s="75"/>
      <c r="M1716" s="32"/>
      <c r="N1716" s="32"/>
      <c r="O1716" s="73"/>
      <c r="P1716" s="73"/>
      <c r="Q1716" s="73"/>
      <c r="R1716" s="73"/>
      <c r="S1716" s="73"/>
      <c r="T1716" s="73"/>
      <c r="U1716" s="73"/>
      <c r="V1716" s="73"/>
      <c r="W1716" s="73"/>
      <c r="X1716" s="73"/>
      <c r="Y1716" s="73"/>
      <c r="Z1716" s="73"/>
    </row>
    <row r="1717" spans="1:26" ht="12.75" customHeight="1">
      <c r="A1717" s="73"/>
      <c r="B1717" s="32"/>
      <c r="C1717" s="32"/>
      <c r="D1717" s="33"/>
      <c r="E1717" s="32"/>
      <c r="F1717" s="32"/>
      <c r="G1717" s="74"/>
      <c r="H1717" s="32"/>
      <c r="I1717" s="32"/>
      <c r="J1717" s="32"/>
      <c r="K1717" s="74"/>
      <c r="L1717" s="75"/>
      <c r="M1717" s="32"/>
      <c r="N1717" s="32"/>
      <c r="O1717" s="73"/>
      <c r="P1717" s="73"/>
      <c r="Q1717" s="73"/>
      <c r="R1717" s="73"/>
      <c r="S1717" s="73"/>
      <c r="T1717" s="73"/>
      <c r="U1717" s="73"/>
      <c r="V1717" s="73"/>
      <c r="W1717" s="73"/>
      <c r="X1717" s="73"/>
      <c r="Y1717" s="73"/>
      <c r="Z1717" s="73"/>
    </row>
    <row r="1718" spans="1:26" ht="12.75" customHeight="1">
      <c r="A1718" s="73"/>
      <c r="B1718" s="32"/>
      <c r="C1718" s="32"/>
      <c r="D1718" s="33"/>
      <c r="E1718" s="32"/>
      <c r="F1718" s="32"/>
      <c r="G1718" s="74"/>
      <c r="H1718" s="32"/>
      <c r="I1718" s="32"/>
      <c r="J1718" s="32"/>
      <c r="K1718" s="74"/>
      <c r="L1718" s="75"/>
      <c r="M1718" s="32"/>
      <c r="N1718" s="32"/>
      <c r="O1718" s="73"/>
      <c r="P1718" s="73"/>
      <c r="Q1718" s="73"/>
      <c r="R1718" s="73"/>
      <c r="S1718" s="73"/>
      <c r="T1718" s="73"/>
      <c r="U1718" s="73"/>
      <c r="V1718" s="73"/>
      <c r="W1718" s="73"/>
      <c r="X1718" s="73"/>
      <c r="Y1718" s="73"/>
      <c r="Z1718" s="73"/>
    </row>
    <row r="1719" spans="1:26" ht="12.75" customHeight="1">
      <c r="A1719" s="73"/>
      <c r="B1719" s="32"/>
      <c r="C1719" s="32"/>
      <c r="D1719" s="33"/>
      <c r="E1719" s="32"/>
      <c r="F1719" s="32"/>
      <c r="G1719" s="74"/>
      <c r="H1719" s="32"/>
      <c r="I1719" s="32"/>
      <c r="J1719" s="32"/>
      <c r="K1719" s="74"/>
      <c r="L1719" s="75"/>
      <c r="M1719" s="32"/>
      <c r="N1719" s="32"/>
      <c r="O1719" s="73"/>
      <c r="P1719" s="73"/>
      <c r="Q1719" s="73"/>
      <c r="R1719" s="73"/>
      <c r="S1719" s="73"/>
      <c r="T1719" s="73"/>
      <c r="U1719" s="73"/>
      <c r="V1719" s="73"/>
      <c r="W1719" s="73"/>
      <c r="X1719" s="73"/>
      <c r="Y1719" s="73"/>
      <c r="Z1719" s="73"/>
    </row>
    <row r="1720" spans="1:26" ht="12.75" customHeight="1">
      <c r="A1720" s="73"/>
      <c r="B1720" s="32"/>
      <c r="C1720" s="32"/>
      <c r="D1720" s="33"/>
      <c r="E1720" s="32"/>
      <c r="F1720" s="32"/>
      <c r="G1720" s="74"/>
      <c r="H1720" s="32"/>
      <c r="I1720" s="32"/>
      <c r="J1720" s="32"/>
      <c r="K1720" s="74"/>
      <c r="L1720" s="75"/>
      <c r="M1720" s="32"/>
      <c r="N1720" s="32"/>
      <c r="O1720" s="73"/>
      <c r="P1720" s="73"/>
      <c r="Q1720" s="73"/>
      <c r="R1720" s="73"/>
      <c r="S1720" s="73"/>
      <c r="T1720" s="73"/>
      <c r="U1720" s="73"/>
      <c r="V1720" s="73"/>
      <c r="W1720" s="73"/>
      <c r="X1720" s="73"/>
      <c r="Y1720" s="73"/>
      <c r="Z1720" s="73"/>
    </row>
    <row r="1721" spans="1:26" ht="12.75" customHeight="1">
      <c r="A1721" s="73"/>
      <c r="B1721" s="32"/>
      <c r="C1721" s="32"/>
      <c r="D1721" s="33"/>
      <c r="E1721" s="32"/>
      <c r="F1721" s="32"/>
      <c r="G1721" s="74"/>
      <c r="H1721" s="32"/>
      <c r="I1721" s="32"/>
      <c r="J1721" s="32"/>
      <c r="K1721" s="74"/>
      <c r="L1721" s="75"/>
      <c r="M1721" s="32"/>
      <c r="N1721" s="32"/>
      <c r="O1721" s="73"/>
      <c r="P1721" s="73"/>
      <c r="Q1721" s="73"/>
      <c r="R1721" s="73"/>
      <c r="S1721" s="73"/>
      <c r="T1721" s="73"/>
      <c r="U1721" s="73"/>
      <c r="V1721" s="73"/>
      <c r="W1721" s="73"/>
      <c r="X1721" s="73"/>
      <c r="Y1721" s="73"/>
      <c r="Z1721" s="73"/>
    </row>
    <row r="1722" spans="1:26" ht="12.75" customHeight="1">
      <c r="A1722" s="73"/>
      <c r="B1722" s="32"/>
      <c r="C1722" s="32"/>
      <c r="D1722" s="33"/>
      <c r="E1722" s="32"/>
      <c r="F1722" s="32"/>
      <c r="G1722" s="74"/>
      <c r="H1722" s="32"/>
      <c r="I1722" s="32"/>
      <c r="J1722" s="32"/>
      <c r="K1722" s="74"/>
      <c r="L1722" s="75"/>
      <c r="M1722" s="32"/>
      <c r="N1722" s="32"/>
      <c r="O1722" s="73"/>
      <c r="P1722" s="73"/>
      <c r="Q1722" s="73"/>
      <c r="R1722" s="73"/>
      <c r="S1722" s="73"/>
      <c r="T1722" s="73"/>
      <c r="U1722" s="73"/>
      <c r="V1722" s="73"/>
      <c r="W1722" s="73"/>
      <c r="X1722" s="73"/>
      <c r="Y1722" s="73"/>
      <c r="Z1722" s="73"/>
    </row>
    <row r="1723" spans="1:26" ht="12.75" customHeight="1">
      <c r="A1723" s="73"/>
      <c r="B1723" s="32"/>
      <c r="C1723" s="32"/>
      <c r="D1723" s="33"/>
      <c r="E1723" s="32"/>
      <c r="F1723" s="32"/>
      <c r="G1723" s="74"/>
      <c r="H1723" s="32"/>
      <c r="I1723" s="32"/>
      <c r="J1723" s="32"/>
      <c r="K1723" s="74"/>
      <c r="L1723" s="75"/>
      <c r="M1723" s="32"/>
      <c r="N1723" s="32"/>
      <c r="O1723" s="73"/>
      <c r="P1723" s="73"/>
      <c r="Q1723" s="73"/>
      <c r="R1723" s="73"/>
      <c r="S1723" s="73"/>
      <c r="T1723" s="73"/>
      <c r="U1723" s="73"/>
      <c r="V1723" s="73"/>
      <c r="W1723" s="73"/>
      <c r="X1723" s="73"/>
      <c r="Y1723" s="73"/>
      <c r="Z1723" s="73"/>
    </row>
    <row r="1724" spans="1:26" ht="12.75" customHeight="1">
      <c r="A1724" s="73"/>
      <c r="B1724" s="32"/>
      <c r="C1724" s="32"/>
      <c r="D1724" s="33"/>
      <c r="E1724" s="32"/>
      <c r="F1724" s="32"/>
      <c r="G1724" s="74"/>
      <c r="H1724" s="32"/>
      <c r="I1724" s="32"/>
      <c r="J1724" s="32"/>
      <c r="K1724" s="74"/>
      <c r="L1724" s="75"/>
      <c r="M1724" s="32"/>
      <c r="N1724" s="32"/>
      <c r="O1724" s="73"/>
      <c r="P1724" s="73"/>
      <c r="Q1724" s="73"/>
      <c r="R1724" s="73"/>
      <c r="S1724" s="73"/>
      <c r="T1724" s="73"/>
      <c r="U1724" s="73"/>
      <c r="V1724" s="73"/>
      <c r="W1724" s="73"/>
      <c r="X1724" s="73"/>
      <c r="Y1724" s="73"/>
      <c r="Z1724" s="73"/>
    </row>
    <row r="1725" spans="1:26" ht="12.75" customHeight="1">
      <c r="A1725" s="73"/>
      <c r="B1725" s="32"/>
      <c r="C1725" s="32"/>
      <c r="D1725" s="33"/>
      <c r="E1725" s="32"/>
      <c r="F1725" s="32"/>
      <c r="G1725" s="74"/>
      <c r="H1725" s="32"/>
      <c r="I1725" s="32"/>
      <c r="J1725" s="32"/>
      <c r="K1725" s="74"/>
      <c r="L1725" s="75"/>
      <c r="M1725" s="32"/>
      <c r="N1725" s="32"/>
      <c r="O1725" s="73"/>
      <c r="P1725" s="73"/>
      <c r="Q1725" s="73"/>
      <c r="R1725" s="73"/>
      <c r="S1725" s="73"/>
      <c r="T1725" s="73"/>
      <c r="U1725" s="73"/>
      <c r="V1725" s="73"/>
      <c r="W1725" s="73"/>
      <c r="X1725" s="73"/>
      <c r="Y1725" s="73"/>
      <c r="Z1725" s="73"/>
    </row>
    <row r="1726" spans="1:26" ht="12.75" customHeight="1">
      <c r="A1726" s="73"/>
      <c r="B1726" s="32"/>
      <c r="C1726" s="32"/>
      <c r="D1726" s="33"/>
      <c r="E1726" s="32"/>
      <c r="F1726" s="32"/>
      <c r="G1726" s="74"/>
      <c r="H1726" s="32"/>
      <c r="I1726" s="32"/>
      <c r="J1726" s="32"/>
      <c r="K1726" s="74"/>
      <c r="L1726" s="75"/>
      <c r="M1726" s="32"/>
      <c r="N1726" s="32"/>
      <c r="O1726" s="73"/>
      <c r="P1726" s="73"/>
      <c r="Q1726" s="73"/>
      <c r="R1726" s="73"/>
      <c r="S1726" s="73"/>
      <c r="T1726" s="73"/>
      <c r="U1726" s="73"/>
      <c r="V1726" s="73"/>
      <c r="W1726" s="73"/>
      <c r="X1726" s="73"/>
      <c r="Y1726" s="73"/>
      <c r="Z1726" s="73"/>
    </row>
    <row r="1727" spans="1:26" ht="12.75" customHeight="1">
      <c r="A1727" s="73"/>
      <c r="B1727" s="32"/>
      <c r="C1727" s="32"/>
      <c r="D1727" s="33"/>
      <c r="E1727" s="32"/>
      <c r="F1727" s="32"/>
      <c r="G1727" s="74"/>
      <c r="H1727" s="32"/>
      <c r="I1727" s="32"/>
      <c r="J1727" s="32"/>
      <c r="K1727" s="74"/>
      <c r="L1727" s="75"/>
      <c r="M1727" s="32"/>
      <c r="N1727" s="32"/>
      <c r="O1727" s="73"/>
      <c r="P1727" s="73"/>
      <c r="Q1727" s="73"/>
      <c r="R1727" s="73"/>
      <c r="S1727" s="73"/>
      <c r="T1727" s="73"/>
      <c r="U1727" s="73"/>
      <c r="V1727" s="73"/>
      <c r="W1727" s="73"/>
      <c r="X1727" s="73"/>
      <c r="Y1727" s="73"/>
      <c r="Z1727" s="73"/>
    </row>
    <row r="1728" spans="1:26" ht="12.75" customHeight="1">
      <c r="A1728" s="73"/>
      <c r="B1728" s="32"/>
      <c r="C1728" s="32"/>
      <c r="D1728" s="33"/>
      <c r="E1728" s="32"/>
      <c r="F1728" s="32"/>
      <c r="G1728" s="74"/>
      <c r="H1728" s="32"/>
      <c r="I1728" s="32"/>
      <c r="J1728" s="32"/>
      <c r="K1728" s="74"/>
      <c r="L1728" s="75"/>
      <c r="M1728" s="32"/>
      <c r="N1728" s="32"/>
      <c r="O1728" s="73"/>
      <c r="P1728" s="73"/>
      <c r="Q1728" s="73"/>
      <c r="R1728" s="73"/>
      <c r="S1728" s="73"/>
      <c r="T1728" s="73"/>
      <c r="U1728" s="73"/>
      <c r="V1728" s="73"/>
      <c r="W1728" s="73"/>
      <c r="X1728" s="73"/>
      <c r="Y1728" s="73"/>
      <c r="Z1728" s="73"/>
    </row>
    <row r="1729" spans="1:26" ht="12.75" customHeight="1">
      <c r="A1729" s="73"/>
      <c r="B1729" s="32"/>
      <c r="C1729" s="32"/>
      <c r="D1729" s="33"/>
      <c r="E1729" s="32"/>
      <c r="F1729" s="32"/>
      <c r="G1729" s="74"/>
      <c r="H1729" s="32"/>
      <c r="I1729" s="32"/>
      <c r="J1729" s="32"/>
      <c r="K1729" s="74"/>
      <c r="L1729" s="75"/>
      <c r="M1729" s="32"/>
      <c r="N1729" s="32"/>
      <c r="O1729" s="73"/>
      <c r="P1729" s="73"/>
      <c r="Q1729" s="73"/>
      <c r="R1729" s="73"/>
      <c r="S1729" s="73"/>
      <c r="T1729" s="73"/>
      <c r="U1729" s="73"/>
      <c r="V1729" s="73"/>
      <c r="W1729" s="73"/>
      <c r="X1729" s="73"/>
      <c r="Y1729" s="73"/>
      <c r="Z1729" s="73"/>
    </row>
    <row r="1730" spans="1:26" ht="12.75" customHeight="1">
      <c r="A1730" s="73"/>
      <c r="B1730" s="32"/>
      <c r="C1730" s="32"/>
      <c r="D1730" s="33"/>
      <c r="E1730" s="32"/>
      <c r="F1730" s="32"/>
      <c r="G1730" s="74"/>
      <c r="H1730" s="32"/>
      <c r="I1730" s="32"/>
      <c r="J1730" s="32"/>
      <c r="K1730" s="74"/>
      <c r="L1730" s="75"/>
      <c r="M1730" s="32"/>
      <c r="N1730" s="32"/>
      <c r="O1730" s="73"/>
      <c r="P1730" s="73"/>
      <c r="Q1730" s="73"/>
      <c r="R1730" s="73"/>
      <c r="S1730" s="73"/>
      <c r="T1730" s="73"/>
      <c r="U1730" s="73"/>
      <c r="V1730" s="73"/>
      <c r="W1730" s="73"/>
      <c r="X1730" s="73"/>
      <c r="Y1730" s="73"/>
      <c r="Z1730" s="73"/>
    </row>
    <row r="1731" spans="1:26" ht="12.75" customHeight="1">
      <c r="A1731" s="73"/>
      <c r="B1731" s="32"/>
      <c r="C1731" s="32"/>
      <c r="D1731" s="33"/>
      <c r="E1731" s="32"/>
      <c r="F1731" s="32"/>
      <c r="G1731" s="74"/>
      <c r="H1731" s="32"/>
      <c r="I1731" s="32"/>
      <c r="J1731" s="32"/>
      <c r="K1731" s="74"/>
      <c r="L1731" s="75"/>
      <c r="M1731" s="32"/>
      <c r="N1731" s="32"/>
      <c r="O1731" s="73"/>
      <c r="P1731" s="73"/>
      <c r="Q1731" s="73"/>
      <c r="R1731" s="73"/>
      <c r="S1731" s="73"/>
      <c r="T1731" s="73"/>
      <c r="U1731" s="73"/>
      <c r="V1731" s="73"/>
      <c r="W1731" s="73"/>
      <c r="X1731" s="73"/>
      <c r="Y1731" s="73"/>
      <c r="Z1731" s="73"/>
    </row>
    <row r="1732" spans="1:26" ht="12.75" customHeight="1">
      <c r="A1732" s="73"/>
      <c r="B1732" s="32"/>
      <c r="C1732" s="32"/>
      <c r="D1732" s="33"/>
      <c r="E1732" s="32"/>
      <c r="F1732" s="32"/>
      <c r="G1732" s="74"/>
      <c r="H1732" s="32"/>
      <c r="I1732" s="32"/>
      <c r="J1732" s="32"/>
      <c r="K1732" s="74"/>
      <c r="L1732" s="75"/>
      <c r="M1732" s="32"/>
      <c r="N1732" s="32"/>
      <c r="O1732" s="73"/>
      <c r="P1732" s="73"/>
      <c r="Q1732" s="73"/>
      <c r="R1732" s="73"/>
      <c r="S1732" s="73"/>
      <c r="T1732" s="73"/>
      <c r="U1732" s="73"/>
      <c r="V1732" s="73"/>
      <c r="W1732" s="73"/>
      <c r="X1732" s="73"/>
      <c r="Y1732" s="73"/>
      <c r="Z1732" s="73"/>
    </row>
    <row r="1733" spans="1:26" ht="12.75" customHeight="1">
      <c r="A1733" s="73"/>
      <c r="B1733" s="32"/>
      <c r="C1733" s="32"/>
      <c r="D1733" s="33"/>
      <c r="E1733" s="32"/>
      <c r="F1733" s="32"/>
      <c r="G1733" s="74"/>
      <c r="H1733" s="32"/>
      <c r="I1733" s="32"/>
      <c r="J1733" s="32"/>
      <c r="K1733" s="74"/>
      <c r="L1733" s="75"/>
      <c r="M1733" s="32"/>
      <c r="N1733" s="32"/>
      <c r="O1733" s="73"/>
      <c r="P1733" s="73"/>
      <c r="Q1733" s="73"/>
      <c r="R1733" s="73"/>
      <c r="S1733" s="73"/>
      <c r="T1733" s="73"/>
      <c r="U1733" s="73"/>
      <c r="V1733" s="73"/>
      <c r="W1733" s="73"/>
      <c r="X1733" s="73"/>
      <c r="Y1733" s="73"/>
      <c r="Z1733" s="73"/>
    </row>
    <row r="1734" spans="1:26" ht="12.75" customHeight="1">
      <c r="A1734" s="73"/>
      <c r="B1734" s="32"/>
      <c r="C1734" s="32"/>
      <c r="D1734" s="33"/>
      <c r="E1734" s="32"/>
      <c r="F1734" s="32"/>
      <c r="G1734" s="74"/>
      <c r="H1734" s="32"/>
      <c r="I1734" s="32"/>
      <c r="J1734" s="32"/>
      <c r="K1734" s="74"/>
      <c r="L1734" s="75"/>
      <c r="M1734" s="32"/>
      <c r="N1734" s="32"/>
      <c r="O1734" s="73"/>
      <c r="P1734" s="73"/>
      <c r="Q1734" s="73"/>
      <c r="R1734" s="73"/>
      <c r="S1734" s="73"/>
      <c r="T1734" s="73"/>
      <c r="U1734" s="73"/>
      <c r="V1734" s="73"/>
      <c r="W1734" s="73"/>
      <c r="X1734" s="73"/>
      <c r="Y1734" s="73"/>
      <c r="Z1734" s="73"/>
    </row>
    <row r="1735" spans="1:26" ht="12.75" customHeight="1">
      <c r="A1735" s="73"/>
      <c r="B1735" s="32"/>
      <c r="C1735" s="32"/>
      <c r="D1735" s="33"/>
      <c r="E1735" s="32"/>
      <c r="F1735" s="32"/>
      <c r="G1735" s="74"/>
      <c r="H1735" s="32"/>
      <c r="I1735" s="32"/>
      <c r="J1735" s="32"/>
      <c r="K1735" s="74"/>
      <c r="L1735" s="75"/>
      <c r="M1735" s="32"/>
      <c r="N1735" s="32"/>
      <c r="O1735" s="73"/>
      <c r="P1735" s="73"/>
      <c r="Q1735" s="73"/>
      <c r="R1735" s="73"/>
      <c r="S1735" s="73"/>
      <c r="T1735" s="73"/>
      <c r="U1735" s="73"/>
      <c r="V1735" s="73"/>
      <c r="W1735" s="73"/>
      <c r="X1735" s="73"/>
      <c r="Y1735" s="73"/>
      <c r="Z1735" s="73"/>
    </row>
    <row r="1736" spans="1:26" ht="12.75" customHeight="1">
      <c r="A1736" s="73"/>
      <c r="B1736" s="32"/>
      <c r="C1736" s="32"/>
      <c r="D1736" s="33"/>
      <c r="E1736" s="32"/>
      <c r="F1736" s="32"/>
      <c r="G1736" s="74"/>
      <c r="H1736" s="32"/>
      <c r="I1736" s="32"/>
      <c r="J1736" s="32"/>
      <c r="K1736" s="74"/>
      <c r="L1736" s="75"/>
      <c r="M1736" s="32"/>
      <c r="N1736" s="32"/>
      <c r="O1736" s="73"/>
      <c r="P1736" s="73"/>
      <c r="Q1736" s="73"/>
      <c r="R1736" s="73"/>
      <c r="S1736" s="73"/>
      <c r="T1736" s="73"/>
      <c r="U1736" s="73"/>
      <c r="V1736" s="73"/>
      <c r="W1736" s="73"/>
      <c r="X1736" s="73"/>
      <c r="Y1736" s="73"/>
      <c r="Z1736" s="73"/>
    </row>
    <row r="1737" spans="1:26" ht="12.75" customHeight="1">
      <c r="A1737" s="73"/>
      <c r="B1737" s="32"/>
      <c r="C1737" s="32"/>
      <c r="D1737" s="33"/>
      <c r="E1737" s="32"/>
      <c r="F1737" s="32"/>
      <c r="G1737" s="74"/>
      <c r="H1737" s="32"/>
      <c r="I1737" s="32"/>
      <c r="J1737" s="32"/>
      <c r="K1737" s="74"/>
      <c r="L1737" s="75"/>
      <c r="M1737" s="32"/>
      <c r="N1737" s="32"/>
      <c r="O1737" s="73"/>
      <c r="P1737" s="73"/>
      <c r="Q1737" s="73"/>
      <c r="R1737" s="73"/>
      <c r="S1737" s="73"/>
      <c r="T1737" s="73"/>
      <c r="U1737" s="73"/>
      <c r="V1737" s="73"/>
      <c r="W1737" s="73"/>
      <c r="X1737" s="73"/>
      <c r="Y1737" s="73"/>
      <c r="Z1737" s="73"/>
    </row>
    <row r="1738" spans="1:26" ht="12.75" customHeight="1">
      <c r="A1738" s="73"/>
      <c r="B1738" s="32"/>
      <c r="C1738" s="32"/>
      <c r="D1738" s="33"/>
      <c r="E1738" s="32"/>
      <c r="F1738" s="32"/>
      <c r="G1738" s="74"/>
      <c r="H1738" s="32"/>
      <c r="I1738" s="32"/>
      <c r="J1738" s="32"/>
      <c r="K1738" s="74"/>
      <c r="L1738" s="75"/>
      <c r="M1738" s="32"/>
      <c r="N1738" s="32"/>
      <c r="O1738" s="73"/>
      <c r="P1738" s="73"/>
      <c r="Q1738" s="73"/>
      <c r="R1738" s="73"/>
      <c r="S1738" s="73"/>
      <c r="T1738" s="73"/>
      <c r="U1738" s="73"/>
      <c r="V1738" s="73"/>
      <c r="W1738" s="73"/>
      <c r="X1738" s="73"/>
      <c r="Y1738" s="73"/>
      <c r="Z1738" s="73"/>
    </row>
    <row r="1739" spans="1:26" ht="12.75" customHeight="1">
      <c r="A1739" s="73"/>
      <c r="B1739" s="32"/>
      <c r="C1739" s="32"/>
      <c r="D1739" s="33"/>
      <c r="E1739" s="32"/>
      <c r="F1739" s="32"/>
      <c r="G1739" s="74"/>
      <c r="H1739" s="32"/>
      <c r="I1739" s="32"/>
      <c r="J1739" s="32"/>
      <c r="K1739" s="74"/>
      <c r="L1739" s="75"/>
      <c r="M1739" s="32"/>
      <c r="N1739" s="32"/>
      <c r="O1739" s="73"/>
      <c r="P1739" s="73"/>
      <c r="Q1739" s="73"/>
      <c r="R1739" s="73"/>
      <c r="S1739" s="73"/>
      <c r="T1739" s="73"/>
      <c r="U1739" s="73"/>
      <c r="V1739" s="73"/>
      <c r="W1739" s="73"/>
      <c r="X1739" s="73"/>
      <c r="Y1739" s="73"/>
      <c r="Z1739" s="73"/>
    </row>
    <row r="1740" spans="1:26" ht="12.75" customHeight="1">
      <c r="A1740" s="73"/>
      <c r="B1740" s="32"/>
      <c r="C1740" s="32"/>
      <c r="D1740" s="33"/>
      <c r="E1740" s="32"/>
      <c r="F1740" s="32"/>
      <c r="G1740" s="74"/>
      <c r="H1740" s="32"/>
      <c r="I1740" s="32"/>
      <c r="J1740" s="32"/>
      <c r="K1740" s="74"/>
      <c r="L1740" s="75"/>
      <c r="M1740" s="32"/>
      <c r="N1740" s="32"/>
      <c r="O1740" s="73"/>
      <c r="P1740" s="73"/>
      <c r="Q1740" s="73"/>
      <c r="R1740" s="73"/>
      <c r="S1740" s="73"/>
      <c r="T1740" s="73"/>
      <c r="U1740" s="73"/>
      <c r="V1740" s="73"/>
      <c r="W1740" s="73"/>
      <c r="X1740" s="73"/>
      <c r="Y1740" s="73"/>
      <c r="Z1740" s="73"/>
    </row>
    <row r="1741" spans="1:26" ht="12.75" customHeight="1">
      <c r="A1741" s="73"/>
      <c r="B1741" s="32"/>
      <c r="C1741" s="32"/>
      <c r="D1741" s="33"/>
      <c r="E1741" s="32"/>
      <c r="F1741" s="32"/>
      <c r="G1741" s="74"/>
      <c r="H1741" s="32"/>
      <c r="I1741" s="32"/>
      <c r="J1741" s="32"/>
      <c r="K1741" s="74"/>
      <c r="L1741" s="75"/>
      <c r="M1741" s="32"/>
      <c r="N1741" s="32"/>
      <c r="O1741" s="73"/>
      <c r="P1741" s="73"/>
      <c r="Q1741" s="73"/>
      <c r="R1741" s="73"/>
      <c r="S1741" s="73"/>
      <c r="T1741" s="73"/>
      <c r="U1741" s="73"/>
      <c r="V1741" s="73"/>
      <c r="W1741" s="73"/>
      <c r="X1741" s="73"/>
      <c r="Y1741" s="73"/>
      <c r="Z1741" s="73"/>
    </row>
    <row r="1742" spans="1:26" ht="12.75" customHeight="1">
      <c r="A1742" s="73"/>
      <c r="B1742" s="32"/>
      <c r="C1742" s="32"/>
      <c r="D1742" s="33"/>
      <c r="E1742" s="32"/>
      <c r="F1742" s="32"/>
      <c r="G1742" s="74"/>
      <c r="H1742" s="32"/>
      <c r="I1742" s="32"/>
      <c r="J1742" s="32"/>
      <c r="K1742" s="74"/>
      <c r="L1742" s="75"/>
      <c r="M1742" s="32"/>
      <c r="N1742" s="32"/>
      <c r="O1742" s="73"/>
      <c r="P1742" s="73"/>
      <c r="Q1742" s="73"/>
      <c r="R1742" s="73"/>
      <c r="S1742" s="73"/>
      <c r="T1742" s="73"/>
      <c r="U1742" s="73"/>
      <c r="V1742" s="73"/>
      <c r="W1742" s="73"/>
      <c r="X1742" s="73"/>
      <c r="Y1742" s="73"/>
      <c r="Z1742" s="73"/>
    </row>
    <row r="1743" spans="1:26" ht="12.75" customHeight="1">
      <c r="A1743" s="73"/>
      <c r="B1743" s="32"/>
      <c r="C1743" s="32"/>
      <c r="D1743" s="33"/>
      <c r="E1743" s="32"/>
      <c r="F1743" s="32"/>
      <c r="G1743" s="74"/>
      <c r="H1743" s="32"/>
      <c r="I1743" s="32"/>
      <c r="J1743" s="32"/>
      <c r="K1743" s="74"/>
      <c r="L1743" s="75"/>
      <c r="M1743" s="32"/>
      <c r="N1743" s="32"/>
      <c r="O1743" s="73"/>
      <c r="P1743" s="73"/>
      <c r="Q1743" s="73"/>
      <c r="R1743" s="73"/>
      <c r="S1743" s="73"/>
      <c r="T1743" s="73"/>
      <c r="U1743" s="73"/>
      <c r="V1743" s="73"/>
      <c r="W1743" s="73"/>
      <c r="X1743" s="73"/>
      <c r="Y1743" s="73"/>
      <c r="Z1743" s="73"/>
    </row>
    <row r="1744" spans="1:26" ht="12.75" customHeight="1">
      <c r="A1744" s="73"/>
      <c r="B1744" s="32"/>
      <c r="C1744" s="32"/>
      <c r="D1744" s="33"/>
      <c r="E1744" s="32"/>
      <c r="F1744" s="32"/>
      <c r="G1744" s="74"/>
      <c r="H1744" s="32"/>
      <c r="I1744" s="32"/>
      <c r="J1744" s="32"/>
      <c r="K1744" s="74"/>
      <c r="L1744" s="75"/>
      <c r="M1744" s="32"/>
      <c r="N1744" s="32"/>
      <c r="O1744" s="73"/>
      <c r="P1744" s="73"/>
      <c r="Q1744" s="73"/>
      <c r="R1744" s="73"/>
      <c r="S1744" s="73"/>
      <c r="T1744" s="73"/>
      <c r="U1744" s="73"/>
      <c r="V1744" s="73"/>
      <c r="W1744" s="73"/>
      <c r="X1744" s="73"/>
      <c r="Y1744" s="73"/>
      <c r="Z1744" s="73"/>
    </row>
    <row r="1745" spans="1:26" ht="12.75" customHeight="1">
      <c r="A1745" s="73"/>
      <c r="B1745" s="32"/>
      <c r="C1745" s="32"/>
      <c r="D1745" s="33"/>
      <c r="E1745" s="32"/>
      <c r="F1745" s="32"/>
      <c r="G1745" s="74"/>
      <c r="H1745" s="32"/>
      <c r="I1745" s="32"/>
      <c r="J1745" s="32"/>
      <c r="K1745" s="74"/>
      <c r="L1745" s="75"/>
      <c r="M1745" s="32"/>
      <c r="N1745" s="32"/>
      <c r="O1745" s="73"/>
      <c r="P1745" s="73"/>
      <c r="Q1745" s="73"/>
      <c r="R1745" s="73"/>
      <c r="S1745" s="73"/>
      <c r="T1745" s="73"/>
      <c r="U1745" s="73"/>
      <c r="V1745" s="73"/>
      <c r="W1745" s="73"/>
      <c r="X1745" s="73"/>
      <c r="Y1745" s="73"/>
      <c r="Z1745" s="73"/>
    </row>
    <row r="1746" spans="1:26" ht="12.75" customHeight="1">
      <c r="A1746" s="73"/>
      <c r="B1746" s="32"/>
      <c r="C1746" s="32"/>
      <c r="D1746" s="33"/>
      <c r="E1746" s="32"/>
      <c r="F1746" s="32"/>
      <c r="G1746" s="74"/>
      <c r="H1746" s="32"/>
      <c r="I1746" s="32"/>
      <c r="J1746" s="32"/>
      <c r="K1746" s="74"/>
      <c r="L1746" s="75"/>
      <c r="M1746" s="32"/>
      <c r="N1746" s="32"/>
      <c r="O1746" s="73"/>
      <c r="P1746" s="73"/>
      <c r="Q1746" s="73"/>
      <c r="R1746" s="73"/>
      <c r="S1746" s="73"/>
      <c r="T1746" s="73"/>
      <c r="U1746" s="73"/>
      <c r="V1746" s="73"/>
      <c r="W1746" s="73"/>
      <c r="X1746" s="73"/>
      <c r="Y1746" s="73"/>
      <c r="Z1746" s="73"/>
    </row>
    <row r="1747" spans="1:26" ht="12.75" customHeight="1">
      <c r="A1747" s="73"/>
      <c r="B1747" s="32"/>
      <c r="C1747" s="32"/>
      <c r="D1747" s="33"/>
      <c r="E1747" s="32"/>
      <c r="F1747" s="32"/>
      <c r="G1747" s="74"/>
      <c r="H1747" s="32"/>
      <c r="I1747" s="32"/>
      <c r="J1747" s="32"/>
      <c r="K1747" s="74"/>
      <c r="L1747" s="75"/>
      <c r="M1747" s="32"/>
      <c r="N1747" s="32"/>
      <c r="O1747" s="73"/>
      <c r="P1747" s="73"/>
      <c r="Q1747" s="73"/>
      <c r="R1747" s="73"/>
      <c r="S1747" s="73"/>
      <c r="T1747" s="73"/>
      <c r="U1747" s="73"/>
      <c r="V1747" s="73"/>
      <c r="W1747" s="73"/>
      <c r="X1747" s="73"/>
      <c r="Y1747" s="73"/>
      <c r="Z1747" s="73"/>
    </row>
    <row r="1748" spans="1:26" ht="12.75" customHeight="1">
      <c r="A1748" s="73"/>
      <c r="B1748" s="32"/>
      <c r="C1748" s="32"/>
      <c r="D1748" s="33"/>
      <c r="E1748" s="32"/>
      <c r="F1748" s="32"/>
      <c r="G1748" s="74"/>
      <c r="H1748" s="32"/>
      <c r="I1748" s="32"/>
      <c r="J1748" s="32"/>
      <c r="K1748" s="74"/>
      <c r="L1748" s="75"/>
      <c r="M1748" s="32"/>
      <c r="N1748" s="32"/>
      <c r="O1748" s="73"/>
      <c r="P1748" s="73"/>
      <c r="Q1748" s="73"/>
      <c r="R1748" s="73"/>
      <c r="S1748" s="73"/>
      <c r="T1748" s="73"/>
      <c r="U1748" s="73"/>
      <c r="V1748" s="73"/>
      <c r="W1748" s="73"/>
      <c r="X1748" s="73"/>
      <c r="Y1748" s="73"/>
      <c r="Z1748" s="73"/>
    </row>
    <row r="1749" spans="1:26" ht="12.75" customHeight="1">
      <c r="A1749" s="73"/>
      <c r="B1749" s="32"/>
      <c r="C1749" s="32"/>
      <c r="D1749" s="33"/>
      <c r="E1749" s="32"/>
      <c r="F1749" s="32"/>
      <c r="G1749" s="74"/>
      <c r="H1749" s="32"/>
      <c r="I1749" s="32"/>
      <c r="J1749" s="32"/>
      <c r="K1749" s="74"/>
      <c r="L1749" s="75"/>
      <c r="M1749" s="32"/>
      <c r="N1749" s="32"/>
      <c r="O1749" s="73"/>
      <c r="P1749" s="73"/>
      <c r="Q1749" s="73"/>
      <c r="R1749" s="73"/>
      <c r="S1749" s="73"/>
      <c r="T1749" s="73"/>
      <c r="U1749" s="73"/>
      <c r="V1749" s="73"/>
      <c r="W1749" s="73"/>
      <c r="X1749" s="73"/>
      <c r="Y1749" s="73"/>
      <c r="Z1749" s="73"/>
    </row>
    <row r="1750" spans="1:26" ht="12.75" customHeight="1">
      <c r="A1750" s="73"/>
      <c r="B1750" s="32"/>
      <c r="C1750" s="32"/>
      <c r="D1750" s="33"/>
      <c r="E1750" s="32"/>
      <c r="F1750" s="32"/>
      <c r="G1750" s="74"/>
      <c r="H1750" s="32"/>
      <c r="I1750" s="32"/>
      <c r="J1750" s="32"/>
      <c r="K1750" s="74"/>
      <c r="L1750" s="75"/>
      <c r="M1750" s="32"/>
      <c r="N1750" s="32"/>
      <c r="O1750" s="73"/>
      <c r="P1750" s="73"/>
      <c r="Q1750" s="73"/>
      <c r="R1750" s="73"/>
      <c r="S1750" s="73"/>
      <c r="T1750" s="73"/>
      <c r="U1750" s="73"/>
      <c r="V1750" s="73"/>
      <c r="W1750" s="73"/>
      <c r="X1750" s="73"/>
      <c r="Y1750" s="73"/>
      <c r="Z1750" s="73"/>
    </row>
    <row r="1751" spans="1:26" ht="12.75" customHeight="1">
      <c r="A1751" s="73"/>
      <c r="B1751" s="32"/>
      <c r="C1751" s="32"/>
      <c r="D1751" s="33"/>
      <c r="E1751" s="32"/>
      <c r="F1751" s="32"/>
      <c r="G1751" s="74"/>
      <c r="H1751" s="32"/>
      <c r="I1751" s="32"/>
      <c r="J1751" s="32"/>
      <c r="K1751" s="74"/>
      <c r="L1751" s="75"/>
      <c r="M1751" s="32"/>
      <c r="N1751" s="32"/>
      <c r="O1751" s="73"/>
      <c r="P1751" s="73"/>
      <c r="Q1751" s="73"/>
      <c r="R1751" s="73"/>
      <c r="S1751" s="73"/>
      <c r="T1751" s="73"/>
      <c r="U1751" s="73"/>
      <c r="V1751" s="73"/>
      <c r="W1751" s="73"/>
      <c r="X1751" s="73"/>
      <c r="Y1751" s="73"/>
      <c r="Z1751" s="73"/>
    </row>
    <row r="1752" spans="1:26" ht="12.75" customHeight="1">
      <c r="A1752" s="73"/>
      <c r="B1752" s="32"/>
      <c r="C1752" s="32"/>
      <c r="D1752" s="33"/>
      <c r="E1752" s="32"/>
      <c r="F1752" s="32"/>
      <c r="G1752" s="74"/>
      <c r="H1752" s="32"/>
      <c r="I1752" s="32"/>
      <c r="J1752" s="32"/>
      <c r="K1752" s="74"/>
      <c r="L1752" s="75"/>
      <c r="M1752" s="32"/>
      <c r="N1752" s="32"/>
      <c r="O1752" s="73"/>
      <c r="P1752" s="73"/>
      <c r="Q1752" s="73"/>
      <c r="R1752" s="73"/>
      <c r="S1752" s="73"/>
      <c r="T1752" s="73"/>
      <c r="U1752" s="73"/>
      <c r="V1752" s="73"/>
      <c r="W1752" s="73"/>
      <c r="X1752" s="73"/>
      <c r="Y1752" s="73"/>
      <c r="Z1752" s="73"/>
    </row>
    <row r="1753" spans="1:26" ht="12.75" customHeight="1">
      <c r="A1753" s="73"/>
      <c r="B1753" s="32"/>
      <c r="C1753" s="32"/>
      <c r="D1753" s="33"/>
      <c r="E1753" s="32"/>
      <c r="F1753" s="32"/>
      <c r="G1753" s="74"/>
      <c r="H1753" s="32"/>
      <c r="I1753" s="32"/>
      <c r="J1753" s="32"/>
      <c r="K1753" s="74"/>
      <c r="L1753" s="75"/>
      <c r="M1753" s="32"/>
      <c r="N1753" s="32"/>
      <c r="O1753" s="73"/>
      <c r="P1753" s="73"/>
      <c r="Q1753" s="73"/>
      <c r="R1753" s="73"/>
      <c r="S1753" s="73"/>
      <c r="T1753" s="73"/>
      <c r="U1753" s="73"/>
      <c r="V1753" s="73"/>
      <c r="W1753" s="73"/>
      <c r="X1753" s="73"/>
      <c r="Y1753" s="73"/>
      <c r="Z1753" s="73"/>
    </row>
    <row r="1754" spans="1:26" ht="12.75" customHeight="1">
      <c r="A1754" s="73"/>
      <c r="B1754" s="32"/>
      <c r="C1754" s="32"/>
      <c r="D1754" s="33"/>
      <c r="E1754" s="32"/>
      <c r="F1754" s="32"/>
      <c r="G1754" s="74"/>
      <c r="H1754" s="32"/>
      <c r="I1754" s="32"/>
      <c r="J1754" s="32"/>
      <c r="K1754" s="74"/>
      <c r="L1754" s="75"/>
      <c r="M1754" s="32"/>
      <c r="N1754" s="32"/>
      <c r="O1754" s="73"/>
      <c r="P1754" s="73"/>
      <c r="Q1754" s="73"/>
      <c r="R1754" s="73"/>
      <c r="S1754" s="73"/>
      <c r="T1754" s="73"/>
      <c r="U1754" s="73"/>
      <c r="V1754" s="73"/>
      <c r="W1754" s="73"/>
      <c r="X1754" s="73"/>
      <c r="Y1754" s="73"/>
      <c r="Z1754" s="73"/>
    </row>
    <row r="1755" spans="1:26" ht="12.75" customHeight="1">
      <c r="A1755" s="73"/>
      <c r="B1755" s="32"/>
      <c r="C1755" s="32"/>
      <c r="D1755" s="33"/>
      <c r="E1755" s="32"/>
      <c r="F1755" s="32"/>
      <c r="G1755" s="74"/>
      <c r="H1755" s="32"/>
      <c r="I1755" s="32"/>
      <c r="J1755" s="32"/>
      <c r="K1755" s="74"/>
      <c r="L1755" s="75"/>
      <c r="M1755" s="32"/>
      <c r="N1755" s="32"/>
      <c r="O1755" s="73"/>
      <c r="P1755" s="73"/>
      <c r="Q1755" s="73"/>
      <c r="R1755" s="73"/>
      <c r="S1755" s="73"/>
      <c r="T1755" s="73"/>
      <c r="U1755" s="73"/>
      <c r="V1755" s="73"/>
      <c r="W1755" s="73"/>
      <c r="X1755" s="73"/>
      <c r="Y1755" s="73"/>
      <c r="Z1755" s="73"/>
    </row>
    <row r="1756" spans="1:26" ht="12.75" customHeight="1">
      <c r="A1756" s="73"/>
      <c r="B1756" s="32"/>
      <c r="C1756" s="32"/>
      <c r="D1756" s="33"/>
      <c r="E1756" s="32"/>
      <c r="F1756" s="32"/>
      <c r="G1756" s="74"/>
      <c r="H1756" s="32"/>
      <c r="I1756" s="32"/>
      <c r="J1756" s="32"/>
      <c r="K1756" s="74"/>
      <c r="L1756" s="75"/>
      <c r="M1756" s="32"/>
      <c r="N1756" s="32"/>
      <c r="O1756" s="73"/>
      <c r="P1756" s="73"/>
      <c r="Q1756" s="73"/>
      <c r="R1756" s="73"/>
      <c r="S1756" s="73"/>
      <c r="T1756" s="73"/>
      <c r="U1756" s="73"/>
      <c r="V1756" s="73"/>
      <c r="W1756" s="73"/>
      <c r="X1756" s="73"/>
      <c r="Y1756" s="73"/>
      <c r="Z1756" s="73"/>
    </row>
    <row r="1757" spans="1:26" ht="12.75" customHeight="1">
      <c r="A1757" s="73"/>
      <c r="B1757" s="32"/>
      <c r="C1757" s="32"/>
      <c r="D1757" s="33"/>
      <c r="E1757" s="32"/>
      <c r="F1757" s="32"/>
      <c r="G1757" s="74"/>
      <c r="H1757" s="32"/>
      <c r="I1757" s="32"/>
      <c r="J1757" s="32"/>
      <c r="K1757" s="74"/>
      <c r="L1757" s="75"/>
      <c r="M1757" s="32"/>
      <c r="N1757" s="32"/>
      <c r="O1757" s="73"/>
      <c r="P1757" s="73"/>
      <c r="Q1757" s="73"/>
      <c r="R1757" s="73"/>
      <c r="S1757" s="73"/>
      <c r="T1757" s="73"/>
      <c r="U1757" s="73"/>
      <c r="V1757" s="73"/>
      <c r="W1757" s="73"/>
      <c r="X1757" s="73"/>
      <c r="Y1757" s="73"/>
      <c r="Z1757" s="73"/>
    </row>
    <row r="1758" spans="1:26" ht="12.75" customHeight="1">
      <c r="A1758" s="73"/>
      <c r="B1758" s="32"/>
      <c r="C1758" s="32"/>
      <c r="D1758" s="33"/>
      <c r="E1758" s="32"/>
      <c r="F1758" s="32"/>
      <c r="G1758" s="74"/>
      <c r="H1758" s="32"/>
      <c r="I1758" s="32"/>
      <c r="J1758" s="32"/>
      <c r="K1758" s="74"/>
      <c r="L1758" s="75"/>
      <c r="M1758" s="32"/>
      <c r="N1758" s="32"/>
      <c r="O1758" s="73"/>
      <c r="P1758" s="73"/>
      <c r="Q1758" s="73"/>
      <c r="R1758" s="73"/>
      <c r="S1758" s="73"/>
      <c r="T1758" s="73"/>
      <c r="U1758" s="73"/>
      <c r="V1758" s="73"/>
      <c r="W1758" s="73"/>
      <c r="X1758" s="73"/>
      <c r="Y1758" s="73"/>
      <c r="Z1758" s="73"/>
    </row>
    <row r="1759" spans="1:26" ht="12.75" customHeight="1">
      <c r="A1759" s="73"/>
      <c r="B1759" s="32"/>
      <c r="C1759" s="32"/>
      <c r="D1759" s="33"/>
      <c r="E1759" s="32"/>
      <c r="F1759" s="32"/>
      <c r="G1759" s="74"/>
      <c r="H1759" s="32"/>
      <c r="I1759" s="32"/>
      <c r="J1759" s="32"/>
      <c r="K1759" s="74"/>
      <c r="L1759" s="75"/>
      <c r="M1759" s="32"/>
      <c r="N1759" s="32"/>
      <c r="O1759" s="73"/>
      <c r="P1759" s="73"/>
      <c r="Q1759" s="73"/>
      <c r="R1759" s="73"/>
      <c r="S1759" s="73"/>
      <c r="T1759" s="73"/>
      <c r="U1759" s="73"/>
      <c r="V1759" s="73"/>
      <c r="W1759" s="73"/>
      <c r="X1759" s="73"/>
      <c r="Y1759" s="73"/>
      <c r="Z1759" s="73"/>
    </row>
    <row r="1760" spans="1:26" ht="12.75" customHeight="1">
      <c r="A1760" s="73"/>
      <c r="B1760" s="32"/>
      <c r="C1760" s="32"/>
      <c r="D1760" s="33"/>
      <c r="E1760" s="32"/>
      <c r="F1760" s="32"/>
      <c r="G1760" s="74"/>
      <c r="H1760" s="32"/>
      <c r="I1760" s="32"/>
      <c r="J1760" s="32"/>
      <c r="K1760" s="74"/>
      <c r="L1760" s="75"/>
      <c r="M1760" s="32"/>
      <c r="N1760" s="32"/>
      <c r="O1760" s="73"/>
      <c r="P1760" s="73"/>
      <c r="Q1760" s="73"/>
      <c r="R1760" s="73"/>
      <c r="S1760" s="73"/>
      <c r="T1760" s="73"/>
      <c r="U1760" s="73"/>
      <c r="V1760" s="73"/>
      <c r="W1760" s="73"/>
      <c r="X1760" s="73"/>
      <c r="Y1760" s="73"/>
      <c r="Z1760" s="73"/>
    </row>
    <row r="1761" spans="1:26" ht="12.75" customHeight="1">
      <c r="A1761" s="73"/>
      <c r="B1761" s="32"/>
      <c r="C1761" s="32"/>
      <c r="D1761" s="33"/>
      <c r="E1761" s="32"/>
      <c r="F1761" s="32"/>
      <c r="G1761" s="74"/>
      <c r="H1761" s="32"/>
      <c r="I1761" s="32"/>
      <c r="J1761" s="32"/>
      <c r="K1761" s="74"/>
      <c r="L1761" s="75"/>
      <c r="M1761" s="32"/>
      <c r="N1761" s="32"/>
      <c r="O1761" s="73"/>
      <c r="P1761" s="73"/>
      <c r="Q1761" s="73"/>
      <c r="R1761" s="73"/>
      <c r="S1761" s="73"/>
      <c r="T1761" s="73"/>
      <c r="U1761" s="73"/>
      <c r="V1761" s="73"/>
      <c r="W1761" s="73"/>
      <c r="X1761" s="73"/>
      <c r="Y1761" s="73"/>
      <c r="Z1761" s="73"/>
    </row>
    <row r="1762" spans="1:26" ht="12.75" customHeight="1">
      <c r="A1762" s="73"/>
      <c r="B1762" s="32"/>
      <c r="C1762" s="32"/>
      <c r="D1762" s="33"/>
      <c r="E1762" s="32"/>
      <c r="F1762" s="32"/>
      <c r="G1762" s="74"/>
      <c r="H1762" s="32"/>
      <c r="I1762" s="32"/>
      <c r="J1762" s="32"/>
      <c r="K1762" s="74"/>
      <c r="L1762" s="75"/>
      <c r="M1762" s="32"/>
      <c r="N1762" s="32"/>
      <c r="O1762" s="73"/>
      <c r="P1762" s="73"/>
      <c r="Q1762" s="73"/>
      <c r="R1762" s="73"/>
      <c r="S1762" s="73"/>
      <c r="T1762" s="73"/>
      <c r="U1762" s="73"/>
      <c r="V1762" s="73"/>
      <c r="W1762" s="73"/>
      <c r="X1762" s="73"/>
      <c r="Y1762" s="73"/>
      <c r="Z1762" s="73"/>
    </row>
    <row r="1763" spans="1:26" ht="12.75" customHeight="1">
      <c r="A1763" s="73"/>
      <c r="B1763" s="32"/>
      <c r="C1763" s="32"/>
      <c r="D1763" s="33"/>
      <c r="E1763" s="32"/>
      <c r="F1763" s="32"/>
      <c r="G1763" s="74"/>
      <c r="H1763" s="32"/>
      <c r="I1763" s="32"/>
      <c r="J1763" s="32"/>
      <c r="K1763" s="74"/>
      <c r="L1763" s="75"/>
      <c r="M1763" s="32"/>
      <c r="N1763" s="32"/>
      <c r="O1763" s="73"/>
      <c r="P1763" s="73"/>
      <c r="Q1763" s="73"/>
      <c r="R1763" s="73"/>
      <c r="S1763" s="73"/>
      <c r="T1763" s="73"/>
      <c r="U1763" s="73"/>
      <c r="V1763" s="73"/>
      <c r="W1763" s="73"/>
      <c r="X1763" s="73"/>
      <c r="Y1763" s="73"/>
      <c r="Z1763" s="73"/>
    </row>
    <row r="1764" spans="1:26" ht="12.75" customHeight="1">
      <c r="A1764" s="73"/>
      <c r="B1764" s="32"/>
      <c r="C1764" s="32"/>
      <c r="D1764" s="33"/>
      <c r="E1764" s="32"/>
      <c r="F1764" s="32"/>
      <c r="G1764" s="74"/>
      <c r="H1764" s="32"/>
      <c r="I1764" s="32"/>
      <c r="J1764" s="32"/>
      <c r="K1764" s="74"/>
      <c r="L1764" s="75"/>
      <c r="M1764" s="32"/>
      <c r="N1764" s="32"/>
      <c r="O1764" s="73"/>
      <c r="P1764" s="73"/>
      <c r="Q1764" s="73"/>
      <c r="R1764" s="73"/>
      <c r="S1764" s="73"/>
      <c r="T1764" s="73"/>
      <c r="U1764" s="73"/>
      <c r="V1764" s="73"/>
      <c r="W1764" s="73"/>
      <c r="X1764" s="73"/>
      <c r="Y1764" s="73"/>
      <c r="Z1764" s="73"/>
    </row>
    <row r="1765" spans="1:26" ht="12.75" customHeight="1">
      <c r="A1765" s="73"/>
      <c r="B1765" s="32"/>
      <c r="C1765" s="32"/>
      <c r="D1765" s="33"/>
      <c r="E1765" s="32"/>
      <c r="F1765" s="32"/>
      <c r="G1765" s="74"/>
      <c r="H1765" s="32"/>
      <c r="I1765" s="32"/>
      <c r="J1765" s="32"/>
      <c r="K1765" s="74"/>
      <c r="L1765" s="75"/>
      <c r="M1765" s="32"/>
      <c r="N1765" s="32"/>
      <c r="O1765" s="73"/>
      <c r="P1765" s="73"/>
      <c r="Q1765" s="73"/>
      <c r="R1765" s="73"/>
      <c r="S1765" s="73"/>
      <c r="T1765" s="73"/>
      <c r="U1765" s="73"/>
      <c r="V1765" s="73"/>
      <c r="W1765" s="73"/>
      <c r="X1765" s="73"/>
      <c r="Y1765" s="73"/>
      <c r="Z1765" s="73"/>
    </row>
    <row r="1766" spans="1:26" ht="12.75" customHeight="1">
      <c r="A1766" s="73"/>
      <c r="B1766" s="32"/>
      <c r="C1766" s="32"/>
      <c r="D1766" s="33"/>
      <c r="E1766" s="32"/>
      <c r="F1766" s="32"/>
      <c r="G1766" s="74"/>
      <c r="H1766" s="32"/>
      <c r="I1766" s="32"/>
      <c r="J1766" s="32"/>
      <c r="K1766" s="74"/>
      <c r="L1766" s="75"/>
      <c r="M1766" s="32"/>
      <c r="N1766" s="32"/>
      <c r="O1766" s="73"/>
      <c r="P1766" s="73"/>
      <c r="Q1766" s="73"/>
      <c r="R1766" s="73"/>
      <c r="S1766" s="73"/>
      <c r="T1766" s="73"/>
      <c r="U1766" s="73"/>
      <c r="V1766" s="73"/>
      <c r="W1766" s="73"/>
      <c r="X1766" s="73"/>
      <c r="Y1766" s="73"/>
      <c r="Z1766" s="73"/>
    </row>
    <row r="1767" spans="1:26" ht="12.75" customHeight="1">
      <c r="A1767" s="73"/>
      <c r="B1767" s="32"/>
      <c r="C1767" s="32"/>
      <c r="D1767" s="33"/>
      <c r="E1767" s="32"/>
      <c r="F1767" s="32"/>
      <c r="G1767" s="74"/>
      <c r="H1767" s="32"/>
      <c r="I1767" s="32"/>
      <c r="J1767" s="32"/>
      <c r="K1767" s="74"/>
      <c r="L1767" s="75"/>
      <c r="M1767" s="32"/>
      <c r="N1767" s="32"/>
      <c r="O1767" s="73"/>
      <c r="P1767" s="73"/>
      <c r="Q1767" s="73"/>
      <c r="R1767" s="73"/>
      <c r="S1767" s="73"/>
      <c r="T1767" s="73"/>
      <c r="U1767" s="73"/>
      <c r="V1767" s="73"/>
      <c r="W1767" s="73"/>
      <c r="X1767" s="73"/>
      <c r="Y1767" s="73"/>
      <c r="Z1767" s="73"/>
    </row>
    <row r="1768" spans="1:26" ht="12.75" customHeight="1">
      <c r="A1768" s="73"/>
      <c r="B1768" s="32"/>
      <c r="C1768" s="32"/>
      <c r="D1768" s="33"/>
      <c r="E1768" s="32"/>
      <c r="F1768" s="32"/>
      <c r="G1768" s="74"/>
      <c r="H1768" s="32"/>
      <c r="I1768" s="32"/>
      <c r="J1768" s="32"/>
      <c r="K1768" s="74"/>
      <c r="L1768" s="75"/>
      <c r="M1768" s="32"/>
      <c r="N1768" s="32"/>
      <c r="O1768" s="73"/>
      <c r="P1768" s="73"/>
      <c r="Q1768" s="73"/>
      <c r="R1768" s="73"/>
      <c r="S1768" s="73"/>
      <c r="T1768" s="73"/>
      <c r="U1768" s="73"/>
      <c r="V1768" s="73"/>
      <c r="W1768" s="73"/>
      <c r="X1768" s="73"/>
      <c r="Y1768" s="73"/>
      <c r="Z1768" s="73"/>
    </row>
    <row r="1769" spans="1:26" ht="12.75" customHeight="1">
      <c r="A1769" s="73"/>
      <c r="B1769" s="32"/>
      <c r="C1769" s="32"/>
      <c r="D1769" s="33"/>
      <c r="E1769" s="32"/>
      <c r="F1769" s="32"/>
      <c r="G1769" s="74"/>
      <c r="H1769" s="32"/>
      <c r="I1769" s="32"/>
      <c r="J1769" s="32"/>
      <c r="K1769" s="74"/>
      <c r="L1769" s="75"/>
      <c r="M1769" s="32"/>
      <c r="N1769" s="32"/>
      <c r="O1769" s="73"/>
      <c r="P1769" s="73"/>
      <c r="Q1769" s="73"/>
      <c r="R1769" s="73"/>
      <c r="S1769" s="73"/>
      <c r="T1769" s="73"/>
      <c r="U1769" s="73"/>
      <c r="V1769" s="73"/>
      <c r="W1769" s="73"/>
      <c r="X1769" s="73"/>
      <c r="Y1769" s="73"/>
      <c r="Z1769" s="73"/>
    </row>
    <row r="1770" spans="1:26" ht="12.75" customHeight="1">
      <c r="A1770" s="73"/>
      <c r="B1770" s="32"/>
      <c r="C1770" s="32"/>
      <c r="D1770" s="33"/>
      <c r="E1770" s="32"/>
      <c r="F1770" s="32"/>
      <c r="G1770" s="74"/>
      <c r="H1770" s="32"/>
      <c r="I1770" s="32"/>
      <c r="J1770" s="32"/>
      <c r="K1770" s="74"/>
      <c r="L1770" s="75"/>
      <c r="M1770" s="32"/>
      <c r="N1770" s="32"/>
      <c r="O1770" s="73"/>
      <c r="P1770" s="73"/>
      <c r="Q1770" s="73"/>
      <c r="R1770" s="73"/>
      <c r="S1770" s="73"/>
      <c r="T1770" s="73"/>
      <c r="U1770" s="73"/>
      <c r="V1770" s="73"/>
      <c r="W1770" s="73"/>
      <c r="X1770" s="73"/>
      <c r="Y1770" s="73"/>
      <c r="Z1770" s="73"/>
    </row>
    <row r="1771" spans="1:26" ht="12.75" customHeight="1">
      <c r="A1771" s="73"/>
      <c r="B1771" s="32"/>
      <c r="C1771" s="32"/>
      <c r="D1771" s="33"/>
      <c r="E1771" s="32"/>
      <c r="F1771" s="32"/>
      <c r="G1771" s="74"/>
      <c r="H1771" s="32"/>
      <c r="I1771" s="32"/>
      <c r="J1771" s="32"/>
      <c r="K1771" s="74"/>
      <c r="L1771" s="75"/>
      <c r="M1771" s="32"/>
      <c r="N1771" s="32"/>
      <c r="O1771" s="73"/>
      <c r="P1771" s="73"/>
      <c r="Q1771" s="73"/>
      <c r="R1771" s="73"/>
      <c r="S1771" s="73"/>
      <c r="T1771" s="73"/>
      <c r="U1771" s="73"/>
      <c r="V1771" s="73"/>
      <c r="W1771" s="73"/>
      <c r="X1771" s="73"/>
      <c r="Y1771" s="73"/>
      <c r="Z1771" s="73"/>
    </row>
    <row r="1772" spans="1:26" ht="12.75" customHeight="1">
      <c r="A1772" s="73"/>
      <c r="B1772" s="32"/>
      <c r="C1772" s="32"/>
      <c r="D1772" s="33"/>
      <c r="E1772" s="32"/>
      <c r="F1772" s="32"/>
      <c r="G1772" s="74"/>
      <c r="H1772" s="32"/>
      <c r="I1772" s="32"/>
      <c r="J1772" s="32"/>
      <c r="K1772" s="74"/>
      <c r="L1772" s="75"/>
      <c r="M1772" s="32"/>
      <c r="N1772" s="32"/>
      <c r="O1772" s="73"/>
      <c r="P1772" s="73"/>
      <c r="Q1772" s="73"/>
      <c r="R1772" s="73"/>
      <c r="S1772" s="73"/>
      <c r="T1772" s="73"/>
      <c r="U1772" s="73"/>
      <c r="V1772" s="73"/>
      <c r="W1772" s="73"/>
      <c r="X1772" s="73"/>
      <c r="Y1772" s="73"/>
      <c r="Z1772" s="73"/>
    </row>
    <row r="1773" spans="1:26" ht="12.75" customHeight="1">
      <c r="A1773" s="73"/>
      <c r="B1773" s="32"/>
      <c r="C1773" s="32"/>
      <c r="D1773" s="33"/>
      <c r="E1773" s="32"/>
      <c r="F1773" s="32"/>
      <c r="G1773" s="74"/>
      <c r="H1773" s="32"/>
      <c r="I1773" s="32"/>
      <c r="J1773" s="32"/>
      <c r="K1773" s="74"/>
      <c r="L1773" s="75"/>
      <c r="M1773" s="32"/>
      <c r="N1773" s="32"/>
      <c r="O1773" s="73"/>
      <c r="P1773" s="73"/>
      <c r="Q1773" s="73"/>
      <c r="R1773" s="73"/>
      <c r="S1773" s="73"/>
      <c r="T1773" s="73"/>
      <c r="U1773" s="73"/>
      <c r="V1773" s="73"/>
      <c r="W1773" s="73"/>
      <c r="X1773" s="73"/>
      <c r="Y1773" s="73"/>
      <c r="Z1773" s="73"/>
    </row>
    <row r="1774" spans="1:26" ht="12.75" customHeight="1">
      <c r="A1774" s="73"/>
      <c r="B1774" s="32"/>
      <c r="C1774" s="32"/>
      <c r="D1774" s="33"/>
      <c r="E1774" s="32"/>
      <c r="F1774" s="32"/>
      <c r="G1774" s="74"/>
      <c r="H1774" s="32"/>
      <c r="I1774" s="32"/>
      <c r="J1774" s="32"/>
      <c r="K1774" s="74"/>
      <c r="L1774" s="75"/>
      <c r="M1774" s="32"/>
      <c r="N1774" s="32"/>
      <c r="O1774" s="73"/>
      <c r="P1774" s="73"/>
      <c r="Q1774" s="73"/>
      <c r="R1774" s="73"/>
      <c r="S1774" s="73"/>
      <c r="T1774" s="73"/>
      <c r="U1774" s="73"/>
      <c r="V1774" s="73"/>
      <c r="W1774" s="73"/>
      <c r="X1774" s="73"/>
      <c r="Y1774" s="73"/>
      <c r="Z1774" s="73"/>
    </row>
    <row r="1775" spans="1:26" ht="12.75" customHeight="1">
      <c r="A1775" s="73"/>
      <c r="B1775" s="32"/>
      <c r="C1775" s="32"/>
      <c r="D1775" s="33"/>
      <c r="E1775" s="32"/>
      <c r="F1775" s="32"/>
      <c r="G1775" s="74"/>
      <c r="H1775" s="32"/>
      <c r="I1775" s="32"/>
      <c r="J1775" s="32"/>
      <c r="K1775" s="74"/>
      <c r="L1775" s="75"/>
      <c r="M1775" s="32"/>
      <c r="N1775" s="32"/>
      <c r="O1775" s="73"/>
      <c r="P1775" s="73"/>
      <c r="Q1775" s="73"/>
      <c r="R1775" s="73"/>
      <c r="S1775" s="73"/>
      <c r="T1775" s="73"/>
      <c r="U1775" s="73"/>
      <c r="V1775" s="73"/>
      <c r="W1775" s="73"/>
      <c r="X1775" s="73"/>
      <c r="Y1775" s="73"/>
      <c r="Z1775" s="73"/>
    </row>
    <row r="1776" spans="1:26" ht="12.75" customHeight="1">
      <c r="A1776" s="73"/>
      <c r="B1776" s="32"/>
      <c r="C1776" s="32"/>
      <c r="D1776" s="33"/>
      <c r="E1776" s="32"/>
      <c r="F1776" s="32"/>
      <c r="G1776" s="74"/>
      <c r="H1776" s="32"/>
      <c r="I1776" s="32"/>
      <c r="J1776" s="32"/>
      <c r="K1776" s="74"/>
      <c r="L1776" s="75"/>
      <c r="M1776" s="32"/>
      <c r="N1776" s="32"/>
      <c r="O1776" s="73"/>
      <c r="P1776" s="73"/>
      <c r="Q1776" s="73"/>
      <c r="R1776" s="73"/>
      <c r="S1776" s="73"/>
      <c r="T1776" s="73"/>
      <c r="U1776" s="73"/>
      <c r="V1776" s="73"/>
      <c r="W1776" s="73"/>
      <c r="X1776" s="73"/>
      <c r="Y1776" s="73"/>
      <c r="Z1776" s="73"/>
    </row>
    <row r="1777" spans="1:26" ht="12.75" customHeight="1">
      <c r="A1777" s="73"/>
      <c r="B1777" s="32"/>
      <c r="C1777" s="32"/>
      <c r="D1777" s="33"/>
      <c r="E1777" s="32"/>
      <c r="F1777" s="32"/>
      <c r="G1777" s="74"/>
      <c r="H1777" s="32"/>
      <c r="I1777" s="32"/>
      <c r="J1777" s="32"/>
      <c r="K1777" s="74"/>
      <c r="L1777" s="75"/>
      <c r="M1777" s="32"/>
      <c r="N1777" s="32"/>
      <c r="O1777" s="73"/>
      <c r="P1777" s="73"/>
      <c r="Q1777" s="73"/>
      <c r="R1777" s="73"/>
      <c r="S1777" s="73"/>
      <c r="T1777" s="73"/>
      <c r="U1777" s="73"/>
      <c r="V1777" s="73"/>
      <c r="W1777" s="73"/>
      <c r="X1777" s="73"/>
      <c r="Y1777" s="73"/>
      <c r="Z1777" s="73"/>
    </row>
    <row r="1778" spans="1:26" ht="12.75" customHeight="1">
      <c r="A1778" s="73"/>
      <c r="B1778" s="32"/>
      <c r="C1778" s="32"/>
      <c r="D1778" s="33"/>
      <c r="E1778" s="32"/>
      <c r="F1778" s="32"/>
      <c r="G1778" s="74"/>
      <c r="H1778" s="32"/>
      <c r="I1778" s="32"/>
      <c r="J1778" s="32"/>
      <c r="K1778" s="74"/>
      <c r="L1778" s="75"/>
      <c r="M1778" s="32"/>
      <c r="N1778" s="32"/>
      <c r="O1778" s="73"/>
      <c r="P1778" s="73"/>
      <c r="Q1778" s="73"/>
      <c r="R1778" s="73"/>
      <c r="S1778" s="73"/>
      <c r="T1778" s="73"/>
      <c r="U1778" s="73"/>
      <c r="V1778" s="73"/>
      <c r="W1778" s="73"/>
      <c r="X1778" s="73"/>
      <c r="Y1778" s="73"/>
      <c r="Z1778" s="73"/>
    </row>
    <row r="1779" spans="1:26" ht="12.75" customHeight="1">
      <c r="A1779" s="73"/>
      <c r="B1779" s="32"/>
      <c r="C1779" s="32"/>
      <c r="D1779" s="33"/>
      <c r="E1779" s="32"/>
      <c r="F1779" s="32"/>
      <c r="G1779" s="74"/>
      <c r="H1779" s="32"/>
      <c r="I1779" s="32"/>
      <c r="J1779" s="32"/>
      <c r="K1779" s="74"/>
      <c r="L1779" s="75"/>
      <c r="M1779" s="32"/>
      <c r="N1779" s="32"/>
      <c r="O1779" s="73"/>
      <c r="P1779" s="73"/>
      <c r="Q1779" s="73"/>
      <c r="R1779" s="73"/>
      <c r="S1779" s="73"/>
      <c r="T1779" s="73"/>
      <c r="U1779" s="73"/>
      <c r="V1779" s="73"/>
      <c r="W1779" s="73"/>
      <c r="X1779" s="73"/>
      <c r="Y1779" s="73"/>
      <c r="Z1779" s="73"/>
    </row>
    <row r="1780" spans="1:26" ht="12.75" customHeight="1">
      <c r="A1780" s="73"/>
      <c r="B1780" s="32"/>
      <c r="C1780" s="32"/>
      <c r="D1780" s="33"/>
      <c r="E1780" s="32"/>
      <c r="F1780" s="32"/>
      <c r="G1780" s="74"/>
      <c r="H1780" s="32"/>
      <c r="I1780" s="32"/>
      <c r="J1780" s="32"/>
      <c r="K1780" s="74"/>
      <c r="L1780" s="75"/>
      <c r="M1780" s="32"/>
      <c r="N1780" s="32"/>
      <c r="O1780" s="73"/>
      <c r="P1780" s="73"/>
      <c r="Q1780" s="73"/>
      <c r="R1780" s="73"/>
      <c r="S1780" s="73"/>
      <c r="T1780" s="73"/>
      <c r="U1780" s="73"/>
      <c r="V1780" s="73"/>
      <c r="W1780" s="73"/>
      <c r="X1780" s="73"/>
      <c r="Y1780" s="73"/>
      <c r="Z1780" s="73"/>
    </row>
    <row r="1781" spans="1:26" ht="12.75" customHeight="1">
      <c r="A1781" s="73"/>
      <c r="B1781" s="32"/>
      <c r="C1781" s="32"/>
      <c r="D1781" s="33"/>
      <c r="E1781" s="32"/>
      <c r="F1781" s="32"/>
      <c r="G1781" s="74"/>
      <c r="H1781" s="32"/>
      <c r="I1781" s="32"/>
      <c r="J1781" s="32"/>
      <c r="K1781" s="74"/>
      <c r="L1781" s="75"/>
      <c r="M1781" s="32"/>
      <c r="N1781" s="32"/>
      <c r="O1781" s="73"/>
      <c r="P1781" s="73"/>
      <c r="Q1781" s="73"/>
      <c r="R1781" s="73"/>
      <c r="S1781" s="73"/>
      <c r="T1781" s="73"/>
      <c r="U1781" s="73"/>
      <c r="V1781" s="73"/>
      <c r="W1781" s="73"/>
      <c r="X1781" s="73"/>
      <c r="Y1781" s="73"/>
      <c r="Z1781" s="73"/>
    </row>
    <row r="1782" spans="1:26" ht="12.75" customHeight="1">
      <c r="A1782" s="73"/>
      <c r="B1782" s="32"/>
      <c r="C1782" s="32"/>
      <c r="D1782" s="33"/>
      <c r="E1782" s="32"/>
      <c r="F1782" s="32"/>
      <c r="G1782" s="74"/>
      <c r="H1782" s="32"/>
      <c r="I1782" s="32"/>
      <c r="J1782" s="32"/>
      <c r="K1782" s="74"/>
      <c r="L1782" s="75"/>
      <c r="M1782" s="32"/>
      <c r="N1782" s="32"/>
      <c r="O1782" s="73"/>
      <c r="P1782" s="73"/>
      <c r="Q1782" s="73"/>
      <c r="R1782" s="73"/>
      <c r="S1782" s="73"/>
      <c r="T1782" s="73"/>
      <c r="U1782" s="73"/>
      <c r="V1782" s="73"/>
      <c r="W1782" s="73"/>
      <c r="X1782" s="73"/>
      <c r="Y1782" s="73"/>
      <c r="Z1782" s="73"/>
    </row>
    <row r="1783" spans="1:26" ht="12.75" customHeight="1">
      <c r="A1783" s="73"/>
      <c r="B1783" s="32"/>
      <c r="C1783" s="32"/>
      <c r="D1783" s="33"/>
      <c r="E1783" s="32"/>
      <c r="F1783" s="32"/>
      <c r="G1783" s="74"/>
      <c r="H1783" s="32"/>
      <c r="I1783" s="32"/>
      <c r="J1783" s="32"/>
      <c r="K1783" s="74"/>
      <c r="L1783" s="75"/>
      <c r="M1783" s="32"/>
      <c r="N1783" s="32"/>
      <c r="O1783" s="73"/>
      <c r="P1783" s="73"/>
      <c r="Q1783" s="73"/>
      <c r="R1783" s="73"/>
      <c r="S1783" s="73"/>
      <c r="T1783" s="73"/>
      <c r="U1783" s="73"/>
      <c r="V1783" s="73"/>
      <c r="W1783" s="73"/>
      <c r="X1783" s="73"/>
      <c r="Y1783" s="73"/>
      <c r="Z1783" s="73"/>
    </row>
    <row r="1784" spans="1:26" ht="12.75" customHeight="1">
      <c r="A1784" s="73"/>
      <c r="B1784" s="32"/>
      <c r="C1784" s="32"/>
      <c r="D1784" s="33"/>
      <c r="E1784" s="32"/>
      <c r="F1784" s="32"/>
      <c r="G1784" s="74"/>
      <c r="H1784" s="32"/>
      <c r="I1784" s="32"/>
      <c r="J1784" s="32"/>
      <c r="K1784" s="74"/>
      <c r="L1784" s="75"/>
      <c r="M1784" s="32"/>
      <c r="N1784" s="32"/>
      <c r="O1784" s="73"/>
      <c r="P1784" s="73"/>
      <c r="Q1784" s="73"/>
      <c r="R1784" s="73"/>
      <c r="S1784" s="73"/>
      <c r="T1784" s="73"/>
      <c r="U1784" s="73"/>
      <c r="V1784" s="73"/>
      <c r="W1784" s="73"/>
      <c r="X1784" s="73"/>
      <c r="Y1784" s="73"/>
      <c r="Z1784" s="73"/>
    </row>
    <row r="1785" spans="1:26" ht="12.75" customHeight="1">
      <c r="A1785" s="73"/>
      <c r="B1785" s="32"/>
      <c r="C1785" s="32"/>
      <c r="D1785" s="33"/>
      <c r="E1785" s="32"/>
      <c r="F1785" s="32"/>
      <c r="G1785" s="74"/>
      <c r="H1785" s="32"/>
      <c r="I1785" s="32"/>
      <c r="J1785" s="32"/>
      <c r="K1785" s="74"/>
      <c r="L1785" s="75"/>
      <c r="M1785" s="32"/>
      <c r="N1785" s="32"/>
      <c r="O1785" s="73"/>
      <c r="P1785" s="73"/>
      <c r="Q1785" s="73"/>
      <c r="R1785" s="73"/>
      <c r="S1785" s="73"/>
      <c r="T1785" s="73"/>
      <c r="U1785" s="73"/>
      <c r="V1785" s="73"/>
      <c r="W1785" s="73"/>
      <c r="X1785" s="73"/>
      <c r="Y1785" s="73"/>
      <c r="Z1785" s="73"/>
    </row>
    <row r="1786" spans="1:26" ht="12.75" customHeight="1">
      <c r="A1786" s="73"/>
      <c r="B1786" s="32"/>
      <c r="C1786" s="32"/>
      <c r="D1786" s="33"/>
      <c r="E1786" s="32"/>
      <c r="F1786" s="32"/>
      <c r="G1786" s="74"/>
      <c r="H1786" s="32"/>
      <c r="I1786" s="32"/>
      <c r="J1786" s="32"/>
      <c r="K1786" s="74"/>
      <c r="L1786" s="75"/>
      <c r="M1786" s="32"/>
      <c r="N1786" s="32"/>
      <c r="O1786" s="73"/>
      <c r="P1786" s="73"/>
      <c r="Q1786" s="73"/>
      <c r="R1786" s="73"/>
      <c r="S1786" s="73"/>
      <c r="T1786" s="73"/>
      <c r="U1786" s="73"/>
      <c r="V1786" s="73"/>
      <c r="W1786" s="73"/>
      <c r="X1786" s="73"/>
      <c r="Y1786" s="73"/>
      <c r="Z1786" s="73"/>
    </row>
    <row r="1787" spans="1:26" ht="12.75" customHeight="1">
      <c r="A1787" s="73"/>
      <c r="B1787" s="32"/>
      <c r="C1787" s="32"/>
      <c r="D1787" s="33"/>
      <c r="E1787" s="32"/>
      <c r="F1787" s="32"/>
      <c r="G1787" s="74"/>
      <c r="H1787" s="32"/>
      <c r="I1787" s="32"/>
      <c r="J1787" s="32"/>
      <c r="K1787" s="74"/>
      <c r="L1787" s="75"/>
      <c r="M1787" s="32"/>
      <c r="N1787" s="32"/>
      <c r="O1787" s="73"/>
      <c r="P1787" s="73"/>
      <c r="Q1787" s="73"/>
      <c r="R1787" s="73"/>
      <c r="S1787" s="73"/>
      <c r="T1787" s="73"/>
      <c r="U1787" s="73"/>
      <c r="V1787" s="73"/>
      <c r="W1787" s="73"/>
      <c r="X1787" s="73"/>
      <c r="Y1787" s="73"/>
      <c r="Z1787" s="73"/>
    </row>
    <row r="1788" spans="1:26" ht="12.75" customHeight="1">
      <c r="A1788" s="73"/>
      <c r="B1788" s="32"/>
      <c r="C1788" s="32"/>
      <c r="D1788" s="33"/>
      <c r="E1788" s="32"/>
      <c r="F1788" s="32"/>
      <c r="G1788" s="74"/>
      <c r="H1788" s="32"/>
      <c r="I1788" s="32"/>
      <c r="J1788" s="32"/>
      <c r="K1788" s="74"/>
      <c r="L1788" s="75"/>
      <c r="M1788" s="32"/>
      <c r="N1788" s="32"/>
      <c r="O1788" s="73"/>
      <c r="P1788" s="73"/>
      <c r="Q1788" s="73"/>
      <c r="R1788" s="73"/>
      <c r="S1788" s="73"/>
      <c r="T1788" s="73"/>
      <c r="U1788" s="73"/>
      <c r="V1788" s="73"/>
      <c r="W1788" s="73"/>
      <c r="X1788" s="73"/>
      <c r="Y1788" s="73"/>
      <c r="Z1788" s="73"/>
    </row>
    <row r="1789" spans="1:26" ht="12.75" customHeight="1">
      <c r="A1789" s="73"/>
      <c r="B1789" s="32"/>
      <c r="C1789" s="32"/>
      <c r="D1789" s="33"/>
      <c r="E1789" s="32"/>
      <c r="F1789" s="32"/>
      <c r="G1789" s="74"/>
      <c r="H1789" s="32"/>
      <c r="I1789" s="32"/>
      <c r="J1789" s="32"/>
      <c r="K1789" s="74"/>
      <c r="L1789" s="75"/>
      <c r="M1789" s="32"/>
      <c r="N1789" s="32"/>
      <c r="O1789" s="73"/>
      <c r="P1789" s="73"/>
      <c r="Q1789" s="73"/>
      <c r="R1789" s="73"/>
      <c r="S1789" s="73"/>
      <c r="T1789" s="73"/>
      <c r="U1789" s="73"/>
      <c r="V1789" s="73"/>
      <c r="W1789" s="73"/>
      <c r="X1789" s="73"/>
      <c r="Y1789" s="73"/>
      <c r="Z1789" s="73"/>
    </row>
    <row r="1790" spans="1:26" ht="12.75" customHeight="1">
      <c r="A1790" s="73"/>
      <c r="B1790" s="32"/>
      <c r="C1790" s="32"/>
      <c r="D1790" s="33"/>
      <c r="E1790" s="32"/>
      <c r="F1790" s="32"/>
      <c r="G1790" s="74"/>
      <c r="H1790" s="32"/>
      <c r="I1790" s="32"/>
      <c r="J1790" s="32"/>
      <c r="K1790" s="74"/>
      <c r="L1790" s="75"/>
      <c r="M1790" s="32"/>
      <c r="N1790" s="32"/>
      <c r="O1790" s="73"/>
      <c r="P1790" s="73"/>
      <c r="Q1790" s="73"/>
      <c r="R1790" s="73"/>
      <c r="S1790" s="73"/>
      <c r="T1790" s="73"/>
      <c r="U1790" s="73"/>
      <c r="V1790" s="73"/>
      <c r="W1790" s="73"/>
      <c r="X1790" s="73"/>
      <c r="Y1790" s="73"/>
      <c r="Z1790" s="73"/>
    </row>
    <row r="1791" spans="1:26" ht="12.75" customHeight="1">
      <c r="A1791" s="73"/>
      <c r="B1791" s="32"/>
      <c r="C1791" s="32"/>
      <c r="D1791" s="33"/>
      <c r="E1791" s="32"/>
      <c r="F1791" s="32"/>
      <c r="G1791" s="74"/>
      <c r="H1791" s="32"/>
      <c r="I1791" s="32"/>
      <c r="J1791" s="32"/>
      <c r="K1791" s="74"/>
      <c r="L1791" s="75"/>
      <c r="M1791" s="32"/>
      <c r="N1791" s="32"/>
      <c r="O1791" s="73"/>
      <c r="P1791" s="73"/>
      <c r="Q1791" s="73"/>
      <c r="R1791" s="73"/>
      <c r="S1791" s="73"/>
      <c r="T1791" s="73"/>
      <c r="U1791" s="73"/>
      <c r="V1791" s="73"/>
      <c r="W1791" s="73"/>
      <c r="X1791" s="73"/>
      <c r="Y1791" s="73"/>
      <c r="Z1791" s="73"/>
    </row>
    <row r="1792" spans="1:26" ht="12.75" customHeight="1">
      <c r="A1792" s="73"/>
      <c r="B1792" s="32"/>
      <c r="C1792" s="32"/>
      <c r="D1792" s="33"/>
      <c r="E1792" s="32"/>
      <c r="F1792" s="32"/>
      <c r="G1792" s="74"/>
      <c r="H1792" s="32"/>
      <c r="I1792" s="32"/>
      <c r="J1792" s="32"/>
      <c r="K1792" s="74"/>
      <c r="L1792" s="75"/>
      <c r="M1792" s="32"/>
      <c r="N1792" s="32"/>
      <c r="O1792" s="73"/>
      <c r="P1792" s="73"/>
      <c r="Q1792" s="73"/>
      <c r="R1792" s="73"/>
      <c r="S1792" s="73"/>
      <c r="T1792" s="73"/>
      <c r="U1792" s="73"/>
      <c r="V1792" s="73"/>
      <c r="W1792" s="73"/>
      <c r="X1792" s="73"/>
      <c r="Y1792" s="73"/>
      <c r="Z1792" s="73"/>
    </row>
    <row r="1793" spans="1:26" ht="12.75" customHeight="1">
      <c r="A1793" s="73"/>
      <c r="B1793" s="32"/>
      <c r="C1793" s="32"/>
      <c r="D1793" s="33"/>
      <c r="E1793" s="32"/>
      <c r="F1793" s="32"/>
      <c r="G1793" s="74"/>
      <c r="H1793" s="32"/>
      <c r="I1793" s="32"/>
      <c r="J1793" s="32"/>
      <c r="K1793" s="74"/>
      <c r="L1793" s="75"/>
      <c r="M1793" s="32"/>
      <c r="N1793" s="32"/>
      <c r="O1793" s="73"/>
      <c r="P1793" s="73"/>
      <c r="Q1793" s="73"/>
      <c r="R1793" s="73"/>
      <c r="S1793" s="73"/>
      <c r="T1793" s="73"/>
      <c r="U1793" s="73"/>
      <c r="V1793" s="73"/>
      <c r="W1793" s="73"/>
      <c r="X1793" s="73"/>
      <c r="Y1793" s="73"/>
      <c r="Z1793" s="73"/>
    </row>
    <row r="1794" spans="1:26" ht="12.75" customHeight="1">
      <c r="A1794" s="73"/>
      <c r="B1794" s="32"/>
      <c r="C1794" s="32"/>
      <c r="D1794" s="33"/>
      <c r="E1794" s="32"/>
      <c r="F1794" s="32"/>
      <c r="G1794" s="74"/>
      <c r="H1794" s="32"/>
      <c r="I1794" s="32"/>
      <c r="J1794" s="32"/>
      <c r="K1794" s="74"/>
      <c r="L1794" s="75"/>
      <c r="M1794" s="32"/>
      <c r="N1794" s="32"/>
      <c r="O1794" s="73"/>
      <c r="P1794" s="73"/>
      <c r="Q1794" s="73"/>
      <c r="R1794" s="73"/>
      <c r="S1794" s="73"/>
      <c r="T1794" s="73"/>
      <c r="U1794" s="73"/>
      <c r="V1794" s="73"/>
      <c r="W1794" s="73"/>
      <c r="X1794" s="73"/>
      <c r="Y1794" s="73"/>
      <c r="Z1794" s="73"/>
    </row>
    <row r="1795" spans="1:26" ht="12.75" customHeight="1">
      <c r="A1795" s="73"/>
      <c r="B1795" s="32"/>
      <c r="C1795" s="32"/>
      <c r="D1795" s="33"/>
      <c r="E1795" s="32"/>
      <c r="F1795" s="32"/>
      <c r="G1795" s="74"/>
      <c r="H1795" s="32"/>
      <c r="I1795" s="32"/>
      <c r="J1795" s="32"/>
      <c r="K1795" s="74"/>
      <c r="L1795" s="75"/>
      <c r="M1795" s="32"/>
      <c r="N1795" s="32"/>
      <c r="O1795" s="73"/>
      <c r="P1795" s="73"/>
      <c r="Q1795" s="73"/>
      <c r="R1795" s="73"/>
      <c r="S1795" s="73"/>
      <c r="T1795" s="73"/>
      <c r="U1795" s="73"/>
      <c r="V1795" s="73"/>
      <c r="W1795" s="73"/>
      <c r="X1795" s="73"/>
      <c r="Y1795" s="73"/>
      <c r="Z1795" s="73"/>
    </row>
    <row r="1796" spans="1:26" ht="12.75" customHeight="1">
      <c r="A1796" s="73"/>
      <c r="B1796" s="32"/>
      <c r="C1796" s="32"/>
      <c r="D1796" s="33"/>
      <c r="E1796" s="32"/>
      <c r="F1796" s="32"/>
      <c r="G1796" s="74"/>
      <c r="H1796" s="32"/>
      <c r="I1796" s="32"/>
      <c r="J1796" s="32"/>
      <c r="K1796" s="74"/>
      <c r="L1796" s="75"/>
      <c r="M1796" s="32"/>
      <c r="N1796" s="32"/>
      <c r="O1796" s="73"/>
      <c r="P1796" s="73"/>
      <c r="Q1796" s="73"/>
      <c r="R1796" s="73"/>
      <c r="S1796" s="73"/>
      <c r="T1796" s="73"/>
      <c r="U1796" s="73"/>
      <c r="V1796" s="73"/>
      <c r="W1796" s="73"/>
      <c r="X1796" s="73"/>
      <c r="Y1796" s="73"/>
      <c r="Z1796" s="73"/>
    </row>
    <row r="1797" spans="1:26" ht="12.75" customHeight="1">
      <c r="A1797" s="73"/>
      <c r="B1797" s="32"/>
      <c r="C1797" s="32"/>
      <c r="D1797" s="33"/>
      <c r="E1797" s="32"/>
      <c r="F1797" s="32"/>
      <c r="G1797" s="74"/>
      <c r="H1797" s="32"/>
      <c r="I1797" s="32"/>
      <c r="J1797" s="32"/>
      <c r="K1797" s="74"/>
      <c r="L1797" s="75"/>
      <c r="M1797" s="32"/>
      <c r="N1797" s="32"/>
      <c r="O1797" s="73"/>
      <c r="P1797" s="73"/>
      <c r="Q1797" s="73"/>
      <c r="R1797" s="73"/>
      <c r="S1797" s="73"/>
      <c r="T1797" s="73"/>
      <c r="U1797" s="73"/>
      <c r="V1797" s="73"/>
      <c r="W1797" s="73"/>
      <c r="X1797" s="73"/>
      <c r="Y1797" s="73"/>
      <c r="Z1797" s="73"/>
    </row>
    <row r="1798" spans="1:26" ht="12.75" customHeight="1">
      <c r="A1798" s="73"/>
      <c r="B1798" s="32"/>
      <c r="C1798" s="32"/>
      <c r="D1798" s="33"/>
      <c r="E1798" s="32"/>
      <c r="F1798" s="32"/>
      <c r="G1798" s="74"/>
      <c r="H1798" s="32"/>
      <c r="I1798" s="32"/>
      <c r="J1798" s="32"/>
      <c r="K1798" s="74"/>
      <c r="L1798" s="75"/>
      <c r="M1798" s="32"/>
      <c r="N1798" s="32"/>
      <c r="O1798" s="73"/>
      <c r="P1798" s="73"/>
      <c r="Q1798" s="73"/>
      <c r="R1798" s="73"/>
      <c r="S1798" s="73"/>
      <c r="T1798" s="73"/>
      <c r="U1798" s="73"/>
      <c r="V1798" s="73"/>
      <c r="W1798" s="73"/>
      <c r="X1798" s="73"/>
      <c r="Y1798" s="73"/>
      <c r="Z1798" s="73"/>
    </row>
    <row r="1799" spans="1:26" ht="12.75" customHeight="1">
      <c r="A1799" s="73"/>
      <c r="B1799" s="32"/>
      <c r="C1799" s="32"/>
      <c r="D1799" s="33"/>
      <c r="E1799" s="32"/>
      <c r="F1799" s="32"/>
      <c r="G1799" s="74"/>
      <c r="H1799" s="32"/>
      <c r="I1799" s="32"/>
      <c r="J1799" s="32"/>
      <c r="K1799" s="74"/>
      <c r="L1799" s="75"/>
      <c r="M1799" s="32"/>
      <c r="N1799" s="32"/>
      <c r="O1799" s="73"/>
      <c r="P1799" s="73"/>
      <c r="Q1799" s="73"/>
      <c r="R1799" s="73"/>
      <c r="S1799" s="73"/>
      <c r="T1799" s="73"/>
      <c r="U1799" s="73"/>
      <c r="V1799" s="73"/>
      <c r="W1799" s="73"/>
      <c r="X1799" s="73"/>
      <c r="Y1799" s="73"/>
      <c r="Z1799" s="73"/>
    </row>
    <row r="1800" spans="1:26" ht="12.75" customHeight="1">
      <c r="A1800" s="73"/>
      <c r="B1800" s="32"/>
      <c r="C1800" s="32"/>
      <c r="D1800" s="33"/>
      <c r="E1800" s="32"/>
      <c r="F1800" s="32"/>
      <c r="G1800" s="74"/>
      <c r="H1800" s="32"/>
      <c r="I1800" s="32"/>
      <c r="J1800" s="32"/>
      <c r="K1800" s="74"/>
      <c r="L1800" s="75"/>
      <c r="M1800" s="32"/>
      <c r="N1800" s="32"/>
      <c r="O1800" s="73"/>
      <c r="P1800" s="73"/>
      <c r="Q1800" s="73"/>
      <c r="R1800" s="73"/>
      <c r="S1800" s="73"/>
      <c r="T1800" s="73"/>
      <c r="U1800" s="73"/>
      <c r="V1800" s="73"/>
      <c r="W1800" s="73"/>
      <c r="X1800" s="73"/>
      <c r="Y1800" s="73"/>
      <c r="Z1800" s="73"/>
    </row>
    <row r="1801" spans="1:26" ht="12.75" customHeight="1">
      <c r="A1801" s="73"/>
      <c r="B1801" s="32"/>
      <c r="C1801" s="32"/>
      <c r="D1801" s="33"/>
      <c r="E1801" s="32"/>
      <c r="F1801" s="32"/>
      <c r="G1801" s="74"/>
      <c r="H1801" s="32"/>
      <c r="I1801" s="32"/>
      <c r="J1801" s="32"/>
      <c r="K1801" s="74"/>
      <c r="L1801" s="75"/>
      <c r="M1801" s="32"/>
      <c r="N1801" s="32"/>
      <c r="O1801" s="73"/>
      <c r="P1801" s="73"/>
      <c r="Q1801" s="73"/>
      <c r="R1801" s="73"/>
      <c r="S1801" s="73"/>
      <c r="T1801" s="73"/>
      <c r="U1801" s="73"/>
      <c r="V1801" s="73"/>
      <c r="W1801" s="73"/>
      <c r="X1801" s="73"/>
      <c r="Y1801" s="73"/>
      <c r="Z1801" s="73"/>
    </row>
    <row r="1802" spans="1:26" ht="12.75" customHeight="1">
      <c r="A1802" s="73"/>
      <c r="B1802" s="32"/>
      <c r="C1802" s="32"/>
      <c r="D1802" s="33"/>
      <c r="E1802" s="32"/>
      <c r="F1802" s="32"/>
      <c r="G1802" s="74"/>
      <c r="H1802" s="32"/>
      <c r="I1802" s="32"/>
      <c r="J1802" s="32"/>
      <c r="K1802" s="74"/>
      <c r="L1802" s="75"/>
      <c r="M1802" s="32"/>
      <c r="N1802" s="32"/>
      <c r="O1802" s="73"/>
      <c r="P1802" s="73"/>
      <c r="Q1802" s="73"/>
      <c r="R1802" s="73"/>
      <c r="S1802" s="73"/>
      <c r="T1802" s="73"/>
      <c r="U1802" s="73"/>
      <c r="V1802" s="73"/>
      <c r="W1802" s="73"/>
      <c r="X1802" s="73"/>
      <c r="Y1802" s="73"/>
      <c r="Z1802" s="73"/>
    </row>
    <row r="1803" spans="1:26" ht="12.75" customHeight="1">
      <c r="A1803" s="73"/>
      <c r="B1803" s="32"/>
      <c r="C1803" s="32"/>
      <c r="D1803" s="33"/>
      <c r="E1803" s="32"/>
      <c r="F1803" s="32"/>
      <c r="G1803" s="74"/>
      <c r="H1803" s="32"/>
      <c r="I1803" s="32"/>
      <c r="J1803" s="32"/>
      <c r="K1803" s="74"/>
      <c r="L1803" s="75"/>
      <c r="M1803" s="32"/>
      <c r="N1803" s="32"/>
      <c r="O1803" s="73"/>
      <c r="P1803" s="73"/>
      <c r="Q1803" s="73"/>
      <c r="R1803" s="73"/>
      <c r="S1803" s="73"/>
      <c r="T1803" s="73"/>
      <c r="U1803" s="73"/>
      <c r="V1803" s="73"/>
      <c r="W1803" s="73"/>
      <c r="X1803" s="73"/>
      <c r="Y1803" s="73"/>
      <c r="Z1803" s="73"/>
    </row>
    <row r="1804" spans="1:26" ht="12.75" customHeight="1">
      <c r="A1804" s="73"/>
      <c r="B1804" s="32"/>
      <c r="C1804" s="32"/>
      <c r="D1804" s="33"/>
      <c r="E1804" s="32"/>
      <c r="F1804" s="32"/>
      <c r="G1804" s="74"/>
      <c r="H1804" s="32"/>
      <c r="I1804" s="32"/>
      <c r="J1804" s="32"/>
      <c r="K1804" s="74"/>
      <c r="L1804" s="75"/>
      <c r="M1804" s="32"/>
      <c r="N1804" s="32"/>
      <c r="O1804" s="73"/>
      <c r="P1804" s="73"/>
      <c r="Q1804" s="73"/>
      <c r="R1804" s="73"/>
      <c r="S1804" s="73"/>
      <c r="T1804" s="73"/>
      <c r="U1804" s="73"/>
      <c r="V1804" s="73"/>
      <c r="W1804" s="73"/>
      <c r="X1804" s="73"/>
      <c r="Y1804" s="73"/>
      <c r="Z1804" s="73"/>
    </row>
    <row r="1805" spans="1:26" ht="12.75" customHeight="1">
      <c r="A1805" s="73"/>
      <c r="B1805" s="32"/>
      <c r="C1805" s="32"/>
      <c r="D1805" s="33"/>
      <c r="E1805" s="32"/>
      <c r="F1805" s="32"/>
      <c r="G1805" s="74"/>
      <c r="H1805" s="32"/>
      <c r="I1805" s="32"/>
      <c r="J1805" s="32"/>
      <c r="K1805" s="74"/>
      <c r="L1805" s="75"/>
      <c r="M1805" s="32"/>
      <c r="N1805" s="32"/>
      <c r="O1805" s="73"/>
      <c r="P1805" s="73"/>
      <c r="Q1805" s="73"/>
      <c r="R1805" s="73"/>
      <c r="S1805" s="73"/>
      <c r="T1805" s="73"/>
      <c r="U1805" s="73"/>
      <c r="V1805" s="73"/>
      <c r="W1805" s="73"/>
      <c r="X1805" s="73"/>
      <c r="Y1805" s="73"/>
      <c r="Z1805" s="73"/>
    </row>
    <row r="1806" spans="1:26" ht="12.75" customHeight="1">
      <c r="A1806" s="73"/>
      <c r="B1806" s="32"/>
      <c r="C1806" s="32"/>
      <c r="D1806" s="33"/>
      <c r="E1806" s="32"/>
      <c r="F1806" s="32"/>
      <c r="G1806" s="74"/>
      <c r="H1806" s="32"/>
      <c r="I1806" s="32"/>
      <c r="J1806" s="32"/>
      <c r="K1806" s="74"/>
      <c r="L1806" s="75"/>
      <c r="M1806" s="32"/>
      <c r="N1806" s="32"/>
      <c r="O1806" s="73"/>
      <c r="P1806" s="73"/>
      <c r="Q1806" s="73"/>
      <c r="R1806" s="73"/>
      <c r="S1806" s="73"/>
      <c r="T1806" s="73"/>
      <c r="U1806" s="73"/>
      <c r="V1806" s="73"/>
      <c r="W1806" s="73"/>
      <c r="X1806" s="73"/>
      <c r="Y1806" s="73"/>
      <c r="Z1806" s="73"/>
    </row>
    <row r="1807" spans="1:26" ht="12.75" customHeight="1">
      <c r="A1807" s="73"/>
      <c r="B1807" s="32"/>
      <c r="C1807" s="32"/>
      <c r="D1807" s="33"/>
      <c r="E1807" s="32"/>
      <c r="F1807" s="32"/>
      <c r="G1807" s="74"/>
      <c r="H1807" s="32"/>
      <c r="I1807" s="32"/>
      <c r="J1807" s="32"/>
      <c r="K1807" s="74"/>
      <c r="L1807" s="75"/>
      <c r="M1807" s="32"/>
      <c r="N1807" s="32"/>
      <c r="O1807" s="73"/>
      <c r="P1807" s="73"/>
      <c r="Q1807" s="73"/>
      <c r="R1807" s="73"/>
      <c r="S1807" s="73"/>
      <c r="T1807" s="73"/>
      <c r="U1807" s="73"/>
      <c r="V1807" s="73"/>
      <c r="W1807" s="73"/>
      <c r="X1807" s="73"/>
      <c r="Y1807" s="73"/>
      <c r="Z1807" s="73"/>
    </row>
    <row r="1808" spans="1:26" ht="12.75" customHeight="1">
      <c r="A1808" s="73"/>
      <c r="B1808" s="32"/>
      <c r="C1808" s="32"/>
      <c r="D1808" s="33"/>
      <c r="E1808" s="32"/>
      <c r="F1808" s="32"/>
      <c r="G1808" s="74"/>
      <c r="H1808" s="32"/>
      <c r="I1808" s="32"/>
      <c r="J1808" s="32"/>
      <c r="K1808" s="74"/>
      <c r="L1808" s="75"/>
      <c r="M1808" s="32"/>
      <c r="N1808" s="32"/>
      <c r="O1808" s="73"/>
      <c r="P1808" s="73"/>
      <c r="Q1808" s="73"/>
      <c r="R1808" s="73"/>
      <c r="S1808" s="73"/>
      <c r="T1808" s="73"/>
      <c r="U1808" s="73"/>
      <c r="V1808" s="73"/>
      <c r="W1808" s="73"/>
      <c r="X1808" s="73"/>
      <c r="Y1808" s="73"/>
      <c r="Z1808" s="73"/>
    </row>
    <row r="1809" spans="1:26" ht="12.75" customHeight="1">
      <c r="A1809" s="73"/>
      <c r="B1809" s="32"/>
      <c r="C1809" s="32"/>
      <c r="D1809" s="33"/>
      <c r="E1809" s="32"/>
      <c r="F1809" s="32"/>
      <c r="G1809" s="74"/>
      <c r="H1809" s="32"/>
      <c r="I1809" s="32"/>
      <c r="J1809" s="32"/>
      <c r="K1809" s="74"/>
      <c r="L1809" s="75"/>
      <c r="M1809" s="32"/>
      <c r="N1809" s="32"/>
      <c r="O1809" s="73"/>
      <c r="P1809" s="73"/>
      <c r="Q1809" s="73"/>
      <c r="R1809" s="73"/>
      <c r="S1809" s="73"/>
      <c r="T1809" s="73"/>
      <c r="U1809" s="73"/>
      <c r="V1809" s="73"/>
      <c r="W1809" s="73"/>
      <c r="X1809" s="73"/>
      <c r="Y1809" s="73"/>
      <c r="Z1809" s="73"/>
    </row>
    <row r="1810" spans="1:26" ht="12.75" customHeight="1">
      <c r="A1810" s="73"/>
      <c r="B1810" s="32"/>
      <c r="C1810" s="32"/>
      <c r="D1810" s="33"/>
      <c r="E1810" s="32"/>
      <c r="F1810" s="32"/>
      <c r="G1810" s="74"/>
      <c r="H1810" s="32"/>
      <c r="I1810" s="32"/>
      <c r="J1810" s="32"/>
      <c r="K1810" s="74"/>
      <c r="L1810" s="75"/>
      <c r="M1810" s="32"/>
      <c r="N1810" s="32"/>
      <c r="O1810" s="73"/>
      <c r="P1810" s="73"/>
      <c r="Q1810" s="73"/>
      <c r="R1810" s="73"/>
      <c r="S1810" s="73"/>
      <c r="T1810" s="73"/>
      <c r="U1810" s="73"/>
      <c r="V1810" s="73"/>
      <c r="W1810" s="73"/>
      <c r="X1810" s="73"/>
      <c r="Y1810" s="73"/>
      <c r="Z1810" s="73"/>
    </row>
    <row r="1811" spans="1:26" ht="12.75" customHeight="1">
      <c r="A1811" s="73"/>
      <c r="B1811" s="32"/>
      <c r="C1811" s="32"/>
      <c r="D1811" s="33"/>
      <c r="E1811" s="32"/>
      <c r="F1811" s="32"/>
      <c r="G1811" s="74"/>
      <c r="H1811" s="32"/>
      <c r="I1811" s="32"/>
      <c r="J1811" s="32"/>
      <c r="K1811" s="74"/>
      <c r="L1811" s="75"/>
      <c r="M1811" s="32"/>
      <c r="N1811" s="32"/>
      <c r="O1811" s="73"/>
      <c r="P1811" s="73"/>
      <c r="Q1811" s="73"/>
      <c r="R1811" s="73"/>
      <c r="S1811" s="73"/>
      <c r="T1811" s="73"/>
      <c r="U1811" s="73"/>
      <c r="V1811" s="73"/>
      <c r="W1811" s="73"/>
      <c r="X1811" s="73"/>
      <c r="Y1811" s="73"/>
      <c r="Z1811" s="73"/>
    </row>
    <row r="1812" spans="1:26" ht="12.75" customHeight="1">
      <c r="A1812" s="73"/>
      <c r="B1812" s="32"/>
      <c r="C1812" s="32"/>
      <c r="D1812" s="33"/>
      <c r="E1812" s="32"/>
      <c r="F1812" s="32"/>
      <c r="G1812" s="74"/>
      <c r="H1812" s="32"/>
      <c r="I1812" s="32"/>
      <c r="J1812" s="32"/>
      <c r="K1812" s="74"/>
      <c r="L1812" s="75"/>
      <c r="M1812" s="32"/>
      <c r="N1812" s="32"/>
      <c r="O1812" s="73"/>
      <c r="P1812" s="73"/>
      <c r="Q1812" s="73"/>
      <c r="R1812" s="73"/>
      <c r="S1812" s="73"/>
      <c r="T1812" s="73"/>
      <c r="U1812" s="73"/>
      <c r="V1812" s="73"/>
      <c r="W1812" s="73"/>
      <c r="X1812" s="73"/>
      <c r="Y1812" s="73"/>
      <c r="Z1812" s="73"/>
    </row>
    <row r="1813" spans="1:26" ht="12.75" customHeight="1">
      <c r="A1813" s="73"/>
      <c r="B1813" s="32"/>
      <c r="C1813" s="32"/>
      <c r="D1813" s="33"/>
      <c r="E1813" s="32"/>
      <c r="F1813" s="32"/>
      <c r="G1813" s="74"/>
      <c r="H1813" s="32"/>
      <c r="I1813" s="32"/>
      <c r="J1813" s="32"/>
      <c r="K1813" s="74"/>
      <c r="L1813" s="75"/>
      <c r="M1813" s="32"/>
      <c r="N1813" s="32"/>
      <c r="O1813" s="73"/>
      <c r="P1813" s="73"/>
      <c r="Q1813" s="73"/>
      <c r="R1813" s="73"/>
      <c r="S1813" s="73"/>
      <c r="T1813" s="73"/>
      <c r="U1813" s="73"/>
      <c r="V1813" s="73"/>
      <c r="W1813" s="73"/>
      <c r="X1813" s="73"/>
      <c r="Y1813" s="73"/>
      <c r="Z1813" s="73"/>
    </row>
    <row r="1814" spans="1:26" ht="12.75" customHeight="1">
      <c r="A1814" s="73"/>
      <c r="B1814" s="32"/>
      <c r="C1814" s="32"/>
      <c r="D1814" s="33"/>
      <c r="E1814" s="32"/>
      <c r="F1814" s="32"/>
      <c r="G1814" s="74"/>
      <c r="H1814" s="32"/>
      <c r="I1814" s="32"/>
      <c r="J1814" s="32"/>
      <c r="K1814" s="74"/>
      <c r="L1814" s="75"/>
      <c r="M1814" s="32"/>
      <c r="N1814" s="32"/>
      <c r="O1814" s="73"/>
      <c r="P1814" s="73"/>
      <c r="Q1814" s="73"/>
      <c r="R1814" s="73"/>
      <c r="S1814" s="73"/>
      <c r="T1814" s="73"/>
      <c r="U1814" s="73"/>
      <c r="V1814" s="73"/>
      <c r="W1814" s="73"/>
      <c r="X1814" s="73"/>
      <c r="Y1814" s="73"/>
      <c r="Z1814" s="73"/>
    </row>
    <row r="1815" spans="1:26" ht="12.75" customHeight="1">
      <c r="A1815" s="73"/>
      <c r="B1815" s="32"/>
      <c r="C1815" s="32"/>
      <c r="D1815" s="33"/>
      <c r="E1815" s="32"/>
      <c r="F1815" s="32"/>
      <c r="G1815" s="74"/>
      <c r="H1815" s="32"/>
      <c r="I1815" s="32"/>
      <c r="J1815" s="32"/>
      <c r="K1815" s="74"/>
      <c r="L1815" s="75"/>
      <c r="M1815" s="32"/>
      <c r="N1815" s="32"/>
      <c r="O1815" s="73"/>
      <c r="P1815" s="73"/>
      <c r="Q1815" s="73"/>
      <c r="R1815" s="73"/>
      <c r="S1815" s="73"/>
      <c r="T1815" s="73"/>
      <c r="U1815" s="73"/>
      <c r="V1815" s="73"/>
      <c r="W1815" s="73"/>
      <c r="X1815" s="73"/>
      <c r="Y1815" s="73"/>
      <c r="Z1815" s="73"/>
    </row>
    <row r="1816" spans="1:26" ht="12.75" customHeight="1">
      <c r="A1816" s="73"/>
      <c r="B1816" s="32"/>
      <c r="C1816" s="32"/>
      <c r="D1816" s="33"/>
      <c r="E1816" s="32"/>
      <c r="F1816" s="32"/>
      <c r="G1816" s="74"/>
      <c r="H1816" s="32"/>
      <c r="I1816" s="32"/>
      <c r="J1816" s="32"/>
      <c r="K1816" s="74"/>
      <c r="L1816" s="75"/>
      <c r="M1816" s="32"/>
      <c r="N1816" s="32"/>
      <c r="O1816" s="73"/>
      <c r="P1816" s="73"/>
      <c r="Q1816" s="73"/>
      <c r="R1816" s="73"/>
      <c r="S1816" s="73"/>
      <c r="T1816" s="73"/>
      <c r="U1816" s="73"/>
      <c r="V1816" s="73"/>
      <c r="W1816" s="73"/>
      <c r="X1816" s="73"/>
      <c r="Y1816" s="73"/>
      <c r="Z1816" s="73"/>
    </row>
    <row r="1817" spans="1:26" ht="12.75" customHeight="1">
      <c r="A1817" s="73"/>
      <c r="B1817" s="32"/>
      <c r="C1817" s="32"/>
      <c r="D1817" s="33"/>
      <c r="E1817" s="32"/>
      <c r="F1817" s="32"/>
      <c r="G1817" s="74"/>
      <c r="H1817" s="32"/>
      <c r="I1817" s="32"/>
      <c r="J1817" s="32"/>
      <c r="K1817" s="74"/>
      <c r="L1817" s="75"/>
      <c r="M1817" s="32"/>
      <c r="N1817" s="32"/>
      <c r="O1817" s="73"/>
      <c r="P1817" s="73"/>
      <c r="Q1817" s="73"/>
      <c r="R1817" s="73"/>
      <c r="S1817" s="73"/>
      <c r="T1817" s="73"/>
      <c r="U1817" s="73"/>
      <c r="V1817" s="73"/>
      <c r="W1817" s="73"/>
      <c r="X1817" s="73"/>
      <c r="Y1817" s="73"/>
      <c r="Z1817" s="73"/>
    </row>
    <row r="1818" spans="1:26" ht="12.75" customHeight="1">
      <c r="A1818" s="73"/>
      <c r="B1818" s="32"/>
      <c r="C1818" s="32"/>
      <c r="D1818" s="33"/>
      <c r="E1818" s="32"/>
      <c r="F1818" s="32"/>
      <c r="G1818" s="74"/>
      <c r="H1818" s="32"/>
      <c r="I1818" s="32"/>
      <c r="J1818" s="32"/>
      <c r="K1818" s="74"/>
      <c r="L1818" s="75"/>
      <c r="M1818" s="32"/>
      <c r="N1818" s="32"/>
      <c r="O1818" s="73"/>
      <c r="P1818" s="73"/>
      <c r="Q1818" s="73"/>
      <c r="R1818" s="73"/>
      <c r="S1818" s="73"/>
      <c r="T1818" s="73"/>
      <c r="U1818" s="73"/>
      <c r="V1818" s="73"/>
      <c r="W1818" s="73"/>
      <c r="X1818" s="73"/>
      <c r="Y1818" s="73"/>
      <c r="Z1818" s="73"/>
    </row>
    <row r="1819" spans="1:26" ht="12.75" customHeight="1">
      <c r="A1819" s="73"/>
      <c r="B1819" s="32"/>
      <c r="C1819" s="32"/>
      <c r="D1819" s="33"/>
      <c r="E1819" s="32"/>
      <c r="F1819" s="32"/>
      <c r="G1819" s="74"/>
      <c r="H1819" s="32"/>
      <c r="I1819" s="32"/>
      <c r="J1819" s="32"/>
      <c r="K1819" s="74"/>
      <c r="L1819" s="75"/>
      <c r="M1819" s="32"/>
      <c r="N1819" s="32"/>
      <c r="O1819" s="73"/>
      <c r="P1819" s="73"/>
      <c r="Q1819" s="73"/>
      <c r="R1819" s="73"/>
      <c r="S1819" s="73"/>
      <c r="T1819" s="73"/>
      <c r="U1819" s="73"/>
      <c r="V1819" s="73"/>
      <c r="W1819" s="73"/>
      <c r="X1819" s="73"/>
      <c r="Y1819" s="73"/>
      <c r="Z1819" s="73"/>
    </row>
    <row r="1820" spans="1:26" ht="12.75" customHeight="1">
      <c r="A1820" s="73"/>
      <c r="B1820" s="32"/>
      <c r="C1820" s="32"/>
      <c r="D1820" s="33"/>
      <c r="E1820" s="32"/>
      <c r="F1820" s="32"/>
      <c r="G1820" s="74"/>
      <c r="H1820" s="32"/>
      <c r="I1820" s="32"/>
      <c r="J1820" s="32"/>
      <c r="K1820" s="74"/>
      <c r="L1820" s="75"/>
      <c r="M1820" s="32"/>
      <c r="N1820" s="32"/>
      <c r="O1820" s="73"/>
      <c r="P1820" s="73"/>
      <c r="Q1820" s="73"/>
      <c r="R1820" s="73"/>
      <c r="S1820" s="73"/>
      <c r="T1820" s="73"/>
      <c r="U1820" s="73"/>
      <c r="V1820" s="73"/>
      <c r="W1820" s="73"/>
      <c r="X1820" s="73"/>
      <c r="Y1820" s="73"/>
      <c r="Z1820" s="73"/>
    </row>
    <row r="1821" spans="1:26" ht="12.75" customHeight="1">
      <c r="A1821" s="73"/>
      <c r="B1821" s="32"/>
      <c r="C1821" s="32"/>
      <c r="D1821" s="33"/>
      <c r="E1821" s="32"/>
      <c r="F1821" s="32"/>
      <c r="G1821" s="74"/>
      <c r="H1821" s="32"/>
      <c r="I1821" s="32"/>
      <c r="J1821" s="32"/>
      <c r="K1821" s="74"/>
      <c r="L1821" s="75"/>
      <c r="M1821" s="32"/>
      <c r="N1821" s="32"/>
      <c r="O1821" s="73"/>
      <c r="P1821" s="73"/>
      <c r="Q1821" s="73"/>
      <c r="R1821" s="73"/>
      <c r="S1821" s="73"/>
      <c r="T1821" s="73"/>
      <c r="U1821" s="73"/>
      <c r="V1821" s="73"/>
      <c r="W1821" s="73"/>
      <c r="X1821" s="73"/>
      <c r="Y1821" s="73"/>
      <c r="Z1821" s="73"/>
    </row>
    <row r="1822" spans="1:26" ht="12.75" customHeight="1">
      <c r="A1822" s="73"/>
      <c r="B1822" s="32"/>
      <c r="C1822" s="32"/>
      <c r="D1822" s="33"/>
      <c r="E1822" s="32"/>
      <c r="F1822" s="32"/>
      <c r="G1822" s="74"/>
      <c r="H1822" s="32"/>
      <c r="I1822" s="32"/>
      <c r="J1822" s="32"/>
      <c r="K1822" s="74"/>
      <c r="L1822" s="75"/>
      <c r="M1822" s="32"/>
      <c r="N1822" s="32"/>
      <c r="O1822" s="73"/>
      <c r="P1822" s="73"/>
      <c r="Q1822" s="73"/>
      <c r="R1822" s="73"/>
      <c r="S1822" s="73"/>
      <c r="T1822" s="73"/>
      <c r="U1822" s="73"/>
      <c r="V1822" s="73"/>
      <c r="W1822" s="73"/>
      <c r="X1822" s="73"/>
      <c r="Y1822" s="73"/>
      <c r="Z1822" s="73"/>
    </row>
    <row r="1823" spans="1:26" ht="12.75" customHeight="1">
      <c r="A1823" s="73"/>
      <c r="B1823" s="32"/>
      <c r="C1823" s="32"/>
      <c r="D1823" s="33"/>
      <c r="E1823" s="32"/>
      <c r="F1823" s="32"/>
      <c r="G1823" s="74"/>
      <c r="H1823" s="32"/>
      <c r="I1823" s="32"/>
      <c r="J1823" s="32"/>
      <c r="K1823" s="74"/>
      <c r="L1823" s="75"/>
      <c r="M1823" s="32"/>
      <c r="N1823" s="32"/>
      <c r="O1823" s="73"/>
      <c r="P1823" s="73"/>
      <c r="Q1823" s="73"/>
      <c r="R1823" s="73"/>
      <c r="S1823" s="73"/>
      <c r="T1823" s="73"/>
      <c r="U1823" s="73"/>
      <c r="V1823" s="73"/>
      <c r="W1823" s="73"/>
      <c r="X1823" s="73"/>
      <c r="Y1823" s="73"/>
      <c r="Z1823" s="73"/>
    </row>
    <row r="1824" spans="1:26" ht="12.75" customHeight="1">
      <c r="A1824" s="73"/>
      <c r="B1824" s="32"/>
      <c r="C1824" s="32"/>
      <c r="D1824" s="33"/>
      <c r="E1824" s="32"/>
      <c r="F1824" s="32"/>
      <c r="G1824" s="74"/>
      <c r="H1824" s="32"/>
      <c r="I1824" s="32"/>
      <c r="J1824" s="32"/>
      <c r="K1824" s="74"/>
      <c r="L1824" s="75"/>
      <c r="M1824" s="32"/>
      <c r="N1824" s="32"/>
      <c r="O1824" s="73"/>
      <c r="P1824" s="73"/>
      <c r="Q1824" s="73"/>
      <c r="R1824" s="73"/>
      <c r="S1824" s="73"/>
      <c r="T1824" s="73"/>
      <c r="U1824" s="73"/>
      <c r="V1824" s="73"/>
      <c r="W1824" s="73"/>
      <c r="X1824" s="73"/>
      <c r="Y1824" s="73"/>
      <c r="Z1824" s="73"/>
    </row>
    <row r="1825" spans="1:26" ht="12.75" customHeight="1">
      <c r="A1825" s="73"/>
      <c r="B1825" s="32"/>
      <c r="C1825" s="32"/>
      <c r="D1825" s="33"/>
      <c r="E1825" s="32"/>
      <c r="F1825" s="32"/>
      <c r="G1825" s="74"/>
      <c r="H1825" s="32"/>
      <c r="I1825" s="32"/>
      <c r="J1825" s="32"/>
      <c r="K1825" s="74"/>
      <c r="L1825" s="75"/>
      <c r="M1825" s="32"/>
      <c r="N1825" s="32"/>
      <c r="O1825" s="73"/>
      <c r="P1825" s="73"/>
      <c r="Q1825" s="73"/>
      <c r="R1825" s="73"/>
      <c r="S1825" s="73"/>
      <c r="T1825" s="73"/>
      <c r="U1825" s="73"/>
      <c r="V1825" s="73"/>
      <c r="W1825" s="73"/>
      <c r="X1825" s="73"/>
      <c r="Y1825" s="73"/>
      <c r="Z1825" s="73"/>
    </row>
    <row r="1826" spans="1:26" ht="12.75" customHeight="1">
      <c r="A1826" s="73"/>
      <c r="B1826" s="32"/>
      <c r="C1826" s="32"/>
      <c r="D1826" s="33"/>
      <c r="E1826" s="32"/>
      <c r="F1826" s="32"/>
      <c r="G1826" s="74"/>
      <c r="H1826" s="32"/>
      <c r="I1826" s="32"/>
      <c r="J1826" s="32"/>
      <c r="K1826" s="74"/>
      <c r="L1826" s="75"/>
      <c r="M1826" s="32"/>
      <c r="N1826" s="32"/>
      <c r="O1826" s="73"/>
      <c r="P1826" s="73"/>
      <c r="Q1826" s="73"/>
      <c r="R1826" s="73"/>
      <c r="S1826" s="73"/>
      <c r="T1826" s="73"/>
      <c r="U1826" s="73"/>
      <c r="V1826" s="73"/>
      <c r="W1826" s="73"/>
      <c r="X1826" s="73"/>
      <c r="Y1826" s="73"/>
      <c r="Z1826" s="73"/>
    </row>
    <row r="1827" spans="1:26" ht="12.75" customHeight="1">
      <c r="A1827" s="73"/>
      <c r="B1827" s="32"/>
      <c r="C1827" s="32"/>
      <c r="D1827" s="33"/>
      <c r="E1827" s="32"/>
      <c r="F1827" s="32"/>
      <c r="G1827" s="74"/>
      <c r="H1827" s="32"/>
      <c r="I1827" s="32"/>
      <c r="J1827" s="32"/>
      <c r="K1827" s="74"/>
      <c r="L1827" s="75"/>
      <c r="M1827" s="32"/>
      <c r="N1827" s="32"/>
      <c r="O1827" s="73"/>
      <c r="P1827" s="73"/>
      <c r="Q1827" s="73"/>
      <c r="R1827" s="73"/>
      <c r="S1827" s="73"/>
      <c r="T1827" s="73"/>
      <c r="U1827" s="73"/>
      <c r="V1827" s="73"/>
      <c r="W1827" s="73"/>
      <c r="X1827" s="73"/>
      <c r="Y1827" s="73"/>
      <c r="Z1827" s="73"/>
    </row>
    <row r="1828" spans="1:26" ht="12.75" customHeight="1">
      <c r="A1828" s="73"/>
      <c r="B1828" s="32"/>
      <c r="C1828" s="32"/>
      <c r="D1828" s="33"/>
      <c r="E1828" s="32"/>
      <c r="F1828" s="32"/>
      <c r="G1828" s="74"/>
      <c r="H1828" s="32"/>
      <c r="I1828" s="32"/>
      <c r="J1828" s="32"/>
      <c r="K1828" s="74"/>
      <c r="L1828" s="75"/>
      <c r="M1828" s="32"/>
      <c r="N1828" s="32"/>
      <c r="O1828" s="73"/>
      <c r="P1828" s="73"/>
      <c r="Q1828" s="73"/>
      <c r="R1828" s="73"/>
      <c r="S1828" s="73"/>
      <c r="T1828" s="73"/>
      <c r="U1828" s="73"/>
      <c r="V1828" s="73"/>
      <c r="W1828" s="73"/>
      <c r="X1828" s="73"/>
      <c r="Y1828" s="73"/>
      <c r="Z1828" s="73"/>
    </row>
    <row r="1829" spans="1:26" ht="12.75" customHeight="1">
      <c r="A1829" s="73"/>
      <c r="B1829" s="32"/>
      <c r="C1829" s="32"/>
      <c r="D1829" s="33"/>
      <c r="E1829" s="32"/>
      <c r="F1829" s="32"/>
      <c r="G1829" s="74"/>
      <c r="H1829" s="32"/>
      <c r="I1829" s="32"/>
      <c r="J1829" s="32"/>
      <c r="K1829" s="74"/>
      <c r="L1829" s="75"/>
      <c r="M1829" s="32"/>
      <c r="N1829" s="32"/>
      <c r="O1829" s="73"/>
      <c r="P1829" s="73"/>
      <c r="Q1829" s="73"/>
      <c r="R1829" s="73"/>
      <c r="S1829" s="73"/>
      <c r="T1829" s="73"/>
      <c r="U1829" s="73"/>
      <c r="V1829" s="73"/>
      <c r="W1829" s="73"/>
      <c r="X1829" s="73"/>
      <c r="Y1829" s="73"/>
      <c r="Z1829" s="73"/>
    </row>
    <row r="1830" spans="1:26" ht="12.75" customHeight="1">
      <c r="A1830" s="73"/>
      <c r="B1830" s="32"/>
      <c r="C1830" s="32"/>
      <c r="D1830" s="33"/>
      <c r="E1830" s="32"/>
      <c r="F1830" s="32"/>
      <c r="G1830" s="74"/>
      <c r="H1830" s="32"/>
      <c r="I1830" s="32"/>
      <c r="J1830" s="32"/>
      <c r="K1830" s="74"/>
      <c r="L1830" s="75"/>
      <c r="M1830" s="32"/>
      <c r="N1830" s="32"/>
      <c r="O1830" s="73"/>
      <c r="P1830" s="73"/>
      <c r="Q1830" s="73"/>
      <c r="R1830" s="73"/>
      <c r="S1830" s="73"/>
      <c r="T1830" s="73"/>
      <c r="U1830" s="73"/>
      <c r="V1830" s="73"/>
      <c r="W1830" s="73"/>
      <c r="X1830" s="73"/>
      <c r="Y1830" s="73"/>
      <c r="Z1830" s="73"/>
    </row>
    <row r="1831" spans="1:26" ht="12.75" customHeight="1">
      <c r="A1831" s="73"/>
      <c r="B1831" s="32"/>
      <c r="C1831" s="32"/>
      <c r="D1831" s="33"/>
      <c r="E1831" s="32"/>
      <c r="F1831" s="32"/>
      <c r="G1831" s="74"/>
      <c r="H1831" s="32"/>
      <c r="I1831" s="32"/>
      <c r="J1831" s="32"/>
      <c r="K1831" s="74"/>
      <c r="L1831" s="75"/>
      <c r="M1831" s="32"/>
      <c r="N1831" s="32"/>
      <c r="O1831" s="73"/>
      <c r="P1831" s="73"/>
      <c r="Q1831" s="73"/>
      <c r="R1831" s="73"/>
      <c r="S1831" s="73"/>
      <c r="T1831" s="73"/>
      <c r="U1831" s="73"/>
      <c r="V1831" s="73"/>
      <c r="W1831" s="73"/>
      <c r="X1831" s="73"/>
      <c r="Y1831" s="73"/>
      <c r="Z1831" s="73"/>
    </row>
    <row r="1832" spans="1:26" ht="12.75" customHeight="1">
      <c r="A1832" s="73"/>
      <c r="B1832" s="32"/>
      <c r="C1832" s="32"/>
      <c r="D1832" s="33"/>
      <c r="E1832" s="32"/>
      <c r="F1832" s="32"/>
      <c r="G1832" s="74"/>
      <c r="H1832" s="32"/>
      <c r="I1832" s="32"/>
      <c r="J1832" s="32"/>
      <c r="K1832" s="74"/>
      <c r="L1832" s="75"/>
      <c r="M1832" s="32"/>
      <c r="N1832" s="32"/>
      <c r="O1832" s="73"/>
      <c r="P1832" s="73"/>
      <c r="Q1832" s="73"/>
      <c r="R1832" s="73"/>
      <c r="S1832" s="73"/>
      <c r="T1832" s="73"/>
      <c r="U1832" s="73"/>
      <c r="V1832" s="73"/>
      <c r="W1832" s="73"/>
      <c r="X1832" s="73"/>
      <c r="Y1832" s="73"/>
      <c r="Z1832" s="73"/>
    </row>
    <row r="1833" spans="1:26" ht="12.75" customHeight="1">
      <c r="A1833" s="73"/>
      <c r="B1833" s="32"/>
      <c r="C1833" s="32"/>
      <c r="D1833" s="33"/>
      <c r="E1833" s="32"/>
      <c r="F1833" s="32"/>
      <c r="G1833" s="74"/>
      <c r="H1833" s="32"/>
      <c r="I1833" s="32"/>
      <c r="J1833" s="32"/>
      <c r="K1833" s="74"/>
      <c r="L1833" s="75"/>
      <c r="M1833" s="32"/>
      <c r="N1833" s="32"/>
      <c r="O1833" s="73"/>
      <c r="P1833" s="73"/>
      <c r="Q1833" s="73"/>
      <c r="R1833" s="73"/>
      <c r="S1833" s="73"/>
      <c r="T1833" s="73"/>
      <c r="U1833" s="73"/>
      <c r="V1833" s="73"/>
      <c r="W1833" s="73"/>
      <c r="X1833" s="73"/>
      <c r="Y1833" s="73"/>
      <c r="Z1833" s="73"/>
    </row>
    <row r="1834" spans="1:26" ht="12.75" customHeight="1">
      <c r="A1834" s="73"/>
      <c r="B1834" s="32"/>
      <c r="C1834" s="32"/>
      <c r="D1834" s="33"/>
      <c r="E1834" s="32"/>
      <c r="F1834" s="32"/>
      <c r="G1834" s="74"/>
      <c r="H1834" s="32"/>
      <c r="I1834" s="32"/>
      <c r="J1834" s="32"/>
      <c r="K1834" s="74"/>
      <c r="L1834" s="75"/>
      <c r="M1834" s="32"/>
      <c r="N1834" s="32"/>
      <c r="O1834" s="73"/>
      <c r="P1834" s="73"/>
      <c r="Q1834" s="73"/>
      <c r="R1834" s="73"/>
      <c r="S1834" s="73"/>
      <c r="T1834" s="73"/>
      <c r="U1834" s="73"/>
      <c r="V1834" s="73"/>
      <c r="W1834" s="73"/>
      <c r="X1834" s="73"/>
      <c r="Y1834" s="73"/>
      <c r="Z1834" s="73"/>
    </row>
    <row r="1835" spans="1:26" ht="12.75" customHeight="1">
      <c r="A1835" s="73"/>
      <c r="B1835" s="32"/>
      <c r="C1835" s="32"/>
      <c r="D1835" s="33"/>
      <c r="E1835" s="32"/>
      <c r="F1835" s="32"/>
      <c r="G1835" s="74"/>
      <c r="H1835" s="32"/>
      <c r="I1835" s="32"/>
      <c r="J1835" s="32"/>
      <c r="K1835" s="74"/>
      <c r="L1835" s="75"/>
      <c r="M1835" s="32"/>
      <c r="N1835" s="32"/>
      <c r="O1835" s="73"/>
      <c r="P1835" s="73"/>
      <c r="Q1835" s="73"/>
      <c r="R1835" s="73"/>
      <c r="S1835" s="73"/>
      <c r="T1835" s="73"/>
      <c r="U1835" s="73"/>
      <c r="V1835" s="73"/>
      <c r="W1835" s="73"/>
      <c r="X1835" s="73"/>
      <c r="Y1835" s="73"/>
      <c r="Z1835" s="73"/>
    </row>
    <row r="1836" spans="1:26" ht="12.75" customHeight="1">
      <c r="A1836" s="73"/>
      <c r="B1836" s="32"/>
      <c r="C1836" s="32"/>
      <c r="D1836" s="33"/>
      <c r="E1836" s="32"/>
      <c r="F1836" s="32"/>
      <c r="G1836" s="74"/>
      <c r="H1836" s="32"/>
      <c r="I1836" s="32"/>
      <c r="J1836" s="32"/>
      <c r="K1836" s="74"/>
      <c r="L1836" s="75"/>
      <c r="M1836" s="32"/>
      <c r="N1836" s="32"/>
      <c r="O1836" s="73"/>
      <c r="P1836" s="73"/>
      <c r="Q1836" s="73"/>
      <c r="R1836" s="73"/>
      <c r="S1836" s="73"/>
      <c r="T1836" s="73"/>
      <c r="U1836" s="73"/>
      <c r="V1836" s="73"/>
      <c r="W1836" s="73"/>
      <c r="X1836" s="73"/>
      <c r="Y1836" s="73"/>
      <c r="Z1836" s="73"/>
    </row>
    <row r="1837" spans="1:26" ht="12.75" customHeight="1">
      <c r="A1837" s="73"/>
      <c r="B1837" s="32"/>
      <c r="C1837" s="32"/>
      <c r="D1837" s="33"/>
      <c r="E1837" s="32"/>
      <c r="F1837" s="32"/>
      <c r="G1837" s="74"/>
      <c r="H1837" s="32"/>
      <c r="I1837" s="32"/>
      <c r="J1837" s="32"/>
      <c r="K1837" s="74"/>
      <c r="L1837" s="75"/>
      <c r="M1837" s="32"/>
      <c r="N1837" s="32"/>
      <c r="O1837" s="73"/>
      <c r="P1837" s="73"/>
      <c r="Q1837" s="73"/>
      <c r="R1837" s="73"/>
      <c r="S1837" s="73"/>
      <c r="T1837" s="73"/>
      <c r="U1837" s="73"/>
      <c r="V1837" s="73"/>
      <c r="W1837" s="73"/>
      <c r="X1837" s="73"/>
      <c r="Y1837" s="73"/>
      <c r="Z1837" s="73"/>
    </row>
    <row r="1838" spans="1:26" ht="12.75" customHeight="1">
      <c r="A1838" s="73"/>
      <c r="B1838" s="32"/>
      <c r="C1838" s="32"/>
      <c r="D1838" s="33"/>
      <c r="E1838" s="32"/>
      <c r="F1838" s="32"/>
      <c r="G1838" s="74"/>
      <c r="H1838" s="32"/>
      <c r="I1838" s="32"/>
      <c r="J1838" s="32"/>
      <c r="K1838" s="74"/>
      <c r="L1838" s="75"/>
      <c r="M1838" s="32"/>
      <c r="N1838" s="32"/>
      <c r="O1838" s="73"/>
      <c r="P1838" s="73"/>
      <c r="Q1838" s="73"/>
      <c r="R1838" s="73"/>
      <c r="S1838" s="73"/>
      <c r="T1838" s="73"/>
      <c r="U1838" s="73"/>
      <c r="V1838" s="73"/>
      <c r="W1838" s="73"/>
      <c r="X1838" s="73"/>
      <c r="Y1838" s="73"/>
      <c r="Z1838" s="73"/>
    </row>
    <row r="1839" spans="1:26" ht="12.75" customHeight="1">
      <c r="A1839" s="73"/>
      <c r="B1839" s="32"/>
      <c r="C1839" s="32"/>
      <c r="D1839" s="33"/>
      <c r="E1839" s="32"/>
      <c r="F1839" s="32"/>
      <c r="G1839" s="74"/>
      <c r="H1839" s="32"/>
      <c r="I1839" s="32"/>
      <c r="J1839" s="32"/>
      <c r="K1839" s="74"/>
      <c r="L1839" s="75"/>
      <c r="M1839" s="32"/>
      <c r="N1839" s="32"/>
      <c r="O1839" s="73"/>
      <c r="P1839" s="73"/>
      <c r="Q1839" s="73"/>
      <c r="R1839" s="73"/>
      <c r="S1839" s="73"/>
      <c r="T1839" s="73"/>
      <c r="U1839" s="73"/>
      <c r="V1839" s="73"/>
      <c r="W1839" s="73"/>
      <c r="X1839" s="73"/>
      <c r="Y1839" s="73"/>
      <c r="Z1839" s="73"/>
    </row>
    <row r="1840" spans="1:26" ht="12.75" customHeight="1">
      <c r="A1840" s="73"/>
      <c r="B1840" s="32"/>
      <c r="C1840" s="32"/>
      <c r="D1840" s="33"/>
      <c r="E1840" s="32"/>
      <c r="F1840" s="32"/>
      <c r="G1840" s="74"/>
      <c r="H1840" s="32"/>
      <c r="I1840" s="32"/>
      <c r="J1840" s="32"/>
      <c r="K1840" s="74"/>
      <c r="L1840" s="75"/>
      <c r="M1840" s="32"/>
      <c r="N1840" s="32"/>
      <c r="O1840" s="73"/>
      <c r="P1840" s="73"/>
      <c r="Q1840" s="73"/>
      <c r="R1840" s="73"/>
      <c r="S1840" s="73"/>
      <c r="T1840" s="73"/>
      <c r="U1840" s="73"/>
      <c r="V1840" s="73"/>
      <c r="W1840" s="73"/>
      <c r="X1840" s="73"/>
      <c r="Y1840" s="73"/>
      <c r="Z1840" s="73"/>
    </row>
    <row r="1841" spans="1:26" ht="12.75" customHeight="1">
      <c r="A1841" s="73"/>
      <c r="B1841" s="32"/>
      <c r="C1841" s="32"/>
      <c r="D1841" s="33"/>
      <c r="E1841" s="32"/>
      <c r="F1841" s="32"/>
      <c r="G1841" s="74"/>
      <c r="H1841" s="32"/>
      <c r="I1841" s="32"/>
      <c r="J1841" s="32"/>
      <c r="K1841" s="74"/>
      <c r="L1841" s="75"/>
      <c r="M1841" s="32"/>
      <c r="N1841" s="32"/>
      <c r="O1841" s="73"/>
      <c r="P1841" s="73"/>
      <c r="Q1841" s="73"/>
      <c r="R1841" s="73"/>
      <c r="S1841" s="73"/>
      <c r="T1841" s="73"/>
      <c r="U1841" s="73"/>
      <c r="V1841" s="73"/>
      <c r="W1841" s="73"/>
      <c r="X1841" s="73"/>
      <c r="Y1841" s="73"/>
      <c r="Z1841" s="73"/>
    </row>
    <row r="1842" spans="1:26" ht="12.75" customHeight="1">
      <c r="A1842" s="73"/>
      <c r="B1842" s="32"/>
      <c r="C1842" s="32"/>
      <c r="D1842" s="33"/>
      <c r="E1842" s="32"/>
      <c r="F1842" s="32"/>
      <c r="G1842" s="74"/>
      <c r="H1842" s="32"/>
      <c r="I1842" s="32"/>
      <c r="J1842" s="32"/>
      <c r="K1842" s="74"/>
      <c r="L1842" s="75"/>
      <c r="M1842" s="32"/>
      <c r="N1842" s="32"/>
      <c r="O1842" s="73"/>
      <c r="P1842" s="73"/>
      <c r="Q1842" s="73"/>
      <c r="R1842" s="73"/>
      <c r="S1842" s="73"/>
      <c r="T1842" s="73"/>
      <c r="U1842" s="73"/>
      <c r="V1842" s="73"/>
      <c r="W1842" s="73"/>
      <c r="X1842" s="73"/>
      <c r="Y1842" s="73"/>
      <c r="Z1842" s="73"/>
    </row>
    <row r="1843" spans="1:26" ht="12.75" customHeight="1">
      <c r="A1843" s="73"/>
      <c r="B1843" s="32"/>
      <c r="C1843" s="32"/>
      <c r="D1843" s="33"/>
      <c r="E1843" s="32"/>
      <c r="F1843" s="32"/>
      <c r="G1843" s="74"/>
      <c r="H1843" s="32"/>
      <c r="I1843" s="32"/>
      <c r="J1843" s="32"/>
      <c r="K1843" s="74"/>
      <c r="L1843" s="75"/>
      <c r="M1843" s="32"/>
      <c r="N1843" s="32"/>
      <c r="O1843" s="73"/>
      <c r="P1843" s="73"/>
      <c r="Q1843" s="73"/>
      <c r="R1843" s="73"/>
      <c r="S1843" s="73"/>
      <c r="T1843" s="73"/>
      <c r="U1843" s="73"/>
      <c r="V1843" s="73"/>
      <c r="W1843" s="73"/>
      <c r="X1843" s="73"/>
      <c r="Y1843" s="73"/>
      <c r="Z1843" s="73"/>
    </row>
    <row r="1844" spans="1:26" ht="12.75" customHeight="1">
      <c r="A1844" s="73"/>
      <c r="B1844" s="32"/>
      <c r="C1844" s="32"/>
      <c r="D1844" s="33"/>
      <c r="E1844" s="32"/>
      <c r="F1844" s="32"/>
      <c r="G1844" s="74"/>
      <c r="H1844" s="32"/>
      <c r="I1844" s="32"/>
      <c r="J1844" s="32"/>
      <c r="K1844" s="74"/>
      <c r="L1844" s="75"/>
      <c r="M1844" s="32"/>
      <c r="N1844" s="32"/>
      <c r="O1844" s="73"/>
      <c r="P1844" s="73"/>
      <c r="Q1844" s="73"/>
      <c r="R1844" s="73"/>
      <c r="S1844" s="73"/>
      <c r="T1844" s="73"/>
      <c r="U1844" s="73"/>
      <c r="V1844" s="73"/>
      <c r="W1844" s="73"/>
      <c r="X1844" s="73"/>
      <c r="Y1844" s="73"/>
      <c r="Z1844" s="73"/>
    </row>
    <row r="1845" spans="1:26" ht="12.75" customHeight="1">
      <c r="A1845" s="73"/>
      <c r="B1845" s="32"/>
      <c r="C1845" s="32"/>
      <c r="D1845" s="33"/>
      <c r="E1845" s="32"/>
      <c r="F1845" s="32"/>
      <c r="G1845" s="74"/>
      <c r="H1845" s="32"/>
      <c r="I1845" s="32"/>
      <c r="J1845" s="32"/>
      <c r="K1845" s="74"/>
      <c r="L1845" s="75"/>
      <c r="M1845" s="32"/>
      <c r="N1845" s="32"/>
      <c r="O1845" s="73"/>
      <c r="P1845" s="73"/>
      <c r="Q1845" s="73"/>
      <c r="R1845" s="73"/>
      <c r="S1845" s="73"/>
      <c r="T1845" s="73"/>
      <c r="U1845" s="73"/>
      <c r="V1845" s="73"/>
      <c r="W1845" s="73"/>
      <c r="X1845" s="73"/>
      <c r="Y1845" s="73"/>
      <c r="Z1845" s="73"/>
    </row>
    <row r="1846" spans="1:26" ht="12.75" customHeight="1">
      <c r="A1846" s="73"/>
      <c r="B1846" s="32"/>
      <c r="C1846" s="32"/>
      <c r="D1846" s="33"/>
      <c r="E1846" s="32"/>
      <c r="F1846" s="32"/>
      <c r="G1846" s="74"/>
      <c r="H1846" s="32"/>
      <c r="I1846" s="32"/>
      <c r="J1846" s="32"/>
      <c r="K1846" s="74"/>
      <c r="L1846" s="75"/>
      <c r="M1846" s="32"/>
      <c r="N1846" s="32"/>
      <c r="O1846" s="73"/>
      <c r="P1846" s="73"/>
      <c r="Q1846" s="73"/>
      <c r="R1846" s="73"/>
      <c r="S1846" s="73"/>
      <c r="T1846" s="73"/>
      <c r="U1846" s="73"/>
      <c r="V1846" s="73"/>
      <c r="W1846" s="73"/>
      <c r="X1846" s="73"/>
      <c r="Y1846" s="73"/>
      <c r="Z1846" s="73"/>
    </row>
    <row r="1847" spans="1:26" ht="12.75" customHeight="1">
      <c r="A1847" s="73"/>
      <c r="B1847" s="32"/>
      <c r="C1847" s="32"/>
      <c r="D1847" s="33"/>
      <c r="E1847" s="32"/>
      <c r="F1847" s="32"/>
      <c r="G1847" s="74"/>
      <c r="H1847" s="32"/>
      <c r="I1847" s="32"/>
      <c r="J1847" s="32"/>
      <c r="K1847" s="74"/>
      <c r="L1847" s="75"/>
      <c r="M1847" s="32"/>
      <c r="N1847" s="32"/>
      <c r="O1847" s="73"/>
      <c r="P1847" s="73"/>
      <c r="Q1847" s="73"/>
      <c r="R1847" s="73"/>
      <c r="S1847" s="73"/>
      <c r="T1847" s="73"/>
      <c r="U1847" s="73"/>
      <c r="V1847" s="73"/>
      <c r="W1847" s="73"/>
      <c r="X1847" s="73"/>
      <c r="Y1847" s="73"/>
      <c r="Z1847" s="73"/>
    </row>
    <row r="1848" spans="1:26" ht="12.75" customHeight="1">
      <c r="A1848" s="73"/>
      <c r="B1848" s="32"/>
      <c r="C1848" s="32"/>
      <c r="D1848" s="33"/>
      <c r="E1848" s="32"/>
      <c r="F1848" s="32"/>
      <c r="G1848" s="74"/>
      <c r="H1848" s="32"/>
      <c r="I1848" s="32"/>
      <c r="J1848" s="32"/>
      <c r="K1848" s="74"/>
      <c r="L1848" s="75"/>
      <c r="M1848" s="32"/>
      <c r="N1848" s="32"/>
      <c r="O1848" s="73"/>
      <c r="P1848" s="73"/>
      <c r="Q1848" s="73"/>
      <c r="R1848" s="73"/>
      <c r="S1848" s="73"/>
      <c r="T1848" s="73"/>
      <c r="U1848" s="73"/>
      <c r="V1848" s="73"/>
      <c r="W1848" s="73"/>
      <c r="X1848" s="73"/>
      <c r="Y1848" s="73"/>
      <c r="Z1848" s="73"/>
    </row>
    <row r="1849" spans="1:26" ht="12.75" customHeight="1">
      <c r="A1849" s="73"/>
      <c r="B1849" s="32"/>
      <c r="C1849" s="32"/>
      <c r="D1849" s="33"/>
      <c r="E1849" s="32"/>
      <c r="F1849" s="32"/>
      <c r="G1849" s="74"/>
      <c r="H1849" s="32"/>
      <c r="I1849" s="32"/>
      <c r="J1849" s="32"/>
      <c r="K1849" s="74"/>
      <c r="L1849" s="75"/>
      <c r="M1849" s="32"/>
      <c r="N1849" s="32"/>
      <c r="O1849" s="73"/>
      <c r="P1849" s="73"/>
      <c r="Q1849" s="73"/>
      <c r="R1849" s="73"/>
      <c r="S1849" s="73"/>
      <c r="T1849" s="73"/>
      <c r="U1849" s="73"/>
      <c r="V1849" s="73"/>
      <c r="W1849" s="73"/>
      <c r="X1849" s="73"/>
      <c r="Y1849" s="73"/>
      <c r="Z1849" s="73"/>
    </row>
    <row r="1850" spans="1:26" ht="12.75" customHeight="1">
      <c r="A1850" s="73"/>
      <c r="B1850" s="32"/>
      <c r="C1850" s="32"/>
      <c r="D1850" s="33"/>
      <c r="E1850" s="32"/>
      <c r="F1850" s="32"/>
      <c r="G1850" s="74"/>
      <c r="H1850" s="32"/>
      <c r="I1850" s="32"/>
      <c r="J1850" s="32"/>
      <c r="K1850" s="74"/>
      <c r="L1850" s="75"/>
      <c r="M1850" s="32"/>
      <c r="N1850" s="32"/>
      <c r="O1850" s="73"/>
      <c r="P1850" s="73"/>
      <c r="Q1850" s="73"/>
      <c r="R1850" s="73"/>
      <c r="S1850" s="73"/>
      <c r="T1850" s="73"/>
      <c r="U1850" s="73"/>
      <c r="V1850" s="73"/>
      <c r="W1850" s="73"/>
      <c r="X1850" s="73"/>
      <c r="Y1850" s="73"/>
      <c r="Z1850" s="73"/>
    </row>
    <row r="1851" spans="1:26" ht="12.75" customHeight="1">
      <c r="A1851" s="73"/>
      <c r="B1851" s="32"/>
      <c r="C1851" s="32"/>
      <c r="D1851" s="33"/>
      <c r="E1851" s="32"/>
      <c r="F1851" s="32"/>
      <c r="G1851" s="74"/>
      <c r="H1851" s="32"/>
      <c r="I1851" s="32"/>
      <c r="J1851" s="32"/>
      <c r="K1851" s="74"/>
      <c r="L1851" s="75"/>
      <c r="M1851" s="32"/>
      <c r="N1851" s="32"/>
      <c r="O1851" s="73"/>
      <c r="P1851" s="73"/>
      <c r="Q1851" s="73"/>
      <c r="R1851" s="73"/>
      <c r="S1851" s="73"/>
      <c r="T1851" s="73"/>
      <c r="U1851" s="73"/>
      <c r="V1851" s="73"/>
      <c r="W1851" s="73"/>
      <c r="X1851" s="73"/>
      <c r="Y1851" s="73"/>
      <c r="Z1851" s="73"/>
    </row>
    <row r="1852" spans="1:26" ht="12.75" customHeight="1">
      <c r="A1852" s="73"/>
      <c r="B1852" s="32"/>
      <c r="C1852" s="32"/>
      <c r="D1852" s="33"/>
      <c r="E1852" s="32"/>
      <c r="F1852" s="32"/>
      <c r="G1852" s="74"/>
      <c r="H1852" s="32"/>
      <c r="I1852" s="32"/>
      <c r="J1852" s="32"/>
      <c r="K1852" s="74"/>
      <c r="L1852" s="75"/>
      <c r="M1852" s="32"/>
      <c r="N1852" s="32"/>
      <c r="O1852" s="73"/>
      <c r="P1852" s="73"/>
      <c r="Q1852" s="73"/>
      <c r="R1852" s="73"/>
      <c r="S1852" s="73"/>
      <c r="T1852" s="73"/>
      <c r="U1852" s="73"/>
      <c r="V1852" s="73"/>
      <c r="W1852" s="73"/>
      <c r="X1852" s="73"/>
      <c r="Y1852" s="73"/>
      <c r="Z1852" s="73"/>
    </row>
    <row r="1853" spans="1:26" ht="12.75" customHeight="1">
      <c r="A1853" s="73"/>
      <c r="B1853" s="32"/>
      <c r="C1853" s="32"/>
      <c r="D1853" s="33"/>
      <c r="E1853" s="32"/>
      <c r="F1853" s="32"/>
      <c r="G1853" s="74"/>
      <c r="H1853" s="32"/>
      <c r="I1853" s="32"/>
      <c r="J1853" s="32"/>
      <c r="K1853" s="74"/>
      <c r="L1853" s="75"/>
      <c r="M1853" s="32"/>
      <c r="N1853" s="32"/>
      <c r="O1853" s="73"/>
      <c r="P1853" s="73"/>
      <c r="Q1853" s="73"/>
      <c r="R1853" s="73"/>
      <c r="S1853" s="73"/>
      <c r="T1853" s="73"/>
      <c r="U1853" s="73"/>
      <c r="V1853" s="73"/>
      <c r="W1853" s="73"/>
      <c r="X1853" s="73"/>
      <c r="Y1853" s="73"/>
      <c r="Z1853" s="73"/>
    </row>
    <row r="1854" spans="1:26" ht="12.75" customHeight="1">
      <c r="A1854" s="73"/>
      <c r="B1854" s="32"/>
      <c r="C1854" s="32"/>
      <c r="D1854" s="33"/>
      <c r="E1854" s="32"/>
      <c r="F1854" s="32"/>
      <c r="G1854" s="74"/>
      <c r="H1854" s="32"/>
      <c r="I1854" s="32"/>
      <c r="J1854" s="32"/>
      <c r="K1854" s="74"/>
      <c r="L1854" s="75"/>
      <c r="M1854" s="32"/>
      <c r="N1854" s="32"/>
      <c r="O1854" s="73"/>
      <c r="P1854" s="73"/>
      <c r="Q1854" s="73"/>
      <c r="R1854" s="73"/>
      <c r="S1854" s="73"/>
      <c r="T1854" s="73"/>
      <c r="U1854" s="73"/>
      <c r="V1854" s="73"/>
      <c r="W1854" s="73"/>
      <c r="X1854" s="73"/>
      <c r="Y1854" s="73"/>
      <c r="Z1854" s="73"/>
    </row>
    <row r="1855" spans="1:26" ht="12.75" customHeight="1">
      <c r="A1855" s="73"/>
      <c r="B1855" s="32"/>
      <c r="C1855" s="32"/>
      <c r="D1855" s="33"/>
      <c r="E1855" s="32"/>
      <c r="F1855" s="32"/>
      <c r="G1855" s="74"/>
      <c r="H1855" s="32"/>
      <c r="I1855" s="32"/>
      <c r="J1855" s="32"/>
      <c r="K1855" s="74"/>
      <c r="L1855" s="75"/>
      <c r="M1855" s="32"/>
      <c r="N1855" s="32"/>
      <c r="O1855" s="73"/>
      <c r="P1855" s="73"/>
      <c r="Q1855" s="73"/>
      <c r="R1855" s="73"/>
      <c r="S1855" s="73"/>
      <c r="T1855" s="73"/>
      <c r="U1855" s="73"/>
      <c r="V1855" s="73"/>
      <c r="W1855" s="73"/>
      <c r="X1855" s="73"/>
      <c r="Y1855" s="73"/>
      <c r="Z1855" s="73"/>
    </row>
    <row r="1856" spans="1:26" ht="12.75" customHeight="1">
      <c r="A1856" s="73"/>
      <c r="B1856" s="32"/>
      <c r="C1856" s="32"/>
      <c r="D1856" s="33"/>
      <c r="E1856" s="32"/>
      <c r="F1856" s="32"/>
      <c r="G1856" s="74"/>
      <c r="H1856" s="32"/>
      <c r="I1856" s="32"/>
      <c r="J1856" s="32"/>
      <c r="K1856" s="74"/>
      <c r="L1856" s="75"/>
      <c r="M1856" s="32"/>
      <c r="N1856" s="32"/>
      <c r="O1856" s="73"/>
      <c r="P1856" s="73"/>
      <c r="Q1856" s="73"/>
      <c r="R1856" s="73"/>
      <c r="S1856" s="73"/>
      <c r="T1856" s="73"/>
      <c r="U1856" s="73"/>
      <c r="V1856" s="73"/>
      <c r="W1856" s="73"/>
      <c r="X1856" s="73"/>
      <c r="Y1856" s="73"/>
      <c r="Z1856" s="73"/>
    </row>
    <row r="1857" spans="1:26" ht="12.75" customHeight="1">
      <c r="A1857" s="73"/>
      <c r="B1857" s="32"/>
      <c r="C1857" s="32"/>
      <c r="D1857" s="33"/>
      <c r="E1857" s="32"/>
      <c r="F1857" s="32"/>
      <c r="G1857" s="74"/>
      <c r="H1857" s="32"/>
      <c r="I1857" s="32"/>
      <c r="J1857" s="32"/>
      <c r="K1857" s="74"/>
      <c r="L1857" s="75"/>
      <c r="M1857" s="32"/>
      <c r="N1857" s="32"/>
      <c r="O1857" s="73"/>
      <c r="P1857" s="73"/>
      <c r="Q1857" s="73"/>
      <c r="R1857" s="73"/>
      <c r="S1857" s="73"/>
      <c r="T1857" s="73"/>
      <c r="U1857" s="73"/>
      <c r="V1857" s="73"/>
      <c r="W1857" s="73"/>
      <c r="X1857" s="73"/>
      <c r="Y1857" s="73"/>
      <c r="Z1857" s="73"/>
    </row>
    <row r="1858" spans="1:26" ht="12.75" customHeight="1">
      <c r="A1858" s="73"/>
      <c r="B1858" s="32"/>
      <c r="C1858" s="32"/>
      <c r="D1858" s="33"/>
      <c r="E1858" s="32"/>
      <c r="F1858" s="32"/>
      <c r="G1858" s="74"/>
      <c r="H1858" s="32"/>
      <c r="I1858" s="32"/>
      <c r="J1858" s="32"/>
      <c r="K1858" s="74"/>
      <c r="L1858" s="75"/>
      <c r="M1858" s="32"/>
      <c r="N1858" s="32"/>
      <c r="O1858" s="73"/>
      <c r="P1858" s="73"/>
      <c r="Q1858" s="73"/>
      <c r="R1858" s="73"/>
      <c r="S1858" s="73"/>
      <c r="T1858" s="73"/>
      <c r="U1858" s="73"/>
      <c r="V1858" s="73"/>
      <c r="W1858" s="73"/>
      <c r="X1858" s="73"/>
      <c r="Y1858" s="73"/>
      <c r="Z1858" s="73"/>
    </row>
    <row r="1859" spans="1:26" ht="12.75" customHeight="1">
      <c r="A1859" s="73"/>
      <c r="B1859" s="32"/>
      <c r="C1859" s="32"/>
      <c r="D1859" s="33"/>
      <c r="E1859" s="32"/>
      <c r="F1859" s="32"/>
      <c r="G1859" s="74"/>
      <c r="H1859" s="32"/>
      <c r="I1859" s="32"/>
      <c r="J1859" s="32"/>
      <c r="K1859" s="74"/>
      <c r="L1859" s="75"/>
      <c r="M1859" s="32"/>
      <c r="N1859" s="32"/>
      <c r="O1859" s="73"/>
      <c r="P1859" s="73"/>
      <c r="Q1859" s="73"/>
      <c r="R1859" s="73"/>
      <c r="S1859" s="73"/>
      <c r="T1859" s="73"/>
      <c r="U1859" s="73"/>
      <c r="V1859" s="73"/>
      <c r="W1859" s="73"/>
      <c r="X1859" s="73"/>
      <c r="Y1859" s="73"/>
      <c r="Z1859" s="73"/>
    </row>
    <row r="1860" spans="1:26" ht="12.75" customHeight="1">
      <c r="A1860" s="73"/>
      <c r="B1860" s="32"/>
      <c r="C1860" s="32"/>
      <c r="D1860" s="33"/>
      <c r="E1860" s="32"/>
      <c r="F1860" s="32"/>
      <c r="G1860" s="74"/>
      <c r="H1860" s="32"/>
      <c r="I1860" s="32"/>
      <c r="J1860" s="32"/>
      <c r="K1860" s="74"/>
      <c r="L1860" s="75"/>
      <c r="M1860" s="32"/>
      <c r="N1860" s="32"/>
      <c r="O1860" s="73"/>
      <c r="P1860" s="73"/>
      <c r="Q1860" s="73"/>
      <c r="R1860" s="73"/>
      <c r="S1860" s="73"/>
      <c r="T1860" s="73"/>
      <c r="U1860" s="73"/>
      <c r="V1860" s="73"/>
      <c r="W1860" s="73"/>
      <c r="X1860" s="73"/>
      <c r="Y1860" s="73"/>
      <c r="Z1860" s="73"/>
    </row>
    <row r="1861" spans="1:26" ht="12.75" customHeight="1">
      <c r="A1861" s="73"/>
      <c r="B1861" s="32"/>
      <c r="C1861" s="32"/>
      <c r="D1861" s="33"/>
      <c r="E1861" s="32"/>
      <c r="F1861" s="32"/>
      <c r="G1861" s="74"/>
      <c r="H1861" s="32"/>
      <c r="I1861" s="32"/>
      <c r="J1861" s="32"/>
      <c r="K1861" s="74"/>
      <c r="L1861" s="75"/>
      <c r="M1861" s="32"/>
      <c r="N1861" s="32"/>
      <c r="O1861" s="73"/>
      <c r="P1861" s="73"/>
      <c r="Q1861" s="73"/>
      <c r="R1861" s="73"/>
      <c r="S1861" s="73"/>
      <c r="T1861" s="73"/>
      <c r="U1861" s="73"/>
      <c r="V1861" s="73"/>
      <c r="W1861" s="73"/>
      <c r="X1861" s="73"/>
      <c r="Y1861" s="73"/>
      <c r="Z1861" s="73"/>
    </row>
    <row r="1862" spans="1:26" ht="12.75" customHeight="1">
      <c r="A1862" s="73"/>
      <c r="B1862" s="32"/>
      <c r="C1862" s="32"/>
      <c r="D1862" s="33"/>
      <c r="E1862" s="32"/>
      <c r="F1862" s="32"/>
      <c r="G1862" s="74"/>
      <c r="H1862" s="32"/>
      <c r="I1862" s="32"/>
      <c r="J1862" s="32"/>
      <c r="K1862" s="74"/>
      <c r="L1862" s="75"/>
      <c r="M1862" s="32"/>
      <c r="N1862" s="32"/>
      <c r="O1862" s="73"/>
      <c r="P1862" s="73"/>
      <c r="Q1862" s="73"/>
      <c r="R1862" s="73"/>
      <c r="S1862" s="73"/>
      <c r="T1862" s="73"/>
      <c r="U1862" s="73"/>
      <c r="V1862" s="73"/>
      <c r="W1862" s="73"/>
      <c r="X1862" s="73"/>
      <c r="Y1862" s="73"/>
      <c r="Z1862" s="73"/>
    </row>
    <row r="1863" spans="1:26" ht="12.75" customHeight="1">
      <c r="A1863" s="73"/>
      <c r="B1863" s="32"/>
      <c r="C1863" s="32"/>
      <c r="D1863" s="33"/>
      <c r="E1863" s="32"/>
      <c r="F1863" s="32"/>
      <c r="G1863" s="74"/>
      <c r="H1863" s="32"/>
      <c r="I1863" s="32"/>
      <c r="J1863" s="32"/>
      <c r="K1863" s="74"/>
      <c r="L1863" s="75"/>
      <c r="M1863" s="32"/>
      <c r="N1863" s="32"/>
      <c r="O1863" s="73"/>
      <c r="P1863" s="73"/>
      <c r="Q1863" s="73"/>
      <c r="R1863" s="73"/>
      <c r="S1863" s="73"/>
      <c r="T1863" s="73"/>
      <c r="U1863" s="73"/>
      <c r="V1863" s="73"/>
      <c r="W1863" s="73"/>
      <c r="X1863" s="73"/>
      <c r="Y1863" s="73"/>
      <c r="Z1863" s="73"/>
    </row>
    <row r="1864" spans="1:26" ht="12.75" customHeight="1">
      <c r="A1864" s="73"/>
      <c r="B1864" s="32"/>
      <c r="C1864" s="32"/>
      <c r="D1864" s="33"/>
      <c r="E1864" s="32"/>
      <c r="F1864" s="32"/>
      <c r="G1864" s="74"/>
      <c r="H1864" s="32"/>
      <c r="I1864" s="32"/>
      <c r="J1864" s="32"/>
      <c r="K1864" s="74"/>
      <c r="L1864" s="75"/>
      <c r="M1864" s="32"/>
      <c r="N1864" s="32"/>
      <c r="O1864" s="73"/>
      <c r="P1864" s="73"/>
      <c r="Q1864" s="73"/>
      <c r="R1864" s="73"/>
      <c r="S1864" s="73"/>
      <c r="T1864" s="73"/>
      <c r="U1864" s="73"/>
      <c r="V1864" s="73"/>
      <c r="W1864" s="73"/>
      <c r="X1864" s="73"/>
      <c r="Y1864" s="73"/>
      <c r="Z1864" s="73"/>
    </row>
    <row r="1865" spans="1:26" ht="12.75" customHeight="1">
      <c r="A1865" s="73"/>
      <c r="B1865" s="32"/>
      <c r="C1865" s="32"/>
      <c r="D1865" s="33"/>
      <c r="E1865" s="32"/>
      <c r="F1865" s="32"/>
      <c r="G1865" s="74"/>
      <c r="H1865" s="32"/>
      <c r="I1865" s="32"/>
      <c r="J1865" s="32"/>
      <c r="K1865" s="74"/>
      <c r="L1865" s="75"/>
      <c r="M1865" s="32"/>
      <c r="N1865" s="32"/>
      <c r="O1865" s="73"/>
      <c r="P1865" s="73"/>
      <c r="Q1865" s="73"/>
      <c r="R1865" s="73"/>
      <c r="S1865" s="73"/>
      <c r="T1865" s="73"/>
      <c r="U1865" s="73"/>
      <c r="V1865" s="73"/>
      <c r="W1865" s="73"/>
      <c r="X1865" s="73"/>
      <c r="Y1865" s="73"/>
      <c r="Z1865" s="73"/>
    </row>
    <row r="1866" spans="1:26" ht="12.75" customHeight="1">
      <c r="A1866" s="73"/>
      <c r="B1866" s="32"/>
      <c r="C1866" s="32"/>
      <c r="D1866" s="33"/>
      <c r="E1866" s="32"/>
      <c r="F1866" s="32"/>
      <c r="G1866" s="74"/>
      <c r="H1866" s="32"/>
      <c r="I1866" s="32"/>
      <c r="J1866" s="32"/>
      <c r="K1866" s="74"/>
      <c r="L1866" s="75"/>
      <c r="M1866" s="32"/>
      <c r="N1866" s="32"/>
      <c r="O1866" s="73"/>
      <c r="P1866" s="73"/>
      <c r="Q1866" s="73"/>
      <c r="R1866" s="73"/>
      <c r="S1866" s="73"/>
      <c r="T1866" s="73"/>
      <c r="U1866" s="73"/>
      <c r="V1866" s="73"/>
      <c r="W1866" s="73"/>
      <c r="X1866" s="73"/>
      <c r="Y1866" s="73"/>
      <c r="Z1866" s="73"/>
    </row>
    <row r="1867" spans="1:26" ht="12.75" customHeight="1">
      <c r="A1867" s="73"/>
      <c r="B1867" s="32"/>
      <c r="C1867" s="32"/>
      <c r="D1867" s="33"/>
      <c r="E1867" s="32"/>
      <c r="F1867" s="32"/>
      <c r="G1867" s="74"/>
      <c r="H1867" s="32"/>
      <c r="I1867" s="32"/>
      <c r="J1867" s="32"/>
      <c r="K1867" s="74"/>
      <c r="L1867" s="75"/>
      <c r="M1867" s="32"/>
      <c r="N1867" s="32"/>
      <c r="O1867" s="73"/>
      <c r="P1867" s="73"/>
      <c r="Q1867" s="73"/>
      <c r="R1867" s="73"/>
      <c r="S1867" s="73"/>
      <c r="T1867" s="73"/>
      <c r="U1867" s="73"/>
      <c r="V1867" s="73"/>
      <c r="W1867" s="73"/>
      <c r="X1867" s="73"/>
      <c r="Y1867" s="73"/>
      <c r="Z1867" s="73"/>
    </row>
    <row r="1868" spans="1:26" ht="12.75" customHeight="1">
      <c r="A1868" s="73"/>
      <c r="B1868" s="32"/>
      <c r="C1868" s="32"/>
      <c r="D1868" s="33"/>
      <c r="E1868" s="32"/>
      <c r="F1868" s="32"/>
      <c r="G1868" s="74"/>
      <c r="H1868" s="32"/>
      <c r="I1868" s="32"/>
      <c r="J1868" s="32"/>
      <c r="K1868" s="74"/>
      <c r="L1868" s="75"/>
      <c r="M1868" s="32"/>
      <c r="N1868" s="32"/>
      <c r="O1868" s="73"/>
      <c r="P1868" s="73"/>
      <c r="Q1868" s="73"/>
      <c r="R1868" s="73"/>
      <c r="S1868" s="73"/>
      <c r="T1868" s="73"/>
      <c r="U1868" s="73"/>
      <c r="V1868" s="73"/>
      <c r="W1868" s="73"/>
      <c r="X1868" s="73"/>
      <c r="Y1868" s="73"/>
      <c r="Z1868" s="73"/>
    </row>
    <row r="1869" spans="1:26" ht="12.75" customHeight="1">
      <c r="A1869" s="73"/>
      <c r="B1869" s="32"/>
      <c r="C1869" s="32"/>
      <c r="D1869" s="33"/>
      <c r="E1869" s="32"/>
      <c r="F1869" s="32"/>
      <c r="G1869" s="74"/>
      <c r="H1869" s="32"/>
      <c r="I1869" s="32"/>
      <c r="J1869" s="32"/>
      <c r="K1869" s="74"/>
      <c r="L1869" s="75"/>
      <c r="M1869" s="32"/>
      <c r="N1869" s="32"/>
      <c r="O1869" s="73"/>
      <c r="P1869" s="73"/>
      <c r="Q1869" s="73"/>
      <c r="R1869" s="73"/>
      <c r="S1869" s="73"/>
      <c r="T1869" s="73"/>
      <c r="U1869" s="73"/>
      <c r="V1869" s="73"/>
      <c r="W1869" s="73"/>
      <c r="X1869" s="73"/>
      <c r="Y1869" s="73"/>
      <c r="Z1869" s="73"/>
    </row>
    <row r="1870" spans="1:26" ht="12.75" customHeight="1">
      <c r="A1870" s="73"/>
      <c r="B1870" s="32"/>
      <c r="C1870" s="32"/>
      <c r="D1870" s="33"/>
      <c r="E1870" s="32"/>
      <c r="F1870" s="32"/>
      <c r="G1870" s="74"/>
      <c r="H1870" s="32"/>
      <c r="I1870" s="32"/>
      <c r="J1870" s="32"/>
      <c r="K1870" s="74"/>
      <c r="L1870" s="75"/>
      <c r="M1870" s="32"/>
      <c r="N1870" s="32"/>
      <c r="O1870" s="73"/>
      <c r="P1870" s="73"/>
      <c r="Q1870" s="73"/>
      <c r="R1870" s="73"/>
      <c r="S1870" s="73"/>
      <c r="T1870" s="73"/>
      <c r="U1870" s="73"/>
      <c r="V1870" s="73"/>
      <c r="W1870" s="73"/>
      <c r="X1870" s="73"/>
      <c r="Y1870" s="73"/>
      <c r="Z1870" s="73"/>
    </row>
    <row r="1871" spans="1:26" ht="12.75" customHeight="1">
      <c r="A1871" s="73"/>
      <c r="B1871" s="32"/>
      <c r="C1871" s="32"/>
      <c r="D1871" s="33"/>
      <c r="E1871" s="32"/>
      <c r="F1871" s="32"/>
      <c r="G1871" s="74"/>
      <c r="H1871" s="32"/>
      <c r="I1871" s="32"/>
      <c r="J1871" s="32"/>
      <c r="K1871" s="74"/>
      <c r="L1871" s="75"/>
      <c r="M1871" s="32"/>
      <c r="N1871" s="32"/>
      <c r="O1871" s="73"/>
      <c r="P1871" s="73"/>
      <c r="Q1871" s="73"/>
      <c r="R1871" s="73"/>
      <c r="S1871" s="73"/>
      <c r="T1871" s="73"/>
      <c r="U1871" s="73"/>
      <c r="V1871" s="73"/>
      <c r="W1871" s="73"/>
      <c r="X1871" s="73"/>
      <c r="Y1871" s="73"/>
      <c r="Z1871" s="73"/>
    </row>
    <row r="1872" spans="1:26" ht="12.75" customHeight="1">
      <c r="A1872" s="73"/>
      <c r="B1872" s="32"/>
      <c r="C1872" s="32"/>
      <c r="D1872" s="33"/>
      <c r="E1872" s="32"/>
      <c r="F1872" s="32"/>
      <c r="G1872" s="74"/>
      <c r="H1872" s="32"/>
      <c r="I1872" s="32"/>
      <c r="J1872" s="32"/>
      <c r="K1872" s="74"/>
      <c r="L1872" s="75"/>
      <c r="M1872" s="32"/>
      <c r="N1872" s="32"/>
      <c r="O1872" s="73"/>
      <c r="P1872" s="73"/>
      <c r="Q1872" s="73"/>
      <c r="R1872" s="73"/>
      <c r="S1872" s="73"/>
      <c r="T1872" s="73"/>
      <c r="U1872" s="73"/>
      <c r="V1872" s="73"/>
      <c r="W1872" s="73"/>
      <c r="X1872" s="73"/>
      <c r="Y1872" s="73"/>
      <c r="Z1872" s="73"/>
    </row>
    <row r="1873" spans="1:26" ht="12.75" customHeight="1">
      <c r="A1873" s="73"/>
      <c r="B1873" s="32"/>
      <c r="C1873" s="32"/>
      <c r="D1873" s="33"/>
      <c r="E1873" s="32"/>
      <c r="F1873" s="32"/>
      <c r="G1873" s="74"/>
      <c r="H1873" s="32"/>
      <c r="I1873" s="32"/>
      <c r="J1873" s="32"/>
      <c r="K1873" s="74"/>
      <c r="L1873" s="75"/>
      <c r="M1873" s="32"/>
      <c r="N1873" s="32"/>
      <c r="O1873" s="73"/>
      <c r="P1873" s="73"/>
      <c r="Q1873" s="73"/>
      <c r="R1873" s="73"/>
      <c r="S1873" s="73"/>
      <c r="T1873" s="73"/>
      <c r="U1873" s="73"/>
      <c r="V1873" s="73"/>
      <c r="W1873" s="73"/>
      <c r="X1873" s="73"/>
      <c r="Y1873" s="73"/>
      <c r="Z1873" s="73"/>
    </row>
    <row r="1874" spans="1:26" ht="12.75" customHeight="1">
      <c r="A1874" s="73"/>
      <c r="B1874" s="32"/>
      <c r="C1874" s="32"/>
      <c r="D1874" s="33"/>
      <c r="E1874" s="32"/>
      <c r="F1874" s="32"/>
      <c r="G1874" s="74"/>
      <c r="H1874" s="32"/>
      <c r="I1874" s="32"/>
      <c r="J1874" s="32"/>
      <c r="K1874" s="74"/>
      <c r="L1874" s="75"/>
      <c r="M1874" s="32"/>
      <c r="N1874" s="32"/>
      <c r="O1874" s="73"/>
      <c r="P1874" s="73"/>
      <c r="Q1874" s="73"/>
      <c r="R1874" s="73"/>
      <c r="S1874" s="73"/>
      <c r="T1874" s="73"/>
      <c r="U1874" s="73"/>
      <c r="V1874" s="73"/>
      <c r="W1874" s="73"/>
      <c r="X1874" s="73"/>
      <c r="Y1874" s="73"/>
      <c r="Z1874" s="73"/>
    </row>
    <row r="1875" spans="1:26" ht="12.75" customHeight="1">
      <c r="A1875" s="73"/>
      <c r="B1875" s="32"/>
      <c r="C1875" s="32"/>
      <c r="D1875" s="33"/>
      <c r="E1875" s="32"/>
      <c r="F1875" s="32"/>
      <c r="G1875" s="74"/>
      <c r="H1875" s="32"/>
      <c r="I1875" s="32"/>
      <c r="J1875" s="32"/>
      <c r="K1875" s="74"/>
      <c r="L1875" s="75"/>
      <c r="M1875" s="32"/>
      <c r="N1875" s="32"/>
      <c r="O1875" s="73"/>
      <c r="P1875" s="73"/>
      <c r="Q1875" s="73"/>
      <c r="R1875" s="73"/>
      <c r="S1875" s="73"/>
      <c r="T1875" s="73"/>
      <c r="U1875" s="73"/>
      <c r="V1875" s="73"/>
      <c r="W1875" s="73"/>
      <c r="X1875" s="73"/>
      <c r="Y1875" s="73"/>
      <c r="Z1875" s="73"/>
    </row>
    <row r="1876" spans="1:26" ht="12.75" customHeight="1">
      <c r="A1876" s="73"/>
      <c r="B1876" s="32"/>
      <c r="C1876" s="32"/>
      <c r="D1876" s="33"/>
      <c r="E1876" s="32"/>
      <c r="F1876" s="32"/>
      <c r="G1876" s="74"/>
      <c r="H1876" s="32"/>
      <c r="I1876" s="32"/>
      <c r="J1876" s="32"/>
      <c r="K1876" s="74"/>
      <c r="L1876" s="75"/>
      <c r="M1876" s="32"/>
      <c r="N1876" s="32"/>
      <c r="O1876" s="73"/>
      <c r="P1876" s="73"/>
      <c r="Q1876" s="73"/>
      <c r="R1876" s="73"/>
      <c r="S1876" s="73"/>
      <c r="T1876" s="73"/>
      <c r="U1876" s="73"/>
      <c r="V1876" s="73"/>
      <c r="W1876" s="73"/>
      <c r="X1876" s="73"/>
      <c r="Y1876" s="73"/>
      <c r="Z1876" s="73"/>
    </row>
    <row r="1877" spans="1:26" ht="12.75" customHeight="1">
      <c r="A1877" s="73"/>
      <c r="B1877" s="32"/>
      <c r="C1877" s="32"/>
      <c r="D1877" s="33"/>
      <c r="E1877" s="32"/>
      <c r="F1877" s="32"/>
      <c r="G1877" s="74"/>
      <c r="H1877" s="32"/>
      <c r="I1877" s="32"/>
      <c r="J1877" s="32"/>
      <c r="K1877" s="74"/>
      <c r="L1877" s="75"/>
      <c r="M1877" s="32"/>
      <c r="N1877" s="32"/>
      <c r="O1877" s="73"/>
      <c r="P1877" s="73"/>
      <c r="Q1877" s="73"/>
      <c r="R1877" s="73"/>
      <c r="S1877" s="73"/>
      <c r="T1877" s="73"/>
      <c r="U1877" s="73"/>
      <c r="V1877" s="73"/>
      <c r="W1877" s="73"/>
      <c r="X1877" s="73"/>
      <c r="Y1877" s="73"/>
      <c r="Z1877" s="73"/>
    </row>
    <row r="1878" spans="1:26" ht="12.75" customHeight="1">
      <c r="A1878" s="73"/>
      <c r="B1878" s="32"/>
      <c r="C1878" s="32"/>
      <c r="D1878" s="33"/>
      <c r="E1878" s="32"/>
      <c r="F1878" s="32"/>
      <c r="G1878" s="74"/>
      <c r="H1878" s="32"/>
      <c r="I1878" s="32"/>
      <c r="J1878" s="32"/>
      <c r="K1878" s="74"/>
      <c r="L1878" s="75"/>
      <c r="M1878" s="32"/>
      <c r="N1878" s="32"/>
      <c r="O1878" s="73"/>
      <c r="P1878" s="73"/>
      <c r="Q1878" s="73"/>
      <c r="R1878" s="73"/>
      <c r="S1878" s="73"/>
      <c r="T1878" s="73"/>
      <c r="U1878" s="73"/>
      <c r="V1878" s="73"/>
      <c r="W1878" s="73"/>
      <c r="X1878" s="73"/>
      <c r="Y1878" s="73"/>
      <c r="Z1878" s="73"/>
    </row>
    <row r="1879" spans="1:26" ht="12.75" customHeight="1">
      <c r="A1879" s="73"/>
      <c r="B1879" s="32"/>
      <c r="C1879" s="32"/>
      <c r="D1879" s="33"/>
      <c r="E1879" s="32"/>
      <c r="F1879" s="32"/>
      <c r="G1879" s="74"/>
      <c r="H1879" s="32"/>
      <c r="I1879" s="32"/>
      <c r="J1879" s="32"/>
      <c r="K1879" s="74"/>
      <c r="L1879" s="75"/>
      <c r="M1879" s="32"/>
      <c r="N1879" s="32"/>
      <c r="O1879" s="73"/>
      <c r="P1879" s="73"/>
      <c r="Q1879" s="73"/>
      <c r="R1879" s="73"/>
      <c r="S1879" s="73"/>
      <c r="T1879" s="73"/>
      <c r="U1879" s="73"/>
      <c r="V1879" s="73"/>
      <c r="W1879" s="73"/>
      <c r="X1879" s="73"/>
      <c r="Y1879" s="73"/>
      <c r="Z1879" s="73"/>
    </row>
    <row r="1880" spans="1:26" ht="12.75" customHeight="1">
      <c r="A1880" s="73"/>
      <c r="B1880" s="32"/>
      <c r="C1880" s="32"/>
      <c r="D1880" s="33"/>
      <c r="E1880" s="32"/>
      <c r="F1880" s="32"/>
      <c r="G1880" s="74"/>
      <c r="H1880" s="32"/>
      <c r="I1880" s="32"/>
      <c r="J1880" s="32"/>
      <c r="K1880" s="74"/>
      <c r="L1880" s="75"/>
      <c r="M1880" s="32"/>
      <c r="N1880" s="32"/>
      <c r="O1880" s="73"/>
      <c r="P1880" s="73"/>
      <c r="Q1880" s="73"/>
      <c r="R1880" s="73"/>
      <c r="S1880" s="73"/>
      <c r="T1880" s="73"/>
      <c r="U1880" s="73"/>
      <c r="V1880" s="73"/>
      <c r="W1880" s="73"/>
      <c r="X1880" s="73"/>
      <c r="Y1880" s="73"/>
      <c r="Z1880" s="73"/>
    </row>
    <row r="1881" spans="1:26" ht="12.75" customHeight="1">
      <c r="A1881" s="73"/>
      <c r="B1881" s="32"/>
      <c r="C1881" s="32"/>
      <c r="D1881" s="33"/>
      <c r="E1881" s="32"/>
      <c r="F1881" s="32"/>
      <c r="G1881" s="74"/>
      <c r="H1881" s="32"/>
      <c r="I1881" s="32"/>
      <c r="J1881" s="32"/>
      <c r="K1881" s="74"/>
      <c r="L1881" s="75"/>
      <c r="M1881" s="32"/>
      <c r="N1881" s="32"/>
      <c r="O1881" s="73"/>
      <c r="P1881" s="73"/>
      <c r="Q1881" s="73"/>
      <c r="R1881" s="73"/>
      <c r="S1881" s="73"/>
      <c r="T1881" s="73"/>
      <c r="U1881" s="73"/>
      <c r="V1881" s="73"/>
      <c r="W1881" s="73"/>
      <c r="X1881" s="73"/>
      <c r="Y1881" s="73"/>
      <c r="Z1881" s="73"/>
    </row>
    <row r="1882" spans="1:26" ht="12.75" customHeight="1">
      <c r="A1882" s="73"/>
      <c r="B1882" s="32"/>
      <c r="C1882" s="32"/>
      <c r="D1882" s="33"/>
      <c r="E1882" s="32"/>
      <c r="F1882" s="32"/>
      <c r="G1882" s="74"/>
      <c r="H1882" s="32"/>
      <c r="I1882" s="32"/>
      <c r="J1882" s="32"/>
      <c r="K1882" s="74"/>
      <c r="L1882" s="75"/>
      <c r="M1882" s="32"/>
      <c r="N1882" s="32"/>
      <c r="O1882" s="73"/>
      <c r="P1882" s="73"/>
      <c r="Q1882" s="73"/>
      <c r="R1882" s="73"/>
      <c r="S1882" s="73"/>
      <c r="T1882" s="73"/>
      <c r="U1882" s="73"/>
      <c r="V1882" s="73"/>
      <c r="W1882" s="73"/>
      <c r="X1882" s="73"/>
      <c r="Y1882" s="73"/>
      <c r="Z1882" s="73"/>
    </row>
    <row r="1883" spans="1:26" ht="12.75" customHeight="1">
      <c r="A1883" s="73"/>
      <c r="B1883" s="32"/>
      <c r="C1883" s="32"/>
      <c r="D1883" s="33"/>
      <c r="E1883" s="32"/>
      <c r="F1883" s="32"/>
      <c r="G1883" s="74"/>
      <c r="H1883" s="32"/>
      <c r="I1883" s="32"/>
      <c r="J1883" s="32"/>
      <c r="K1883" s="74"/>
      <c r="L1883" s="75"/>
      <c r="M1883" s="32"/>
      <c r="N1883" s="32"/>
      <c r="O1883" s="73"/>
      <c r="P1883" s="73"/>
      <c r="Q1883" s="73"/>
      <c r="R1883" s="73"/>
      <c r="S1883" s="73"/>
      <c r="T1883" s="73"/>
      <c r="U1883" s="73"/>
      <c r="V1883" s="73"/>
      <c r="W1883" s="73"/>
      <c r="X1883" s="73"/>
      <c r="Y1883" s="73"/>
      <c r="Z1883" s="73"/>
    </row>
    <row r="1884" spans="1:26" ht="12.75" customHeight="1">
      <c r="A1884" s="73"/>
      <c r="B1884" s="32"/>
      <c r="C1884" s="32"/>
      <c r="D1884" s="33"/>
      <c r="E1884" s="32"/>
      <c r="F1884" s="32"/>
      <c r="G1884" s="74"/>
      <c r="H1884" s="32"/>
      <c r="I1884" s="32"/>
      <c r="J1884" s="32"/>
      <c r="K1884" s="74"/>
      <c r="L1884" s="75"/>
      <c r="M1884" s="32"/>
      <c r="N1884" s="32"/>
      <c r="O1884" s="73"/>
      <c r="P1884" s="73"/>
      <c r="Q1884" s="73"/>
      <c r="R1884" s="73"/>
      <c r="S1884" s="73"/>
      <c r="T1884" s="73"/>
      <c r="U1884" s="73"/>
      <c r="V1884" s="73"/>
      <c r="W1884" s="73"/>
      <c r="X1884" s="73"/>
      <c r="Y1884" s="73"/>
      <c r="Z1884" s="73"/>
    </row>
    <row r="1885" spans="1:26" ht="12.75" customHeight="1">
      <c r="A1885" s="73"/>
      <c r="B1885" s="32"/>
      <c r="C1885" s="32"/>
      <c r="D1885" s="33"/>
      <c r="E1885" s="32"/>
      <c r="F1885" s="32"/>
      <c r="G1885" s="74"/>
      <c r="H1885" s="32"/>
      <c r="I1885" s="32"/>
      <c r="J1885" s="32"/>
      <c r="K1885" s="74"/>
      <c r="L1885" s="75"/>
      <c r="M1885" s="32"/>
      <c r="N1885" s="32"/>
      <c r="O1885" s="73"/>
      <c r="P1885" s="73"/>
      <c r="Q1885" s="73"/>
      <c r="R1885" s="73"/>
      <c r="S1885" s="73"/>
      <c r="T1885" s="73"/>
      <c r="U1885" s="73"/>
      <c r="V1885" s="73"/>
      <c r="W1885" s="73"/>
      <c r="X1885" s="73"/>
      <c r="Y1885" s="73"/>
      <c r="Z1885" s="73"/>
    </row>
    <row r="1886" spans="1:26" ht="12.75" customHeight="1">
      <c r="A1886" s="73"/>
      <c r="B1886" s="32"/>
      <c r="C1886" s="32"/>
      <c r="D1886" s="33"/>
      <c r="E1886" s="32"/>
      <c r="F1886" s="32"/>
      <c r="G1886" s="74"/>
      <c r="H1886" s="32"/>
      <c r="I1886" s="32"/>
      <c r="J1886" s="32"/>
      <c r="K1886" s="74"/>
      <c r="L1886" s="75"/>
      <c r="M1886" s="32"/>
      <c r="N1886" s="32"/>
      <c r="O1886" s="73"/>
      <c r="P1886" s="73"/>
      <c r="Q1886" s="73"/>
      <c r="R1886" s="73"/>
      <c r="S1886" s="73"/>
      <c r="T1886" s="73"/>
      <c r="U1886" s="73"/>
      <c r="V1886" s="73"/>
      <c r="W1886" s="73"/>
      <c r="X1886" s="73"/>
      <c r="Y1886" s="73"/>
      <c r="Z1886" s="73"/>
    </row>
    <row r="1887" spans="1:26" ht="12.75" customHeight="1">
      <c r="A1887" s="73"/>
      <c r="B1887" s="32"/>
      <c r="C1887" s="32"/>
      <c r="D1887" s="33"/>
      <c r="E1887" s="32"/>
      <c r="F1887" s="32"/>
      <c r="G1887" s="74"/>
      <c r="H1887" s="32"/>
      <c r="I1887" s="32"/>
      <c r="J1887" s="32"/>
      <c r="K1887" s="74"/>
      <c r="L1887" s="75"/>
      <c r="M1887" s="32"/>
      <c r="N1887" s="32"/>
      <c r="O1887" s="73"/>
      <c r="P1887" s="73"/>
      <c r="Q1887" s="73"/>
      <c r="R1887" s="73"/>
      <c r="S1887" s="73"/>
      <c r="T1887" s="73"/>
      <c r="U1887" s="73"/>
      <c r="V1887" s="73"/>
      <c r="W1887" s="73"/>
      <c r="X1887" s="73"/>
      <c r="Y1887" s="73"/>
      <c r="Z1887" s="73"/>
    </row>
    <row r="1888" spans="1:26" ht="12.75" customHeight="1">
      <c r="A1888" s="73"/>
      <c r="B1888" s="32"/>
      <c r="C1888" s="32"/>
      <c r="D1888" s="33"/>
      <c r="E1888" s="32"/>
      <c r="F1888" s="32"/>
      <c r="G1888" s="74"/>
      <c r="H1888" s="32"/>
      <c r="I1888" s="32"/>
      <c r="J1888" s="32"/>
      <c r="K1888" s="74"/>
      <c r="L1888" s="75"/>
      <c r="M1888" s="32"/>
      <c r="N1888" s="32"/>
      <c r="O1888" s="73"/>
      <c r="P1888" s="73"/>
      <c r="Q1888" s="73"/>
      <c r="R1888" s="73"/>
      <c r="S1888" s="73"/>
      <c r="T1888" s="73"/>
      <c r="U1888" s="73"/>
      <c r="V1888" s="73"/>
      <c r="W1888" s="73"/>
      <c r="X1888" s="73"/>
      <c r="Y1888" s="73"/>
      <c r="Z1888" s="73"/>
    </row>
    <row r="1889" spans="1:26" ht="12.75" customHeight="1">
      <c r="A1889" s="73"/>
      <c r="B1889" s="32"/>
      <c r="C1889" s="32"/>
      <c r="D1889" s="33"/>
      <c r="E1889" s="32"/>
      <c r="F1889" s="32"/>
      <c r="G1889" s="74"/>
      <c r="H1889" s="32"/>
      <c r="I1889" s="32"/>
      <c r="J1889" s="32"/>
      <c r="K1889" s="74"/>
      <c r="L1889" s="75"/>
      <c r="M1889" s="32"/>
      <c r="N1889" s="32"/>
      <c r="O1889" s="73"/>
      <c r="P1889" s="73"/>
      <c r="Q1889" s="73"/>
      <c r="R1889" s="73"/>
      <c r="S1889" s="73"/>
      <c r="T1889" s="73"/>
      <c r="U1889" s="73"/>
      <c r="V1889" s="73"/>
      <c r="W1889" s="73"/>
      <c r="X1889" s="73"/>
      <c r="Y1889" s="73"/>
      <c r="Z1889" s="73"/>
    </row>
    <row r="1890" spans="1:26" ht="12.75" customHeight="1">
      <c r="A1890" s="73"/>
      <c r="B1890" s="32"/>
      <c r="C1890" s="32"/>
      <c r="D1890" s="33"/>
      <c r="E1890" s="32"/>
      <c r="F1890" s="32"/>
      <c r="G1890" s="74"/>
      <c r="H1890" s="32"/>
      <c r="I1890" s="32"/>
      <c r="J1890" s="32"/>
      <c r="K1890" s="74"/>
      <c r="L1890" s="75"/>
      <c r="M1890" s="32"/>
      <c r="N1890" s="32"/>
      <c r="O1890" s="73"/>
      <c r="P1890" s="73"/>
      <c r="Q1890" s="73"/>
      <c r="R1890" s="73"/>
      <c r="S1890" s="73"/>
      <c r="T1890" s="73"/>
      <c r="U1890" s="73"/>
      <c r="V1890" s="73"/>
      <c r="W1890" s="73"/>
      <c r="X1890" s="73"/>
      <c r="Y1890" s="73"/>
      <c r="Z1890" s="73"/>
    </row>
    <row r="1891" spans="1:26" ht="12.75" customHeight="1">
      <c r="A1891" s="73"/>
      <c r="B1891" s="32"/>
      <c r="C1891" s="32"/>
      <c r="D1891" s="33"/>
      <c r="E1891" s="32"/>
      <c r="F1891" s="32"/>
      <c r="G1891" s="74"/>
      <c r="H1891" s="32"/>
      <c r="I1891" s="32"/>
      <c r="J1891" s="32"/>
      <c r="K1891" s="74"/>
      <c r="L1891" s="75"/>
      <c r="M1891" s="32"/>
      <c r="N1891" s="32"/>
      <c r="O1891" s="73"/>
      <c r="P1891" s="73"/>
      <c r="Q1891" s="73"/>
      <c r="R1891" s="73"/>
      <c r="S1891" s="73"/>
      <c r="T1891" s="73"/>
      <c r="U1891" s="73"/>
      <c r="V1891" s="73"/>
      <c r="W1891" s="73"/>
      <c r="X1891" s="73"/>
      <c r="Y1891" s="73"/>
      <c r="Z1891" s="73"/>
    </row>
    <row r="1892" spans="1:26" ht="12.75" customHeight="1">
      <c r="A1892" s="73"/>
      <c r="B1892" s="32"/>
      <c r="C1892" s="32"/>
      <c r="D1892" s="33"/>
      <c r="E1892" s="32"/>
      <c r="F1892" s="32"/>
      <c r="G1892" s="74"/>
      <c r="H1892" s="32"/>
      <c r="I1892" s="32"/>
      <c r="J1892" s="32"/>
      <c r="K1892" s="74"/>
      <c r="L1892" s="75"/>
      <c r="M1892" s="32"/>
      <c r="N1892" s="32"/>
      <c r="O1892" s="73"/>
      <c r="P1892" s="73"/>
      <c r="Q1892" s="73"/>
      <c r="R1892" s="73"/>
      <c r="S1892" s="73"/>
      <c r="T1892" s="73"/>
      <c r="U1892" s="73"/>
      <c r="V1892" s="73"/>
      <c r="W1892" s="73"/>
      <c r="X1892" s="73"/>
      <c r="Y1892" s="73"/>
      <c r="Z1892" s="73"/>
    </row>
    <row r="1893" spans="1:26" ht="12.75" customHeight="1">
      <c r="A1893" s="73"/>
      <c r="B1893" s="32"/>
      <c r="C1893" s="32"/>
      <c r="D1893" s="33"/>
      <c r="E1893" s="32"/>
      <c r="F1893" s="32"/>
      <c r="G1893" s="74"/>
      <c r="H1893" s="32"/>
      <c r="I1893" s="32"/>
      <c r="J1893" s="32"/>
      <c r="K1893" s="74"/>
      <c r="L1893" s="75"/>
      <c r="M1893" s="32"/>
      <c r="N1893" s="32"/>
      <c r="O1893" s="73"/>
      <c r="P1893" s="73"/>
      <c r="Q1893" s="73"/>
      <c r="R1893" s="73"/>
      <c r="S1893" s="73"/>
      <c r="T1893" s="73"/>
      <c r="U1893" s="73"/>
      <c r="V1893" s="73"/>
      <c r="W1893" s="73"/>
      <c r="X1893" s="73"/>
      <c r="Y1893" s="73"/>
      <c r="Z1893" s="73"/>
    </row>
    <row r="1894" spans="1:26" ht="12.75" customHeight="1">
      <c r="A1894" s="73"/>
      <c r="B1894" s="32"/>
      <c r="C1894" s="32"/>
      <c r="D1894" s="33"/>
      <c r="E1894" s="32"/>
      <c r="F1894" s="32"/>
      <c r="G1894" s="74"/>
      <c r="H1894" s="32"/>
      <c r="I1894" s="32"/>
      <c r="J1894" s="32"/>
      <c r="K1894" s="74"/>
      <c r="L1894" s="75"/>
      <c r="M1894" s="32"/>
      <c r="N1894" s="32"/>
      <c r="O1894" s="73"/>
      <c r="P1894" s="73"/>
      <c r="Q1894" s="73"/>
      <c r="R1894" s="73"/>
      <c r="S1894" s="73"/>
      <c r="T1894" s="73"/>
      <c r="U1894" s="73"/>
      <c r="V1894" s="73"/>
      <c r="W1894" s="73"/>
      <c r="X1894" s="73"/>
      <c r="Y1894" s="73"/>
      <c r="Z1894" s="73"/>
    </row>
    <row r="1895" spans="1:26" ht="12.75" customHeight="1">
      <c r="A1895" s="73"/>
      <c r="B1895" s="32"/>
      <c r="C1895" s="32"/>
      <c r="D1895" s="33"/>
      <c r="E1895" s="32"/>
      <c r="F1895" s="32"/>
      <c r="G1895" s="74"/>
      <c r="H1895" s="32"/>
      <c r="I1895" s="32"/>
      <c r="J1895" s="32"/>
      <c r="K1895" s="74"/>
      <c r="L1895" s="75"/>
      <c r="M1895" s="32"/>
      <c r="N1895" s="32"/>
      <c r="O1895" s="73"/>
      <c r="P1895" s="73"/>
      <c r="Q1895" s="73"/>
      <c r="R1895" s="73"/>
      <c r="S1895" s="73"/>
      <c r="T1895" s="73"/>
      <c r="U1895" s="73"/>
      <c r="V1895" s="73"/>
      <c r="W1895" s="73"/>
      <c r="X1895" s="73"/>
      <c r="Y1895" s="73"/>
      <c r="Z1895" s="73"/>
    </row>
    <row r="1896" spans="1:26" ht="12.75" customHeight="1">
      <c r="A1896" s="73"/>
      <c r="B1896" s="32"/>
      <c r="C1896" s="32"/>
      <c r="D1896" s="33"/>
      <c r="E1896" s="32"/>
      <c r="F1896" s="32"/>
      <c r="G1896" s="74"/>
      <c r="H1896" s="32"/>
      <c r="I1896" s="32"/>
      <c r="J1896" s="32"/>
      <c r="K1896" s="74"/>
      <c r="L1896" s="75"/>
      <c r="M1896" s="32"/>
      <c r="N1896" s="32"/>
      <c r="O1896" s="73"/>
      <c r="P1896" s="73"/>
      <c r="Q1896" s="73"/>
      <c r="R1896" s="73"/>
      <c r="S1896" s="73"/>
      <c r="T1896" s="73"/>
      <c r="U1896" s="73"/>
      <c r="V1896" s="73"/>
      <c r="W1896" s="73"/>
      <c r="X1896" s="73"/>
      <c r="Y1896" s="73"/>
      <c r="Z1896" s="73"/>
    </row>
    <row r="1897" spans="1:26" ht="12.75" customHeight="1">
      <c r="A1897" s="73"/>
      <c r="B1897" s="32"/>
      <c r="C1897" s="32"/>
      <c r="D1897" s="33"/>
      <c r="E1897" s="32"/>
      <c r="F1897" s="32"/>
      <c r="G1897" s="74"/>
      <c r="H1897" s="32"/>
      <c r="I1897" s="32"/>
      <c r="J1897" s="32"/>
      <c r="K1897" s="74"/>
      <c r="L1897" s="75"/>
      <c r="M1897" s="32"/>
      <c r="N1897" s="32"/>
      <c r="O1897" s="73"/>
      <c r="P1897" s="73"/>
      <c r="Q1897" s="73"/>
      <c r="R1897" s="73"/>
      <c r="S1897" s="73"/>
      <c r="T1897" s="73"/>
      <c r="U1897" s="73"/>
      <c r="V1897" s="73"/>
      <c r="W1897" s="73"/>
      <c r="X1897" s="73"/>
      <c r="Y1897" s="73"/>
      <c r="Z1897" s="73"/>
    </row>
    <row r="1898" spans="1:26" ht="12.75" customHeight="1">
      <c r="A1898" s="73"/>
      <c r="B1898" s="32"/>
      <c r="C1898" s="32"/>
      <c r="D1898" s="33"/>
      <c r="E1898" s="32"/>
      <c r="F1898" s="32"/>
      <c r="G1898" s="74"/>
      <c r="H1898" s="32"/>
      <c r="I1898" s="32"/>
      <c r="J1898" s="32"/>
      <c r="K1898" s="74"/>
      <c r="L1898" s="75"/>
      <c r="M1898" s="32"/>
      <c r="N1898" s="32"/>
      <c r="O1898" s="73"/>
      <c r="P1898" s="73"/>
      <c r="Q1898" s="73"/>
      <c r="R1898" s="73"/>
      <c r="S1898" s="73"/>
      <c r="T1898" s="73"/>
      <c r="U1898" s="73"/>
      <c r="V1898" s="73"/>
      <c r="W1898" s="73"/>
      <c r="X1898" s="73"/>
      <c r="Y1898" s="73"/>
      <c r="Z1898" s="73"/>
    </row>
    <row r="1899" spans="1:26" ht="12.75" customHeight="1">
      <c r="A1899" s="73"/>
      <c r="B1899" s="32"/>
      <c r="C1899" s="32"/>
      <c r="D1899" s="33"/>
      <c r="E1899" s="32"/>
      <c r="F1899" s="32"/>
      <c r="G1899" s="74"/>
      <c r="H1899" s="32"/>
      <c r="I1899" s="32"/>
      <c r="J1899" s="32"/>
      <c r="K1899" s="74"/>
      <c r="L1899" s="75"/>
      <c r="M1899" s="32"/>
      <c r="N1899" s="32"/>
      <c r="O1899" s="73"/>
      <c r="P1899" s="73"/>
      <c r="Q1899" s="73"/>
      <c r="R1899" s="73"/>
      <c r="S1899" s="73"/>
      <c r="T1899" s="73"/>
      <c r="U1899" s="73"/>
      <c r="V1899" s="73"/>
      <c r="W1899" s="73"/>
      <c r="X1899" s="73"/>
      <c r="Y1899" s="73"/>
      <c r="Z1899" s="73"/>
    </row>
    <row r="1900" spans="1:26" ht="12.75" customHeight="1">
      <c r="A1900" s="73"/>
      <c r="B1900" s="32"/>
      <c r="C1900" s="32"/>
      <c r="D1900" s="33"/>
      <c r="E1900" s="32"/>
      <c r="F1900" s="32"/>
      <c r="G1900" s="74"/>
      <c r="H1900" s="32"/>
      <c r="I1900" s="32"/>
      <c r="J1900" s="32"/>
      <c r="K1900" s="74"/>
      <c r="L1900" s="75"/>
      <c r="M1900" s="32"/>
      <c r="N1900" s="32"/>
      <c r="O1900" s="73"/>
      <c r="P1900" s="73"/>
      <c r="Q1900" s="73"/>
      <c r="R1900" s="73"/>
      <c r="S1900" s="73"/>
      <c r="T1900" s="73"/>
      <c r="U1900" s="73"/>
      <c r="V1900" s="73"/>
      <c r="W1900" s="73"/>
      <c r="X1900" s="73"/>
      <c r="Y1900" s="73"/>
      <c r="Z1900" s="73"/>
    </row>
    <row r="1901" spans="1:26" ht="12.75" customHeight="1">
      <c r="A1901" s="73"/>
      <c r="B1901" s="32"/>
      <c r="C1901" s="32"/>
      <c r="D1901" s="33"/>
      <c r="E1901" s="32"/>
      <c r="F1901" s="32"/>
      <c r="G1901" s="74"/>
      <c r="H1901" s="32"/>
      <c r="I1901" s="32"/>
      <c r="J1901" s="32"/>
      <c r="K1901" s="74"/>
      <c r="L1901" s="75"/>
      <c r="M1901" s="32"/>
      <c r="N1901" s="32"/>
      <c r="O1901" s="73"/>
      <c r="P1901" s="73"/>
      <c r="Q1901" s="73"/>
      <c r="R1901" s="73"/>
      <c r="S1901" s="73"/>
      <c r="T1901" s="73"/>
      <c r="U1901" s="73"/>
      <c r="V1901" s="73"/>
      <c r="W1901" s="73"/>
      <c r="X1901" s="73"/>
      <c r="Y1901" s="73"/>
      <c r="Z1901" s="73"/>
    </row>
    <row r="1902" spans="1:26" ht="12.75" customHeight="1">
      <c r="A1902" s="73"/>
      <c r="B1902" s="32"/>
      <c r="C1902" s="32"/>
      <c r="D1902" s="33"/>
      <c r="E1902" s="32"/>
      <c r="F1902" s="32"/>
      <c r="G1902" s="74"/>
      <c r="H1902" s="32"/>
      <c r="I1902" s="32"/>
      <c r="J1902" s="32"/>
      <c r="K1902" s="74"/>
      <c r="L1902" s="75"/>
      <c r="M1902" s="32"/>
      <c r="N1902" s="32"/>
      <c r="O1902" s="73"/>
      <c r="P1902" s="73"/>
      <c r="Q1902" s="73"/>
      <c r="R1902" s="73"/>
      <c r="S1902" s="73"/>
      <c r="T1902" s="73"/>
      <c r="U1902" s="73"/>
      <c r="V1902" s="73"/>
      <c r="W1902" s="73"/>
      <c r="X1902" s="73"/>
      <c r="Y1902" s="73"/>
      <c r="Z1902" s="73"/>
    </row>
    <row r="1903" spans="1:26" ht="12.75" customHeight="1">
      <c r="A1903" s="73"/>
      <c r="B1903" s="32"/>
      <c r="C1903" s="32"/>
      <c r="D1903" s="33"/>
      <c r="E1903" s="32"/>
      <c r="F1903" s="32"/>
      <c r="G1903" s="74"/>
      <c r="H1903" s="32"/>
      <c r="I1903" s="32"/>
      <c r="J1903" s="32"/>
      <c r="K1903" s="74"/>
      <c r="L1903" s="75"/>
      <c r="M1903" s="32"/>
      <c r="N1903" s="32"/>
      <c r="O1903" s="73"/>
      <c r="P1903" s="73"/>
      <c r="Q1903" s="73"/>
      <c r="R1903" s="73"/>
      <c r="S1903" s="73"/>
      <c r="T1903" s="73"/>
      <c r="U1903" s="73"/>
      <c r="V1903" s="73"/>
      <c r="W1903" s="73"/>
      <c r="X1903" s="73"/>
      <c r="Y1903" s="73"/>
      <c r="Z1903" s="73"/>
    </row>
    <row r="1904" spans="1:26" ht="12.75" customHeight="1">
      <c r="A1904" s="73"/>
      <c r="B1904" s="32"/>
      <c r="C1904" s="32"/>
      <c r="D1904" s="33"/>
      <c r="E1904" s="32"/>
      <c r="F1904" s="32"/>
      <c r="G1904" s="74"/>
      <c r="H1904" s="32"/>
      <c r="I1904" s="32"/>
      <c r="J1904" s="32"/>
      <c r="K1904" s="74"/>
      <c r="L1904" s="75"/>
      <c r="M1904" s="32"/>
      <c r="N1904" s="32"/>
      <c r="O1904" s="73"/>
      <c r="P1904" s="73"/>
      <c r="Q1904" s="73"/>
      <c r="R1904" s="73"/>
      <c r="S1904" s="73"/>
      <c r="T1904" s="73"/>
      <c r="U1904" s="73"/>
      <c r="V1904" s="73"/>
      <c r="W1904" s="73"/>
      <c r="X1904" s="73"/>
      <c r="Y1904" s="73"/>
      <c r="Z1904" s="73"/>
    </row>
    <row r="1905" spans="1:26" ht="12.75" customHeight="1">
      <c r="A1905" s="73"/>
      <c r="B1905" s="32"/>
      <c r="C1905" s="32"/>
      <c r="D1905" s="33"/>
      <c r="E1905" s="32"/>
      <c r="F1905" s="32"/>
      <c r="G1905" s="74"/>
      <c r="H1905" s="32"/>
      <c r="I1905" s="32"/>
      <c r="J1905" s="32"/>
      <c r="K1905" s="74"/>
      <c r="L1905" s="75"/>
      <c r="M1905" s="32"/>
      <c r="N1905" s="32"/>
      <c r="O1905" s="73"/>
      <c r="P1905" s="73"/>
      <c r="Q1905" s="73"/>
      <c r="R1905" s="73"/>
      <c r="S1905" s="73"/>
      <c r="T1905" s="73"/>
      <c r="U1905" s="73"/>
      <c r="V1905" s="73"/>
      <c r="W1905" s="73"/>
      <c r="X1905" s="73"/>
      <c r="Y1905" s="73"/>
      <c r="Z1905" s="73"/>
    </row>
    <row r="1906" spans="1:26" ht="12.75" customHeight="1">
      <c r="A1906" s="73"/>
      <c r="B1906" s="32"/>
      <c r="C1906" s="32"/>
      <c r="D1906" s="33"/>
      <c r="E1906" s="32"/>
      <c r="F1906" s="32"/>
      <c r="G1906" s="74"/>
      <c r="H1906" s="32"/>
      <c r="I1906" s="32"/>
      <c r="J1906" s="32"/>
      <c r="K1906" s="74"/>
      <c r="L1906" s="75"/>
      <c r="M1906" s="32"/>
      <c r="N1906" s="32"/>
      <c r="O1906" s="73"/>
      <c r="P1906" s="73"/>
      <c r="Q1906" s="73"/>
      <c r="R1906" s="73"/>
      <c r="S1906" s="73"/>
      <c r="T1906" s="73"/>
      <c r="U1906" s="73"/>
      <c r="V1906" s="73"/>
      <c r="W1906" s="73"/>
      <c r="X1906" s="73"/>
      <c r="Y1906" s="73"/>
      <c r="Z1906" s="73"/>
    </row>
    <row r="1907" spans="1:26" ht="12.75" customHeight="1">
      <c r="A1907" s="73"/>
      <c r="B1907" s="32"/>
      <c r="C1907" s="32"/>
      <c r="D1907" s="33"/>
      <c r="E1907" s="32"/>
      <c r="F1907" s="32"/>
      <c r="G1907" s="74"/>
      <c r="H1907" s="32"/>
      <c r="I1907" s="32"/>
      <c r="J1907" s="32"/>
      <c r="K1907" s="74"/>
      <c r="L1907" s="75"/>
      <c r="M1907" s="32"/>
      <c r="N1907" s="32"/>
      <c r="O1907" s="73"/>
      <c r="P1907" s="73"/>
      <c r="Q1907" s="73"/>
      <c r="R1907" s="73"/>
      <c r="S1907" s="73"/>
      <c r="T1907" s="73"/>
      <c r="U1907" s="73"/>
      <c r="V1907" s="73"/>
      <c r="W1907" s="73"/>
      <c r="X1907" s="73"/>
      <c r="Y1907" s="73"/>
      <c r="Z1907" s="73"/>
    </row>
    <row r="1908" spans="1:26" ht="12.75" customHeight="1">
      <c r="A1908" s="73"/>
      <c r="B1908" s="32"/>
      <c r="C1908" s="32"/>
      <c r="D1908" s="33"/>
      <c r="E1908" s="32"/>
      <c r="F1908" s="32"/>
      <c r="G1908" s="74"/>
      <c r="H1908" s="32"/>
      <c r="I1908" s="32"/>
      <c r="J1908" s="32"/>
      <c r="K1908" s="74"/>
      <c r="L1908" s="75"/>
      <c r="M1908" s="32"/>
      <c r="N1908" s="32"/>
      <c r="O1908" s="73"/>
      <c r="P1908" s="73"/>
      <c r="Q1908" s="73"/>
      <c r="R1908" s="73"/>
      <c r="S1908" s="73"/>
      <c r="T1908" s="73"/>
      <c r="U1908" s="73"/>
      <c r="V1908" s="73"/>
      <c r="W1908" s="73"/>
      <c r="X1908" s="73"/>
      <c r="Y1908" s="73"/>
      <c r="Z1908" s="73"/>
    </row>
    <row r="1909" spans="1:26" ht="12.75" customHeight="1">
      <c r="A1909" s="73"/>
      <c r="B1909" s="32"/>
      <c r="C1909" s="32"/>
      <c r="D1909" s="33"/>
      <c r="E1909" s="32"/>
      <c r="F1909" s="32"/>
      <c r="G1909" s="74"/>
      <c r="H1909" s="32"/>
      <c r="I1909" s="32"/>
      <c r="J1909" s="32"/>
      <c r="K1909" s="74"/>
      <c r="L1909" s="75"/>
      <c r="M1909" s="32"/>
      <c r="N1909" s="32"/>
      <c r="O1909" s="73"/>
      <c r="P1909" s="73"/>
      <c r="Q1909" s="73"/>
      <c r="R1909" s="73"/>
      <c r="S1909" s="73"/>
      <c r="T1909" s="73"/>
      <c r="U1909" s="73"/>
      <c r="V1909" s="73"/>
      <c r="W1909" s="73"/>
      <c r="X1909" s="73"/>
      <c r="Y1909" s="73"/>
      <c r="Z1909" s="73"/>
    </row>
    <row r="1910" spans="1:26" ht="12.75" customHeight="1">
      <c r="A1910" s="73"/>
      <c r="B1910" s="32"/>
      <c r="C1910" s="32"/>
      <c r="D1910" s="33"/>
      <c r="E1910" s="32"/>
      <c r="F1910" s="32"/>
      <c r="G1910" s="74"/>
      <c r="H1910" s="32"/>
      <c r="I1910" s="32"/>
      <c r="J1910" s="32"/>
      <c r="K1910" s="74"/>
      <c r="L1910" s="75"/>
      <c r="M1910" s="32"/>
      <c r="N1910" s="32"/>
      <c r="O1910" s="73"/>
      <c r="P1910" s="73"/>
      <c r="Q1910" s="73"/>
      <c r="R1910" s="73"/>
      <c r="S1910" s="73"/>
      <c r="T1910" s="73"/>
      <c r="U1910" s="73"/>
      <c r="V1910" s="73"/>
      <c r="W1910" s="73"/>
      <c r="X1910" s="73"/>
      <c r="Y1910" s="73"/>
      <c r="Z1910" s="73"/>
    </row>
    <row r="1911" spans="1:26" ht="12.75" customHeight="1">
      <c r="A1911" s="73"/>
      <c r="B1911" s="32"/>
      <c r="C1911" s="32"/>
      <c r="D1911" s="33"/>
      <c r="E1911" s="32"/>
      <c r="F1911" s="32"/>
      <c r="G1911" s="74"/>
      <c r="H1911" s="32"/>
      <c r="I1911" s="32"/>
      <c r="J1911" s="32"/>
      <c r="K1911" s="74"/>
      <c r="L1911" s="75"/>
      <c r="M1911" s="32"/>
      <c r="N1911" s="32"/>
      <c r="O1911" s="73"/>
      <c r="P1911" s="73"/>
      <c r="Q1911" s="73"/>
      <c r="R1911" s="73"/>
      <c r="S1911" s="73"/>
      <c r="T1911" s="73"/>
      <c r="U1911" s="73"/>
      <c r="V1911" s="73"/>
      <c r="W1911" s="73"/>
      <c r="X1911" s="73"/>
      <c r="Y1911" s="73"/>
      <c r="Z1911" s="73"/>
    </row>
    <row r="1912" spans="1:26" ht="12.75" customHeight="1">
      <c r="A1912" s="73"/>
      <c r="B1912" s="32"/>
      <c r="C1912" s="32"/>
      <c r="D1912" s="33"/>
      <c r="E1912" s="32"/>
      <c r="F1912" s="32"/>
      <c r="G1912" s="74"/>
      <c r="H1912" s="32"/>
      <c r="I1912" s="32"/>
      <c r="J1912" s="32"/>
      <c r="K1912" s="74"/>
      <c r="L1912" s="75"/>
      <c r="M1912" s="32"/>
      <c r="N1912" s="32"/>
      <c r="O1912" s="73"/>
      <c r="P1912" s="73"/>
      <c r="Q1912" s="73"/>
      <c r="R1912" s="73"/>
      <c r="S1912" s="73"/>
      <c r="T1912" s="73"/>
      <c r="U1912" s="73"/>
      <c r="V1912" s="73"/>
      <c r="W1912" s="73"/>
      <c r="X1912" s="73"/>
      <c r="Y1912" s="73"/>
      <c r="Z1912" s="73"/>
    </row>
    <row r="1913" spans="1:26" ht="12.75" customHeight="1">
      <c r="A1913" s="73"/>
      <c r="B1913" s="32"/>
      <c r="C1913" s="32"/>
      <c r="D1913" s="33"/>
      <c r="E1913" s="32"/>
      <c r="F1913" s="32"/>
      <c r="G1913" s="74"/>
      <c r="H1913" s="32"/>
      <c r="I1913" s="32"/>
      <c r="J1913" s="32"/>
      <c r="K1913" s="74"/>
      <c r="L1913" s="75"/>
      <c r="M1913" s="32"/>
      <c r="N1913" s="32"/>
      <c r="O1913" s="73"/>
      <c r="P1913" s="73"/>
      <c r="Q1913" s="73"/>
      <c r="R1913" s="73"/>
      <c r="S1913" s="73"/>
      <c r="T1913" s="73"/>
      <c r="U1913" s="73"/>
      <c r="V1913" s="73"/>
      <c r="W1913" s="73"/>
      <c r="X1913" s="73"/>
      <c r="Y1913" s="73"/>
      <c r="Z1913" s="73"/>
    </row>
    <row r="1914" spans="1:26" ht="12.75" customHeight="1">
      <c r="A1914" s="73"/>
      <c r="B1914" s="32"/>
      <c r="C1914" s="32"/>
      <c r="D1914" s="33"/>
      <c r="E1914" s="32"/>
      <c r="F1914" s="32"/>
      <c r="G1914" s="74"/>
      <c r="H1914" s="32"/>
      <c r="I1914" s="32"/>
      <c r="J1914" s="32"/>
      <c r="K1914" s="74"/>
      <c r="L1914" s="75"/>
      <c r="M1914" s="32"/>
      <c r="N1914" s="32"/>
      <c r="O1914" s="73"/>
      <c r="P1914" s="73"/>
      <c r="Q1914" s="73"/>
      <c r="R1914" s="73"/>
      <c r="S1914" s="73"/>
      <c r="T1914" s="73"/>
      <c r="U1914" s="73"/>
      <c r="V1914" s="73"/>
      <c r="W1914" s="73"/>
      <c r="X1914" s="73"/>
      <c r="Y1914" s="73"/>
      <c r="Z1914" s="73"/>
    </row>
    <row r="1915" spans="1:26" ht="12.75" customHeight="1">
      <c r="A1915" s="73"/>
      <c r="B1915" s="32"/>
      <c r="C1915" s="32"/>
      <c r="D1915" s="33"/>
      <c r="E1915" s="32"/>
      <c r="F1915" s="32"/>
      <c r="G1915" s="74"/>
      <c r="H1915" s="32"/>
      <c r="I1915" s="32"/>
      <c r="J1915" s="32"/>
      <c r="K1915" s="74"/>
      <c r="L1915" s="75"/>
      <c r="M1915" s="32"/>
      <c r="N1915" s="32"/>
      <c r="O1915" s="73"/>
      <c r="P1915" s="73"/>
      <c r="Q1915" s="73"/>
      <c r="R1915" s="73"/>
      <c r="S1915" s="73"/>
      <c r="T1915" s="73"/>
      <c r="U1915" s="73"/>
      <c r="V1915" s="73"/>
      <c r="W1915" s="73"/>
      <c r="X1915" s="73"/>
      <c r="Y1915" s="73"/>
      <c r="Z1915" s="73"/>
    </row>
    <row r="1916" spans="1:26" ht="12.75" customHeight="1">
      <c r="A1916" s="73"/>
      <c r="B1916" s="32"/>
      <c r="C1916" s="32"/>
      <c r="D1916" s="33"/>
      <c r="E1916" s="32"/>
      <c r="F1916" s="32"/>
      <c r="G1916" s="74"/>
      <c r="H1916" s="32"/>
      <c r="I1916" s="32"/>
      <c r="J1916" s="32"/>
      <c r="K1916" s="74"/>
      <c r="L1916" s="75"/>
      <c r="M1916" s="32"/>
      <c r="N1916" s="32"/>
      <c r="O1916" s="73"/>
      <c r="P1916" s="73"/>
      <c r="Q1916" s="73"/>
      <c r="R1916" s="73"/>
      <c r="S1916" s="73"/>
      <c r="T1916" s="73"/>
      <c r="U1916" s="73"/>
      <c r="V1916" s="73"/>
      <c r="W1916" s="73"/>
      <c r="X1916" s="73"/>
      <c r="Y1916" s="73"/>
      <c r="Z1916" s="73"/>
    </row>
    <row r="1917" spans="1:26" ht="12.75" customHeight="1">
      <c r="A1917" s="73"/>
      <c r="B1917" s="32"/>
      <c r="C1917" s="32"/>
      <c r="D1917" s="33"/>
      <c r="E1917" s="32"/>
      <c r="F1917" s="32"/>
      <c r="G1917" s="74"/>
      <c r="H1917" s="32"/>
      <c r="I1917" s="32"/>
      <c r="J1917" s="32"/>
      <c r="K1917" s="74"/>
      <c r="L1917" s="75"/>
      <c r="M1917" s="32"/>
      <c r="N1917" s="32"/>
      <c r="O1917" s="73"/>
      <c r="P1917" s="73"/>
      <c r="Q1917" s="73"/>
      <c r="R1917" s="73"/>
      <c r="S1917" s="73"/>
      <c r="T1917" s="73"/>
      <c r="U1917" s="73"/>
      <c r="V1917" s="73"/>
      <c r="W1917" s="73"/>
      <c r="X1917" s="73"/>
      <c r="Y1917" s="73"/>
      <c r="Z1917" s="73"/>
    </row>
    <row r="1918" spans="1:26" ht="12.75" customHeight="1">
      <c r="A1918" s="73"/>
      <c r="B1918" s="32"/>
      <c r="C1918" s="32"/>
      <c r="D1918" s="33"/>
      <c r="E1918" s="32"/>
      <c r="F1918" s="32"/>
      <c r="G1918" s="74"/>
      <c r="H1918" s="32"/>
      <c r="I1918" s="32"/>
      <c r="J1918" s="32"/>
      <c r="K1918" s="74"/>
      <c r="L1918" s="75"/>
      <c r="M1918" s="32"/>
      <c r="N1918" s="32"/>
      <c r="O1918" s="73"/>
      <c r="P1918" s="73"/>
      <c r="Q1918" s="73"/>
      <c r="R1918" s="73"/>
      <c r="S1918" s="73"/>
      <c r="T1918" s="73"/>
      <c r="U1918" s="73"/>
      <c r="V1918" s="73"/>
      <c r="W1918" s="73"/>
      <c r="X1918" s="73"/>
      <c r="Y1918" s="73"/>
      <c r="Z1918" s="73"/>
    </row>
    <row r="1919" spans="1:26" ht="12.75" customHeight="1">
      <c r="A1919" s="73"/>
      <c r="B1919" s="32"/>
      <c r="C1919" s="32"/>
      <c r="D1919" s="33"/>
      <c r="E1919" s="32"/>
      <c r="F1919" s="32"/>
      <c r="G1919" s="74"/>
      <c r="H1919" s="32"/>
      <c r="I1919" s="32"/>
      <c r="J1919" s="32"/>
      <c r="K1919" s="74"/>
      <c r="L1919" s="75"/>
      <c r="M1919" s="32"/>
      <c r="N1919" s="32"/>
      <c r="O1919" s="73"/>
      <c r="P1919" s="73"/>
      <c r="Q1919" s="73"/>
      <c r="R1919" s="73"/>
      <c r="S1919" s="73"/>
      <c r="T1919" s="73"/>
      <c r="U1919" s="73"/>
      <c r="V1919" s="73"/>
      <c r="W1919" s="73"/>
      <c r="X1919" s="73"/>
      <c r="Y1919" s="73"/>
      <c r="Z1919" s="73"/>
    </row>
    <row r="1920" spans="1:26" ht="12.75" customHeight="1">
      <c r="A1920" s="73"/>
      <c r="B1920" s="32"/>
      <c r="C1920" s="32"/>
      <c r="D1920" s="33"/>
      <c r="E1920" s="32"/>
      <c r="F1920" s="32"/>
      <c r="G1920" s="74"/>
      <c r="H1920" s="32"/>
      <c r="I1920" s="32"/>
      <c r="J1920" s="32"/>
      <c r="K1920" s="74"/>
      <c r="L1920" s="75"/>
      <c r="M1920" s="32"/>
      <c r="N1920" s="32"/>
      <c r="O1920" s="73"/>
      <c r="P1920" s="73"/>
      <c r="Q1920" s="73"/>
      <c r="R1920" s="73"/>
      <c r="S1920" s="73"/>
      <c r="T1920" s="73"/>
      <c r="U1920" s="73"/>
      <c r="V1920" s="73"/>
      <c r="W1920" s="73"/>
      <c r="X1920" s="73"/>
      <c r="Y1920" s="73"/>
      <c r="Z1920" s="73"/>
    </row>
    <row r="1921" spans="1:26" ht="12.75" customHeight="1">
      <c r="A1921" s="73"/>
      <c r="B1921" s="32"/>
      <c r="C1921" s="32"/>
      <c r="D1921" s="33"/>
      <c r="E1921" s="32"/>
      <c r="F1921" s="32"/>
      <c r="G1921" s="74"/>
      <c r="H1921" s="32"/>
      <c r="I1921" s="32"/>
      <c r="J1921" s="32"/>
      <c r="K1921" s="74"/>
      <c r="L1921" s="75"/>
      <c r="M1921" s="32"/>
      <c r="N1921" s="32"/>
      <c r="O1921" s="73"/>
      <c r="P1921" s="73"/>
      <c r="Q1921" s="73"/>
      <c r="R1921" s="73"/>
      <c r="S1921" s="73"/>
      <c r="T1921" s="73"/>
      <c r="U1921" s="73"/>
      <c r="V1921" s="73"/>
      <c r="W1921" s="73"/>
      <c r="X1921" s="73"/>
      <c r="Y1921" s="73"/>
      <c r="Z1921" s="73"/>
    </row>
    <row r="1922" spans="1:26" ht="12.75" customHeight="1">
      <c r="A1922" s="73"/>
      <c r="B1922" s="32"/>
      <c r="C1922" s="32"/>
      <c r="D1922" s="33"/>
      <c r="E1922" s="32"/>
      <c r="F1922" s="32"/>
      <c r="G1922" s="74"/>
      <c r="H1922" s="32"/>
      <c r="I1922" s="32"/>
      <c r="J1922" s="32"/>
      <c r="K1922" s="74"/>
      <c r="L1922" s="75"/>
      <c r="M1922" s="32"/>
      <c r="N1922" s="32"/>
      <c r="O1922" s="73"/>
      <c r="P1922" s="73"/>
      <c r="Q1922" s="73"/>
      <c r="R1922" s="73"/>
      <c r="S1922" s="73"/>
      <c r="T1922" s="73"/>
      <c r="U1922" s="73"/>
      <c r="V1922" s="73"/>
      <c r="W1922" s="73"/>
      <c r="X1922" s="73"/>
      <c r="Y1922" s="73"/>
      <c r="Z1922" s="73"/>
    </row>
    <row r="1923" spans="1:26" ht="12.75" customHeight="1">
      <c r="A1923" s="73"/>
      <c r="B1923" s="32"/>
      <c r="C1923" s="32"/>
      <c r="D1923" s="33"/>
      <c r="E1923" s="32"/>
      <c r="F1923" s="32"/>
      <c r="G1923" s="74"/>
      <c r="H1923" s="32"/>
      <c r="I1923" s="32"/>
      <c r="J1923" s="32"/>
      <c r="K1923" s="74"/>
      <c r="L1923" s="75"/>
      <c r="M1923" s="32"/>
      <c r="N1923" s="32"/>
      <c r="O1923" s="73"/>
      <c r="P1923" s="73"/>
      <c r="Q1923" s="73"/>
      <c r="R1923" s="73"/>
      <c r="S1923" s="73"/>
      <c r="T1923" s="73"/>
      <c r="U1923" s="73"/>
      <c r="V1923" s="73"/>
      <c r="W1923" s="73"/>
      <c r="X1923" s="73"/>
      <c r="Y1923" s="73"/>
      <c r="Z1923" s="73"/>
    </row>
    <row r="1924" spans="1:26" ht="12.75" customHeight="1">
      <c r="A1924" s="73"/>
      <c r="B1924" s="32"/>
      <c r="C1924" s="32"/>
      <c r="D1924" s="33"/>
      <c r="E1924" s="32"/>
      <c r="F1924" s="32"/>
      <c r="G1924" s="74"/>
      <c r="H1924" s="32"/>
      <c r="I1924" s="32"/>
      <c r="J1924" s="32"/>
      <c r="K1924" s="74"/>
      <c r="L1924" s="75"/>
      <c r="M1924" s="32"/>
      <c r="N1924" s="32"/>
      <c r="O1924" s="73"/>
      <c r="P1924" s="73"/>
      <c r="Q1924" s="73"/>
      <c r="R1924" s="73"/>
      <c r="S1924" s="73"/>
      <c r="T1924" s="73"/>
      <c r="U1924" s="73"/>
      <c r="V1924" s="73"/>
      <c r="W1924" s="73"/>
      <c r="X1924" s="73"/>
      <c r="Y1924" s="73"/>
      <c r="Z1924" s="73"/>
    </row>
    <row r="1925" spans="1:26" ht="12.75" customHeight="1">
      <c r="A1925" s="73"/>
      <c r="B1925" s="32"/>
      <c r="C1925" s="32"/>
      <c r="D1925" s="33"/>
      <c r="E1925" s="32"/>
      <c r="F1925" s="32"/>
      <c r="G1925" s="74"/>
      <c r="H1925" s="32"/>
      <c r="I1925" s="32"/>
      <c r="J1925" s="32"/>
      <c r="K1925" s="74"/>
      <c r="L1925" s="75"/>
      <c r="M1925" s="32"/>
      <c r="N1925" s="32"/>
      <c r="O1925" s="73"/>
      <c r="P1925" s="73"/>
      <c r="Q1925" s="73"/>
      <c r="R1925" s="73"/>
      <c r="S1925" s="73"/>
      <c r="T1925" s="73"/>
      <c r="U1925" s="73"/>
      <c r="V1925" s="73"/>
      <c r="W1925" s="73"/>
      <c r="X1925" s="73"/>
      <c r="Y1925" s="73"/>
      <c r="Z1925" s="73"/>
    </row>
    <row r="1926" spans="1:26" ht="12.75" customHeight="1">
      <c r="A1926" s="73"/>
      <c r="B1926" s="32"/>
      <c r="C1926" s="32"/>
      <c r="D1926" s="33"/>
      <c r="E1926" s="32"/>
      <c r="F1926" s="32"/>
      <c r="G1926" s="74"/>
      <c r="H1926" s="32"/>
      <c r="I1926" s="32"/>
      <c r="J1926" s="32"/>
      <c r="K1926" s="74"/>
      <c r="L1926" s="75"/>
      <c r="M1926" s="32"/>
      <c r="N1926" s="32"/>
      <c r="O1926" s="73"/>
      <c r="P1926" s="73"/>
      <c r="Q1926" s="73"/>
      <c r="R1926" s="73"/>
      <c r="S1926" s="73"/>
      <c r="T1926" s="73"/>
      <c r="U1926" s="73"/>
      <c r="V1926" s="73"/>
      <c r="W1926" s="73"/>
      <c r="X1926" s="73"/>
      <c r="Y1926" s="73"/>
      <c r="Z1926" s="73"/>
    </row>
    <row r="1927" spans="1:26" ht="12.75" customHeight="1">
      <c r="A1927" s="73"/>
      <c r="B1927" s="32"/>
      <c r="C1927" s="32"/>
      <c r="D1927" s="33"/>
      <c r="E1927" s="32"/>
      <c r="F1927" s="32"/>
      <c r="G1927" s="74"/>
      <c r="H1927" s="32"/>
      <c r="I1927" s="32"/>
      <c r="J1927" s="32"/>
      <c r="K1927" s="74"/>
      <c r="L1927" s="75"/>
      <c r="M1927" s="32"/>
      <c r="N1927" s="32"/>
      <c r="O1927" s="73"/>
      <c r="P1927" s="73"/>
      <c r="Q1927" s="73"/>
      <c r="R1927" s="73"/>
      <c r="S1927" s="73"/>
      <c r="T1927" s="73"/>
      <c r="U1927" s="73"/>
      <c r="V1927" s="73"/>
      <c r="W1927" s="73"/>
      <c r="X1927" s="73"/>
      <c r="Y1927" s="73"/>
      <c r="Z1927" s="73"/>
    </row>
    <row r="1928" spans="1:26" ht="12.75" customHeight="1">
      <c r="A1928" s="73"/>
      <c r="B1928" s="32"/>
      <c r="C1928" s="32"/>
      <c r="D1928" s="33"/>
      <c r="E1928" s="32"/>
      <c r="F1928" s="32"/>
      <c r="G1928" s="74"/>
      <c r="H1928" s="32"/>
      <c r="I1928" s="32"/>
      <c r="J1928" s="32"/>
      <c r="K1928" s="74"/>
      <c r="L1928" s="75"/>
      <c r="M1928" s="32"/>
      <c r="N1928" s="32"/>
      <c r="O1928" s="73"/>
      <c r="P1928" s="73"/>
      <c r="Q1928" s="73"/>
      <c r="R1928" s="73"/>
      <c r="S1928" s="73"/>
      <c r="T1928" s="73"/>
      <c r="U1928" s="73"/>
      <c r="V1928" s="73"/>
      <c r="W1928" s="73"/>
      <c r="X1928" s="73"/>
      <c r="Y1928" s="73"/>
      <c r="Z1928" s="73"/>
    </row>
    <row r="1929" spans="1:26" ht="12.75" customHeight="1">
      <c r="A1929" s="73"/>
      <c r="B1929" s="32"/>
      <c r="C1929" s="32"/>
      <c r="D1929" s="33"/>
      <c r="E1929" s="32"/>
      <c r="F1929" s="32"/>
      <c r="G1929" s="74"/>
      <c r="H1929" s="32"/>
      <c r="I1929" s="32"/>
      <c r="J1929" s="32"/>
      <c r="K1929" s="74"/>
      <c r="L1929" s="75"/>
      <c r="M1929" s="32"/>
      <c r="N1929" s="32"/>
      <c r="O1929" s="73"/>
      <c r="P1929" s="73"/>
      <c r="Q1929" s="73"/>
      <c r="R1929" s="73"/>
      <c r="S1929" s="73"/>
      <c r="T1929" s="73"/>
      <c r="U1929" s="73"/>
      <c r="V1929" s="73"/>
      <c r="W1929" s="73"/>
      <c r="X1929" s="73"/>
      <c r="Y1929" s="73"/>
      <c r="Z1929" s="73"/>
    </row>
    <row r="1930" spans="1:26" ht="12.75" customHeight="1">
      <c r="A1930" s="73"/>
      <c r="B1930" s="32"/>
      <c r="C1930" s="32"/>
      <c r="D1930" s="33"/>
      <c r="E1930" s="32"/>
      <c r="F1930" s="32"/>
      <c r="G1930" s="74"/>
      <c r="H1930" s="32"/>
      <c r="I1930" s="32"/>
      <c r="J1930" s="32"/>
      <c r="K1930" s="74"/>
      <c r="L1930" s="75"/>
      <c r="M1930" s="32"/>
      <c r="N1930" s="32"/>
      <c r="O1930" s="73"/>
      <c r="P1930" s="73"/>
      <c r="Q1930" s="73"/>
      <c r="R1930" s="73"/>
      <c r="S1930" s="73"/>
      <c r="T1930" s="73"/>
      <c r="U1930" s="73"/>
      <c r="V1930" s="73"/>
      <c r="W1930" s="73"/>
      <c r="X1930" s="73"/>
      <c r="Y1930" s="73"/>
      <c r="Z1930" s="73"/>
    </row>
    <row r="1931" spans="1:26" ht="12.75" customHeight="1">
      <c r="A1931" s="73"/>
      <c r="B1931" s="32"/>
      <c r="C1931" s="32"/>
      <c r="D1931" s="33"/>
      <c r="E1931" s="32"/>
      <c r="F1931" s="32"/>
      <c r="G1931" s="74"/>
      <c r="H1931" s="32"/>
      <c r="I1931" s="32"/>
      <c r="J1931" s="32"/>
      <c r="K1931" s="74"/>
      <c r="L1931" s="75"/>
      <c r="M1931" s="32"/>
      <c r="N1931" s="32"/>
      <c r="O1931" s="73"/>
      <c r="P1931" s="73"/>
      <c r="Q1931" s="73"/>
      <c r="R1931" s="73"/>
      <c r="S1931" s="73"/>
      <c r="T1931" s="73"/>
      <c r="U1931" s="73"/>
      <c r="V1931" s="73"/>
      <c r="W1931" s="73"/>
      <c r="X1931" s="73"/>
      <c r="Y1931" s="73"/>
      <c r="Z1931" s="73"/>
    </row>
    <row r="1932" spans="1:26" ht="12.75" customHeight="1">
      <c r="A1932" s="73"/>
      <c r="B1932" s="32"/>
      <c r="C1932" s="32"/>
      <c r="D1932" s="33"/>
      <c r="E1932" s="32"/>
      <c r="F1932" s="32"/>
      <c r="G1932" s="74"/>
      <c r="H1932" s="32"/>
      <c r="I1932" s="32"/>
      <c r="J1932" s="32"/>
      <c r="K1932" s="74"/>
      <c r="L1932" s="75"/>
      <c r="M1932" s="32"/>
      <c r="N1932" s="32"/>
      <c r="O1932" s="73"/>
      <c r="P1932" s="73"/>
      <c r="Q1932" s="73"/>
      <c r="R1932" s="73"/>
      <c r="S1932" s="73"/>
      <c r="T1932" s="73"/>
      <c r="U1932" s="73"/>
      <c r="V1932" s="73"/>
      <c r="W1932" s="73"/>
      <c r="X1932" s="73"/>
      <c r="Y1932" s="73"/>
      <c r="Z1932" s="73"/>
    </row>
    <row r="1933" spans="1:26" ht="12.75" customHeight="1">
      <c r="A1933" s="73"/>
      <c r="B1933" s="32"/>
      <c r="C1933" s="32"/>
      <c r="D1933" s="33"/>
      <c r="E1933" s="32"/>
      <c r="F1933" s="32"/>
      <c r="G1933" s="74"/>
      <c r="H1933" s="32"/>
      <c r="I1933" s="32"/>
      <c r="J1933" s="32"/>
      <c r="K1933" s="74"/>
      <c r="L1933" s="75"/>
      <c r="M1933" s="32"/>
      <c r="N1933" s="32"/>
      <c r="O1933" s="73"/>
      <c r="P1933" s="73"/>
      <c r="Q1933" s="73"/>
      <c r="R1933" s="73"/>
      <c r="S1933" s="73"/>
      <c r="T1933" s="73"/>
      <c r="U1933" s="73"/>
      <c r="V1933" s="73"/>
      <c r="W1933" s="73"/>
      <c r="X1933" s="73"/>
      <c r="Y1933" s="73"/>
      <c r="Z1933" s="73"/>
    </row>
    <row r="1934" spans="1:26" ht="12.75" customHeight="1">
      <c r="A1934" s="73"/>
      <c r="B1934" s="32"/>
      <c r="C1934" s="32"/>
      <c r="D1934" s="33"/>
      <c r="E1934" s="32"/>
      <c r="F1934" s="32"/>
      <c r="G1934" s="74"/>
      <c r="H1934" s="32"/>
      <c r="I1934" s="32"/>
      <c r="J1934" s="32"/>
      <c r="K1934" s="74"/>
      <c r="L1934" s="75"/>
      <c r="M1934" s="32"/>
      <c r="N1934" s="32"/>
      <c r="O1934" s="73"/>
      <c r="P1934" s="73"/>
      <c r="Q1934" s="73"/>
      <c r="R1934" s="73"/>
      <c r="S1934" s="73"/>
      <c r="T1934" s="73"/>
      <c r="U1934" s="73"/>
      <c r="V1934" s="73"/>
      <c r="W1934" s="73"/>
      <c r="X1934" s="73"/>
      <c r="Y1934" s="73"/>
      <c r="Z1934" s="73"/>
    </row>
    <row r="1935" spans="1:26" ht="12.75" customHeight="1">
      <c r="A1935" s="73"/>
      <c r="B1935" s="32"/>
      <c r="C1935" s="32"/>
      <c r="D1935" s="33"/>
      <c r="E1935" s="32"/>
      <c r="F1935" s="32"/>
      <c r="G1935" s="74"/>
      <c r="H1935" s="32"/>
      <c r="I1935" s="32"/>
      <c r="J1935" s="32"/>
      <c r="K1935" s="74"/>
      <c r="L1935" s="75"/>
      <c r="M1935" s="32"/>
      <c r="N1935" s="32"/>
      <c r="O1935" s="73"/>
      <c r="P1935" s="73"/>
      <c r="Q1935" s="73"/>
      <c r="R1935" s="73"/>
      <c r="S1935" s="73"/>
      <c r="T1935" s="73"/>
      <c r="U1935" s="73"/>
      <c r="V1935" s="73"/>
      <c r="W1935" s="73"/>
      <c r="X1935" s="73"/>
      <c r="Y1935" s="73"/>
      <c r="Z1935" s="73"/>
    </row>
    <row r="1936" spans="1:26" ht="12.75" customHeight="1">
      <c r="A1936" s="73"/>
      <c r="B1936" s="32"/>
      <c r="C1936" s="32"/>
      <c r="D1936" s="33"/>
      <c r="E1936" s="32"/>
      <c r="F1936" s="32"/>
      <c r="G1936" s="74"/>
      <c r="H1936" s="32"/>
      <c r="I1936" s="32"/>
      <c r="J1936" s="32"/>
      <c r="K1936" s="74"/>
      <c r="L1936" s="75"/>
      <c r="M1936" s="32"/>
      <c r="N1936" s="32"/>
      <c r="O1936" s="73"/>
      <c r="P1936" s="73"/>
      <c r="Q1936" s="73"/>
      <c r="R1936" s="73"/>
      <c r="S1936" s="73"/>
      <c r="T1936" s="73"/>
      <c r="U1936" s="73"/>
      <c r="V1936" s="73"/>
      <c r="W1936" s="73"/>
      <c r="X1936" s="73"/>
      <c r="Y1936" s="73"/>
      <c r="Z1936" s="73"/>
    </row>
    <row r="1937" spans="1:26" ht="12.75" customHeight="1">
      <c r="A1937" s="73"/>
      <c r="B1937" s="32"/>
      <c r="C1937" s="32"/>
      <c r="D1937" s="33"/>
      <c r="E1937" s="32"/>
      <c r="F1937" s="32"/>
      <c r="G1937" s="74"/>
      <c r="H1937" s="32"/>
      <c r="I1937" s="32"/>
      <c r="J1937" s="32"/>
      <c r="K1937" s="74"/>
      <c r="L1937" s="75"/>
      <c r="M1937" s="32"/>
      <c r="N1937" s="32"/>
      <c r="O1937" s="73"/>
      <c r="P1937" s="73"/>
      <c r="Q1937" s="73"/>
      <c r="R1937" s="73"/>
      <c r="S1937" s="73"/>
      <c r="T1937" s="73"/>
      <c r="U1937" s="73"/>
      <c r="V1937" s="73"/>
      <c r="W1937" s="73"/>
      <c r="X1937" s="73"/>
      <c r="Y1937" s="73"/>
      <c r="Z1937" s="73"/>
    </row>
    <row r="1938" spans="1:26" ht="12.75" customHeight="1">
      <c r="A1938" s="73"/>
      <c r="B1938" s="32"/>
      <c r="C1938" s="32"/>
      <c r="D1938" s="33"/>
      <c r="E1938" s="32"/>
      <c r="F1938" s="32"/>
      <c r="G1938" s="74"/>
      <c r="H1938" s="32"/>
      <c r="I1938" s="32"/>
      <c r="J1938" s="32"/>
      <c r="K1938" s="74"/>
      <c r="L1938" s="75"/>
      <c r="M1938" s="32"/>
      <c r="N1938" s="32"/>
      <c r="O1938" s="73"/>
      <c r="P1938" s="73"/>
      <c r="Q1938" s="73"/>
      <c r="R1938" s="73"/>
      <c r="S1938" s="73"/>
      <c r="T1938" s="73"/>
      <c r="U1938" s="73"/>
      <c r="V1938" s="73"/>
      <c r="W1938" s="73"/>
      <c r="X1938" s="73"/>
      <c r="Y1938" s="73"/>
      <c r="Z1938" s="73"/>
    </row>
    <row r="1939" spans="1:26" ht="12.75" customHeight="1">
      <c r="A1939" s="73"/>
      <c r="B1939" s="32"/>
      <c r="C1939" s="32"/>
      <c r="D1939" s="33"/>
      <c r="E1939" s="32"/>
      <c r="F1939" s="32"/>
      <c r="G1939" s="74"/>
      <c r="H1939" s="32"/>
      <c r="I1939" s="32"/>
      <c r="J1939" s="32"/>
      <c r="K1939" s="74"/>
      <c r="L1939" s="75"/>
      <c r="M1939" s="32"/>
      <c r="N1939" s="32"/>
      <c r="O1939" s="73"/>
      <c r="P1939" s="73"/>
      <c r="Q1939" s="73"/>
      <c r="R1939" s="73"/>
      <c r="S1939" s="73"/>
      <c r="T1939" s="73"/>
      <c r="U1939" s="73"/>
      <c r="V1939" s="73"/>
      <c r="W1939" s="73"/>
      <c r="X1939" s="73"/>
      <c r="Y1939" s="73"/>
      <c r="Z1939" s="73"/>
    </row>
    <row r="1940" spans="1:26" ht="12.75" customHeight="1">
      <c r="A1940" s="73"/>
      <c r="B1940" s="32"/>
      <c r="C1940" s="32"/>
      <c r="D1940" s="33"/>
      <c r="E1940" s="32"/>
      <c r="F1940" s="32"/>
      <c r="G1940" s="74"/>
      <c r="H1940" s="32"/>
      <c r="I1940" s="32"/>
      <c r="J1940" s="32"/>
      <c r="K1940" s="74"/>
      <c r="L1940" s="75"/>
      <c r="M1940" s="32"/>
      <c r="N1940" s="32"/>
      <c r="O1940" s="73"/>
      <c r="P1940" s="73"/>
      <c r="Q1940" s="73"/>
      <c r="R1940" s="73"/>
      <c r="S1940" s="73"/>
      <c r="T1940" s="73"/>
      <c r="U1940" s="73"/>
      <c r="V1940" s="73"/>
      <c r="W1940" s="73"/>
      <c r="X1940" s="73"/>
      <c r="Y1940" s="73"/>
      <c r="Z1940" s="73"/>
    </row>
    <row r="1941" spans="1:26" ht="12.75" customHeight="1">
      <c r="A1941" s="73"/>
      <c r="B1941" s="32"/>
      <c r="C1941" s="32"/>
      <c r="D1941" s="33"/>
      <c r="E1941" s="32"/>
      <c r="F1941" s="32"/>
      <c r="G1941" s="74"/>
      <c r="H1941" s="32"/>
      <c r="I1941" s="32"/>
      <c r="J1941" s="32"/>
      <c r="K1941" s="74"/>
      <c r="L1941" s="75"/>
      <c r="M1941" s="32"/>
      <c r="N1941" s="32"/>
      <c r="O1941" s="73"/>
      <c r="P1941" s="73"/>
      <c r="Q1941" s="73"/>
      <c r="R1941" s="73"/>
      <c r="S1941" s="73"/>
      <c r="T1941" s="73"/>
      <c r="U1941" s="73"/>
      <c r="V1941" s="73"/>
      <c r="W1941" s="73"/>
      <c r="X1941" s="73"/>
      <c r="Y1941" s="73"/>
      <c r="Z1941" s="73"/>
    </row>
    <row r="1942" spans="1:26" ht="12.75" customHeight="1">
      <c r="A1942" s="73"/>
      <c r="B1942" s="32"/>
      <c r="C1942" s="32"/>
      <c r="D1942" s="33"/>
      <c r="E1942" s="32"/>
      <c r="F1942" s="32"/>
      <c r="G1942" s="74"/>
      <c r="H1942" s="32"/>
      <c r="I1942" s="32"/>
      <c r="J1942" s="32"/>
      <c r="K1942" s="74"/>
      <c r="L1942" s="75"/>
      <c r="M1942" s="32"/>
      <c r="N1942" s="32"/>
      <c r="O1942" s="73"/>
      <c r="P1942" s="73"/>
      <c r="Q1942" s="73"/>
      <c r="R1942" s="73"/>
      <c r="S1942" s="73"/>
      <c r="T1942" s="73"/>
      <c r="U1942" s="73"/>
      <c r="V1942" s="73"/>
      <c r="W1942" s="73"/>
      <c r="X1942" s="73"/>
      <c r="Y1942" s="73"/>
      <c r="Z1942" s="73"/>
    </row>
    <row r="1943" spans="1:26" ht="12.75" customHeight="1">
      <c r="A1943" s="73"/>
      <c r="B1943" s="32"/>
      <c r="C1943" s="32"/>
      <c r="D1943" s="33"/>
      <c r="E1943" s="32"/>
      <c r="F1943" s="32"/>
      <c r="G1943" s="74"/>
      <c r="H1943" s="32"/>
      <c r="I1943" s="32"/>
      <c r="J1943" s="32"/>
      <c r="K1943" s="74"/>
      <c r="L1943" s="75"/>
      <c r="M1943" s="32"/>
      <c r="N1943" s="32"/>
      <c r="O1943" s="73"/>
      <c r="P1943" s="73"/>
      <c r="Q1943" s="73"/>
      <c r="R1943" s="73"/>
      <c r="S1943" s="73"/>
      <c r="T1943" s="73"/>
      <c r="U1943" s="73"/>
      <c r="V1943" s="73"/>
      <c r="W1943" s="73"/>
      <c r="X1943" s="73"/>
      <c r="Y1943" s="73"/>
      <c r="Z1943" s="73"/>
    </row>
    <row r="1944" spans="1:26" ht="12.75" customHeight="1">
      <c r="A1944" s="73"/>
      <c r="B1944" s="32"/>
      <c r="C1944" s="32"/>
      <c r="D1944" s="33"/>
      <c r="E1944" s="32"/>
      <c r="F1944" s="32"/>
      <c r="G1944" s="74"/>
      <c r="H1944" s="32"/>
      <c r="I1944" s="32"/>
      <c r="J1944" s="32"/>
      <c r="K1944" s="74"/>
      <c r="L1944" s="75"/>
      <c r="M1944" s="32"/>
      <c r="N1944" s="32"/>
      <c r="O1944" s="73"/>
      <c r="P1944" s="73"/>
      <c r="Q1944" s="73"/>
      <c r="R1944" s="73"/>
      <c r="S1944" s="73"/>
      <c r="T1944" s="73"/>
      <c r="U1944" s="73"/>
      <c r="V1944" s="73"/>
      <c r="W1944" s="73"/>
      <c r="X1944" s="73"/>
      <c r="Y1944" s="73"/>
      <c r="Z1944" s="73"/>
    </row>
    <row r="1945" spans="1:26" ht="12.75" customHeight="1">
      <c r="A1945" s="73"/>
      <c r="B1945" s="32"/>
      <c r="C1945" s="32"/>
      <c r="D1945" s="33"/>
      <c r="E1945" s="32"/>
      <c r="F1945" s="32"/>
      <c r="G1945" s="74"/>
      <c r="H1945" s="32"/>
      <c r="I1945" s="32"/>
      <c r="J1945" s="32"/>
      <c r="K1945" s="74"/>
      <c r="L1945" s="75"/>
      <c r="M1945" s="32"/>
      <c r="N1945" s="32"/>
      <c r="O1945" s="73"/>
      <c r="P1945" s="73"/>
      <c r="Q1945" s="73"/>
      <c r="R1945" s="73"/>
      <c r="S1945" s="73"/>
      <c r="T1945" s="73"/>
      <c r="U1945" s="73"/>
      <c r="V1945" s="73"/>
      <c r="W1945" s="73"/>
      <c r="X1945" s="73"/>
      <c r="Y1945" s="73"/>
      <c r="Z1945" s="73"/>
    </row>
    <row r="1946" spans="1:26" ht="12.75" customHeight="1">
      <c r="A1946" s="73"/>
      <c r="B1946" s="32"/>
      <c r="C1946" s="32"/>
      <c r="D1946" s="33"/>
      <c r="E1946" s="32"/>
      <c r="F1946" s="32"/>
      <c r="G1946" s="74"/>
      <c r="H1946" s="32"/>
      <c r="I1946" s="32"/>
      <c r="J1946" s="32"/>
      <c r="K1946" s="74"/>
      <c r="L1946" s="75"/>
      <c r="M1946" s="32"/>
      <c r="N1946" s="32"/>
      <c r="O1946" s="73"/>
      <c r="P1946" s="73"/>
      <c r="Q1946" s="73"/>
      <c r="R1946" s="73"/>
      <c r="S1946" s="73"/>
      <c r="T1946" s="73"/>
      <c r="U1946" s="73"/>
      <c r="V1946" s="73"/>
      <c r="W1946" s="73"/>
      <c r="X1946" s="73"/>
      <c r="Y1946" s="73"/>
      <c r="Z1946" s="73"/>
    </row>
    <row r="1947" spans="1:26" ht="12.75" customHeight="1">
      <c r="A1947" s="73"/>
      <c r="B1947" s="32"/>
      <c r="C1947" s="32"/>
      <c r="D1947" s="33"/>
      <c r="E1947" s="32"/>
      <c r="F1947" s="32"/>
      <c r="G1947" s="74"/>
      <c r="H1947" s="32"/>
      <c r="I1947" s="32"/>
      <c r="J1947" s="32"/>
      <c r="K1947" s="74"/>
      <c r="L1947" s="75"/>
      <c r="M1947" s="32"/>
      <c r="N1947" s="32"/>
      <c r="O1947" s="73"/>
      <c r="P1947" s="73"/>
      <c r="Q1947" s="73"/>
      <c r="R1947" s="73"/>
      <c r="S1947" s="73"/>
      <c r="T1947" s="73"/>
      <c r="U1947" s="73"/>
      <c r="V1947" s="73"/>
      <c r="W1947" s="73"/>
      <c r="X1947" s="73"/>
      <c r="Y1947" s="73"/>
      <c r="Z1947" s="73"/>
    </row>
    <row r="1948" spans="1:26" ht="12.75" customHeight="1">
      <c r="A1948" s="73"/>
      <c r="B1948" s="32"/>
      <c r="C1948" s="32"/>
      <c r="D1948" s="33"/>
      <c r="E1948" s="32"/>
      <c r="F1948" s="32"/>
      <c r="G1948" s="74"/>
      <c r="H1948" s="32"/>
      <c r="I1948" s="32"/>
      <c r="J1948" s="32"/>
      <c r="K1948" s="74"/>
      <c r="L1948" s="75"/>
      <c r="M1948" s="32"/>
      <c r="N1948" s="32"/>
      <c r="O1948" s="73"/>
      <c r="P1948" s="73"/>
      <c r="Q1948" s="73"/>
      <c r="R1948" s="73"/>
      <c r="S1948" s="73"/>
      <c r="T1948" s="73"/>
      <c r="U1948" s="73"/>
      <c r="V1948" s="73"/>
      <c r="W1948" s="73"/>
      <c r="X1948" s="73"/>
      <c r="Y1948" s="73"/>
      <c r="Z1948" s="73"/>
    </row>
    <row r="1949" spans="1:26" ht="12.75" customHeight="1">
      <c r="A1949" s="73"/>
      <c r="B1949" s="32"/>
      <c r="C1949" s="32"/>
      <c r="D1949" s="33"/>
      <c r="E1949" s="32"/>
      <c r="F1949" s="32"/>
      <c r="G1949" s="74"/>
      <c r="H1949" s="32"/>
      <c r="I1949" s="32"/>
      <c r="J1949" s="32"/>
      <c r="K1949" s="74"/>
      <c r="L1949" s="75"/>
      <c r="M1949" s="32"/>
      <c r="N1949" s="32"/>
      <c r="O1949" s="73"/>
      <c r="P1949" s="73"/>
      <c r="Q1949" s="73"/>
      <c r="R1949" s="73"/>
      <c r="S1949" s="73"/>
      <c r="T1949" s="73"/>
      <c r="U1949" s="73"/>
      <c r="V1949" s="73"/>
      <c r="W1949" s="73"/>
      <c r="X1949" s="73"/>
      <c r="Y1949" s="73"/>
      <c r="Z1949" s="73"/>
    </row>
    <row r="1950" spans="1:26" ht="12.75" customHeight="1">
      <c r="A1950" s="73"/>
      <c r="B1950" s="32"/>
      <c r="C1950" s="32"/>
      <c r="D1950" s="33"/>
      <c r="E1950" s="32"/>
      <c r="F1950" s="32"/>
      <c r="G1950" s="74"/>
      <c r="H1950" s="32"/>
      <c r="I1950" s="32"/>
      <c r="J1950" s="32"/>
      <c r="K1950" s="74"/>
      <c r="L1950" s="75"/>
      <c r="M1950" s="32"/>
      <c r="N1950" s="32"/>
      <c r="O1950" s="73"/>
      <c r="P1950" s="73"/>
      <c r="Q1950" s="73"/>
      <c r="R1950" s="73"/>
      <c r="S1950" s="73"/>
      <c r="T1950" s="73"/>
      <c r="U1950" s="73"/>
      <c r="V1950" s="73"/>
      <c r="W1950" s="73"/>
      <c r="X1950" s="73"/>
      <c r="Y1950" s="73"/>
      <c r="Z1950" s="73"/>
    </row>
    <row r="1951" spans="1:26" ht="12.75" customHeight="1">
      <c r="A1951" s="73"/>
      <c r="B1951" s="32"/>
      <c r="C1951" s="32"/>
      <c r="D1951" s="33"/>
      <c r="E1951" s="32"/>
      <c r="F1951" s="32"/>
      <c r="G1951" s="74"/>
      <c r="H1951" s="32"/>
      <c r="I1951" s="32"/>
      <c r="J1951" s="32"/>
      <c r="K1951" s="74"/>
      <c r="L1951" s="75"/>
      <c r="M1951" s="32"/>
      <c r="N1951" s="32"/>
      <c r="O1951" s="73"/>
      <c r="P1951" s="73"/>
      <c r="Q1951" s="73"/>
      <c r="R1951" s="73"/>
      <c r="S1951" s="73"/>
      <c r="T1951" s="73"/>
      <c r="U1951" s="73"/>
      <c r="V1951" s="73"/>
      <c r="W1951" s="73"/>
      <c r="X1951" s="73"/>
      <c r="Y1951" s="73"/>
      <c r="Z1951" s="73"/>
    </row>
    <row r="1952" spans="1:26" ht="12.75" customHeight="1">
      <c r="A1952" s="73"/>
      <c r="B1952" s="32"/>
      <c r="C1952" s="32"/>
      <c r="D1952" s="33"/>
      <c r="E1952" s="32"/>
      <c r="F1952" s="32"/>
      <c r="G1952" s="74"/>
      <c r="H1952" s="32"/>
      <c r="I1952" s="32"/>
      <c r="J1952" s="32"/>
      <c r="K1952" s="74"/>
      <c r="L1952" s="75"/>
      <c r="M1952" s="32"/>
      <c r="N1952" s="32"/>
      <c r="O1952" s="73"/>
      <c r="P1952" s="73"/>
      <c r="Q1952" s="73"/>
      <c r="R1952" s="73"/>
      <c r="S1952" s="73"/>
      <c r="T1952" s="73"/>
      <c r="U1952" s="73"/>
      <c r="V1952" s="73"/>
      <c r="W1952" s="73"/>
      <c r="X1952" s="73"/>
      <c r="Y1952" s="73"/>
      <c r="Z1952" s="73"/>
    </row>
    <row r="1953" spans="1:26" ht="12.75" customHeight="1">
      <c r="A1953" s="73"/>
      <c r="B1953" s="32"/>
      <c r="C1953" s="32"/>
      <c r="D1953" s="33"/>
      <c r="E1953" s="32"/>
      <c r="F1953" s="32"/>
      <c r="G1953" s="74"/>
      <c r="H1953" s="32"/>
      <c r="I1953" s="32"/>
      <c r="J1953" s="32"/>
      <c r="K1953" s="74"/>
      <c r="L1953" s="75"/>
      <c r="M1953" s="32"/>
      <c r="N1953" s="32"/>
      <c r="O1953" s="73"/>
      <c r="P1953" s="73"/>
      <c r="Q1953" s="73"/>
      <c r="R1953" s="73"/>
      <c r="S1953" s="73"/>
      <c r="T1953" s="73"/>
      <c r="U1953" s="73"/>
      <c r="V1953" s="73"/>
      <c r="W1953" s="73"/>
      <c r="X1953" s="73"/>
      <c r="Y1953" s="73"/>
      <c r="Z1953" s="73"/>
    </row>
    <row r="1954" spans="1:26" ht="12.75" customHeight="1">
      <c r="A1954" s="73"/>
      <c r="B1954" s="32"/>
      <c r="C1954" s="32"/>
      <c r="D1954" s="33"/>
      <c r="E1954" s="32"/>
      <c r="F1954" s="32"/>
      <c r="G1954" s="74"/>
      <c r="H1954" s="32"/>
      <c r="I1954" s="32"/>
      <c r="J1954" s="32"/>
      <c r="K1954" s="74"/>
      <c r="L1954" s="75"/>
      <c r="M1954" s="32"/>
      <c r="N1954" s="32"/>
      <c r="O1954" s="73"/>
      <c r="P1954" s="73"/>
      <c r="Q1954" s="73"/>
      <c r="R1954" s="73"/>
      <c r="S1954" s="73"/>
      <c r="T1954" s="73"/>
      <c r="U1954" s="73"/>
      <c r="V1954" s="73"/>
      <c r="W1954" s="73"/>
      <c r="X1954" s="73"/>
      <c r="Y1954" s="73"/>
      <c r="Z1954" s="73"/>
    </row>
    <row r="1955" spans="1:26" ht="12.75" customHeight="1">
      <c r="A1955" s="73"/>
      <c r="B1955" s="32"/>
      <c r="C1955" s="32"/>
      <c r="D1955" s="33"/>
      <c r="E1955" s="32"/>
      <c r="F1955" s="32"/>
      <c r="G1955" s="74"/>
      <c r="H1955" s="32"/>
      <c r="I1955" s="32"/>
      <c r="J1955" s="32"/>
      <c r="K1955" s="74"/>
      <c r="L1955" s="75"/>
      <c r="M1955" s="32"/>
      <c r="N1955" s="32"/>
      <c r="O1955" s="73"/>
      <c r="P1955" s="73"/>
      <c r="Q1955" s="73"/>
      <c r="R1955" s="73"/>
      <c r="S1955" s="73"/>
      <c r="T1955" s="73"/>
      <c r="U1955" s="73"/>
      <c r="V1955" s="73"/>
      <c r="W1955" s="73"/>
      <c r="X1955" s="73"/>
      <c r="Y1955" s="73"/>
      <c r="Z1955" s="73"/>
    </row>
    <row r="1956" spans="1:26" ht="12.75" customHeight="1">
      <c r="A1956" s="73"/>
      <c r="B1956" s="32"/>
      <c r="C1956" s="32"/>
      <c r="D1956" s="33"/>
      <c r="E1956" s="32"/>
      <c r="F1956" s="32"/>
      <c r="G1956" s="74"/>
      <c r="H1956" s="32"/>
      <c r="I1956" s="32"/>
      <c r="J1956" s="32"/>
      <c r="K1956" s="74"/>
      <c r="L1956" s="75"/>
      <c r="M1956" s="32"/>
      <c r="N1956" s="32"/>
      <c r="O1956" s="73"/>
      <c r="P1956" s="73"/>
      <c r="Q1956" s="73"/>
      <c r="R1956" s="73"/>
      <c r="S1956" s="73"/>
      <c r="T1956" s="73"/>
      <c r="U1956" s="73"/>
      <c r="V1956" s="73"/>
      <c r="W1956" s="73"/>
      <c r="X1956" s="73"/>
      <c r="Y1956" s="73"/>
      <c r="Z1956" s="73"/>
    </row>
    <row r="1957" spans="1:26" ht="12.75" customHeight="1">
      <c r="A1957" s="73"/>
      <c r="B1957" s="32"/>
      <c r="C1957" s="32"/>
      <c r="D1957" s="33"/>
      <c r="E1957" s="32"/>
      <c r="F1957" s="32"/>
      <c r="G1957" s="74"/>
      <c r="H1957" s="32"/>
      <c r="I1957" s="32"/>
      <c r="J1957" s="32"/>
      <c r="K1957" s="74"/>
      <c r="L1957" s="75"/>
      <c r="M1957" s="32"/>
      <c r="N1957" s="32"/>
      <c r="O1957" s="73"/>
      <c r="P1957" s="73"/>
      <c r="Q1957" s="73"/>
      <c r="R1957" s="73"/>
      <c r="S1957" s="73"/>
      <c r="T1957" s="73"/>
      <c r="U1957" s="73"/>
      <c r="V1957" s="73"/>
      <c r="W1957" s="73"/>
      <c r="X1957" s="73"/>
      <c r="Y1957" s="73"/>
      <c r="Z1957" s="73"/>
    </row>
    <row r="1958" spans="1:26" ht="12.75" customHeight="1">
      <c r="A1958" s="73"/>
      <c r="B1958" s="32"/>
      <c r="C1958" s="32"/>
      <c r="D1958" s="33"/>
      <c r="E1958" s="32"/>
      <c r="F1958" s="32"/>
      <c r="G1958" s="74"/>
      <c r="H1958" s="32"/>
      <c r="I1958" s="32"/>
      <c r="J1958" s="32"/>
      <c r="K1958" s="74"/>
      <c r="L1958" s="75"/>
      <c r="M1958" s="32"/>
      <c r="N1958" s="32"/>
      <c r="O1958" s="73"/>
      <c r="P1958" s="73"/>
      <c r="Q1958" s="73"/>
      <c r="R1958" s="73"/>
      <c r="S1958" s="73"/>
      <c r="T1958" s="73"/>
      <c r="U1958" s="73"/>
      <c r="V1958" s="73"/>
      <c r="W1958" s="73"/>
      <c r="X1958" s="73"/>
      <c r="Y1958" s="73"/>
      <c r="Z1958" s="73"/>
    </row>
    <row r="1959" spans="1:26" ht="12.75" customHeight="1">
      <c r="A1959" s="73"/>
      <c r="B1959" s="32"/>
      <c r="C1959" s="32"/>
      <c r="D1959" s="33"/>
      <c r="E1959" s="32"/>
      <c r="F1959" s="32"/>
      <c r="G1959" s="74"/>
      <c r="H1959" s="32"/>
      <c r="I1959" s="32"/>
      <c r="J1959" s="32"/>
      <c r="K1959" s="74"/>
      <c r="L1959" s="75"/>
      <c r="M1959" s="32"/>
      <c r="N1959" s="32"/>
      <c r="O1959" s="73"/>
      <c r="P1959" s="73"/>
      <c r="Q1959" s="73"/>
      <c r="R1959" s="73"/>
      <c r="S1959" s="73"/>
      <c r="T1959" s="73"/>
      <c r="U1959" s="73"/>
      <c r="V1959" s="73"/>
      <c r="W1959" s="73"/>
      <c r="X1959" s="73"/>
      <c r="Y1959" s="73"/>
      <c r="Z1959" s="73"/>
    </row>
    <row r="1960" spans="1:26" ht="12.75" customHeight="1">
      <c r="A1960" s="73"/>
      <c r="B1960" s="32"/>
      <c r="C1960" s="32"/>
      <c r="D1960" s="33"/>
      <c r="E1960" s="32"/>
      <c r="F1960" s="32"/>
      <c r="G1960" s="74"/>
      <c r="H1960" s="32"/>
      <c r="I1960" s="32"/>
      <c r="J1960" s="32"/>
      <c r="K1960" s="74"/>
      <c r="L1960" s="75"/>
      <c r="M1960" s="32"/>
      <c r="N1960" s="32"/>
      <c r="O1960" s="73"/>
      <c r="P1960" s="73"/>
      <c r="Q1960" s="73"/>
      <c r="R1960" s="73"/>
      <c r="S1960" s="73"/>
      <c r="T1960" s="73"/>
      <c r="U1960" s="73"/>
      <c r="V1960" s="73"/>
      <c r="W1960" s="73"/>
      <c r="X1960" s="73"/>
      <c r="Y1960" s="73"/>
      <c r="Z1960" s="73"/>
    </row>
    <row r="1961" spans="1:26" ht="12.75" customHeight="1">
      <c r="A1961" s="73"/>
      <c r="B1961" s="32"/>
      <c r="C1961" s="32"/>
      <c r="D1961" s="33"/>
      <c r="E1961" s="32"/>
      <c r="F1961" s="32"/>
      <c r="G1961" s="74"/>
      <c r="H1961" s="32"/>
      <c r="I1961" s="32"/>
      <c r="J1961" s="32"/>
      <c r="K1961" s="74"/>
      <c r="L1961" s="75"/>
      <c r="M1961" s="32"/>
      <c r="N1961" s="32"/>
      <c r="O1961" s="73"/>
      <c r="P1961" s="73"/>
      <c r="Q1961" s="73"/>
      <c r="R1961" s="73"/>
      <c r="S1961" s="73"/>
      <c r="T1961" s="73"/>
      <c r="U1961" s="73"/>
      <c r="V1961" s="73"/>
      <c r="W1961" s="73"/>
      <c r="X1961" s="73"/>
      <c r="Y1961" s="73"/>
      <c r="Z1961" s="73"/>
    </row>
    <row r="1962" spans="1:26" ht="12.75" customHeight="1">
      <c r="A1962" s="73"/>
      <c r="B1962" s="32"/>
      <c r="C1962" s="32"/>
      <c r="D1962" s="33"/>
      <c r="E1962" s="32"/>
      <c r="F1962" s="32"/>
      <c r="G1962" s="74"/>
      <c r="H1962" s="32"/>
      <c r="I1962" s="32"/>
      <c r="J1962" s="32"/>
      <c r="K1962" s="74"/>
      <c r="L1962" s="75"/>
      <c r="M1962" s="32"/>
      <c r="N1962" s="32"/>
      <c r="O1962" s="73"/>
      <c r="P1962" s="73"/>
      <c r="Q1962" s="73"/>
      <c r="R1962" s="73"/>
      <c r="S1962" s="73"/>
      <c r="T1962" s="73"/>
      <c r="U1962" s="73"/>
      <c r="V1962" s="73"/>
      <c r="W1962" s="73"/>
      <c r="X1962" s="73"/>
      <c r="Y1962" s="73"/>
      <c r="Z1962" s="73"/>
    </row>
    <row r="1963" spans="1:26" ht="12.75" customHeight="1">
      <c r="A1963" s="73"/>
      <c r="B1963" s="32"/>
      <c r="C1963" s="32"/>
      <c r="D1963" s="33"/>
      <c r="E1963" s="32"/>
      <c r="F1963" s="32"/>
      <c r="G1963" s="74"/>
      <c r="H1963" s="32"/>
      <c r="I1963" s="32"/>
      <c r="J1963" s="32"/>
      <c r="K1963" s="74"/>
      <c r="L1963" s="75"/>
      <c r="M1963" s="32"/>
      <c r="N1963" s="32"/>
      <c r="O1963" s="73"/>
      <c r="P1963" s="73"/>
      <c r="Q1963" s="73"/>
      <c r="R1963" s="73"/>
      <c r="S1963" s="73"/>
      <c r="T1963" s="73"/>
      <c r="U1963" s="73"/>
      <c r="V1963" s="73"/>
      <c r="W1963" s="73"/>
      <c r="X1963" s="73"/>
      <c r="Y1963" s="73"/>
      <c r="Z1963" s="73"/>
    </row>
    <row r="1964" spans="1:26" ht="12.75" customHeight="1">
      <c r="A1964" s="73"/>
      <c r="B1964" s="32"/>
      <c r="C1964" s="32"/>
      <c r="D1964" s="33"/>
      <c r="E1964" s="32"/>
      <c r="F1964" s="32"/>
      <c r="G1964" s="74"/>
      <c r="H1964" s="32"/>
      <c r="I1964" s="32"/>
      <c r="J1964" s="32"/>
      <c r="K1964" s="74"/>
      <c r="L1964" s="75"/>
      <c r="M1964" s="32"/>
      <c r="N1964" s="32"/>
      <c r="O1964" s="73"/>
      <c r="P1964" s="73"/>
      <c r="Q1964" s="73"/>
      <c r="R1964" s="73"/>
      <c r="S1964" s="73"/>
      <c r="T1964" s="73"/>
      <c r="U1964" s="73"/>
      <c r="V1964" s="73"/>
      <c r="W1964" s="73"/>
      <c r="X1964" s="73"/>
      <c r="Y1964" s="73"/>
      <c r="Z1964" s="73"/>
    </row>
    <row r="1965" spans="1:26" ht="12.75" customHeight="1">
      <c r="A1965" s="73"/>
      <c r="B1965" s="32"/>
      <c r="C1965" s="32"/>
      <c r="D1965" s="33"/>
      <c r="E1965" s="32"/>
      <c r="F1965" s="32"/>
      <c r="G1965" s="74"/>
      <c r="H1965" s="32"/>
      <c r="I1965" s="32"/>
      <c r="J1965" s="32"/>
      <c r="K1965" s="74"/>
      <c r="L1965" s="75"/>
      <c r="M1965" s="32"/>
      <c r="N1965" s="32"/>
      <c r="O1965" s="73"/>
      <c r="P1965" s="73"/>
      <c r="Q1965" s="73"/>
      <c r="R1965" s="73"/>
      <c r="S1965" s="73"/>
      <c r="T1965" s="73"/>
      <c r="U1965" s="73"/>
      <c r="V1965" s="73"/>
      <c r="W1965" s="73"/>
      <c r="X1965" s="73"/>
      <c r="Y1965" s="73"/>
      <c r="Z1965" s="73"/>
    </row>
    <row r="1966" spans="1:26" ht="12.75" customHeight="1">
      <c r="A1966" s="73"/>
      <c r="B1966" s="32"/>
      <c r="C1966" s="32"/>
      <c r="D1966" s="33"/>
      <c r="E1966" s="32"/>
      <c r="F1966" s="32"/>
      <c r="G1966" s="74"/>
      <c r="H1966" s="32"/>
      <c r="I1966" s="32"/>
      <c r="J1966" s="32"/>
      <c r="K1966" s="74"/>
      <c r="L1966" s="75"/>
      <c r="M1966" s="32"/>
      <c r="N1966" s="32"/>
      <c r="O1966" s="73"/>
      <c r="P1966" s="73"/>
      <c r="Q1966" s="73"/>
      <c r="R1966" s="73"/>
      <c r="S1966" s="73"/>
      <c r="T1966" s="73"/>
      <c r="U1966" s="73"/>
      <c r="V1966" s="73"/>
      <c r="W1966" s="73"/>
      <c r="X1966" s="73"/>
      <c r="Y1966" s="73"/>
      <c r="Z1966" s="73"/>
    </row>
    <row r="1967" spans="1:26" ht="12.75" customHeight="1">
      <c r="A1967" s="73"/>
      <c r="B1967" s="32"/>
      <c r="C1967" s="32"/>
      <c r="D1967" s="33"/>
      <c r="E1967" s="32"/>
      <c r="F1967" s="32"/>
      <c r="G1967" s="74"/>
      <c r="H1967" s="32"/>
      <c r="I1967" s="32"/>
      <c r="J1967" s="32"/>
      <c r="K1967" s="74"/>
      <c r="L1967" s="75"/>
      <c r="M1967" s="32"/>
      <c r="N1967" s="32"/>
      <c r="O1967" s="73"/>
      <c r="P1967" s="73"/>
      <c r="Q1967" s="73"/>
      <c r="R1967" s="73"/>
      <c r="S1967" s="73"/>
      <c r="T1967" s="73"/>
      <c r="U1967" s="73"/>
      <c r="V1967" s="73"/>
      <c r="W1967" s="73"/>
      <c r="X1967" s="73"/>
      <c r="Y1967" s="73"/>
      <c r="Z1967" s="73"/>
    </row>
    <row r="1968" spans="1:26" ht="12.75" customHeight="1">
      <c r="A1968" s="73"/>
      <c r="B1968" s="32"/>
      <c r="C1968" s="32"/>
      <c r="D1968" s="33"/>
      <c r="E1968" s="32"/>
      <c r="F1968" s="32"/>
      <c r="G1968" s="74"/>
      <c r="H1968" s="32"/>
      <c r="I1968" s="32"/>
      <c r="J1968" s="32"/>
      <c r="K1968" s="74"/>
      <c r="L1968" s="75"/>
      <c r="M1968" s="32"/>
      <c r="N1968" s="32"/>
      <c r="O1968" s="73"/>
      <c r="P1968" s="73"/>
      <c r="Q1968" s="73"/>
      <c r="R1968" s="73"/>
      <c r="S1968" s="73"/>
      <c r="T1968" s="73"/>
      <c r="U1968" s="73"/>
      <c r="V1968" s="73"/>
      <c r="W1968" s="73"/>
      <c r="X1968" s="73"/>
      <c r="Y1968" s="73"/>
      <c r="Z1968" s="73"/>
    </row>
    <row r="1969" spans="1:26" ht="12.75" customHeight="1">
      <c r="A1969" s="73"/>
      <c r="B1969" s="32"/>
      <c r="C1969" s="32"/>
      <c r="D1969" s="33"/>
      <c r="E1969" s="32"/>
      <c r="F1969" s="32"/>
      <c r="G1969" s="74"/>
      <c r="H1969" s="32"/>
      <c r="I1969" s="32"/>
      <c r="J1969" s="32"/>
      <c r="K1969" s="74"/>
      <c r="L1969" s="75"/>
      <c r="M1969" s="32"/>
      <c r="N1969" s="32"/>
      <c r="O1969" s="73"/>
      <c r="P1969" s="73"/>
      <c r="Q1969" s="73"/>
      <c r="R1969" s="73"/>
      <c r="S1969" s="73"/>
      <c r="T1969" s="73"/>
      <c r="U1969" s="73"/>
      <c r="V1969" s="73"/>
      <c r="W1969" s="73"/>
      <c r="X1969" s="73"/>
      <c r="Y1969" s="73"/>
      <c r="Z1969" s="73"/>
    </row>
    <row r="1970" spans="1:26" ht="12.75" customHeight="1">
      <c r="A1970" s="73"/>
      <c r="B1970" s="32"/>
      <c r="C1970" s="32"/>
      <c r="D1970" s="33"/>
      <c r="E1970" s="32"/>
      <c r="F1970" s="32"/>
      <c r="G1970" s="74"/>
      <c r="H1970" s="32"/>
      <c r="I1970" s="32"/>
      <c r="J1970" s="32"/>
      <c r="K1970" s="74"/>
      <c r="L1970" s="75"/>
      <c r="M1970" s="32"/>
      <c r="N1970" s="32"/>
      <c r="O1970" s="73"/>
      <c r="P1970" s="73"/>
      <c r="Q1970" s="73"/>
      <c r="R1970" s="73"/>
      <c r="S1970" s="73"/>
      <c r="T1970" s="73"/>
      <c r="U1970" s="73"/>
      <c r="V1970" s="73"/>
      <c r="W1970" s="73"/>
      <c r="X1970" s="73"/>
      <c r="Y1970" s="73"/>
      <c r="Z1970" s="73"/>
    </row>
    <row r="1971" spans="1:26" ht="12.75" customHeight="1">
      <c r="A1971" s="73"/>
      <c r="B1971" s="32"/>
      <c r="C1971" s="32"/>
      <c r="D1971" s="33"/>
      <c r="E1971" s="32"/>
      <c r="F1971" s="32"/>
      <c r="G1971" s="74"/>
      <c r="H1971" s="32"/>
      <c r="I1971" s="32"/>
      <c r="J1971" s="32"/>
      <c r="K1971" s="74"/>
      <c r="L1971" s="75"/>
      <c r="M1971" s="32"/>
      <c r="N1971" s="32"/>
      <c r="O1971" s="73"/>
      <c r="P1971" s="73"/>
      <c r="Q1971" s="73"/>
      <c r="R1971" s="73"/>
      <c r="S1971" s="73"/>
      <c r="T1971" s="73"/>
      <c r="U1971" s="73"/>
      <c r="V1971" s="73"/>
      <c r="W1971" s="73"/>
      <c r="X1971" s="73"/>
      <c r="Y1971" s="73"/>
      <c r="Z1971" s="73"/>
    </row>
    <row r="1972" spans="1:26" ht="12.75" customHeight="1">
      <c r="A1972" s="73"/>
      <c r="B1972" s="32"/>
      <c r="C1972" s="32"/>
      <c r="D1972" s="33"/>
      <c r="E1972" s="32"/>
      <c r="F1972" s="32"/>
      <c r="G1972" s="74"/>
      <c r="H1972" s="32"/>
      <c r="I1972" s="32"/>
      <c r="J1972" s="32"/>
      <c r="K1972" s="74"/>
      <c r="L1972" s="75"/>
      <c r="M1972" s="32"/>
      <c r="N1972" s="32"/>
      <c r="O1972" s="73"/>
      <c r="P1972" s="73"/>
      <c r="Q1972" s="73"/>
      <c r="R1972" s="73"/>
      <c r="S1972" s="73"/>
      <c r="T1972" s="73"/>
      <c r="U1972" s="73"/>
      <c r="V1972" s="73"/>
      <c r="W1972" s="73"/>
      <c r="X1972" s="73"/>
      <c r="Y1972" s="73"/>
      <c r="Z1972" s="73"/>
    </row>
    <row r="1973" spans="1:26" ht="12.75" customHeight="1">
      <c r="A1973" s="73"/>
      <c r="B1973" s="32"/>
      <c r="C1973" s="32"/>
      <c r="D1973" s="33"/>
      <c r="E1973" s="32"/>
      <c r="F1973" s="32"/>
      <c r="G1973" s="74"/>
      <c r="H1973" s="32"/>
      <c r="I1973" s="32"/>
      <c r="J1973" s="32"/>
      <c r="K1973" s="74"/>
      <c r="L1973" s="75"/>
      <c r="M1973" s="32"/>
      <c r="N1973" s="32"/>
      <c r="O1973" s="73"/>
      <c r="P1973" s="73"/>
      <c r="Q1973" s="73"/>
      <c r="R1973" s="73"/>
      <c r="S1973" s="73"/>
      <c r="T1973" s="73"/>
      <c r="U1973" s="73"/>
      <c r="V1973" s="73"/>
      <c r="W1973" s="73"/>
      <c r="X1973" s="73"/>
      <c r="Y1973" s="73"/>
      <c r="Z1973" s="73"/>
    </row>
    <row r="1974" spans="1:26" ht="12.75" customHeight="1">
      <c r="A1974" s="73"/>
      <c r="B1974" s="32"/>
      <c r="C1974" s="32"/>
      <c r="D1974" s="33"/>
      <c r="E1974" s="32"/>
      <c r="F1974" s="32"/>
      <c r="G1974" s="74"/>
      <c r="H1974" s="32"/>
      <c r="I1974" s="32"/>
      <c r="J1974" s="32"/>
      <c r="K1974" s="74"/>
      <c r="L1974" s="75"/>
      <c r="M1974" s="32"/>
      <c r="N1974" s="32"/>
      <c r="O1974" s="73"/>
      <c r="P1974" s="73"/>
      <c r="Q1974" s="73"/>
      <c r="R1974" s="73"/>
      <c r="S1974" s="73"/>
      <c r="T1974" s="73"/>
      <c r="U1974" s="73"/>
      <c r="V1974" s="73"/>
      <c r="W1974" s="73"/>
      <c r="X1974" s="73"/>
      <c r="Y1974" s="73"/>
      <c r="Z1974" s="73"/>
    </row>
    <row r="1975" spans="1:26" ht="12.75" customHeight="1">
      <c r="A1975" s="73"/>
      <c r="B1975" s="32"/>
      <c r="C1975" s="32"/>
      <c r="D1975" s="33"/>
      <c r="E1975" s="32"/>
      <c r="F1975" s="32"/>
      <c r="G1975" s="74"/>
      <c r="H1975" s="32"/>
      <c r="I1975" s="32"/>
      <c r="J1975" s="32"/>
      <c r="K1975" s="74"/>
      <c r="L1975" s="75"/>
      <c r="M1975" s="32"/>
      <c r="N1975" s="32"/>
      <c r="O1975" s="73"/>
      <c r="P1975" s="73"/>
      <c r="Q1975" s="73"/>
      <c r="R1975" s="73"/>
      <c r="S1975" s="73"/>
      <c r="T1975" s="73"/>
      <c r="U1975" s="73"/>
      <c r="V1975" s="73"/>
      <c r="W1975" s="73"/>
      <c r="X1975" s="73"/>
      <c r="Y1975" s="73"/>
      <c r="Z1975" s="73"/>
    </row>
    <row r="1976" spans="1:26" ht="12.75" customHeight="1">
      <c r="A1976" s="73"/>
      <c r="B1976" s="32"/>
      <c r="C1976" s="32"/>
      <c r="D1976" s="33"/>
      <c r="E1976" s="32"/>
      <c r="F1976" s="32"/>
      <c r="G1976" s="74"/>
      <c r="H1976" s="32"/>
      <c r="I1976" s="32"/>
      <c r="J1976" s="32"/>
      <c r="K1976" s="74"/>
      <c r="L1976" s="75"/>
      <c r="M1976" s="32"/>
      <c r="N1976" s="32"/>
      <c r="O1976" s="73"/>
      <c r="P1976" s="73"/>
      <c r="Q1976" s="73"/>
      <c r="R1976" s="73"/>
      <c r="S1976" s="73"/>
      <c r="T1976" s="73"/>
      <c r="U1976" s="73"/>
      <c r="V1976" s="73"/>
      <c r="W1976" s="73"/>
      <c r="X1976" s="73"/>
      <c r="Y1976" s="73"/>
      <c r="Z1976" s="73"/>
    </row>
    <row r="1977" spans="1:26" ht="12.75" customHeight="1">
      <c r="A1977" s="73"/>
      <c r="B1977" s="32"/>
      <c r="C1977" s="32"/>
      <c r="D1977" s="33"/>
      <c r="E1977" s="32"/>
      <c r="F1977" s="32"/>
      <c r="G1977" s="74"/>
      <c r="H1977" s="32"/>
      <c r="I1977" s="32"/>
      <c r="J1977" s="32"/>
      <c r="K1977" s="74"/>
      <c r="L1977" s="75"/>
      <c r="M1977" s="32"/>
      <c r="N1977" s="32"/>
      <c r="O1977" s="73"/>
      <c r="P1977" s="73"/>
      <c r="Q1977" s="73"/>
      <c r="R1977" s="73"/>
      <c r="S1977" s="73"/>
      <c r="T1977" s="73"/>
      <c r="U1977" s="73"/>
      <c r="V1977" s="73"/>
      <c r="W1977" s="73"/>
      <c r="X1977" s="73"/>
      <c r="Y1977" s="73"/>
      <c r="Z1977" s="73"/>
    </row>
    <row r="1978" spans="1:26" ht="12.75" customHeight="1">
      <c r="A1978" s="73"/>
      <c r="B1978" s="32"/>
      <c r="C1978" s="32"/>
      <c r="D1978" s="33"/>
      <c r="E1978" s="32"/>
      <c r="F1978" s="32"/>
      <c r="G1978" s="74"/>
      <c r="H1978" s="32"/>
      <c r="I1978" s="32"/>
      <c r="J1978" s="32"/>
      <c r="K1978" s="74"/>
      <c r="L1978" s="75"/>
      <c r="M1978" s="32"/>
      <c r="N1978" s="32"/>
      <c r="O1978" s="73"/>
      <c r="P1978" s="73"/>
      <c r="Q1978" s="73"/>
      <c r="R1978" s="73"/>
      <c r="S1978" s="73"/>
      <c r="T1978" s="73"/>
      <c r="U1978" s="73"/>
      <c r="V1978" s="73"/>
      <c r="W1978" s="73"/>
      <c r="X1978" s="73"/>
      <c r="Y1978" s="73"/>
      <c r="Z1978" s="73"/>
    </row>
    <row r="1979" spans="1:26" ht="12.75" customHeight="1">
      <c r="A1979" s="73"/>
      <c r="B1979" s="32"/>
      <c r="C1979" s="32"/>
      <c r="D1979" s="33"/>
      <c r="E1979" s="32"/>
      <c r="F1979" s="32"/>
      <c r="G1979" s="74"/>
      <c r="H1979" s="32"/>
      <c r="I1979" s="32"/>
      <c r="J1979" s="32"/>
      <c r="K1979" s="74"/>
      <c r="L1979" s="75"/>
      <c r="M1979" s="32"/>
      <c r="N1979" s="32"/>
      <c r="O1979" s="73"/>
      <c r="P1979" s="73"/>
      <c r="Q1979" s="73"/>
      <c r="R1979" s="73"/>
      <c r="S1979" s="73"/>
      <c r="T1979" s="73"/>
      <c r="U1979" s="73"/>
      <c r="V1979" s="73"/>
      <c r="W1979" s="73"/>
      <c r="X1979" s="73"/>
      <c r="Y1979" s="73"/>
      <c r="Z1979" s="73"/>
    </row>
    <row r="1980" spans="1:26" ht="12.75" customHeight="1">
      <c r="A1980" s="73"/>
      <c r="B1980" s="32"/>
      <c r="C1980" s="32"/>
      <c r="D1980" s="33"/>
      <c r="E1980" s="32"/>
      <c r="F1980" s="32"/>
      <c r="G1980" s="74"/>
      <c r="H1980" s="32"/>
      <c r="I1980" s="32"/>
      <c r="J1980" s="32"/>
      <c r="K1980" s="74"/>
      <c r="L1980" s="75"/>
      <c r="M1980" s="32"/>
      <c r="N1980" s="32"/>
      <c r="O1980" s="73"/>
      <c r="P1980" s="73"/>
      <c r="Q1980" s="73"/>
      <c r="R1980" s="73"/>
      <c r="S1980" s="73"/>
      <c r="T1980" s="73"/>
      <c r="U1980" s="73"/>
      <c r="V1980" s="73"/>
      <c r="W1980" s="73"/>
      <c r="X1980" s="73"/>
      <c r="Y1980" s="73"/>
      <c r="Z1980" s="73"/>
    </row>
    <row r="1981" spans="1:26" ht="12.75" customHeight="1">
      <c r="A1981" s="73"/>
      <c r="B1981" s="32"/>
      <c r="C1981" s="32"/>
      <c r="D1981" s="33"/>
      <c r="E1981" s="32"/>
      <c r="F1981" s="32"/>
      <c r="G1981" s="74"/>
      <c r="H1981" s="32"/>
      <c r="I1981" s="32"/>
      <c r="J1981" s="32"/>
      <c r="K1981" s="74"/>
      <c r="L1981" s="75"/>
      <c r="M1981" s="32"/>
      <c r="N1981" s="32"/>
      <c r="O1981" s="73"/>
      <c r="P1981" s="73"/>
      <c r="Q1981" s="73"/>
      <c r="R1981" s="73"/>
      <c r="S1981" s="73"/>
      <c r="T1981" s="73"/>
      <c r="U1981" s="73"/>
      <c r="V1981" s="73"/>
      <c r="W1981" s="73"/>
      <c r="X1981" s="73"/>
      <c r="Y1981" s="73"/>
      <c r="Z1981" s="73"/>
    </row>
    <row r="1982" spans="1:26" ht="12.75" customHeight="1">
      <c r="A1982" s="73"/>
      <c r="B1982" s="32"/>
      <c r="C1982" s="32"/>
      <c r="D1982" s="33"/>
      <c r="E1982" s="32"/>
      <c r="F1982" s="32"/>
      <c r="G1982" s="74"/>
      <c r="H1982" s="32"/>
      <c r="I1982" s="32"/>
      <c r="J1982" s="32"/>
      <c r="K1982" s="74"/>
      <c r="L1982" s="75"/>
      <c r="M1982" s="32"/>
      <c r="N1982" s="32"/>
      <c r="O1982" s="73"/>
      <c r="P1982" s="73"/>
      <c r="Q1982" s="73"/>
      <c r="R1982" s="73"/>
      <c r="S1982" s="73"/>
      <c r="T1982" s="73"/>
      <c r="U1982" s="73"/>
      <c r="V1982" s="73"/>
      <c r="W1982" s="73"/>
      <c r="X1982" s="73"/>
      <c r="Y1982" s="73"/>
      <c r="Z1982" s="73"/>
    </row>
    <row r="1983" spans="1:26" ht="12.75" customHeight="1">
      <c r="A1983" s="73"/>
      <c r="B1983" s="32"/>
      <c r="C1983" s="32"/>
      <c r="D1983" s="33"/>
      <c r="E1983" s="32"/>
      <c r="F1983" s="32"/>
      <c r="G1983" s="74"/>
      <c r="H1983" s="32"/>
      <c r="I1983" s="32"/>
      <c r="J1983" s="32"/>
      <c r="K1983" s="74"/>
      <c r="L1983" s="75"/>
      <c r="M1983" s="32"/>
      <c r="N1983" s="32"/>
      <c r="O1983" s="73"/>
      <c r="P1983" s="73"/>
      <c r="Q1983" s="73"/>
      <c r="R1983" s="73"/>
      <c r="S1983" s="73"/>
      <c r="T1983" s="73"/>
      <c r="U1983" s="73"/>
      <c r="V1983" s="73"/>
      <c r="W1983" s="73"/>
      <c r="X1983" s="73"/>
      <c r="Y1983" s="73"/>
      <c r="Z1983" s="73"/>
    </row>
    <row r="1984" spans="1:26" ht="12.75" customHeight="1">
      <c r="A1984" s="73"/>
      <c r="B1984" s="32"/>
      <c r="C1984" s="32"/>
      <c r="D1984" s="33"/>
      <c r="E1984" s="32"/>
      <c r="F1984" s="32"/>
      <c r="G1984" s="74"/>
      <c r="H1984" s="32"/>
      <c r="I1984" s="32"/>
      <c r="J1984" s="32"/>
      <c r="K1984" s="74"/>
      <c r="L1984" s="75"/>
      <c r="M1984" s="32"/>
      <c r="N1984" s="32"/>
      <c r="O1984" s="73"/>
      <c r="P1984" s="73"/>
      <c r="Q1984" s="73"/>
      <c r="R1984" s="73"/>
      <c r="S1984" s="73"/>
      <c r="T1984" s="73"/>
      <c r="U1984" s="73"/>
      <c r="V1984" s="73"/>
      <c r="W1984" s="73"/>
      <c r="X1984" s="73"/>
      <c r="Y1984" s="73"/>
      <c r="Z1984" s="73"/>
    </row>
    <row r="1985" spans="1:26" ht="12.75" customHeight="1">
      <c r="A1985" s="73"/>
      <c r="B1985" s="32"/>
      <c r="C1985" s="32"/>
      <c r="D1985" s="33"/>
      <c r="E1985" s="32"/>
      <c r="F1985" s="32"/>
      <c r="G1985" s="74"/>
      <c r="H1985" s="32"/>
      <c r="I1985" s="32"/>
      <c r="J1985" s="32"/>
      <c r="K1985" s="74"/>
      <c r="L1985" s="75"/>
      <c r="M1985" s="32"/>
      <c r="N1985" s="32"/>
      <c r="O1985" s="73"/>
      <c r="P1985" s="73"/>
      <c r="Q1985" s="73"/>
      <c r="R1985" s="73"/>
      <c r="S1985" s="73"/>
      <c r="T1985" s="73"/>
      <c r="U1985" s="73"/>
      <c r="V1985" s="73"/>
      <c r="W1985" s="73"/>
      <c r="X1985" s="73"/>
      <c r="Y1985" s="73"/>
      <c r="Z1985" s="73"/>
    </row>
    <row r="1986" spans="1:26" ht="12.75" customHeight="1">
      <c r="A1986" s="73"/>
      <c r="B1986" s="32"/>
      <c r="C1986" s="32"/>
      <c r="D1986" s="33"/>
      <c r="E1986" s="32"/>
      <c r="F1986" s="32"/>
      <c r="G1986" s="74"/>
      <c r="H1986" s="32"/>
      <c r="I1986" s="32"/>
      <c r="J1986" s="32"/>
      <c r="K1986" s="74"/>
      <c r="L1986" s="75"/>
      <c r="M1986" s="32"/>
      <c r="N1986" s="32"/>
      <c r="O1986" s="73"/>
      <c r="P1986" s="73"/>
      <c r="Q1986" s="73"/>
      <c r="R1986" s="73"/>
      <c r="S1986" s="73"/>
      <c r="T1986" s="73"/>
      <c r="U1986" s="73"/>
      <c r="V1986" s="73"/>
      <c r="W1986" s="73"/>
      <c r="X1986" s="73"/>
      <c r="Y1986" s="73"/>
      <c r="Z1986" s="73"/>
    </row>
    <row r="1987" spans="1:26" ht="12.75" customHeight="1">
      <c r="A1987" s="73"/>
      <c r="B1987" s="32"/>
      <c r="C1987" s="32"/>
      <c r="D1987" s="33"/>
      <c r="E1987" s="32"/>
      <c r="F1987" s="32"/>
      <c r="G1987" s="74"/>
      <c r="H1987" s="32"/>
      <c r="I1987" s="32"/>
      <c r="J1987" s="32"/>
      <c r="K1987" s="74"/>
      <c r="L1987" s="75"/>
      <c r="M1987" s="32"/>
      <c r="N1987" s="32"/>
      <c r="O1987" s="73"/>
      <c r="P1987" s="73"/>
      <c r="Q1987" s="73"/>
      <c r="R1987" s="73"/>
      <c r="S1987" s="73"/>
      <c r="T1987" s="73"/>
      <c r="U1987" s="73"/>
      <c r="V1987" s="73"/>
      <c r="W1987" s="73"/>
      <c r="X1987" s="73"/>
      <c r="Y1987" s="73"/>
      <c r="Z1987" s="73"/>
    </row>
    <row r="1988" spans="1:26" ht="12.75" customHeight="1">
      <c r="A1988" s="73"/>
      <c r="B1988" s="32"/>
      <c r="C1988" s="32"/>
      <c r="D1988" s="33"/>
      <c r="E1988" s="32"/>
      <c r="F1988" s="32"/>
      <c r="G1988" s="74"/>
      <c r="H1988" s="32"/>
      <c r="I1988" s="32"/>
      <c r="J1988" s="32"/>
      <c r="K1988" s="74"/>
      <c r="L1988" s="75"/>
      <c r="M1988" s="32"/>
      <c r="N1988" s="32"/>
      <c r="O1988" s="73"/>
      <c r="P1988" s="73"/>
      <c r="Q1988" s="73"/>
      <c r="R1988" s="73"/>
      <c r="S1988" s="73"/>
      <c r="T1988" s="73"/>
      <c r="U1988" s="73"/>
      <c r="V1988" s="73"/>
      <c r="W1988" s="73"/>
      <c r="X1988" s="73"/>
      <c r="Y1988" s="73"/>
      <c r="Z1988" s="73"/>
    </row>
    <row r="1989" spans="1:26" ht="12.75" customHeight="1">
      <c r="A1989" s="73"/>
      <c r="B1989" s="32"/>
      <c r="C1989" s="32"/>
      <c r="D1989" s="33"/>
      <c r="E1989" s="32"/>
      <c r="F1989" s="32"/>
      <c r="G1989" s="74"/>
      <c r="H1989" s="32"/>
      <c r="I1989" s="32"/>
      <c r="J1989" s="32"/>
      <c r="K1989" s="74"/>
      <c r="L1989" s="75"/>
      <c r="M1989" s="32"/>
      <c r="N1989" s="32"/>
      <c r="O1989" s="73"/>
      <c r="P1989" s="73"/>
      <c r="Q1989" s="73"/>
      <c r="R1989" s="73"/>
      <c r="S1989" s="73"/>
      <c r="T1989" s="73"/>
      <c r="U1989" s="73"/>
      <c r="V1989" s="73"/>
      <c r="W1989" s="73"/>
      <c r="X1989" s="73"/>
      <c r="Y1989" s="73"/>
      <c r="Z1989" s="73"/>
    </row>
    <row r="1990" spans="1:26" ht="12.75" customHeight="1">
      <c r="A1990" s="73"/>
      <c r="B1990" s="32"/>
      <c r="C1990" s="32"/>
      <c r="D1990" s="33"/>
      <c r="E1990" s="32"/>
      <c r="F1990" s="32"/>
      <c r="G1990" s="74"/>
      <c r="H1990" s="32"/>
      <c r="I1990" s="32"/>
      <c r="J1990" s="32"/>
      <c r="K1990" s="74"/>
      <c r="L1990" s="75"/>
      <c r="M1990" s="32"/>
      <c r="N1990" s="32"/>
      <c r="O1990" s="73"/>
      <c r="P1990" s="73"/>
      <c r="Q1990" s="73"/>
      <c r="R1990" s="73"/>
      <c r="S1990" s="73"/>
      <c r="T1990" s="73"/>
      <c r="U1990" s="73"/>
      <c r="V1990" s="73"/>
      <c r="W1990" s="73"/>
      <c r="X1990" s="73"/>
      <c r="Y1990" s="73"/>
      <c r="Z1990" s="73"/>
    </row>
    <row r="1991" spans="1:26" ht="12.75" customHeight="1">
      <c r="A1991" s="73"/>
      <c r="B1991" s="32"/>
      <c r="C1991" s="32"/>
      <c r="D1991" s="33"/>
      <c r="E1991" s="32"/>
      <c r="F1991" s="32"/>
      <c r="G1991" s="74"/>
      <c r="H1991" s="32"/>
      <c r="I1991" s="32"/>
      <c r="J1991" s="32"/>
      <c r="K1991" s="74"/>
      <c r="L1991" s="75"/>
      <c r="M1991" s="32"/>
      <c r="N1991" s="32"/>
      <c r="O1991" s="73"/>
      <c r="P1991" s="73"/>
      <c r="Q1991" s="73"/>
      <c r="R1991" s="73"/>
      <c r="S1991" s="73"/>
      <c r="T1991" s="73"/>
      <c r="U1991" s="73"/>
      <c r="V1991" s="73"/>
      <c r="W1991" s="73"/>
      <c r="X1991" s="73"/>
      <c r="Y1991" s="73"/>
      <c r="Z1991" s="73"/>
    </row>
    <row r="1992" spans="1:26" ht="12.75" customHeight="1">
      <c r="A1992" s="73"/>
      <c r="B1992" s="32"/>
      <c r="C1992" s="32"/>
      <c r="D1992" s="33"/>
      <c r="E1992" s="32"/>
      <c r="F1992" s="32"/>
      <c r="G1992" s="74"/>
      <c r="H1992" s="32"/>
      <c r="I1992" s="32"/>
      <c r="J1992" s="32"/>
      <c r="K1992" s="74"/>
      <c r="L1992" s="75"/>
      <c r="M1992" s="32"/>
      <c r="N1992" s="32"/>
      <c r="O1992" s="73"/>
      <c r="P1992" s="73"/>
      <c r="Q1992" s="73"/>
      <c r="R1992" s="73"/>
      <c r="S1992" s="73"/>
      <c r="T1992" s="73"/>
      <c r="U1992" s="73"/>
      <c r="V1992" s="73"/>
      <c r="W1992" s="73"/>
      <c r="X1992" s="73"/>
      <c r="Y1992" s="73"/>
      <c r="Z1992" s="73"/>
    </row>
    <row r="1993" spans="1:26" ht="12.75" customHeight="1">
      <c r="A1993" s="73"/>
      <c r="B1993" s="32"/>
      <c r="C1993" s="32"/>
      <c r="D1993" s="33"/>
      <c r="E1993" s="32"/>
      <c r="F1993" s="32"/>
      <c r="G1993" s="74"/>
      <c r="H1993" s="32"/>
      <c r="I1993" s="32"/>
      <c r="J1993" s="32"/>
      <c r="K1993" s="74"/>
      <c r="L1993" s="75"/>
      <c r="M1993" s="32"/>
      <c r="N1993" s="32"/>
      <c r="O1993" s="73"/>
      <c r="P1993" s="73"/>
      <c r="Q1993" s="73"/>
      <c r="R1993" s="73"/>
      <c r="S1993" s="73"/>
      <c r="T1993" s="73"/>
      <c r="U1993" s="73"/>
      <c r="V1993" s="73"/>
      <c r="W1993" s="73"/>
      <c r="X1993" s="73"/>
      <c r="Y1993" s="73"/>
      <c r="Z1993" s="73"/>
    </row>
    <row r="1994" spans="1:26" ht="12.75" customHeight="1">
      <c r="A1994" s="73"/>
      <c r="B1994" s="32"/>
      <c r="C1994" s="32"/>
      <c r="D1994" s="33"/>
      <c r="E1994" s="32"/>
      <c r="F1994" s="32"/>
      <c r="G1994" s="74"/>
      <c r="H1994" s="32"/>
      <c r="I1994" s="32"/>
      <c r="J1994" s="32"/>
      <c r="K1994" s="74"/>
      <c r="L1994" s="75"/>
      <c r="M1994" s="32"/>
      <c r="N1994" s="32"/>
      <c r="O1994" s="73"/>
      <c r="P1994" s="73"/>
      <c r="Q1994" s="73"/>
      <c r="R1994" s="73"/>
      <c r="S1994" s="73"/>
      <c r="T1994" s="73"/>
      <c r="U1994" s="73"/>
      <c r="V1994" s="73"/>
      <c r="W1994" s="73"/>
      <c r="X1994" s="73"/>
      <c r="Y1994" s="73"/>
      <c r="Z1994" s="73"/>
    </row>
    <row r="1995" spans="1:26" ht="12.75" customHeight="1">
      <c r="A1995" s="73"/>
      <c r="B1995" s="32"/>
      <c r="C1995" s="32"/>
      <c r="D1995" s="33"/>
      <c r="E1995" s="32"/>
      <c r="F1995" s="32"/>
      <c r="G1995" s="74"/>
      <c r="H1995" s="32"/>
      <c r="I1995" s="32"/>
      <c r="J1995" s="32"/>
      <c r="K1995" s="74"/>
      <c r="L1995" s="75"/>
      <c r="M1995" s="32"/>
      <c r="N1995" s="32"/>
      <c r="O1995" s="73"/>
      <c r="P1995" s="73"/>
      <c r="Q1995" s="73"/>
      <c r="R1995" s="73"/>
      <c r="S1995" s="73"/>
      <c r="T1995" s="73"/>
      <c r="U1995" s="73"/>
      <c r="V1995" s="73"/>
      <c r="W1995" s="73"/>
      <c r="X1995" s="73"/>
      <c r="Y1995" s="73"/>
      <c r="Z1995" s="73"/>
    </row>
    <row r="1996" spans="1:26" ht="12.75" customHeight="1">
      <c r="A1996" s="73"/>
      <c r="B1996" s="32"/>
      <c r="C1996" s="32"/>
      <c r="D1996" s="33"/>
      <c r="E1996" s="32"/>
      <c r="F1996" s="32"/>
      <c r="G1996" s="74"/>
      <c r="H1996" s="32"/>
      <c r="I1996" s="32"/>
      <c r="J1996" s="32"/>
      <c r="K1996" s="74"/>
      <c r="L1996" s="75"/>
      <c r="M1996" s="32"/>
      <c r="N1996" s="32"/>
      <c r="O1996" s="73"/>
      <c r="P1996" s="73"/>
      <c r="Q1996" s="73"/>
      <c r="R1996" s="73"/>
      <c r="S1996" s="73"/>
      <c r="T1996" s="73"/>
      <c r="U1996" s="73"/>
      <c r="V1996" s="73"/>
      <c r="W1996" s="73"/>
      <c r="X1996" s="73"/>
      <c r="Y1996" s="73"/>
      <c r="Z1996" s="73"/>
    </row>
    <row r="1997" spans="1:26" ht="12.75" customHeight="1">
      <c r="A1997" s="73"/>
      <c r="B1997" s="32"/>
      <c r="C1997" s="32"/>
      <c r="D1997" s="33"/>
      <c r="E1997" s="32"/>
      <c r="F1997" s="32"/>
      <c r="G1997" s="74"/>
      <c r="H1997" s="32"/>
      <c r="I1997" s="32"/>
      <c r="J1997" s="32"/>
      <c r="K1997" s="74"/>
      <c r="L1997" s="75"/>
      <c r="M1997" s="32"/>
      <c r="N1997" s="32"/>
      <c r="O1997" s="73"/>
      <c r="P1997" s="73"/>
      <c r="Q1997" s="73"/>
      <c r="R1997" s="73"/>
      <c r="S1997" s="73"/>
      <c r="T1997" s="73"/>
      <c r="U1997" s="73"/>
      <c r="V1997" s="73"/>
      <c r="W1997" s="73"/>
      <c r="X1997" s="73"/>
      <c r="Y1997" s="73"/>
      <c r="Z1997" s="73"/>
    </row>
    <row r="1998" spans="1:26" ht="12.75" customHeight="1">
      <c r="A1998" s="73"/>
      <c r="B1998" s="32"/>
      <c r="C1998" s="32"/>
      <c r="D1998" s="33"/>
      <c r="E1998" s="32"/>
      <c r="F1998" s="32"/>
      <c r="G1998" s="74"/>
      <c r="H1998" s="32"/>
      <c r="I1998" s="32"/>
      <c r="J1998" s="32"/>
      <c r="K1998" s="74"/>
      <c r="L1998" s="75"/>
      <c r="M1998" s="32"/>
      <c r="N1998" s="32"/>
      <c r="O1998" s="73"/>
      <c r="P1998" s="73"/>
      <c r="Q1998" s="73"/>
      <c r="R1998" s="73"/>
      <c r="S1998" s="73"/>
      <c r="T1998" s="73"/>
      <c r="U1998" s="73"/>
      <c r="V1998" s="73"/>
      <c r="W1998" s="73"/>
      <c r="X1998" s="73"/>
      <c r="Y1998" s="73"/>
      <c r="Z1998" s="73"/>
    </row>
    <row r="1999" spans="1:26" ht="12.75" customHeight="1">
      <c r="A1999" s="73"/>
      <c r="B1999" s="32"/>
      <c r="C1999" s="32"/>
      <c r="D1999" s="33"/>
      <c r="E1999" s="32"/>
      <c r="F1999" s="32"/>
      <c r="G1999" s="74"/>
      <c r="H1999" s="32"/>
      <c r="I1999" s="32"/>
      <c r="J1999" s="32"/>
      <c r="K1999" s="74"/>
      <c r="L1999" s="75"/>
      <c r="M1999" s="32"/>
      <c r="N1999" s="32"/>
      <c r="O1999" s="73"/>
      <c r="P1999" s="73"/>
      <c r="Q1999" s="73"/>
      <c r="R1999" s="73"/>
      <c r="S1999" s="73"/>
      <c r="T1999" s="73"/>
      <c r="U1999" s="73"/>
      <c r="V1999" s="73"/>
      <c r="W1999" s="73"/>
      <c r="X1999" s="73"/>
      <c r="Y1999" s="73"/>
      <c r="Z1999" s="73"/>
    </row>
    <row r="2000" spans="1:26" ht="12.75" customHeight="1">
      <c r="A2000" s="73"/>
      <c r="B2000" s="32"/>
      <c r="C2000" s="32"/>
      <c r="D2000" s="33"/>
      <c r="E2000" s="32"/>
      <c r="F2000" s="32"/>
      <c r="G2000" s="74"/>
      <c r="H2000" s="32"/>
      <c r="I2000" s="32"/>
      <c r="J2000" s="32"/>
      <c r="K2000" s="74"/>
      <c r="L2000" s="75"/>
      <c r="M2000" s="32"/>
      <c r="N2000" s="32"/>
      <c r="O2000" s="73"/>
      <c r="P2000" s="73"/>
      <c r="Q2000" s="73"/>
      <c r="R2000" s="73"/>
      <c r="S2000" s="73"/>
      <c r="T2000" s="73"/>
      <c r="U2000" s="73"/>
      <c r="V2000" s="73"/>
      <c r="W2000" s="73"/>
      <c r="X2000" s="73"/>
      <c r="Y2000" s="73"/>
      <c r="Z2000" s="73"/>
    </row>
    <row r="2001" spans="1:26" ht="12.75" customHeight="1">
      <c r="A2001" s="73"/>
      <c r="B2001" s="32"/>
      <c r="C2001" s="32"/>
      <c r="D2001" s="33"/>
      <c r="E2001" s="32"/>
      <c r="F2001" s="32"/>
      <c r="G2001" s="74"/>
      <c r="H2001" s="32"/>
      <c r="I2001" s="32"/>
      <c r="J2001" s="32"/>
      <c r="K2001" s="74"/>
      <c r="L2001" s="75"/>
      <c r="M2001" s="32"/>
      <c r="N2001" s="32"/>
      <c r="O2001" s="73"/>
      <c r="P2001" s="73"/>
      <c r="Q2001" s="73"/>
      <c r="R2001" s="73"/>
      <c r="S2001" s="73"/>
      <c r="T2001" s="73"/>
      <c r="U2001" s="73"/>
      <c r="V2001" s="73"/>
      <c r="W2001" s="73"/>
      <c r="X2001" s="73"/>
      <c r="Y2001" s="73"/>
      <c r="Z2001" s="73"/>
    </row>
    <row r="2002" spans="1:26" ht="12.75" customHeight="1">
      <c r="A2002" s="73"/>
      <c r="B2002" s="32"/>
      <c r="C2002" s="32"/>
      <c r="D2002" s="33"/>
      <c r="E2002" s="32"/>
      <c r="F2002" s="32"/>
      <c r="G2002" s="74"/>
      <c r="H2002" s="32"/>
      <c r="I2002" s="32"/>
      <c r="J2002" s="32"/>
      <c r="K2002" s="74"/>
      <c r="L2002" s="75"/>
      <c r="M2002" s="32"/>
      <c r="N2002" s="32"/>
      <c r="O2002" s="73"/>
      <c r="P2002" s="73"/>
      <c r="Q2002" s="73"/>
      <c r="R2002" s="73"/>
      <c r="S2002" s="73"/>
      <c r="T2002" s="73"/>
      <c r="U2002" s="73"/>
      <c r="V2002" s="73"/>
      <c r="W2002" s="73"/>
      <c r="X2002" s="73"/>
      <c r="Y2002" s="73"/>
      <c r="Z2002" s="73"/>
    </row>
    <row r="2003" spans="1:26" ht="12.75" customHeight="1">
      <c r="A2003" s="73"/>
      <c r="B2003" s="32"/>
      <c r="C2003" s="32"/>
      <c r="D2003" s="33"/>
      <c r="E2003" s="32"/>
      <c r="F2003" s="32"/>
      <c r="G2003" s="74"/>
      <c r="H2003" s="32"/>
      <c r="I2003" s="32"/>
      <c r="J2003" s="32"/>
      <c r="K2003" s="74"/>
      <c r="L2003" s="75"/>
      <c r="M2003" s="32"/>
      <c r="N2003" s="32"/>
      <c r="O2003" s="73"/>
      <c r="P2003" s="73"/>
      <c r="Q2003" s="73"/>
      <c r="R2003" s="73"/>
      <c r="S2003" s="73"/>
      <c r="T2003" s="73"/>
      <c r="U2003" s="73"/>
      <c r="V2003" s="73"/>
      <c r="W2003" s="73"/>
      <c r="X2003" s="73"/>
      <c r="Y2003" s="73"/>
      <c r="Z2003" s="73"/>
    </row>
    <row r="2004" spans="1:26" ht="12.75" customHeight="1">
      <c r="A2004" s="73"/>
      <c r="B2004" s="32"/>
      <c r="C2004" s="32"/>
      <c r="D2004" s="33"/>
      <c r="E2004" s="32"/>
      <c r="F2004" s="32"/>
      <c r="G2004" s="74"/>
      <c r="H2004" s="32"/>
      <c r="I2004" s="32"/>
      <c r="J2004" s="32"/>
      <c r="K2004" s="74"/>
      <c r="L2004" s="75"/>
      <c r="M2004" s="32"/>
      <c r="N2004" s="32"/>
      <c r="O2004" s="73"/>
      <c r="P2004" s="73"/>
      <c r="Q2004" s="73"/>
      <c r="R2004" s="73"/>
      <c r="S2004" s="73"/>
      <c r="T2004" s="73"/>
      <c r="U2004" s="73"/>
      <c r="V2004" s="73"/>
      <c r="W2004" s="73"/>
      <c r="X2004" s="73"/>
      <c r="Y2004" s="73"/>
      <c r="Z2004" s="73"/>
    </row>
    <row r="2005" spans="1:26" ht="12.75" customHeight="1">
      <c r="A2005" s="73"/>
      <c r="B2005" s="32"/>
      <c r="C2005" s="32"/>
      <c r="D2005" s="33"/>
      <c r="E2005" s="32"/>
      <c r="F2005" s="32"/>
      <c r="G2005" s="74"/>
      <c r="H2005" s="32"/>
      <c r="I2005" s="32"/>
      <c r="J2005" s="32"/>
      <c r="K2005" s="74"/>
      <c r="L2005" s="75"/>
      <c r="M2005" s="32"/>
      <c r="N2005" s="32"/>
      <c r="O2005" s="73"/>
      <c r="P2005" s="73"/>
      <c r="Q2005" s="73"/>
      <c r="R2005" s="73"/>
      <c r="S2005" s="73"/>
      <c r="T2005" s="73"/>
      <c r="U2005" s="73"/>
      <c r="V2005" s="73"/>
      <c r="W2005" s="73"/>
      <c r="X2005" s="73"/>
      <c r="Y2005" s="73"/>
      <c r="Z2005" s="73"/>
    </row>
    <row r="2006" spans="1:26" ht="12.75" customHeight="1">
      <c r="A2006" s="73"/>
      <c r="B2006" s="32"/>
      <c r="C2006" s="32"/>
      <c r="D2006" s="33"/>
      <c r="E2006" s="32"/>
      <c r="F2006" s="32"/>
      <c r="G2006" s="74"/>
      <c r="H2006" s="32"/>
      <c r="I2006" s="32"/>
      <c r="J2006" s="32"/>
      <c r="K2006" s="74"/>
      <c r="L2006" s="75"/>
      <c r="M2006" s="32"/>
      <c r="N2006" s="32"/>
      <c r="O2006" s="73"/>
      <c r="P2006" s="73"/>
      <c r="Q2006" s="73"/>
      <c r="R2006" s="73"/>
      <c r="S2006" s="73"/>
      <c r="T2006" s="73"/>
      <c r="U2006" s="73"/>
      <c r="V2006" s="73"/>
      <c r="W2006" s="73"/>
      <c r="X2006" s="73"/>
      <c r="Y2006" s="73"/>
      <c r="Z2006" s="73"/>
    </row>
    <row r="2007" spans="1:26" ht="12.75" customHeight="1">
      <c r="A2007" s="73"/>
      <c r="B2007" s="32"/>
      <c r="C2007" s="32"/>
      <c r="D2007" s="33"/>
      <c r="E2007" s="32"/>
      <c r="F2007" s="32"/>
      <c r="G2007" s="74"/>
      <c r="H2007" s="32"/>
      <c r="I2007" s="32"/>
      <c r="J2007" s="32"/>
      <c r="K2007" s="74"/>
      <c r="L2007" s="75"/>
      <c r="M2007" s="32"/>
      <c r="N2007" s="32"/>
      <c r="O2007" s="73"/>
      <c r="P2007" s="73"/>
      <c r="Q2007" s="73"/>
      <c r="R2007" s="73"/>
      <c r="S2007" s="73"/>
      <c r="T2007" s="73"/>
      <c r="U2007" s="73"/>
      <c r="V2007" s="73"/>
      <c r="W2007" s="73"/>
      <c r="X2007" s="73"/>
      <c r="Y2007" s="73"/>
      <c r="Z2007" s="73"/>
    </row>
    <row r="2008" spans="1:26" ht="12.75" customHeight="1">
      <c r="A2008" s="73"/>
      <c r="B2008" s="32"/>
      <c r="C2008" s="32"/>
      <c r="D2008" s="33"/>
      <c r="E2008" s="32"/>
      <c r="F2008" s="32"/>
      <c r="G2008" s="74"/>
      <c r="H2008" s="32"/>
      <c r="I2008" s="32"/>
      <c r="J2008" s="32"/>
      <c r="K2008" s="74"/>
      <c r="L2008" s="75"/>
      <c r="M2008" s="32"/>
      <c r="N2008" s="32"/>
      <c r="O2008" s="73"/>
      <c r="P2008" s="73"/>
      <c r="Q2008" s="73"/>
      <c r="R2008" s="73"/>
      <c r="S2008" s="73"/>
      <c r="T2008" s="73"/>
      <c r="U2008" s="73"/>
      <c r="V2008" s="73"/>
      <c r="W2008" s="73"/>
      <c r="X2008" s="73"/>
      <c r="Y2008" s="73"/>
      <c r="Z2008" s="73"/>
    </row>
    <row r="2009" spans="1:26" ht="12.75" customHeight="1">
      <c r="A2009" s="73"/>
      <c r="B2009" s="32"/>
      <c r="C2009" s="32"/>
      <c r="D2009" s="33"/>
      <c r="E2009" s="32"/>
      <c r="F2009" s="32"/>
      <c r="G2009" s="74"/>
      <c r="H2009" s="32"/>
      <c r="I2009" s="32"/>
      <c r="J2009" s="32"/>
      <c r="K2009" s="74"/>
      <c r="L2009" s="75"/>
      <c r="M2009" s="32"/>
      <c r="N2009" s="32"/>
      <c r="O2009" s="73"/>
      <c r="P2009" s="73"/>
      <c r="Q2009" s="73"/>
      <c r="R2009" s="73"/>
      <c r="S2009" s="73"/>
      <c r="T2009" s="73"/>
      <c r="U2009" s="73"/>
      <c r="V2009" s="73"/>
      <c r="W2009" s="73"/>
      <c r="X2009" s="73"/>
      <c r="Y2009" s="73"/>
      <c r="Z2009" s="73"/>
    </row>
    <row r="2010" spans="1:26" ht="12.75" customHeight="1">
      <c r="A2010" s="73"/>
      <c r="B2010" s="32"/>
      <c r="C2010" s="32"/>
      <c r="D2010" s="33"/>
      <c r="E2010" s="32"/>
      <c r="F2010" s="32"/>
      <c r="G2010" s="74"/>
      <c r="H2010" s="32"/>
      <c r="I2010" s="32"/>
      <c r="J2010" s="32"/>
      <c r="K2010" s="74"/>
      <c r="L2010" s="75"/>
      <c r="M2010" s="32"/>
      <c r="N2010" s="32"/>
      <c r="O2010" s="73"/>
      <c r="P2010" s="73"/>
      <c r="Q2010" s="73"/>
      <c r="R2010" s="73"/>
      <c r="S2010" s="73"/>
      <c r="T2010" s="73"/>
      <c r="U2010" s="73"/>
      <c r="V2010" s="73"/>
      <c r="W2010" s="73"/>
      <c r="X2010" s="73"/>
      <c r="Y2010" s="73"/>
      <c r="Z2010" s="73"/>
    </row>
    <row r="2011" spans="1:26" ht="12.75" customHeight="1">
      <c r="A2011" s="73"/>
      <c r="B2011" s="32"/>
      <c r="C2011" s="32"/>
      <c r="D2011" s="33"/>
      <c r="E2011" s="32"/>
      <c r="F2011" s="32"/>
      <c r="G2011" s="74"/>
      <c r="H2011" s="32"/>
      <c r="I2011" s="32"/>
      <c r="J2011" s="32"/>
      <c r="K2011" s="74"/>
      <c r="L2011" s="75"/>
      <c r="M2011" s="32"/>
      <c r="N2011" s="32"/>
      <c r="O2011" s="73"/>
      <c r="P2011" s="73"/>
      <c r="Q2011" s="73"/>
      <c r="R2011" s="73"/>
      <c r="S2011" s="73"/>
      <c r="T2011" s="73"/>
      <c r="U2011" s="73"/>
      <c r="V2011" s="73"/>
      <c r="W2011" s="73"/>
      <c r="X2011" s="73"/>
      <c r="Y2011" s="73"/>
      <c r="Z2011" s="73"/>
    </row>
    <row r="2012" spans="1:26" ht="12.75" customHeight="1">
      <c r="A2012" s="73"/>
      <c r="B2012" s="32"/>
      <c r="C2012" s="32"/>
      <c r="D2012" s="33"/>
      <c r="E2012" s="32"/>
      <c r="F2012" s="32"/>
      <c r="G2012" s="74"/>
      <c r="H2012" s="32"/>
      <c r="I2012" s="32"/>
      <c r="J2012" s="32"/>
      <c r="K2012" s="74"/>
      <c r="L2012" s="75"/>
      <c r="M2012" s="32"/>
      <c r="N2012" s="32"/>
      <c r="O2012" s="73"/>
      <c r="P2012" s="73"/>
      <c r="Q2012" s="73"/>
      <c r="R2012" s="73"/>
      <c r="S2012" s="73"/>
      <c r="T2012" s="73"/>
      <c r="U2012" s="73"/>
      <c r="V2012" s="73"/>
      <c r="W2012" s="73"/>
      <c r="X2012" s="73"/>
      <c r="Y2012" s="73"/>
      <c r="Z2012" s="73"/>
    </row>
    <row r="2013" spans="1:26" ht="12.75" customHeight="1">
      <c r="A2013" s="73"/>
      <c r="B2013" s="32"/>
      <c r="C2013" s="32"/>
      <c r="D2013" s="33"/>
      <c r="E2013" s="32"/>
      <c r="F2013" s="32"/>
      <c r="G2013" s="74"/>
      <c r="H2013" s="32"/>
      <c r="I2013" s="32"/>
      <c r="J2013" s="32"/>
      <c r="K2013" s="74"/>
      <c r="L2013" s="75"/>
      <c r="M2013" s="32"/>
      <c r="N2013" s="32"/>
      <c r="O2013" s="73"/>
      <c r="P2013" s="73"/>
      <c r="Q2013" s="73"/>
      <c r="R2013" s="73"/>
      <c r="S2013" s="73"/>
      <c r="T2013" s="73"/>
      <c r="U2013" s="73"/>
      <c r="V2013" s="73"/>
      <c r="W2013" s="73"/>
      <c r="X2013" s="73"/>
      <c r="Y2013" s="73"/>
      <c r="Z2013" s="73"/>
    </row>
    <row r="2014" spans="1:26" ht="12.75" customHeight="1">
      <c r="A2014" s="73"/>
      <c r="B2014" s="32"/>
      <c r="C2014" s="32"/>
      <c r="D2014" s="33"/>
      <c r="E2014" s="32"/>
      <c r="F2014" s="32"/>
      <c r="G2014" s="74"/>
      <c r="H2014" s="32"/>
      <c r="I2014" s="32"/>
      <c r="J2014" s="32"/>
      <c r="K2014" s="74"/>
      <c r="L2014" s="75"/>
      <c r="M2014" s="32"/>
      <c r="N2014" s="32"/>
      <c r="O2014" s="73"/>
      <c r="P2014" s="73"/>
      <c r="Q2014" s="73"/>
      <c r="R2014" s="73"/>
      <c r="S2014" s="73"/>
      <c r="T2014" s="73"/>
      <c r="U2014" s="73"/>
      <c r="V2014" s="73"/>
      <c r="W2014" s="73"/>
      <c r="X2014" s="73"/>
      <c r="Y2014" s="73"/>
      <c r="Z2014" s="73"/>
    </row>
    <row r="2015" spans="1:26" ht="12.75" customHeight="1">
      <c r="A2015" s="73"/>
      <c r="B2015" s="32"/>
      <c r="C2015" s="32"/>
      <c r="D2015" s="33"/>
      <c r="E2015" s="32"/>
      <c r="F2015" s="32"/>
      <c r="G2015" s="74"/>
      <c r="H2015" s="32"/>
      <c r="I2015" s="32"/>
      <c r="J2015" s="32"/>
      <c r="K2015" s="74"/>
      <c r="L2015" s="75"/>
      <c r="M2015" s="32"/>
      <c r="N2015" s="32"/>
      <c r="O2015" s="73"/>
      <c r="P2015" s="73"/>
      <c r="Q2015" s="73"/>
      <c r="R2015" s="73"/>
      <c r="S2015" s="73"/>
      <c r="T2015" s="73"/>
      <c r="U2015" s="73"/>
      <c r="V2015" s="73"/>
      <c r="W2015" s="73"/>
      <c r="X2015" s="73"/>
      <c r="Y2015" s="73"/>
      <c r="Z2015" s="73"/>
    </row>
    <row r="2016" spans="1:26" ht="12.75" customHeight="1">
      <c r="A2016" s="73"/>
      <c r="B2016" s="32"/>
      <c r="C2016" s="32"/>
      <c r="D2016" s="33"/>
      <c r="E2016" s="32"/>
      <c r="F2016" s="32"/>
      <c r="G2016" s="74"/>
      <c r="H2016" s="32"/>
      <c r="I2016" s="32"/>
      <c r="J2016" s="32"/>
      <c r="K2016" s="74"/>
      <c r="L2016" s="75"/>
      <c r="M2016" s="32"/>
      <c r="N2016" s="32"/>
      <c r="O2016" s="73"/>
      <c r="P2016" s="73"/>
      <c r="Q2016" s="73"/>
      <c r="R2016" s="73"/>
      <c r="S2016" s="73"/>
      <c r="T2016" s="73"/>
      <c r="U2016" s="73"/>
      <c r="V2016" s="73"/>
      <c r="W2016" s="73"/>
      <c r="X2016" s="73"/>
      <c r="Y2016" s="73"/>
      <c r="Z2016" s="73"/>
    </row>
    <row r="2017" spans="1:26" ht="12.75" customHeight="1">
      <c r="A2017" s="73"/>
      <c r="B2017" s="32"/>
      <c r="C2017" s="32"/>
      <c r="D2017" s="33"/>
      <c r="E2017" s="32"/>
      <c r="F2017" s="32"/>
      <c r="G2017" s="74"/>
      <c r="H2017" s="32"/>
      <c r="I2017" s="32"/>
      <c r="J2017" s="32"/>
      <c r="K2017" s="74"/>
      <c r="L2017" s="75"/>
      <c r="M2017" s="32"/>
      <c r="N2017" s="32"/>
      <c r="O2017" s="73"/>
      <c r="P2017" s="73"/>
      <c r="Q2017" s="73"/>
      <c r="R2017" s="73"/>
      <c r="S2017" s="73"/>
      <c r="T2017" s="73"/>
      <c r="U2017" s="73"/>
      <c r="V2017" s="73"/>
      <c r="W2017" s="73"/>
      <c r="X2017" s="73"/>
      <c r="Y2017" s="73"/>
      <c r="Z2017" s="73"/>
    </row>
    <row r="2018" spans="1:26" ht="12.75" customHeight="1">
      <c r="A2018" s="73"/>
      <c r="B2018" s="32"/>
      <c r="C2018" s="32"/>
      <c r="D2018" s="33"/>
      <c r="E2018" s="32"/>
      <c r="F2018" s="32"/>
      <c r="G2018" s="74"/>
      <c r="H2018" s="32"/>
      <c r="I2018" s="32"/>
      <c r="J2018" s="32"/>
      <c r="K2018" s="74"/>
      <c r="L2018" s="75"/>
      <c r="M2018" s="32"/>
      <c r="N2018" s="32"/>
      <c r="O2018" s="73"/>
      <c r="P2018" s="73"/>
      <c r="Q2018" s="73"/>
      <c r="R2018" s="73"/>
      <c r="S2018" s="73"/>
      <c r="T2018" s="73"/>
      <c r="U2018" s="73"/>
      <c r="V2018" s="73"/>
      <c r="W2018" s="73"/>
      <c r="X2018" s="73"/>
      <c r="Y2018" s="73"/>
      <c r="Z2018" s="73"/>
    </row>
    <row r="2019" spans="1:26" ht="12.75" customHeight="1">
      <c r="A2019" s="73"/>
      <c r="B2019" s="32"/>
      <c r="C2019" s="32"/>
      <c r="D2019" s="33"/>
      <c r="E2019" s="32"/>
      <c r="F2019" s="32"/>
      <c r="G2019" s="74"/>
      <c r="H2019" s="32"/>
      <c r="I2019" s="32"/>
      <c r="J2019" s="32"/>
      <c r="K2019" s="74"/>
      <c r="L2019" s="75"/>
      <c r="M2019" s="32"/>
      <c r="N2019" s="32"/>
      <c r="O2019" s="73"/>
      <c r="P2019" s="73"/>
      <c r="Q2019" s="73"/>
      <c r="R2019" s="73"/>
      <c r="S2019" s="73"/>
      <c r="T2019" s="73"/>
      <c r="U2019" s="73"/>
      <c r="V2019" s="73"/>
      <c r="W2019" s="73"/>
      <c r="X2019" s="73"/>
      <c r="Y2019" s="73"/>
      <c r="Z2019" s="73"/>
    </row>
    <row r="2020" spans="1:26" ht="12.75" customHeight="1">
      <c r="A2020" s="73"/>
      <c r="B2020" s="32"/>
      <c r="C2020" s="32"/>
      <c r="D2020" s="33"/>
      <c r="E2020" s="32"/>
      <c r="F2020" s="32"/>
      <c r="G2020" s="74"/>
      <c r="H2020" s="32"/>
      <c r="I2020" s="32"/>
      <c r="J2020" s="32"/>
      <c r="K2020" s="74"/>
      <c r="L2020" s="75"/>
      <c r="M2020" s="32"/>
      <c r="N2020" s="32"/>
      <c r="O2020" s="73"/>
      <c r="P2020" s="73"/>
      <c r="Q2020" s="73"/>
      <c r="R2020" s="73"/>
      <c r="S2020" s="73"/>
      <c r="T2020" s="73"/>
      <c r="U2020" s="73"/>
      <c r="V2020" s="73"/>
      <c r="W2020" s="73"/>
      <c r="X2020" s="73"/>
      <c r="Y2020" s="73"/>
      <c r="Z2020" s="73"/>
    </row>
    <row r="2021" spans="1:26" ht="12.75" customHeight="1">
      <c r="A2021" s="73"/>
      <c r="B2021" s="32"/>
      <c r="C2021" s="32"/>
      <c r="D2021" s="33"/>
      <c r="E2021" s="32"/>
      <c r="F2021" s="32"/>
      <c r="G2021" s="74"/>
      <c r="H2021" s="32"/>
      <c r="I2021" s="32"/>
      <c r="J2021" s="32"/>
      <c r="K2021" s="74"/>
      <c r="L2021" s="75"/>
      <c r="M2021" s="32"/>
      <c r="N2021" s="32"/>
      <c r="O2021" s="73"/>
      <c r="P2021" s="73"/>
      <c r="Q2021" s="73"/>
      <c r="R2021" s="73"/>
      <c r="S2021" s="73"/>
      <c r="T2021" s="73"/>
      <c r="U2021" s="73"/>
      <c r="V2021" s="73"/>
      <c r="W2021" s="73"/>
      <c r="X2021" s="73"/>
      <c r="Y2021" s="73"/>
      <c r="Z2021" s="73"/>
    </row>
    <row r="2022" spans="1:26" ht="12.75" customHeight="1">
      <c r="A2022" s="73"/>
      <c r="B2022" s="32"/>
      <c r="C2022" s="32"/>
      <c r="D2022" s="33"/>
      <c r="E2022" s="32"/>
      <c r="F2022" s="32"/>
      <c r="G2022" s="74"/>
      <c r="H2022" s="32"/>
      <c r="I2022" s="32"/>
      <c r="J2022" s="32"/>
      <c r="K2022" s="74"/>
      <c r="L2022" s="75"/>
      <c r="M2022" s="32"/>
      <c r="N2022" s="32"/>
      <c r="O2022" s="73"/>
      <c r="P2022" s="73"/>
      <c r="Q2022" s="73"/>
      <c r="R2022" s="73"/>
      <c r="S2022" s="73"/>
      <c r="T2022" s="73"/>
      <c r="U2022" s="73"/>
      <c r="V2022" s="73"/>
      <c r="W2022" s="73"/>
      <c r="X2022" s="73"/>
      <c r="Y2022" s="73"/>
      <c r="Z2022" s="73"/>
    </row>
    <row r="2023" spans="1:26" ht="12.75" customHeight="1">
      <c r="A2023" s="73"/>
      <c r="B2023" s="32"/>
      <c r="C2023" s="32"/>
      <c r="D2023" s="33"/>
      <c r="E2023" s="32"/>
      <c r="F2023" s="32"/>
      <c r="G2023" s="74"/>
      <c r="H2023" s="32"/>
      <c r="I2023" s="32"/>
      <c r="J2023" s="32"/>
      <c r="K2023" s="74"/>
      <c r="L2023" s="75"/>
      <c r="M2023" s="32"/>
      <c r="N2023" s="32"/>
      <c r="O2023" s="73"/>
      <c r="P2023" s="73"/>
      <c r="Q2023" s="73"/>
      <c r="R2023" s="73"/>
      <c r="S2023" s="73"/>
      <c r="T2023" s="73"/>
      <c r="U2023" s="73"/>
      <c r="V2023" s="73"/>
      <c r="W2023" s="73"/>
      <c r="X2023" s="73"/>
      <c r="Y2023" s="73"/>
      <c r="Z2023" s="73"/>
    </row>
    <row r="2024" spans="1:26" ht="12.75" customHeight="1">
      <c r="A2024" s="73"/>
      <c r="B2024" s="32"/>
      <c r="C2024" s="32"/>
      <c r="D2024" s="33"/>
      <c r="E2024" s="32"/>
      <c r="F2024" s="32"/>
      <c r="G2024" s="74"/>
      <c r="H2024" s="32"/>
      <c r="I2024" s="32"/>
      <c r="J2024" s="32"/>
      <c r="K2024" s="74"/>
      <c r="L2024" s="75"/>
      <c r="M2024" s="32"/>
      <c r="N2024" s="32"/>
      <c r="O2024" s="73"/>
      <c r="P2024" s="73"/>
      <c r="Q2024" s="73"/>
      <c r="R2024" s="73"/>
      <c r="S2024" s="73"/>
      <c r="T2024" s="73"/>
      <c r="U2024" s="73"/>
      <c r="V2024" s="73"/>
      <c r="W2024" s="73"/>
      <c r="X2024" s="73"/>
      <c r="Y2024" s="73"/>
      <c r="Z2024" s="73"/>
    </row>
    <row r="2025" spans="1:26" ht="12.75" customHeight="1">
      <c r="A2025" s="73"/>
      <c r="B2025" s="32"/>
      <c r="C2025" s="32"/>
      <c r="D2025" s="33"/>
      <c r="E2025" s="32"/>
      <c r="F2025" s="32"/>
      <c r="G2025" s="74"/>
      <c r="H2025" s="32"/>
      <c r="I2025" s="32"/>
      <c r="J2025" s="32"/>
      <c r="K2025" s="74"/>
      <c r="L2025" s="75"/>
      <c r="M2025" s="32"/>
      <c r="N2025" s="32"/>
      <c r="O2025" s="73"/>
      <c r="P2025" s="73"/>
      <c r="Q2025" s="73"/>
      <c r="R2025" s="73"/>
      <c r="S2025" s="73"/>
      <c r="T2025" s="73"/>
      <c r="U2025" s="73"/>
      <c r="V2025" s="73"/>
      <c r="W2025" s="73"/>
      <c r="X2025" s="73"/>
      <c r="Y2025" s="73"/>
      <c r="Z2025" s="73"/>
    </row>
    <row r="2026" spans="1:26" ht="12.75" customHeight="1">
      <c r="A2026" s="73"/>
      <c r="B2026" s="32"/>
      <c r="C2026" s="32"/>
      <c r="D2026" s="33"/>
      <c r="E2026" s="32"/>
      <c r="F2026" s="32"/>
      <c r="G2026" s="74"/>
      <c r="H2026" s="32"/>
      <c r="I2026" s="32"/>
      <c r="J2026" s="32"/>
      <c r="K2026" s="74"/>
      <c r="L2026" s="75"/>
      <c r="M2026" s="32"/>
      <c r="N2026" s="32"/>
      <c r="O2026" s="73"/>
      <c r="P2026" s="73"/>
      <c r="Q2026" s="73"/>
      <c r="R2026" s="73"/>
      <c r="S2026" s="73"/>
      <c r="T2026" s="73"/>
      <c r="U2026" s="73"/>
      <c r="V2026" s="73"/>
      <c r="W2026" s="73"/>
      <c r="X2026" s="73"/>
      <c r="Y2026" s="73"/>
      <c r="Z2026" s="73"/>
    </row>
    <row r="2027" spans="1:26" ht="12.75" customHeight="1">
      <c r="A2027" s="73"/>
      <c r="B2027" s="32"/>
      <c r="C2027" s="32"/>
      <c r="D2027" s="33"/>
      <c r="E2027" s="32"/>
      <c r="F2027" s="32"/>
      <c r="G2027" s="74"/>
      <c r="H2027" s="32"/>
      <c r="I2027" s="32"/>
      <c r="J2027" s="32"/>
      <c r="K2027" s="74"/>
      <c r="L2027" s="75"/>
      <c r="M2027" s="32"/>
      <c r="N2027" s="32"/>
      <c r="O2027" s="73"/>
      <c r="P2027" s="73"/>
      <c r="Q2027" s="73"/>
      <c r="R2027" s="73"/>
      <c r="S2027" s="73"/>
      <c r="T2027" s="73"/>
      <c r="U2027" s="73"/>
      <c r="V2027" s="73"/>
      <c r="W2027" s="73"/>
      <c r="X2027" s="73"/>
      <c r="Y2027" s="73"/>
      <c r="Z2027" s="73"/>
    </row>
    <row r="2028" spans="1:26" ht="12.75" customHeight="1">
      <c r="A2028" s="73"/>
      <c r="B2028" s="32"/>
      <c r="C2028" s="32"/>
      <c r="D2028" s="33"/>
      <c r="E2028" s="32"/>
      <c r="F2028" s="32"/>
      <c r="G2028" s="74"/>
      <c r="H2028" s="32"/>
      <c r="I2028" s="32"/>
      <c r="J2028" s="32"/>
      <c r="K2028" s="74"/>
      <c r="L2028" s="75"/>
      <c r="M2028" s="32"/>
      <c r="N2028" s="32"/>
      <c r="O2028" s="73"/>
      <c r="P2028" s="73"/>
      <c r="Q2028" s="73"/>
      <c r="R2028" s="73"/>
      <c r="S2028" s="73"/>
      <c r="T2028" s="73"/>
      <c r="U2028" s="73"/>
      <c r="V2028" s="73"/>
      <c r="W2028" s="73"/>
      <c r="X2028" s="73"/>
      <c r="Y2028" s="73"/>
      <c r="Z2028" s="73"/>
    </row>
    <row r="2029" spans="1:26" ht="12.75" customHeight="1">
      <c r="A2029" s="73"/>
      <c r="B2029" s="32"/>
      <c r="C2029" s="32"/>
      <c r="D2029" s="33"/>
      <c r="E2029" s="32"/>
      <c r="F2029" s="32"/>
      <c r="G2029" s="74"/>
      <c r="H2029" s="32"/>
      <c r="I2029" s="32"/>
      <c r="J2029" s="32"/>
      <c r="K2029" s="74"/>
      <c r="L2029" s="75"/>
      <c r="M2029" s="32"/>
      <c r="N2029" s="32"/>
      <c r="O2029" s="73"/>
      <c r="P2029" s="73"/>
      <c r="Q2029" s="73"/>
      <c r="R2029" s="73"/>
      <c r="S2029" s="73"/>
      <c r="T2029" s="73"/>
      <c r="U2029" s="73"/>
      <c r="V2029" s="73"/>
      <c r="W2029" s="73"/>
      <c r="X2029" s="73"/>
      <c r="Y2029" s="73"/>
      <c r="Z2029" s="73"/>
    </row>
    <row r="2030" spans="1:26" ht="12.75" customHeight="1">
      <c r="A2030" s="73"/>
      <c r="B2030" s="32"/>
      <c r="C2030" s="32"/>
      <c r="D2030" s="33"/>
      <c r="E2030" s="32"/>
      <c r="F2030" s="32"/>
      <c r="G2030" s="74"/>
      <c r="H2030" s="32"/>
      <c r="I2030" s="32"/>
      <c r="J2030" s="32"/>
      <c r="K2030" s="74"/>
      <c r="L2030" s="75"/>
      <c r="M2030" s="32"/>
      <c r="N2030" s="32"/>
      <c r="O2030" s="73"/>
      <c r="P2030" s="73"/>
      <c r="Q2030" s="73"/>
      <c r="R2030" s="73"/>
      <c r="S2030" s="73"/>
      <c r="T2030" s="73"/>
      <c r="U2030" s="73"/>
      <c r="V2030" s="73"/>
      <c r="W2030" s="73"/>
      <c r="X2030" s="73"/>
      <c r="Y2030" s="73"/>
      <c r="Z2030" s="73"/>
    </row>
    <row r="2031" spans="1:26" ht="12.75" customHeight="1">
      <c r="A2031" s="73"/>
      <c r="B2031" s="32"/>
      <c r="C2031" s="32"/>
      <c r="D2031" s="33"/>
      <c r="E2031" s="32"/>
      <c r="F2031" s="32"/>
      <c r="G2031" s="74"/>
      <c r="H2031" s="32"/>
      <c r="I2031" s="32"/>
      <c r="J2031" s="32"/>
      <c r="K2031" s="74"/>
      <c r="L2031" s="75"/>
      <c r="M2031" s="32"/>
      <c r="N2031" s="32"/>
      <c r="O2031" s="73"/>
      <c r="P2031" s="73"/>
      <c r="Q2031" s="73"/>
      <c r="R2031" s="73"/>
      <c r="S2031" s="73"/>
      <c r="T2031" s="73"/>
      <c r="U2031" s="73"/>
      <c r="V2031" s="73"/>
      <c r="W2031" s="73"/>
      <c r="X2031" s="73"/>
      <c r="Y2031" s="73"/>
      <c r="Z2031" s="73"/>
    </row>
    <row r="2032" spans="1:26" ht="12.75" customHeight="1">
      <c r="A2032" s="73"/>
      <c r="B2032" s="32"/>
      <c r="C2032" s="32"/>
      <c r="D2032" s="33"/>
      <c r="E2032" s="32"/>
      <c r="F2032" s="32"/>
      <c r="G2032" s="74"/>
      <c r="H2032" s="32"/>
      <c r="I2032" s="32"/>
      <c r="J2032" s="32"/>
      <c r="K2032" s="74"/>
      <c r="L2032" s="75"/>
      <c r="M2032" s="32"/>
      <c r="N2032" s="32"/>
      <c r="O2032" s="73"/>
      <c r="P2032" s="73"/>
      <c r="Q2032" s="73"/>
      <c r="R2032" s="73"/>
      <c r="S2032" s="73"/>
      <c r="T2032" s="73"/>
      <c r="U2032" s="73"/>
      <c r="V2032" s="73"/>
      <c r="W2032" s="73"/>
      <c r="X2032" s="73"/>
      <c r="Y2032" s="73"/>
      <c r="Z2032" s="73"/>
    </row>
    <row r="2033" spans="1:26" ht="12.75" customHeight="1">
      <c r="A2033" s="73"/>
      <c r="B2033" s="32"/>
      <c r="C2033" s="32"/>
      <c r="D2033" s="33"/>
      <c r="E2033" s="32"/>
      <c r="F2033" s="32"/>
      <c r="G2033" s="74"/>
      <c r="H2033" s="32"/>
      <c r="I2033" s="32"/>
      <c r="J2033" s="32"/>
      <c r="K2033" s="74"/>
      <c r="L2033" s="75"/>
      <c r="M2033" s="32"/>
      <c r="N2033" s="32"/>
      <c r="O2033" s="73"/>
      <c r="P2033" s="73"/>
      <c r="Q2033" s="73"/>
      <c r="R2033" s="73"/>
      <c r="S2033" s="73"/>
      <c r="T2033" s="73"/>
      <c r="U2033" s="73"/>
      <c r="V2033" s="73"/>
      <c r="W2033" s="73"/>
      <c r="X2033" s="73"/>
      <c r="Y2033" s="73"/>
      <c r="Z2033" s="73"/>
    </row>
    <row r="2034" spans="1:26" ht="12.75" customHeight="1">
      <c r="A2034" s="73"/>
      <c r="B2034" s="32"/>
      <c r="C2034" s="32"/>
      <c r="D2034" s="33"/>
      <c r="E2034" s="32"/>
      <c r="F2034" s="32"/>
      <c r="G2034" s="74"/>
      <c r="H2034" s="32"/>
      <c r="I2034" s="32"/>
      <c r="J2034" s="32"/>
      <c r="K2034" s="74"/>
      <c r="L2034" s="75"/>
      <c r="M2034" s="32"/>
      <c r="N2034" s="32"/>
      <c r="O2034" s="73"/>
      <c r="P2034" s="73"/>
      <c r="Q2034" s="73"/>
      <c r="R2034" s="73"/>
      <c r="S2034" s="73"/>
      <c r="T2034" s="73"/>
      <c r="U2034" s="73"/>
      <c r="V2034" s="73"/>
      <c r="W2034" s="73"/>
      <c r="X2034" s="73"/>
      <c r="Y2034" s="73"/>
      <c r="Z2034" s="73"/>
    </row>
    <row r="2035" spans="1:26" ht="12.75" customHeight="1">
      <c r="A2035" s="73"/>
      <c r="B2035" s="32"/>
      <c r="C2035" s="32"/>
      <c r="D2035" s="33"/>
      <c r="E2035" s="32"/>
      <c r="F2035" s="32"/>
      <c r="G2035" s="74"/>
      <c r="H2035" s="32"/>
      <c r="I2035" s="32"/>
      <c r="J2035" s="32"/>
      <c r="K2035" s="74"/>
      <c r="L2035" s="75"/>
      <c r="M2035" s="32"/>
      <c r="N2035" s="32"/>
      <c r="O2035" s="73"/>
      <c r="P2035" s="73"/>
      <c r="Q2035" s="73"/>
      <c r="R2035" s="73"/>
      <c r="S2035" s="73"/>
      <c r="T2035" s="73"/>
      <c r="U2035" s="73"/>
      <c r="V2035" s="73"/>
      <c r="W2035" s="73"/>
      <c r="X2035" s="73"/>
      <c r="Y2035" s="73"/>
      <c r="Z2035" s="73"/>
    </row>
    <row r="2036" spans="1:26" ht="12.75" customHeight="1">
      <c r="A2036" s="73"/>
      <c r="B2036" s="32"/>
      <c r="C2036" s="32"/>
      <c r="D2036" s="33"/>
      <c r="E2036" s="32"/>
      <c r="F2036" s="32"/>
      <c r="G2036" s="74"/>
      <c r="H2036" s="32"/>
      <c r="I2036" s="32"/>
      <c r="J2036" s="32"/>
      <c r="K2036" s="74"/>
      <c r="L2036" s="75"/>
      <c r="M2036" s="32"/>
      <c r="N2036" s="32"/>
      <c r="O2036" s="73"/>
      <c r="P2036" s="73"/>
      <c r="Q2036" s="73"/>
      <c r="R2036" s="73"/>
      <c r="S2036" s="73"/>
      <c r="T2036" s="73"/>
      <c r="U2036" s="73"/>
      <c r="V2036" s="73"/>
      <c r="W2036" s="73"/>
      <c r="X2036" s="73"/>
      <c r="Y2036" s="73"/>
      <c r="Z2036" s="73"/>
    </row>
    <row r="2037" spans="1:26" ht="12.75" customHeight="1">
      <c r="A2037" s="73"/>
      <c r="B2037" s="32"/>
      <c r="C2037" s="32"/>
      <c r="D2037" s="33"/>
      <c r="E2037" s="32"/>
      <c r="F2037" s="32"/>
      <c r="G2037" s="74"/>
      <c r="H2037" s="32"/>
      <c r="I2037" s="32"/>
      <c r="J2037" s="32"/>
      <c r="K2037" s="74"/>
      <c r="L2037" s="75"/>
      <c r="M2037" s="32"/>
      <c r="N2037" s="32"/>
      <c r="O2037" s="73"/>
      <c r="P2037" s="73"/>
      <c r="Q2037" s="73"/>
      <c r="R2037" s="73"/>
      <c r="S2037" s="73"/>
      <c r="T2037" s="73"/>
      <c r="U2037" s="73"/>
      <c r="V2037" s="73"/>
      <c r="W2037" s="73"/>
      <c r="X2037" s="73"/>
      <c r="Y2037" s="73"/>
      <c r="Z2037" s="73"/>
    </row>
    <row r="2038" spans="1:26" ht="12.75" customHeight="1">
      <c r="A2038" s="73"/>
      <c r="B2038" s="32"/>
      <c r="C2038" s="32"/>
      <c r="D2038" s="33"/>
      <c r="E2038" s="32"/>
      <c r="F2038" s="32"/>
      <c r="G2038" s="74"/>
      <c r="H2038" s="32"/>
      <c r="I2038" s="32"/>
      <c r="J2038" s="32"/>
      <c r="K2038" s="74"/>
      <c r="L2038" s="75"/>
      <c r="M2038" s="32"/>
      <c r="N2038" s="32"/>
      <c r="O2038" s="73"/>
      <c r="P2038" s="73"/>
      <c r="Q2038" s="73"/>
      <c r="R2038" s="73"/>
      <c r="S2038" s="73"/>
      <c r="T2038" s="73"/>
      <c r="U2038" s="73"/>
      <c r="V2038" s="73"/>
      <c r="W2038" s="73"/>
      <c r="X2038" s="73"/>
      <c r="Y2038" s="73"/>
      <c r="Z2038" s="73"/>
    </row>
    <row r="2039" spans="1:26" ht="12.75" customHeight="1">
      <c r="A2039" s="73"/>
      <c r="B2039" s="32"/>
      <c r="C2039" s="32"/>
      <c r="D2039" s="33"/>
      <c r="E2039" s="32"/>
      <c r="F2039" s="32"/>
      <c r="G2039" s="74"/>
      <c r="H2039" s="32"/>
      <c r="I2039" s="32"/>
      <c r="J2039" s="32"/>
      <c r="K2039" s="74"/>
      <c r="L2039" s="75"/>
      <c r="M2039" s="32"/>
      <c r="N2039" s="32"/>
      <c r="O2039" s="73"/>
      <c r="P2039" s="73"/>
      <c r="Q2039" s="73"/>
      <c r="R2039" s="73"/>
      <c r="S2039" s="73"/>
      <c r="T2039" s="73"/>
      <c r="U2039" s="73"/>
      <c r="V2039" s="73"/>
      <c r="W2039" s="73"/>
      <c r="X2039" s="73"/>
      <c r="Y2039" s="73"/>
      <c r="Z2039" s="73"/>
    </row>
    <row r="2040" spans="1:26" ht="12.75" customHeight="1">
      <c r="A2040" s="73"/>
      <c r="B2040" s="32"/>
      <c r="C2040" s="32"/>
      <c r="D2040" s="33"/>
      <c r="E2040" s="32"/>
      <c r="F2040" s="32"/>
      <c r="G2040" s="74"/>
      <c r="H2040" s="32"/>
      <c r="I2040" s="32"/>
      <c r="J2040" s="32"/>
      <c r="K2040" s="74"/>
      <c r="L2040" s="75"/>
      <c r="M2040" s="32"/>
      <c r="N2040" s="32"/>
      <c r="O2040" s="73"/>
      <c r="P2040" s="73"/>
      <c r="Q2040" s="73"/>
      <c r="R2040" s="73"/>
      <c r="S2040" s="73"/>
      <c r="T2040" s="73"/>
      <c r="U2040" s="73"/>
      <c r="V2040" s="73"/>
      <c r="W2040" s="73"/>
      <c r="X2040" s="73"/>
      <c r="Y2040" s="73"/>
      <c r="Z2040" s="73"/>
    </row>
    <row r="2041" spans="1:26" ht="12.75" customHeight="1">
      <c r="A2041" s="73"/>
      <c r="B2041" s="32"/>
      <c r="C2041" s="32"/>
      <c r="D2041" s="33"/>
      <c r="E2041" s="32"/>
      <c r="F2041" s="32"/>
      <c r="G2041" s="74"/>
      <c r="H2041" s="32"/>
      <c r="I2041" s="32"/>
      <c r="J2041" s="32"/>
      <c r="K2041" s="74"/>
      <c r="L2041" s="75"/>
      <c r="M2041" s="32"/>
      <c r="N2041" s="32"/>
      <c r="O2041" s="73"/>
      <c r="P2041" s="73"/>
      <c r="Q2041" s="73"/>
      <c r="R2041" s="73"/>
      <c r="S2041" s="73"/>
      <c r="T2041" s="73"/>
      <c r="U2041" s="73"/>
      <c r="V2041" s="73"/>
      <c r="W2041" s="73"/>
      <c r="X2041" s="73"/>
      <c r="Y2041" s="73"/>
      <c r="Z2041" s="73"/>
    </row>
    <row r="2042" spans="1:26" ht="12.75" customHeight="1">
      <c r="A2042" s="73"/>
      <c r="B2042" s="32"/>
      <c r="C2042" s="32"/>
      <c r="D2042" s="33"/>
      <c r="E2042" s="32"/>
      <c r="F2042" s="32"/>
      <c r="G2042" s="74"/>
      <c r="H2042" s="32"/>
      <c r="I2042" s="32"/>
      <c r="J2042" s="32"/>
      <c r="K2042" s="74"/>
      <c r="L2042" s="75"/>
      <c r="M2042" s="32"/>
      <c r="N2042" s="32"/>
      <c r="O2042" s="73"/>
      <c r="P2042" s="73"/>
      <c r="Q2042" s="73"/>
      <c r="R2042" s="73"/>
      <c r="S2042" s="73"/>
      <c r="T2042" s="73"/>
      <c r="U2042" s="73"/>
      <c r="V2042" s="73"/>
      <c r="W2042" s="73"/>
      <c r="X2042" s="73"/>
      <c r="Y2042" s="73"/>
      <c r="Z2042" s="73"/>
    </row>
    <row r="2043" spans="1:26" ht="12.75" customHeight="1">
      <c r="A2043" s="73"/>
      <c r="B2043" s="32"/>
      <c r="C2043" s="32"/>
      <c r="D2043" s="33"/>
      <c r="E2043" s="32"/>
      <c r="F2043" s="32"/>
      <c r="G2043" s="74"/>
      <c r="H2043" s="32"/>
      <c r="I2043" s="32"/>
      <c r="J2043" s="32"/>
      <c r="K2043" s="74"/>
      <c r="L2043" s="75"/>
      <c r="M2043" s="32"/>
      <c r="N2043" s="32"/>
      <c r="O2043" s="73"/>
      <c r="P2043" s="73"/>
      <c r="Q2043" s="73"/>
      <c r="R2043" s="73"/>
      <c r="S2043" s="73"/>
      <c r="T2043" s="73"/>
      <c r="U2043" s="73"/>
      <c r="V2043" s="73"/>
      <c r="W2043" s="73"/>
      <c r="X2043" s="73"/>
      <c r="Y2043" s="73"/>
      <c r="Z2043" s="73"/>
    </row>
    <row r="2044" spans="1:26" ht="12.75" customHeight="1">
      <c r="A2044" s="73"/>
      <c r="B2044" s="32"/>
      <c r="C2044" s="32"/>
      <c r="D2044" s="33"/>
      <c r="E2044" s="32"/>
      <c r="F2044" s="32"/>
      <c r="G2044" s="74"/>
      <c r="H2044" s="32"/>
      <c r="I2044" s="32"/>
      <c r="J2044" s="32"/>
      <c r="K2044" s="74"/>
      <c r="L2044" s="75"/>
      <c r="M2044" s="32"/>
      <c r="N2044" s="32"/>
      <c r="O2044" s="73"/>
      <c r="P2044" s="73"/>
      <c r="Q2044" s="73"/>
      <c r="R2044" s="73"/>
      <c r="S2044" s="73"/>
      <c r="T2044" s="73"/>
      <c r="U2044" s="73"/>
      <c r="V2044" s="73"/>
      <c r="W2044" s="73"/>
      <c r="X2044" s="73"/>
      <c r="Y2044" s="73"/>
      <c r="Z2044" s="73"/>
    </row>
    <row r="2045" spans="1:26" ht="12.75" customHeight="1">
      <c r="A2045" s="73"/>
      <c r="B2045" s="32"/>
      <c r="C2045" s="32"/>
      <c r="D2045" s="33"/>
      <c r="E2045" s="32"/>
      <c r="F2045" s="32"/>
      <c r="G2045" s="74"/>
      <c r="H2045" s="32"/>
      <c r="I2045" s="32"/>
      <c r="J2045" s="32"/>
      <c r="K2045" s="74"/>
      <c r="L2045" s="75"/>
      <c r="M2045" s="32"/>
      <c r="N2045" s="32"/>
      <c r="O2045" s="73"/>
      <c r="P2045" s="73"/>
      <c r="Q2045" s="73"/>
      <c r="R2045" s="73"/>
      <c r="S2045" s="73"/>
      <c r="T2045" s="73"/>
      <c r="U2045" s="73"/>
      <c r="V2045" s="73"/>
      <c r="W2045" s="73"/>
      <c r="X2045" s="73"/>
      <c r="Y2045" s="73"/>
      <c r="Z2045" s="73"/>
    </row>
    <row r="2046" spans="1:26" ht="12.75" customHeight="1">
      <c r="A2046" s="73"/>
      <c r="B2046" s="32"/>
      <c r="C2046" s="32"/>
      <c r="D2046" s="33"/>
      <c r="E2046" s="32"/>
      <c r="F2046" s="32"/>
      <c r="G2046" s="74"/>
      <c r="H2046" s="32"/>
      <c r="I2046" s="32"/>
      <c r="J2046" s="32"/>
      <c r="K2046" s="74"/>
      <c r="L2046" s="75"/>
      <c r="M2046" s="32"/>
      <c r="N2046" s="32"/>
      <c r="O2046" s="73"/>
      <c r="P2046" s="73"/>
      <c r="Q2046" s="73"/>
      <c r="R2046" s="73"/>
      <c r="S2046" s="73"/>
      <c r="T2046" s="73"/>
      <c r="U2046" s="73"/>
      <c r="V2046" s="73"/>
      <c r="W2046" s="73"/>
      <c r="X2046" s="73"/>
      <c r="Y2046" s="73"/>
      <c r="Z2046" s="73"/>
    </row>
    <row r="2047" spans="1:26" ht="12.75" customHeight="1">
      <c r="A2047" s="73"/>
      <c r="B2047" s="32"/>
      <c r="C2047" s="32"/>
      <c r="D2047" s="33"/>
      <c r="E2047" s="32"/>
      <c r="F2047" s="32"/>
      <c r="G2047" s="74"/>
      <c r="H2047" s="32"/>
      <c r="I2047" s="32"/>
      <c r="J2047" s="32"/>
      <c r="K2047" s="74"/>
      <c r="L2047" s="75"/>
      <c r="M2047" s="32"/>
      <c r="N2047" s="32"/>
      <c r="O2047" s="73"/>
      <c r="P2047" s="73"/>
      <c r="Q2047" s="73"/>
      <c r="R2047" s="73"/>
      <c r="S2047" s="73"/>
      <c r="T2047" s="73"/>
      <c r="U2047" s="73"/>
      <c r="V2047" s="73"/>
      <c r="W2047" s="73"/>
      <c r="X2047" s="73"/>
      <c r="Y2047" s="73"/>
      <c r="Z2047" s="73"/>
    </row>
    <row r="2048" spans="1:26" ht="12.75" customHeight="1">
      <c r="A2048" s="73"/>
      <c r="B2048" s="32"/>
      <c r="C2048" s="32"/>
      <c r="D2048" s="33"/>
      <c r="E2048" s="32"/>
      <c r="F2048" s="32"/>
      <c r="G2048" s="74"/>
      <c r="H2048" s="32"/>
      <c r="I2048" s="32"/>
      <c r="J2048" s="32"/>
      <c r="K2048" s="74"/>
      <c r="L2048" s="75"/>
      <c r="M2048" s="32"/>
      <c r="N2048" s="32"/>
      <c r="O2048" s="73"/>
      <c r="P2048" s="73"/>
      <c r="Q2048" s="73"/>
      <c r="R2048" s="73"/>
      <c r="S2048" s="73"/>
      <c r="T2048" s="73"/>
      <c r="U2048" s="73"/>
      <c r="V2048" s="73"/>
      <c r="W2048" s="73"/>
      <c r="X2048" s="73"/>
      <c r="Y2048" s="73"/>
      <c r="Z2048" s="73"/>
    </row>
    <row r="2049" spans="1:26" ht="12.75" customHeight="1">
      <c r="A2049" s="73"/>
      <c r="B2049" s="32"/>
      <c r="C2049" s="32"/>
      <c r="D2049" s="33"/>
      <c r="E2049" s="32"/>
      <c r="F2049" s="32"/>
      <c r="G2049" s="74"/>
      <c r="H2049" s="32"/>
      <c r="I2049" s="32"/>
      <c r="J2049" s="32"/>
      <c r="K2049" s="74"/>
      <c r="L2049" s="75"/>
      <c r="M2049" s="32"/>
      <c r="N2049" s="32"/>
      <c r="O2049" s="73"/>
      <c r="P2049" s="73"/>
      <c r="Q2049" s="73"/>
      <c r="R2049" s="73"/>
      <c r="S2049" s="73"/>
      <c r="T2049" s="73"/>
      <c r="U2049" s="73"/>
      <c r="V2049" s="73"/>
      <c r="W2049" s="73"/>
      <c r="X2049" s="73"/>
      <c r="Y2049" s="73"/>
      <c r="Z2049" s="73"/>
    </row>
    <row r="2050" spans="1:26" ht="12.75" customHeight="1">
      <c r="A2050" s="73"/>
      <c r="B2050" s="32"/>
      <c r="C2050" s="32"/>
      <c r="D2050" s="33"/>
      <c r="E2050" s="32"/>
      <c r="F2050" s="32"/>
      <c r="G2050" s="74"/>
      <c r="H2050" s="32"/>
      <c r="I2050" s="32"/>
      <c r="J2050" s="32"/>
      <c r="K2050" s="74"/>
      <c r="L2050" s="75"/>
      <c r="M2050" s="32"/>
      <c r="N2050" s="32"/>
      <c r="O2050" s="73"/>
      <c r="P2050" s="73"/>
      <c r="Q2050" s="73"/>
      <c r="R2050" s="73"/>
      <c r="S2050" s="73"/>
      <c r="T2050" s="73"/>
      <c r="U2050" s="73"/>
      <c r="V2050" s="73"/>
      <c r="W2050" s="73"/>
      <c r="X2050" s="73"/>
      <c r="Y2050" s="73"/>
      <c r="Z2050" s="73"/>
    </row>
    <row r="2051" spans="1:26" ht="12.75" customHeight="1">
      <c r="A2051" s="73"/>
      <c r="B2051" s="32"/>
      <c r="C2051" s="32"/>
      <c r="D2051" s="33"/>
      <c r="E2051" s="32"/>
      <c r="F2051" s="32"/>
      <c r="G2051" s="74"/>
      <c r="H2051" s="32"/>
      <c r="I2051" s="32"/>
      <c r="J2051" s="32"/>
      <c r="K2051" s="74"/>
      <c r="L2051" s="75"/>
      <c r="M2051" s="32"/>
      <c r="N2051" s="32"/>
      <c r="O2051" s="73"/>
      <c r="P2051" s="73"/>
      <c r="Q2051" s="73"/>
      <c r="R2051" s="73"/>
      <c r="S2051" s="73"/>
      <c r="T2051" s="73"/>
      <c r="U2051" s="73"/>
      <c r="V2051" s="73"/>
      <c r="W2051" s="73"/>
      <c r="X2051" s="73"/>
      <c r="Y2051" s="73"/>
      <c r="Z2051" s="73"/>
    </row>
    <row r="2052" spans="1:26" ht="12.75" customHeight="1">
      <c r="A2052" s="73"/>
      <c r="B2052" s="32"/>
      <c r="C2052" s="32"/>
      <c r="D2052" s="33"/>
      <c r="E2052" s="32"/>
      <c r="F2052" s="32"/>
      <c r="G2052" s="74"/>
      <c r="H2052" s="32"/>
      <c r="I2052" s="32"/>
      <c r="J2052" s="32"/>
      <c r="K2052" s="74"/>
      <c r="L2052" s="75"/>
      <c r="M2052" s="32"/>
      <c r="N2052" s="32"/>
      <c r="O2052" s="73"/>
      <c r="P2052" s="73"/>
      <c r="Q2052" s="73"/>
      <c r="R2052" s="73"/>
      <c r="S2052" s="73"/>
      <c r="T2052" s="73"/>
      <c r="U2052" s="73"/>
      <c r="V2052" s="73"/>
      <c r="W2052" s="73"/>
      <c r="X2052" s="73"/>
      <c r="Y2052" s="73"/>
      <c r="Z2052" s="73"/>
    </row>
    <row r="2053" spans="1:26" ht="12.75" customHeight="1">
      <c r="A2053" s="73"/>
      <c r="B2053" s="32"/>
      <c r="C2053" s="32"/>
      <c r="D2053" s="33"/>
      <c r="E2053" s="32"/>
      <c r="F2053" s="32"/>
      <c r="G2053" s="74"/>
      <c r="H2053" s="32"/>
      <c r="I2053" s="32"/>
      <c r="J2053" s="32"/>
      <c r="K2053" s="74"/>
      <c r="L2053" s="75"/>
      <c r="M2053" s="32"/>
      <c r="N2053" s="32"/>
      <c r="O2053" s="73"/>
      <c r="P2053" s="73"/>
      <c r="Q2053" s="73"/>
      <c r="R2053" s="73"/>
      <c r="S2053" s="73"/>
      <c r="T2053" s="73"/>
      <c r="U2053" s="73"/>
      <c r="V2053" s="73"/>
      <c r="W2053" s="73"/>
      <c r="X2053" s="73"/>
      <c r="Y2053" s="73"/>
      <c r="Z2053" s="73"/>
    </row>
    <row r="2054" spans="1:26" ht="12.75" customHeight="1">
      <c r="A2054" s="73"/>
      <c r="B2054" s="32"/>
      <c r="C2054" s="32"/>
      <c r="D2054" s="33"/>
      <c r="E2054" s="32"/>
      <c r="F2054" s="32"/>
      <c r="G2054" s="74"/>
      <c r="H2054" s="32"/>
      <c r="I2054" s="32"/>
      <c r="J2054" s="32"/>
      <c r="K2054" s="74"/>
      <c r="L2054" s="75"/>
      <c r="M2054" s="32"/>
      <c r="N2054" s="32"/>
      <c r="O2054" s="73"/>
      <c r="P2054" s="73"/>
      <c r="Q2054" s="73"/>
      <c r="R2054" s="73"/>
      <c r="S2054" s="73"/>
      <c r="T2054" s="73"/>
      <c r="U2054" s="73"/>
      <c r="V2054" s="73"/>
      <c r="W2054" s="73"/>
      <c r="X2054" s="73"/>
      <c r="Y2054" s="73"/>
      <c r="Z2054" s="73"/>
    </row>
    <row r="2055" spans="1:26" ht="12.75" customHeight="1">
      <c r="A2055" s="73"/>
      <c r="B2055" s="32"/>
      <c r="C2055" s="32"/>
      <c r="D2055" s="33"/>
      <c r="E2055" s="32"/>
      <c r="F2055" s="32"/>
      <c r="G2055" s="74"/>
      <c r="H2055" s="32"/>
      <c r="I2055" s="32"/>
      <c r="J2055" s="32"/>
      <c r="K2055" s="74"/>
      <c r="L2055" s="75"/>
      <c r="M2055" s="32"/>
      <c r="N2055" s="32"/>
      <c r="O2055" s="73"/>
      <c r="P2055" s="73"/>
      <c r="Q2055" s="73"/>
      <c r="R2055" s="73"/>
      <c r="S2055" s="73"/>
      <c r="T2055" s="73"/>
      <c r="U2055" s="73"/>
      <c r="V2055" s="73"/>
      <c r="W2055" s="73"/>
      <c r="X2055" s="73"/>
      <c r="Y2055" s="73"/>
      <c r="Z2055" s="73"/>
    </row>
    <row r="2056" spans="1:26" ht="12.75" customHeight="1">
      <c r="A2056" s="73"/>
      <c r="B2056" s="32"/>
      <c r="C2056" s="32"/>
      <c r="D2056" s="33"/>
      <c r="E2056" s="32"/>
      <c r="F2056" s="32"/>
      <c r="G2056" s="74"/>
      <c r="H2056" s="32"/>
      <c r="I2056" s="32"/>
      <c r="J2056" s="32"/>
      <c r="K2056" s="74"/>
      <c r="L2056" s="75"/>
      <c r="M2056" s="32"/>
      <c r="N2056" s="32"/>
      <c r="O2056" s="73"/>
      <c r="P2056" s="73"/>
      <c r="Q2056" s="73"/>
      <c r="R2056" s="73"/>
      <c r="S2056" s="73"/>
      <c r="T2056" s="73"/>
      <c r="U2056" s="73"/>
      <c r="V2056" s="73"/>
      <c r="W2056" s="73"/>
      <c r="X2056" s="73"/>
      <c r="Y2056" s="73"/>
      <c r="Z2056" s="73"/>
    </row>
    <row r="2057" spans="1:26" ht="12.75" customHeight="1">
      <c r="A2057" s="73"/>
      <c r="B2057" s="32"/>
      <c r="C2057" s="32"/>
      <c r="D2057" s="33"/>
      <c r="E2057" s="32"/>
      <c r="F2057" s="32"/>
      <c r="G2057" s="74"/>
      <c r="H2057" s="32"/>
      <c r="I2057" s="32"/>
      <c r="J2057" s="32"/>
      <c r="K2057" s="74"/>
      <c r="L2057" s="75"/>
      <c r="M2057" s="32"/>
      <c r="N2057" s="32"/>
      <c r="O2057" s="73"/>
      <c r="P2057" s="73"/>
      <c r="Q2057" s="73"/>
      <c r="R2057" s="73"/>
      <c r="S2057" s="73"/>
      <c r="T2057" s="73"/>
      <c r="U2057" s="73"/>
      <c r="V2057" s="73"/>
      <c r="W2057" s="73"/>
      <c r="X2057" s="73"/>
      <c r="Y2057" s="73"/>
      <c r="Z2057" s="73"/>
    </row>
    <row r="2058" spans="1:26" ht="12.75" customHeight="1">
      <c r="A2058" s="73"/>
      <c r="B2058" s="32"/>
      <c r="C2058" s="32"/>
      <c r="D2058" s="33"/>
      <c r="E2058" s="32"/>
      <c r="F2058" s="32"/>
      <c r="G2058" s="74"/>
      <c r="H2058" s="32"/>
      <c r="I2058" s="32"/>
      <c r="J2058" s="32"/>
      <c r="K2058" s="74"/>
      <c r="L2058" s="75"/>
      <c r="M2058" s="32"/>
      <c r="N2058" s="32"/>
      <c r="O2058" s="73"/>
      <c r="P2058" s="73"/>
      <c r="Q2058" s="73"/>
      <c r="R2058" s="73"/>
      <c r="S2058" s="73"/>
      <c r="T2058" s="73"/>
      <c r="U2058" s="73"/>
      <c r="V2058" s="73"/>
      <c r="W2058" s="73"/>
      <c r="X2058" s="73"/>
      <c r="Y2058" s="73"/>
      <c r="Z2058" s="73"/>
    </row>
    <row r="2059" spans="1:26" ht="12.75" customHeight="1">
      <c r="A2059" s="73"/>
      <c r="B2059" s="32"/>
      <c r="C2059" s="32"/>
      <c r="D2059" s="33"/>
      <c r="E2059" s="32"/>
      <c r="F2059" s="32"/>
      <c r="G2059" s="74"/>
      <c r="H2059" s="32"/>
      <c r="I2059" s="32"/>
      <c r="J2059" s="32"/>
      <c r="K2059" s="74"/>
      <c r="L2059" s="75"/>
      <c r="M2059" s="32"/>
      <c r="N2059" s="32"/>
      <c r="O2059" s="73"/>
      <c r="P2059" s="73"/>
      <c r="Q2059" s="73"/>
      <c r="R2059" s="73"/>
      <c r="S2059" s="73"/>
      <c r="T2059" s="73"/>
      <c r="U2059" s="73"/>
      <c r="V2059" s="73"/>
      <c r="W2059" s="73"/>
      <c r="X2059" s="73"/>
      <c r="Y2059" s="73"/>
      <c r="Z2059" s="73"/>
    </row>
    <row r="2060" spans="1:26" ht="12.75" customHeight="1">
      <c r="A2060" s="73"/>
      <c r="B2060" s="32"/>
      <c r="C2060" s="32"/>
      <c r="D2060" s="33"/>
      <c r="E2060" s="32"/>
      <c r="F2060" s="32"/>
      <c r="G2060" s="74"/>
      <c r="H2060" s="32"/>
      <c r="I2060" s="32"/>
      <c r="J2060" s="32"/>
      <c r="K2060" s="74"/>
      <c r="L2060" s="75"/>
      <c r="M2060" s="32"/>
      <c r="N2060" s="32"/>
      <c r="O2060" s="73"/>
      <c r="P2060" s="73"/>
      <c r="Q2060" s="73"/>
      <c r="R2060" s="73"/>
      <c r="S2060" s="73"/>
      <c r="T2060" s="73"/>
      <c r="U2060" s="73"/>
      <c r="V2060" s="73"/>
      <c r="W2060" s="73"/>
      <c r="X2060" s="73"/>
      <c r="Y2060" s="73"/>
      <c r="Z2060" s="73"/>
    </row>
    <row r="2061" spans="1:26" ht="12.75" customHeight="1">
      <c r="A2061" s="73"/>
      <c r="B2061" s="32"/>
      <c r="C2061" s="32"/>
      <c r="D2061" s="33"/>
      <c r="E2061" s="32"/>
      <c r="F2061" s="32"/>
      <c r="G2061" s="74"/>
      <c r="H2061" s="32"/>
      <c r="I2061" s="32"/>
      <c r="J2061" s="32"/>
      <c r="K2061" s="74"/>
      <c r="L2061" s="75"/>
      <c r="M2061" s="32"/>
      <c r="N2061" s="32"/>
      <c r="O2061" s="73"/>
      <c r="P2061" s="73"/>
      <c r="Q2061" s="73"/>
      <c r="R2061" s="73"/>
      <c r="S2061" s="73"/>
      <c r="T2061" s="73"/>
      <c r="U2061" s="73"/>
      <c r="V2061" s="73"/>
      <c r="W2061" s="73"/>
      <c r="X2061" s="73"/>
      <c r="Y2061" s="73"/>
      <c r="Z2061" s="73"/>
    </row>
    <row r="2062" spans="1:26" ht="12.75" customHeight="1">
      <c r="A2062" s="73"/>
      <c r="B2062" s="32"/>
      <c r="C2062" s="32"/>
      <c r="D2062" s="33"/>
      <c r="E2062" s="32"/>
      <c r="F2062" s="32"/>
      <c r="G2062" s="74"/>
      <c r="H2062" s="32"/>
      <c r="I2062" s="32"/>
      <c r="J2062" s="32"/>
      <c r="K2062" s="74"/>
      <c r="L2062" s="75"/>
      <c r="M2062" s="32"/>
      <c r="N2062" s="32"/>
      <c r="O2062" s="73"/>
      <c r="P2062" s="73"/>
      <c r="Q2062" s="73"/>
      <c r="R2062" s="73"/>
      <c r="S2062" s="73"/>
      <c r="T2062" s="73"/>
      <c r="U2062" s="73"/>
      <c r="V2062" s="73"/>
      <c r="W2062" s="73"/>
      <c r="X2062" s="73"/>
      <c r="Y2062" s="73"/>
      <c r="Z2062" s="73"/>
    </row>
    <row r="2063" spans="1:26" ht="12.75" customHeight="1">
      <c r="A2063" s="73"/>
      <c r="B2063" s="32"/>
      <c r="C2063" s="32"/>
      <c r="D2063" s="33"/>
      <c r="E2063" s="32"/>
      <c r="F2063" s="32"/>
      <c r="G2063" s="74"/>
      <c r="H2063" s="32"/>
      <c r="I2063" s="32"/>
      <c r="J2063" s="32"/>
      <c r="K2063" s="74"/>
      <c r="L2063" s="75"/>
      <c r="M2063" s="32"/>
      <c r="N2063" s="32"/>
      <c r="O2063" s="73"/>
      <c r="P2063" s="73"/>
      <c r="Q2063" s="73"/>
      <c r="R2063" s="73"/>
      <c r="S2063" s="73"/>
      <c r="T2063" s="73"/>
      <c r="U2063" s="73"/>
      <c r="V2063" s="73"/>
      <c r="W2063" s="73"/>
      <c r="X2063" s="73"/>
      <c r="Y2063" s="73"/>
      <c r="Z2063" s="73"/>
    </row>
    <row r="2064" spans="1:26" ht="12.75" customHeight="1">
      <c r="A2064" s="73"/>
      <c r="B2064" s="32"/>
      <c r="C2064" s="32"/>
      <c r="D2064" s="33"/>
      <c r="E2064" s="32"/>
      <c r="F2064" s="32"/>
      <c r="G2064" s="74"/>
      <c r="H2064" s="32"/>
      <c r="I2064" s="32"/>
      <c r="J2064" s="32"/>
      <c r="K2064" s="74"/>
      <c r="L2064" s="75"/>
      <c r="M2064" s="32"/>
      <c r="N2064" s="32"/>
      <c r="O2064" s="73"/>
      <c r="P2064" s="73"/>
      <c r="Q2064" s="73"/>
      <c r="R2064" s="73"/>
      <c r="S2064" s="73"/>
      <c r="T2064" s="73"/>
      <c r="U2064" s="73"/>
      <c r="V2064" s="73"/>
      <c r="W2064" s="73"/>
      <c r="X2064" s="73"/>
      <c r="Y2064" s="73"/>
      <c r="Z2064" s="73"/>
    </row>
    <row r="2065" spans="1:26" ht="12.75" customHeight="1">
      <c r="A2065" s="73"/>
      <c r="B2065" s="32"/>
      <c r="C2065" s="32"/>
      <c r="D2065" s="33"/>
      <c r="E2065" s="32"/>
      <c r="F2065" s="32"/>
      <c r="G2065" s="74"/>
      <c r="H2065" s="32"/>
      <c r="I2065" s="32"/>
      <c r="J2065" s="32"/>
      <c r="K2065" s="74"/>
      <c r="L2065" s="75"/>
      <c r="M2065" s="32"/>
      <c r="N2065" s="32"/>
      <c r="O2065" s="73"/>
      <c r="P2065" s="73"/>
      <c r="Q2065" s="73"/>
      <c r="R2065" s="73"/>
      <c r="S2065" s="73"/>
      <c r="T2065" s="73"/>
      <c r="U2065" s="73"/>
      <c r="V2065" s="73"/>
      <c r="W2065" s="73"/>
      <c r="X2065" s="73"/>
      <c r="Y2065" s="73"/>
      <c r="Z2065" s="73"/>
    </row>
    <row r="2066" spans="1:26" ht="12.75" customHeight="1">
      <c r="A2066" s="73"/>
      <c r="B2066" s="32"/>
      <c r="C2066" s="32"/>
      <c r="D2066" s="33"/>
      <c r="E2066" s="32"/>
      <c r="F2066" s="32"/>
      <c r="G2066" s="74"/>
      <c r="H2066" s="32"/>
      <c r="I2066" s="32"/>
      <c r="J2066" s="32"/>
      <c r="K2066" s="74"/>
      <c r="L2066" s="75"/>
      <c r="M2066" s="32"/>
      <c r="N2066" s="32"/>
      <c r="O2066" s="73"/>
      <c r="P2066" s="73"/>
      <c r="Q2066" s="73"/>
      <c r="R2066" s="73"/>
      <c r="S2066" s="73"/>
      <c r="T2066" s="73"/>
      <c r="U2066" s="73"/>
      <c r="V2066" s="73"/>
      <c r="W2066" s="73"/>
      <c r="X2066" s="73"/>
      <c r="Y2066" s="73"/>
      <c r="Z2066" s="73"/>
    </row>
    <row r="2067" spans="1:26" ht="12.75" customHeight="1">
      <c r="A2067" s="73"/>
      <c r="B2067" s="32"/>
      <c r="C2067" s="32"/>
      <c r="D2067" s="33"/>
      <c r="E2067" s="32"/>
      <c r="F2067" s="32"/>
      <c r="G2067" s="74"/>
      <c r="H2067" s="32"/>
      <c r="I2067" s="32"/>
      <c r="J2067" s="32"/>
      <c r="K2067" s="74"/>
      <c r="L2067" s="75"/>
      <c r="M2067" s="32"/>
      <c r="N2067" s="32"/>
      <c r="O2067" s="73"/>
      <c r="P2067" s="73"/>
      <c r="Q2067" s="73"/>
      <c r="R2067" s="73"/>
      <c r="S2067" s="73"/>
      <c r="T2067" s="73"/>
      <c r="U2067" s="73"/>
      <c r="V2067" s="73"/>
      <c r="W2067" s="73"/>
      <c r="X2067" s="73"/>
      <c r="Y2067" s="73"/>
      <c r="Z2067" s="73"/>
    </row>
    <row r="2068" spans="1:26" ht="12.75" customHeight="1">
      <c r="A2068" s="73"/>
      <c r="B2068" s="32"/>
      <c r="C2068" s="32"/>
      <c r="D2068" s="33"/>
      <c r="E2068" s="32"/>
      <c r="F2068" s="32"/>
      <c r="G2068" s="74"/>
      <c r="H2068" s="32"/>
      <c r="I2068" s="32"/>
      <c r="J2068" s="32"/>
      <c r="K2068" s="74"/>
      <c r="L2068" s="75"/>
      <c r="M2068" s="32"/>
      <c r="N2068" s="32"/>
      <c r="O2068" s="73"/>
      <c r="P2068" s="73"/>
      <c r="Q2068" s="73"/>
      <c r="R2068" s="73"/>
      <c r="S2068" s="73"/>
      <c r="T2068" s="73"/>
      <c r="U2068" s="73"/>
      <c r="V2068" s="73"/>
      <c r="W2068" s="73"/>
      <c r="X2068" s="73"/>
      <c r="Y2068" s="73"/>
      <c r="Z2068" s="73"/>
    </row>
    <row r="2069" spans="1:26" ht="12.75" customHeight="1">
      <c r="A2069" s="73"/>
      <c r="B2069" s="32"/>
      <c r="C2069" s="32"/>
      <c r="D2069" s="33"/>
      <c r="E2069" s="32"/>
      <c r="F2069" s="32"/>
      <c r="G2069" s="74"/>
      <c r="H2069" s="32"/>
      <c r="I2069" s="32"/>
      <c r="J2069" s="32"/>
      <c r="K2069" s="74"/>
      <c r="L2069" s="75"/>
      <c r="M2069" s="32"/>
      <c r="N2069" s="32"/>
      <c r="O2069" s="73"/>
      <c r="P2069" s="73"/>
      <c r="Q2069" s="73"/>
      <c r="R2069" s="73"/>
      <c r="S2069" s="73"/>
      <c r="T2069" s="73"/>
      <c r="U2069" s="73"/>
      <c r="V2069" s="73"/>
      <c r="W2069" s="73"/>
      <c r="X2069" s="73"/>
      <c r="Y2069" s="73"/>
      <c r="Z2069" s="73"/>
    </row>
    <row r="2070" spans="1:26" ht="12.75" customHeight="1">
      <c r="A2070" s="73"/>
      <c r="B2070" s="32"/>
      <c r="C2070" s="32"/>
      <c r="D2070" s="33"/>
      <c r="E2070" s="32"/>
      <c r="F2070" s="32"/>
      <c r="G2070" s="74"/>
      <c r="H2070" s="32"/>
      <c r="I2070" s="32"/>
      <c r="J2070" s="32"/>
      <c r="K2070" s="74"/>
      <c r="L2070" s="75"/>
      <c r="M2070" s="32"/>
      <c r="N2070" s="32"/>
      <c r="O2070" s="73"/>
      <c r="P2070" s="73"/>
      <c r="Q2070" s="73"/>
      <c r="R2070" s="73"/>
      <c r="S2070" s="73"/>
      <c r="T2070" s="73"/>
      <c r="U2070" s="73"/>
      <c r="V2070" s="73"/>
      <c r="W2070" s="73"/>
      <c r="X2070" s="73"/>
      <c r="Y2070" s="73"/>
      <c r="Z2070" s="73"/>
    </row>
    <row r="2071" spans="1:26" ht="12.75" customHeight="1">
      <c r="A2071" s="73"/>
      <c r="B2071" s="32"/>
      <c r="C2071" s="32"/>
      <c r="D2071" s="33"/>
      <c r="E2071" s="32"/>
      <c r="F2071" s="32"/>
      <c r="G2071" s="74"/>
      <c r="H2071" s="32"/>
      <c r="I2071" s="32"/>
      <c r="J2071" s="32"/>
      <c r="K2071" s="74"/>
      <c r="L2071" s="75"/>
      <c r="M2071" s="32"/>
      <c r="N2071" s="32"/>
      <c r="O2071" s="73"/>
      <c r="P2071" s="73"/>
      <c r="Q2071" s="73"/>
      <c r="R2071" s="73"/>
      <c r="S2071" s="73"/>
      <c r="T2071" s="73"/>
      <c r="U2071" s="73"/>
      <c r="V2071" s="73"/>
      <c r="W2071" s="73"/>
      <c r="X2071" s="73"/>
      <c r="Y2071" s="73"/>
      <c r="Z2071" s="73"/>
    </row>
    <row r="2072" spans="1:26" ht="12.75" customHeight="1">
      <c r="A2072" s="73"/>
      <c r="B2072" s="32"/>
      <c r="C2072" s="32"/>
      <c r="D2072" s="33"/>
      <c r="E2072" s="32"/>
      <c r="F2072" s="32"/>
      <c r="G2072" s="74"/>
      <c r="H2072" s="32"/>
      <c r="I2072" s="32"/>
      <c r="J2072" s="32"/>
      <c r="K2072" s="74"/>
      <c r="L2072" s="75"/>
      <c r="M2072" s="32"/>
      <c r="N2072" s="32"/>
      <c r="O2072" s="73"/>
      <c r="P2072" s="73"/>
      <c r="Q2072" s="73"/>
      <c r="R2072" s="73"/>
      <c r="S2072" s="73"/>
      <c r="T2072" s="73"/>
      <c r="U2072" s="73"/>
      <c r="V2072" s="73"/>
      <c r="W2072" s="73"/>
      <c r="X2072" s="73"/>
      <c r="Y2072" s="73"/>
      <c r="Z2072" s="73"/>
    </row>
    <row r="2073" spans="1:26" ht="12.75" customHeight="1">
      <c r="A2073" s="73"/>
      <c r="B2073" s="32"/>
      <c r="C2073" s="32"/>
      <c r="D2073" s="33"/>
      <c r="E2073" s="32"/>
      <c r="F2073" s="32"/>
      <c r="G2073" s="74"/>
      <c r="H2073" s="32"/>
      <c r="I2073" s="32"/>
      <c r="J2073" s="32"/>
      <c r="K2073" s="74"/>
      <c r="L2073" s="75"/>
      <c r="M2073" s="32"/>
      <c r="N2073" s="32"/>
      <c r="O2073" s="73"/>
      <c r="P2073" s="73"/>
      <c r="Q2073" s="73"/>
      <c r="R2073" s="73"/>
      <c r="S2073" s="73"/>
      <c r="T2073" s="73"/>
      <c r="U2073" s="73"/>
      <c r="V2073" s="73"/>
      <c r="W2073" s="73"/>
      <c r="X2073" s="73"/>
      <c r="Y2073" s="73"/>
      <c r="Z2073" s="73"/>
    </row>
    <row r="2074" spans="1:26" ht="12.75" customHeight="1">
      <c r="A2074" s="73"/>
      <c r="B2074" s="32"/>
      <c r="C2074" s="32"/>
      <c r="D2074" s="33"/>
      <c r="E2074" s="32"/>
      <c r="F2074" s="32"/>
      <c r="G2074" s="74"/>
      <c r="H2074" s="32"/>
      <c r="I2074" s="32"/>
      <c r="J2074" s="32"/>
      <c r="K2074" s="74"/>
      <c r="L2074" s="75"/>
      <c r="M2074" s="32"/>
      <c r="N2074" s="32"/>
      <c r="O2074" s="73"/>
      <c r="P2074" s="73"/>
      <c r="Q2074" s="73"/>
      <c r="R2074" s="73"/>
      <c r="S2074" s="73"/>
      <c r="T2074" s="73"/>
      <c r="U2074" s="73"/>
      <c r="V2074" s="73"/>
      <c r="W2074" s="73"/>
      <c r="X2074" s="73"/>
      <c r="Y2074" s="73"/>
      <c r="Z2074" s="73"/>
    </row>
    <row r="2075" spans="1:26" ht="12.75" customHeight="1">
      <c r="A2075" s="73"/>
      <c r="B2075" s="32"/>
      <c r="C2075" s="32"/>
      <c r="D2075" s="33"/>
      <c r="E2075" s="32"/>
      <c r="F2075" s="32"/>
      <c r="G2075" s="74"/>
      <c r="H2075" s="32"/>
      <c r="I2075" s="32"/>
      <c r="J2075" s="32"/>
      <c r="K2075" s="74"/>
      <c r="L2075" s="75"/>
      <c r="M2075" s="32"/>
      <c r="N2075" s="32"/>
      <c r="O2075" s="73"/>
      <c r="P2075" s="73"/>
      <c r="Q2075" s="73"/>
      <c r="R2075" s="73"/>
      <c r="S2075" s="73"/>
      <c r="T2075" s="73"/>
      <c r="U2075" s="73"/>
      <c r="V2075" s="73"/>
      <c r="W2075" s="73"/>
      <c r="X2075" s="73"/>
      <c r="Y2075" s="73"/>
      <c r="Z2075" s="73"/>
    </row>
    <row r="2076" spans="1:26" ht="12.75" customHeight="1">
      <c r="A2076" s="73"/>
      <c r="B2076" s="32"/>
      <c r="C2076" s="32"/>
      <c r="D2076" s="33"/>
      <c r="E2076" s="32"/>
      <c r="F2076" s="32"/>
      <c r="G2076" s="74"/>
      <c r="H2076" s="32"/>
      <c r="I2076" s="32"/>
      <c r="J2076" s="32"/>
      <c r="K2076" s="74"/>
      <c r="L2076" s="75"/>
      <c r="M2076" s="32"/>
      <c r="N2076" s="32"/>
      <c r="O2076" s="73"/>
      <c r="P2076" s="73"/>
      <c r="Q2076" s="73"/>
      <c r="R2076" s="73"/>
      <c r="S2076" s="73"/>
      <c r="T2076" s="73"/>
      <c r="U2076" s="73"/>
      <c r="V2076" s="73"/>
      <c r="W2076" s="73"/>
      <c r="X2076" s="73"/>
      <c r="Y2076" s="73"/>
      <c r="Z2076" s="73"/>
    </row>
    <row r="2077" spans="1:26" ht="12.75" customHeight="1">
      <c r="A2077" s="73"/>
      <c r="B2077" s="32"/>
      <c r="C2077" s="32"/>
      <c r="D2077" s="33"/>
      <c r="E2077" s="32"/>
      <c r="F2077" s="32"/>
      <c r="G2077" s="74"/>
      <c r="H2077" s="32"/>
      <c r="I2077" s="32"/>
      <c r="J2077" s="32"/>
      <c r="K2077" s="74"/>
      <c r="L2077" s="75"/>
      <c r="M2077" s="32"/>
      <c r="N2077" s="32"/>
      <c r="O2077" s="73"/>
      <c r="P2077" s="73"/>
      <c r="Q2077" s="73"/>
      <c r="R2077" s="73"/>
      <c r="S2077" s="73"/>
      <c r="T2077" s="73"/>
      <c r="U2077" s="73"/>
      <c r="V2077" s="73"/>
      <c r="W2077" s="73"/>
      <c r="X2077" s="73"/>
      <c r="Y2077" s="73"/>
      <c r="Z2077" s="73"/>
    </row>
    <row r="2078" spans="1:26" ht="12.75" customHeight="1">
      <c r="A2078" s="73"/>
      <c r="B2078" s="32"/>
      <c r="C2078" s="32"/>
      <c r="D2078" s="33"/>
      <c r="E2078" s="32"/>
      <c r="F2078" s="32"/>
      <c r="G2078" s="74"/>
      <c r="H2078" s="32"/>
      <c r="I2078" s="32"/>
      <c r="J2078" s="32"/>
      <c r="K2078" s="74"/>
      <c r="L2078" s="75"/>
      <c r="M2078" s="32"/>
      <c r="N2078" s="32"/>
      <c r="O2078" s="73"/>
      <c r="P2078" s="73"/>
      <c r="Q2078" s="73"/>
      <c r="R2078" s="73"/>
      <c r="S2078" s="73"/>
      <c r="T2078" s="73"/>
      <c r="U2078" s="73"/>
      <c r="V2078" s="73"/>
      <c r="W2078" s="73"/>
      <c r="X2078" s="73"/>
      <c r="Y2078" s="73"/>
      <c r="Z2078" s="73"/>
    </row>
    <row r="2079" spans="1:26" ht="12.75" customHeight="1">
      <c r="A2079" s="73"/>
      <c r="B2079" s="32"/>
      <c r="C2079" s="32"/>
      <c r="D2079" s="33"/>
      <c r="E2079" s="32"/>
      <c r="F2079" s="32"/>
      <c r="G2079" s="74"/>
      <c r="H2079" s="32"/>
      <c r="I2079" s="32"/>
      <c r="J2079" s="32"/>
      <c r="K2079" s="74"/>
      <c r="L2079" s="75"/>
      <c r="M2079" s="32"/>
      <c r="N2079" s="32"/>
      <c r="O2079" s="73"/>
      <c r="P2079" s="73"/>
      <c r="Q2079" s="73"/>
      <c r="R2079" s="73"/>
      <c r="S2079" s="73"/>
      <c r="T2079" s="73"/>
      <c r="U2079" s="73"/>
      <c r="V2079" s="73"/>
      <c r="W2079" s="73"/>
      <c r="X2079" s="73"/>
      <c r="Y2079" s="73"/>
      <c r="Z2079" s="73"/>
    </row>
    <row r="2080" spans="1:26" ht="12.75" customHeight="1">
      <c r="A2080" s="73"/>
      <c r="B2080" s="32"/>
      <c r="C2080" s="32"/>
      <c r="D2080" s="33"/>
      <c r="E2080" s="32"/>
      <c r="F2080" s="32"/>
      <c r="G2080" s="74"/>
      <c r="H2080" s="32"/>
      <c r="I2080" s="32"/>
      <c r="J2080" s="32"/>
      <c r="K2080" s="74"/>
      <c r="L2080" s="75"/>
      <c r="M2080" s="32"/>
      <c r="N2080" s="32"/>
      <c r="O2080" s="73"/>
      <c r="P2080" s="73"/>
      <c r="Q2080" s="73"/>
      <c r="R2080" s="73"/>
      <c r="S2080" s="73"/>
      <c r="T2080" s="73"/>
      <c r="U2080" s="73"/>
      <c r="V2080" s="73"/>
      <c r="W2080" s="73"/>
      <c r="X2080" s="73"/>
      <c r="Y2080" s="73"/>
      <c r="Z2080" s="73"/>
    </row>
    <row r="2081" spans="1:26" ht="12.75" customHeight="1">
      <c r="A2081" s="73"/>
      <c r="B2081" s="32"/>
      <c r="C2081" s="32"/>
      <c r="D2081" s="33"/>
      <c r="E2081" s="32"/>
      <c r="F2081" s="32"/>
      <c r="G2081" s="74"/>
      <c r="H2081" s="32"/>
      <c r="I2081" s="32"/>
      <c r="J2081" s="32"/>
      <c r="K2081" s="74"/>
      <c r="L2081" s="75"/>
      <c r="M2081" s="32"/>
      <c r="N2081" s="32"/>
      <c r="O2081" s="73"/>
      <c r="P2081" s="73"/>
      <c r="Q2081" s="73"/>
      <c r="R2081" s="73"/>
      <c r="S2081" s="73"/>
      <c r="T2081" s="73"/>
      <c r="U2081" s="73"/>
      <c r="V2081" s="73"/>
      <c r="W2081" s="73"/>
      <c r="X2081" s="73"/>
      <c r="Y2081" s="73"/>
      <c r="Z2081" s="73"/>
    </row>
    <row r="2082" spans="1:26" ht="12.75" customHeight="1">
      <c r="A2082" s="73"/>
      <c r="B2082" s="32"/>
      <c r="C2082" s="32"/>
      <c r="D2082" s="33"/>
      <c r="E2082" s="32"/>
      <c r="F2082" s="32"/>
      <c r="G2082" s="74"/>
      <c r="H2082" s="32"/>
      <c r="I2082" s="32"/>
      <c r="J2082" s="32"/>
      <c r="K2082" s="74"/>
      <c r="L2082" s="75"/>
      <c r="M2082" s="32"/>
      <c r="N2082" s="32"/>
      <c r="O2082" s="73"/>
      <c r="P2082" s="73"/>
      <c r="Q2082" s="73"/>
      <c r="R2082" s="73"/>
      <c r="S2082" s="73"/>
      <c r="T2082" s="73"/>
      <c r="U2082" s="73"/>
      <c r="V2082" s="73"/>
      <c r="W2082" s="73"/>
      <c r="X2082" s="73"/>
      <c r="Y2082" s="73"/>
      <c r="Z2082" s="73"/>
    </row>
    <row r="2083" spans="1:26" ht="12.75" customHeight="1">
      <c r="A2083" s="73"/>
      <c r="B2083" s="32"/>
      <c r="C2083" s="32"/>
      <c r="D2083" s="33"/>
      <c r="E2083" s="32"/>
      <c r="F2083" s="32"/>
      <c r="G2083" s="74"/>
      <c r="H2083" s="32"/>
      <c r="I2083" s="32"/>
      <c r="J2083" s="32"/>
      <c r="K2083" s="74"/>
      <c r="L2083" s="75"/>
      <c r="M2083" s="32"/>
      <c r="N2083" s="32"/>
      <c r="O2083" s="73"/>
      <c r="P2083" s="73"/>
      <c r="Q2083" s="73"/>
      <c r="R2083" s="73"/>
      <c r="S2083" s="73"/>
      <c r="T2083" s="73"/>
      <c r="U2083" s="73"/>
      <c r="V2083" s="73"/>
      <c r="W2083" s="73"/>
      <c r="X2083" s="73"/>
      <c r="Y2083" s="73"/>
      <c r="Z2083" s="73"/>
    </row>
    <row r="2084" spans="1:26" ht="12.75" customHeight="1">
      <c r="A2084" s="73"/>
      <c r="B2084" s="32"/>
      <c r="C2084" s="32"/>
      <c r="D2084" s="33"/>
      <c r="E2084" s="32"/>
      <c r="F2084" s="32"/>
      <c r="G2084" s="74"/>
      <c r="H2084" s="32"/>
      <c r="I2084" s="32"/>
      <c r="J2084" s="32"/>
      <c r="K2084" s="74"/>
      <c r="L2084" s="75"/>
      <c r="M2084" s="32"/>
      <c r="N2084" s="32"/>
      <c r="O2084" s="73"/>
      <c r="P2084" s="73"/>
      <c r="Q2084" s="73"/>
      <c r="R2084" s="73"/>
      <c r="S2084" s="73"/>
      <c r="T2084" s="73"/>
      <c r="U2084" s="73"/>
      <c r="V2084" s="73"/>
      <c r="W2084" s="73"/>
      <c r="X2084" s="73"/>
      <c r="Y2084" s="73"/>
      <c r="Z2084" s="73"/>
    </row>
    <row r="2085" spans="1:26" ht="12.75" customHeight="1">
      <c r="A2085" s="73"/>
      <c r="B2085" s="32"/>
      <c r="C2085" s="32"/>
      <c r="D2085" s="33"/>
      <c r="E2085" s="32"/>
      <c r="F2085" s="32"/>
      <c r="G2085" s="74"/>
      <c r="H2085" s="32"/>
      <c r="I2085" s="32"/>
      <c r="J2085" s="32"/>
      <c r="K2085" s="74"/>
      <c r="L2085" s="75"/>
      <c r="M2085" s="32"/>
      <c r="N2085" s="32"/>
      <c r="O2085" s="73"/>
      <c r="P2085" s="73"/>
      <c r="Q2085" s="73"/>
      <c r="R2085" s="73"/>
      <c r="S2085" s="73"/>
      <c r="T2085" s="73"/>
      <c r="U2085" s="73"/>
      <c r="V2085" s="73"/>
      <c r="W2085" s="73"/>
      <c r="X2085" s="73"/>
      <c r="Y2085" s="73"/>
      <c r="Z2085" s="73"/>
    </row>
    <row r="2086" spans="1:26" ht="12.75" customHeight="1">
      <c r="A2086" s="73"/>
      <c r="B2086" s="32"/>
      <c r="C2086" s="32"/>
      <c r="D2086" s="33"/>
      <c r="E2086" s="32"/>
      <c r="F2086" s="32"/>
      <c r="G2086" s="74"/>
      <c r="H2086" s="32"/>
      <c r="I2086" s="32"/>
      <c r="J2086" s="32"/>
      <c r="K2086" s="74"/>
      <c r="L2086" s="75"/>
      <c r="M2086" s="32"/>
      <c r="N2086" s="32"/>
      <c r="O2086" s="73"/>
      <c r="P2086" s="73"/>
      <c r="Q2086" s="73"/>
      <c r="R2086" s="73"/>
      <c r="S2086" s="73"/>
      <c r="T2086" s="73"/>
      <c r="U2086" s="73"/>
      <c r="V2086" s="73"/>
      <c r="W2086" s="73"/>
      <c r="X2086" s="73"/>
      <c r="Y2086" s="73"/>
      <c r="Z2086" s="73"/>
    </row>
    <row r="2087" spans="1:26" ht="12.75" customHeight="1">
      <c r="A2087" s="73"/>
      <c r="B2087" s="32"/>
      <c r="C2087" s="32"/>
      <c r="D2087" s="33"/>
      <c r="E2087" s="32"/>
      <c r="F2087" s="32"/>
      <c r="G2087" s="74"/>
      <c r="H2087" s="32"/>
      <c r="I2087" s="32"/>
      <c r="J2087" s="32"/>
      <c r="K2087" s="74"/>
      <c r="L2087" s="75"/>
      <c r="M2087" s="32"/>
      <c r="N2087" s="32"/>
      <c r="O2087" s="73"/>
      <c r="P2087" s="73"/>
      <c r="Q2087" s="73"/>
      <c r="R2087" s="73"/>
      <c r="S2087" s="73"/>
      <c r="T2087" s="73"/>
      <c r="U2087" s="73"/>
      <c r="V2087" s="73"/>
      <c r="W2087" s="73"/>
      <c r="X2087" s="73"/>
      <c r="Y2087" s="73"/>
      <c r="Z2087" s="73"/>
    </row>
    <row r="2088" spans="1:26" ht="12.75" customHeight="1">
      <c r="A2088" s="73"/>
      <c r="B2088" s="32"/>
      <c r="C2088" s="32"/>
      <c r="D2088" s="33"/>
      <c r="E2088" s="32"/>
      <c r="F2088" s="32"/>
      <c r="G2088" s="74"/>
      <c r="H2088" s="32"/>
      <c r="I2088" s="32"/>
      <c r="J2088" s="32"/>
      <c r="K2088" s="74"/>
      <c r="L2088" s="75"/>
      <c r="M2088" s="32"/>
      <c r="N2088" s="32"/>
      <c r="O2088" s="73"/>
      <c r="P2088" s="73"/>
      <c r="Q2088" s="73"/>
      <c r="R2088" s="73"/>
      <c r="S2088" s="73"/>
      <c r="T2088" s="73"/>
      <c r="U2088" s="73"/>
      <c r="V2088" s="73"/>
      <c r="W2088" s="73"/>
      <c r="X2088" s="73"/>
      <c r="Y2088" s="73"/>
      <c r="Z2088" s="73"/>
    </row>
    <row r="2089" spans="1:26" ht="12.75" customHeight="1">
      <c r="A2089" s="73"/>
      <c r="B2089" s="32"/>
      <c r="C2089" s="32"/>
      <c r="D2089" s="33"/>
      <c r="E2089" s="32"/>
      <c r="F2089" s="32"/>
      <c r="G2089" s="74"/>
      <c r="H2089" s="32"/>
      <c r="I2089" s="32"/>
      <c r="J2089" s="32"/>
      <c r="K2089" s="74"/>
      <c r="L2089" s="75"/>
      <c r="M2089" s="32"/>
      <c r="N2089" s="32"/>
      <c r="O2089" s="73"/>
      <c r="P2089" s="73"/>
      <c r="Q2089" s="73"/>
      <c r="R2089" s="73"/>
      <c r="S2089" s="73"/>
      <c r="T2089" s="73"/>
      <c r="U2089" s="73"/>
      <c r="V2089" s="73"/>
      <c r="W2089" s="73"/>
      <c r="X2089" s="73"/>
      <c r="Y2089" s="73"/>
      <c r="Z2089" s="73"/>
    </row>
    <row r="2090" spans="1:26" ht="12.75" customHeight="1">
      <c r="A2090" s="73"/>
      <c r="B2090" s="32"/>
      <c r="C2090" s="32"/>
      <c r="D2090" s="33"/>
      <c r="E2090" s="32"/>
      <c r="F2090" s="32"/>
      <c r="G2090" s="74"/>
      <c r="H2090" s="32"/>
      <c r="I2090" s="32"/>
      <c r="J2090" s="32"/>
      <c r="K2090" s="74"/>
      <c r="L2090" s="75"/>
      <c r="M2090" s="32"/>
      <c r="N2090" s="32"/>
      <c r="O2090" s="73"/>
      <c r="P2090" s="73"/>
      <c r="Q2090" s="73"/>
      <c r="R2090" s="73"/>
      <c r="S2090" s="73"/>
      <c r="T2090" s="73"/>
      <c r="U2090" s="73"/>
      <c r="V2090" s="73"/>
      <c r="W2090" s="73"/>
      <c r="X2090" s="73"/>
      <c r="Y2090" s="73"/>
      <c r="Z2090" s="73"/>
    </row>
    <row r="2091" spans="1:26" ht="12.75" customHeight="1">
      <c r="A2091" s="73"/>
      <c r="B2091" s="32"/>
      <c r="C2091" s="32"/>
      <c r="D2091" s="33"/>
      <c r="E2091" s="32"/>
      <c r="F2091" s="32"/>
      <c r="G2091" s="74"/>
      <c r="H2091" s="32"/>
      <c r="I2091" s="32"/>
      <c r="J2091" s="32"/>
      <c r="K2091" s="74"/>
      <c r="L2091" s="75"/>
      <c r="M2091" s="32"/>
      <c r="N2091" s="32"/>
      <c r="O2091" s="73"/>
      <c r="P2091" s="73"/>
      <c r="Q2091" s="73"/>
      <c r="R2091" s="73"/>
      <c r="S2091" s="73"/>
      <c r="T2091" s="73"/>
      <c r="U2091" s="73"/>
      <c r="V2091" s="73"/>
      <c r="W2091" s="73"/>
      <c r="X2091" s="73"/>
      <c r="Y2091" s="73"/>
      <c r="Z2091" s="73"/>
    </row>
    <row r="2092" spans="1:26" ht="12.75" customHeight="1">
      <c r="A2092" s="73"/>
      <c r="B2092" s="32"/>
      <c r="C2092" s="32"/>
      <c r="D2092" s="33"/>
      <c r="E2092" s="32"/>
      <c r="F2092" s="32"/>
      <c r="G2092" s="74"/>
      <c r="H2092" s="32"/>
      <c r="I2092" s="32"/>
      <c r="J2092" s="32"/>
      <c r="K2092" s="74"/>
      <c r="L2092" s="75"/>
      <c r="M2092" s="32"/>
      <c r="N2092" s="32"/>
      <c r="O2092" s="73"/>
      <c r="P2092" s="73"/>
      <c r="Q2092" s="73"/>
      <c r="R2092" s="73"/>
      <c r="S2092" s="73"/>
      <c r="T2092" s="73"/>
      <c r="U2092" s="73"/>
      <c r="V2092" s="73"/>
      <c r="W2092" s="73"/>
      <c r="X2092" s="73"/>
      <c r="Y2092" s="73"/>
      <c r="Z2092" s="73"/>
    </row>
    <row r="2093" spans="1:26" ht="12.75" customHeight="1">
      <c r="A2093" s="73"/>
      <c r="B2093" s="32"/>
      <c r="C2093" s="32"/>
      <c r="D2093" s="33"/>
      <c r="E2093" s="32"/>
      <c r="F2093" s="32"/>
      <c r="G2093" s="74"/>
      <c r="H2093" s="32"/>
      <c r="I2093" s="32"/>
      <c r="J2093" s="32"/>
      <c r="K2093" s="74"/>
      <c r="L2093" s="75"/>
      <c r="M2093" s="32"/>
      <c r="N2093" s="32"/>
      <c r="O2093" s="73"/>
      <c r="P2093" s="73"/>
      <c r="Q2093" s="73"/>
      <c r="R2093" s="73"/>
      <c r="S2093" s="73"/>
      <c r="T2093" s="73"/>
      <c r="U2093" s="73"/>
      <c r="V2093" s="73"/>
      <c r="W2093" s="73"/>
      <c r="X2093" s="73"/>
      <c r="Y2093" s="73"/>
      <c r="Z2093" s="73"/>
    </row>
    <row r="2094" spans="1:26" ht="12.75" customHeight="1">
      <c r="A2094" s="73"/>
      <c r="B2094" s="32"/>
      <c r="C2094" s="32"/>
      <c r="D2094" s="33"/>
      <c r="E2094" s="32"/>
      <c r="F2094" s="32"/>
      <c r="G2094" s="74"/>
      <c r="H2094" s="32"/>
      <c r="I2094" s="32"/>
      <c r="J2094" s="32"/>
      <c r="K2094" s="74"/>
      <c r="L2094" s="75"/>
      <c r="M2094" s="32"/>
      <c r="N2094" s="32"/>
      <c r="O2094" s="73"/>
      <c r="P2094" s="73"/>
      <c r="Q2094" s="73"/>
      <c r="R2094" s="73"/>
      <c r="S2094" s="73"/>
      <c r="T2094" s="73"/>
      <c r="U2094" s="73"/>
      <c r="V2094" s="73"/>
      <c r="W2094" s="73"/>
      <c r="X2094" s="73"/>
      <c r="Y2094" s="73"/>
      <c r="Z2094" s="73"/>
    </row>
    <row r="2095" spans="1:26" ht="12.75" customHeight="1">
      <c r="A2095" s="73"/>
      <c r="B2095" s="32"/>
      <c r="C2095" s="32"/>
      <c r="D2095" s="33"/>
      <c r="E2095" s="32"/>
      <c r="F2095" s="32"/>
      <c r="G2095" s="74"/>
      <c r="H2095" s="32"/>
      <c r="I2095" s="32"/>
      <c r="J2095" s="32"/>
      <c r="K2095" s="74"/>
      <c r="L2095" s="75"/>
      <c r="M2095" s="32"/>
      <c r="N2095" s="32"/>
      <c r="O2095" s="73"/>
      <c r="P2095" s="73"/>
      <c r="Q2095" s="73"/>
      <c r="R2095" s="73"/>
      <c r="S2095" s="73"/>
      <c r="T2095" s="73"/>
      <c r="U2095" s="73"/>
      <c r="V2095" s="73"/>
      <c r="W2095" s="73"/>
      <c r="X2095" s="73"/>
      <c r="Y2095" s="73"/>
      <c r="Z2095" s="73"/>
    </row>
    <row r="2096" spans="1:26" ht="12.75" customHeight="1">
      <c r="A2096" s="73"/>
      <c r="B2096" s="32"/>
      <c r="C2096" s="32"/>
      <c r="D2096" s="33"/>
      <c r="E2096" s="32"/>
      <c r="F2096" s="32"/>
      <c r="G2096" s="74"/>
      <c r="H2096" s="32"/>
      <c r="I2096" s="32"/>
      <c r="J2096" s="32"/>
      <c r="K2096" s="74"/>
      <c r="L2096" s="75"/>
      <c r="M2096" s="32"/>
      <c r="N2096" s="32"/>
      <c r="O2096" s="73"/>
      <c r="P2096" s="73"/>
      <c r="Q2096" s="73"/>
      <c r="R2096" s="73"/>
      <c r="S2096" s="73"/>
      <c r="T2096" s="73"/>
      <c r="U2096" s="73"/>
      <c r="V2096" s="73"/>
      <c r="W2096" s="73"/>
      <c r="X2096" s="73"/>
      <c r="Y2096" s="73"/>
      <c r="Z2096" s="73"/>
    </row>
    <row r="2097" spans="1:26" ht="12.75" customHeight="1">
      <c r="A2097" s="73"/>
      <c r="B2097" s="32"/>
      <c r="C2097" s="32"/>
      <c r="D2097" s="33"/>
      <c r="E2097" s="32"/>
      <c r="F2097" s="32"/>
      <c r="G2097" s="74"/>
      <c r="H2097" s="32"/>
      <c r="I2097" s="32"/>
      <c r="J2097" s="32"/>
      <c r="K2097" s="74"/>
      <c r="L2097" s="75"/>
      <c r="M2097" s="32"/>
      <c r="N2097" s="32"/>
      <c r="O2097" s="73"/>
      <c r="P2097" s="73"/>
      <c r="Q2097" s="73"/>
      <c r="R2097" s="73"/>
      <c r="S2097" s="73"/>
      <c r="T2097" s="73"/>
      <c r="U2097" s="73"/>
      <c r="V2097" s="73"/>
      <c r="W2097" s="73"/>
      <c r="X2097" s="73"/>
      <c r="Y2097" s="73"/>
      <c r="Z2097" s="73"/>
    </row>
    <row r="2098" spans="1:26" ht="12.75" customHeight="1">
      <c r="A2098" s="73"/>
      <c r="B2098" s="32"/>
      <c r="C2098" s="32"/>
      <c r="D2098" s="33"/>
      <c r="E2098" s="32"/>
      <c r="F2098" s="32"/>
      <c r="G2098" s="74"/>
      <c r="H2098" s="32"/>
      <c r="I2098" s="32"/>
      <c r="J2098" s="32"/>
      <c r="K2098" s="74"/>
      <c r="L2098" s="75"/>
      <c r="M2098" s="32"/>
      <c r="N2098" s="32"/>
      <c r="O2098" s="73"/>
      <c r="P2098" s="73"/>
      <c r="Q2098" s="73"/>
      <c r="R2098" s="73"/>
      <c r="S2098" s="73"/>
      <c r="T2098" s="73"/>
      <c r="U2098" s="73"/>
      <c r="V2098" s="73"/>
      <c r="W2098" s="73"/>
      <c r="X2098" s="73"/>
      <c r="Y2098" s="73"/>
      <c r="Z2098" s="73"/>
    </row>
    <row r="2099" spans="1:26" ht="12.75" customHeight="1">
      <c r="A2099" s="73"/>
      <c r="B2099" s="32"/>
      <c r="C2099" s="32"/>
      <c r="D2099" s="33"/>
      <c r="E2099" s="32"/>
      <c r="F2099" s="32"/>
      <c r="G2099" s="74"/>
      <c r="H2099" s="32"/>
      <c r="I2099" s="32"/>
      <c r="J2099" s="32"/>
      <c r="K2099" s="74"/>
      <c r="L2099" s="75"/>
      <c r="M2099" s="32"/>
      <c r="N2099" s="32"/>
      <c r="O2099" s="73"/>
      <c r="P2099" s="73"/>
      <c r="Q2099" s="73"/>
      <c r="R2099" s="73"/>
      <c r="S2099" s="73"/>
      <c r="T2099" s="73"/>
      <c r="U2099" s="73"/>
      <c r="V2099" s="73"/>
      <c r="W2099" s="73"/>
      <c r="X2099" s="73"/>
      <c r="Y2099" s="73"/>
      <c r="Z2099" s="73"/>
    </row>
    <row r="2100" spans="1:26" ht="12.75" customHeight="1">
      <c r="A2100" s="73"/>
      <c r="B2100" s="32"/>
      <c r="C2100" s="32"/>
      <c r="D2100" s="33"/>
      <c r="E2100" s="32"/>
      <c r="F2100" s="32"/>
      <c r="G2100" s="74"/>
      <c r="H2100" s="32"/>
      <c r="I2100" s="32"/>
      <c r="J2100" s="32"/>
      <c r="K2100" s="74"/>
      <c r="L2100" s="75"/>
      <c r="M2100" s="32"/>
      <c r="N2100" s="32"/>
      <c r="O2100" s="73"/>
      <c r="P2100" s="73"/>
      <c r="Q2100" s="73"/>
      <c r="R2100" s="73"/>
      <c r="S2100" s="73"/>
      <c r="T2100" s="73"/>
      <c r="U2100" s="73"/>
      <c r="V2100" s="73"/>
      <c r="W2100" s="73"/>
      <c r="X2100" s="73"/>
      <c r="Y2100" s="73"/>
      <c r="Z2100" s="73"/>
    </row>
    <row r="2101" spans="1:26" ht="12.75" customHeight="1">
      <c r="A2101" s="73"/>
      <c r="B2101" s="32"/>
      <c r="C2101" s="32"/>
      <c r="D2101" s="33"/>
      <c r="E2101" s="32"/>
      <c r="F2101" s="32"/>
      <c r="G2101" s="74"/>
      <c r="H2101" s="32"/>
      <c r="I2101" s="32"/>
      <c r="J2101" s="32"/>
      <c r="K2101" s="74"/>
      <c r="L2101" s="75"/>
      <c r="M2101" s="32"/>
      <c r="N2101" s="32"/>
      <c r="O2101" s="73"/>
      <c r="P2101" s="73"/>
      <c r="Q2101" s="73"/>
      <c r="R2101" s="73"/>
      <c r="S2101" s="73"/>
      <c r="T2101" s="73"/>
      <c r="U2101" s="73"/>
      <c r="V2101" s="73"/>
      <c r="W2101" s="73"/>
      <c r="X2101" s="73"/>
      <c r="Y2101" s="73"/>
      <c r="Z2101" s="73"/>
    </row>
    <row r="2102" spans="1:26" ht="12.75" customHeight="1">
      <c r="A2102" s="73"/>
      <c r="B2102" s="32"/>
      <c r="C2102" s="32"/>
      <c r="D2102" s="33"/>
      <c r="E2102" s="32"/>
      <c r="F2102" s="32"/>
      <c r="G2102" s="74"/>
      <c r="H2102" s="32"/>
      <c r="I2102" s="32"/>
      <c r="J2102" s="32"/>
      <c r="K2102" s="74"/>
      <c r="L2102" s="75"/>
      <c r="M2102" s="32"/>
      <c r="N2102" s="32"/>
      <c r="O2102" s="73"/>
      <c r="P2102" s="73"/>
      <c r="Q2102" s="73"/>
      <c r="R2102" s="73"/>
      <c r="S2102" s="73"/>
      <c r="T2102" s="73"/>
      <c r="U2102" s="73"/>
      <c r="V2102" s="73"/>
      <c r="W2102" s="73"/>
      <c r="X2102" s="73"/>
      <c r="Y2102" s="73"/>
      <c r="Z2102" s="73"/>
    </row>
    <row r="2103" spans="1:26" ht="12.75" customHeight="1">
      <c r="A2103" s="73"/>
      <c r="B2103" s="32"/>
      <c r="C2103" s="32"/>
      <c r="D2103" s="33"/>
      <c r="E2103" s="32"/>
      <c r="F2103" s="32"/>
      <c r="G2103" s="74"/>
      <c r="H2103" s="32"/>
      <c r="I2103" s="32"/>
      <c r="J2103" s="32"/>
      <c r="K2103" s="74"/>
      <c r="L2103" s="75"/>
      <c r="M2103" s="32"/>
      <c r="N2103" s="32"/>
      <c r="O2103" s="73"/>
      <c r="P2103" s="73"/>
      <c r="Q2103" s="73"/>
      <c r="R2103" s="73"/>
      <c r="S2103" s="73"/>
      <c r="T2103" s="73"/>
      <c r="U2103" s="73"/>
      <c r="V2103" s="73"/>
      <c r="W2103" s="73"/>
      <c r="X2103" s="73"/>
      <c r="Y2103" s="73"/>
      <c r="Z2103" s="73"/>
    </row>
    <row r="2104" spans="1:26" ht="12.75" customHeight="1">
      <c r="A2104" s="73"/>
      <c r="B2104" s="32"/>
      <c r="C2104" s="32"/>
      <c r="D2104" s="33"/>
      <c r="E2104" s="32"/>
      <c r="F2104" s="32"/>
      <c r="G2104" s="74"/>
      <c r="H2104" s="32"/>
      <c r="I2104" s="32"/>
      <c r="J2104" s="32"/>
      <c r="K2104" s="74"/>
      <c r="L2104" s="75"/>
      <c r="M2104" s="32"/>
      <c r="N2104" s="32"/>
      <c r="O2104" s="73"/>
      <c r="P2104" s="73"/>
      <c r="Q2104" s="73"/>
      <c r="R2104" s="73"/>
      <c r="S2104" s="73"/>
      <c r="T2104" s="73"/>
      <c r="U2104" s="73"/>
      <c r="V2104" s="73"/>
      <c r="W2104" s="73"/>
      <c r="X2104" s="73"/>
      <c r="Y2104" s="73"/>
      <c r="Z2104" s="73"/>
    </row>
    <row r="2105" spans="1:26" ht="12.75" customHeight="1">
      <c r="A2105" s="73"/>
      <c r="B2105" s="32"/>
      <c r="C2105" s="32"/>
      <c r="D2105" s="33"/>
      <c r="E2105" s="32"/>
      <c r="F2105" s="32"/>
      <c r="G2105" s="74"/>
      <c r="H2105" s="32"/>
      <c r="I2105" s="32"/>
      <c r="J2105" s="32"/>
      <c r="K2105" s="74"/>
      <c r="L2105" s="75"/>
      <c r="M2105" s="32"/>
      <c r="N2105" s="32"/>
      <c r="O2105" s="73"/>
      <c r="P2105" s="73"/>
      <c r="Q2105" s="73"/>
      <c r="R2105" s="73"/>
      <c r="S2105" s="73"/>
      <c r="T2105" s="73"/>
      <c r="U2105" s="73"/>
      <c r="V2105" s="73"/>
      <c r="W2105" s="73"/>
      <c r="X2105" s="73"/>
      <c r="Y2105" s="73"/>
      <c r="Z2105" s="73"/>
    </row>
    <row r="2106" spans="1:26" ht="12.75" customHeight="1">
      <c r="A2106" s="73"/>
      <c r="B2106" s="32"/>
      <c r="C2106" s="32"/>
      <c r="D2106" s="33"/>
      <c r="E2106" s="32"/>
      <c r="F2106" s="32"/>
      <c r="G2106" s="74"/>
      <c r="H2106" s="32"/>
      <c r="I2106" s="32"/>
      <c r="J2106" s="32"/>
      <c r="K2106" s="74"/>
      <c r="L2106" s="75"/>
      <c r="M2106" s="32"/>
      <c r="N2106" s="32"/>
      <c r="O2106" s="73"/>
      <c r="P2106" s="73"/>
      <c r="Q2106" s="73"/>
      <c r="R2106" s="73"/>
      <c r="S2106" s="73"/>
      <c r="T2106" s="73"/>
      <c r="U2106" s="73"/>
      <c r="V2106" s="73"/>
      <c r="W2106" s="73"/>
      <c r="X2106" s="73"/>
      <c r="Y2106" s="73"/>
      <c r="Z2106" s="73"/>
    </row>
    <row r="2107" spans="1:26" ht="12.75" customHeight="1">
      <c r="A2107" s="73"/>
      <c r="B2107" s="32"/>
      <c r="C2107" s="32"/>
      <c r="D2107" s="33"/>
      <c r="E2107" s="32"/>
      <c r="F2107" s="32"/>
      <c r="G2107" s="74"/>
      <c r="H2107" s="32"/>
      <c r="I2107" s="32"/>
      <c r="J2107" s="32"/>
      <c r="K2107" s="74"/>
      <c r="L2107" s="75"/>
      <c r="M2107" s="32"/>
      <c r="N2107" s="32"/>
      <c r="O2107" s="73"/>
      <c r="P2107" s="73"/>
      <c r="Q2107" s="73"/>
      <c r="R2107" s="73"/>
      <c r="S2107" s="73"/>
      <c r="T2107" s="73"/>
      <c r="U2107" s="73"/>
      <c r="V2107" s="73"/>
      <c r="W2107" s="73"/>
      <c r="X2107" s="73"/>
      <c r="Y2107" s="73"/>
      <c r="Z2107" s="73"/>
    </row>
    <row r="2108" spans="1:26" ht="12.75" customHeight="1">
      <c r="A2108" s="73"/>
      <c r="B2108" s="32"/>
      <c r="C2108" s="32"/>
      <c r="D2108" s="33"/>
      <c r="E2108" s="32"/>
      <c r="F2108" s="32"/>
      <c r="G2108" s="74"/>
      <c r="H2108" s="32"/>
      <c r="I2108" s="32"/>
      <c r="J2108" s="32"/>
      <c r="K2108" s="74"/>
      <c r="L2108" s="75"/>
      <c r="M2108" s="32"/>
      <c r="N2108" s="32"/>
      <c r="O2108" s="73"/>
      <c r="P2108" s="73"/>
      <c r="Q2108" s="73"/>
      <c r="R2108" s="73"/>
      <c r="S2108" s="73"/>
      <c r="T2108" s="73"/>
      <c r="U2108" s="73"/>
      <c r="V2108" s="73"/>
      <c r="W2108" s="73"/>
      <c r="X2108" s="73"/>
      <c r="Y2108" s="73"/>
      <c r="Z2108" s="73"/>
    </row>
    <row r="2109" spans="1:26" ht="12.75" customHeight="1">
      <c r="A2109" s="73"/>
      <c r="B2109" s="32"/>
      <c r="C2109" s="32"/>
      <c r="D2109" s="33"/>
      <c r="E2109" s="32"/>
      <c r="F2109" s="32"/>
      <c r="G2109" s="74"/>
      <c r="H2109" s="32"/>
      <c r="I2109" s="32"/>
      <c r="J2109" s="32"/>
      <c r="K2109" s="74"/>
      <c r="L2109" s="75"/>
      <c r="M2109" s="32"/>
      <c r="N2109" s="32"/>
      <c r="O2109" s="73"/>
      <c r="P2109" s="73"/>
      <c r="Q2109" s="73"/>
      <c r="R2109" s="73"/>
      <c r="S2109" s="73"/>
      <c r="T2109" s="73"/>
      <c r="U2109" s="73"/>
      <c r="V2109" s="73"/>
      <c r="W2109" s="73"/>
      <c r="X2109" s="73"/>
      <c r="Y2109" s="73"/>
      <c r="Z2109" s="73"/>
    </row>
    <row r="2110" spans="1:26" ht="12.75" customHeight="1">
      <c r="A2110" s="73"/>
      <c r="B2110" s="32"/>
      <c r="C2110" s="32"/>
      <c r="D2110" s="33"/>
      <c r="E2110" s="32"/>
      <c r="F2110" s="32"/>
      <c r="G2110" s="74"/>
      <c r="H2110" s="32"/>
      <c r="I2110" s="32"/>
      <c r="J2110" s="32"/>
      <c r="K2110" s="74"/>
      <c r="L2110" s="75"/>
      <c r="M2110" s="32"/>
      <c r="N2110" s="32"/>
      <c r="O2110" s="73"/>
      <c r="P2110" s="73"/>
      <c r="Q2110" s="73"/>
      <c r="R2110" s="73"/>
      <c r="S2110" s="73"/>
      <c r="T2110" s="73"/>
      <c r="U2110" s="73"/>
      <c r="V2110" s="73"/>
      <c r="W2110" s="73"/>
      <c r="X2110" s="73"/>
      <c r="Y2110" s="73"/>
      <c r="Z2110" s="73"/>
    </row>
    <row r="2111" spans="1:26" ht="12.75" customHeight="1">
      <c r="A2111" s="73"/>
      <c r="B2111" s="32"/>
      <c r="C2111" s="32"/>
      <c r="D2111" s="33"/>
      <c r="E2111" s="32"/>
      <c r="F2111" s="32"/>
      <c r="G2111" s="74"/>
      <c r="H2111" s="32"/>
      <c r="I2111" s="32"/>
      <c r="J2111" s="32"/>
      <c r="K2111" s="74"/>
      <c r="L2111" s="75"/>
      <c r="M2111" s="32"/>
      <c r="N2111" s="32"/>
      <c r="O2111" s="73"/>
      <c r="P2111" s="73"/>
      <c r="Q2111" s="73"/>
      <c r="R2111" s="73"/>
      <c r="S2111" s="73"/>
      <c r="T2111" s="73"/>
      <c r="U2111" s="73"/>
      <c r="V2111" s="73"/>
      <c r="W2111" s="73"/>
      <c r="X2111" s="73"/>
      <c r="Y2111" s="73"/>
      <c r="Z2111" s="73"/>
    </row>
    <row r="2112" spans="1:26" ht="12.75" customHeight="1">
      <c r="A2112" s="73"/>
      <c r="B2112" s="32"/>
      <c r="C2112" s="32"/>
      <c r="D2112" s="33"/>
      <c r="E2112" s="32"/>
      <c r="F2112" s="32"/>
      <c r="G2112" s="74"/>
      <c r="H2112" s="32"/>
      <c r="I2112" s="32"/>
      <c r="J2112" s="32"/>
      <c r="K2112" s="74"/>
      <c r="L2112" s="75"/>
      <c r="M2112" s="32"/>
      <c r="N2112" s="32"/>
      <c r="O2112" s="73"/>
      <c r="P2112" s="73"/>
      <c r="Q2112" s="73"/>
      <c r="R2112" s="73"/>
      <c r="S2112" s="73"/>
      <c r="T2112" s="73"/>
      <c r="U2112" s="73"/>
      <c r="V2112" s="73"/>
      <c r="W2112" s="73"/>
      <c r="X2112" s="73"/>
      <c r="Y2112" s="73"/>
      <c r="Z2112" s="73"/>
    </row>
    <row r="2113" spans="1:26" ht="12.75" customHeight="1">
      <c r="A2113" s="73"/>
      <c r="B2113" s="32"/>
      <c r="C2113" s="32"/>
      <c r="D2113" s="33"/>
      <c r="E2113" s="32"/>
      <c r="F2113" s="32"/>
      <c r="G2113" s="74"/>
      <c r="H2113" s="32"/>
      <c r="I2113" s="32"/>
      <c r="J2113" s="32"/>
      <c r="K2113" s="74"/>
      <c r="L2113" s="75"/>
      <c r="M2113" s="32"/>
      <c r="N2113" s="32"/>
      <c r="O2113" s="73"/>
      <c r="P2113" s="73"/>
      <c r="Q2113" s="73"/>
      <c r="R2113" s="73"/>
      <c r="S2113" s="73"/>
      <c r="T2113" s="73"/>
      <c r="U2113" s="73"/>
      <c r="V2113" s="73"/>
      <c r="W2113" s="73"/>
      <c r="X2113" s="73"/>
      <c r="Y2113" s="73"/>
      <c r="Z2113" s="73"/>
    </row>
    <row r="2114" spans="1:26" ht="12.75" customHeight="1">
      <c r="A2114" s="73"/>
      <c r="B2114" s="32"/>
      <c r="C2114" s="32"/>
      <c r="D2114" s="33"/>
      <c r="E2114" s="32"/>
      <c r="F2114" s="32"/>
      <c r="G2114" s="74"/>
      <c r="H2114" s="32"/>
      <c r="I2114" s="32"/>
      <c r="J2114" s="32"/>
      <c r="K2114" s="74"/>
      <c r="L2114" s="75"/>
      <c r="M2114" s="32"/>
      <c r="N2114" s="32"/>
      <c r="O2114" s="73"/>
      <c r="P2114" s="73"/>
      <c r="Q2114" s="73"/>
      <c r="R2114" s="73"/>
      <c r="S2114" s="73"/>
      <c r="T2114" s="73"/>
      <c r="U2114" s="73"/>
      <c r="V2114" s="73"/>
      <c r="W2114" s="73"/>
      <c r="X2114" s="73"/>
      <c r="Y2114" s="73"/>
      <c r="Z2114" s="73"/>
    </row>
    <row r="2115" spans="1:26" ht="12.75" customHeight="1">
      <c r="A2115" s="73"/>
      <c r="B2115" s="32"/>
      <c r="C2115" s="32"/>
      <c r="D2115" s="33"/>
      <c r="E2115" s="32"/>
      <c r="F2115" s="32"/>
      <c r="G2115" s="74"/>
      <c r="H2115" s="32"/>
      <c r="I2115" s="32"/>
      <c r="J2115" s="32"/>
      <c r="K2115" s="74"/>
      <c r="L2115" s="75"/>
      <c r="M2115" s="32"/>
      <c r="N2115" s="32"/>
      <c r="O2115" s="73"/>
      <c r="P2115" s="73"/>
      <c r="Q2115" s="73"/>
      <c r="R2115" s="73"/>
      <c r="S2115" s="73"/>
      <c r="T2115" s="73"/>
      <c r="U2115" s="73"/>
      <c r="V2115" s="73"/>
      <c r="W2115" s="73"/>
      <c r="X2115" s="73"/>
      <c r="Y2115" s="73"/>
      <c r="Z2115" s="73"/>
    </row>
    <row r="2116" spans="1:26" ht="12.75" customHeight="1">
      <c r="A2116" s="73"/>
      <c r="B2116" s="32"/>
      <c r="C2116" s="32"/>
      <c r="D2116" s="33"/>
      <c r="E2116" s="32"/>
      <c r="F2116" s="32"/>
      <c r="G2116" s="74"/>
      <c r="H2116" s="32"/>
      <c r="I2116" s="32"/>
      <c r="J2116" s="32"/>
      <c r="K2116" s="74"/>
      <c r="L2116" s="75"/>
      <c r="M2116" s="32"/>
      <c r="N2116" s="32"/>
      <c r="O2116" s="73"/>
      <c r="P2116" s="73"/>
      <c r="Q2116" s="73"/>
      <c r="R2116" s="73"/>
      <c r="S2116" s="73"/>
      <c r="T2116" s="73"/>
      <c r="U2116" s="73"/>
      <c r="V2116" s="73"/>
      <c r="W2116" s="73"/>
      <c r="X2116" s="73"/>
      <c r="Y2116" s="73"/>
      <c r="Z2116" s="73"/>
    </row>
    <row r="2117" spans="1:26" ht="12.75" customHeight="1">
      <c r="A2117" s="73"/>
      <c r="B2117" s="32"/>
      <c r="C2117" s="32"/>
      <c r="D2117" s="33"/>
      <c r="E2117" s="32"/>
      <c r="F2117" s="32"/>
      <c r="G2117" s="74"/>
      <c r="H2117" s="32"/>
      <c r="I2117" s="32"/>
      <c r="J2117" s="32"/>
      <c r="K2117" s="74"/>
      <c r="L2117" s="75"/>
      <c r="M2117" s="32"/>
      <c r="N2117" s="32"/>
      <c r="O2117" s="73"/>
      <c r="P2117" s="73"/>
      <c r="Q2117" s="73"/>
      <c r="R2117" s="73"/>
      <c r="S2117" s="73"/>
      <c r="T2117" s="73"/>
      <c r="U2117" s="73"/>
      <c r="V2117" s="73"/>
      <c r="W2117" s="73"/>
      <c r="X2117" s="73"/>
      <c r="Y2117" s="73"/>
      <c r="Z2117" s="73"/>
    </row>
    <row r="2118" spans="1:26" ht="12.75" customHeight="1">
      <c r="A2118" s="73"/>
      <c r="B2118" s="32"/>
      <c r="C2118" s="32"/>
      <c r="D2118" s="33"/>
      <c r="E2118" s="32"/>
      <c r="F2118" s="32"/>
      <c r="G2118" s="74"/>
      <c r="H2118" s="32"/>
      <c r="I2118" s="32"/>
      <c r="J2118" s="32"/>
      <c r="K2118" s="74"/>
      <c r="L2118" s="75"/>
      <c r="M2118" s="32"/>
      <c r="N2118" s="32"/>
      <c r="O2118" s="73"/>
      <c r="P2118" s="73"/>
      <c r="Q2118" s="73"/>
      <c r="R2118" s="73"/>
      <c r="S2118" s="73"/>
      <c r="T2118" s="73"/>
      <c r="U2118" s="73"/>
      <c r="V2118" s="73"/>
      <c r="W2118" s="73"/>
      <c r="X2118" s="73"/>
      <c r="Y2118" s="73"/>
      <c r="Z2118" s="73"/>
    </row>
    <row r="2119" spans="1:26" ht="12.75" customHeight="1">
      <c r="A2119" s="73"/>
      <c r="B2119" s="32"/>
      <c r="C2119" s="32"/>
      <c r="D2119" s="33"/>
      <c r="E2119" s="32"/>
      <c r="F2119" s="32"/>
      <c r="G2119" s="74"/>
      <c r="H2119" s="32"/>
      <c r="I2119" s="32"/>
      <c r="J2119" s="32"/>
      <c r="K2119" s="74"/>
      <c r="L2119" s="75"/>
      <c r="M2119" s="32"/>
      <c r="N2119" s="32"/>
      <c r="O2119" s="73"/>
      <c r="P2119" s="73"/>
      <c r="Q2119" s="73"/>
      <c r="R2119" s="73"/>
      <c r="S2119" s="73"/>
      <c r="T2119" s="73"/>
      <c r="U2119" s="73"/>
      <c r="V2119" s="73"/>
      <c r="W2119" s="73"/>
      <c r="X2119" s="73"/>
      <c r="Y2119" s="73"/>
      <c r="Z2119" s="73"/>
    </row>
    <row r="2120" spans="1:26" ht="12.75" customHeight="1">
      <c r="A2120" s="73"/>
      <c r="B2120" s="32"/>
      <c r="C2120" s="32"/>
      <c r="D2120" s="33"/>
      <c r="E2120" s="32"/>
      <c r="F2120" s="32"/>
      <c r="G2120" s="74"/>
      <c r="H2120" s="32"/>
      <c r="I2120" s="32"/>
      <c r="J2120" s="32"/>
      <c r="K2120" s="74"/>
      <c r="L2120" s="75"/>
      <c r="M2120" s="32"/>
      <c r="N2120" s="32"/>
      <c r="O2120" s="73"/>
      <c r="P2120" s="73"/>
      <c r="Q2120" s="73"/>
      <c r="R2120" s="73"/>
      <c r="S2120" s="73"/>
      <c r="T2120" s="73"/>
      <c r="U2120" s="73"/>
      <c r="V2120" s="73"/>
      <c r="W2120" s="73"/>
      <c r="X2120" s="73"/>
      <c r="Y2120" s="73"/>
      <c r="Z2120" s="73"/>
    </row>
    <row r="2121" spans="1:26" ht="12.75" customHeight="1">
      <c r="A2121" s="73"/>
      <c r="B2121" s="32"/>
      <c r="C2121" s="32"/>
      <c r="D2121" s="33"/>
      <c r="E2121" s="32"/>
      <c r="F2121" s="32"/>
      <c r="G2121" s="74"/>
      <c r="H2121" s="32"/>
      <c r="I2121" s="32"/>
      <c r="J2121" s="32"/>
      <c r="K2121" s="74"/>
      <c r="L2121" s="75"/>
      <c r="M2121" s="32"/>
      <c r="N2121" s="32"/>
      <c r="O2121" s="73"/>
      <c r="P2121" s="73"/>
      <c r="Q2121" s="73"/>
      <c r="R2121" s="73"/>
      <c r="S2121" s="73"/>
      <c r="T2121" s="73"/>
      <c r="U2121" s="73"/>
      <c r="V2121" s="73"/>
      <c r="W2121" s="73"/>
      <c r="X2121" s="73"/>
      <c r="Y2121" s="73"/>
      <c r="Z2121" s="73"/>
    </row>
    <row r="2122" spans="1:26" ht="12.75" customHeight="1">
      <c r="A2122" s="73"/>
      <c r="B2122" s="32"/>
      <c r="C2122" s="32"/>
      <c r="D2122" s="33"/>
      <c r="E2122" s="32"/>
      <c r="F2122" s="32"/>
      <c r="G2122" s="74"/>
      <c r="H2122" s="32"/>
      <c r="I2122" s="32"/>
      <c r="J2122" s="32"/>
      <c r="K2122" s="74"/>
      <c r="L2122" s="75"/>
      <c r="M2122" s="32"/>
      <c r="N2122" s="32"/>
      <c r="O2122" s="73"/>
      <c r="P2122" s="73"/>
      <c r="Q2122" s="73"/>
      <c r="R2122" s="73"/>
      <c r="S2122" s="73"/>
      <c r="T2122" s="73"/>
      <c r="U2122" s="73"/>
      <c r="V2122" s="73"/>
      <c r="W2122" s="73"/>
      <c r="X2122" s="73"/>
      <c r="Y2122" s="73"/>
      <c r="Z2122" s="73"/>
    </row>
    <row r="2123" spans="1:26" ht="12.75" customHeight="1">
      <c r="A2123" s="73"/>
      <c r="B2123" s="32"/>
      <c r="C2123" s="32"/>
      <c r="D2123" s="33"/>
      <c r="E2123" s="32"/>
      <c r="F2123" s="32"/>
      <c r="G2123" s="74"/>
      <c r="H2123" s="32"/>
      <c r="I2123" s="32"/>
      <c r="J2123" s="32"/>
      <c r="K2123" s="74"/>
      <c r="L2123" s="75"/>
      <c r="M2123" s="32"/>
      <c r="N2123" s="32"/>
      <c r="O2123" s="73"/>
      <c r="P2123" s="73"/>
      <c r="Q2123" s="73"/>
      <c r="R2123" s="73"/>
      <c r="S2123" s="73"/>
      <c r="T2123" s="73"/>
      <c r="U2123" s="73"/>
      <c r="V2123" s="73"/>
      <c r="W2123" s="73"/>
      <c r="X2123" s="73"/>
      <c r="Y2123" s="73"/>
      <c r="Z2123" s="73"/>
    </row>
    <row r="2124" spans="1:26" ht="12.75" customHeight="1">
      <c r="A2124" s="73"/>
      <c r="B2124" s="32"/>
      <c r="C2124" s="32"/>
      <c r="D2124" s="33"/>
      <c r="E2124" s="32"/>
      <c r="F2124" s="32"/>
      <c r="G2124" s="74"/>
      <c r="H2124" s="32"/>
      <c r="I2124" s="32"/>
      <c r="J2124" s="32"/>
      <c r="K2124" s="74"/>
      <c r="L2124" s="75"/>
      <c r="M2124" s="32"/>
      <c r="N2124" s="32"/>
      <c r="O2124" s="73"/>
      <c r="P2124" s="73"/>
      <c r="Q2124" s="73"/>
      <c r="R2124" s="73"/>
      <c r="S2124" s="73"/>
      <c r="T2124" s="73"/>
      <c r="U2124" s="73"/>
      <c r="V2124" s="73"/>
      <c r="W2124" s="73"/>
      <c r="X2124" s="73"/>
      <c r="Y2124" s="73"/>
      <c r="Z2124" s="73"/>
    </row>
    <row r="2125" spans="1:26" ht="12.75" customHeight="1">
      <c r="A2125" s="73"/>
      <c r="B2125" s="32"/>
      <c r="C2125" s="32"/>
      <c r="D2125" s="33"/>
      <c r="E2125" s="32"/>
      <c r="F2125" s="32"/>
      <c r="G2125" s="74"/>
      <c r="H2125" s="32"/>
      <c r="I2125" s="32"/>
      <c r="J2125" s="32"/>
      <c r="K2125" s="74"/>
      <c r="L2125" s="75"/>
      <c r="M2125" s="32"/>
      <c r="N2125" s="32"/>
      <c r="O2125" s="73"/>
      <c r="P2125" s="73"/>
      <c r="Q2125" s="73"/>
      <c r="R2125" s="73"/>
      <c r="S2125" s="73"/>
      <c r="T2125" s="73"/>
      <c r="U2125" s="73"/>
      <c r="V2125" s="73"/>
      <c r="W2125" s="73"/>
      <c r="X2125" s="73"/>
      <c r="Y2125" s="73"/>
      <c r="Z2125" s="73"/>
    </row>
    <row r="2126" spans="1:26" ht="12.75" customHeight="1">
      <c r="A2126" s="73"/>
      <c r="B2126" s="32"/>
      <c r="C2126" s="32"/>
      <c r="D2126" s="33"/>
      <c r="E2126" s="32"/>
      <c r="F2126" s="32"/>
      <c r="G2126" s="74"/>
      <c r="H2126" s="32"/>
      <c r="I2126" s="32"/>
      <c r="J2126" s="32"/>
      <c r="K2126" s="74"/>
      <c r="L2126" s="75"/>
      <c r="M2126" s="32"/>
      <c r="N2126" s="32"/>
      <c r="O2126" s="73"/>
      <c r="P2126" s="73"/>
      <c r="Q2126" s="73"/>
      <c r="R2126" s="73"/>
      <c r="S2126" s="73"/>
      <c r="T2126" s="73"/>
      <c r="U2126" s="73"/>
      <c r="V2126" s="73"/>
      <c r="W2126" s="73"/>
      <c r="X2126" s="73"/>
      <c r="Y2126" s="73"/>
      <c r="Z2126" s="73"/>
    </row>
    <row r="2127" spans="1:26" ht="12.75" customHeight="1">
      <c r="A2127" s="73"/>
      <c r="B2127" s="32"/>
      <c r="C2127" s="32"/>
      <c r="D2127" s="33"/>
      <c r="E2127" s="32"/>
      <c r="F2127" s="32"/>
      <c r="G2127" s="74"/>
      <c r="H2127" s="32"/>
      <c r="I2127" s="32"/>
      <c r="J2127" s="32"/>
      <c r="K2127" s="74"/>
      <c r="L2127" s="75"/>
      <c r="M2127" s="32"/>
      <c r="N2127" s="32"/>
      <c r="O2127" s="73"/>
      <c r="P2127" s="73"/>
      <c r="Q2127" s="73"/>
      <c r="R2127" s="73"/>
      <c r="S2127" s="73"/>
      <c r="T2127" s="73"/>
      <c r="U2127" s="73"/>
      <c r="V2127" s="73"/>
      <c r="W2127" s="73"/>
      <c r="X2127" s="73"/>
      <c r="Y2127" s="73"/>
      <c r="Z2127" s="73"/>
    </row>
    <row r="2128" spans="1:26" ht="12.75" customHeight="1">
      <c r="A2128" s="73"/>
      <c r="B2128" s="32"/>
      <c r="C2128" s="32"/>
      <c r="D2128" s="33"/>
      <c r="E2128" s="32"/>
      <c r="F2128" s="32"/>
      <c r="G2128" s="74"/>
      <c r="H2128" s="32"/>
      <c r="I2128" s="32"/>
      <c r="J2128" s="32"/>
      <c r="K2128" s="74"/>
      <c r="L2128" s="75"/>
      <c r="M2128" s="32"/>
      <c r="N2128" s="32"/>
      <c r="O2128" s="73"/>
      <c r="P2128" s="73"/>
      <c r="Q2128" s="73"/>
      <c r="R2128" s="73"/>
      <c r="S2128" s="73"/>
      <c r="T2128" s="73"/>
      <c r="U2128" s="73"/>
      <c r="V2128" s="73"/>
      <c r="W2128" s="73"/>
      <c r="X2128" s="73"/>
      <c r="Y2128" s="73"/>
      <c r="Z2128" s="73"/>
    </row>
    <row r="2129" spans="1:26" ht="12.75" customHeight="1">
      <c r="A2129" s="73"/>
      <c r="B2129" s="32"/>
      <c r="C2129" s="32"/>
      <c r="D2129" s="33"/>
      <c r="E2129" s="32"/>
      <c r="F2129" s="32"/>
      <c r="G2129" s="74"/>
      <c r="H2129" s="32"/>
      <c r="I2129" s="32"/>
      <c r="J2129" s="32"/>
      <c r="K2129" s="74"/>
      <c r="L2129" s="75"/>
      <c r="M2129" s="32"/>
      <c r="N2129" s="32"/>
      <c r="O2129" s="73"/>
      <c r="P2129" s="73"/>
      <c r="Q2129" s="73"/>
      <c r="R2129" s="73"/>
      <c r="S2129" s="73"/>
      <c r="T2129" s="73"/>
      <c r="U2129" s="73"/>
      <c r="V2129" s="73"/>
      <c r="W2129" s="73"/>
      <c r="X2129" s="73"/>
      <c r="Y2129" s="73"/>
      <c r="Z2129" s="73"/>
    </row>
    <row r="2130" spans="1:26" ht="12.75" customHeight="1">
      <c r="A2130" s="73"/>
      <c r="B2130" s="32"/>
      <c r="C2130" s="32"/>
      <c r="D2130" s="33"/>
      <c r="E2130" s="32"/>
      <c r="F2130" s="32"/>
      <c r="G2130" s="74"/>
      <c r="H2130" s="32"/>
      <c r="I2130" s="32"/>
      <c r="J2130" s="32"/>
      <c r="K2130" s="74"/>
      <c r="L2130" s="75"/>
      <c r="M2130" s="32"/>
      <c r="N2130" s="32"/>
      <c r="O2130" s="73"/>
      <c r="P2130" s="73"/>
      <c r="Q2130" s="73"/>
      <c r="R2130" s="73"/>
      <c r="S2130" s="73"/>
      <c r="T2130" s="73"/>
      <c r="U2130" s="73"/>
      <c r="V2130" s="73"/>
      <c r="W2130" s="73"/>
      <c r="X2130" s="73"/>
      <c r="Y2130" s="73"/>
      <c r="Z2130" s="73"/>
    </row>
    <row r="2131" spans="1:26" ht="12.75" customHeight="1">
      <c r="A2131" s="73"/>
      <c r="B2131" s="32"/>
      <c r="C2131" s="32"/>
      <c r="D2131" s="33"/>
      <c r="E2131" s="32"/>
      <c r="F2131" s="32"/>
      <c r="G2131" s="74"/>
      <c r="H2131" s="32"/>
      <c r="I2131" s="32"/>
      <c r="J2131" s="32"/>
      <c r="K2131" s="74"/>
      <c r="L2131" s="75"/>
      <c r="M2131" s="32"/>
      <c r="N2131" s="32"/>
      <c r="O2131" s="73"/>
      <c r="P2131" s="73"/>
      <c r="Q2131" s="73"/>
      <c r="R2131" s="73"/>
      <c r="S2131" s="73"/>
      <c r="T2131" s="73"/>
      <c r="U2131" s="73"/>
      <c r="V2131" s="73"/>
      <c r="W2131" s="73"/>
      <c r="X2131" s="73"/>
      <c r="Y2131" s="73"/>
      <c r="Z2131" s="73"/>
    </row>
    <row r="2132" spans="1:26" ht="12.75" customHeight="1">
      <c r="A2132" s="73"/>
      <c r="B2132" s="32"/>
      <c r="C2132" s="32"/>
      <c r="D2132" s="33"/>
      <c r="E2132" s="32"/>
      <c r="F2132" s="32"/>
      <c r="G2132" s="74"/>
      <c r="H2132" s="32"/>
      <c r="I2132" s="32"/>
      <c r="J2132" s="32"/>
      <c r="K2132" s="74"/>
      <c r="L2132" s="75"/>
      <c r="M2132" s="32"/>
      <c r="N2132" s="32"/>
      <c r="O2132" s="73"/>
      <c r="P2132" s="73"/>
      <c r="Q2132" s="73"/>
      <c r="R2132" s="73"/>
      <c r="S2132" s="73"/>
      <c r="T2132" s="73"/>
      <c r="U2132" s="73"/>
      <c r="V2132" s="73"/>
      <c r="W2132" s="73"/>
      <c r="X2132" s="73"/>
      <c r="Y2132" s="73"/>
      <c r="Z2132" s="73"/>
    </row>
    <row r="2133" spans="1:26" ht="12.75" customHeight="1">
      <c r="A2133" s="73"/>
      <c r="B2133" s="32"/>
      <c r="C2133" s="32"/>
      <c r="D2133" s="33"/>
      <c r="E2133" s="32"/>
      <c r="F2133" s="32"/>
      <c r="G2133" s="74"/>
      <c r="H2133" s="32"/>
      <c r="I2133" s="32"/>
      <c r="J2133" s="32"/>
      <c r="K2133" s="74"/>
      <c r="L2133" s="75"/>
      <c r="M2133" s="32"/>
      <c r="N2133" s="32"/>
      <c r="O2133" s="73"/>
      <c r="P2133" s="73"/>
      <c r="Q2133" s="73"/>
      <c r="R2133" s="73"/>
      <c r="S2133" s="73"/>
      <c r="T2133" s="73"/>
      <c r="U2133" s="73"/>
      <c r="V2133" s="73"/>
      <c r="W2133" s="73"/>
      <c r="X2133" s="73"/>
      <c r="Y2133" s="73"/>
      <c r="Z2133" s="73"/>
    </row>
    <row r="2134" spans="1:26" ht="12.75" customHeight="1">
      <c r="A2134" s="73"/>
      <c r="B2134" s="32"/>
      <c r="C2134" s="32"/>
      <c r="D2134" s="33"/>
      <c r="E2134" s="32"/>
      <c r="F2134" s="32"/>
      <c r="G2134" s="74"/>
      <c r="H2134" s="32"/>
      <c r="I2134" s="32"/>
      <c r="J2134" s="32"/>
      <c r="K2134" s="74"/>
      <c r="L2134" s="75"/>
      <c r="M2134" s="32"/>
      <c r="N2134" s="32"/>
      <c r="O2134" s="73"/>
      <c r="P2134" s="73"/>
      <c r="Q2134" s="73"/>
      <c r="R2134" s="73"/>
      <c r="S2134" s="73"/>
      <c r="T2134" s="73"/>
      <c r="U2134" s="73"/>
      <c r="V2134" s="73"/>
      <c r="W2134" s="73"/>
      <c r="X2134" s="73"/>
      <c r="Y2134" s="73"/>
      <c r="Z2134" s="73"/>
    </row>
    <row r="2135" spans="1:26" ht="12.75" customHeight="1">
      <c r="A2135" s="73"/>
      <c r="B2135" s="32"/>
      <c r="C2135" s="32"/>
      <c r="D2135" s="33"/>
      <c r="E2135" s="32"/>
      <c r="F2135" s="32"/>
      <c r="G2135" s="74"/>
      <c r="H2135" s="32"/>
      <c r="I2135" s="32"/>
      <c r="J2135" s="32"/>
      <c r="K2135" s="74"/>
      <c r="L2135" s="75"/>
      <c r="M2135" s="32"/>
      <c r="N2135" s="32"/>
      <c r="O2135" s="73"/>
      <c r="P2135" s="73"/>
      <c r="Q2135" s="73"/>
      <c r="R2135" s="73"/>
      <c r="S2135" s="73"/>
      <c r="T2135" s="73"/>
      <c r="U2135" s="73"/>
      <c r="V2135" s="73"/>
      <c r="W2135" s="73"/>
      <c r="X2135" s="73"/>
      <c r="Y2135" s="73"/>
      <c r="Z2135" s="73"/>
    </row>
    <row r="2136" spans="1:26" ht="12.75" customHeight="1">
      <c r="A2136" s="73"/>
      <c r="B2136" s="32"/>
      <c r="C2136" s="32"/>
      <c r="D2136" s="33"/>
      <c r="E2136" s="32"/>
      <c r="F2136" s="32"/>
      <c r="G2136" s="74"/>
      <c r="H2136" s="32"/>
      <c r="I2136" s="32"/>
      <c r="J2136" s="32"/>
      <c r="K2136" s="74"/>
      <c r="L2136" s="75"/>
      <c r="M2136" s="32"/>
      <c r="N2136" s="32"/>
      <c r="O2136" s="73"/>
      <c r="P2136" s="73"/>
      <c r="Q2136" s="73"/>
      <c r="R2136" s="73"/>
      <c r="S2136" s="73"/>
      <c r="T2136" s="73"/>
      <c r="U2136" s="73"/>
      <c r="V2136" s="73"/>
      <c r="W2136" s="73"/>
      <c r="X2136" s="73"/>
      <c r="Y2136" s="73"/>
      <c r="Z2136" s="73"/>
    </row>
    <row r="2137" spans="1:26" ht="12.75" customHeight="1">
      <c r="A2137" s="73"/>
      <c r="B2137" s="32"/>
      <c r="C2137" s="32"/>
      <c r="D2137" s="33"/>
      <c r="E2137" s="32"/>
      <c r="F2137" s="32"/>
      <c r="G2137" s="74"/>
      <c r="H2137" s="32"/>
      <c r="I2137" s="32"/>
      <c r="J2137" s="32"/>
      <c r="K2137" s="74"/>
      <c r="L2137" s="75"/>
      <c r="M2137" s="32"/>
      <c r="N2137" s="32"/>
      <c r="O2137" s="73"/>
      <c r="P2137" s="73"/>
      <c r="Q2137" s="73"/>
      <c r="R2137" s="73"/>
      <c r="S2137" s="73"/>
      <c r="T2137" s="73"/>
      <c r="U2137" s="73"/>
      <c r="V2137" s="73"/>
      <c r="W2137" s="73"/>
      <c r="X2137" s="73"/>
      <c r="Y2137" s="73"/>
      <c r="Z2137" s="73"/>
    </row>
    <row r="2138" spans="1:26" ht="12.75" customHeight="1">
      <c r="A2138" s="73"/>
      <c r="B2138" s="32"/>
      <c r="C2138" s="32"/>
      <c r="D2138" s="33"/>
      <c r="E2138" s="32"/>
      <c r="F2138" s="32"/>
      <c r="G2138" s="74"/>
      <c r="H2138" s="32"/>
      <c r="I2138" s="32"/>
      <c r="J2138" s="32"/>
      <c r="K2138" s="74"/>
      <c r="L2138" s="75"/>
      <c r="M2138" s="32"/>
      <c r="N2138" s="32"/>
      <c r="O2138" s="73"/>
      <c r="P2138" s="73"/>
      <c r="Q2138" s="73"/>
      <c r="R2138" s="73"/>
      <c r="S2138" s="73"/>
      <c r="T2138" s="73"/>
      <c r="U2138" s="73"/>
      <c r="V2138" s="73"/>
      <c r="W2138" s="73"/>
      <c r="X2138" s="73"/>
      <c r="Y2138" s="73"/>
      <c r="Z2138" s="73"/>
    </row>
    <row r="2139" spans="1:26" ht="12.75" customHeight="1">
      <c r="A2139" s="73"/>
      <c r="B2139" s="32"/>
      <c r="C2139" s="32"/>
      <c r="D2139" s="33"/>
      <c r="E2139" s="32"/>
      <c r="F2139" s="32"/>
      <c r="G2139" s="74"/>
      <c r="H2139" s="32"/>
      <c r="I2139" s="32"/>
      <c r="J2139" s="32"/>
      <c r="K2139" s="74"/>
      <c r="L2139" s="75"/>
      <c r="M2139" s="32"/>
      <c r="N2139" s="32"/>
      <c r="O2139" s="73"/>
      <c r="P2139" s="73"/>
      <c r="Q2139" s="73"/>
      <c r="R2139" s="73"/>
      <c r="S2139" s="73"/>
      <c r="T2139" s="73"/>
      <c r="U2139" s="73"/>
      <c r="V2139" s="73"/>
      <c r="W2139" s="73"/>
      <c r="X2139" s="73"/>
      <c r="Y2139" s="73"/>
      <c r="Z2139" s="73"/>
    </row>
    <row r="2140" spans="1:26" ht="12.75" customHeight="1">
      <c r="A2140" s="73"/>
      <c r="B2140" s="32"/>
      <c r="C2140" s="32"/>
      <c r="D2140" s="33"/>
      <c r="E2140" s="32"/>
      <c r="F2140" s="32"/>
      <c r="G2140" s="74"/>
      <c r="H2140" s="32"/>
      <c r="I2140" s="32"/>
      <c r="J2140" s="32"/>
      <c r="K2140" s="74"/>
      <c r="L2140" s="75"/>
      <c r="M2140" s="32"/>
      <c r="N2140" s="32"/>
      <c r="O2140" s="73"/>
      <c r="P2140" s="73"/>
      <c r="Q2140" s="73"/>
      <c r="R2140" s="73"/>
      <c r="S2140" s="73"/>
      <c r="T2140" s="73"/>
      <c r="U2140" s="73"/>
      <c r="V2140" s="73"/>
      <c r="W2140" s="73"/>
      <c r="X2140" s="73"/>
      <c r="Y2140" s="73"/>
      <c r="Z2140" s="73"/>
    </row>
    <row r="2141" spans="1:26" ht="12.75" customHeight="1">
      <c r="A2141" s="73"/>
      <c r="B2141" s="32"/>
      <c r="C2141" s="32"/>
      <c r="D2141" s="33"/>
      <c r="E2141" s="32"/>
      <c r="F2141" s="32"/>
      <c r="G2141" s="74"/>
      <c r="H2141" s="32"/>
      <c r="I2141" s="32"/>
      <c r="J2141" s="32"/>
      <c r="K2141" s="74"/>
      <c r="L2141" s="75"/>
      <c r="M2141" s="32"/>
      <c r="N2141" s="32"/>
      <c r="O2141" s="73"/>
      <c r="P2141" s="73"/>
      <c r="Q2141" s="73"/>
      <c r="R2141" s="73"/>
      <c r="S2141" s="73"/>
      <c r="T2141" s="73"/>
      <c r="U2141" s="73"/>
      <c r="V2141" s="73"/>
      <c r="W2141" s="73"/>
      <c r="X2141" s="73"/>
      <c r="Y2141" s="73"/>
      <c r="Z2141" s="73"/>
    </row>
    <row r="2142" spans="1:26" ht="12.75" customHeight="1">
      <c r="A2142" s="73"/>
      <c r="B2142" s="32"/>
      <c r="C2142" s="32"/>
      <c r="D2142" s="33"/>
      <c r="E2142" s="32"/>
      <c r="F2142" s="32"/>
      <c r="G2142" s="74"/>
      <c r="H2142" s="32"/>
      <c r="I2142" s="32"/>
      <c r="J2142" s="32"/>
      <c r="K2142" s="74"/>
      <c r="L2142" s="75"/>
      <c r="M2142" s="32"/>
      <c r="N2142" s="32"/>
      <c r="O2142" s="73"/>
      <c r="P2142" s="73"/>
      <c r="Q2142" s="73"/>
      <c r="R2142" s="73"/>
      <c r="S2142" s="73"/>
      <c r="T2142" s="73"/>
      <c r="U2142" s="73"/>
      <c r="V2142" s="73"/>
      <c r="W2142" s="73"/>
      <c r="X2142" s="73"/>
      <c r="Y2142" s="73"/>
      <c r="Z2142" s="73"/>
    </row>
    <row r="2143" spans="1:26" ht="12.75" customHeight="1">
      <c r="A2143" s="73"/>
      <c r="B2143" s="32"/>
      <c r="C2143" s="32"/>
      <c r="D2143" s="33"/>
      <c r="E2143" s="32"/>
      <c r="F2143" s="32"/>
      <c r="G2143" s="74"/>
      <c r="H2143" s="32"/>
      <c r="I2143" s="32"/>
      <c r="J2143" s="32"/>
      <c r="K2143" s="74"/>
      <c r="L2143" s="75"/>
      <c r="M2143" s="32"/>
      <c r="N2143" s="32"/>
      <c r="O2143" s="73"/>
      <c r="P2143" s="73"/>
      <c r="Q2143" s="73"/>
      <c r="R2143" s="73"/>
      <c r="S2143" s="73"/>
      <c r="T2143" s="73"/>
      <c r="U2143" s="73"/>
      <c r="V2143" s="73"/>
      <c r="W2143" s="73"/>
      <c r="X2143" s="73"/>
      <c r="Y2143" s="73"/>
      <c r="Z2143" s="73"/>
    </row>
    <row r="2144" spans="1:26" ht="12.75" customHeight="1">
      <c r="A2144" s="73"/>
      <c r="B2144" s="32"/>
      <c r="C2144" s="32"/>
      <c r="D2144" s="33"/>
      <c r="E2144" s="32"/>
      <c r="F2144" s="32"/>
      <c r="G2144" s="74"/>
      <c r="H2144" s="32"/>
      <c r="I2144" s="32"/>
      <c r="J2144" s="32"/>
      <c r="K2144" s="74"/>
      <c r="L2144" s="75"/>
      <c r="M2144" s="32"/>
      <c r="N2144" s="32"/>
      <c r="O2144" s="73"/>
      <c r="P2144" s="73"/>
      <c r="Q2144" s="73"/>
      <c r="R2144" s="73"/>
      <c r="S2144" s="73"/>
      <c r="T2144" s="73"/>
      <c r="U2144" s="73"/>
      <c r="V2144" s="73"/>
      <c r="W2144" s="73"/>
      <c r="X2144" s="73"/>
      <c r="Y2144" s="73"/>
      <c r="Z2144" s="73"/>
    </row>
    <row r="2145" spans="1:26" ht="12.75" customHeight="1">
      <c r="A2145" s="73"/>
      <c r="B2145" s="32"/>
      <c r="C2145" s="32"/>
      <c r="D2145" s="33"/>
      <c r="E2145" s="32"/>
      <c r="F2145" s="32"/>
      <c r="G2145" s="74"/>
      <c r="H2145" s="32"/>
      <c r="I2145" s="32"/>
      <c r="J2145" s="32"/>
      <c r="K2145" s="74"/>
      <c r="L2145" s="75"/>
      <c r="M2145" s="32"/>
      <c r="N2145" s="32"/>
      <c r="O2145" s="73"/>
      <c r="P2145" s="73"/>
      <c r="Q2145" s="73"/>
      <c r="R2145" s="73"/>
      <c r="S2145" s="73"/>
      <c r="T2145" s="73"/>
      <c r="U2145" s="73"/>
      <c r="V2145" s="73"/>
      <c r="W2145" s="73"/>
      <c r="X2145" s="73"/>
      <c r="Y2145" s="73"/>
      <c r="Z2145" s="73"/>
    </row>
    <row r="2146" spans="1:26" ht="12.75" customHeight="1">
      <c r="A2146" s="73"/>
      <c r="B2146" s="32"/>
      <c r="C2146" s="32"/>
      <c r="D2146" s="33"/>
      <c r="E2146" s="32"/>
      <c r="F2146" s="32"/>
      <c r="G2146" s="74"/>
      <c r="H2146" s="32"/>
      <c r="I2146" s="32"/>
      <c r="J2146" s="32"/>
      <c r="K2146" s="74"/>
      <c r="L2146" s="75"/>
      <c r="M2146" s="32"/>
      <c r="N2146" s="32"/>
      <c r="O2146" s="73"/>
      <c r="P2146" s="73"/>
      <c r="Q2146" s="73"/>
      <c r="R2146" s="73"/>
      <c r="S2146" s="73"/>
      <c r="T2146" s="73"/>
      <c r="U2146" s="73"/>
      <c r="V2146" s="73"/>
      <c r="W2146" s="73"/>
      <c r="X2146" s="73"/>
      <c r="Y2146" s="73"/>
      <c r="Z2146" s="73"/>
    </row>
    <row r="2147" spans="1:26" ht="12.75" customHeight="1">
      <c r="A2147" s="73"/>
      <c r="B2147" s="32"/>
      <c r="C2147" s="32"/>
      <c r="D2147" s="33"/>
      <c r="E2147" s="32"/>
      <c r="F2147" s="32"/>
      <c r="G2147" s="74"/>
      <c r="H2147" s="32"/>
      <c r="I2147" s="32"/>
      <c r="J2147" s="32"/>
      <c r="K2147" s="74"/>
      <c r="L2147" s="75"/>
      <c r="M2147" s="32"/>
      <c r="N2147" s="32"/>
      <c r="O2147" s="73"/>
      <c r="P2147" s="73"/>
      <c r="Q2147" s="73"/>
      <c r="R2147" s="73"/>
      <c r="S2147" s="73"/>
      <c r="T2147" s="73"/>
      <c r="U2147" s="73"/>
      <c r="V2147" s="73"/>
      <c r="W2147" s="73"/>
      <c r="X2147" s="73"/>
      <c r="Y2147" s="73"/>
      <c r="Z2147" s="73"/>
    </row>
    <row r="2148" spans="1:26" ht="12.75" customHeight="1">
      <c r="A2148" s="73"/>
      <c r="B2148" s="32"/>
      <c r="C2148" s="32"/>
      <c r="D2148" s="33"/>
      <c r="E2148" s="32"/>
      <c r="F2148" s="32"/>
      <c r="G2148" s="74"/>
      <c r="H2148" s="32"/>
      <c r="I2148" s="32"/>
      <c r="J2148" s="32"/>
      <c r="K2148" s="74"/>
      <c r="L2148" s="75"/>
      <c r="M2148" s="32"/>
      <c r="N2148" s="32"/>
      <c r="O2148" s="73"/>
      <c r="P2148" s="73"/>
      <c r="Q2148" s="73"/>
      <c r="R2148" s="73"/>
      <c r="S2148" s="73"/>
      <c r="T2148" s="73"/>
      <c r="U2148" s="73"/>
      <c r="V2148" s="73"/>
      <c r="W2148" s="73"/>
      <c r="X2148" s="73"/>
      <c r="Y2148" s="73"/>
      <c r="Z2148" s="73"/>
    </row>
    <row r="2149" spans="1:26" ht="12.75" customHeight="1">
      <c r="A2149" s="73"/>
      <c r="B2149" s="32"/>
      <c r="C2149" s="32"/>
      <c r="D2149" s="33"/>
      <c r="E2149" s="32"/>
      <c r="F2149" s="32"/>
      <c r="G2149" s="74"/>
      <c r="H2149" s="32"/>
      <c r="I2149" s="32"/>
      <c r="J2149" s="32"/>
      <c r="K2149" s="74"/>
      <c r="L2149" s="75"/>
      <c r="M2149" s="32"/>
      <c r="N2149" s="32"/>
      <c r="O2149" s="73"/>
      <c r="P2149" s="73"/>
      <c r="Q2149" s="73"/>
      <c r="R2149" s="73"/>
      <c r="S2149" s="73"/>
      <c r="T2149" s="73"/>
      <c r="U2149" s="73"/>
      <c r="V2149" s="73"/>
      <c r="W2149" s="73"/>
      <c r="X2149" s="73"/>
      <c r="Y2149" s="73"/>
      <c r="Z2149" s="73"/>
    </row>
    <row r="2150" spans="1:26" ht="12.75" customHeight="1">
      <c r="A2150" s="73"/>
      <c r="B2150" s="32"/>
      <c r="C2150" s="32"/>
      <c r="D2150" s="33"/>
      <c r="E2150" s="32"/>
      <c r="F2150" s="32"/>
      <c r="G2150" s="74"/>
      <c r="H2150" s="32"/>
      <c r="I2150" s="32"/>
      <c r="J2150" s="32"/>
      <c r="K2150" s="74"/>
      <c r="L2150" s="75"/>
      <c r="M2150" s="32"/>
      <c r="N2150" s="32"/>
      <c r="O2150" s="73"/>
      <c r="P2150" s="73"/>
      <c r="Q2150" s="73"/>
      <c r="R2150" s="73"/>
      <c r="S2150" s="73"/>
      <c r="T2150" s="73"/>
      <c r="U2150" s="73"/>
      <c r="V2150" s="73"/>
      <c r="W2150" s="73"/>
      <c r="X2150" s="73"/>
      <c r="Y2150" s="73"/>
      <c r="Z2150" s="73"/>
    </row>
    <row r="2151" spans="1:26" ht="12.75" customHeight="1">
      <c r="A2151" s="73"/>
      <c r="B2151" s="32"/>
      <c r="C2151" s="32"/>
      <c r="D2151" s="33"/>
      <c r="E2151" s="32"/>
      <c r="F2151" s="32"/>
      <c r="G2151" s="74"/>
      <c r="H2151" s="32"/>
      <c r="I2151" s="32"/>
      <c r="J2151" s="32"/>
      <c r="K2151" s="74"/>
      <c r="L2151" s="75"/>
      <c r="M2151" s="32"/>
      <c r="N2151" s="32"/>
      <c r="O2151" s="73"/>
      <c r="P2151" s="73"/>
      <c r="Q2151" s="73"/>
      <c r="R2151" s="73"/>
      <c r="S2151" s="73"/>
      <c r="T2151" s="73"/>
      <c r="U2151" s="73"/>
      <c r="V2151" s="73"/>
      <c r="W2151" s="73"/>
      <c r="X2151" s="73"/>
      <c r="Y2151" s="73"/>
      <c r="Z2151" s="73"/>
    </row>
    <row r="2152" spans="1:26" ht="12.75" customHeight="1">
      <c r="A2152" s="73"/>
      <c r="B2152" s="32"/>
      <c r="C2152" s="32"/>
      <c r="D2152" s="33"/>
      <c r="E2152" s="32"/>
      <c r="F2152" s="32"/>
      <c r="G2152" s="74"/>
      <c r="H2152" s="32"/>
      <c r="I2152" s="32"/>
      <c r="J2152" s="32"/>
      <c r="K2152" s="74"/>
      <c r="L2152" s="75"/>
      <c r="M2152" s="32"/>
      <c r="N2152" s="32"/>
      <c r="O2152" s="73"/>
      <c r="P2152" s="73"/>
      <c r="Q2152" s="73"/>
      <c r="R2152" s="73"/>
      <c r="S2152" s="73"/>
      <c r="T2152" s="73"/>
      <c r="U2152" s="73"/>
      <c r="V2152" s="73"/>
      <c r="W2152" s="73"/>
      <c r="X2152" s="73"/>
      <c r="Y2152" s="73"/>
      <c r="Z2152" s="73"/>
    </row>
    <row r="2153" spans="1:26" ht="12.75" customHeight="1">
      <c r="A2153" s="73"/>
      <c r="B2153" s="32"/>
      <c r="C2153" s="32"/>
      <c r="D2153" s="33"/>
      <c r="E2153" s="32"/>
      <c r="F2153" s="32"/>
      <c r="G2153" s="74"/>
      <c r="H2153" s="32"/>
      <c r="I2153" s="32"/>
      <c r="J2153" s="32"/>
      <c r="K2153" s="74"/>
      <c r="L2153" s="75"/>
      <c r="M2153" s="32"/>
      <c r="N2153" s="32"/>
      <c r="O2153" s="73"/>
      <c r="P2153" s="73"/>
      <c r="Q2153" s="73"/>
      <c r="R2153" s="73"/>
      <c r="S2153" s="73"/>
      <c r="T2153" s="73"/>
      <c r="U2153" s="73"/>
      <c r="V2153" s="73"/>
      <c r="W2153" s="73"/>
      <c r="X2153" s="73"/>
      <c r="Y2153" s="73"/>
      <c r="Z2153" s="73"/>
    </row>
    <row r="2154" spans="1:26" ht="12.75" customHeight="1">
      <c r="A2154" s="73"/>
      <c r="B2154" s="32"/>
      <c r="C2154" s="32"/>
      <c r="D2154" s="33"/>
      <c r="E2154" s="32"/>
      <c r="F2154" s="32"/>
      <c r="G2154" s="74"/>
      <c r="H2154" s="32"/>
      <c r="I2154" s="32"/>
      <c r="J2154" s="32"/>
      <c r="K2154" s="74"/>
      <c r="L2154" s="75"/>
      <c r="M2154" s="32"/>
      <c r="N2154" s="32"/>
      <c r="O2154" s="73"/>
      <c r="P2154" s="73"/>
      <c r="Q2154" s="73"/>
      <c r="R2154" s="73"/>
      <c r="S2154" s="73"/>
      <c r="T2154" s="73"/>
      <c r="U2154" s="73"/>
      <c r="V2154" s="73"/>
      <c r="W2154" s="73"/>
      <c r="X2154" s="73"/>
      <c r="Y2154" s="73"/>
      <c r="Z2154" s="73"/>
    </row>
    <row r="2155" spans="1:26" ht="12.75" customHeight="1">
      <c r="A2155" s="73"/>
      <c r="B2155" s="32"/>
      <c r="C2155" s="32"/>
      <c r="D2155" s="33"/>
      <c r="E2155" s="32"/>
      <c r="F2155" s="32"/>
      <c r="G2155" s="74"/>
      <c r="H2155" s="32"/>
      <c r="I2155" s="32"/>
      <c r="J2155" s="32"/>
      <c r="K2155" s="74"/>
      <c r="L2155" s="75"/>
      <c r="M2155" s="32"/>
      <c r="N2155" s="32"/>
      <c r="O2155" s="73"/>
      <c r="P2155" s="73"/>
      <c r="Q2155" s="73"/>
      <c r="R2155" s="73"/>
      <c r="S2155" s="73"/>
      <c r="T2155" s="73"/>
      <c r="U2155" s="73"/>
      <c r="V2155" s="73"/>
      <c r="W2155" s="73"/>
      <c r="X2155" s="73"/>
      <c r="Y2155" s="73"/>
      <c r="Z2155" s="73"/>
    </row>
    <row r="2156" spans="1:26" ht="12.75" customHeight="1">
      <c r="A2156" s="73"/>
      <c r="B2156" s="32"/>
      <c r="C2156" s="32"/>
      <c r="D2156" s="33"/>
      <c r="E2156" s="32"/>
      <c r="F2156" s="32"/>
      <c r="G2156" s="74"/>
      <c r="H2156" s="32"/>
      <c r="I2156" s="32"/>
      <c r="J2156" s="32"/>
      <c r="K2156" s="74"/>
      <c r="L2156" s="75"/>
      <c r="M2156" s="32"/>
      <c r="N2156" s="32"/>
      <c r="O2156" s="73"/>
      <c r="P2156" s="73"/>
      <c r="Q2156" s="73"/>
      <c r="R2156" s="73"/>
      <c r="S2156" s="73"/>
      <c r="T2156" s="73"/>
      <c r="U2156" s="73"/>
      <c r="V2156" s="73"/>
      <c r="W2156" s="73"/>
      <c r="X2156" s="73"/>
      <c r="Y2156" s="73"/>
      <c r="Z2156" s="73"/>
    </row>
    <row r="2157" spans="1:26" ht="12.75" customHeight="1">
      <c r="A2157" s="73"/>
      <c r="B2157" s="32"/>
      <c r="C2157" s="32"/>
      <c r="D2157" s="33"/>
      <c r="E2157" s="32"/>
      <c r="F2157" s="32"/>
      <c r="G2157" s="74"/>
      <c r="H2157" s="32"/>
      <c r="I2157" s="32"/>
      <c r="J2157" s="32"/>
      <c r="K2157" s="74"/>
      <c r="L2157" s="75"/>
      <c r="M2157" s="32"/>
      <c r="N2157" s="32"/>
      <c r="O2157" s="73"/>
      <c r="P2157" s="73"/>
      <c r="Q2157" s="73"/>
      <c r="R2157" s="73"/>
      <c r="S2157" s="73"/>
      <c r="T2157" s="73"/>
      <c r="U2157" s="73"/>
      <c r="V2157" s="73"/>
      <c r="W2157" s="73"/>
      <c r="X2157" s="73"/>
      <c r="Y2157" s="73"/>
      <c r="Z2157" s="73"/>
    </row>
    <row r="2158" spans="1:26" ht="12.75" customHeight="1">
      <c r="A2158" s="73"/>
      <c r="B2158" s="32"/>
      <c r="C2158" s="32"/>
      <c r="D2158" s="33"/>
      <c r="E2158" s="32"/>
      <c r="F2158" s="32"/>
      <c r="G2158" s="74"/>
      <c r="H2158" s="32"/>
      <c r="I2158" s="32"/>
      <c r="J2158" s="32"/>
      <c r="K2158" s="74"/>
      <c r="L2158" s="75"/>
      <c r="M2158" s="32"/>
      <c r="N2158" s="32"/>
      <c r="O2158" s="73"/>
      <c r="P2158" s="73"/>
      <c r="Q2158" s="73"/>
      <c r="R2158" s="73"/>
      <c r="S2158" s="73"/>
      <c r="T2158" s="73"/>
      <c r="U2158" s="73"/>
      <c r="V2158" s="73"/>
      <c r="W2158" s="73"/>
      <c r="X2158" s="73"/>
      <c r="Y2158" s="73"/>
      <c r="Z2158" s="73"/>
    </row>
    <row r="2159" spans="1:26" ht="12.75" customHeight="1">
      <c r="A2159" s="73"/>
      <c r="B2159" s="32"/>
      <c r="C2159" s="32"/>
      <c r="D2159" s="33"/>
      <c r="E2159" s="32"/>
      <c r="F2159" s="32"/>
      <c r="G2159" s="74"/>
      <c r="H2159" s="32"/>
      <c r="I2159" s="32"/>
      <c r="J2159" s="32"/>
      <c r="K2159" s="74"/>
      <c r="L2159" s="75"/>
      <c r="M2159" s="32"/>
      <c r="N2159" s="32"/>
      <c r="O2159" s="73"/>
      <c r="P2159" s="73"/>
      <c r="Q2159" s="73"/>
      <c r="R2159" s="73"/>
      <c r="S2159" s="73"/>
      <c r="T2159" s="73"/>
      <c r="U2159" s="73"/>
      <c r="V2159" s="73"/>
      <c r="W2159" s="73"/>
      <c r="X2159" s="73"/>
      <c r="Y2159" s="73"/>
      <c r="Z2159" s="73"/>
    </row>
    <row r="2160" spans="1:26" ht="12.75" customHeight="1">
      <c r="A2160" s="73"/>
      <c r="B2160" s="32"/>
      <c r="C2160" s="32"/>
      <c r="D2160" s="33"/>
      <c r="E2160" s="32"/>
      <c r="F2160" s="32"/>
      <c r="G2160" s="74"/>
      <c r="H2160" s="32"/>
      <c r="I2160" s="32"/>
      <c r="J2160" s="32"/>
      <c r="K2160" s="74"/>
      <c r="L2160" s="75"/>
      <c r="M2160" s="32"/>
      <c r="N2160" s="32"/>
      <c r="O2160" s="73"/>
      <c r="P2160" s="73"/>
      <c r="Q2160" s="73"/>
      <c r="R2160" s="73"/>
      <c r="S2160" s="73"/>
      <c r="T2160" s="73"/>
      <c r="U2160" s="73"/>
      <c r="V2160" s="73"/>
      <c r="W2160" s="73"/>
      <c r="X2160" s="73"/>
      <c r="Y2160" s="73"/>
      <c r="Z2160" s="73"/>
    </row>
    <row r="2161" spans="1:26" ht="12.75" customHeight="1">
      <c r="A2161" s="73"/>
      <c r="B2161" s="32"/>
      <c r="C2161" s="32"/>
      <c r="D2161" s="33"/>
      <c r="E2161" s="32"/>
      <c r="F2161" s="32"/>
      <c r="G2161" s="74"/>
      <c r="H2161" s="32"/>
      <c r="I2161" s="32"/>
      <c r="J2161" s="32"/>
      <c r="K2161" s="74"/>
      <c r="L2161" s="75"/>
      <c r="M2161" s="32"/>
      <c r="N2161" s="32"/>
      <c r="O2161" s="73"/>
      <c r="P2161" s="73"/>
      <c r="Q2161" s="73"/>
      <c r="R2161" s="73"/>
      <c r="S2161" s="73"/>
      <c r="T2161" s="73"/>
      <c r="U2161" s="73"/>
      <c r="V2161" s="73"/>
      <c r="W2161" s="73"/>
      <c r="X2161" s="73"/>
      <c r="Y2161" s="73"/>
      <c r="Z2161" s="73"/>
    </row>
    <row r="2162" spans="1:26" ht="12.75" customHeight="1">
      <c r="A2162" s="73"/>
      <c r="B2162" s="32"/>
      <c r="C2162" s="32"/>
      <c r="D2162" s="33"/>
      <c r="E2162" s="32"/>
      <c r="F2162" s="32"/>
      <c r="G2162" s="74"/>
      <c r="H2162" s="32"/>
      <c r="I2162" s="32"/>
      <c r="J2162" s="32"/>
      <c r="K2162" s="74"/>
      <c r="L2162" s="75"/>
      <c r="M2162" s="32"/>
      <c r="N2162" s="32"/>
      <c r="O2162" s="73"/>
      <c r="P2162" s="73"/>
      <c r="Q2162" s="73"/>
      <c r="R2162" s="73"/>
      <c r="S2162" s="73"/>
      <c r="T2162" s="73"/>
      <c r="U2162" s="73"/>
      <c r="V2162" s="73"/>
      <c r="W2162" s="73"/>
      <c r="X2162" s="73"/>
      <c r="Y2162" s="73"/>
      <c r="Z2162" s="73"/>
    </row>
    <row r="2163" spans="1:26" ht="12.75" customHeight="1">
      <c r="A2163" s="73"/>
      <c r="B2163" s="32"/>
      <c r="C2163" s="32"/>
      <c r="D2163" s="33"/>
      <c r="E2163" s="32"/>
      <c r="F2163" s="32"/>
      <c r="G2163" s="74"/>
      <c r="H2163" s="32"/>
      <c r="I2163" s="32"/>
      <c r="J2163" s="32"/>
      <c r="K2163" s="74"/>
      <c r="L2163" s="75"/>
      <c r="M2163" s="32"/>
      <c r="N2163" s="32"/>
      <c r="O2163" s="73"/>
      <c r="P2163" s="73"/>
      <c r="Q2163" s="73"/>
      <c r="R2163" s="73"/>
      <c r="S2163" s="73"/>
      <c r="T2163" s="73"/>
      <c r="U2163" s="73"/>
      <c r="V2163" s="73"/>
      <c r="W2163" s="73"/>
      <c r="X2163" s="73"/>
      <c r="Y2163" s="73"/>
      <c r="Z2163" s="73"/>
    </row>
    <row r="2164" spans="1:26" ht="12.75" customHeight="1">
      <c r="A2164" s="73"/>
      <c r="B2164" s="32"/>
      <c r="C2164" s="32"/>
      <c r="D2164" s="33"/>
      <c r="E2164" s="32"/>
      <c r="F2164" s="32"/>
      <c r="G2164" s="74"/>
      <c r="H2164" s="32"/>
      <c r="I2164" s="32"/>
      <c r="J2164" s="32"/>
      <c r="K2164" s="74"/>
      <c r="L2164" s="75"/>
      <c r="M2164" s="32"/>
      <c r="N2164" s="32"/>
      <c r="O2164" s="73"/>
      <c r="P2164" s="73"/>
      <c r="Q2164" s="73"/>
      <c r="R2164" s="73"/>
      <c r="S2164" s="73"/>
      <c r="T2164" s="73"/>
      <c r="U2164" s="73"/>
      <c r="V2164" s="73"/>
      <c r="W2164" s="73"/>
      <c r="X2164" s="73"/>
      <c r="Y2164" s="73"/>
      <c r="Z2164" s="73"/>
    </row>
    <row r="2165" spans="1:26" ht="12.75" customHeight="1">
      <c r="A2165" s="73"/>
      <c r="B2165" s="32"/>
      <c r="C2165" s="32"/>
      <c r="D2165" s="33"/>
      <c r="E2165" s="32"/>
      <c r="F2165" s="32"/>
      <c r="G2165" s="74"/>
      <c r="H2165" s="32"/>
      <c r="I2165" s="32"/>
      <c r="J2165" s="32"/>
      <c r="K2165" s="74"/>
      <c r="L2165" s="75"/>
      <c r="M2165" s="32"/>
      <c r="N2165" s="32"/>
      <c r="O2165" s="73"/>
      <c r="P2165" s="73"/>
      <c r="Q2165" s="73"/>
      <c r="R2165" s="73"/>
      <c r="S2165" s="73"/>
      <c r="T2165" s="73"/>
      <c r="U2165" s="73"/>
      <c r="V2165" s="73"/>
      <c r="W2165" s="73"/>
      <c r="X2165" s="73"/>
      <c r="Y2165" s="73"/>
      <c r="Z2165" s="73"/>
    </row>
    <row r="2166" spans="1:26" ht="12.75" customHeight="1">
      <c r="A2166" s="73"/>
      <c r="B2166" s="32"/>
      <c r="C2166" s="32"/>
      <c r="D2166" s="33"/>
      <c r="E2166" s="32"/>
      <c r="F2166" s="32"/>
      <c r="G2166" s="74"/>
      <c r="H2166" s="32"/>
      <c r="I2166" s="32"/>
      <c r="J2166" s="32"/>
      <c r="K2166" s="74"/>
      <c r="L2166" s="75"/>
      <c r="M2166" s="32"/>
      <c r="N2166" s="32"/>
      <c r="O2166" s="73"/>
      <c r="P2166" s="73"/>
      <c r="Q2166" s="73"/>
      <c r="R2166" s="73"/>
      <c r="S2166" s="73"/>
      <c r="T2166" s="73"/>
      <c r="U2166" s="73"/>
      <c r="V2166" s="73"/>
      <c r="W2166" s="73"/>
      <c r="X2166" s="73"/>
      <c r="Y2166" s="73"/>
      <c r="Z2166" s="73"/>
    </row>
    <row r="2167" spans="1:26" ht="12.75" customHeight="1">
      <c r="A2167" s="73"/>
      <c r="B2167" s="32"/>
      <c r="C2167" s="32"/>
      <c r="D2167" s="33"/>
      <c r="E2167" s="32"/>
      <c r="F2167" s="32"/>
      <c r="G2167" s="74"/>
      <c r="H2167" s="32"/>
      <c r="I2167" s="32"/>
      <c r="J2167" s="32"/>
      <c r="K2167" s="74"/>
      <c r="L2167" s="75"/>
      <c r="M2167" s="32"/>
      <c r="N2167" s="32"/>
      <c r="O2167" s="73"/>
      <c r="P2167" s="73"/>
      <c r="Q2167" s="73"/>
      <c r="R2167" s="73"/>
      <c r="S2167" s="73"/>
      <c r="T2167" s="73"/>
      <c r="U2167" s="73"/>
      <c r="V2167" s="73"/>
      <c r="W2167" s="73"/>
      <c r="X2167" s="73"/>
      <c r="Y2167" s="73"/>
      <c r="Z2167" s="73"/>
    </row>
    <row r="2168" spans="1:26" ht="12.75" customHeight="1">
      <c r="A2168" s="73"/>
      <c r="B2168" s="32"/>
      <c r="C2168" s="32"/>
      <c r="D2168" s="33"/>
      <c r="E2168" s="32"/>
      <c r="F2168" s="32"/>
      <c r="G2168" s="74"/>
      <c r="H2168" s="32"/>
      <c r="I2168" s="32"/>
      <c r="J2168" s="32"/>
      <c r="K2168" s="74"/>
      <c r="L2168" s="75"/>
      <c r="M2168" s="32"/>
      <c r="N2168" s="32"/>
      <c r="O2168" s="73"/>
      <c r="P2168" s="73"/>
      <c r="Q2168" s="73"/>
      <c r="R2168" s="73"/>
      <c r="S2168" s="73"/>
      <c r="T2168" s="73"/>
      <c r="U2168" s="73"/>
      <c r="V2168" s="73"/>
      <c r="W2168" s="73"/>
      <c r="X2168" s="73"/>
      <c r="Y2168" s="73"/>
      <c r="Z2168" s="73"/>
    </row>
    <row r="2169" spans="1:26" ht="12.75" customHeight="1">
      <c r="A2169" s="73"/>
      <c r="B2169" s="32"/>
      <c r="C2169" s="32"/>
      <c r="D2169" s="33"/>
      <c r="E2169" s="32"/>
      <c r="F2169" s="32"/>
      <c r="G2169" s="74"/>
      <c r="H2169" s="32"/>
      <c r="I2169" s="32"/>
      <c r="J2169" s="32"/>
      <c r="K2169" s="74"/>
      <c r="L2169" s="75"/>
      <c r="M2169" s="32"/>
      <c r="N2169" s="32"/>
      <c r="O2169" s="73"/>
      <c r="P2169" s="73"/>
      <c r="Q2169" s="73"/>
      <c r="R2169" s="73"/>
      <c r="S2169" s="73"/>
      <c r="T2169" s="73"/>
      <c r="U2169" s="73"/>
      <c r="V2169" s="73"/>
      <c r="W2169" s="73"/>
      <c r="X2169" s="73"/>
      <c r="Y2169" s="73"/>
      <c r="Z2169" s="73"/>
    </row>
    <row r="2170" spans="1:26" ht="12.75" customHeight="1">
      <c r="A2170" s="73"/>
      <c r="B2170" s="32"/>
      <c r="C2170" s="32"/>
      <c r="D2170" s="33"/>
      <c r="E2170" s="32"/>
      <c r="F2170" s="32"/>
      <c r="G2170" s="74"/>
      <c r="H2170" s="32"/>
      <c r="I2170" s="32"/>
      <c r="J2170" s="32"/>
      <c r="K2170" s="74"/>
      <c r="L2170" s="75"/>
      <c r="M2170" s="32"/>
      <c r="N2170" s="32"/>
      <c r="O2170" s="73"/>
      <c r="P2170" s="73"/>
      <c r="Q2170" s="73"/>
      <c r="R2170" s="73"/>
      <c r="S2170" s="73"/>
      <c r="T2170" s="73"/>
      <c r="U2170" s="73"/>
      <c r="V2170" s="73"/>
      <c r="W2170" s="73"/>
      <c r="X2170" s="73"/>
      <c r="Y2170" s="73"/>
      <c r="Z2170" s="73"/>
    </row>
    <row r="2171" spans="1:26" ht="12.75" customHeight="1">
      <c r="A2171" s="73"/>
      <c r="B2171" s="32"/>
      <c r="C2171" s="32"/>
      <c r="D2171" s="33"/>
      <c r="E2171" s="32"/>
      <c r="F2171" s="32"/>
      <c r="G2171" s="74"/>
      <c r="H2171" s="32"/>
      <c r="I2171" s="32"/>
      <c r="J2171" s="32"/>
      <c r="K2171" s="74"/>
      <c r="L2171" s="75"/>
      <c r="M2171" s="32"/>
      <c r="N2171" s="32"/>
      <c r="O2171" s="73"/>
      <c r="P2171" s="73"/>
      <c r="Q2171" s="73"/>
      <c r="R2171" s="73"/>
      <c r="S2171" s="73"/>
      <c r="T2171" s="73"/>
      <c r="U2171" s="73"/>
      <c r="V2171" s="73"/>
      <c r="W2171" s="73"/>
      <c r="X2171" s="73"/>
      <c r="Y2171" s="73"/>
      <c r="Z2171" s="73"/>
    </row>
    <row r="2172" spans="1:26" ht="12.75" customHeight="1">
      <c r="A2172" s="73"/>
      <c r="B2172" s="32"/>
      <c r="C2172" s="32"/>
      <c r="D2172" s="33"/>
      <c r="E2172" s="32"/>
      <c r="F2172" s="32"/>
      <c r="G2172" s="74"/>
      <c r="H2172" s="32"/>
      <c r="I2172" s="32"/>
      <c r="J2172" s="32"/>
      <c r="K2172" s="74"/>
      <c r="L2172" s="75"/>
      <c r="M2172" s="32"/>
      <c r="N2172" s="32"/>
      <c r="O2172" s="73"/>
      <c r="P2172" s="73"/>
      <c r="Q2172" s="73"/>
      <c r="R2172" s="73"/>
      <c r="S2172" s="73"/>
      <c r="T2172" s="73"/>
      <c r="U2172" s="73"/>
      <c r="V2172" s="73"/>
      <c r="W2172" s="73"/>
      <c r="X2172" s="73"/>
      <c r="Y2172" s="73"/>
      <c r="Z2172" s="73"/>
    </row>
    <row r="2173" spans="1:26" ht="12.75" customHeight="1">
      <c r="A2173" s="73"/>
      <c r="B2173" s="32"/>
      <c r="C2173" s="32"/>
      <c r="D2173" s="33"/>
      <c r="E2173" s="32"/>
      <c r="F2173" s="32"/>
      <c r="G2173" s="74"/>
      <c r="H2173" s="32"/>
      <c r="I2173" s="32"/>
      <c r="J2173" s="32"/>
      <c r="K2173" s="74"/>
      <c r="L2173" s="75"/>
      <c r="M2173" s="32"/>
      <c r="N2173" s="32"/>
      <c r="O2173" s="73"/>
      <c r="P2173" s="73"/>
      <c r="Q2173" s="73"/>
      <c r="R2173" s="73"/>
      <c r="S2173" s="73"/>
      <c r="T2173" s="73"/>
      <c r="U2173" s="73"/>
      <c r="V2173" s="73"/>
      <c r="W2173" s="73"/>
      <c r="X2173" s="73"/>
      <c r="Y2173" s="73"/>
      <c r="Z2173" s="73"/>
    </row>
    <row r="2174" spans="1:26" ht="12.75" customHeight="1">
      <c r="A2174" s="73"/>
      <c r="B2174" s="32"/>
      <c r="C2174" s="32"/>
      <c r="D2174" s="33"/>
      <c r="E2174" s="32"/>
      <c r="F2174" s="32"/>
      <c r="G2174" s="74"/>
      <c r="H2174" s="32"/>
      <c r="I2174" s="32"/>
      <c r="J2174" s="32"/>
      <c r="K2174" s="74"/>
      <c r="L2174" s="75"/>
      <c r="M2174" s="32"/>
      <c r="N2174" s="32"/>
      <c r="O2174" s="73"/>
      <c r="P2174" s="73"/>
      <c r="Q2174" s="73"/>
      <c r="R2174" s="73"/>
      <c r="S2174" s="73"/>
      <c r="T2174" s="73"/>
      <c r="U2174" s="73"/>
      <c r="V2174" s="73"/>
      <c r="W2174" s="73"/>
      <c r="X2174" s="73"/>
      <c r="Y2174" s="73"/>
      <c r="Z2174" s="73"/>
    </row>
    <row r="2175" spans="1:26" ht="12.75" customHeight="1">
      <c r="A2175" s="73"/>
      <c r="B2175" s="32"/>
      <c r="C2175" s="32"/>
      <c r="D2175" s="33"/>
      <c r="E2175" s="32"/>
      <c r="F2175" s="32"/>
      <c r="G2175" s="74"/>
      <c r="H2175" s="32"/>
      <c r="I2175" s="32"/>
      <c r="J2175" s="32"/>
      <c r="K2175" s="74"/>
      <c r="L2175" s="75"/>
      <c r="M2175" s="32"/>
      <c r="N2175" s="32"/>
      <c r="O2175" s="73"/>
      <c r="P2175" s="73"/>
      <c r="Q2175" s="73"/>
      <c r="R2175" s="73"/>
      <c r="S2175" s="73"/>
      <c r="T2175" s="73"/>
      <c r="U2175" s="73"/>
      <c r="V2175" s="73"/>
      <c r="W2175" s="73"/>
      <c r="X2175" s="73"/>
      <c r="Y2175" s="73"/>
      <c r="Z2175" s="73"/>
    </row>
    <row r="2176" spans="1:26" ht="12.75" customHeight="1">
      <c r="A2176" s="73"/>
      <c r="B2176" s="32"/>
      <c r="C2176" s="32"/>
      <c r="D2176" s="33"/>
      <c r="E2176" s="32"/>
      <c r="F2176" s="32"/>
      <c r="G2176" s="74"/>
      <c r="H2176" s="32"/>
      <c r="I2176" s="32"/>
      <c r="J2176" s="32"/>
      <c r="K2176" s="74"/>
      <c r="L2176" s="75"/>
      <c r="M2176" s="32"/>
      <c r="N2176" s="32"/>
      <c r="O2176" s="73"/>
      <c r="P2176" s="73"/>
      <c r="Q2176" s="73"/>
      <c r="R2176" s="73"/>
      <c r="S2176" s="73"/>
      <c r="T2176" s="73"/>
      <c r="U2176" s="73"/>
      <c r="V2176" s="73"/>
      <c r="W2176" s="73"/>
      <c r="X2176" s="73"/>
      <c r="Y2176" s="73"/>
      <c r="Z2176" s="73"/>
    </row>
    <row r="2177" spans="1:26" ht="12.75" customHeight="1">
      <c r="A2177" s="73"/>
      <c r="B2177" s="32"/>
      <c r="C2177" s="32"/>
      <c r="D2177" s="33"/>
      <c r="E2177" s="32"/>
      <c r="F2177" s="32"/>
      <c r="G2177" s="74"/>
      <c r="H2177" s="32"/>
      <c r="I2177" s="32"/>
      <c r="J2177" s="32"/>
      <c r="K2177" s="74"/>
      <c r="L2177" s="75"/>
      <c r="M2177" s="32"/>
      <c r="N2177" s="32"/>
      <c r="O2177" s="73"/>
      <c r="P2177" s="73"/>
      <c r="Q2177" s="73"/>
      <c r="R2177" s="73"/>
      <c r="S2177" s="73"/>
      <c r="T2177" s="73"/>
      <c r="U2177" s="73"/>
      <c r="V2177" s="73"/>
      <c r="W2177" s="73"/>
      <c r="X2177" s="73"/>
      <c r="Y2177" s="73"/>
      <c r="Z2177" s="73"/>
    </row>
    <row r="2178" spans="1:26" ht="12.75" customHeight="1">
      <c r="A2178" s="73"/>
      <c r="B2178" s="32"/>
      <c r="C2178" s="32"/>
      <c r="D2178" s="33"/>
      <c r="E2178" s="32"/>
      <c r="F2178" s="32"/>
      <c r="G2178" s="74"/>
      <c r="H2178" s="32"/>
      <c r="I2178" s="32"/>
      <c r="J2178" s="32"/>
      <c r="K2178" s="74"/>
      <c r="L2178" s="75"/>
      <c r="M2178" s="32"/>
      <c r="N2178" s="32"/>
      <c r="O2178" s="73"/>
      <c r="P2178" s="73"/>
      <c r="Q2178" s="73"/>
      <c r="R2178" s="73"/>
      <c r="S2178" s="73"/>
      <c r="T2178" s="73"/>
      <c r="U2178" s="73"/>
      <c r="V2178" s="73"/>
      <c r="W2178" s="73"/>
      <c r="X2178" s="73"/>
      <c r="Y2178" s="73"/>
      <c r="Z2178" s="73"/>
    </row>
    <row r="2179" spans="1:26" ht="12.75" customHeight="1">
      <c r="A2179" s="73"/>
      <c r="B2179" s="32"/>
      <c r="C2179" s="32"/>
      <c r="D2179" s="33"/>
      <c r="E2179" s="32"/>
      <c r="F2179" s="32"/>
      <c r="G2179" s="74"/>
      <c r="H2179" s="32"/>
      <c r="I2179" s="32"/>
      <c r="J2179" s="32"/>
      <c r="K2179" s="74"/>
      <c r="L2179" s="75"/>
      <c r="M2179" s="32"/>
      <c r="N2179" s="32"/>
      <c r="O2179" s="73"/>
      <c r="P2179" s="73"/>
      <c r="Q2179" s="73"/>
      <c r="R2179" s="73"/>
      <c r="S2179" s="73"/>
      <c r="T2179" s="73"/>
      <c r="U2179" s="73"/>
      <c r="V2179" s="73"/>
      <c r="W2179" s="73"/>
      <c r="X2179" s="73"/>
      <c r="Y2179" s="73"/>
      <c r="Z2179" s="73"/>
    </row>
    <row r="2180" spans="1:26" ht="12.75" customHeight="1">
      <c r="A2180" s="73"/>
      <c r="B2180" s="32"/>
      <c r="C2180" s="32"/>
      <c r="D2180" s="33"/>
      <c r="E2180" s="32"/>
      <c r="F2180" s="32"/>
      <c r="G2180" s="74"/>
      <c r="H2180" s="32"/>
      <c r="I2180" s="32"/>
      <c r="J2180" s="32"/>
      <c r="K2180" s="74"/>
      <c r="L2180" s="75"/>
      <c r="M2180" s="32"/>
      <c r="N2180" s="32"/>
      <c r="O2180" s="73"/>
      <c r="P2180" s="73"/>
      <c r="Q2180" s="73"/>
      <c r="R2180" s="73"/>
      <c r="S2180" s="73"/>
      <c r="T2180" s="73"/>
      <c r="U2180" s="73"/>
      <c r="V2180" s="73"/>
      <c r="W2180" s="73"/>
      <c r="X2180" s="73"/>
      <c r="Y2180" s="73"/>
      <c r="Z2180" s="73"/>
    </row>
    <row r="2181" spans="1:26" ht="12.75" customHeight="1">
      <c r="A2181" s="73"/>
      <c r="B2181" s="32"/>
      <c r="C2181" s="32"/>
      <c r="D2181" s="33"/>
      <c r="E2181" s="32"/>
      <c r="F2181" s="32"/>
      <c r="G2181" s="74"/>
      <c r="H2181" s="32"/>
      <c r="I2181" s="32"/>
      <c r="J2181" s="32"/>
      <c r="K2181" s="74"/>
      <c r="L2181" s="75"/>
      <c r="M2181" s="32"/>
      <c r="N2181" s="32"/>
      <c r="O2181" s="73"/>
      <c r="P2181" s="73"/>
      <c r="Q2181" s="73"/>
      <c r="R2181" s="73"/>
      <c r="S2181" s="73"/>
      <c r="T2181" s="73"/>
      <c r="U2181" s="73"/>
      <c r="V2181" s="73"/>
      <c r="W2181" s="73"/>
      <c r="X2181" s="73"/>
      <c r="Y2181" s="73"/>
      <c r="Z2181" s="73"/>
    </row>
    <row r="2182" spans="1:26" ht="12.75" customHeight="1">
      <c r="A2182" s="73"/>
      <c r="B2182" s="32"/>
      <c r="C2182" s="32"/>
      <c r="D2182" s="33"/>
      <c r="E2182" s="32"/>
      <c r="F2182" s="32"/>
      <c r="G2182" s="74"/>
      <c r="H2182" s="32"/>
      <c r="I2182" s="32"/>
      <c r="J2182" s="32"/>
      <c r="K2182" s="74"/>
      <c r="L2182" s="75"/>
      <c r="M2182" s="32"/>
      <c r="N2182" s="32"/>
      <c r="O2182" s="73"/>
      <c r="P2182" s="73"/>
      <c r="Q2182" s="73"/>
      <c r="R2182" s="73"/>
      <c r="S2182" s="73"/>
      <c r="T2182" s="73"/>
      <c r="U2182" s="73"/>
      <c r="V2182" s="73"/>
      <c r="W2182" s="73"/>
      <c r="X2182" s="73"/>
      <c r="Y2182" s="73"/>
      <c r="Z2182" s="73"/>
    </row>
    <row r="2183" spans="1:26" ht="12.75" customHeight="1">
      <c r="A2183" s="73"/>
      <c r="B2183" s="32"/>
      <c r="C2183" s="32"/>
      <c r="D2183" s="33"/>
      <c r="E2183" s="32"/>
      <c r="F2183" s="32"/>
      <c r="G2183" s="74"/>
      <c r="H2183" s="32"/>
      <c r="I2183" s="32"/>
      <c r="J2183" s="32"/>
      <c r="K2183" s="74"/>
      <c r="L2183" s="75"/>
      <c r="M2183" s="32"/>
      <c r="N2183" s="32"/>
      <c r="O2183" s="73"/>
      <c r="P2183" s="73"/>
      <c r="Q2183" s="73"/>
      <c r="R2183" s="73"/>
      <c r="S2183" s="73"/>
      <c r="T2183" s="73"/>
      <c r="U2183" s="73"/>
      <c r="V2183" s="73"/>
      <c r="W2183" s="73"/>
      <c r="X2183" s="73"/>
      <c r="Y2183" s="73"/>
      <c r="Z2183" s="73"/>
    </row>
    <row r="2184" spans="1:26" ht="12.75" customHeight="1">
      <c r="A2184" s="73"/>
      <c r="B2184" s="32"/>
      <c r="C2184" s="32"/>
      <c r="D2184" s="33"/>
      <c r="E2184" s="32"/>
      <c r="F2184" s="32"/>
      <c r="G2184" s="74"/>
      <c r="H2184" s="32"/>
      <c r="I2184" s="32"/>
      <c r="J2184" s="32"/>
      <c r="K2184" s="74"/>
      <c r="L2184" s="75"/>
      <c r="M2184" s="32"/>
      <c r="N2184" s="32"/>
      <c r="O2184" s="73"/>
      <c r="P2184" s="73"/>
      <c r="Q2184" s="73"/>
      <c r="R2184" s="73"/>
      <c r="S2184" s="73"/>
      <c r="T2184" s="73"/>
      <c r="U2184" s="73"/>
      <c r="V2184" s="73"/>
      <c r="W2184" s="73"/>
      <c r="X2184" s="73"/>
      <c r="Y2184" s="73"/>
      <c r="Z2184" s="73"/>
    </row>
    <row r="2185" spans="1:26" ht="12.75" customHeight="1">
      <c r="A2185" s="73"/>
      <c r="B2185" s="32"/>
      <c r="C2185" s="32"/>
      <c r="D2185" s="33"/>
      <c r="E2185" s="32"/>
      <c r="F2185" s="32"/>
      <c r="G2185" s="74"/>
      <c r="H2185" s="32"/>
      <c r="I2185" s="32"/>
      <c r="J2185" s="32"/>
      <c r="K2185" s="74"/>
      <c r="L2185" s="75"/>
      <c r="M2185" s="32"/>
      <c r="N2185" s="32"/>
      <c r="O2185" s="73"/>
      <c r="P2185" s="73"/>
      <c r="Q2185" s="73"/>
      <c r="R2185" s="73"/>
      <c r="S2185" s="73"/>
      <c r="T2185" s="73"/>
      <c r="U2185" s="73"/>
      <c r="V2185" s="73"/>
      <c r="W2185" s="73"/>
      <c r="X2185" s="73"/>
      <c r="Y2185" s="73"/>
      <c r="Z2185" s="73"/>
    </row>
    <row r="2186" spans="1:26" ht="12.75" customHeight="1">
      <c r="A2186" s="73"/>
      <c r="B2186" s="32"/>
      <c r="C2186" s="32"/>
      <c r="D2186" s="33"/>
      <c r="E2186" s="32"/>
      <c r="F2186" s="32"/>
      <c r="G2186" s="74"/>
      <c r="H2186" s="32"/>
      <c r="I2186" s="32"/>
      <c r="J2186" s="32"/>
      <c r="K2186" s="74"/>
      <c r="L2186" s="75"/>
      <c r="M2186" s="32"/>
      <c r="N2186" s="32"/>
      <c r="O2186" s="73"/>
      <c r="P2186" s="73"/>
      <c r="Q2186" s="73"/>
      <c r="R2186" s="73"/>
      <c r="S2186" s="73"/>
      <c r="T2186" s="73"/>
      <c r="U2186" s="73"/>
      <c r="V2186" s="73"/>
      <c r="W2186" s="73"/>
      <c r="X2186" s="73"/>
      <c r="Y2186" s="73"/>
      <c r="Z2186" s="73"/>
    </row>
    <row r="2187" spans="1:26" ht="12.75" customHeight="1">
      <c r="A2187" s="73"/>
      <c r="B2187" s="32"/>
      <c r="C2187" s="32"/>
      <c r="D2187" s="33"/>
      <c r="E2187" s="32"/>
      <c r="F2187" s="32"/>
      <c r="G2187" s="74"/>
      <c r="H2187" s="32"/>
      <c r="I2187" s="32"/>
      <c r="J2187" s="32"/>
      <c r="K2187" s="74"/>
      <c r="L2187" s="75"/>
      <c r="M2187" s="32"/>
      <c r="N2187" s="32"/>
      <c r="O2187" s="73"/>
      <c r="P2187" s="73"/>
      <c r="Q2187" s="73"/>
      <c r="R2187" s="73"/>
      <c r="S2187" s="73"/>
      <c r="T2187" s="73"/>
      <c r="U2187" s="73"/>
      <c r="V2187" s="73"/>
      <c r="W2187" s="73"/>
      <c r="X2187" s="73"/>
      <c r="Y2187" s="73"/>
      <c r="Z2187" s="73"/>
    </row>
    <row r="2188" spans="1:26" ht="12.75" customHeight="1">
      <c r="A2188" s="73"/>
      <c r="B2188" s="32"/>
      <c r="C2188" s="32"/>
      <c r="D2188" s="33"/>
      <c r="E2188" s="32"/>
      <c r="F2188" s="32"/>
      <c r="G2188" s="74"/>
      <c r="H2188" s="32"/>
      <c r="I2188" s="32"/>
      <c r="J2188" s="32"/>
      <c r="K2188" s="74"/>
      <c r="L2188" s="75"/>
      <c r="M2188" s="32"/>
      <c r="N2188" s="32"/>
      <c r="O2188" s="73"/>
      <c r="P2188" s="73"/>
      <c r="Q2188" s="73"/>
      <c r="R2188" s="73"/>
      <c r="S2188" s="73"/>
      <c r="T2188" s="73"/>
      <c r="U2188" s="73"/>
      <c r="V2188" s="73"/>
      <c r="W2188" s="73"/>
      <c r="X2188" s="73"/>
      <c r="Y2188" s="73"/>
      <c r="Z2188" s="73"/>
    </row>
    <row r="2189" spans="1:26" ht="12.75" customHeight="1">
      <c r="A2189" s="73"/>
      <c r="B2189" s="32"/>
      <c r="C2189" s="32"/>
      <c r="D2189" s="33"/>
      <c r="E2189" s="32"/>
      <c r="F2189" s="32"/>
      <c r="G2189" s="74"/>
      <c r="H2189" s="32"/>
      <c r="I2189" s="32"/>
      <c r="J2189" s="32"/>
      <c r="K2189" s="74"/>
      <c r="L2189" s="75"/>
      <c r="M2189" s="32"/>
      <c r="N2189" s="32"/>
      <c r="O2189" s="73"/>
      <c r="P2189" s="73"/>
      <c r="Q2189" s="73"/>
      <c r="R2189" s="73"/>
      <c r="S2189" s="73"/>
      <c r="T2189" s="73"/>
      <c r="U2189" s="73"/>
      <c r="V2189" s="73"/>
      <c r="W2189" s="73"/>
      <c r="X2189" s="73"/>
      <c r="Y2189" s="73"/>
      <c r="Z2189" s="73"/>
    </row>
    <row r="2190" spans="1:26" ht="12.75" customHeight="1">
      <c r="A2190" s="73"/>
      <c r="B2190" s="32"/>
      <c r="C2190" s="32"/>
      <c r="D2190" s="33"/>
      <c r="E2190" s="32"/>
      <c r="F2190" s="32"/>
      <c r="G2190" s="74"/>
      <c r="H2190" s="32"/>
      <c r="I2190" s="32"/>
      <c r="J2190" s="32"/>
      <c r="K2190" s="74"/>
      <c r="L2190" s="75"/>
      <c r="M2190" s="32"/>
      <c r="N2190" s="32"/>
      <c r="O2190" s="73"/>
      <c r="P2190" s="73"/>
      <c r="Q2190" s="73"/>
      <c r="R2190" s="73"/>
      <c r="S2190" s="73"/>
      <c r="T2190" s="73"/>
      <c r="U2190" s="73"/>
      <c r="V2190" s="73"/>
      <c r="W2190" s="73"/>
      <c r="X2190" s="73"/>
      <c r="Y2190" s="73"/>
      <c r="Z2190" s="73"/>
    </row>
    <row r="2191" spans="1:26" ht="12.75" customHeight="1">
      <c r="A2191" s="73"/>
      <c r="B2191" s="32"/>
      <c r="C2191" s="32"/>
      <c r="D2191" s="33"/>
      <c r="E2191" s="32"/>
      <c r="F2191" s="32"/>
      <c r="G2191" s="74"/>
      <c r="H2191" s="32"/>
      <c r="I2191" s="32"/>
      <c r="J2191" s="32"/>
      <c r="K2191" s="74"/>
      <c r="L2191" s="75"/>
      <c r="M2191" s="32"/>
      <c r="N2191" s="32"/>
      <c r="O2191" s="73"/>
      <c r="P2191" s="73"/>
      <c r="Q2191" s="73"/>
      <c r="R2191" s="73"/>
      <c r="S2191" s="73"/>
      <c r="T2191" s="73"/>
      <c r="U2191" s="73"/>
      <c r="V2191" s="73"/>
      <c r="W2191" s="73"/>
      <c r="X2191" s="73"/>
      <c r="Y2191" s="73"/>
      <c r="Z2191" s="73"/>
    </row>
    <row r="2192" spans="1:26" ht="12.75" customHeight="1">
      <c r="A2192" s="73"/>
      <c r="B2192" s="32"/>
      <c r="C2192" s="32"/>
      <c r="D2192" s="33"/>
      <c r="E2192" s="32"/>
      <c r="F2192" s="32"/>
      <c r="G2192" s="74"/>
      <c r="H2192" s="32"/>
      <c r="I2192" s="32"/>
      <c r="J2192" s="32"/>
      <c r="K2192" s="74"/>
      <c r="L2192" s="75"/>
      <c r="M2192" s="32"/>
      <c r="N2192" s="32"/>
      <c r="O2192" s="73"/>
      <c r="P2192" s="73"/>
      <c r="Q2192" s="73"/>
      <c r="R2192" s="73"/>
      <c r="S2192" s="73"/>
      <c r="T2192" s="73"/>
      <c r="U2192" s="73"/>
      <c r="V2192" s="73"/>
      <c r="W2192" s="73"/>
      <c r="X2192" s="73"/>
      <c r="Y2192" s="73"/>
      <c r="Z2192" s="73"/>
    </row>
    <row r="2193" spans="1:26" ht="12.75" customHeight="1">
      <c r="A2193" s="73"/>
      <c r="B2193" s="32"/>
      <c r="C2193" s="32"/>
      <c r="D2193" s="33"/>
      <c r="E2193" s="32"/>
      <c r="F2193" s="32"/>
      <c r="G2193" s="74"/>
      <c r="H2193" s="32"/>
      <c r="I2193" s="32"/>
      <c r="J2193" s="32"/>
      <c r="K2193" s="74"/>
      <c r="L2193" s="75"/>
      <c r="M2193" s="32"/>
      <c r="N2193" s="32"/>
      <c r="O2193" s="73"/>
      <c r="P2193" s="73"/>
      <c r="Q2193" s="73"/>
      <c r="R2193" s="73"/>
      <c r="S2193" s="73"/>
      <c r="T2193" s="73"/>
      <c r="U2193" s="73"/>
      <c r="V2193" s="73"/>
      <c r="W2193" s="73"/>
      <c r="X2193" s="73"/>
      <c r="Y2193" s="73"/>
      <c r="Z2193" s="73"/>
    </row>
    <row r="2194" spans="1:26" ht="12.75" customHeight="1">
      <c r="A2194" s="73"/>
      <c r="B2194" s="32"/>
      <c r="C2194" s="32"/>
      <c r="D2194" s="33"/>
      <c r="E2194" s="32"/>
      <c r="F2194" s="32"/>
      <c r="G2194" s="74"/>
      <c r="H2194" s="32"/>
      <c r="I2194" s="32"/>
      <c r="J2194" s="32"/>
      <c r="K2194" s="74"/>
      <c r="L2194" s="75"/>
      <c r="M2194" s="32"/>
      <c r="N2194" s="32"/>
      <c r="O2194" s="73"/>
      <c r="P2194" s="73"/>
      <c r="Q2194" s="73"/>
      <c r="R2194" s="73"/>
      <c r="S2194" s="73"/>
      <c r="T2194" s="73"/>
      <c r="U2194" s="73"/>
      <c r="V2194" s="73"/>
      <c r="W2194" s="73"/>
      <c r="X2194" s="73"/>
      <c r="Y2194" s="73"/>
      <c r="Z2194" s="73"/>
    </row>
    <row r="2195" spans="1:26" ht="12.75" customHeight="1">
      <c r="A2195" s="73"/>
      <c r="B2195" s="32"/>
      <c r="C2195" s="32"/>
      <c r="D2195" s="33"/>
      <c r="E2195" s="32"/>
      <c r="F2195" s="32"/>
      <c r="G2195" s="74"/>
      <c r="H2195" s="32"/>
      <c r="I2195" s="32"/>
      <c r="J2195" s="32"/>
      <c r="K2195" s="74"/>
      <c r="L2195" s="75"/>
      <c r="M2195" s="32"/>
      <c r="N2195" s="32"/>
      <c r="O2195" s="73"/>
      <c r="P2195" s="73"/>
      <c r="Q2195" s="73"/>
      <c r="R2195" s="73"/>
      <c r="S2195" s="73"/>
      <c r="T2195" s="73"/>
      <c r="U2195" s="73"/>
      <c r="V2195" s="73"/>
      <c r="W2195" s="73"/>
      <c r="X2195" s="73"/>
      <c r="Y2195" s="73"/>
      <c r="Z2195" s="73"/>
    </row>
    <row r="2196" spans="1:26" ht="12.75" customHeight="1">
      <c r="A2196" s="73"/>
      <c r="B2196" s="32"/>
      <c r="C2196" s="32"/>
      <c r="D2196" s="33"/>
      <c r="E2196" s="32"/>
      <c r="F2196" s="32"/>
      <c r="G2196" s="74"/>
      <c r="H2196" s="32"/>
      <c r="I2196" s="32"/>
      <c r="J2196" s="32"/>
      <c r="K2196" s="74"/>
      <c r="L2196" s="75"/>
      <c r="M2196" s="32"/>
      <c r="N2196" s="32"/>
      <c r="O2196" s="73"/>
      <c r="P2196" s="73"/>
      <c r="Q2196" s="73"/>
      <c r="R2196" s="73"/>
      <c r="S2196" s="73"/>
      <c r="T2196" s="73"/>
      <c r="U2196" s="73"/>
      <c r="V2196" s="73"/>
      <c r="W2196" s="73"/>
      <c r="X2196" s="73"/>
      <c r="Y2196" s="73"/>
      <c r="Z2196" s="73"/>
    </row>
    <row r="2197" spans="1:26" ht="12.75" customHeight="1">
      <c r="A2197" s="73"/>
      <c r="B2197" s="32"/>
      <c r="C2197" s="32"/>
      <c r="D2197" s="33"/>
      <c r="E2197" s="32"/>
      <c r="F2197" s="32"/>
      <c r="G2197" s="74"/>
      <c r="H2197" s="32"/>
      <c r="I2197" s="32"/>
      <c r="J2197" s="32"/>
      <c r="K2197" s="74"/>
      <c r="L2197" s="75"/>
      <c r="M2197" s="32"/>
      <c r="N2197" s="32"/>
      <c r="O2197" s="73"/>
      <c r="P2197" s="73"/>
      <c r="Q2197" s="73"/>
      <c r="R2197" s="73"/>
      <c r="S2197" s="73"/>
      <c r="T2197" s="73"/>
      <c r="U2197" s="73"/>
      <c r="V2197" s="73"/>
      <c r="W2197" s="73"/>
      <c r="X2197" s="73"/>
      <c r="Y2197" s="73"/>
      <c r="Z2197" s="73"/>
    </row>
    <row r="2198" spans="1:26" ht="12.75" customHeight="1">
      <c r="A2198" s="73"/>
      <c r="B2198" s="32"/>
      <c r="C2198" s="32"/>
      <c r="D2198" s="33"/>
      <c r="E2198" s="32"/>
      <c r="F2198" s="32"/>
      <c r="G2198" s="74"/>
      <c r="H2198" s="32"/>
      <c r="I2198" s="32"/>
      <c r="J2198" s="32"/>
      <c r="K2198" s="74"/>
      <c r="L2198" s="75"/>
      <c r="M2198" s="32"/>
      <c r="N2198" s="32"/>
      <c r="O2198" s="73"/>
      <c r="P2198" s="73"/>
      <c r="Q2198" s="73"/>
      <c r="R2198" s="73"/>
      <c r="S2198" s="73"/>
      <c r="T2198" s="73"/>
      <c r="U2198" s="73"/>
      <c r="V2198" s="73"/>
      <c r="W2198" s="73"/>
      <c r="X2198" s="73"/>
      <c r="Y2198" s="73"/>
      <c r="Z2198" s="73"/>
    </row>
    <row r="2199" spans="1:26" ht="12.75" customHeight="1">
      <c r="A2199" s="73"/>
      <c r="B2199" s="32"/>
      <c r="C2199" s="32"/>
      <c r="D2199" s="33"/>
      <c r="E2199" s="32"/>
      <c r="F2199" s="32"/>
      <c r="G2199" s="74"/>
      <c r="H2199" s="32"/>
      <c r="I2199" s="32"/>
      <c r="J2199" s="32"/>
      <c r="K2199" s="74"/>
      <c r="L2199" s="75"/>
      <c r="M2199" s="32"/>
      <c r="N2199" s="32"/>
      <c r="O2199" s="73"/>
      <c r="P2199" s="73"/>
      <c r="Q2199" s="73"/>
      <c r="R2199" s="73"/>
      <c r="S2199" s="73"/>
      <c r="T2199" s="73"/>
      <c r="U2199" s="73"/>
      <c r="V2199" s="73"/>
      <c r="W2199" s="73"/>
      <c r="X2199" s="73"/>
      <c r="Y2199" s="73"/>
      <c r="Z2199" s="73"/>
    </row>
    <row r="2200" spans="1:26" ht="12.75" customHeight="1">
      <c r="A2200" s="73"/>
      <c r="B2200" s="32"/>
      <c r="C2200" s="32"/>
      <c r="D2200" s="33"/>
      <c r="E2200" s="32"/>
      <c r="F2200" s="32"/>
      <c r="G2200" s="74"/>
      <c r="H2200" s="32"/>
      <c r="I2200" s="32"/>
      <c r="J2200" s="32"/>
      <c r="K2200" s="74"/>
      <c r="L2200" s="75"/>
      <c r="M2200" s="32"/>
      <c r="N2200" s="32"/>
      <c r="O2200" s="73"/>
      <c r="P2200" s="73"/>
      <c r="Q2200" s="73"/>
      <c r="R2200" s="73"/>
      <c r="S2200" s="73"/>
      <c r="T2200" s="73"/>
      <c r="U2200" s="73"/>
      <c r="V2200" s="73"/>
      <c r="W2200" s="73"/>
      <c r="X2200" s="73"/>
      <c r="Y2200" s="73"/>
      <c r="Z2200" s="73"/>
    </row>
    <row r="2201" spans="1:26" ht="12.75" customHeight="1">
      <c r="A2201" s="73"/>
      <c r="B2201" s="32"/>
      <c r="C2201" s="32"/>
      <c r="D2201" s="33"/>
      <c r="E2201" s="32"/>
      <c r="F2201" s="32"/>
      <c r="G2201" s="74"/>
      <c r="H2201" s="32"/>
      <c r="I2201" s="32"/>
      <c r="J2201" s="32"/>
      <c r="K2201" s="74"/>
      <c r="L2201" s="75"/>
      <c r="M2201" s="32"/>
      <c r="N2201" s="32"/>
      <c r="O2201" s="73"/>
      <c r="P2201" s="73"/>
      <c r="Q2201" s="73"/>
      <c r="R2201" s="73"/>
      <c r="S2201" s="73"/>
      <c r="T2201" s="73"/>
      <c r="U2201" s="73"/>
      <c r="V2201" s="73"/>
      <c r="W2201" s="73"/>
      <c r="X2201" s="73"/>
      <c r="Y2201" s="73"/>
      <c r="Z2201" s="73"/>
    </row>
    <row r="2202" spans="1:26" ht="12.75" customHeight="1">
      <c r="A2202" s="73"/>
      <c r="B2202" s="32"/>
      <c r="C2202" s="32"/>
      <c r="D2202" s="33"/>
      <c r="E2202" s="32"/>
      <c r="F2202" s="32"/>
      <c r="G2202" s="74"/>
      <c r="H2202" s="32"/>
      <c r="I2202" s="32"/>
      <c r="J2202" s="32"/>
      <c r="K2202" s="74"/>
      <c r="L2202" s="75"/>
      <c r="M2202" s="32"/>
      <c r="N2202" s="32"/>
      <c r="O2202" s="73"/>
      <c r="P2202" s="73"/>
      <c r="Q2202" s="73"/>
      <c r="R2202" s="73"/>
      <c r="S2202" s="73"/>
      <c r="T2202" s="73"/>
      <c r="U2202" s="73"/>
      <c r="V2202" s="73"/>
      <c r="W2202" s="73"/>
      <c r="X2202" s="73"/>
      <c r="Y2202" s="73"/>
      <c r="Z2202" s="73"/>
    </row>
    <row r="2203" spans="1:26" ht="12.75" customHeight="1">
      <c r="A2203" s="73"/>
      <c r="B2203" s="32"/>
      <c r="C2203" s="32"/>
      <c r="D2203" s="33"/>
      <c r="E2203" s="32"/>
      <c r="F2203" s="32"/>
      <c r="G2203" s="74"/>
      <c r="H2203" s="32"/>
      <c r="I2203" s="32"/>
      <c r="J2203" s="32"/>
      <c r="K2203" s="74"/>
      <c r="L2203" s="75"/>
      <c r="M2203" s="32"/>
      <c r="N2203" s="32"/>
      <c r="O2203" s="73"/>
      <c r="P2203" s="73"/>
      <c r="Q2203" s="73"/>
      <c r="R2203" s="73"/>
      <c r="S2203" s="73"/>
      <c r="T2203" s="73"/>
      <c r="U2203" s="73"/>
      <c r="V2203" s="73"/>
      <c r="W2203" s="73"/>
      <c r="X2203" s="73"/>
      <c r="Y2203" s="73"/>
      <c r="Z2203" s="73"/>
    </row>
    <row r="2204" spans="1:26" ht="12.75" customHeight="1">
      <c r="A2204" s="73"/>
      <c r="B2204" s="32"/>
      <c r="C2204" s="32"/>
      <c r="D2204" s="33"/>
      <c r="E2204" s="32"/>
      <c r="F2204" s="32"/>
      <c r="G2204" s="74"/>
      <c r="H2204" s="32"/>
      <c r="I2204" s="32"/>
      <c r="J2204" s="32"/>
      <c r="K2204" s="74"/>
      <c r="L2204" s="75"/>
      <c r="M2204" s="32"/>
      <c r="N2204" s="32"/>
      <c r="O2204" s="73"/>
      <c r="P2204" s="73"/>
      <c r="Q2204" s="73"/>
      <c r="R2204" s="73"/>
      <c r="S2204" s="73"/>
      <c r="T2204" s="73"/>
      <c r="U2204" s="73"/>
      <c r="V2204" s="73"/>
      <c r="W2204" s="73"/>
      <c r="X2204" s="73"/>
      <c r="Y2204" s="73"/>
      <c r="Z2204" s="73"/>
    </row>
    <row r="2205" spans="1:26" ht="12.75" customHeight="1">
      <c r="A2205" s="73"/>
      <c r="B2205" s="32"/>
      <c r="C2205" s="32"/>
      <c r="D2205" s="33"/>
      <c r="E2205" s="32"/>
      <c r="F2205" s="32"/>
      <c r="G2205" s="74"/>
      <c r="H2205" s="32"/>
      <c r="I2205" s="32"/>
      <c r="J2205" s="32"/>
      <c r="K2205" s="74"/>
      <c r="L2205" s="75"/>
      <c r="M2205" s="32"/>
      <c r="N2205" s="32"/>
      <c r="O2205" s="73"/>
      <c r="P2205" s="73"/>
      <c r="Q2205" s="73"/>
      <c r="R2205" s="73"/>
      <c r="S2205" s="73"/>
      <c r="T2205" s="73"/>
      <c r="U2205" s="73"/>
      <c r="V2205" s="73"/>
      <c r="W2205" s="73"/>
      <c r="X2205" s="73"/>
      <c r="Y2205" s="73"/>
      <c r="Z2205" s="73"/>
    </row>
    <row r="2206" spans="1:26" ht="12.75" customHeight="1">
      <c r="A2206" s="73"/>
      <c r="B2206" s="32"/>
      <c r="C2206" s="32"/>
      <c r="D2206" s="33"/>
      <c r="E2206" s="32"/>
      <c r="F2206" s="32"/>
      <c r="G2206" s="74"/>
      <c r="H2206" s="32"/>
      <c r="I2206" s="32"/>
      <c r="J2206" s="32"/>
      <c r="K2206" s="74"/>
      <c r="L2206" s="75"/>
      <c r="M2206" s="32"/>
      <c r="N2206" s="32"/>
      <c r="O2206" s="73"/>
      <c r="P2206" s="73"/>
      <c r="Q2206" s="73"/>
      <c r="R2206" s="73"/>
      <c r="S2206" s="73"/>
      <c r="T2206" s="73"/>
      <c r="U2206" s="73"/>
      <c r="V2206" s="73"/>
      <c r="W2206" s="73"/>
      <c r="X2206" s="73"/>
      <c r="Y2206" s="73"/>
      <c r="Z2206" s="73"/>
    </row>
    <row r="2207" spans="1:26" ht="12.75" customHeight="1">
      <c r="A2207" s="73"/>
      <c r="B2207" s="32"/>
      <c r="C2207" s="32"/>
      <c r="D2207" s="33"/>
      <c r="E2207" s="32"/>
      <c r="F2207" s="32"/>
      <c r="G2207" s="74"/>
      <c r="H2207" s="32"/>
      <c r="I2207" s="32"/>
      <c r="J2207" s="32"/>
      <c r="K2207" s="74"/>
      <c r="L2207" s="75"/>
      <c r="M2207" s="32"/>
      <c r="N2207" s="32"/>
      <c r="O2207" s="73"/>
      <c r="P2207" s="73"/>
      <c r="Q2207" s="73"/>
      <c r="R2207" s="73"/>
      <c r="S2207" s="73"/>
      <c r="T2207" s="73"/>
      <c r="U2207" s="73"/>
      <c r="V2207" s="73"/>
      <c r="W2207" s="73"/>
      <c r="X2207" s="73"/>
      <c r="Y2207" s="73"/>
      <c r="Z2207" s="73"/>
    </row>
    <row r="2208" spans="1:26" ht="12.75" customHeight="1">
      <c r="A2208" s="73"/>
      <c r="B2208" s="32"/>
      <c r="C2208" s="32"/>
      <c r="D2208" s="33"/>
      <c r="E2208" s="32"/>
      <c r="F2208" s="32"/>
      <c r="G2208" s="74"/>
      <c r="H2208" s="32"/>
      <c r="I2208" s="32"/>
      <c r="J2208" s="32"/>
      <c r="K2208" s="74"/>
      <c r="L2208" s="75"/>
      <c r="M2208" s="32"/>
      <c r="N2208" s="32"/>
      <c r="O2208" s="73"/>
      <c r="P2208" s="73"/>
      <c r="Q2208" s="73"/>
      <c r="R2208" s="73"/>
      <c r="S2208" s="73"/>
      <c r="T2208" s="73"/>
      <c r="U2208" s="73"/>
      <c r="V2208" s="73"/>
      <c r="W2208" s="73"/>
      <c r="X2208" s="73"/>
      <c r="Y2208" s="73"/>
      <c r="Z2208" s="73"/>
    </row>
    <row r="2209" spans="1:26" ht="12.75" customHeight="1">
      <c r="A2209" s="73"/>
      <c r="B2209" s="32"/>
      <c r="C2209" s="32"/>
      <c r="D2209" s="33"/>
      <c r="E2209" s="32"/>
      <c r="F2209" s="32"/>
      <c r="G2209" s="74"/>
      <c r="H2209" s="32"/>
      <c r="I2209" s="32"/>
      <c r="J2209" s="32"/>
      <c r="K2209" s="74"/>
      <c r="L2209" s="75"/>
      <c r="M2209" s="32"/>
      <c r="N2209" s="32"/>
      <c r="O2209" s="73"/>
      <c r="P2209" s="73"/>
      <c r="Q2209" s="73"/>
      <c r="R2209" s="73"/>
      <c r="S2209" s="73"/>
      <c r="T2209" s="73"/>
      <c r="U2209" s="73"/>
      <c r="V2209" s="73"/>
      <c r="W2209" s="73"/>
      <c r="X2209" s="73"/>
      <c r="Y2209" s="73"/>
      <c r="Z2209" s="73"/>
    </row>
    <row r="2210" spans="1:26" ht="12.75" customHeight="1">
      <c r="A2210" s="73"/>
      <c r="B2210" s="32"/>
      <c r="C2210" s="32"/>
      <c r="D2210" s="33"/>
      <c r="E2210" s="32"/>
      <c r="F2210" s="32"/>
      <c r="G2210" s="74"/>
      <c r="H2210" s="32"/>
      <c r="I2210" s="32"/>
      <c r="J2210" s="32"/>
      <c r="K2210" s="74"/>
      <c r="L2210" s="75"/>
      <c r="M2210" s="32"/>
      <c r="N2210" s="32"/>
      <c r="O2210" s="73"/>
      <c r="P2210" s="73"/>
      <c r="Q2210" s="73"/>
      <c r="R2210" s="73"/>
      <c r="S2210" s="73"/>
      <c r="T2210" s="73"/>
      <c r="U2210" s="73"/>
      <c r="V2210" s="73"/>
      <c r="W2210" s="73"/>
      <c r="X2210" s="73"/>
      <c r="Y2210" s="73"/>
      <c r="Z2210" s="73"/>
    </row>
    <row r="2211" spans="1:26" ht="12.75" customHeight="1">
      <c r="A2211" s="73"/>
      <c r="B2211" s="32"/>
      <c r="C2211" s="32"/>
      <c r="D2211" s="33"/>
      <c r="E2211" s="32"/>
      <c r="F2211" s="32"/>
      <c r="G2211" s="74"/>
      <c r="H2211" s="32"/>
      <c r="I2211" s="32"/>
      <c r="J2211" s="32"/>
      <c r="K2211" s="74"/>
      <c r="L2211" s="75"/>
      <c r="M2211" s="32"/>
      <c r="N2211" s="32"/>
      <c r="O2211" s="73"/>
      <c r="P2211" s="73"/>
      <c r="Q2211" s="73"/>
      <c r="R2211" s="73"/>
      <c r="S2211" s="73"/>
      <c r="T2211" s="73"/>
      <c r="U2211" s="73"/>
      <c r="V2211" s="73"/>
      <c r="W2211" s="73"/>
      <c r="X2211" s="73"/>
      <c r="Y2211" s="73"/>
      <c r="Z2211" s="73"/>
    </row>
    <row r="2212" spans="1:26" ht="12.75" customHeight="1">
      <c r="A2212" s="73"/>
      <c r="B2212" s="32"/>
      <c r="C2212" s="32"/>
      <c r="D2212" s="33"/>
      <c r="E2212" s="32"/>
      <c r="F2212" s="32"/>
      <c r="G2212" s="74"/>
      <c r="H2212" s="32"/>
      <c r="I2212" s="32"/>
      <c r="J2212" s="32"/>
      <c r="K2212" s="74"/>
      <c r="L2212" s="75"/>
      <c r="M2212" s="32"/>
      <c r="N2212" s="32"/>
      <c r="O2212" s="73"/>
      <c r="P2212" s="73"/>
      <c r="Q2212" s="73"/>
      <c r="R2212" s="73"/>
      <c r="S2212" s="73"/>
      <c r="T2212" s="73"/>
      <c r="U2212" s="73"/>
      <c r="V2212" s="73"/>
      <c r="W2212" s="73"/>
      <c r="X2212" s="73"/>
      <c r="Y2212" s="73"/>
      <c r="Z2212" s="73"/>
    </row>
    <row r="2213" spans="1:26" ht="12.75" customHeight="1">
      <c r="A2213" s="73"/>
      <c r="B2213" s="32"/>
      <c r="C2213" s="32"/>
      <c r="D2213" s="33"/>
      <c r="E2213" s="32"/>
      <c r="F2213" s="32"/>
      <c r="G2213" s="74"/>
      <c r="H2213" s="32"/>
      <c r="I2213" s="32"/>
      <c r="J2213" s="32"/>
      <c r="K2213" s="74"/>
      <c r="L2213" s="75"/>
      <c r="M2213" s="32"/>
      <c r="N2213" s="32"/>
      <c r="O2213" s="73"/>
      <c r="P2213" s="73"/>
      <c r="Q2213" s="73"/>
      <c r="R2213" s="73"/>
      <c r="S2213" s="73"/>
      <c r="T2213" s="73"/>
      <c r="U2213" s="73"/>
      <c r="V2213" s="73"/>
      <c r="W2213" s="73"/>
      <c r="X2213" s="73"/>
      <c r="Y2213" s="73"/>
      <c r="Z2213" s="73"/>
    </row>
    <row r="2214" spans="1:26" ht="12.75" customHeight="1">
      <c r="A2214" s="73"/>
      <c r="B2214" s="32"/>
      <c r="C2214" s="32"/>
      <c r="D2214" s="33"/>
      <c r="E2214" s="32"/>
      <c r="F2214" s="32"/>
      <c r="G2214" s="74"/>
      <c r="H2214" s="32"/>
      <c r="I2214" s="32"/>
      <c r="J2214" s="32"/>
      <c r="K2214" s="74"/>
      <c r="L2214" s="75"/>
      <c r="M2214" s="32"/>
      <c r="N2214" s="32"/>
      <c r="O2214" s="73"/>
      <c r="P2214" s="73"/>
      <c r="Q2214" s="73"/>
      <c r="R2214" s="73"/>
      <c r="S2214" s="73"/>
      <c r="T2214" s="73"/>
      <c r="U2214" s="73"/>
      <c r="V2214" s="73"/>
      <c r="W2214" s="73"/>
      <c r="X2214" s="73"/>
      <c r="Y2214" s="73"/>
      <c r="Z2214" s="73"/>
    </row>
    <row r="2215" spans="1:26" ht="12.75" customHeight="1">
      <c r="A2215" s="73"/>
      <c r="B2215" s="32"/>
      <c r="C2215" s="32"/>
      <c r="D2215" s="33"/>
      <c r="E2215" s="32"/>
      <c r="F2215" s="32"/>
      <c r="G2215" s="74"/>
      <c r="H2215" s="32"/>
      <c r="I2215" s="32"/>
      <c r="J2215" s="32"/>
      <c r="K2215" s="74"/>
      <c r="L2215" s="75"/>
      <c r="M2215" s="32"/>
      <c r="N2215" s="32"/>
      <c r="O2215" s="73"/>
      <c r="P2215" s="73"/>
      <c r="Q2215" s="73"/>
      <c r="R2215" s="73"/>
      <c r="S2215" s="73"/>
      <c r="T2215" s="73"/>
      <c r="U2215" s="73"/>
      <c r="V2215" s="73"/>
      <c r="W2215" s="73"/>
      <c r="X2215" s="73"/>
      <c r="Y2215" s="73"/>
      <c r="Z2215" s="73"/>
    </row>
    <row r="2216" spans="1:26" ht="12.75" customHeight="1">
      <c r="A2216" s="73"/>
      <c r="B2216" s="32"/>
      <c r="C2216" s="32"/>
      <c r="D2216" s="33"/>
      <c r="E2216" s="32"/>
      <c r="F2216" s="32"/>
      <c r="G2216" s="74"/>
      <c r="H2216" s="32"/>
      <c r="I2216" s="32"/>
      <c r="J2216" s="32"/>
      <c r="K2216" s="74"/>
      <c r="L2216" s="75"/>
      <c r="M2216" s="32"/>
      <c r="N2216" s="32"/>
      <c r="O2216" s="73"/>
      <c r="P2216" s="73"/>
      <c r="Q2216" s="73"/>
      <c r="R2216" s="73"/>
      <c r="S2216" s="73"/>
      <c r="T2216" s="73"/>
      <c r="U2216" s="73"/>
      <c r="V2216" s="73"/>
      <c r="W2216" s="73"/>
      <c r="X2216" s="73"/>
      <c r="Y2216" s="73"/>
      <c r="Z2216" s="73"/>
    </row>
    <row r="2217" spans="1:26" ht="12.75" customHeight="1">
      <c r="A2217" s="73"/>
      <c r="B2217" s="32"/>
      <c r="C2217" s="32"/>
      <c r="D2217" s="33"/>
      <c r="E2217" s="32"/>
      <c r="F2217" s="32"/>
      <c r="G2217" s="74"/>
      <c r="H2217" s="32"/>
      <c r="I2217" s="32"/>
      <c r="J2217" s="32"/>
      <c r="K2217" s="74"/>
      <c r="L2217" s="75"/>
      <c r="M2217" s="32"/>
      <c r="N2217" s="32"/>
      <c r="O2217" s="73"/>
      <c r="P2217" s="73"/>
      <c r="Q2217" s="73"/>
      <c r="R2217" s="73"/>
      <c r="S2217" s="73"/>
      <c r="T2217" s="73"/>
      <c r="U2217" s="73"/>
      <c r="V2217" s="73"/>
      <c r="W2217" s="73"/>
      <c r="X2217" s="73"/>
      <c r="Y2217" s="73"/>
      <c r="Z2217" s="73"/>
    </row>
    <row r="2218" spans="1:26" ht="12.75" customHeight="1">
      <c r="A2218" s="73"/>
      <c r="B2218" s="32"/>
      <c r="C2218" s="32"/>
      <c r="D2218" s="33"/>
      <c r="E2218" s="32"/>
      <c r="F2218" s="32"/>
      <c r="G2218" s="74"/>
      <c r="H2218" s="32"/>
      <c r="I2218" s="32"/>
      <c r="J2218" s="32"/>
      <c r="K2218" s="74"/>
      <c r="L2218" s="75"/>
      <c r="M2218" s="32"/>
      <c r="N2218" s="32"/>
      <c r="O2218" s="73"/>
      <c r="P2218" s="73"/>
      <c r="Q2218" s="73"/>
      <c r="R2218" s="73"/>
      <c r="S2218" s="73"/>
      <c r="T2218" s="73"/>
      <c r="U2218" s="73"/>
      <c r="V2218" s="73"/>
      <c r="W2218" s="73"/>
      <c r="X2218" s="73"/>
      <c r="Y2218" s="73"/>
      <c r="Z2218" s="73"/>
    </row>
    <row r="2219" spans="1:26" ht="12.75" customHeight="1">
      <c r="A2219" s="73"/>
      <c r="B2219" s="32"/>
      <c r="C2219" s="32"/>
      <c r="D2219" s="33"/>
      <c r="E2219" s="32"/>
      <c r="F2219" s="32"/>
      <c r="G2219" s="74"/>
      <c r="H2219" s="32"/>
      <c r="I2219" s="32"/>
      <c r="J2219" s="32"/>
      <c r="K2219" s="74"/>
      <c r="L2219" s="75"/>
      <c r="M2219" s="32"/>
      <c r="N2219" s="32"/>
      <c r="O2219" s="73"/>
      <c r="P2219" s="73"/>
      <c r="Q2219" s="73"/>
      <c r="R2219" s="73"/>
      <c r="S2219" s="73"/>
      <c r="T2219" s="73"/>
      <c r="U2219" s="73"/>
      <c r="V2219" s="73"/>
      <c r="W2219" s="73"/>
      <c r="X2219" s="73"/>
      <c r="Y2219" s="73"/>
      <c r="Z2219" s="73"/>
    </row>
    <row r="2220" spans="1:26" ht="12.75" customHeight="1">
      <c r="A2220" s="73"/>
      <c r="B2220" s="32"/>
      <c r="C2220" s="32"/>
      <c r="D2220" s="33"/>
      <c r="E2220" s="32"/>
      <c r="F2220" s="32"/>
      <c r="G2220" s="74"/>
      <c r="H2220" s="32"/>
      <c r="I2220" s="32"/>
      <c r="J2220" s="32"/>
      <c r="K2220" s="74"/>
      <c r="L2220" s="75"/>
      <c r="M2220" s="32"/>
      <c r="N2220" s="32"/>
      <c r="O2220" s="73"/>
      <c r="P2220" s="73"/>
      <c r="Q2220" s="73"/>
      <c r="R2220" s="73"/>
      <c r="S2220" s="73"/>
      <c r="T2220" s="73"/>
      <c r="U2220" s="73"/>
      <c r="V2220" s="73"/>
      <c r="W2220" s="73"/>
      <c r="X2220" s="73"/>
      <c r="Y2220" s="73"/>
      <c r="Z2220" s="73"/>
    </row>
    <row r="2221" spans="1:26" ht="12.75" customHeight="1">
      <c r="A2221" s="73"/>
      <c r="B2221" s="32"/>
      <c r="C2221" s="32"/>
      <c r="D2221" s="33"/>
      <c r="E2221" s="32"/>
      <c r="F2221" s="32"/>
      <c r="G2221" s="74"/>
      <c r="H2221" s="32"/>
      <c r="I2221" s="32"/>
      <c r="J2221" s="32"/>
      <c r="K2221" s="74"/>
      <c r="L2221" s="75"/>
      <c r="M2221" s="32"/>
      <c r="N2221" s="32"/>
      <c r="O2221" s="73"/>
      <c r="P2221" s="73"/>
      <c r="Q2221" s="73"/>
      <c r="R2221" s="73"/>
      <c r="S2221" s="73"/>
      <c r="T2221" s="73"/>
      <c r="U2221" s="73"/>
      <c r="V2221" s="73"/>
      <c r="W2221" s="73"/>
      <c r="X2221" s="73"/>
      <c r="Y2221" s="73"/>
      <c r="Z2221" s="73"/>
    </row>
    <row r="2222" spans="1:26" ht="12.75" customHeight="1">
      <c r="A2222" s="73"/>
      <c r="B2222" s="32"/>
      <c r="C2222" s="32"/>
      <c r="D2222" s="33"/>
      <c r="E2222" s="32"/>
      <c r="F2222" s="32"/>
      <c r="G2222" s="74"/>
      <c r="H2222" s="32"/>
      <c r="I2222" s="32"/>
      <c r="J2222" s="32"/>
      <c r="K2222" s="74"/>
      <c r="L2222" s="75"/>
      <c r="M2222" s="32"/>
      <c r="N2222" s="32"/>
      <c r="O2222" s="73"/>
      <c r="P2222" s="73"/>
      <c r="Q2222" s="73"/>
      <c r="R2222" s="73"/>
      <c r="S2222" s="73"/>
      <c r="T2222" s="73"/>
      <c r="U2222" s="73"/>
      <c r="V2222" s="73"/>
      <c r="W2222" s="73"/>
      <c r="X2222" s="73"/>
      <c r="Y2222" s="73"/>
      <c r="Z2222" s="73"/>
    </row>
    <row r="2223" spans="1:26" ht="12.75" customHeight="1">
      <c r="A2223" s="73"/>
      <c r="B2223" s="32"/>
      <c r="C2223" s="32"/>
      <c r="D2223" s="33"/>
      <c r="E2223" s="32"/>
      <c r="F2223" s="32"/>
      <c r="G2223" s="74"/>
      <c r="H2223" s="32"/>
      <c r="I2223" s="32"/>
      <c r="J2223" s="32"/>
      <c r="K2223" s="74"/>
      <c r="L2223" s="75"/>
      <c r="M2223" s="32"/>
      <c r="N2223" s="32"/>
      <c r="O2223" s="73"/>
      <c r="P2223" s="73"/>
      <c r="Q2223" s="73"/>
      <c r="R2223" s="73"/>
      <c r="S2223" s="73"/>
      <c r="T2223" s="73"/>
      <c r="U2223" s="73"/>
      <c r="V2223" s="73"/>
      <c r="W2223" s="73"/>
      <c r="X2223" s="73"/>
      <c r="Y2223" s="73"/>
      <c r="Z2223" s="73"/>
    </row>
    <row r="2224" spans="1:26" ht="12.75" customHeight="1">
      <c r="A2224" s="73"/>
      <c r="B2224" s="32"/>
      <c r="C2224" s="32"/>
      <c r="D2224" s="33"/>
      <c r="E2224" s="32"/>
      <c r="F2224" s="32"/>
      <c r="G2224" s="74"/>
      <c r="H2224" s="32"/>
      <c r="I2224" s="32"/>
      <c r="J2224" s="32"/>
      <c r="K2224" s="74"/>
      <c r="L2224" s="75"/>
      <c r="M2224" s="32"/>
      <c r="N2224" s="32"/>
      <c r="O2224" s="73"/>
      <c r="P2224" s="73"/>
      <c r="Q2224" s="73"/>
      <c r="R2224" s="73"/>
      <c r="S2224" s="73"/>
      <c r="T2224" s="73"/>
      <c r="U2224" s="73"/>
      <c r="V2224" s="73"/>
      <c r="W2224" s="73"/>
      <c r="X2224" s="73"/>
      <c r="Y2224" s="73"/>
      <c r="Z2224" s="73"/>
    </row>
    <row r="2225" spans="1:26" ht="12.75" customHeight="1">
      <c r="A2225" s="73"/>
      <c r="B2225" s="32"/>
      <c r="C2225" s="32"/>
      <c r="D2225" s="33"/>
      <c r="E2225" s="32"/>
      <c r="F2225" s="32"/>
      <c r="G2225" s="74"/>
      <c r="H2225" s="32"/>
      <c r="I2225" s="32"/>
      <c r="J2225" s="32"/>
      <c r="K2225" s="74"/>
      <c r="L2225" s="75"/>
      <c r="M2225" s="32"/>
      <c r="N2225" s="32"/>
      <c r="O2225" s="73"/>
      <c r="P2225" s="73"/>
      <c r="Q2225" s="73"/>
      <c r="R2225" s="73"/>
      <c r="S2225" s="73"/>
      <c r="T2225" s="73"/>
      <c r="U2225" s="73"/>
      <c r="V2225" s="73"/>
      <c r="W2225" s="73"/>
      <c r="X2225" s="73"/>
      <c r="Y2225" s="73"/>
      <c r="Z2225" s="73"/>
    </row>
    <row r="2226" spans="1:26" ht="12.75" customHeight="1">
      <c r="A2226" s="73"/>
      <c r="B2226" s="32"/>
      <c r="C2226" s="32"/>
      <c r="D2226" s="33"/>
      <c r="E2226" s="32"/>
      <c r="F2226" s="32"/>
      <c r="G2226" s="74"/>
      <c r="H2226" s="32"/>
      <c r="I2226" s="32"/>
      <c r="J2226" s="32"/>
      <c r="K2226" s="74"/>
      <c r="L2226" s="75"/>
      <c r="M2226" s="32"/>
      <c r="N2226" s="32"/>
      <c r="O2226" s="73"/>
      <c r="P2226" s="73"/>
      <c r="Q2226" s="73"/>
      <c r="R2226" s="73"/>
      <c r="S2226" s="73"/>
      <c r="T2226" s="73"/>
      <c r="U2226" s="73"/>
      <c r="V2226" s="73"/>
      <c r="W2226" s="73"/>
      <c r="X2226" s="73"/>
      <c r="Y2226" s="73"/>
      <c r="Z2226" s="73"/>
    </row>
    <row r="2227" spans="1:26" ht="12.75" customHeight="1">
      <c r="A2227" s="73"/>
      <c r="B2227" s="32"/>
      <c r="C2227" s="32"/>
      <c r="D2227" s="33"/>
      <c r="E2227" s="32"/>
      <c r="F2227" s="32"/>
      <c r="G2227" s="74"/>
      <c r="H2227" s="32"/>
      <c r="I2227" s="32"/>
      <c r="J2227" s="32"/>
      <c r="K2227" s="74"/>
      <c r="L2227" s="75"/>
      <c r="M2227" s="32"/>
      <c r="N2227" s="32"/>
      <c r="O2227" s="73"/>
      <c r="P2227" s="73"/>
      <c r="Q2227" s="73"/>
      <c r="R2227" s="73"/>
      <c r="S2227" s="73"/>
      <c r="T2227" s="73"/>
      <c r="U2227" s="73"/>
      <c r="V2227" s="73"/>
      <c r="W2227" s="73"/>
      <c r="X2227" s="73"/>
      <c r="Y2227" s="73"/>
      <c r="Z2227" s="73"/>
    </row>
    <row r="2228" spans="1:26" ht="12.75" customHeight="1">
      <c r="A2228" s="73"/>
      <c r="B2228" s="32"/>
      <c r="C2228" s="32"/>
      <c r="D2228" s="33"/>
      <c r="E2228" s="32"/>
      <c r="F2228" s="32"/>
      <c r="G2228" s="74"/>
      <c r="H2228" s="32"/>
      <c r="I2228" s="32"/>
      <c r="J2228" s="32"/>
      <c r="K2228" s="74"/>
      <c r="L2228" s="75"/>
      <c r="M2228" s="32"/>
      <c r="N2228" s="32"/>
      <c r="O2228" s="73"/>
      <c r="P2228" s="73"/>
      <c r="Q2228" s="73"/>
      <c r="R2228" s="73"/>
      <c r="S2228" s="73"/>
      <c r="T2228" s="73"/>
      <c r="U2228" s="73"/>
      <c r="V2228" s="73"/>
      <c r="W2228" s="73"/>
      <c r="X2228" s="73"/>
      <c r="Y2228" s="73"/>
      <c r="Z2228" s="73"/>
    </row>
    <row r="2229" spans="1:26" ht="12.75" customHeight="1">
      <c r="A2229" s="73"/>
      <c r="B2229" s="32"/>
      <c r="C2229" s="32"/>
      <c r="D2229" s="33"/>
      <c r="E2229" s="32"/>
      <c r="F2229" s="32"/>
      <c r="G2229" s="74"/>
      <c r="H2229" s="32"/>
      <c r="I2229" s="32"/>
      <c r="J2229" s="32"/>
      <c r="K2229" s="74"/>
      <c r="L2229" s="75"/>
      <c r="M2229" s="32"/>
      <c r="N2229" s="32"/>
      <c r="O2229" s="73"/>
      <c r="P2229" s="73"/>
      <c r="Q2229" s="73"/>
      <c r="R2229" s="73"/>
      <c r="S2229" s="73"/>
      <c r="T2229" s="73"/>
      <c r="U2229" s="73"/>
      <c r="V2229" s="73"/>
      <c r="W2229" s="73"/>
      <c r="X2229" s="73"/>
      <c r="Y2229" s="73"/>
      <c r="Z2229" s="73"/>
    </row>
    <row r="2230" spans="1:26" ht="12.75" customHeight="1">
      <c r="A2230" s="73"/>
      <c r="B2230" s="32"/>
      <c r="C2230" s="32"/>
      <c r="D2230" s="33"/>
      <c r="E2230" s="32"/>
      <c r="F2230" s="32"/>
      <c r="G2230" s="74"/>
      <c r="H2230" s="32"/>
      <c r="I2230" s="32"/>
      <c r="J2230" s="32"/>
      <c r="K2230" s="74"/>
      <c r="L2230" s="75"/>
      <c r="M2230" s="32"/>
      <c r="N2230" s="32"/>
      <c r="O2230" s="73"/>
      <c r="P2230" s="73"/>
      <c r="Q2230" s="73"/>
      <c r="R2230" s="73"/>
      <c r="S2230" s="73"/>
      <c r="T2230" s="73"/>
      <c r="U2230" s="73"/>
      <c r="V2230" s="73"/>
      <c r="W2230" s="73"/>
      <c r="X2230" s="73"/>
      <c r="Y2230" s="73"/>
      <c r="Z2230" s="73"/>
    </row>
    <row r="2231" spans="1:26" ht="12.75" customHeight="1">
      <c r="A2231" s="73"/>
      <c r="B2231" s="32"/>
      <c r="C2231" s="32"/>
      <c r="D2231" s="33"/>
      <c r="E2231" s="32"/>
      <c r="F2231" s="32"/>
      <c r="G2231" s="74"/>
      <c r="H2231" s="32"/>
      <c r="I2231" s="32"/>
      <c r="J2231" s="32"/>
      <c r="K2231" s="74"/>
      <c r="L2231" s="75"/>
      <c r="M2231" s="32"/>
      <c r="N2231" s="32"/>
      <c r="O2231" s="73"/>
      <c r="P2231" s="73"/>
      <c r="Q2231" s="73"/>
      <c r="R2231" s="73"/>
      <c r="S2231" s="73"/>
      <c r="T2231" s="73"/>
      <c r="U2231" s="73"/>
      <c r="V2231" s="73"/>
      <c r="W2231" s="73"/>
      <c r="X2231" s="73"/>
      <c r="Y2231" s="73"/>
      <c r="Z2231" s="73"/>
    </row>
    <row r="2232" spans="1:26" ht="12.75" customHeight="1">
      <c r="A2232" s="73"/>
      <c r="B2232" s="32"/>
      <c r="C2232" s="32"/>
      <c r="D2232" s="33"/>
      <c r="E2232" s="32"/>
      <c r="F2232" s="32"/>
      <c r="G2232" s="74"/>
      <c r="H2232" s="32"/>
      <c r="I2232" s="32"/>
      <c r="J2232" s="32"/>
      <c r="K2232" s="74"/>
      <c r="L2232" s="75"/>
      <c r="M2232" s="32"/>
      <c r="N2232" s="32"/>
      <c r="O2232" s="73"/>
      <c r="P2232" s="73"/>
      <c r="Q2232" s="73"/>
      <c r="R2232" s="73"/>
      <c r="S2232" s="73"/>
      <c r="T2232" s="73"/>
      <c r="U2232" s="73"/>
      <c r="V2232" s="73"/>
      <c r="W2232" s="73"/>
      <c r="X2232" s="73"/>
      <c r="Y2232" s="73"/>
      <c r="Z2232" s="73"/>
    </row>
    <row r="2233" spans="1:26" ht="12.75" customHeight="1">
      <c r="A2233" s="73"/>
      <c r="B2233" s="32"/>
      <c r="C2233" s="32"/>
      <c r="D2233" s="33"/>
      <c r="E2233" s="32"/>
      <c r="F2233" s="32"/>
      <c r="G2233" s="74"/>
      <c r="H2233" s="32"/>
      <c r="I2233" s="32"/>
      <c r="J2233" s="32"/>
      <c r="K2233" s="74"/>
      <c r="L2233" s="75"/>
      <c r="M2233" s="32"/>
      <c r="N2233" s="32"/>
      <c r="O2233" s="73"/>
      <c r="P2233" s="73"/>
      <c r="Q2233" s="73"/>
      <c r="R2233" s="73"/>
      <c r="S2233" s="73"/>
      <c r="T2233" s="73"/>
      <c r="U2233" s="73"/>
      <c r="V2233" s="73"/>
      <c r="W2233" s="73"/>
      <c r="X2233" s="73"/>
      <c r="Y2233" s="73"/>
      <c r="Z2233" s="73"/>
    </row>
    <row r="2234" spans="1:26" ht="12.75" customHeight="1">
      <c r="A2234" s="73"/>
      <c r="B2234" s="32"/>
      <c r="C2234" s="32"/>
      <c r="D2234" s="33"/>
      <c r="E2234" s="32"/>
      <c r="F2234" s="32"/>
      <c r="G2234" s="74"/>
      <c r="H2234" s="32"/>
      <c r="I2234" s="32"/>
      <c r="J2234" s="32"/>
      <c r="K2234" s="74"/>
      <c r="L2234" s="75"/>
      <c r="M2234" s="32"/>
      <c r="N2234" s="32"/>
      <c r="O2234" s="73"/>
      <c r="P2234" s="73"/>
      <c r="Q2234" s="73"/>
      <c r="R2234" s="73"/>
      <c r="S2234" s="73"/>
      <c r="T2234" s="73"/>
      <c r="U2234" s="73"/>
      <c r="V2234" s="73"/>
      <c r="W2234" s="73"/>
      <c r="X2234" s="73"/>
      <c r="Y2234" s="73"/>
      <c r="Z2234" s="73"/>
    </row>
    <row r="2235" spans="1:26" ht="12.75" customHeight="1">
      <c r="A2235" s="73"/>
      <c r="B2235" s="32"/>
      <c r="C2235" s="32"/>
      <c r="D2235" s="33"/>
      <c r="E2235" s="32"/>
      <c r="F2235" s="32"/>
      <c r="G2235" s="74"/>
      <c r="H2235" s="32"/>
      <c r="I2235" s="32"/>
      <c r="J2235" s="32"/>
      <c r="K2235" s="74"/>
      <c r="L2235" s="75"/>
      <c r="M2235" s="32"/>
      <c r="N2235" s="32"/>
      <c r="O2235" s="73"/>
      <c r="P2235" s="73"/>
      <c r="Q2235" s="73"/>
      <c r="R2235" s="73"/>
      <c r="S2235" s="73"/>
      <c r="T2235" s="73"/>
      <c r="U2235" s="73"/>
      <c r="V2235" s="73"/>
      <c r="W2235" s="73"/>
      <c r="X2235" s="73"/>
      <c r="Y2235" s="73"/>
      <c r="Z2235" s="73"/>
    </row>
    <row r="2236" spans="1:26" ht="12.75" customHeight="1">
      <c r="A2236" s="73"/>
      <c r="B2236" s="32"/>
      <c r="C2236" s="32"/>
      <c r="D2236" s="33"/>
      <c r="E2236" s="32"/>
      <c r="F2236" s="32"/>
      <c r="G2236" s="74"/>
      <c r="H2236" s="32"/>
      <c r="I2236" s="32"/>
      <c r="J2236" s="32"/>
      <c r="K2236" s="74"/>
      <c r="L2236" s="75"/>
      <c r="M2236" s="32"/>
      <c r="N2236" s="32"/>
      <c r="O2236" s="73"/>
      <c r="P2236" s="73"/>
      <c r="Q2236" s="73"/>
      <c r="R2236" s="73"/>
      <c r="S2236" s="73"/>
      <c r="T2236" s="73"/>
      <c r="U2236" s="73"/>
      <c r="V2236" s="73"/>
      <c r="W2236" s="73"/>
      <c r="X2236" s="73"/>
      <c r="Y2236" s="73"/>
      <c r="Z2236" s="73"/>
    </row>
    <row r="2237" spans="1:26" ht="12.75" customHeight="1">
      <c r="A2237" s="73"/>
      <c r="B2237" s="32"/>
      <c r="C2237" s="32"/>
      <c r="D2237" s="33"/>
      <c r="E2237" s="32"/>
      <c r="F2237" s="32"/>
      <c r="G2237" s="74"/>
      <c r="H2237" s="32"/>
      <c r="I2237" s="32"/>
      <c r="J2237" s="32"/>
      <c r="K2237" s="74"/>
      <c r="L2237" s="75"/>
      <c r="M2237" s="32"/>
      <c r="N2237" s="32"/>
      <c r="O2237" s="73"/>
      <c r="P2237" s="73"/>
      <c r="Q2237" s="73"/>
      <c r="R2237" s="73"/>
      <c r="S2237" s="73"/>
      <c r="T2237" s="73"/>
      <c r="U2237" s="73"/>
      <c r="V2237" s="73"/>
      <c r="W2237" s="73"/>
      <c r="X2237" s="73"/>
      <c r="Y2237" s="73"/>
      <c r="Z2237" s="73"/>
    </row>
    <row r="2238" spans="1:26" ht="12.75" customHeight="1">
      <c r="A2238" s="73"/>
      <c r="B2238" s="32"/>
      <c r="C2238" s="32"/>
      <c r="D2238" s="33"/>
      <c r="E2238" s="32"/>
      <c r="F2238" s="32"/>
      <c r="G2238" s="74"/>
      <c r="H2238" s="32"/>
      <c r="I2238" s="32"/>
      <c r="J2238" s="32"/>
      <c r="K2238" s="74"/>
      <c r="L2238" s="75"/>
      <c r="M2238" s="32"/>
      <c r="N2238" s="32"/>
      <c r="O2238" s="73"/>
      <c r="P2238" s="73"/>
      <c r="Q2238" s="73"/>
      <c r="R2238" s="73"/>
      <c r="S2238" s="73"/>
      <c r="T2238" s="73"/>
      <c r="U2238" s="73"/>
      <c r="V2238" s="73"/>
      <c r="W2238" s="73"/>
      <c r="X2238" s="73"/>
      <c r="Y2238" s="73"/>
      <c r="Z2238" s="73"/>
    </row>
    <row r="2239" spans="1:26" ht="12.75" customHeight="1">
      <c r="A2239" s="73"/>
      <c r="B2239" s="32"/>
      <c r="C2239" s="32"/>
      <c r="D2239" s="33"/>
      <c r="E2239" s="32"/>
      <c r="F2239" s="32"/>
      <c r="G2239" s="74"/>
      <c r="H2239" s="32"/>
      <c r="I2239" s="32"/>
      <c r="J2239" s="32"/>
      <c r="K2239" s="74"/>
      <c r="L2239" s="75"/>
      <c r="M2239" s="32"/>
      <c r="N2239" s="32"/>
      <c r="O2239" s="73"/>
      <c r="P2239" s="73"/>
      <c r="Q2239" s="73"/>
      <c r="R2239" s="73"/>
      <c r="S2239" s="73"/>
      <c r="T2239" s="73"/>
      <c r="U2239" s="73"/>
      <c r="V2239" s="73"/>
      <c r="W2239" s="73"/>
      <c r="X2239" s="73"/>
      <c r="Y2239" s="73"/>
      <c r="Z2239" s="73"/>
    </row>
    <row r="2240" spans="1:26" ht="12.75" customHeight="1">
      <c r="A2240" s="73"/>
      <c r="B2240" s="32"/>
      <c r="C2240" s="32"/>
      <c r="D2240" s="33"/>
      <c r="E2240" s="32"/>
      <c r="F2240" s="32"/>
      <c r="G2240" s="74"/>
      <c r="H2240" s="32"/>
      <c r="I2240" s="32"/>
      <c r="J2240" s="32"/>
      <c r="K2240" s="74"/>
      <c r="L2240" s="75"/>
      <c r="M2240" s="32"/>
      <c r="N2240" s="32"/>
      <c r="O2240" s="73"/>
      <c r="P2240" s="73"/>
      <c r="Q2240" s="73"/>
      <c r="R2240" s="73"/>
      <c r="S2240" s="73"/>
      <c r="T2240" s="73"/>
      <c r="U2240" s="73"/>
      <c r="V2240" s="73"/>
      <c r="W2240" s="73"/>
      <c r="X2240" s="73"/>
      <c r="Y2240" s="73"/>
      <c r="Z2240" s="73"/>
    </row>
    <row r="2241" spans="1:26" ht="12.75" customHeight="1">
      <c r="A2241" s="73"/>
      <c r="B2241" s="32"/>
      <c r="C2241" s="32"/>
      <c r="D2241" s="33"/>
      <c r="E2241" s="32"/>
      <c r="F2241" s="32"/>
      <c r="G2241" s="74"/>
      <c r="H2241" s="32"/>
      <c r="I2241" s="32"/>
      <c r="J2241" s="32"/>
      <c r="K2241" s="74"/>
      <c r="L2241" s="75"/>
      <c r="M2241" s="32"/>
      <c r="N2241" s="32"/>
      <c r="O2241" s="73"/>
      <c r="P2241" s="73"/>
      <c r="Q2241" s="73"/>
      <c r="R2241" s="73"/>
      <c r="S2241" s="73"/>
      <c r="T2241" s="73"/>
      <c r="U2241" s="73"/>
      <c r="V2241" s="73"/>
      <c r="W2241" s="73"/>
      <c r="X2241" s="73"/>
      <c r="Y2241" s="73"/>
      <c r="Z2241" s="73"/>
    </row>
    <row r="2242" spans="1:26" ht="12.75" customHeight="1">
      <c r="A2242" s="73"/>
      <c r="B2242" s="32"/>
      <c r="C2242" s="32"/>
      <c r="D2242" s="33"/>
      <c r="E2242" s="32"/>
      <c r="F2242" s="32"/>
      <c r="G2242" s="74"/>
      <c r="H2242" s="32"/>
      <c r="I2242" s="32"/>
      <c r="J2242" s="32"/>
      <c r="K2242" s="74"/>
      <c r="L2242" s="75"/>
      <c r="M2242" s="32"/>
      <c r="N2242" s="32"/>
      <c r="O2242" s="73"/>
      <c r="P2242" s="73"/>
      <c r="Q2242" s="73"/>
      <c r="R2242" s="73"/>
      <c r="S2242" s="73"/>
      <c r="T2242" s="73"/>
      <c r="U2242" s="73"/>
      <c r="V2242" s="73"/>
      <c r="W2242" s="73"/>
      <c r="X2242" s="73"/>
      <c r="Y2242" s="73"/>
      <c r="Z2242" s="73"/>
    </row>
    <row r="2243" spans="1:26" ht="12.75" customHeight="1">
      <c r="A2243" s="73"/>
      <c r="B2243" s="32"/>
      <c r="C2243" s="32"/>
      <c r="D2243" s="33"/>
      <c r="E2243" s="32"/>
      <c r="F2243" s="32"/>
      <c r="G2243" s="74"/>
      <c r="H2243" s="32"/>
      <c r="I2243" s="32"/>
      <c r="J2243" s="32"/>
      <c r="K2243" s="74"/>
      <c r="L2243" s="75"/>
      <c r="M2243" s="32"/>
      <c r="N2243" s="32"/>
      <c r="O2243" s="73"/>
      <c r="P2243" s="73"/>
      <c r="Q2243" s="73"/>
      <c r="R2243" s="73"/>
      <c r="S2243" s="73"/>
      <c r="T2243" s="73"/>
      <c r="U2243" s="73"/>
      <c r="V2243" s="73"/>
      <c r="W2243" s="73"/>
      <c r="X2243" s="73"/>
      <c r="Y2243" s="73"/>
      <c r="Z2243" s="73"/>
    </row>
    <row r="2244" spans="1:26" ht="12.75" customHeight="1">
      <c r="A2244" s="73"/>
      <c r="B2244" s="32"/>
      <c r="C2244" s="32"/>
      <c r="D2244" s="33"/>
      <c r="E2244" s="32"/>
      <c r="F2244" s="32"/>
      <c r="G2244" s="74"/>
      <c r="H2244" s="32"/>
      <c r="I2244" s="32"/>
      <c r="J2244" s="32"/>
      <c r="K2244" s="74"/>
      <c r="L2244" s="75"/>
      <c r="M2244" s="32"/>
      <c r="N2244" s="32"/>
      <c r="O2244" s="73"/>
      <c r="P2244" s="73"/>
      <c r="Q2244" s="73"/>
      <c r="R2244" s="73"/>
      <c r="S2244" s="73"/>
      <c r="T2244" s="73"/>
      <c r="U2244" s="73"/>
      <c r="V2244" s="73"/>
      <c r="W2244" s="73"/>
      <c r="X2244" s="73"/>
      <c r="Y2244" s="73"/>
      <c r="Z2244" s="73"/>
    </row>
    <row r="2245" spans="1:26" ht="12.75" customHeight="1">
      <c r="A2245" s="73"/>
      <c r="B2245" s="32"/>
      <c r="C2245" s="32"/>
      <c r="D2245" s="33"/>
      <c r="E2245" s="32"/>
      <c r="F2245" s="32"/>
      <c r="G2245" s="74"/>
      <c r="H2245" s="32"/>
      <c r="I2245" s="32"/>
      <c r="J2245" s="32"/>
      <c r="K2245" s="74"/>
      <c r="L2245" s="75"/>
      <c r="M2245" s="32"/>
      <c r="N2245" s="32"/>
      <c r="O2245" s="73"/>
      <c r="P2245" s="73"/>
      <c r="Q2245" s="73"/>
      <c r="R2245" s="73"/>
      <c r="S2245" s="73"/>
      <c r="T2245" s="73"/>
      <c r="U2245" s="73"/>
      <c r="V2245" s="73"/>
      <c r="W2245" s="73"/>
      <c r="X2245" s="73"/>
      <c r="Y2245" s="73"/>
      <c r="Z2245" s="73"/>
    </row>
    <row r="2246" spans="1:26" ht="12.75" customHeight="1">
      <c r="A2246" s="73"/>
      <c r="B2246" s="32"/>
      <c r="C2246" s="32"/>
      <c r="D2246" s="33"/>
      <c r="E2246" s="32"/>
      <c r="F2246" s="32"/>
      <c r="G2246" s="74"/>
      <c r="H2246" s="32"/>
      <c r="I2246" s="32"/>
      <c r="J2246" s="32"/>
      <c r="K2246" s="74"/>
      <c r="L2246" s="75"/>
      <c r="M2246" s="32"/>
      <c r="N2246" s="32"/>
      <c r="O2246" s="73"/>
      <c r="P2246" s="73"/>
      <c r="Q2246" s="73"/>
      <c r="R2246" s="73"/>
      <c r="S2246" s="73"/>
      <c r="T2246" s="73"/>
      <c r="U2246" s="73"/>
      <c r="V2246" s="73"/>
      <c r="W2246" s="73"/>
      <c r="X2246" s="73"/>
      <c r="Y2246" s="73"/>
      <c r="Z2246" s="73"/>
    </row>
    <row r="2247" spans="1:26" ht="12.75" customHeight="1">
      <c r="A2247" s="73"/>
      <c r="B2247" s="32"/>
      <c r="C2247" s="32"/>
      <c r="D2247" s="33"/>
      <c r="E2247" s="32"/>
      <c r="F2247" s="32"/>
      <c r="G2247" s="74"/>
      <c r="H2247" s="32"/>
      <c r="I2247" s="32"/>
      <c r="J2247" s="32"/>
      <c r="K2247" s="74"/>
      <c r="L2247" s="75"/>
      <c r="M2247" s="32"/>
      <c r="N2247" s="32"/>
      <c r="O2247" s="73"/>
      <c r="P2247" s="73"/>
      <c r="Q2247" s="73"/>
      <c r="R2247" s="73"/>
      <c r="S2247" s="73"/>
      <c r="T2247" s="73"/>
      <c r="U2247" s="73"/>
      <c r="V2247" s="73"/>
      <c r="W2247" s="73"/>
      <c r="X2247" s="73"/>
      <c r="Y2247" s="73"/>
      <c r="Z2247" s="73"/>
    </row>
    <row r="2248" spans="1:26" ht="12.75" customHeight="1">
      <c r="A2248" s="73"/>
      <c r="B2248" s="32"/>
      <c r="C2248" s="32"/>
      <c r="D2248" s="33"/>
      <c r="E2248" s="32"/>
      <c r="F2248" s="32"/>
      <c r="G2248" s="74"/>
      <c r="H2248" s="32"/>
      <c r="I2248" s="32"/>
      <c r="J2248" s="32"/>
      <c r="K2248" s="74"/>
      <c r="L2248" s="75"/>
      <c r="M2248" s="32"/>
      <c r="N2248" s="32"/>
      <c r="O2248" s="73"/>
      <c r="P2248" s="73"/>
      <c r="Q2248" s="73"/>
      <c r="R2248" s="73"/>
      <c r="S2248" s="73"/>
      <c r="T2248" s="73"/>
      <c r="U2248" s="73"/>
      <c r="V2248" s="73"/>
      <c r="W2248" s="73"/>
      <c r="X2248" s="73"/>
      <c r="Y2248" s="73"/>
      <c r="Z2248" s="73"/>
    </row>
    <row r="2249" spans="1:26" ht="12.75" customHeight="1">
      <c r="A2249" s="73"/>
      <c r="B2249" s="32"/>
      <c r="C2249" s="32"/>
      <c r="D2249" s="33"/>
      <c r="E2249" s="32"/>
      <c r="F2249" s="32"/>
      <c r="G2249" s="74"/>
      <c r="H2249" s="32"/>
      <c r="I2249" s="32"/>
      <c r="J2249" s="32"/>
      <c r="K2249" s="74"/>
      <c r="L2249" s="75"/>
      <c r="M2249" s="32"/>
      <c r="N2249" s="32"/>
      <c r="O2249" s="73"/>
      <c r="P2249" s="73"/>
      <c r="Q2249" s="73"/>
      <c r="R2249" s="73"/>
      <c r="S2249" s="73"/>
      <c r="T2249" s="73"/>
      <c r="U2249" s="73"/>
      <c r="V2249" s="73"/>
      <c r="W2249" s="73"/>
      <c r="X2249" s="73"/>
      <c r="Y2249" s="73"/>
      <c r="Z2249" s="73"/>
    </row>
    <row r="2250" spans="1:26" ht="12.75" customHeight="1">
      <c r="A2250" s="73"/>
      <c r="B2250" s="32"/>
      <c r="C2250" s="32"/>
      <c r="D2250" s="33"/>
      <c r="E2250" s="32"/>
      <c r="F2250" s="32"/>
      <c r="G2250" s="74"/>
      <c r="H2250" s="32"/>
      <c r="I2250" s="32"/>
      <c r="J2250" s="32"/>
      <c r="K2250" s="74"/>
      <c r="L2250" s="75"/>
      <c r="M2250" s="32"/>
      <c r="N2250" s="32"/>
      <c r="O2250" s="73"/>
      <c r="P2250" s="73"/>
      <c r="Q2250" s="73"/>
      <c r="R2250" s="73"/>
      <c r="S2250" s="73"/>
      <c r="T2250" s="73"/>
      <c r="U2250" s="73"/>
      <c r="V2250" s="73"/>
      <c r="W2250" s="73"/>
      <c r="X2250" s="73"/>
      <c r="Y2250" s="73"/>
      <c r="Z2250" s="73"/>
    </row>
    <row r="2251" spans="1:26" ht="12.75" customHeight="1">
      <c r="A2251" s="73"/>
      <c r="B2251" s="32"/>
      <c r="C2251" s="32"/>
      <c r="D2251" s="33"/>
      <c r="E2251" s="32"/>
      <c r="F2251" s="32"/>
      <c r="G2251" s="74"/>
      <c r="H2251" s="32"/>
      <c r="I2251" s="32"/>
      <c r="J2251" s="32"/>
      <c r="K2251" s="74"/>
      <c r="L2251" s="75"/>
      <c r="M2251" s="32"/>
      <c r="N2251" s="32"/>
      <c r="O2251" s="73"/>
      <c r="P2251" s="73"/>
      <c r="Q2251" s="73"/>
      <c r="R2251" s="73"/>
      <c r="S2251" s="73"/>
      <c r="T2251" s="73"/>
      <c r="U2251" s="73"/>
      <c r="V2251" s="73"/>
      <c r="W2251" s="73"/>
      <c r="X2251" s="73"/>
      <c r="Y2251" s="73"/>
      <c r="Z2251" s="73"/>
    </row>
    <row r="2252" spans="1:26" ht="12.75" customHeight="1">
      <c r="A2252" s="73"/>
      <c r="B2252" s="32"/>
      <c r="C2252" s="32"/>
      <c r="D2252" s="33"/>
      <c r="E2252" s="32"/>
      <c r="F2252" s="32"/>
      <c r="G2252" s="74"/>
      <c r="H2252" s="32"/>
      <c r="I2252" s="32"/>
      <c r="J2252" s="32"/>
      <c r="K2252" s="74"/>
      <c r="L2252" s="75"/>
      <c r="M2252" s="32"/>
      <c r="N2252" s="32"/>
      <c r="O2252" s="73"/>
      <c r="P2252" s="73"/>
      <c r="Q2252" s="73"/>
      <c r="R2252" s="73"/>
      <c r="S2252" s="73"/>
      <c r="T2252" s="73"/>
      <c r="U2252" s="73"/>
      <c r="V2252" s="73"/>
      <c r="W2252" s="73"/>
      <c r="X2252" s="73"/>
      <c r="Y2252" s="73"/>
      <c r="Z2252" s="73"/>
    </row>
    <row r="2253" spans="1:26" ht="12.75" customHeight="1">
      <c r="A2253" s="73"/>
      <c r="B2253" s="32"/>
      <c r="C2253" s="32"/>
      <c r="D2253" s="33"/>
      <c r="E2253" s="32"/>
      <c r="F2253" s="32"/>
      <c r="G2253" s="74"/>
      <c r="H2253" s="32"/>
      <c r="I2253" s="32"/>
      <c r="J2253" s="32"/>
      <c r="K2253" s="74"/>
      <c r="L2253" s="75"/>
      <c r="M2253" s="32"/>
      <c r="N2253" s="32"/>
      <c r="O2253" s="73"/>
      <c r="P2253" s="73"/>
      <c r="Q2253" s="73"/>
      <c r="R2253" s="73"/>
      <c r="S2253" s="73"/>
      <c r="T2253" s="73"/>
      <c r="U2253" s="73"/>
      <c r="V2253" s="73"/>
      <c r="W2253" s="73"/>
      <c r="X2253" s="73"/>
      <c r="Y2253" s="73"/>
      <c r="Z2253" s="73"/>
    </row>
    <row r="2254" spans="1:26" ht="12.75" customHeight="1">
      <c r="A2254" s="73"/>
      <c r="B2254" s="32"/>
      <c r="C2254" s="32"/>
      <c r="D2254" s="33"/>
      <c r="E2254" s="32"/>
      <c r="F2254" s="32"/>
      <c r="G2254" s="74"/>
      <c r="H2254" s="32"/>
      <c r="I2254" s="32"/>
      <c r="J2254" s="32"/>
      <c r="K2254" s="74"/>
      <c r="L2254" s="75"/>
      <c r="M2254" s="32"/>
      <c r="N2254" s="32"/>
      <c r="O2254" s="73"/>
      <c r="P2254" s="73"/>
      <c r="Q2254" s="73"/>
      <c r="R2254" s="73"/>
      <c r="S2254" s="73"/>
      <c r="T2254" s="73"/>
      <c r="U2254" s="73"/>
      <c r="V2254" s="73"/>
      <c r="W2254" s="73"/>
      <c r="X2254" s="73"/>
      <c r="Y2254" s="73"/>
      <c r="Z2254" s="73"/>
    </row>
  </sheetData>
  <mergeCells count="6">
    <mergeCell ref="C17:G17"/>
    <mergeCell ref="B9:C9"/>
    <mergeCell ref="B10:C10"/>
    <mergeCell ref="B11:D11"/>
    <mergeCell ref="B12:F12"/>
    <mergeCell ref="C14:G14"/>
  </mergeCells>
  <pageMargins left="0.25" right="0.25" top="0.75" bottom="0.75" header="0.3" footer="0.3"/>
  <pageSetup paperSize="5" scale="3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2000"/>
  <sheetViews>
    <sheetView showGridLines="0" workbookViewId="0">
      <selection activeCell="S1032" sqref="A1:S1032"/>
    </sheetView>
  </sheetViews>
  <sheetFormatPr baseColWidth="10" defaultColWidth="12.5703125" defaultRowHeight="15" customHeight="1"/>
  <cols>
    <col min="1" max="1" width="3.5703125" customWidth="1"/>
    <col min="2" max="2" width="52.28515625" customWidth="1"/>
    <col min="3" max="3" width="26.85546875" customWidth="1"/>
    <col min="4" max="5" width="27.28515625" customWidth="1"/>
    <col min="6" max="6" width="29.42578125" customWidth="1"/>
    <col min="7" max="7" width="17.85546875" customWidth="1"/>
    <col min="8" max="8" width="27.140625" customWidth="1"/>
    <col min="9" max="9" width="21.140625" customWidth="1"/>
    <col min="10" max="10" width="23.85546875" customWidth="1"/>
    <col min="11" max="11" width="25.28515625" customWidth="1"/>
    <col min="12" max="12" width="15.5703125" customWidth="1"/>
    <col min="13" max="13" width="17.85546875" customWidth="1"/>
    <col min="14" max="14" width="22.7109375" customWidth="1"/>
    <col min="15" max="27" width="10.5703125" customWidth="1"/>
  </cols>
  <sheetData>
    <row r="1" spans="1:27" ht="12.75" customHeight="1">
      <c r="A1" s="1"/>
      <c r="B1" s="46"/>
      <c r="C1" s="1"/>
      <c r="D1" s="1"/>
      <c r="E1" s="1"/>
      <c r="F1" s="1"/>
      <c r="G1" s="66"/>
      <c r="H1" s="1"/>
      <c r="I1" s="1"/>
      <c r="J1" s="66"/>
      <c r="K1" s="1"/>
      <c r="L1" s="1"/>
      <c r="M1" s="1"/>
      <c r="N1" s="1"/>
      <c r="O1" s="59"/>
      <c r="P1" s="1"/>
      <c r="Q1" s="1"/>
      <c r="R1" s="1"/>
      <c r="S1" s="1"/>
      <c r="T1" s="1"/>
      <c r="U1" s="1"/>
      <c r="V1" s="1"/>
      <c r="W1" s="1"/>
      <c r="X1" s="1"/>
      <c r="Y1" s="1"/>
      <c r="Z1" s="1"/>
      <c r="AA1" s="1"/>
    </row>
    <row r="2" spans="1:27" ht="12.75" customHeight="1">
      <c r="A2" s="1"/>
      <c r="B2" s="46"/>
      <c r="C2" s="1"/>
      <c r="D2" s="1"/>
      <c r="E2" s="1"/>
      <c r="F2" s="1"/>
      <c r="G2" s="66"/>
      <c r="H2" s="1"/>
      <c r="I2" s="1"/>
      <c r="J2" s="66"/>
      <c r="K2" s="1"/>
      <c r="L2" s="1"/>
      <c r="M2" s="1"/>
      <c r="N2" s="1"/>
      <c r="O2" s="59"/>
      <c r="P2" s="1"/>
      <c r="Q2" s="1"/>
      <c r="R2" s="1"/>
      <c r="S2" s="1"/>
      <c r="T2" s="1"/>
      <c r="U2" s="1"/>
      <c r="V2" s="1"/>
      <c r="W2" s="1"/>
      <c r="X2" s="1"/>
      <c r="Y2" s="1"/>
      <c r="Z2" s="1"/>
      <c r="AA2" s="1"/>
    </row>
    <row r="3" spans="1:27" ht="12.75" customHeight="1">
      <c r="A3" s="1"/>
      <c r="B3" s="46"/>
      <c r="C3" s="1"/>
      <c r="D3" s="1"/>
      <c r="E3" s="1"/>
      <c r="F3" s="1"/>
      <c r="G3" s="66"/>
      <c r="H3" s="1"/>
      <c r="I3" s="1"/>
      <c r="J3" s="66"/>
      <c r="K3" s="1"/>
      <c r="L3" s="1"/>
      <c r="M3" s="1"/>
      <c r="N3" s="1"/>
      <c r="O3" s="59"/>
      <c r="P3" s="1"/>
      <c r="Q3" s="1"/>
      <c r="R3" s="1"/>
      <c r="S3" s="1"/>
      <c r="T3" s="1"/>
      <c r="U3" s="1"/>
      <c r="V3" s="1"/>
      <c r="W3" s="1"/>
      <c r="X3" s="1"/>
      <c r="Y3" s="1"/>
      <c r="Z3" s="1"/>
      <c r="AA3" s="1"/>
    </row>
    <row r="4" spans="1:27" ht="12.75" customHeight="1">
      <c r="A4" s="1"/>
      <c r="B4" s="46"/>
      <c r="C4" s="1"/>
      <c r="D4" s="1"/>
      <c r="E4" s="1"/>
      <c r="F4" s="1"/>
      <c r="G4" s="66"/>
      <c r="H4" s="1"/>
      <c r="I4" s="1"/>
      <c r="J4" s="66"/>
      <c r="K4" s="1"/>
      <c r="L4" s="1"/>
      <c r="M4" s="1"/>
      <c r="N4" s="1"/>
      <c r="O4" s="59"/>
      <c r="P4" s="1"/>
      <c r="Q4" s="1"/>
      <c r="R4" s="1"/>
      <c r="S4" s="1"/>
      <c r="T4" s="1"/>
      <c r="U4" s="1"/>
      <c r="V4" s="1"/>
      <c r="W4" s="1"/>
      <c r="X4" s="1"/>
      <c r="Y4" s="1"/>
      <c r="Z4" s="1"/>
      <c r="AA4" s="1"/>
    </row>
    <row r="5" spans="1:27" ht="12.75" customHeight="1">
      <c r="A5" s="1"/>
      <c r="B5" s="46"/>
      <c r="C5" s="1"/>
      <c r="D5" s="1"/>
      <c r="E5" s="1"/>
      <c r="F5" s="1"/>
      <c r="G5" s="66"/>
      <c r="H5" s="1"/>
      <c r="I5" s="1"/>
      <c r="J5" s="66"/>
      <c r="K5" s="1"/>
      <c r="L5" s="1"/>
      <c r="M5" s="1"/>
      <c r="N5" s="1"/>
      <c r="O5" s="59"/>
      <c r="P5" s="1"/>
      <c r="Q5" s="1"/>
      <c r="R5" s="1"/>
      <c r="S5" s="1"/>
      <c r="T5" s="1"/>
      <c r="U5" s="1"/>
      <c r="V5" s="1"/>
      <c r="W5" s="1"/>
      <c r="X5" s="1"/>
      <c r="Y5" s="1"/>
      <c r="Z5" s="1"/>
      <c r="AA5" s="1"/>
    </row>
    <row r="6" spans="1:27" ht="12.75" customHeight="1">
      <c r="A6" s="1"/>
      <c r="B6" s="46"/>
      <c r="C6" s="1"/>
      <c r="D6" s="1"/>
      <c r="E6" s="1"/>
      <c r="F6" s="1"/>
      <c r="G6" s="66"/>
      <c r="H6" s="1"/>
      <c r="I6" s="1"/>
      <c r="J6" s="66"/>
      <c r="K6" s="1"/>
      <c r="L6" s="1"/>
      <c r="M6" s="1"/>
      <c r="N6" s="1"/>
      <c r="O6" s="59"/>
      <c r="P6" s="1"/>
      <c r="Q6" s="1"/>
      <c r="R6" s="1"/>
      <c r="S6" s="1"/>
      <c r="T6" s="1"/>
      <c r="U6" s="1"/>
      <c r="V6" s="1"/>
      <c r="W6" s="1"/>
      <c r="X6" s="1"/>
      <c r="Y6" s="1"/>
      <c r="Z6" s="1"/>
      <c r="AA6" s="1"/>
    </row>
    <row r="7" spans="1:27" ht="12.75" customHeight="1">
      <c r="A7" s="1"/>
      <c r="B7" s="46"/>
      <c r="C7" s="1"/>
      <c r="D7" s="1"/>
      <c r="E7" s="1"/>
      <c r="F7" s="1"/>
      <c r="G7" s="66"/>
      <c r="H7" s="1"/>
      <c r="I7" s="1"/>
      <c r="J7" s="66"/>
      <c r="K7" s="1"/>
      <c r="L7" s="1"/>
      <c r="M7" s="1"/>
      <c r="N7" s="1"/>
      <c r="O7" s="59"/>
      <c r="P7" s="1"/>
      <c r="Q7" s="1"/>
      <c r="R7" s="1"/>
      <c r="S7" s="1"/>
      <c r="T7" s="1"/>
      <c r="U7" s="1"/>
      <c r="V7" s="1"/>
      <c r="W7" s="1"/>
      <c r="X7" s="1"/>
      <c r="Y7" s="1"/>
      <c r="Z7" s="1"/>
      <c r="AA7" s="1"/>
    </row>
    <row r="8" spans="1:27" ht="12.75" customHeight="1">
      <c r="A8" s="1"/>
      <c r="B8" s="2" t="str">
        <f>'24.03.034'!B8</f>
        <v>4° Trimestre</v>
      </c>
      <c r="C8" s="3"/>
      <c r="D8" s="1"/>
      <c r="E8" s="1"/>
      <c r="F8" s="1"/>
      <c r="G8" s="66"/>
      <c r="H8" s="1"/>
      <c r="I8" s="1"/>
      <c r="J8" s="66"/>
      <c r="K8" s="1"/>
      <c r="L8" s="1"/>
      <c r="M8" s="1"/>
      <c r="N8" s="1"/>
      <c r="O8" s="59"/>
      <c r="P8" s="1"/>
      <c r="Q8" s="1"/>
      <c r="R8" s="1"/>
      <c r="S8" s="1"/>
      <c r="T8" s="1"/>
      <c r="U8" s="1"/>
      <c r="V8" s="1"/>
      <c r="W8" s="1"/>
      <c r="X8" s="1"/>
      <c r="Y8" s="1"/>
      <c r="Z8" s="1"/>
      <c r="AA8" s="1"/>
    </row>
    <row r="9" spans="1:27" ht="12.75" customHeight="1">
      <c r="A9" s="1"/>
      <c r="B9" s="110" t="s">
        <v>1</v>
      </c>
      <c r="C9" s="111"/>
      <c r="D9" s="79"/>
      <c r="E9" s="1"/>
      <c r="F9" s="1"/>
      <c r="G9" s="66"/>
      <c r="H9" s="1"/>
      <c r="I9" s="1"/>
      <c r="J9" s="66"/>
      <c r="K9" s="1"/>
      <c r="L9" s="1"/>
      <c r="M9" s="1"/>
      <c r="N9" s="1"/>
      <c r="O9" s="59"/>
      <c r="P9" s="1"/>
      <c r="Q9" s="1"/>
      <c r="R9" s="1"/>
      <c r="S9" s="1"/>
      <c r="T9" s="1"/>
      <c r="U9" s="1"/>
      <c r="V9" s="1"/>
      <c r="W9" s="1"/>
      <c r="X9" s="1"/>
      <c r="Y9" s="1"/>
      <c r="Z9" s="1"/>
      <c r="AA9" s="1"/>
    </row>
    <row r="10" spans="1:27" ht="12.75" customHeight="1">
      <c r="A10" s="1"/>
      <c r="B10" s="110" t="s">
        <v>2</v>
      </c>
      <c r="C10" s="111"/>
      <c r="D10" s="79"/>
      <c r="E10" s="1"/>
      <c r="F10" s="1"/>
      <c r="G10" s="66"/>
      <c r="H10" s="1"/>
      <c r="I10" s="1"/>
      <c r="J10" s="66"/>
      <c r="K10" s="1"/>
      <c r="L10" s="1"/>
      <c r="M10" s="1"/>
      <c r="N10" s="1"/>
      <c r="O10" s="59"/>
      <c r="P10" s="1"/>
      <c r="Q10" s="1"/>
      <c r="R10" s="1"/>
      <c r="S10" s="1"/>
      <c r="T10" s="1"/>
      <c r="U10" s="1"/>
      <c r="V10" s="1"/>
      <c r="W10" s="1"/>
      <c r="X10" s="1"/>
      <c r="Y10" s="1"/>
      <c r="Z10" s="1"/>
      <c r="AA10" s="1"/>
    </row>
    <row r="11" spans="1:27" ht="12.75" customHeight="1">
      <c r="A11" s="1"/>
      <c r="B11" s="110" t="s">
        <v>119</v>
      </c>
      <c r="C11" s="111"/>
      <c r="D11" s="79"/>
      <c r="E11" s="1"/>
      <c r="F11" s="1"/>
      <c r="G11" s="66"/>
      <c r="H11" s="1"/>
      <c r="I11" s="1"/>
      <c r="J11" s="66"/>
      <c r="K11" s="1"/>
      <c r="L11" s="1"/>
      <c r="M11" s="1"/>
      <c r="N11" s="1"/>
      <c r="O11" s="59"/>
      <c r="P11" s="1"/>
      <c r="Q11" s="1"/>
      <c r="R11" s="1"/>
      <c r="S11" s="1"/>
      <c r="T11" s="1"/>
      <c r="U11" s="1"/>
      <c r="V11" s="1"/>
      <c r="W11" s="1"/>
      <c r="X11" s="1"/>
      <c r="Y11" s="1"/>
      <c r="Z11" s="1"/>
      <c r="AA11" s="1"/>
    </row>
    <row r="12" spans="1:27" ht="12.75" customHeight="1">
      <c r="A12" s="1"/>
      <c r="B12" s="110" t="s">
        <v>120</v>
      </c>
      <c r="C12" s="111"/>
      <c r="D12" s="111"/>
      <c r="E12" s="111"/>
      <c r="F12" s="111"/>
      <c r="G12" s="111"/>
      <c r="H12" s="1"/>
      <c r="I12" s="1"/>
      <c r="J12" s="66"/>
      <c r="K12" s="1"/>
      <c r="L12" s="1"/>
      <c r="M12" s="1"/>
      <c r="N12" s="1"/>
      <c r="O12" s="59"/>
      <c r="P12" s="1"/>
      <c r="Q12" s="1"/>
      <c r="R12" s="1"/>
      <c r="S12" s="1"/>
      <c r="T12" s="1"/>
      <c r="U12" s="1"/>
      <c r="V12" s="1"/>
      <c r="W12" s="1"/>
      <c r="X12" s="1"/>
      <c r="Y12" s="1"/>
      <c r="Z12" s="1"/>
      <c r="AA12" s="1"/>
    </row>
    <row r="13" spans="1:27" ht="12.75" customHeight="1">
      <c r="A13" s="1"/>
      <c r="B13" s="49"/>
      <c r="C13" s="5"/>
      <c r="D13" s="1"/>
      <c r="E13" s="1"/>
      <c r="F13" s="1"/>
      <c r="G13" s="66"/>
      <c r="H13" s="1"/>
      <c r="I13" s="1"/>
      <c r="J13" s="66"/>
      <c r="K13" s="1"/>
      <c r="L13" s="1"/>
      <c r="M13" s="1"/>
      <c r="N13" s="1"/>
      <c r="O13" s="59"/>
      <c r="P13" s="1"/>
      <c r="Q13" s="1"/>
      <c r="R13" s="1"/>
      <c r="S13" s="1"/>
      <c r="T13" s="1"/>
      <c r="U13" s="1"/>
      <c r="V13" s="1"/>
      <c r="W13" s="1"/>
      <c r="X13" s="1"/>
      <c r="Y13" s="1"/>
      <c r="Z13" s="1"/>
      <c r="AA13" s="1"/>
    </row>
    <row r="14" spans="1:27" ht="136.5" customHeight="1">
      <c r="A14" s="1"/>
      <c r="B14" s="48" t="s">
        <v>5</v>
      </c>
      <c r="C14" s="114" t="s">
        <v>6</v>
      </c>
      <c r="D14" s="115"/>
      <c r="E14" s="115"/>
      <c r="F14" s="115"/>
      <c r="G14" s="115"/>
      <c r="H14" s="116"/>
      <c r="I14" s="1"/>
      <c r="J14" s="66"/>
      <c r="K14" s="1"/>
      <c r="L14" s="1"/>
      <c r="M14" s="1"/>
      <c r="N14" s="1"/>
      <c r="O14" s="59"/>
      <c r="P14" s="1"/>
      <c r="Q14" s="1"/>
      <c r="R14" s="1"/>
      <c r="S14" s="1"/>
      <c r="T14" s="1"/>
      <c r="U14" s="1"/>
      <c r="V14" s="1"/>
      <c r="W14" s="1"/>
      <c r="X14" s="1"/>
      <c r="Y14" s="1"/>
      <c r="Z14" s="1"/>
      <c r="AA14" s="1"/>
    </row>
    <row r="15" spans="1:27" ht="12.75" customHeight="1">
      <c r="A15" s="1"/>
      <c r="B15" s="49"/>
      <c r="C15" s="1"/>
      <c r="D15" s="5"/>
      <c r="E15" s="5"/>
      <c r="F15" s="1"/>
      <c r="G15" s="1"/>
      <c r="H15" s="66"/>
      <c r="I15" s="1"/>
      <c r="J15" s="66"/>
      <c r="K15" s="1"/>
      <c r="L15" s="1"/>
      <c r="M15" s="1"/>
      <c r="N15" s="1"/>
      <c r="O15" s="59"/>
      <c r="P15" s="1"/>
      <c r="Q15" s="1"/>
      <c r="R15" s="1"/>
      <c r="S15" s="1"/>
      <c r="T15" s="1"/>
      <c r="U15" s="1"/>
      <c r="V15" s="1"/>
      <c r="W15" s="1"/>
      <c r="X15" s="1"/>
      <c r="Y15" s="1"/>
      <c r="Z15" s="1"/>
      <c r="AA15" s="1"/>
    </row>
    <row r="16" spans="1:27" ht="12.75" customHeight="1">
      <c r="A16" s="1"/>
      <c r="B16" s="49"/>
      <c r="C16" s="1"/>
      <c r="D16" s="5"/>
      <c r="E16" s="5"/>
      <c r="F16" s="1"/>
      <c r="G16" s="1"/>
      <c r="H16" s="66"/>
      <c r="I16" s="1"/>
      <c r="J16" s="66"/>
      <c r="K16" s="1"/>
      <c r="L16" s="1"/>
      <c r="M16" s="1"/>
      <c r="N16" s="1"/>
      <c r="O16" s="59"/>
      <c r="P16" s="1"/>
      <c r="Q16" s="1"/>
      <c r="R16" s="1"/>
      <c r="S16" s="1"/>
      <c r="T16" s="1"/>
      <c r="U16" s="1"/>
      <c r="V16" s="1"/>
      <c r="W16" s="1"/>
      <c r="X16" s="1"/>
      <c r="Y16" s="1"/>
      <c r="Z16" s="1"/>
      <c r="AA16" s="1"/>
    </row>
    <row r="17" spans="1:27" ht="55.5" customHeight="1">
      <c r="A17" s="1"/>
      <c r="B17" s="48" t="s">
        <v>7</v>
      </c>
      <c r="C17" s="114" t="s">
        <v>8</v>
      </c>
      <c r="D17" s="115"/>
      <c r="E17" s="115"/>
      <c r="F17" s="115"/>
      <c r="G17" s="115"/>
      <c r="H17" s="116"/>
      <c r="I17" s="1"/>
      <c r="J17" s="66"/>
      <c r="K17" s="1"/>
      <c r="L17" s="1"/>
      <c r="M17" s="1"/>
      <c r="N17" s="1"/>
      <c r="O17" s="59"/>
      <c r="P17" s="1"/>
      <c r="Q17" s="1"/>
      <c r="R17" s="1"/>
      <c r="S17" s="1"/>
      <c r="T17" s="1"/>
      <c r="U17" s="1"/>
      <c r="V17" s="1"/>
      <c r="W17" s="1"/>
      <c r="X17" s="1"/>
      <c r="Y17" s="1"/>
      <c r="Z17" s="1"/>
      <c r="AA17" s="1"/>
    </row>
    <row r="18" spans="1:27" ht="12.75" customHeight="1">
      <c r="A18" s="1"/>
      <c r="B18" s="47"/>
      <c r="C18" s="6"/>
      <c r="D18" s="1"/>
      <c r="E18" s="1"/>
      <c r="F18" s="1"/>
      <c r="G18" s="66"/>
      <c r="H18" s="1"/>
      <c r="I18" s="1"/>
      <c r="J18" s="66"/>
      <c r="K18" s="1"/>
      <c r="L18" s="1"/>
      <c r="M18" s="1"/>
      <c r="N18" s="1"/>
      <c r="O18" s="59"/>
      <c r="P18" s="1"/>
      <c r="Q18" s="1"/>
      <c r="R18" s="1"/>
      <c r="S18" s="1"/>
      <c r="T18" s="1"/>
      <c r="U18" s="1"/>
      <c r="V18" s="1"/>
      <c r="W18" s="1"/>
      <c r="X18" s="1"/>
      <c r="Y18" s="1"/>
      <c r="Z18" s="1"/>
      <c r="AA18" s="1"/>
    </row>
    <row r="19" spans="1:27" ht="12.75" customHeight="1">
      <c r="A19" s="1"/>
      <c r="B19" s="46"/>
      <c r="C19" s="1"/>
      <c r="D19" s="1"/>
      <c r="E19" s="1"/>
      <c r="F19" s="1"/>
      <c r="G19" s="66"/>
      <c r="H19" s="1"/>
      <c r="I19" s="1"/>
      <c r="J19" s="66"/>
      <c r="K19" s="1"/>
      <c r="L19" s="1"/>
      <c r="M19" s="1"/>
      <c r="N19" s="1"/>
      <c r="O19" s="59"/>
      <c r="P19" s="1"/>
      <c r="Q19" s="1"/>
      <c r="R19" s="1"/>
      <c r="S19" s="1"/>
      <c r="T19" s="1"/>
      <c r="U19" s="1"/>
      <c r="V19" s="1"/>
      <c r="W19" s="1"/>
      <c r="X19" s="1"/>
      <c r="Y19" s="1"/>
      <c r="Z19" s="1"/>
      <c r="AA19" s="1"/>
    </row>
    <row r="20" spans="1:27" ht="12.75" customHeight="1">
      <c r="A20" s="59"/>
      <c r="B20" s="59"/>
      <c r="C20" s="59"/>
      <c r="D20" s="59"/>
      <c r="E20" s="59"/>
      <c r="F20" s="59"/>
      <c r="G20" s="80"/>
      <c r="H20" s="59"/>
      <c r="I20" s="59"/>
      <c r="J20" s="59"/>
      <c r="K20" s="59"/>
      <c r="L20" s="59"/>
      <c r="M20" s="59"/>
      <c r="N20" s="59"/>
      <c r="O20" s="59"/>
      <c r="P20" s="59"/>
      <c r="Q20" s="59"/>
      <c r="R20" s="59"/>
      <c r="S20" s="59"/>
      <c r="T20" s="59"/>
      <c r="U20" s="59"/>
      <c r="V20" s="59"/>
      <c r="W20" s="59"/>
      <c r="X20" s="59"/>
      <c r="Y20" s="59"/>
      <c r="Z20" s="59"/>
      <c r="AA20" s="59"/>
    </row>
    <row r="21" spans="1:27" ht="39" customHeight="1">
      <c r="A21" s="1"/>
      <c r="B21" s="7" t="s">
        <v>10</v>
      </c>
      <c r="C21" s="7" t="s">
        <v>121</v>
      </c>
      <c r="D21" s="7" t="s">
        <v>9</v>
      </c>
      <c r="E21" s="7" t="s">
        <v>11</v>
      </c>
      <c r="F21" s="7" t="s">
        <v>12</v>
      </c>
      <c r="G21" s="67" t="s">
        <v>13</v>
      </c>
      <c r="H21" s="7" t="s">
        <v>14</v>
      </c>
      <c r="I21" s="7" t="s">
        <v>15</v>
      </c>
      <c r="J21" s="8" t="s">
        <v>16</v>
      </c>
      <c r="K21" s="7" t="s">
        <v>17</v>
      </c>
      <c r="L21" s="7" t="s">
        <v>18</v>
      </c>
      <c r="M21" s="7" t="s">
        <v>19</v>
      </c>
      <c r="N21" s="7" t="s">
        <v>20</v>
      </c>
      <c r="O21" s="59"/>
      <c r="P21" s="1"/>
      <c r="Q21" s="1"/>
      <c r="R21" s="1"/>
      <c r="S21" s="1"/>
      <c r="T21" s="1"/>
      <c r="U21" s="1"/>
      <c r="V21" s="1"/>
      <c r="W21" s="1"/>
      <c r="X21" s="1"/>
      <c r="Y21" s="1"/>
      <c r="Z21" s="1"/>
      <c r="AA21" s="1"/>
    </row>
    <row r="22" spans="1:27" ht="12.75" customHeight="1">
      <c r="A22" s="1"/>
      <c r="B22" s="10" t="str">
        <f ca="1">IFERROR(__xludf.DUMMYFUNCTION("IMPORTRANGE(""https://docs.google.com/spreadsheets/d/1326rdUM6oOTA_5T6U_eA-Yqy4OMk6d_RGd_Z1bKVaC8/edit#gid=1459860096"",""'33.03.006 PMB'!i10:i1000"")"),"ASISTENCIA TÉCNICA EN SANEAMIENTO SANITARIO COMUNA DE RÍO CLARO")</f>
        <v>ASISTENCIA TÉCNICA EN SANEAMIENTO SANITARIO COMUNA DE RÍO CLARO</v>
      </c>
      <c r="C22" s="10" t="str">
        <f ca="1">IFERROR(__xludf.DUMMYFUNCTION("IMPORTRANGE(""https://docs.google.com/spreadsheets/d/1326rdUM6oOTA_5T6U_eA-Yqy4OMk6d_RGd_Z1bKVaC8/edit#gid=1459860096"",""'33.03.006 PMB'!h10:h1000"")"),"7108231001-C")</f>
        <v>7108231001-C</v>
      </c>
      <c r="D22" s="26" t="str">
        <f t="shared" ref="D22:D332" ca="1" si="0">MID(F22,17,30)</f>
        <v xml:space="preserve"> RÍO CLARO</v>
      </c>
      <c r="E22" s="10" t="str">
        <f ca="1">IFERROR(__xludf.DUMMYFUNCTION("IMPORTRANGE(""https://docs.google.com/spreadsheets/d/1326rdUM6oOTA_5T6U_eA-Yqy4OMk6d_RGd_Z1bKVaC8/edit#gid=1459860096"",""'33.03.006 PMB'!k10:k1000"")"),"Guía Operativa")</f>
        <v>Guía Operativa</v>
      </c>
      <c r="F22" s="10" t="str">
        <f ca="1">IFERROR(__xludf.DUMMYFUNCTION("IMPORTRANGE(""https://docs.google.com/spreadsheets/d/1326rdUM6oOTA_5T6U_eA-Yqy4OMk6d_RGd_Z1bKVaC8/edit#gid=1459860096"",""'33.03.006 PMB'!f10:f1000"")"),"MUNICIPALIDAD DE RÍO CLARO")</f>
        <v>MUNICIPALIDAD DE RÍO CLARO</v>
      </c>
      <c r="G22" s="71">
        <f ca="1">IFERROR(__xludf.DUMMYFUNCTION("IMPORTRANGE(""https://docs.google.com/spreadsheets/d/1326rdUM6oOTA_5T6U_eA-Yqy4OMk6d_RGd_Z1bKVaC8/edit#gid=1459860096"",""'33.03.006 PMB'!p10:p1000"")"),73560000)</f>
        <v>73560000</v>
      </c>
      <c r="H22" s="10" t="str">
        <f ca="1">IFERROR(__xludf.DUMMYFUNCTION("IMPORTRANGE(""https://docs.google.com/spreadsheets/d/1326rdUM6oOTA_5T6U_eA-Yqy4OMk6d_RGd_Z1bKVaC8/edit#gid=1459860096"",""'33.03.006 PMB'!j10:j1000"")"),"Resolución")</f>
        <v>Resolución</v>
      </c>
      <c r="I22" s="10" t="str">
        <f ca="1">IFERROR(__xludf.DUMMYFUNCTION("IMPORTRANGE(""https://docs.google.com/spreadsheets/d/1326rdUM6oOTA_5T6U_eA-Yqy4OMk6d_RGd_Z1bKVaC8/edit#gid=1459860096"",""'33.03.006 PMB'!d10:d1000"")"),"Asistencia Técnica")</f>
        <v>Asistencia Técnica</v>
      </c>
      <c r="J22" s="10" t="str">
        <f ca="1">IFERROR(__xludf.DUMMYFUNCTION("IMPORTRANGE(""https://docs.google.com/spreadsheets/d/1326rdUM6oOTA_5T6U_eA-Yqy4OMk6d_RGd_Z1bKVaC8/edit#gid=1459860096"",""'33.03.006 PMB'!o10:o1000"")"),"Cumplir con normativa y reglamentos internos del programa en base a los objetivos.")</f>
        <v>Cumplir con normativa y reglamentos internos del programa en base a los objetivos.</v>
      </c>
      <c r="K22" s="71">
        <f ca="1">IFERROR(__xludf.DUMMYFUNCTION("IMPORTRANGE(""https://docs.google.com/spreadsheets/d/1326rdUM6oOTA_5T6U_eA-Yqy4OMk6d_RGd_Z1bKVaC8/edit#gid=1459860096"",""'33.03.006 PMB'!ad10:ad1000"")"),22987500)</f>
        <v>22987500</v>
      </c>
      <c r="L22" s="27">
        <f ca="1">IFERROR(__xludf.DUMMYFUNCTION("IMPORTRANGE(""https://docs.google.com/spreadsheets/d/1326rdUM6oOTA_5T6U_eA-Yqy4OMk6d_RGd_Z1bKVaC8/edit#gid=1459860096"",""'33.03.006 PMB'!ae10:ae1000"")"),0.75)</f>
        <v>0.75</v>
      </c>
      <c r="M22" s="10" t="str">
        <f ca="1">IFERROR(__xludf.DUMMYFUNCTION("IMPORTRANGE(""https://docs.google.com/spreadsheets/d/1326rdUM6oOTA_5T6U_eA-Yqy4OMk6d_RGd_Z1bKVaC8/edit#gid=1459860096"",""'33.03.006 PMB'!l10:l1000"")"),"7403/2023")</f>
        <v>7403/2023</v>
      </c>
      <c r="N22" s="10" t="str">
        <f ca="1">IFERROR(__xludf.DUMMYFUNCTION("IMPORTRANGE(""https://docs.google.com/spreadsheets/d/1326rdUM6oOTA_5T6U_eA-Yqy4OMk6d_RGd_Z1bKVaC8/edit#gid=1459860096"",""'33.03.006 PMB'!b10:b1000"")"),"PMB")</f>
        <v>PMB</v>
      </c>
      <c r="O22" s="59"/>
      <c r="P22" s="1"/>
      <c r="Q22" s="1"/>
      <c r="R22" s="1"/>
      <c r="S22" s="1"/>
      <c r="T22" s="1"/>
      <c r="U22" s="1"/>
      <c r="V22" s="1"/>
      <c r="W22" s="1"/>
      <c r="X22" s="1"/>
      <c r="Y22" s="1"/>
      <c r="Z22" s="1"/>
      <c r="AA22" s="1"/>
    </row>
    <row r="23" spans="1:27" ht="12.75" customHeight="1">
      <c r="A23" s="1"/>
      <c r="B23" s="10" t="str">
        <f ca="1">IFERROR(__xludf.DUMMYFUNCTION("""COMPUTED_VALUE"""),"HABILITACIÓN DE SERVICIOS SANITARIOS DE AGUA POTABLE Y ALCANTARILLADO DOMICILIARIOS PMB LA PARVA, ACHUPALLAS, VIÑA DEL MAR")</f>
        <v>HABILITACIÓN DE SERVICIOS SANITARIOS DE AGUA POTABLE Y ALCANTARILLADO DOMICILIARIOS PMB LA PARVA, ACHUPALLAS, VIÑA DEL MAR</v>
      </c>
      <c r="C23" s="10" t="str">
        <f ca="1">IFERROR(__xludf.DUMMYFUNCTION("""COMPUTED_VALUE"""),"5109210701-B")</f>
        <v>5109210701-B</v>
      </c>
      <c r="D23" s="26" t="str">
        <f t="shared" ca="1" si="0"/>
        <v xml:space="preserve"> VIÑA DEL MAR</v>
      </c>
      <c r="E23" s="10" t="str">
        <f ca="1">IFERROR(__xludf.DUMMYFUNCTION("""COMPUTED_VALUE"""),"Guía Operativa")</f>
        <v>Guía Operativa</v>
      </c>
      <c r="F23" s="10" t="str">
        <f ca="1">IFERROR(__xludf.DUMMYFUNCTION("""COMPUTED_VALUE"""),"MUNICIPALIDAD DE VIÑA DEL MAR")</f>
        <v>MUNICIPALIDAD DE VIÑA DEL MAR</v>
      </c>
      <c r="G23" s="71">
        <f ca="1">IFERROR(__xludf.DUMMYFUNCTION("""COMPUTED_VALUE"""),54639679)</f>
        <v>54639679</v>
      </c>
      <c r="H23" s="10" t="str">
        <f ca="1">IFERROR(__xludf.DUMMYFUNCTION("""COMPUTED_VALUE"""),"Resolución")</f>
        <v>Resolución</v>
      </c>
      <c r="I23" s="10" t="str">
        <f ca="1">IFERROR(__xludf.DUMMYFUNCTION("""COMPUTED_VALUE"""),"Obra")</f>
        <v>Obra</v>
      </c>
      <c r="J23" s="10" t="str">
        <f ca="1">IFERROR(__xludf.DUMMYFUNCTION("""COMPUTED_VALUE"""),"Cumplir con normativa y reglamentos internos del programa en base a los objetivos.")</f>
        <v>Cumplir con normativa y reglamentos internos del programa en base a los objetivos.</v>
      </c>
      <c r="K23" s="71">
        <f ca="1">IFERROR(__xludf.DUMMYFUNCTION("""COMPUTED_VALUE"""),9936225)</f>
        <v>9936225</v>
      </c>
      <c r="L23" s="27">
        <f ca="1">IFERROR(__xludf.DUMMYFUNCTION("""COMPUTED_VALUE"""),1)</f>
        <v>1</v>
      </c>
      <c r="M23" s="10" t="str">
        <f ca="1">IFERROR(__xludf.DUMMYFUNCTION("""COMPUTED_VALUE"""),"9303/2021")</f>
        <v>9303/2021</v>
      </c>
      <c r="N23" s="10" t="str">
        <f ca="1">IFERROR(__xludf.DUMMYFUNCTION("""COMPUTED_VALUE"""),"PMB")</f>
        <v>PMB</v>
      </c>
      <c r="O23" s="59"/>
      <c r="P23" s="1"/>
      <c r="Q23" s="1"/>
      <c r="R23" s="1"/>
      <c r="S23" s="1"/>
      <c r="T23" s="1"/>
      <c r="U23" s="1"/>
      <c r="V23" s="1"/>
      <c r="W23" s="1"/>
      <c r="X23" s="1"/>
      <c r="Y23" s="1"/>
      <c r="Z23" s="1"/>
      <c r="AA23" s="1"/>
    </row>
    <row r="24" spans="1:27" ht="12.75" customHeight="1">
      <c r="A24" s="1"/>
      <c r="B24" s="10" t="str">
        <f ca="1">IFERROR(__xludf.DUMMYFUNCTION("""COMPUTED_VALUE"""),"CONSTRUCCIÓN EXTENSIÓN REDES PÚBLICAS DE ALCANTARILLADO CALLE RIQUELME, VILLA ALEMANA")</f>
        <v>CONSTRUCCIÓN EXTENSIÓN REDES PÚBLICAS DE ALCANTARILLADO CALLE RIQUELME, VILLA ALEMANA</v>
      </c>
      <c r="C24" s="10" t="str">
        <f ca="1">IFERROR(__xludf.DUMMYFUNCTION("""COMPUTED_VALUE"""),"5804200701-B")</f>
        <v>5804200701-B</v>
      </c>
      <c r="D24" s="26" t="str">
        <f t="shared" ca="1" si="0"/>
        <v xml:space="preserve"> VILLA ALEMANA</v>
      </c>
      <c r="E24" s="10" t="str">
        <f ca="1">IFERROR(__xludf.DUMMYFUNCTION("""COMPUTED_VALUE"""),"Guía Operativa")</f>
        <v>Guía Operativa</v>
      </c>
      <c r="F24" s="10" t="str">
        <f ca="1">IFERROR(__xludf.DUMMYFUNCTION("""COMPUTED_VALUE"""),"MUNICIPALIDAD DE VILLA ALEMANA")</f>
        <v>MUNICIPALIDAD DE VILLA ALEMANA</v>
      </c>
      <c r="G24" s="71">
        <f ca="1">IFERROR(__xludf.DUMMYFUNCTION("""COMPUTED_VALUE"""),25891427)</f>
        <v>25891427</v>
      </c>
      <c r="H24" s="10" t="str">
        <f ca="1">IFERROR(__xludf.DUMMYFUNCTION("""COMPUTED_VALUE"""),"Resolución")</f>
        <v>Resolución</v>
      </c>
      <c r="I24" s="10" t="str">
        <f ca="1">IFERROR(__xludf.DUMMYFUNCTION("""COMPUTED_VALUE"""),"Obra")</f>
        <v>Obra</v>
      </c>
      <c r="J24" s="10" t="str">
        <f ca="1">IFERROR(__xludf.DUMMYFUNCTION("""COMPUTED_VALUE"""),"Cumplir con normativa y reglamentos internos del programa en base a los objetivos.")</f>
        <v>Cumplir con normativa y reglamentos internos del programa en base a los objetivos.</v>
      </c>
      <c r="K24" s="71">
        <f ca="1">IFERROR(__xludf.DUMMYFUNCTION("""COMPUTED_VALUE"""),9761443)</f>
        <v>9761443</v>
      </c>
      <c r="L24" s="27">
        <f ca="1">IFERROR(__xludf.DUMMYFUNCTION("""COMPUTED_VALUE"""),0.999839058696919)</f>
        <v>0.99983905869691903</v>
      </c>
      <c r="M24" s="10" t="str">
        <f ca="1">IFERROR(__xludf.DUMMYFUNCTION("""COMPUTED_VALUE"""),"8900/2020")</f>
        <v>8900/2020</v>
      </c>
      <c r="N24" s="10" t="str">
        <f ca="1">IFERROR(__xludf.DUMMYFUNCTION("""COMPUTED_VALUE"""),"PMB")</f>
        <v>PMB</v>
      </c>
      <c r="O24" s="59"/>
      <c r="P24" s="1"/>
      <c r="Q24" s="1"/>
      <c r="R24" s="1"/>
      <c r="S24" s="1"/>
      <c r="T24" s="1"/>
      <c r="U24" s="1"/>
      <c r="V24" s="1"/>
      <c r="W24" s="1"/>
      <c r="X24" s="1"/>
      <c r="Y24" s="1"/>
      <c r="Z24" s="1"/>
      <c r="AA24" s="1"/>
    </row>
    <row r="25" spans="1:27" ht="12.75" customHeight="1">
      <c r="A25" s="1"/>
      <c r="B25" s="10" t="str">
        <f ca="1">IFERROR(__xludf.DUMMYFUNCTION("""COMPUTED_VALUE"""),"REPOSICIÓN SISTEMA DE ILUMINACIÓN Y OBRAS COMPLEMENTARIAS PLAZA DE ARMAS, NATALES")</f>
        <v>REPOSICIÓN SISTEMA DE ILUMINACIÓN Y OBRAS COMPLEMENTARIAS PLAZA DE ARMAS, NATALES</v>
      </c>
      <c r="C25" s="10" t="str">
        <f ca="1">IFERROR(__xludf.DUMMYFUNCTION("""COMPUTED_VALUE"""),"12401200701-C")</f>
        <v>12401200701-C</v>
      </c>
      <c r="D25" s="26" t="str">
        <f t="shared" ca="1" si="0"/>
        <v xml:space="preserve"> NATALES</v>
      </c>
      <c r="E25" s="10" t="str">
        <f ca="1">IFERROR(__xludf.DUMMYFUNCTION("""COMPUTED_VALUE"""),"Guía Operativa")</f>
        <v>Guía Operativa</v>
      </c>
      <c r="F25" s="10" t="str">
        <f ca="1">IFERROR(__xludf.DUMMYFUNCTION("""COMPUTED_VALUE"""),"MUNICIPALIDAD DE NATALES")</f>
        <v>MUNICIPALIDAD DE NATALES</v>
      </c>
      <c r="G25" s="71">
        <f ca="1">IFERROR(__xludf.DUMMYFUNCTION("""COMPUTED_VALUE"""),272210000)</f>
        <v>272210000</v>
      </c>
      <c r="H25" s="10" t="str">
        <f ca="1">IFERROR(__xludf.DUMMYFUNCTION("""COMPUTED_VALUE"""),"Resolución")</f>
        <v>Resolución</v>
      </c>
      <c r="I25" s="10" t="str">
        <f ca="1">IFERROR(__xludf.DUMMYFUNCTION("""COMPUTED_VALUE"""),"Obra")</f>
        <v>Obra</v>
      </c>
      <c r="J25" s="10" t="str">
        <f ca="1">IFERROR(__xludf.DUMMYFUNCTION("""COMPUTED_VALUE"""),"Cumplir con normativa y reglamentos internos del programa en base a los objetivos.")</f>
        <v>Cumplir con normativa y reglamentos internos del programa en base a los objetivos.</v>
      </c>
      <c r="K25" s="71">
        <f ca="1">IFERROR(__xludf.DUMMYFUNCTION("""COMPUTED_VALUE"""),194731423)</f>
        <v>194731423</v>
      </c>
      <c r="L25" s="27">
        <f ca="1">IFERROR(__xludf.DUMMYFUNCTION("""COMPUTED_VALUE"""),0.974872341207156)</f>
        <v>0.97487234120715605</v>
      </c>
      <c r="M25" s="10" t="str">
        <f ca="1">IFERROR(__xludf.DUMMYFUNCTION("""COMPUTED_VALUE"""),"6798/2020")</f>
        <v>6798/2020</v>
      </c>
      <c r="N25" s="10" t="str">
        <f ca="1">IFERROR(__xludf.DUMMYFUNCTION("""COMPUTED_VALUE"""),"PMB")</f>
        <v>PMB</v>
      </c>
      <c r="O25" s="59"/>
      <c r="P25" s="1"/>
      <c r="Q25" s="1"/>
      <c r="R25" s="1"/>
      <c r="S25" s="1"/>
      <c r="T25" s="1"/>
      <c r="U25" s="1"/>
      <c r="V25" s="1"/>
      <c r="W25" s="1"/>
      <c r="X25" s="1"/>
      <c r="Y25" s="1"/>
      <c r="Z25" s="1"/>
      <c r="AA25" s="1"/>
    </row>
    <row r="26" spans="1:27" ht="12.75" customHeight="1">
      <c r="A26" s="1"/>
      <c r="B26" s="10" t="str">
        <f ca="1">IFERROR(__xludf.DUMMYFUNCTION("""COMPUTED_VALUE"""),"ASISTENCIA TÉCNICA PARA EL DESARROLLO DE PROYECTOS PMU COMUNA DE TILTIL")</f>
        <v>ASISTENCIA TÉCNICA PARA EL DESARROLLO DE PROYECTOS PMU COMUNA DE TILTIL</v>
      </c>
      <c r="C26" s="10" t="str">
        <f ca="1">IFERROR(__xludf.DUMMYFUNCTION("""COMPUTED_VALUE"""),"13303231003-C")</f>
        <v>13303231003-C</v>
      </c>
      <c r="D26" s="26" t="str">
        <f t="shared" ca="1" si="0"/>
        <v xml:space="preserve"> TILTIL</v>
      </c>
      <c r="E26" s="10" t="str">
        <f ca="1">IFERROR(__xludf.DUMMYFUNCTION("""COMPUTED_VALUE"""),"Guía Operativa")</f>
        <v>Guía Operativa</v>
      </c>
      <c r="F26" s="10" t="str">
        <f ca="1">IFERROR(__xludf.DUMMYFUNCTION("""COMPUTED_VALUE"""),"MUNICIPALIDAD DE TILTIL")</f>
        <v>MUNICIPALIDAD DE TILTIL</v>
      </c>
      <c r="G26" s="71">
        <f ca="1">IFERROR(__xludf.DUMMYFUNCTION("""COMPUTED_VALUE"""),66600000)</f>
        <v>66600000</v>
      </c>
      <c r="H26" s="10" t="str">
        <f ca="1">IFERROR(__xludf.DUMMYFUNCTION("""COMPUTED_VALUE"""),"Resolución")</f>
        <v>Resolución</v>
      </c>
      <c r="I26" s="10" t="str">
        <f ca="1">IFERROR(__xludf.DUMMYFUNCTION("""COMPUTED_VALUE"""),"Asistencia Ténica")</f>
        <v>Asistencia Ténica</v>
      </c>
      <c r="J26" s="10" t="str">
        <f ca="1">IFERROR(__xludf.DUMMYFUNCTION("""COMPUTED_VALUE"""),"Cumplir con normativa y reglamentos internos del programa en base a los objetivos.")</f>
        <v>Cumplir con normativa y reglamentos internos del programa en base a los objetivos.</v>
      </c>
      <c r="K26" s="71">
        <f ca="1">IFERROR(__xludf.DUMMYFUNCTION("""COMPUTED_VALUE"""),66600000)</f>
        <v>66600000</v>
      </c>
      <c r="L26" s="27">
        <f ca="1">IFERROR(__xludf.DUMMYFUNCTION("""COMPUTED_VALUE"""),1)</f>
        <v>1</v>
      </c>
      <c r="M26" s="10" t="str">
        <f ca="1">IFERROR(__xludf.DUMMYFUNCTION("""COMPUTED_VALUE"""),"1601/2024")</f>
        <v>1601/2024</v>
      </c>
      <c r="N26" s="10" t="str">
        <f ca="1">IFERROR(__xludf.DUMMYFUNCTION("""COMPUTED_VALUE"""),"PMB")</f>
        <v>PMB</v>
      </c>
      <c r="O26" s="59"/>
      <c r="P26" s="1"/>
      <c r="Q26" s="1"/>
      <c r="R26" s="1"/>
      <c r="S26" s="1"/>
      <c r="T26" s="1"/>
      <c r="U26" s="1"/>
      <c r="V26" s="1"/>
      <c r="W26" s="1"/>
      <c r="X26" s="1"/>
      <c r="Y26" s="1"/>
      <c r="Z26" s="1"/>
      <c r="AA26" s="1"/>
    </row>
    <row r="27" spans="1:27" ht="12.75" customHeight="1">
      <c r="A27" s="1"/>
      <c r="B27" s="10" t="str">
        <f ca="1">IFERROR(__xludf.DUMMYFUNCTION("""COMPUTED_VALUE"""),"ASISTENCIA TÉCNICA PARA PROYECTOS PMB Y PMU EN LA COMUNA DE SAGRADA FAMILIA")</f>
        <v>ASISTENCIA TÉCNICA PARA PROYECTOS PMB Y PMU EN LA COMUNA DE SAGRADA FAMILIA</v>
      </c>
      <c r="C27" s="10" t="str">
        <f ca="1">IFERROR(__xludf.DUMMYFUNCTION("""COMPUTED_VALUE"""),"7307231001-C")</f>
        <v>7307231001-C</v>
      </c>
      <c r="D27" s="26" t="str">
        <f t="shared" ca="1" si="0"/>
        <v xml:space="preserve"> SAGRADA FAMILIA</v>
      </c>
      <c r="E27" s="10" t="str">
        <f ca="1">IFERROR(__xludf.DUMMYFUNCTION("""COMPUTED_VALUE"""),"Guía Operativa")</f>
        <v>Guía Operativa</v>
      </c>
      <c r="F27" s="10" t="str">
        <f ca="1">IFERROR(__xludf.DUMMYFUNCTION("""COMPUTED_VALUE"""),"MUNICIPALIDAD DE SAGRADA FAMILIA")</f>
        <v>MUNICIPALIDAD DE SAGRADA FAMILIA</v>
      </c>
      <c r="G27" s="71">
        <f ca="1">IFERROR(__xludf.DUMMYFUNCTION("""COMPUTED_VALUE"""),63600000)</f>
        <v>63600000</v>
      </c>
      <c r="H27" s="10" t="str">
        <f ca="1">IFERROR(__xludf.DUMMYFUNCTION("""COMPUTED_VALUE"""),"Resolución")</f>
        <v>Resolución</v>
      </c>
      <c r="I27" s="10" t="str">
        <f ca="1">IFERROR(__xludf.DUMMYFUNCTION("""COMPUTED_VALUE"""),"Asistencia Ténica")</f>
        <v>Asistencia Ténica</v>
      </c>
      <c r="J27" s="10" t="str">
        <f ca="1">IFERROR(__xludf.DUMMYFUNCTION("""COMPUTED_VALUE"""),"Cumplir con normativa y reglamentos internos del programa en base a los objetivos.")</f>
        <v>Cumplir con normativa y reglamentos internos del programa en base a los objetivos.</v>
      </c>
      <c r="K27" s="71">
        <f ca="1">IFERROR(__xludf.DUMMYFUNCTION("""COMPUTED_VALUE"""),15900000)</f>
        <v>15900000</v>
      </c>
      <c r="L27" s="27">
        <f ca="1">IFERROR(__xludf.DUMMYFUNCTION("""COMPUTED_VALUE"""),0.5)</f>
        <v>0.5</v>
      </c>
      <c r="M27" s="10" t="str">
        <f ca="1">IFERROR(__xludf.DUMMYFUNCTION("""COMPUTED_VALUE"""),"11633/2023")</f>
        <v>11633/2023</v>
      </c>
      <c r="N27" s="10" t="str">
        <f ca="1">IFERROR(__xludf.DUMMYFUNCTION("""COMPUTED_VALUE"""),"PMB")</f>
        <v>PMB</v>
      </c>
      <c r="O27" s="59"/>
      <c r="P27" s="1"/>
      <c r="Q27" s="1"/>
      <c r="R27" s="1"/>
      <c r="S27" s="1"/>
      <c r="T27" s="1"/>
      <c r="U27" s="1"/>
      <c r="V27" s="1"/>
      <c r="W27" s="1"/>
      <c r="X27" s="1"/>
      <c r="Y27" s="1"/>
      <c r="Z27" s="1"/>
      <c r="AA27" s="1"/>
    </row>
    <row r="28" spans="1:27" ht="12.75" customHeight="1">
      <c r="A28" s="1"/>
      <c r="B28" s="10" t="str">
        <f ca="1">IFERROR(__xludf.DUMMYFUNCTION("""COMPUTED_VALUE"""),"CONTRATACIÓN DE PROFESIONAL DEL ÁREA DE ELECTRIFICACIÓN PARA GENERACIÓN Y CONTRAPARTE TÉCNICA DE PROYECTOS PMB 2022, COMUNA DE CISNES")</f>
        <v>CONTRATACIÓN DE PROFESIONAL DEL ÁREA DE ELECTRIFICACIÓN PARA GENERACIÓN Y CONTRAPARTE TÉCNICA DE PROYECTOS PMB 2022, COMUNA DE CISNES</v>
      </c>
      <c r="C28" s="10" t="str">
        <f ca="1">IFERROR(__xludf.DUMMYFUNCTION("""COMPUTED_VALUE"""),"11202221003-C")</f>
        <v>11202221003-C</v>
      </c>
      <c r="D28" s="26" t="str">
        <f t="shared" ca="1" si="0"/>
        <v xml:space="preserve"> CISNES</v>
      </c>
      <c r="E28" s="10" t="str">
        <f ca="1">IFERROR(__xludf.DUMMYFUNCTION("""COMPUTED_VALUE"""),"Guía Operativa")</f>
        <v>Guía Operativa</v>
      </c>
      <c r="F28" s="10" t="str">
        <f ca="1">IFERROR(__xludf.DUMMYFUNCTION("""COMPUTED_VALUE"""),"MUNICIPALIDAD DE CISNES")</f>
        <v>MUNICIPALIDAD DE CISNES</v>
      </c>
      <c r="G28" s="71">
        <f ca="1">IFERROR(__xludf.DUMMYFUNCTION("""COMPUTED_VALUE"""),21600000)</f>
        <v>21600000</v>
      </c>
      <c r="H28" s="10" t="str">
        <f ca="1">IFERROR(__xludf.DUMMYFUNCTION("""COMPUTED_VALUE"""),"Resolución")</f>
        <v>Resolución</v>
      </c>
      <c r="I28" s="10" t="str">
        <f ca="1">IFERROR(__xludf.DUMMYFUNCTION("""COMPUTED_VALUE"""),"Asistencia Ténica")</f>
        <v>Asistencia Ténica</v>
      </c>
      <c r="J28" s="10" t="str">
        <f ca="1">IFERROR(__xludf.DUMMYFUNCTION("""COMPUTED_VALUE"""),"Cumplir con normativa y reglamentos internos del programa en base a los objetivos.")</f>
        <v>Cumplir con normativa y reglamentos internos del programa en base a los objetivos.</v>
      </c>
      <c r="K28" s="71">
        <f ca="1">IFERROR(__xludf.DUMMYFUNCTION("""COMPUTED_VALUE"""),4680000)</f>
        <v>4680000</v>
      </c>
      <c r="L28" s="27">
        <f ca="1">IFERROR(__xludf.DUMMYFUNCTION("""COMPUTED_VALUE"""),0.820679027777777)</f>
        <v>0.82067902777777701</v>
      </c>
      <c r="M28" s="10" t="str">
        <f ca="1">IFERROR(__xludf.DUMMYFUNCTION("""COMPUTED_VALUE"""),"10172/2022")</f>
        <v>10172/2022</v>
      </c>
      <c r="N28" s="10" t="str">
        <f ca="1">IFERROR(__xludf.DUMMYFUNCTION("""COMPUTED_VALUE"""),"PMB")</f>
        <v>PMB</v>
      </c>
      <c r="O28" s="59"/>
      <c r="P28" s="1"/>
      <c r="Q28" s="1"/>
      <c r="R28" s="1"/>
      <c r="S28" s="1"/>
      <c r="T28" s="1"/>
      <c r="U28" s="1"/>
      <c r="V28" s="1"/>
      <c r="W28" s="1"/>
      <c r="X28" s="1"/>
      <c r="Y28" s="1"/>
      <c r="Z28" s="1"/>
      <c r="AA28" s="1"/>
    </row>
    <row r="29" spans="1:27" ht="12.75" customHeight="1">
      <c r="A29" s="1"/>
      <c r="B29" s="10" t="str">
        <f ca="1">IFERROR(__xludf.DUMMYFUNCTION("""COMPUTED_VALUE"""),"CONTRATACION A. TÉCNICA PARA GENERACIÓN DE PROYECTOS, SAN RAFAEL")</f>
        <v>CONTRATACION A. TÉCNICA PARA GENERACIÓN DE PROYECTOS, SAN RAFAEL</v>
      </c>
      <c r="C29" s="10" t="str">
        <f ca="1">IFERROR(__xludf.DUMMYFUNCTION("""COMPUTED_VALUE"""),"7110221001-C")</f>
        <v>7110221001-C</v>
      </c>
      <c r="D29" s="26" t="str">
        <f t="shared" ca="1" si="0"/>
        <v xml:space="preserve"> SAN RAFAEL</v>
      </c>
      <c r="E29" s="10" t="str">
        <f ca="1">IFERROR(__xludf.DUMMYFUNCTION("""COMPUTED_VALUE"""),"Guía Operativa")</f>
        <v>Guía Operativa</v>
      </c>
      <c r="F29" s="10" t="str">
        <f ca="1">IFERROR(__xludf.DUMMYFUNCTION("""COMPUTED_VALUE"""),"MUNICIPALIDAD DE SAN RAFAEL")</f>
        <v>MUNICIPALIDAD DE SAN RAFAEL</v>
      </c>
      <c r="G29" s="71">
        <f ca="1">IFERROR(__xludf.DUMMYFUNCTION("""COMPUTED_VALUE"""),57000000)</f>
        <v>57000000</v>
      </c>
      <c r="H29" s="10" t="str">
        <f ca="1">IFERROR(__xludf.DUMMYFUNCTION("""COMPUTED_VALUE"""),"Resolución")</f>
        <v>Resolución</v>
      </c>
      <c r="I29" s="10" t="str">
        <f ca="1">IFERROR(__xludf.DUMMYFUNCTION("""COMPUTED_VALUE"""),"Asistencia Ténica")</f>
        <v>Asistencia Ténica</v>
      </c>
      <c r="J29" s="10" t="str">
        <f ca="1">IFERROR(__xludf.DUMMYFUNCTION("""COMPUTED_VALUE"""),"Cumplir con normativa y reglamentos internos del programa en base a los objetivos.")</f>
        <v>Cumplir con normativa y reglamentos internos del programa en base a los objetivos.</v>
      </c>
      <c r="K29" s="71">
        <f ca="1">IFERROR(__xludf.DUMMYFUNCTION("""COMPUTED_VALUE"""),14250000)</f>
        <v>14250000</v>
      </c>
      <c r="L29" s="27">
        <f ca="1">IFERROR(__xludf.DUMMYFUNCTION("""COMPUTED_VALUE"""),0.75)</f>
        <v>0.75</v>
      </c>
      <c r="M29" s="10" t="str">
        <f ca="1">IFERROR(__xludf.DUMMYFUNCTION("""COMPUTED_VALUE"""),"7953/2023")</f>
        <v>7953/2023</v>
      </c>
      <c r="N29" s="10" t="str">
        <f ca="1">IFERROR(__xludf.DUMMYFUNCTION("""COMPUTED_VALUE"""),"PMB")</f>
        <v>PMB</v>
      </c>
      <c r="O29" s="59"/>
      <c r="P29" s="1"/>
      <c r="Q29" s="1"/>
      <c r="R29" s="1"/>
      <c r="S29" s="1"/>
      <c r="T29" s="1"/>
      <c r="U29" s="1"/>
      <c r="V29" s="1"/>
      <c r="W29" s="1"/>
      <c r="X29" s="1"/>
      <c r="Y29" s="1"/>
      <c r="Z29" s="1"/>
      <c r="AA29" s="1"/>
    </row>
    <row r="30" spans="1:27" ht="12.75" customHeight="1">
      <c r="A30" s="1"/>
      <c r="B30" s="10" t="str">
        <f ca="1">IFERROR(__xludf.DUMMYFUNCTION("""COMPUTED_VALUE"""),"ESTUDIO PARA LA GENERACIÓN DE PROYECTO PILOTO PARA LA PRODUCCIÓN DE HIDRÓGENO VERDE A PARTIR DE AGUAS RESIDUALES EN LA COMUNA DE OVALLE")</f>
        <v>ESTUDIO PARA LA GENERACIÓN DE PROYECTO PILOTO PARA LA PRODUCCIÓN DE HIDRÓGENO VERDE A PARTIR DE AGUAS RESIDUALES EN LA COMUNA DE OVALLE</v>
      </c>
      <c r="C30" s="10" t="str">
        <f ca="1">IFERROR(__xludf.DUMMYFUNCTION("""COMPUTED_VALUE"""),"4301220401-C")</f>
        <v>4301220401-C</v>
      </c>
      <c r="D30" s="26" t="str">
        <f t="shared" ca="1" si="0"/>
        <v xml:space="preserve"> OVALLE</v>
      </c>
      <c r="E30" s="10" t="str">
        <f ca="1">IFERROR(__xludf.DUMMYFUNCTION("""COMPUTED_VALUE"""),"Guía Operativa")</f>
        <v>Guía Operativa</v>
      </c>
      <c r="F30" s="10" t="str">
        <f ca="1">IFERROR(__xludf.DUMMYFUNCTION("""COMPUTED_VALUE"""),"MUNICIPALIDAD DE OVALLE")</f>
        <v>MUNICIPALIDAD DE OVALLE</v>
      </c>
      <c r="G30" s="71">
        <f ca="1">IFERROR(__xludf.DUMMYFUNCTION("""COMPUTED_VALUE"""),72000000)</f>
        <v>72000000</v>
      </c>
      <c r="H30" s="10" t="str">
        <f ca="1">IFERROR(__xludf.DUMMYFUNCTION("""COMPUTED_VALUE"""),"Resolución")</f>
        <v>Resolución</v>
      </c>
      <c r="I30" s="10" t="str">
        <f ca="1">IFERROR(__xludf.DUMMYFUNCTION("""COMPUTED_VALUE"""),"Estudios y Diseños")</f>
        <v>Estudios y Diseños</v>
      </c>
      <c r="J30" s="10" t="str">
        <f ca="1">IFERROR(__xludf.DUMMYFUNCTION("""COMPUTED_VALUE"""),"Cumplir con normativa y reglamentos internos del programa en base a los objetivos.")</f>
        <v>Cumplir con normativa y reglamentos internos del programa en base a los objetivos.</v>
      </c>
      <c r="K30" s="71">
        <f ca="1">IFERROR(__xludf.DUMMYFUNCTION("""COMPUTED_VALUE"""),36200000)</f>
        <v>36200000</v>
      </c>
      <c r="L30" s="27">
        <f ca="1">IFERROR(__xludf.DUMMYFUNCTION("""COMPUTED_VALUE"""),0.902777777777777)</f>
        <v>0.90277777777777701</v>
      </c>
      <c r="M30" s="10" t="str">
        <f ca="1">IFERROR(__xludf.DUMMYFUNCTION("""COMPUTED_VALUE"""),"2099/2022")</f>
        <v>2099/2022</v>
      </c>
      <c r="N30" s="10" t="str">
        <f ca="1">IFERROR(__xludf.DUMMYFUNCTION("""COMPUTED_VALUE"""),"PMB")</f>
        <v>PMB</v>
      </c>
      <c r="O30" s="59"/>
      <c r="P30" s="1"/>
      <c r="Q30" s="1"/>
      <c r="R30" s="1"/>
      <c r="S30" s="1"/>
      <c r="T30" s="1"/>
      <c r="U30" s="1"/>
      <c r="V30" s="1"/>
      <c r="W30" s="1"/>
      <c r="X30" s="1"/>
      <c r="Y30" s="1"/>
      <c r="Z30" s="1"/>
      <c r="AA30" s="1"/>
    </row>
    <row r="31" spans="1:27" ht="12.75" customHeight="1">
      <c r="A31" s="1"/>
      <c r="B31" s="10" t="str">
        <f ca="1">IFERROR(__xludf.DUMMYFUNCTION("""COMPUTED_VALUE"""),"CATÁSTROFE – MEJORAMIENTO REDES SERVICIO SANITARIO RURAL QUEBRADA ESCOBARES, VILLA ALEMANA")</f>
        <v>CATÁSTROFE – MEJORAMIENTO REDES SERVICIO SANITARIO RURAL QUEBRADA ESCOBARES, VILLA ALEMANA</v>
      </c>
      <c r="C31" s="10" t="str">
        <f ca="1">IFERROR(__xludf.DUMMYFUNCTION("""COMPUTED_VALUE"""),"5804240702-C")</f>
        <v>5804240702-C</v>
      </c>
      <c r="D31" s="26" t="str">
        <f t="shared" ca="1" si="0"/>
        <v xml:space="preserve"> VILLA ALEMANA</v>
      </c>
      <c r="E31" s="10" t="str">
        <f ca="1">IFERROR(__xludf.DUMMYFUNCTION("""COMPUTED_VALUE"""),"Guía Operativa")</f>
        <v>Guía Operativa</v>
      </c>
      <c r="F31" s="10" t="str">
        <f ca="1">IFERROR(__xludf.DUMMYFUNCTION("""COMPUTED_VALUE"""),"MUNICIPALIDAD DE VILLA ALEMANA")</f>
        <v>MUNICIPALIDAD DE VILLA ALEMANA</v>
      </c>
      <c r="G31" s="71">
        <f ca="1">IFERROR(__xludf.DUMMYFUNCTION("""COMPUTED_VALUE"""),33488088)</f>
        <v>33488088</v>
      </c>
      <c r="H31" s="10" t="str">
        <f ca="1">IFERROR(__xludf.DUMMYFUNCTION("""COMPUTED_VALUE"""),"Resolución")</f>
        <v>Resolución</v>
      </c>
      <c r="I31" s="10" t="str">
        <f ca="1">IFERROR(__xludf.DUMMYFUNCTION("""COMPUTED_VALUE"""),"Obra")</f>
        <v>Obra</v>
      </c>
      <c r="J31" s="10" t="str">
        <f ca="1">IFERROR(__xludf.DUMMYFUNCTION("""COMPUTED_VALUE"""),"Cumplir con normativa y reglamentos internos del programa en base a los objetivos.")</f>
        <v>Cumplir con normativa y reglamentos internos del programa en base a los objetivos.</v>
      </c>
      <c r="K31" s="71">
        <f ca="1">IFERROR(__xludf.DUMMYFUNCTION("""COMPUTED_VALUE"""),33488088)</f>
        <v>33488088</v>
      </c>
      <c r="L31" s="27">
        <f ca="1">IFERROR(__xludf.DUMMYFUNCTION("""COMPUTED_VALUE"""),1)</f>
        <v>1</v>
      </c>
      <c r="M31" s="10" t="str">
        <f ca="1">IFERROR(__xludf.DUMMYFUNCTION("""COMPUTED_VALUE"""),"1594/2024")</f>
        <v>1594/2024</v>
      </c>
      <c r="N31" s="10" t="str">
        <f ca="1">IFERROR(__xludf.DUMMYFUNCTION("""COMPUTED_VALUE"""),"PMB")</f>
        <v>PMB</v>
      </c>
      <c r="O31" s="59"/>
      <c r="P31" s="1"/>
      <c r="Q31" s="1"/>
      <c r="R31" s="1"/>
      <c r="S31" s="1"/>
      <c r="T31" s="1"/>
      <c r="U31" s="1"/>
      <c r="V31" s="1"/>
      <c r="W31" s="1"/>
      <c r="X31" s="1"/>
      <c r="Y31" s="1"/>
      <c r="Z31" s="1"/>
      <c r="AA31" s="1"/>
    </row>
    <row r="32" spans="1:27" ht="12.75" customHeight="1">
      <c r="A32" s="1"/>
      <c r="B32" s="10" t="str">
        <f ca="1">IFERROR(__xludf.DUMMYFUNCTION("""COMPUTED_VALUE"""),"CONSTRUCCION OBRAS DE URBANIZACIÓN QUINTAS COCHOLGUE, TOMÉ")</f>
        <v>CONSTRUCCION OBRAS DE URBANIZACIÓN QUINTAS COCHOLGUE, TOMÉ</v>
      </c>
      <c r="C32" s="10" t="str">
        <f ca="1">IFERROR(__xludf.DUMMYFUNCTION("""COMPUTED_VALUE"""),"8111210701-C")</f>
        <v>8111210701-C</v>
      </c>
      <c r="D32" s="26" t="str">
        <f t="shared" ca="1" si="0"/>
        <v xml:space="preserve"> TOMÉ</v>
      </c>
      <c r="E32" s="10" t="str">
        <f ca="1">IFERROR(__xludf.DUMMYFUNCTION("""COMPUTED_VALUE"""),"Guía Operativa")</f>
        <v>Guía Operativa</v>
      </c>
      <c r="F32" s="10" t="str">
        <f ca="1">IFERROR(__xludf.DUMMYFUNCTION("""COMPUTED_VALUE"""),"MUNICIPALIDAD DE TOMÉ")</f>
        <v>MUNICIPALIDAD DE TOMÉ</v>
      </c>
      <c r="G32" s="71">
        <f ca="1">IFERROR(__xludf.DUMMYFUNCTION("""COMPUTED_VALUE"""),1313733102)</f>
        <v>1313733102</v>
      </c>
      <c r="H32" s="10" t="str">
        <f ca="1">IFERROR(__xludf.DUMMYFUNCTION("""COMPUTED_VALUE"""),"Resolución")</f>
        <v>Resolución</v>
      </c>
      <c r="I32" s="10" t="str">
        <f ca="1">IFERROR(__xludf.DUMMYFUNCTION("""COMPUTED_VALUE"""),"Obra")</f>
        <v>Obra</v>
      </c>
      <c r="J32" s="10" t="str">
        <f ca="1">IFERROR(__xludf.DUMMYFUNCTION("""COMPUTED_VALUE"""),"Cumplir con normativa y reglamentos internos del programa en base a los objetivos.")</f>
        <v>Cumplir con normativa y reglamentos internos del programa en base a los objetivos.</v>
      </c>
      <c r="K32" s="71">
        <f ca="1">IFERROR(__xludf.DUMMYFUNCTION("""COMPUTED_VALUE"""),604802042)</f>
        <v>604802042</v>
      </c>
      <c r="L32" s="27">
        <f ca="1">IFERROR(__xludf.DUMMYFUNCTION("""COMPUTED_VALUE"""),0.951997603695914)</f>
        <v>0.95199760369591402</v>
      </c>
      <c r="M32" s="10" t="str">
        <f ca="1">IFERROR(__xludf.DUMMYFUNCTION("""COMPUTED_VALUE"""),"153/2022")</f>
        <v>153/2022</v>
      </c>
      <c r="N32" s="10" t="str">
        <f ca="1">IFERROR(__xludf.DUMMYFUNCTION("""COMPUTED_VALUE"""),"PMB")</f>
        <v>PMB</v>
      </c>
      <c r="O32" s="59"/>
      <c r="P32" s="1"/>
      <c r="Q32" s="1"/>
      <c r="R32" s="1"/>
      <c r="S32" s="1"/>
      <c r="T32" s="1"/>
      <c r="U32" s="1"/>
      <c r="V32" s="1"/>
      <c r="W32" s="1"/>
      <c r="X32" s="1"/>
      <c r="Y32" s="1"/>
      <c r="Z32" s="1"/>
      <c r="AA32" s="1"/>
    </row>
    <row r="33" spans="1:27" ht="12.75" customHeight="1">
      <c r="A33" s="1"/>
      <c r="B33" s="10" t="str">
        <f ca="1">IFERROR(__xludf.DUMMYFUNCTION("""COMPUTED_VALUE"""),"REPOSICIÓN POR CATASTROFE DE SISTEMAS INDIVIDUALES DE AGUA POTABLE RURAL, SECTORES LEONERA , SANTA CRISTINA Y EL RETAMO, COMUNA DE COELEMU")</f>
        <v>REPOSICIÓN POR CATASTROFE DE SISTEMAS INDIVIDUALES DE AGUA POTABLE RURAL, SECTORES LEONERA , SANTA CRISTINA Y EL RETAMO, COMUNA DE COELEMU</v>
      </c>
      <c r="C33" s="10" t="str">
        <f ca="1">IFERROR(__xludf.DUMMYFUNCTION("""COMPUTED_VALUE"""),"16203230703-C")</f>
        <v>16203230703-C</v>
      </c>
      <c r="D33" s="26" t="str">
        <f t="shared" ca="1" si="0"/>
        <v xml:space="preserve"> COELEMU</v>
      </c>
      <c r="E33" s="10" t="str">
        <f ca="1">IFERROR(__xludf.DUMMYFUNCTION("""COMPUTED_VALUE"""),"Guía Operativa")</f>
        <v>Guía Operativa</v>
      </c>
      <c r="F33" s="10" t="str">
        <f ca="1">IFERROR(__xludf.DUMMYFUNCTION("""COMPUTED_VALUE"""),"MUNICIPALIDAD DE COELEMU")</f>
        <v>MUNICIPALIDAD DE COELEMU</v>
      </c>
      <c r="G33" s="71">
        <f ca="1">IFERROR(__xludf.DUMMYFUNCTION("""COMPUTED_VALUE"""),308831370)</f>
        <v>308831370</v>
      </c>
      <c r="H33" s="10" t="str">
        <f ca="1">IFERROR(__xludf.DUMMYFUNCTION("""COMPUTED_VALUE"""),"Resolución")</f>
        <v>Resolución</v>
      </c>
      <c r="I33" s="10" t="str">
        <f ca="1">IFERROR(__xludf.DUMMYFUNCTION("""COMPUTED_VALUE"""),"Obra")</f>
        <v>Obra</v>
      </c>
      <c r="J33" s="10" t="str">
        <f ca="1">IFERROR(__xludf.DUMMYFUNCTION("""COMPUTED_VALUE"""),"Cumplir con normativa y reglamentos internos del programa en base a los objetivos.")</f>
        <v>Cumplir con normativa y reglamentos internos del programa en base a los objetivos.</v>
      </c>
      <c r="K33" s="71">
        <f ca="1">IFERROR(__xludf.DUMMYFUNCTION("""COMPUTED_VALUE"""),308831370)</f>
        <v>308831370</v>
      </c>
      <c r="L33" s="27">
        <f ca="1">IFERROR(__xludf.DUMMYFUNCTION("""COMPUTED_VALUE"""),1)</f>
        <v>1</v>
      </c>
      <c r="M33" s="10" t="str">
        <f ca="1">IFERROR(__xludf.DUMMYFUNCTION("""COMPUTED_VALUE"""),"1734/2024")</f>
        <v>1734/2024</v>
      </c>
      <c r="N33" s="10" t="str">
        <f ca="1">IFERROR(__xludf.DUMMYFUNCTION("""COMPUTED_VALUE"""),"PMB")</f>
        <v>PMB</v>
      </c>
      <c r="O33" s="59"/>
      <c r="P33" s="1"/>
      <c r="Q33" s="1"/>
      <c r="R33" s="1"/>
      <c r="S33" s="1"/>
      <c r="T33" s="1"/>
      <c r="U33" s="1"/>
      <c r="V33" s="1"/>
      <c r="W33" s="1"/>
      <c r="X33" s="1"/>
      <c r="Y33" s="1"/>
      <c r="Z33" s="1"/>
      <c r="AA33" s="1"/>
    </row>
    <row r="34" spans="1:27" ht="12.75" customHeight="1">
      <c r="A34" s="1"/>
      <c r="B34" s="10" t="str">
        <f ca="1">IFERROR(__xludf.DUMMYFUNCTION("""COMPUTED_VALUE"""),"ASISTENCIA TÉCNICA CATASTRO, LEVANTAMIENTO Y DIAGNÓSTICO PATRIMONIAL BASÍLICA DE LOURDES")</f>
        <v>ASISTENCIA TÉCNICA CATASTRO, LEVANTAMIENTO Y DIAGNÓSTICO PATRIMONIAL BASÍLICA DE LOURDES</v>
      </c>
      <c r="C34" s="10" t="str">
        <f ca="1">IFERROR(__xludf.DUMMYFUNCTION("""COMPUTED_VALUE"""),"13126231003-C")</f>
        <v>13126231003-C</v>
      </c>
      <c r="D34" s="26" t="str">
        <f t="shared" ca="1" si="0"/>
        <v xml:space="preserve"> QUINTA NORMAL</v>
      </c>
      <c r="E34" s="10" t="str">
        <f ca="1">IFERROR(__xludf.DUMMYFUNCTION("""COMPUTED_VALUE"""),"Guía Operativa")</f>
        <v>Guía Operativa</v>
      </c>
      <c r="F34" s="10" t="str">
        <f ca="1">IFERROR(__xludf.DUMMYFUNCTION("""COMPUTED_VALUE"""),"MUNICIPALIDAD DE QUINTA NORMAL")</f>
        <v>MUNICIPALIDAD DE QUINTA NORMAL</v>
      </c>
      <c r="G34" s="71">
        <f ca="1">IFERROR(__xludf.DUMMYFUNCTION("""COMPUTED_VALUE"""),66600000)</f>
        <v>66600000</v>
      </c>
      <c r="H34" s="10" t="str">
        <f ca="1">IFERROR(__xludf.DUMMYFUNCTION("""COMPUTED_VALUE"""),"Resolución")</f>
        <v>Resolución</v>
      </c>
      <c r="I34" s="10" t="str">
        <f ca="1">IFERROR(__xludf.DUMMYFUNCTION("""COMPUTED_VALUE"""),"Asistencia Ténica")</f>
        <v>Asistencia Ténica</v>
      </c>
      <c r="J34" s="10" t="str">
        <f ca="1">IFERROR(__xludf.DUMMYFUNCTION("""COMPUTED_VALUE"""),"Cumplir con normativa y reglamentos internos del programa en base a los objetivos.")</f>
        <v>Cumplir con normativa y reglamentos internos del programa en base a los objetivos.</v>
      </c>
      <c r="K34" s="71">
        <f ca="1">IFERROR(__xludf.DUMMYFUNCTION("""COMPUTED_VALUE"""),66600000)</f>
        <v>66600000</v>
      </c>
      <c r="L34" s="27">
        <f ca="1">IFERROR(__xludf.DUMMYFUNCTION("""COMPUTED_VALUE"""),1)</f>
        <v>1</v>
      </c>
      <c r="M34" s="10" t="str">
        <f ca="1">IFERROR(__xludf.DUMMYFUNCTION("""COMPUTED_VALUE"""),"2180/2024")</f>
        <v>2180/2024</v>
      </c>
      <c r="N34" s="10" t="str">
        <f ca="1">IFERROR(__xludf.DUMMYFUNCTION("""COMPUTED_VALUE"""),"PMB")</f>
        <v>PMB</v>
      </c>
      <c r="O34" s="59"/>
      <c r="P34" s="1"/>
      <c r="Q34" s="1"/>
      <c r="R34" s="1"/>
      <c r="S34" s="1"/>
      <c r="T34" s="1"/>
      <c r="U34" s="1"/>
      <c r="V34" s="1"/>
      <c r="W34" s="1"/>
      <c r="X34" s="1"/>
      <c r="Y34" s="1"/>
      <c r="Z34" s="1"/>
      <c r="AA34" s="1"/>
    </row>
    <row r="35" spans="1:27" ht="12.75" customHeight="1">
      <c r="A35" s="1"/>
      <c r="B35" s="10" t="str">
        <f ca="1">IFERROR(__xludf.DUMMYFUNCTION("""COMPUTED_VALUE"""),"PROYECTOS PMB DE ILUMINACIÓN EN DIVERSOS SECTORES DE LA COMUNA, QUINTA NORMAL")</f>
        <v>PROYECTOS PMB DE ILUMINACIÓN EN DIVERSOS SECTORES DE LA COMUNA, QUINTA NORMAL</v>
      </c>
      <c r="C35" s="10" t="str">
        <f ca="1">IFERROR(__xludf.DUMMYFUNCTION("""COMPUTED_VALUE"""),"13126231004-C")</f>
        <v>13126231004-C</v>
      </c>
      <c r="D35" s="26" t="str">
        <f t="shared" ca="1" si="0"/>
        <v xml:space="preserve"> QUINTA NORMAL</v>
      </c>
      <c r="E35" s="10" t="str">
        <f ca="1">IFERROR(__xludf.DUMMYFUNCTION("""COMPUTED_VALUE"""),"Guía Operativa")</f>
        <v>Guía Operativa</v>
      </c>
      <c r="F35" s="10" t="str">
        <f ca="1">IFERROR(__xludf.DUMMYFUNCTION("""COMPUTED_VALUE"""),"MUNICIPALIDAD DE QUINTA NORMAL")</f>
        <v>MUNICIPALIDAD DE QUINTA NORMAL</v>
      </c>
      <c r="G35" s="71">
        <f ca="1">IFERROR(__xludf.DUMMYFUNCTION("""COMPUTED_VALUE"""),72000000)</f>
        <v>72000000</v>
      </c>
      <c r="H35" s="10" t="str">
        <f ca="1">IFERROR(__xludf.DUMMYFUNCTION("""COMPUTED_VALUE"""),"Resolución")</f>
        <v>Resolución</v>
      </c>
      <c r="I35" s="10" t="str">
        <f ca="1">IFERROR(__xludf.DUMMYFUNCTION("""COMPUTED_VALUE"""),"Asistencia Ténica")</f>
        <v>Asistencia Ténica</v>
      </c>
      <c r="J35" s="10" t="str">
        <f ca="1">IFERROR(__xludf.DUMMYFUNCTION("""COMPUTED_VALUE"""),"Cumplir con normativa y reglamentos internos del programa en base a los objetivos.")</f>
        <v>Cumplir con normativa y reglamentos internos del programa en base a los objetivos.</v>
      </c>
      <c r="K35" s="71">
        <f ca="1">IFERROR(__xludf.DUMMYFUNCTION("""COMPUTED_VALUE"""),72000000)</f>
        <v>72000000</v>
      </c>
      <c r="L35" s="27">
        <f ca="1">IFERROR(__xludf.DUMMYFUNCTION("""COMPUTED_VALUE"""),1)</f>
        <v>1</v>
      </c>
      <c r="M35" s="10" t="str">
        <f ca="1">IFERROR(__xludf.DUMMYFUNCTION("""COMPUTED_VALUE"""),"2181/2024")</f>
        <v>2181/2024</v>
      </c>
      <c r="N35" s="10" t="str">
        <f ca="1">IFERROR(__xludf.DUMMYFUNCTION("""COMPUTED_VALUE"""),"PMB")</f>
        <v>PMB</v>
      </c>
      <c r="O35" s="59"/>
      <c r="P35" s="1"/>
      <c r="Q35" s="1"/>
      <c r="R35" s="1"/>
      <c r="S35" s="1"/>
      <c r="T35" s="1"/>
      <c r="U35" s="1"/>
      <c r="V35" s="1"/>
      <c r="W35" s="1"/>
      <c r="X35" s="1"/>
      <c r="Y35" s="1"/>
      <c r="Z35" s="1"/>
      <c r="AA35" s="1"/>
    </row>
    <row r="36" spans="1:27" ht="12.75" customHeight="1">
      <c r="A36" s="1"/>
      <c r="B36" s="10" t="str">
        <f ca="1">IFERROR(__xludf.DUMMYFUNCTION("""COMPUTED_VALUE"""),"ASESORIA TECNICA PARA CREACIÓN DE PROYECTOS SUBDERE, COMUNA DE TENO")</f>
        <v>ASESORIA TECNICA PARA CREACIÓN DE PROYECTOS SUBDERE, COMUNA DE TENO</v>
      </c>
      <c r="C36" s="10" t="str">
        <f ca="1">IFERROR(__xludf.DUMMYFUNCTION("""COMPUTED_VALUE"""),"7308231001-C")</f>
        <v>7308231001-C</v>
      </c>
      <c r="D36" s="26" t="str">
        <f t="shared" ca="1" si="0"/>
        <v xml:space="preserve"> TENO</v>
      </c>
      <c r="E36" s="10" t="str">
        <f ca="1">IFERROR(__xludf.DUMMYFUNCTION("""COMPUTED_VALUE"""),"Guía Operativa")</f>
        <v>Guía Operativa</v>
      </c>
      <c r="F36" s="10" t="str">
        <f ca="1">IFERROR(__xludf.DUMMYFUNCTION("""COMPUTED_VALUE"""),"MUNICIPALIDAD DE TENO")</f>
        <v>MUNICIPALIDAD DE TENO</v>
      </c>
      <c r="G36" s="71">
        <f ca="1">IFERROR(__xludf.DUMMYFUNCTION("""COMPUTED_VALUE"""),48000000)</f>
        <v>48000000</v>
      </c>
      <c r="H36" s="10" t="str">
        <f ca="1">IFERROR(__xludf.DUMMYFUNCTION("""COMPUTED_VALUE"""),"Resolución")</f>
        <v>Resolución</v>
      </c>
      <c r="I36" s="10" t="str">
        <f ca="1">IFERROR(__xludf.DUMMYFUNCTION("""COMPUTED_VALUE"""),"Asistencia Ténica")</f>
        <v>Asistencia Ténica</v>
      </c>
      <c r="J36" s="10" t="str">
        <f ca="1">IFERROR(__xludf.DUMMYFUNCTION("""COMPUTED_VALUE"""),"Cumplir con normativa y reglamentos internos del programa en base a los objetivos.")</f>
        <v>Cumplir con normativa y reglamentos internos del programa en base a los objetivos.</v>
      </c>
      <c r="K36" s="71">
        <f ca="1">IFERROR(__xludf.DUMMYFUNCTION("""COMPUTED_VALUE"""),12000000)</f>
        <v>12000000</v>
      </c>
      <c r="L36" s="27">
        <f ca="1">IFERROR(__xludf.DUMMYFUNCTION("""COMPUTED_VALUE"""),0.75)</f>
        <v>0.75</v>
      </c>
      <c r="M36" s="10" t="str">
        <f ca="1">IFERROR(__xludf.DUMMYFUNCTION("""COMPUTED_VALUE"""),"4973/2024")</f>
        <v>4973/2024</v>
      </c>
      <c r="N36" s="10" t="str">
        <f ca="1">IFERROR(__xludf.DUMMYFUNCTION("""COMPUTED_VALUE"""),"PMB")</f>
        <v>PMB</v>
      </c>
      <c r="O36" s="59"/>
      <c r="P36" s="1"/>
      <c r="Q36" s="1"/>
      <c r="R36" s="1"/>
      <c r="S36" s="1"/>
      <c r="T36" s="1"/>
      <c r="U36" s="1"/>
      <c r="V36" s="1"/>
      <c r="W36" s="1"/>
      <c r="X36" s="1"/>
      <c r="Y36" s="1"/>
      <c r="Z36" s="1"/>
      <c r="AA36" s="1"/>
    </row>
    <row r="37" spans="1:27" ht="12.75" customHeight="1">
      <c r="A37" s="1"/>
      <c r="B37" s="10" t="str">
        <f ca="1">IFERROR(__xludf.DUMMYFUNCTION("""COMPUTED_VALUE"""),"ASISTENCIA TECNICA, COMUNA DE CUREPTO")</f>
        <v>ASISTENCIA TECNICA, COMUNA DE CUREPTO</v>
      </c>
      <c r="C37" s="10" t="str">
        <f ca="1">IFERROR(__xludf.DUMMYFUNCTION("""COMPUTED_VALUE"""),"7103231001-C")</f>
        <v>7103231001-C</v>
      </c>
      <c r="D37" s="26" t="str">
        <f t="shared" ca="1" si="0"/>
        <v xml:space="preserve"> CUREPTO</v>
      </c>
      <c r="E37" s="10" t="str">
        <f ca="1">IFERROR(__xludf.DUMMYFUNCTION("""COMPUTED_VALUE"""),"Guía Operativa")</f>
        <v>Guía Operativa</v>
      </c>
      <c r="F37" s="10" t="str">
        <f ca="1">IFERROR(__xludf.DUMMYFUNCTION("""COMPUTED_VALUE"""),"MUNICIPALIDAD DE CUREPTO")</f>
        <v>MUNICIPALIDAD DE CUREPTO</v>
      </c>
      <c r="G37" s="71">
        <f ca="1">IFERROR(__xludf.DUMMYFUNCTION("""COMPUTED_VALUE"""),40515444)</f>
        <v>40515444</v>
      </c>
      <c r="H37" s="10" t="str">
        <f ca="1">IFERROR(__xludf.DUMMYFUNCTION("""COMPUTED_VALUE"""),"Resolución")</f>
        <v>Resolución</v>
      </c>
      <c r="I37" s="10" t="str">
        <f ca="1">IFERROR(__xludf.DUMMYFUNCTION("""COMPUTED_VALUE"""),"Asistencia Ténica")</f>
        <v>Asistencia Ténica</v>
      </c>
      <c r="J37" s="10" t="str">
        <f ca="1">IFERROR(__xludf.DUMMYFUNCTION("""COMPUTED_VALUE"""),"Cumplir con normativa y reglamentos internos del programa en base a los objetivos.")</f>
        <v>Cumplir con normativa y reglamentos internos del programa en base a los objetivos.</v>
      </c>
      <c r="K37" s="71">
        <f ca="1">IFERROR(__xludf.DUMMYFUNCTION("""COMPUTED_VALUE"""),10128861)</f>
        <v>10128861</v>
      </c>
      <c r="L37" s="27">
        <f ca="1">IFERROR(__xludf.DUMMYFUNCTION("""COMPUTED_VALUE"""),0.5)</f>
        <v>0.5</v>
      </c>
      <c r="M37" s="10" t="str">
        <f ca="1">IFERROR(__xludf.DUMMYFUNCTION("""COMPUTED_VALUE"""),"11952/2024")</f>
        <v>11952/2024</v>
      </c>
      <c r="N37" s="10" t="str">
        <f ca="1">IFERROR(__xludf.DUMMYFUNCTION("""COMPUTED_VALUE"""),"PMB")</f>
        <v>PMB</v>
      </c>
      <c r="O37" s="59"/>
      <c r="P37" s="1"/>
      <c r="Q37" s="1"/>
      <c r="R37" s="1"/>
      <c r="S37" s="1"/>
      <c r="T37" s="1"/>
      <c r="U37" s="1"/>
      <c r="V37" s="1"/>
      <c r="W37" s="1"/>
      <c r="X37" s="1"/>
      <c r="Y37" s="1"/>
      <c r="Z37" s="1"/>
      <c r="AA37" s="1"/>
    </row>
    <row r="38" spans="1:27" ht="12.75" customHeight="1">
      <c r="A38" s="1"/>
      <c r="B38" s="10" t="str">
        <f ca="1">IFERROR(__xludf.DUMMYFUNCTION("""COMPUTED_VALUE"""),"ASISTENCIA TECNICA COMUNA DE YERBAS BUENAS")</f>
        <v>ASISTENCIA TECNICA COMUNA DE YERBAS BUENAS</v>
      </c>
      <c r="C38" s="10" t="str">
        <f ca="1">IFERROR(__xludf.DUMMYFUNCTION("""COMPUTED_VALUE"""),"7408231001-C")</f>
        <v>7408231001-C</v>
      </c>
      <c r="D38" s="26" t="str">
        <f t="shared" ca="1" si="0"/>
        <v xml:space="preserve"> YERBAS BUENAS</v>
      </c>
      <c r="E38" s="10" t="str">
        <f ca="1">IFERROR(__xludf.DUMMYFUNCTION("""COMPUTED_VALUE"""),"Guía Operativa")</f>
        <v>Guía Operativa</v>
      </c>
      <c r="F38" s="10" t="str">
        <f ca="1">IFERROR(__xludf.DUMMYFUNCTION("""COMPUTED_VALUE"""),"MUNICIPALIDAD DE YERBAS BUENAS")</f>
        <v>MUNICIPALIDAD DE YERBAS BUENAS</v>
      </c>
      <c r="G38" s="71">
        <f ca="1">IFERROR(__xludf.DUMMYFUNCTION("""COMPUTED_VALUE"""),97800000)</f>
        <v>97800000</v>
      </c>
      <c r="H38" s="10" t="str">
        <f ca="1">IFERROR(__xludf.DUMMYFUNCTION("""COMPUTED_VALUE"""),"Resolución")</f>
        <v>Resolución</v>
      </c>
      <c r="I38" s="10" t="str">
        <f ca="1">IFERROR(__xludf.DUMMYFUNCTION("""COMPUTED_VALUE"""),"Asistencia Ténica")</f>
        <v>Asistencia Ténica</v>
      </c>
      <c r="J38" s="10" t="str">
        <f ca="1">IFERROR(__xludf.DUMMYFUNCTION("""COMPUTED_VALUE"""),"Cumplir con normativa y reglamentos internos del programa en base a los objetivos.")</f>
        <v>Cumplir con normativa y reglamentos internos del programa en base a los objetivos.</v>
      </c>
      <c r="K38" s="71">
        <f ca="1">IFERROR(__xludf.DUMMYFUNCTION("""COMPUTED_VALUE"""),24450000)</f>
        <v>24450000</v>
      </c>
      <c r="L38" s="27">
        <f ca="1">IFERROR(__xludf.DUMMYFUNCTION("""COMPUTED_VALUE"""),0.75)</f>
        <v>0.75</v>
      </c>
      <c r="M38" s="10" t="str">
        <f ca="1">IFERROR(__xludf.DUMMYFUNCTION("""COMPUTED_VALUE"""),"8999/2024")</f>
        <v>8999/2024</v>
      </c>
      <c r="N38" s="10" t="str">
        <f ca="1">IFERROR(__xludf.DUMMYFUNCTION("""COMPUTED_VALUE"""),"PMB")</f>
        <v>PMB</v>
      </c>
      <c r="O38" s="59"/>
      <c r="P38" s="1"/>
      <c r="Q38" s="1"/>
      <c r="R38" s="1"/>
      <c r="S38" s="1"/>
      <c r="T38" s="1"/>
      <c r="U38" s="1"/>
      <c r="V38" s="1"/>
      <c r="W38" s="1"/>
      <c r="X38" s="1"/>
      <c r="Y38" s="1"/>
      <c r="Z38" s="1"/>
      <c r="AA38" s="1"/>
    </row>
    <row r="39" spans="1:27" ht="12.75" customHeight="1">
      <c r="A39" s="1"/>
      <c r="B39" s="10" t="str">
        <f ca="1">IFERROR(__xludf.DUMMYFUNCTION("""COMPUTED_VALUE"""),"ASISTENCIA TÉCNICA PARA PROYECTOS EN EL ÁREA SANITARIA COMUNA DE PARRAL")</f>
        <v>ASISTENCIA TÉCNICA PARA PROYECTOS EN EL ÁREA SANITARIA COMUNA DE PARRAL</v>
      </c>
      <c r="C39" s="10" t="str">
        <f ca="1">IFERROR(__xludf.DUMMYFUNCTION("""COMPUTED_VALUE"""),"7404221001-C")</f>
        <v>7404221001-C</v>
      </c>
      <c r="D39" s="26" t="str">
        <f t="shared" ca="1" si="0"/>
        <v xml:space="preserve"> PARRAL</v>
      </c>
      <c r="E39" s="10" t="str">
        <f ca="1">IFERROR(__xludf.DUMMYFUNCTION("""COMPUTED_VALUE"""),"Guía Operativa")</f>
        <v>Guía Operativa</v>
      </c>
      <c r="F39" s="10" t="str">
        <f ca="1">IFERROR(__xludf.DUMMYFUNCTION("""COMPUTED_VALUE"""),"MUNICIPALIDAD DE PARRAL")</f>
        <v>MUNICIPALIDAD DE PARRAL</v>
      </c>
      <c r="G39" s="71">
        <f ca="1">IFERROR(__xludf.DUMMYFUNCTION("""COMPUTED_VALUE"""),53628000)</f>
        <v>53628000</v>
      </c>
      <c r="H39" s="10" t="str">
        <f ca="1">IFERROR(__xludf.DUMMYFUNCTION("""COMPUTED_VALUE"""),"Resolución")</f>
        <v>Resolución</v>
      </c>
      <c r="I39" s="10" t="str">
        <f ca="1">IFERROR(__xludf.DUMMYFUNCTION("""COMPUTED_VALUE"""),"Asistencia Ténica")</f>
        <v>Asistencia Ténica</v>
      </c>
      <c r="J39" s="10" t="str">
        <f ca="1">IFERROR(__xludf.DUMMYFUNCTION("""COMPUTED_VALUE"""),"Cumplir con normativa y reglamentos internos del programa en base a los objetivos.")</f>
        <v>Cumplir con normativa y reglamentos internos del programa en base a los objetivos.</v>
      </c>
      <c r="K39" s="71">
        <f ca="1">IFERROR(__xludf.DUMMYFUNCTION("""COMPUTED_VALUE"""),19816200)</f>
        <v>19816200</v>
      </c>
      <c r="L39" s="27">
        <f ca="1">IFERROR(__xludf.DUMMYFUNCTION("""COMPUTED_VALUE"""),0.969512195121951)</f>
        <v>0.96951219512195097</v>
      </c>
      <c r="M39" s="10" t="str">
        <f ca="1">IFERROR(__xludf.DUMMYFUNCTION("""COMPUTED_VALUE"""),"7052/2024")</f>
        <v>7052/2024</v>
      </c>
      <c r="N39" s="10" t="str">
        <f ca="1">IFERROR(__xludf.DUMMYFUNCTION("""COMPUTED_VALUE"""),"PMB")</f>
        <v>PMB</v>
      </c>
      <c r="O39" s="59"/>
      <c r="P39" s="1"/>
      <c r="Q39" s="1"/>
      <c r="R39" s="1"/>
      <c r="S39" s="1"/>
      <c r="T39" s="1"/>
      <c r="U39" s="1"/>
      <c r="V39" s="1"/>
      <c r="W39" s="1"/>
      <c r="X39" s="1"/>
      <c r="Y39" s="1"/>
      <c r="Z39" s="1"/>
      <c r="AA39" s="1"/>
    </row>
    <row r="40" spans="1:27" ht="12.75" customHeight="1">
      <c r="A40" s="1"/>
      <c r="B40" s="10" t="str">
        <f ca="1">IFERROR(__xludf.DUMMYFUNCTION("""COMPUTED_VALUE"""),"ASISTENCIA TÉCNICA PARA LA GENERACIÒN DE PROYECTOS Y CATASTROS PARA SANEAMIENTO SANITARIO, COMUNA DE EL CARMEN")</f>
        <v>ASISTENCIA TÉCNICA PARA LA GENERACIÒN DE PROYECTOS Y CATASTROS PARA SANEAMIENTO SANITARIO, COMUNA DE EL CARMEN</v>
      </c>
      <c r="C40" s="10" t="str">
        <f ca="1">IFERROR(__xludf.DUMMYFUNCTION("""COMPUTED_VALUE"""),"16104231001-C")</f>
        <v>16104231001-C</v>
      </c>
      <c r="D40" s="26" t="str">
        <f t="shared" ca="1" si="0"/>
        <v xml:space="preserve"> EL CARMEN</v>
      </c>
      <c r="E40" s="10" t="str">
        <f ca="1">IFERROR(__xludf.DUMMYFUNCTION("""COMPUTED_VALUE"""),"Guía Operativa")</f>
        <v>Guía Operativa</v>
      </c>
      <c r="F40" s="10" t="str">
        <f ca="1">IFERROR(__xludf.DUMMYFUNCTION("""COMPUTED_VALUE"""),"MUNICIPALIDAD DE EL CARMEN")</f>
        <v>MUNICIPALIDAD DE EL CARMEN</v>
      </c>
      <c r="G40" s="71">
        <f ca="1">IFERROR(__xludf.DUMMYFUNCTION("""COMPUTED_VALUE"""),91200000)</f>
        <v>91200000</v>
      </c>
      <c r="H40" s="10" t="str">
        <f ca="1">IFERROR(__xludf.DUMMYFUNCTION("""COMPUTED_VALUE"""),"Resolución")</f>
        <v>Resolución</v>
      </c>
      <c r="I40" s="10" t="str">
        <f ca="1">IFERROR(__xludf.DUMMYFUNCTION("""COMPUTED_VALUE"""),"Asistencia Ténica")</f>
        <v>Asistencia Ténica</v>
      </c>
      <c r="J40" s="10" t="str">
        <f ca="1">IFERROR(__xludf.DUMMYFUNCTION("""COMPUTED_VALUE"""),"Cumplir con normativa y reglamentos internos del programa en base a los objetivos.")</f>
        <v>Cumplir con normativa y reglamentos internos del programa en base a los objetivos.</v>
      </c>
      <c r="K40" s="71">
        <f ca="1">IFERROR(__xludf.DUMMYFUNCTION("""COMPUTED_VALUE"""),91200000)</f>
        <v>91200000</v>
      </c>
      <c r="L40" s="27">
        <f ca="1">IFERROR(__xludf.DUMMYFUNCTION("""COMPUTED_VALUE"""),1)</f>
        <v>1</v>
      </c>
      <c r="M40" s="10" t="str">
        <f ca="1">IFERROR(__xludf.DUMMYFUNCTION("""COMPUTED_VALUE"""),"2408/2024")</f>
        <v>2408/2024</v>
      </c>
      <c r="N40" s="10" t="str">
        <f ca="1">IFERROR(__xludf.DUMMYFUNCTION("""COMPUTED_VALUE"""),"PMB")</f>
        <v>PMB</v>
      </c>
      <c r="O40" s="59"/>
      <c r="P40" s="1"/>
      <c r="Q40" s="1"/>
      <c r="R40" s="1"/>
      <c r="S40" s="1"/>
      <c r="T40" s="1"/>
      <c r="U40" s="1"/>
      <c r="V40" s="1"/>
      <c r="W40" s="1"/>
      <c r="X40" s="1"/>
      <c r="Y40" s="1"/>
      <c r="Z40" s="1"/>
      <c r="AA40" s="1"/>
    </row>
    <row r="41" spans="1:27" ht="12.75" customHeight="1">
      <c r="A41" s="1"/>
      <c r="B41" s="10" t="str">
        <f ca="1">IFERROR(__xludf.DUMMYFUNCTION("""COMPUTED_VALUE"""),"CONTRATACION DE PROFESIONALES TECNICOS PARA LA FORMULACION DE PROYECTOS DE INVERSION, COMUNA DE TRAIGUEN")</f>
        <v>CONTRATACION DE PROFESIONALES TECNICOS PARA LA FORMULACION DE PROYECTOS DE INVERSION, COMUNA DE TRAIGUEN</v>
      </c>
      <c r="C41" s="10" t="str">
        <f ca="1">IFERROR(__xludf.DUMMYFUNCTION("""COMPUTED_VALUE"""),"9210231003-C")</f>
        <v>9210231003-C</v>
      </c>
      <c r="D41" s="26" t="str">
        <f t="shared" ca="1" si="0"/>
        <v xml:space="preserve"> TRAIGUÉN</v>
      </c>
      <c r="E41" s="10" t="str">
        <f ca="1">IFERROR(__xludf.DUMMYFUNCTION("""COMPUTED_VALUE"""),"Guía Operativa")</f>
        <v>Guía Operativa</v>
      </c>
      <c r="F41" s="10" t="str">
        <f ca="1">IFERROR(__xludf.DUMMYFUNCTION("""COMPUTED_VALUE"""),"MUNICIPALIDAD DE TRAIGUÉN")</f>
        <v>MUNICIPALIDAD DE TRAIGUÉN</v>
      </c>
      <c r="G41" s="71">
        <f ca="1">IFERROR(__xludf.DUMMYFUNCTION("""COMPUTED_VALUE"""),86400000)</f>
        <v>86400000</v>
      </c>
      <c r="H41" s="10" t="str">
        <f ca="1">IFERROR(__xludf.DUMMYFUNCTION("""COMPUTED_VALUE"""),"Resolución")</f>
        <v>Resolución</v>
      </c>
      <c r="I41" s="10" t="str">
        <f ca="1">IFERROR(__xludf.DUMMYFUNCTION("""COMPUTED_VALUE"""),"Asistencia Ténica")</f>
        <v>Asistencia Ténica</v>
      </c>
      <c r="J41" s="10" t="str">
        <f ca="1">IFERROR(__xludf.DUMMYFUNCTION("""COMPUTED_VALUE"""),"Cumplir con normativa y reglamentos internos del programa en base a los objetivos.")</f>
        <v>Cumplir con normativa y reglamentos internos del programa en base a los objetivos.</v>
      </c>
      <c r="K41" s="71">
        <f ca="1">IFERROR(__xludf.DUMMYFUNCTION("""COMPUTED_VALUE"""),86400000)</f>
        <v>86400000</v>
      </c>
      <c r="L41" s="27">
        <f ca="1">IFERROR(__xludf.DUMMYFUNCTION("""COMPUTED_VALUE"""),1)</f>
        <v>1</v>
      </c>
      <c r="M41" s="10" t="str">
        <f ca="1">IFERROR(__xludf.DUMMYFUNCTION("""COMPUTED_VALUE"""),"2168/2024")</f>
        <v>2168/2024</v>
      </c>
      <c r="N41" s="10" t="str">
        <f ca="1">IFERROR(__xludf.DUMMYFUNCTION("""COMPUTED_VALUE"""),"PMB")</f>
        <v>PMB</v>
      </c>
      <c r="O41" s="59"/>
      <c r="P41" s="1"/>
      <c r="Q41" s="1"/>
      <c r="R41" s="1"/>
      <c r="S41" s="1"/>
      <c r="T41" s="1"/>
      <c r="U41" s="1"/>
      <c r="V41" s="1"/>
      <c r="W41" s="1"/>
      <c r="X41" s="1"/>
      <c r="Y41" s="1"/>
      <c r="Z41" s="1"/>
      <c r="AA41" s="1"/>
    </row>
    <row r="42" spans="1:27" ht="12.75" customHeight="1">
      <c r="A42" s="1"/>
      <c r="B42" s="10" t="str">
        <f ca="1">IFERROR(__xludf.DUMMYFUNCTION("""COMPUTED_VALUE"""),"ASIST. PROY. ABASTO A.P. SECTOR: CHANCO BAJO,CHANCO ALTO, C. COÑA REIMAN,PICHIPANTANO NORTE, PICHIPANTANO SUR, BELLA VISTA,PANTANO 2,TRAIGUEN")</f>
        <v>ASIST. PROY. ABASTO A.P. SECTOR: CHANCO BAJO,CHANCO ALTO, C. COÑA REIMAN,PICHIPANTANO NORTE, PICHIPANTANO SUR, BELLA VISTA,PANTANO 2,TRAIGUEN</v>
      </c>
      <c r="C42" s="10" t="str">
        <f ca="1">IFERROR(__xludf.DUMMYFUNCTION("""COMPUTED_VALUE"""),"9210231005-C")</f>
        <v>9210231005-C</v>
      </c>
      <c r="D42" s="26" t="str">
        <f t="shared" ca="1" si="0"/>
        <v xml:space="preserve"> TRAIGUÉN</v>
      </c>
      <c r="E42" s="10" t="str">
        <f ca="1">IFERROR(__xludf.DUMMYFUNCTION("""COMPUTED_VALUE"""),"Guía Operativa")</f>
        <v>Guía Operativa</v>
      </c>
      <c r="F42" s="10" t="str">
        <f ca="1">IFERROR(__xludf.DUMMYFUNCTION("""COMPUTED_VALUE"""),"MUNICIPALIDAD DE TRAIGUÉN")</f>
        <v>MUNICIPALIDAD DE TRAIGUÉN</v>
      </c>
      <c r="G42" s="71">
        <f ca="1">IFERROR(__xludf.DUMMYFUNCTION("""COMPUTED_VALUE"""),64800000)</f>
        <v>64800000</v>
      </c>
      <c r="H42" s="10" t="str">
        <f ca="1">IFERROR(__xludf.DUMMYFUNCTION("""COMPUTED_VALUE"""),"Resolución")</f>
        <v>Resolución</v>
      </c>
      <c r="I42" s="10" t="str">
        <f ca="1">IFERROR(__xludf.DUMMYFUNCTION("""COMPUTED_VALUE"""),"Asistencia Ténica")</f>
        <v>Asistencia Ténica</v>
      </c>
      <c r="J42" s="10" t="str">
        <f ca="1">IFERROR(__xludf.DUMMYFUNCTION("""COMPUTED_VALUE"""),"Cumplir con normativa y reglamentos internos del programa en base a los objetivos.")</f>
        <v>Cumplir con normativa y reglamentos internos del programa en base a los objetivos.</v>
      </c>
      <c r="K42" s="71">
        <f ca="1">IFERROR(__xludf.DUMMYFUNCTION("""COMPUTED_VALUE"""),64800000)</f>
        <v>64800000</v>
      </c>
      <c r="L42" s="27">
        <f ca="1">IFERROR(__xludf.DUMMYFUNCTION("""COMPUTED_VALUE"""),1)</f>
        <v>1</v>
      </c>
      <c r="M42" s="10" t="str">
        <f ca="1">IFERROR(__xludf.DUMMYFUNCTION("""COMPUTED_VALUE"""),"2285/2024")</f>
        <v>2285/2024</v>
      </c>
      <c r="N42" s="10" t="str">
        <f ca="1">IFERROR(__xludf.DUMMYFUNCTION("""COMPUTED_VALUE"""),"PMB")</f>
        <v>PMB</v>
      </c>
      <c r="O42" s="59"/>
      <c r="P42" s="1"/>
      <c r="Q42" s="1"/>
      <c r="R42" s="1"/>
      <c r="S42" s="1"/>
      <c r="T42" s="1"/>
      <c r="U42" s="1"/>
      <c r="V42" s="1"/>
      <c r="W42" s="1"/>
      <c r="X42" s="1"/>
      <c r="Y42" s="1"/>
      <c r="Z42" s="1"/>
      <c r="AA42" s="1"/>
    </row>
    <row r="43" spans="1:27" ht="12.75" customHeight="1">
      <c r="A43" s="1"/>
      <c r="B43" s="10" t="str">
        <f ca="1">IFERROR(__xludf.DUMMYFUNCTION("""COMPUTED_VALUE"""),"ASISTENCIA TÉCNICA PARA ALTERNATIVAS DE INVERSIÓN EN CONSUMO HUMANO Y SANEAMIENTO JUAN FERNÁNDEZ")</f>
        <v>ASISTENCIA TÉCNICA PARA ALTERNATIVAS DE INVERSIÓN EN CONSUMO HUMANO Y SANEAMIENTO JUAN FERNÁNDEZ</v>
      </c>
      <c r="C43" s="10" t="str">
        <f ca="1">IFERROR(__xludf.DUMMYFUNCTION("""COMPUTED_VALUE"""),"5104231002-C")</f>
        <v>5104231002-C</v>
      </c>
      <c r="D43" s="26" t="str">
        <f t="shared" ca="1" si="0"/>
        <v xml:space="preserve"> JUAN FERNÁNDEZ</v>
      </c>
      <c r="E43" s="10" t="str">
        <f ca="1">IFERROR(__xludf.DUMMYFUNCTION("""COMPUTED_VALUE"""),"Guía Operativa")</f>
        <v>Guía Operativa</v>
      </c>
      <c r="F43" s="10" t="str">
        <f ca="1">IFERROR(__xludf.DUMMYFUNCTION("""COMPUTED_VALUE"""),"MUNICIPALIDAD DE JUAN FERNÁNDEZ")</f>
        <v>MUNICIPALIDAD DE JUAN FERNÁNDEZ</v>
      </c>
      <c r="G43" s="71">
        <f ca="1">IFERROR(__xludf.DUMMYFUNCTION("""COMPUTED_VALUE"""),82800000)</f>
        <v>82800000</v>
      </c>
      <c r="H43" s="10" t="str">
        <f ca="1">IFERROR(__xludf.DUMMYFUNCTION("""COMPUTED_VALUE"""),"Resolución")</f>
        <v>Resolución</v>
      </c>
      <c r="I43" s="10" t="str">
        <f ca="1">IFERROR(__xludf.DUMMYFUNCTION("""COMPUTED_VALUE"""),"Asistencia Ténica")</f>
        <v>Asistencia Ténica</v>
      </c>
      <c r="J43" s="10" t="str">
        <f ca="1">IFERROR(__xludf.DUMMYFUNCTION("""COMPUTED_VALUE"""),"Cumplir con normativa y reglamentos internos del programa en base a los objetivos.")</f>
        <v>Cumplir con normativa y reglamentos internos del programa en base a los objetivos.</v>
      </c>
      <c r="K43" s="71">
        <f ca="1">IFERROR(__xludf.DUMMYFUNCTION("""COMPUTED_VALUE"""),82800000)</f>
        <v>82800000</v>
      </c>
      <c r="L43" s="27">
        <f ca="1">IFERROR(__xludf.DUMMYFUNCTION("""COMPUTED_VALUE"""),1)</f>
        <v>1</v>
      </c>
      <c r="M43" s="10" t="str">
        <f ca="1">IFERROR(__xludf.DUMMYFUNCTION("""COMPUTED_VALUE"""),"2651/2024")</f>
        <v>2651/2024</v>
      </c>
      <c r="N43" s="10" t="str">
        <f ca="1">IFERROR(__xludf.DUMMYFUNCTION("""COMPUTED_VALUE"""),"PMB")</f>
        <v>PMB</v>
      </c>
      <c r="O43" s="59"/>
      <c r="P43" s="1"/>
      <c r="Q43" s="1"/>
      <c r="R43" s="1"/>
      <c r="S43" s="1"/>
      <c r="T43" s="1"/>
      <c r="U43" s="1"/>
      <c r="V43" s="1"/>
      <c r="W43" s="1"/>
      <c r="X43" s="1"/>
      <c r="Y43" s="1"/>
      <c r="Z43" s="1"/>
      <c r="AA43" s="1"/>
    </row>
    <row r="44" spans="1:27" ht="12.75" customHeight="1">
      <c r="A44" s="1"/>
      <c r="B44" s="10" t="str">
        <f ca="1">IFERROR(__xludf.DUMMYFUNCTION("""COMPUTED_VALUE"""),"ASISTENCIA TECNICA PARA EL DESARROLLO DE PROYECTOS DE MEJORAMIENTO DE PAVIMENTOS DE SECTOR SANTA ROSA, COMUNA DE PADRE HURTADO.")</f>
        <v>ASISTENCIA TECNICA PARA EL DESARROLLO DE PROYECTOS DE MEJORAMIENTO DE PAVIMENTOS DE SECTOR SANTA ROSA, COMUNA DE PADRE HURTADO.</v>
      </c>
      <c r="C44" s="10" t="str">
        <f ca="1">IFERROR(__xludf.DUMMYFUNCTION("""COMPUTED_VALUE"""),"13604231004-C")</f>
        <v>13604231004-C</v>
      </c>
      <c r="D44" s="26" t="str">
        <f t="shared" ca="1" si="0"/>
        <v xml:space="preserve"> PADRE HURTADO</v>
      </c>
      <c r="E44" s="10" t="str">
        <f ca="1">IFERROR(__xludf.DUMMYFUNCTION("""COMPUTED_VALUE"""),"Guía Operativa")</f>
        <v>Guía Operativa</v>
      </c>
      <c r="F44" s="10" t="str">
        <f ca="1">IFERROR(__xludf.DUMMYFUNCTION("""COMPUTED_VALUE"""),"MUNICIPALIDAD DE PADRE HURTADO")</f>
        <v>MUNICIPALIDAD DE PADRE HURTADO</v>
      </c>
      <c r="G44" s="71">
        <f ca="1">IFERROR(__xludf.DUMMYFUNCTION("""COMPUTED_VALUE"""),46896552)</f>
        <v>46896552</v>
      </c>
      <c r="H44" s="10" t="str">
        <f ca="1">IFERROR(__xludf.DUMMYFUNCTION("""COMPUTED_VALUE"""),"Resolución")</f>
        <v>Resolución</v>
      </c>
      <c r="I44" s="10" t="str">
        <f ca="1">IFERROR(__xludf.DUMMYFUNCTION("""COMPUTED_VALUE"""),"Asistencia Ténica")</f>
        <v>Asistencia Ténica</v>
      </c>
      <c r="J44" s="10" t="str">
        <f ca="1">IFERROR(__xludf.DUMMYFUNCTION("""COMPUTED_VALUE"""),"Cumplir con normativa y reglamentos internos del programa en base a los objetivos.")</f>
        <v>Cumplir con normativa y reglamentos internos del programa en base a los objetivos.</v>
      </c>
      <c r="K44" s="71">
        <f ca="1">IFERROR(__xludf.DUMMYFUNCTION("""COMPUTED_VALUE"""),46896552)</f>
        <v>46896552</v>
      </c>
      <c r="L44" s="27">
        <f ca="1">IFERROR(__xludf.DUMMYFUNCTION("""COMPUTED_VALUE"""),1)</f>
        <v>1</v>
      </c>
      <c r="M44" s="10" t="str">
        <f ca="1">IFERROR(__xludf.DUMMYFUNCTION("""COMPUTED_VALUE"""),"2277/2024")</f>
        <v>2277/2024</v>
      </c>
      <c r="N44" s="10" t="str">
        <f ca="1">IFERROR(__xludf.DUMMYFUNCTION("""COMPUTED_VALUE"""),"PMB")</f>
        <v>PMB</v>
      </c>
      <c r="O44" s="59"/>
      <c r="P44" s="1"/>
      <c r="Q44" s="1"/>
      <c r="R44" s="1"/>
      <c r="S44" s="1"/>
      <c r="T44" s="1"/>
      <c r="U44" s="1"/>
      <c r="V44" s="1"/>
      <c r="W44" s="1"/>
      <c r="X44" s="1"/>
      <c r="Y44" s="1"/>
      <c r="Z44" s="1"/>
      <c r="AA44" s="1"/>
    </row>
    <row r="45" spans="1:27" ht="12.75" customHeight="1">
      <c r="A45" s="1"/>
      <c r="B45" s="10" t="str">
        <f ca="1">IFERROR(__xludf.DUMMYFUNCTION("""COMPUTED_VALUE"""),"ESTUDIO HIDROGEOLOGICO Y PROSPECCIÓN GEOFÍSICA EN FUTUROS PROYECTOS DE ABASTOS DE AGUA POTABLE, COMUNA DE ERCILLA")</f>
        <v>ESTUDIO HIDROGEOLOGICO Y PROSPECCIÓN GEOFÍSICA EN FUTUROS PROYECTOS DE ABASTOS DE AGUA POTABLE, COMUNA DE ERCILLA</v>
      </c>
      <c r="C45" s="10" t="str">
        <f ca="1">IFERROR(__xludf.DUMMYFUNCTION("""COMPUTED_VALUE"""),"9204230401-C")</f>
        <v>9204230401-C</v>
      </c>
      <c r="D45" s="26" t="str">
        <f t="shared" ca="1" si="0"/>
        <v xml:space="preserve"> ERCILLA</v>
      </c>
      <c r="E45" s="10" t="str">
        <f ca="1">IFERROR(__xludf.DUMMYFUNCTION("""COMPUTED_VALUE"""),"Guía Operativa")</f>
        <v>Guía Operativa</v>
      </c>
      <c r="F45" s="10" t="str">
        <f ca="1">IFERROR(__xludf.DUMMYFUNCTION("""COMPUTED_VALUE"""),"MUNICIPALIDAD DE ERCILLA")</f>
        <v>MUNICIPALIDAD DE ERCILLA</v>
      </c>
      <c r="G45" s="71">
        <f ca="1">IFERROR(__xludf.DUMMYFUNCTION("""COMPUTED_VALUE"""),69020000)</f>
        <v>69020000</v>
      </c>
      <c r="H45" s="10" t="str">
        <f ca="1">IFERROR(__xludf.DUMMYFUNCTION("""COMPUTED_VALUE"""),"Resolución")</f>
        <v>Resolución</v>
      </c>
      <c r="I45" s="10" t="str">
        <f ca="1">IFERROR(__xludf.DUMMYFUNCTION("""COMPUTED_VALUE"""),"Estudios y Diseños")</f>
        <v>Estudios y Diseños</v>
      </c>
      <c r="J45" s="10" t="str">
        <f ca="1">IFERROR(__xludf.DUMMYFUNCTION("""COMPUTED_VALUE"""),"Cumplir con normativa y reglamentos internos del programa en base a los objetivos.")</f>
        <v>Cumplir con normativa y reglamentos internos del programa en base a los objetivos.</v>
      </c>
      <c r="K45" s="71">
        <f ca="1">IFERROR(__xludf.DUMMYFUNCTION("""COMPUTED_VALUE"""),69020000)</f>
        <v>69020000</v>
      </c>
      <c r="L45" s="27">
        <f ca="1">IFERROR(__xludf.DUMMYFUNCTION("""COMPUTED_VALUE"""),1)</f>
        <v>1</v>
      </c>
      <c r="M45" s="10" t="str">
        <f ca="1">IFERROR(__xludf.DUMMYFUNCTION("""COMPUTED_VALUE"""),"2766/2024")</f>
        <v>2766/2024</v>
      </c>
      <c r="N45" s="10" t="str">
        <f ca="1">IFERROR(__xludf.DUMMYFUNCTION("""COMPUTED_VALUE"""),"PMB")</f>
        <v>PMB</v>
      </c>
      <c r="O45" s="59"/>
      <c r="P45" s="1"/>
      <c r="Q45" s="1"/>
      <c r="R45" s="1"/>
      <c r="S45" s="1"/>
      <c r="T45" s="1"/>
      <c r="U45" s="1"/>
      <c r="V45" s="1"/>
      <c r="W45" s="1"/>
      <c r="X45" s="1"/>
      <c r="Y45" s="1"/>
      <c r="Z45" s="1"/>
      <c r="AA45" s="1"/>
    </row>
    <row r="46" spans="1:27" ht="12.75" customHeight="1">
      <c r="A46" s="1"/>
      <c r="B46" s="10" t="str">
        <f ca="1">IFERROR(__xludf.DUMMYFUNCTION("""COMPUTED_VALUE"""),"MEJORAMIENTO DE ALUMBRADO PUBLICO SECTOR VILLA FRONTERA")</f>
        <v>MEJORAMIENTO DE ALUMBRADO PUBLICO SECTOR VILLA FRONTERA</v>
      </c>
      <c r="C46" s="10" t="str">
        <f ca="1">IFERROR(__xludf.DUMMYFUNCTION("""COMPUTED_VALUE"""),"15101230702-C")</f>
        <v>15101230702-C</v>
      </c>
      <c r="D46" s="26" t="str">
        <f t="shared" ca="1" si="0"/>
        <v xml:space="preserve"> ARICA</v>
      </c>
      <c r="E46" s="10" t="str">
        <f ca="1">IFERROR(__xludf.DUMMYFUNCTION("""COMPUTED_VALUE"""),"Guía Operativa")</f>
        <v>Guía Operativa</v>
      </c>
      <c r="F46" s="10" t="str">
        <f ca="1">IFERROR(__xludf.DUMMYFUNCTION("""COMPUTED_VALUE"""),"MUNICIPALIDAD DE ARICA")</f>
        <v>MUNICIPALIDAD DE ARICA</v>
      </c>
      <c r="G46" s="71">
        <f ca="1">IFERROR(__xludf.DUMMYFUNCTION("""COMPUTED_VALUE"""),180381580)</f>
        <v>180381580</v>
      </c>
      <c r="H46" s="10" t="str">
        <f ca="1">IFERROR(__xludf.DUMMYFUNCTION("""COMPUTED_VALUE"""),"Resolución")</f>
        <v>Resolución</v>
      </c>
      <c r="I46" s="10" t="str">
        <f ca="1">IFERROR(__xludf.DUMMYFUNCTION("""COMPUTED_VALUE"""),"Obras")</f>
        <v>Obras</v>
      </c>
      <c r="J46" s="10" t="str">
        <f ca="1">IFERROR(__xludf.DUMMYFUNCTION("""COMPUTED_VALUE"""),"Cumplir con normativa y reglamentos internos del programa en base a los objetivos.")</f>
        <v>Cumplir con normativa y reglamentos internos del programa en base a los objetivos.</v>
      </c>
      <c r="K46" s="71">
        <f ca="1">IFERROR(__xludf.DUMMYFUNCTION("""COMPUTED_VALUE"""),180381580)</f>
        <v>180381580</v>
      </c>
      <c r="L46" s="27">
        <f ca="1">IFERROR(__xludf.DUMMYFUNCTION("""COMPUTED_VALUE"""),1)</f>
        <v>1</v>
      </c>
      <c r="M46" s="10" t="str">
        <f ca="1">IFERROR(__xludf.DUMMYFUNCTION("""COMPUTED_VALUE"""),"2413/2024")</f>
        <v>2413/2024</v>
      </c>
      <c r="N46" s="10" t="str">
        <f ca="1">IFERROR(__xludf.DUMMYFUNCTION("""COMPUTED_VALUE"""),"PMB")</f>
        <v>PMB</v>
      </c>
      <c r="O46" s="59"/>
      <c r="P46" s="1"/>
      <c r="Q46" s="1"/>
      <c r="R46" s="1"/>
      <c r="S46" s="1"/>
      <c r="T46" s="1"/>
      <c r="U46" s="1"/>
      <c r="V46" s="1"/>
      <c r="W46" s="1"/>
      <c r="X46" s="1"/>
      <c r="Y46" s="1"/>
      <c r="Z46" s="1"/>
      <c r="AA46" s="1"/>
    </row>
    <row r="47" spans="1:27" ht="12.75" customHeight="1">
      <c r="A47" s="1"/>
      <c r="B47" s="10" t="str">
        <f ca="1">IFERROR(__xludf.DUMMYFUNCTION("""COMPUTED_VALUE"""),"NORMALIZACIÓN ALUMBRADO PUBLICO VILLA LOS VOLCANES, LOCALIDAD DE CALAMA, COMUNA DE CALAMA.")</f>
        <v>NORMALIZACIÓN ALUMBRADO PUBLICO VILLA LOS VOLCANES, LOCALIDAD DE CALAMA, COMUNA DE CALAMA.</v>
      </c>
      <c r="C47" s="10" t="str">
        <f ca="1">IFERROR(__xludf.DUMMYFUNCTION("""COMPUTED_VALUE"""),"2201230701-C")</f>
        <v>2201230701-C</v>
      </c>
      <c r="D47" s="26" t="str">
        <f t="shared" ca="1" si="0"/>
        <v xml:space="preserve"> CALAMA</v>
      </c>
      <c r="E47" s="10" t="str">
        <f ca="1">IFERROR(__xludf.DUMMYFUNCTION("""COMPUTED_VALUE"""),"Guía Operativa")</f>
        <v>Guía Operativa</v>
      </c>
      <c r="F47" s="10" t="str">
        <f ca="1">IFERROR(__xludf.DUMMYFUNCTION("""COMPUTED_VALUE"""),"MUNICIPALIDAD DE CALAMA")</f>
        <v>MUNICIPALIDAD DE CALAMA</v>
      </c>
      <c r="G47" s="71">
        <f ca="1">IFERROR(__xludf.DUMMYFUNCTION("""COMPUTED_VALUE"""),254998429)</f>
        <v>254998429</v>
      </c>
      <c r="H47" s="10" t="str">
        <f ca="1">IFERROR(__xludf.DUMMYFUNCTION("""COMPUTED_VALUE"""),"Resolución")</f>
        <v>Resolución</v>
      </c>
      <c r="I47" s="10" t="str">
        <f ca="1">IFERROR(__xludf.DUMMYFUNCTION("""COMPUTED_VALUE"""),"Obras")</f>
        <v>Obras</v>
      </c>
      <c r="J47" s="10" t="str">
        <f ca="1">IFERROR(__xludf.DUMMYFUNCTION("""COMPUTED_VALUE"""),"Cumplir con normativa y reglamentos internos del programa en base a los objetivos.")</f>
        <v>Cumplir con normativa y reglamentos internos del programa en base a los objetivos.</v>
      </c>
      <c r="K47" s="71">
        <f ca="1">IFERROR(__xludf.DUMMYFUNCTION("""COMPUTED_VALUE"""),254998429)</f>
        <v>254998429</v>
      </c>
      <c r="L47" s="27">
        <f ca="1">IFERROR(__xludf.DUMMYFUNCTION("""COMPUTED_VALUE"""),1)</f>
        <v>1</v>
      </c>
      <c r="M47" s="10" t="str">
        <f ca="1">IFERROR(__xludf.DUMMYFUNCTION("""COMPUTED_VALUE"""),"2404/2024")</f>
        <v>2404/2024</v>
      </c>
      <c r="N47" s="10" t="str">
        <f ca="1">IFERROR(__xludf.DUMMYFUNCTION("""COMPUTED_VALUE"""),"PMB")</f>
        <v>PMB</v>
      </c>
      <c r="O47" s="59"/>
      <c r="P47" s="1"/>
      <c r="Q47" s="1"/>
      <c r="R47" s="1"/>
      <c r="S47" s="1"/>
      <c r="T47" s="1"/>
      <c r="U47" s="1"/>
      <c r="V47" s="1"/>
      <c r="W47" s="1"/>
      <c r="X47" s="1"/>
      <c r="Y47" s="1"/>
      <c r="Z47" s="1"/>
      <c r="AA47" s="1"/>
    </row>
    <row r="48" spans="1:27" ht="12.75" customHeight="1">
      <c r="A48" s="1"/>
      <c r="B48" s="10" t="str">
        <f ca="1">IFERROR(__xludf.DUMMYFUNCTION("""COMPUTED_VALUE"""),"EXTENSIÓN DE REDES PÚBLICAS DE AGUA POTABLE Y ALCANTARILLADO PARA CALLE BUZO SOBENES, POBL. TENIENTE SERRANO, COMUNA DE QUILPUÉ.")</f>
        <v>EXTENSIÓN DE REDES PÚBLICAS DE AGUA POTABLE Y ALCANTARILLADO PARA CALLE BUZO SOBENES, POBL. TENIENTE SERRANO, COMUNA DE QUILPUÉ.</v>
      </c>
      <c r="C48" s="10" t="str">
        <f ca="1">IFERROR(__xludf.DUMMYFUNCTION("""COMPUTED_VALUE"""),"5801230703-C")</f>
        <v>5801230703-C</v>
      </c>
      <c r="D48" s="26" t="str">
        <f t="shared" ca="1" si="0"/>
        <v xml:space="preserve"> QUILPUÉ</v>
      </c>
      <c r="E48" s="10" t="str">
        <f ca="1">IFERROR(__xludf.DUMMYFUNCTION("""COMPUTED_VALUE"""),"Guía Operativa")</f>
        <v>Guía Operativa</v>
      </c>
      <c r="F48" s="10" t="str">
        <f ca="1">IFERROR(__xludf.DUMMYFUNCTION("""COMPUTED_VALUE"""),"MUNICIPALIDAD DE QUILPUÉ")</f>
        <v>MUNICIPALIDAD DE QUILPUÉ</v>
      </c>
      <c r="G48" s="71">
        <f ca="1">IFERROR(__xludf.DUMMYFUNCTION("""COMPUTED_VALUE"""),228464125)</f>
        <v>228464125</v>
      </c>
      <c r="H48" s="10" t="str">
        <f ca="1">IFERROR(__xludf.DUMMYFUNCTION("""COMPUTED_VALUE"""),"Resolución")</f>
        <v>Resolución</v>
      </c>
      <c r="I48" s="10" t="str">
        <f ca="1">IFERROR(__xludf.DUMMYFUNCTION("""COMPUTED_VALUE"""),"Obras")</f>
        <v>Obras</v>
      </c>
      <c r="J48" s="10" t="str">
        <f ca="1">IFERROR(__xludf.DUMMYFUNCTION("""COMPUTED_VALUE"""),"Cumplir con normativa y reglamentos internos del programa en base a los objetivos.")</f>
        <v>Cumplir con normativa y reglamentos internos del programa en base a los objetivos.</v>
      </c>
      <c r="K48" s="71">
        <f ca="1">IFERROR(__xludf.DUMMYFUNCTION("""COMPUTED_VALUE"""),228464125)</f>
        <v>228464125</v>
      </c>
      <c r="L48" s="27">
        <f ca="1">IFERROR(__xludf.DUMMYFUNCTION("""COMPUTED_VALUE"""),1)</f>
        <v>1</v>
      </c>
      <c r="M48" s="10" t="str">
        <f ca="1">IFERROR(__xludf.DUMMYFUNCTION("""COMPUTED_VALUE"""),"2769/2024")</f>
        <v>2769/2024</v>
      </c>
      <c r="N48" s="10" t="str">
        <f ca="1">IFERROR(__xludf.DUMMYFUNCTION("""COMPUTED_VALUE"""),"PMB")</f>
        <v>PMB</v>
      </c>
      <c r="O48" s="59"/>
      <c r="P48" s="1"/>
      <c r="Q48" s="1"/>
      <c r="R48" s="1"/>
      <c r="S48" s="1"/>
      <c r="T48" s="1"/>
      <c r="U48" s="1"/>
      <c r="V48" s="1"/>
      <c r="W48" s="1"/>
      <c r="X48" s="1"/>
      <c r="Y48" s="1"/>
      <c r="Z48" s="1"/>
      <c r="AA48" s="1"/>
    </row>
    <row r="49" spans="1:27" ht="12.75" customHeight="1">
      <c r="A49" s="1"/>
      <c r="B49" s="10" t="str">
        <f ca="1">IFERROR(__xludf.DUMMYFUNCTION("""COMPUTED_VALUE"""),"CONSTRUCCIÓN DE ALUMBRADO ORNAMENTAL PARQUE EL LLANO, COMUNA DE SAN MIGUEL")</f>
        <v>CONSTRUCCIÓN DE ALUMBRADO ORNAMENTAL PARQUE EL LLANO, COMUNA DE SAN MIGUEL</v>
      </c>
      <c r="C49" s="10" t="str">
        <f ca="1">IFERROR(__xludf.DUMMYFUNCTION("""COMPUTED_VALUE"""),"13130230701-C")</f>
        <v>13130230701-C</v>
      </c>
      <c r="D49" s="26" t="str">
        <f t="shared" ca="1" si="0"/>
        <v xml:space="preserve"> SAN MIGUEL</v>
      </c>
      <c r="E49" s="10" t="str">
        <f ca="1">IFERROR(__xludf.DUMMYFUNCTION("""COMPUTED_VALUE"""),"Guía Operativa")</f>
        <v>Guía Operativa</v>
      </c>
      <c r="F49" s="10" t="str">
        <f ca="1">IFERROR(__xludf.DUMMYFUNCTION("""COMPUTED_VALUE"""),"MUNICIPALIDAD DE SAN MIGUEL")</f>
        <v>MUNICIPALIDAD DE SAN MIGUEL</v>
      </c>
      <c r="G49" s="71">
        <f ca="1">IFERROR(__xludf.DUMMYFUNCTION("""COMPUTED_VALUE"""),300006636)</f>
        <v>300006636</v>
      </c>
      <c r="H49" s="10" t="str">
        <f ca="1">IFERROR(__xludf.DUMMYFUNCTION("""COMPUTED_VALUE"""),"Resolución")</f>
        <v>Resolución</v>
      </c>
      <c r="I49" s="10" t="str">
        <f ca="1">IFERROR(__xludf.DUMMYFUNCTION("""COMPUTED_VALUE"""),"Obras")</f>
        <v>Obras</v>
      </c>
      <c r="J49" s="10" t="str">
        <f ca="1">IFERROR(__xludf.DUMMYFUNCTION("""COMPUTED_VALUE"""),"Cumplir con normativa y reglamentos internos del programa en base a los objetivos.")</f>
        <v>Cumplir con normativa y reglamentos internos del programa en base a los objetivos.</v>
      </c>
      <c r="K49" s="71">
        <f ca="1">IFERROR(__xludf.DUMMYFUNCTION("""COMPUTED_VALUE"""),300006636)</f>
        <v>300006636</v>
      </c>
      <c r="L49" s="27">
        <f ca="1">IFERROR(__xludf.DUMMYFUNCTION("""COMPUTED_VALUE"""),1)</f>
        <v>1</v>
      </c>
      <c r="M49" s="10" t="str">
        <f ca="1">IFERROR(__xludf.DUMMYFUNCTION("""COMPUTED_VALUE"""),"2283/2024")</f>
        <v>2283/2024</v>
      </c>
      <c r="N49" s="10" t="str">
        <f ca="1">IFERROR(__xludf.DUMMYFUNCTION("""COMPUTED_VALUE"""),"PMB")</f>
        <v>PMB</v>
      </c>
      <c r="O49" s="59"/>
      <c r="P49" s="1"/>
      <c r="Q49" s="1"/>
      <c r="R49" s="1"/>
      <c r="S49" s="1"/>
      <c r="T49" s="1"/>
      <c r="U49" s="1"/>
      <c r="V49" s="1"/>
      <c r="W49" s="1"/>
      <c r="X49" s="1"/>
      <c r="Y49" s="1"/>
      <c r="Z49" s="1"/>
      <c r="AA49" s="1"/>
    </row>
    <row r="50" spans="1:27" ht="12.75" customHeight="1">
      <c r="A50" s="1"/>
      <c r="B50" s="10" t="str">
        <f ca="1">IFERROR(__xludf.DUMMYFUNCTION("""COMPUTED_VALUE"""),"CONSTRUCCIÓN PLANTA ELEVADORA DE AGUAS SERVIDAS PARA CALLE SANTA MARIA PUERTO OCTAY")</f>
        <v>CONSTRUCCIÓN PLANTA ELEVADORA DE AGUAS SERVIDAS PARA CALLE SANTA MARIA PUERTO OCTAY</v>
      </c>
      <c r="C50" s="10" t="str">
        <f ca="1">IFERROR(__xludf.DUMMYFUNCTION("""COMPUTED_VALUE"""),"10302230701-C")</f>
        <v>10302230701-C</v>
      </c>
      <c r="D50" s="26" t="str">
        <f t="shared" ca="1" si="0"/>
        <v xml:space="preserve"> PUERTO OCTAY</v>
      </c>
      <c r="E50" s="10" t="str">
        <f ca="1">IFERROR(__xludf.DUMMYFUNCTION("""COMPUTED_VALUE"""),"Guía Operativa")</f>
        <v>Guía Operativa</v>
      </c>
      <c r="F50" s="10" t="str">
        <f ca="1">IFERROR(__xludf.DUMMYFUNCTION("""COMPUTED_VALUE"""),"MUNICIPALIDAD DE PUERTO OCTAY")</f>
        <v>MUNICIPALIDAD DE PUERTO OCTAY</v>
      </c>
      <c r="G50" s="71">
        <f ca="1">IFERROR(__xludf.DUMMYFUNCTION("""COMPUTED_VALUE"""),126541884)</f>
        <v>126541884</v>
      </c>
      <c r="H50" s="10" t="str">
        <f ca="1">IFERROR(__xludf.DUMMYFUNCTION("""COMPUTED_VALUE"""),"Resolución")</f>
        <v>Resolución</v>
      </c>
      <c r="I50" s="10" t="str">
        <f ca="1">IFERROR(__xludf.DUMMYFUNCTION("""COMPUTED_VALUE"""),"Obras")</f>
        <v>Obras</v>
      </c>
      <c r="J50" s="10" t="str">
        <f ca="1">IFERROR(__xludf.DUMMYFUNCTION("""COMPUTED_VALUE"""),"Cumplir con normativa y reglamentos internos del programa en base a los objetivos.")</f>
        <v>Cumplir con normativa y reglamentos internos del programa en base a los objetivos.</v>
      </c>
      <c r="K50" s="71">
        <f ca="1">IFERROR(__xludf.DUMMYFUNCTION("""COMPUTED_VALUE"""),126541884)</f>
        <v>126541884</v>
      </c>
      <c r="L50" s="27">
        <f ca="1">IFERROR(__xludf.DUMMYFUNCTION("""COMPUTED_VALUE"""),1)</f>
        <v>1</v>
      </c>
      <c r="M50" s="10" t="str">
        <f ca="1">IFERROR(__xludf.DUMMYFUNCTION("""COMPUTED_VALUE"""),"2281/2024")</f>
        <v>2281/2024</v>
      </c>
      <c r="N50" s="10" t="str">
        <f ca="1">IFERROR(__xludf.DUMMYFUNCTION("""COMPUTED_VALUE"""),"PMB")</f>
        <v>PMB</v>
      </c>
      <c r="O50" s="59"/>
      <c r="P50" s="1"/>
      <c r="Q50" s="1"/>
      <c r="R50" s="1"/>
      <c r="S50" s="1"/>
      <c r="T50" s="1"/>
      <c r="U50" s="1"/>
      <c r="V50" s="1"/>
      <c r="W50" s="1"/>
      <c r="X50" s="1"/>
      <c r="Y50" s="1"/>
      <c r="Z50" s="1"/>
      <c r="AA50" s="1"/>
    </row>
    <row r="51" spans="1:27" ht="12.75" customHeight="1">
      <c r="A51" s="1"/>
      <c r="B51" s="10" t="str">
        <f ca="1">IFERROR(__xludf.DUMMYFUNCTION("""COMPUTED_VALUE"""),"CONSTRUCCION EXTENSION REDES DE AGUA POTABLE Y AGUAS SERVIDAS PASAJE COYHAIQUE, SECTOR PANTANOSA, COMUNA DE FRUTILLAR")</f>
        <v>CONSTRUCCION EXTENSION REDES DE AGUA POTABLE Y AGUAS SERVIDAS PASAJE COYHAIQUE, SECTOR PANTANOSA, COMUNA DE FRUTILLAR</v>
      </c>
      <c r="C51" s="10" t="str">
        <f ca="1">IFERROR(__xludf.DUMMYFUNCTION("""COMPUTED_VALUE"""),"10105230701-C")</f>
        <v>10105230701-C</v>
      </c>
      <c r="D51" s="26" t="str">
        <f t="shared" ca="1" si="0"/>
        <v xml:space="preserve"> FRUTILLAR</v>
      </c>
      <c r="E51" s="10" t="str">
        <f ca="1">IFERROR(__xludf.DUMMYFUNCTION("""COMPUTED_VALUE"""),"Guía Operativa")</f>
        <v>Guía Operativa</v>
      </c>
      <c r="F51" s="10" t="str">
        <f ca="1">IFERROR(__xludf.DUMMYFUNCTION("""COMPUTED_VALUE"""),"MUNICIPALIDAD DE FRUTILLAR")</f>
        <v>MUNICIPALIDAD DE FRUTILLAR</v>
      </c>
      <c r="G51" s="71">
        <f ca="1">IFERROR(__xludf.DUMMYFUNCTION("""COMPUTED_VALUE"""),130490458)</f>
        <v>130490458</v>
      </c>
      <c r="H51" s="10" t="str">
        <f ca="1">IFERROR(__xludf.DUMMYFUNCTION("""COMPUTED_VALUE"""),"Resolución")</f>
        <v>Resolución</v>
      </c>
      <c r="I51" s="10" t="str">
        <f ca="1">IFERROR(__xludf.DUMMYFUNCTION("""COMPUTED_VALUE"""),"Obras")</f>
        <v>Obras</v>
      </c>
      <c r="J51" s="10" t="str">
        <f ca="1">IFERROR(__xludf.DUMMYFUNCTION("""COMPUTED_VALUE"""),"Cumplir con normativa y reglamentos internos del programa en base a los objetivos.")</f>
        <v>Cumplir con normativa y reglamentos internos del programa en base a los objetivos.</v>
      </c>
      <c r="K51" s="71">
        <f ca="1">IFERROR(__xludf.DUMMYFUNCTION("""COMPUTED_VALUE"""),130490458)</f>
        <v>130490458</v>
      </c>
      <c r="L51" s="27">
        <f ca="1">IFERROR(__xludf.DUMMYFUNCTION("""COMPUTED_VALUE"""),1)</f>
        <v>1</v>
      </c>
      <c r="M51" s="10" t="str">
        <f ca="1">IFERROR(__xludf.DUMMYFUNCTION("""COMPUTED_VALUE"""),"2280/2024")</f>
        <v>2280/2024</v>
      </c>
      <c r="N51" s="10" t="str">
        <f ca="1">IFERROR(__xludf.DUMMYFUNCTION("""COMPUTED_VALUE"""),"PMB")</f>
        <v>PMB</v>
      </c>
      <c r="O51" s="59"/>
      <c r="P51" s="1"/>
      <c r="Q51" s="1"/>
      <c r="R51" s="1"/>
      <c r="S51" s="1"/>
      <c r="T51" s="1"/>
      <c r="U51" s="1"/>
      <c r="V51" s="1"/>
      <c r="W51" s="1"/>
      <c r="X51" s="1"/>
      <c r="Y51" s="1"/>
      <c r="Z51" s="1"/>
      <c r="AA51" s="1"/>
    </row>
    <row r="52" spans="1:27" ht="12.75" customHeight="1">
      <c r="A52" s="1"/>
      <c r="B52" s="10" t="str">
        <f ca="1">IFERROR(__xludf.DUMMYFUNCTION("""COMPUTED_VALUE"""),"[SATE] CONSTRUCCIÓN DE 20 SOLUCIONES SANITARIAS PARA POBLADORES COMUNA DE GENERAL LAGOS.-")</f>
        <v>[SATE] CONSTRUCCIÓN DE 20 SOLUCIONES SANITARIAS PARA POBLADORES COMUNA DE GENERAL LAGOS.-</v>
      </c>
      <c r="C52" s="10" t="str">
        <f ca="1">IFERROR(__xludf.DUMMYFUNCTION("""COMPUTED_VALUE"""),"15202230701-C")</f>
        <v>15202230701-C</v>
      </c>
      <c r="D52" s="26" t="str">
        <f t="shared" ca="1" si="0"/>
        <v xml:space="preserve"> GENERAL LAGOS</v>
      </c>
      <c r="E52" s="10" t="str">
        <f ca="1">IFERROR(__xludf.DUMMYFUNCTION("""COMPUTED_VALUE"""),"Guía Operativa")</f>
        <v>Guía Operativa</v>
      </c>
      <c r="F52" s="10" t="str">
        <f ca="1">IFERROR(__xludf.DUMMYFUNCTION("""COMPUTED_VALUE"""),"MUNICIPALIDAD DE GENERAL LAGOS")</f>
        <v>MUNICIPALIDAD DE GENERAL LAGOS</v>
      </c>
      <c r="G52" s="71">
        <f ca="1">IFERROR(__xludf.DUMMYFUNCTION("""COMPUTED_VALUE"""),252563826)</f>
        <v>252563826</v>
      </c>
      <c r="H52" s="10" t="str">
        <f ca="1">IFERROR(__xludf.DUMMYFUNCTION("""COMPUTED_VALUE"""),"Resolución")</f>
        <v>Resolución</v>
      </c>
      <c r="I52" s="10" t="str">
        <f ca="1">IFERROR(__xludf.DUMMYFUNCTION("""COMPUTED_VALUE"""),"Obras")</f>
        <v>Obras</v>
      </c>
      <c r="J52" s="10" t="str">
        <f ca="1">IFERROR(__xludf.DUMMYFUNCTION("""COMPUTED_VALUE"""),"Cumplir con normativa y reglamentos internos del programa en base a los objetivos.")</f>
        <v>Cumplir con normativa y reglamentos internos del programa en base a los objetivos.</v>
      </c>
      <c r="K52" s="71">
        <f ca="1">IFERROR(__xludf.DUMMYFUNCTION("""COMPUTED_VALUE"""),252563826)</f>
        <v>252563826</v>
      </c>
      <c r="L52" s="27">
        <f ca="1">IFERROR(__xludf.DUMMYFUNCTION("""COMPUTED_VALUE"""),1)</f>
        <v>1</v>
      </c>
      <c r="M52" s="10" t="str">
        <f ca="1">IFERROR(__xludf.DUMMYFUNCTION("""COMPUTED_VALUE"""),"2032/2024")</f>
        <v>2032/2024</v>
      </c>
      <c r="N52" s="10" t="str">
        <f ca="1">IFERROR(__xludf.DUMMYFUNCTION("""COMPUTED_VALUE"""),"PMB")</f>
        <v>PMB</v>
      </c>
      <c r="O52" s="59"/>
      <c r="P52" s="1"/>
      <c r="Q52" s="1"/>
      <c r="R52" s="1"/>
      <c r="S52" s="1"/>
      <c r="T52" s="1"/>
      <c r="U52" s="1"/>
      <c r="V52" s="1"/>
      <c r="W52" s="1"/>
      <c r="X52" s="1"/>
      <c r="Y52" s="1"/>
      <c r="Z52" s="1"/>
      <c r="AA52" s="1"/>
    </row>
    <row r="53" spans="1:27" ht="12.75" customHeight="1">
      <c r="A53" s="1"/>
      <c r="B53" s="10" t="str">
        <f ca="1">IFERROR(__xludf.DUMMYFUNCTION("""COMPUTED_VALUE"""),"[SATE] NORMALIZACION DE EMPALMES B.T. Y REFUERZOS DE RED B.T. VILLA TEHUELCHES")</f>
        <v>[SATE] NORMALIZACION DE EMPALMES B.T. Y REFUERZOS DE RED B.T. VILLA TEHUELCHES</v>
      </c>
      <c r="C53" s="10" t="str">
        <f ca="1">IFERROR(__xludf.DUMMYFUNCTION("""COMPUTED_VALUE"""),"12102230701-C")</f>
        <v>12102230701-C</v>
      </c>
      <c r="D53" s="26" t="str">
        <f t="shared" ca="1" si="0"/>
        <v xml:space="preserve"> LAGUNA BLANCA</v>
      </c>
      <c r="E53" s="10" t="str">
        <f ca="1">IFERROR(__xludf.DUMMYFUNCTION("""COMPUTED_VALUE"""),"Guía Operativa")</f>
        <v>Guía Operativa</v>
      </c>
      <c r="F53" s="10" t="str">
        <f ca="1">IFERROR(__xludf.DUMMYFUNCTION("""COMPUTED_VALUE"""),"MUNICIPALIDAD DE LAGUNA BLANCA")</f>
        <v>MUNICIPALIDAD DE LAGUNA BLANCA</v>
      </c>
      <c r="G53" s="71">
        <f ca="1">IFERROR(__xludf.DUMMYFUNCTION("""COMPUTED_VALUE"""),152604103)</f>
        <v>152604103</v>
      </c>
      <c r="H53" s="10" t="str">
        <f ca="1">IFERROR(__xludf.DUMMYFUNCTION("""COMPUTED_VALUE"""),"Resolución")</f>
        <v>Resolución</v>
      </c>
      <c r="I53" s="10" t="str">
        <f ca="1">IFERROR(__xludf.DUMMYFUNCTION("""COMPUTED_VALUE"""),"Obras")</f>
        <v>Obras</v>
      </c>
      <c r="J53" s="10" t="str">
        <f ca="1">IFERROR(__xludf.DUMMYFUNCTION("""COMPUTED_VALUE"""),"Cumplir con normativa y reglamentos internos del programa en base a los objetivos.")</f>
        <v>Cumplir con normativa y reglamentos internos del programa en base a los objetivos.</v>
      </c>
      <c r="K53" s="71">
        <f ca="1">IFERROR(__xludf.DUMMYFUNCTION("""COMPUTED_VALUE"""),152604103)</f>
        <v>152604103</v>
      </c>
      <c r="L53" s="27">
        <f ca="1">IFERROR(__xludf.DUMMYFUNCTION("""COMPUTED_VALUE"""),1)</f>
        <v>1</v>
      </c>
      <c r="M53" s="10" t="str">
        <f ca="1">IFERROR(__xludf.DUMMYFUNCTION("""COMPUTED_VALUE"""),"2282/2024")</f>
        <v>2282/2024</v>
      </c>
      <c r="N53" s="10" t="str">
        <f ca="1">IFERROR(__xludf.DUMMYFUNCTION("""COMPUTED_VALUE"""),"PMB")</f>
        <v>PMB</v>
      </c>
      <c r="O53" s="59"/>
      <c r="P53" s="1"/>
      <c r="Q53" s="1"/>
      <c r="R53" s="1"/>
      <c r="S53" s="1"/>
      <c r="T53" s="1"/>
      <c r="U53" s="1"/>
      <c r="V53" s="1"/>
      <c r="W53" s="1"/>
      <c r="X53" s="1"/>
      <c r="Y53" s="1"/>
      <c r="Z53" s="1"/>
      <c r="AA53" s="1"/>
    </row>
    <row r="54" spans="1:27" ht="12.75" customHeight="1">
      <c r="A54" s="1"/>
      <c r="B54" s="10" t="str">
        <f ca="1">IFERROR(__xludf.DUMMYFUNCTION("""COMPUTED_VALUE"""),"MEJORAMIENTO ALUMBRADO PUBLICO SECTOR SUR COMUNA DE ALTO HOSPICIO")</f>
        <v>MEJORAMIENTO ALUMBRADO PUBLICO SECTOR SUR COMUNA DE ALTO HOSPICIO</v>
      </c>
      <c r="C54" s="10" t="str">
        <f ca="1">IFERROR(__xludf.DUMMYFUNCTION("""COMPUTED_VALUE"""),"1107230702-C")</f>
        <v>1107230702-C</v>
      </c>
      <c r="D54" s="26" t="str">
        <f t="shared" ca="1" si="0"/>
        <v xml:space="preserve"> ALTO HOSPICIO</v>
      </c>
      <c r="E54" s="10" t="str">
        <f ca="1">IFERROR(__xludf.DUMMYFUNCTION("""COMPUTED_VALUE"""),"Guía Operativa")</f>
        <v>Guía Operativa</v>
      </c>
      <c r="F54" s="10" t="str">
        <f ca="1">IFERROR(__xludf.DUMMYFUNCTION("""COMPUTED_VALUE"""),"MUNICIPALIDAD DE ALTO HOSPICIO")</f>
        <v>MUNICIPALIDAD DE ALTO HOSPICIO</v>
      </c>
      <c r="G54" s="71">
        <f ca="1">IFERROR(__xludf.DUMMYFUNCTION("""COMPUTED_VALUE"""),199263761)</f>
        <v>199263761</v>
      </c>
      <c r="H54" s="10" t="str">
        <f ca="1">IFERROR(__xludf.DUMMYFUNCTION("""COMPUTED_VALUE"""),"Resolución")</f>
        <v>Resolución</v>
      </c>
      <c r="I54" s="10" t="str">
        <f ca="1">IFERROR(__xludf.DUMMYFUNCTION("""COMPUTED_VALUE"""),"Obras")</f>
        <v>Obras</v>
      </c>
      <c r="J54" s="10" t="str">
        <f ca="1">IFERROR(__xludf.DUMMYFUNCTION("""COMPUTED_VALUE"""),"Cumplir con normativa y reglamentos internos del programa en base a los objetivos.")</f>
        <v>Cumplir con normativa y reglamentos internos del programa en base a los objetivos.</v>
      </c>
      <c r="K54" s="71">
        <f ca="1">IFERROR(__xludf.DUMMYFUNCTION("""COMPUTED_VALUE"""),199263761)</f>
        <v>199263761</v>
      </c>
      <c r="L54" s="27">
        <f ca="1">IFERROR(__xludf.DUMMYFUNCTION("""COMPUTED_VALUE"""),1)</f>
        <v>1</v>
      </c>
      <c r="M54" s="10" t="str">
        <f ca="1">IFERROR(__xludf.DUMMYFUNCTION("""COMPUTED_VALUE"""),"2279/2024")</f>
        <v>2279/2024</v>
      </c>
      <c r="N54" s="10" t="str">
        <f ca="1">IFERROR(__xludf.DUMMYFUNCTION("""COMPUTED_VALUE"""),"PMB")</f>
        <v>PMB</v>
      </c>
      <c r="O54" s="59"/>
      <c r="P54" s="1"/>
      <c r="Q54" s="1"/>
      <c r="R54" s="1"/>
      <c r="S54" s="1"/>
      <c r="T54" s="1"/>
      <c r="U54" s="1"/>
      <c r="V54" s="1"/>
      <c r="W54" s="1"/>
      <c r="X54" s="1"/>
      <c r="Y54" s="1"/>
      <c r="Z54" s="1"/>
      <c r="AA54" s="1"/>
    </row>
    <row r="55" spans="1:27" ht="12.75" customHeight="1">
      <c r="A55" s="1"/>
      <c r="B55" s="10" t="str">
        <f ca="1">IFERROR(__xludf.DUMMYFUNCTION("""COMPUTED_VALUE"""),"MEJORAMIENTO ALUMBRADO PUBLICO SECTOR LA PAMPA, COMUNA DE ALTO HOSPICIO")</f>
        <v>MEJORAMIENTO ALUMBRADO PUBLICO SECTOR LA PAMPA, COMUNA DE ALTO HOSPICIO</v>
      </c>
      <c r="C55" s="10" t="str">
        <f ca="1">IFERROR(__xludf.DUMMYFUNCTION("""COMPUTED_VALUE"""),"1107230701-C")</f>
        <v>1107230701-C</v>
      </c>
      <c r="D55" s="26" t="str">
        <f t="shared" ca="1" si="0"/>
        <v xml:space="preserve"> ALTO HOSPICIO</v>
      </c>
      <c r="E55" s="10" t="str">
        <f ca="1">IFERROR(__xludf.DUMMYFUNCTION("""COMPUTED_VALUE"""),"Guía Operativa")</f>
        <v>Guía Operativa</v>
      </c>
      <c r="F55" s="10" t="str">
        <f ca="1">IFERROR(__xludf.DUMMYFUNCTION("""COMPUTED_VALUE"""),"MUNICIPALIDAD DE ALTO HOSPICIO")</f>
        <v>MUNICIPALIDAD DE ALTO HOSPICIO</v>
      </c>
      <c r="G55" s="71">
        <f ca="1">IFERROR(__xludf.DUMMYFUNCTION("""COMPUTED_VALUE"""),232643850)</f>
        <v>232643850</v>
      </c>
      <c r="H55" s="10" t="str">
        <f ca="1">IFERROR(__xludf.DUMMYFUNCTION("""COMPUTED_VALUE"""),"Resolución")</f>
        <v>Resolución</v>
      </c>
      <c r="I55" s="10" t="str">
        <f ca="1">IFERROR(__xludf.DUMMYFUNCTION("""COMPUTED_VALUE"""),"Obras")</f>
        <v>Obras</v>
      </c>
      <c r="J55" s="10" t="str">
        <f ca="1">IFERROR(__xludf.DUMMYFUNCTION("""COMPUTED_VALUE"""),"Cumplir con normativa y reglamentos internos del programa en base a los objetivos.")</f>
        <v>Cumplir con normativa y reglamentos internos del programa en base a los objetivos.</v>
      </c>
      <c r="K55" s="71">
        <f ca="1">IFERROR(__xludf.DUMMYFUNCTION("""COMPUTED_VALUE"""),232643850)</f>
        <v>232643850</v>
      </c>
      <c r="L55" s="27">
        <f ca="1">IFERROR(__xludf.DUMMYFUNCTION("""COMPUTED_VALUE"""),1)</f>
        <v>1</v>
      </c>
      <c r="M55" s="10" t="str">
        <f ca="1">IFERROR(__xludf.DUMMYFUNCTION("""COMPUTED_VALUE"""),"2286/2024")</f>
        <v>2286/2024</v>
      </c>
      <c r="N55" s="10" t="str">
        <f ca="1">IFERROR(__xludf.DUMMYFUNCTION("""COMPUTED_VALUE"""),"PMB")</f>
        <v>PMB</v>
      </c>
      <c r="O55" s="59"/>
      <c r="P55" s="1"/>
      <c r="Q55" s="1"/>
      <c r="R55" s="1"/>
      <c r="S55" s="1"/>
      <c r="T55" s="1"/>
      <c r="U55" s="1"/>
      <c r="V55" s="1"/>
      <c r="W55" s="1"/>
      <c r="X55" s="1"/>
      <c r="Y55" s="1"/>
      <c r="Z55" s="1"/>
      <c r="AA55" s="1"/>
    </row>
    <row r="56" spans="1:27" ht="12.75" customHeight="1">
      <c r="A56" s="1"/>
      <c r="B56" s="10" t="str">
        <f ca="1">IFERROR(__xludf.DUMMYFUNCTION("""COMPUTED_VALUE"""),"SANEAMIENTO Y REGULARIZACIÓN DE LOTEOS, LEY 20.243, COMUNA DE PIRQUE")</f>
        <v>SANEAMIENTO Y REGULARIZACIÓN DE LOTEOS, LEY 20.243, COMUNA DE PIRQUE</v>
      </c>
      <c r="C56" s="10" t="str">
        <f ca="1">IFERROR(__xludf.DUMMYFUNCTION("""COMPUTED_VALUE"""),"13202230602-C")</f>
        <v>13202230602-C</v>
      </c>
      <c r="D56" s="26" t="str">
        <f t="shared" ca="1" si="0"/>
        <v xml:space="preserve"> PIRQUE</v>
      </c>
      <c r="E56" s="10" t="str">
        <f ca="1">IFERROR(__xludf.DUMMYFUNCTION("""COMPUTED_VALUE"""),"Guía Operativa")</f>
        <v>Guía Operativa</v>
      </c>
      <c r="F56" s="10" t="str">
        <f ca="1">IFERROR(__xludf.DUMMYFUNCTION("""COMPUTED_VALUE"""),"MUNICIPALIDAD DE PIRQUE")</f>
        <v>MUNICIPALIDAD DE PIRQUE</v>
      </c>
      <c r="G56" s="71">
        <f ca="1">IFERROR(__xludf.DUMMYFUNCTION("""COMPUTED_VALUE"""),66000000)</f>
        <v>66000000</v>
      </c>
      <c r="H56" s="10" t="str">
        <f ca="1">IFERROR(__xludf.DUMMYFUNCTION("""COMPUTED_VALUE"""),"Resolución")</f>
        <v>Resolución</v>
      </c>
      <c r="I56" s="10" t="str">
        <f ca="1">IFERROR(__xludf.DUMMYFUNCTION("""COMPUTED_VALUE"""),"Otras Transferencias")</f>
        <v>Otras Transferencias</v>
      </c>
      <c r="J56" s="10" t="str">
        <f ca="1">IFERROR(__xludf.DUMMYFUNCTION("""COMPUTED_VALUE"""),"Cumplir con normativa y reglamentos internos del programa en base a los objetivos.")</f>
        <v>Cumplir con normativa y reglamentos internos del programa en base a los objetivos.</v>
      </c>
      <c r="K56" s="71">
        <f ca="1">IFERROR(__xludf.DUMMYFUNCTION("""COMPUTED_VALUE"""),66000000)</f>
        <v>66000000</v>
      </c>
      <c r="L56" s="27">
        <f ca="1">IFERROR(__xludf.DUMMYFUNCTION("""COMPUTED_VALUE"""),1)</f>
        <v>1</v>
      </c>
      <c r="M56" s="10" t="str">
        <f ca="1">IFERROR(__xludf.DUMMYFUNCTION("""COMPUTED_VALUE"""),"2658/2024")</f>
        <v>2658/2024</v>
      </c>
      <c r="N56" s="10" t="str">
        <f ca="1">IFERROR(__xludf.DUMMYFUNCTION("""COMPUTED_VALUE"""),"PMB")</f>
        <v>PMB</v>
      </c>
      <c r="O56" s="59"/>
      <c r="P56" s="1"/>
      <c r="Q56" s="1"/>
      <c r="R56" s="1"/>
      <c r="S56" s="1"/>
      <c r="T56" s="1"/>
      <c r="U56" s="1"/>
      <c r="V56" s="1"/>
      <c r="W56" s="1"/>
      <c r="X56" s="1"/>
      <c r="Y56" s="1"/>
      <c r="Z56" s="1"/>
      <c r="AA56" s="1"/>
    </row>
    <row r="57" spans="1:27" ht="12.75" customHeight="1">
      <c r="A57" s="1"/>
      <c r="B57" s="10" t="str">
        <f ca="1">IFERROR(__xludf.DUMMYFUNCTION("""COMPUTED_VALUE"""),"ASISTENCIA LEGAL, COMUNA DE PENCAHUE")</f>
        <v>ASISTENCIA LEGAL, COMUNA DE PENCAHUE</v>
      </c>
      <c r="C57" s="10" t="str">
        <f ca="1">IFERROR(__xludf.DUMMYFUNCTION("""COMPUTED_VALUE"""),"7107230601-C")</f>
        <v>7107230601-C</v>
      </c>
      <c r="D57" s="26" t="str">
        <f t="shared" ca="1" si="0"/>
        <v xml:space="preserve"> PENCAHUE</v>
      </c>
      <c r="E57" s="10" t="str">
        <f ca="1">IFERROR(__xludf.DUMMYFUNCTION("""COMPUTED_VALUE"""),"Guía Operativa")</f>
        <v>Guía Operativa</v>
      </c>
      <c r="F57" s="10" t="str">
        <f ca="1">IFERROR(__xludf.DUMMYFUNCTION("""COMPUTED_VALUE"""),"MUNICIPALIDAD DE PENCAHUE")</f>
        <v>MUNICIPALIDAD DE PENCAHUE</v>
      </c>
      <c r="G57" s="71">
        <f ca="1">IFERROR(__xludf.DUMMYFUNCTION("""COMPUTED_VALUE"""),44400000)</f>
        <v>44400000</v>
      </c>
      <c r="H57" s="10" t="str">
        <f ca="1">IFERROR(__xludf.DUMMYFUNCTION("""COMPUTED_VALUE"""),"Resolución")</f>
        <v>Resolución</v>
      </c>
      <c r="I57" s="10" t="str">
        <f ca="1">IFERROR(__xludf.DUMMYFUNCTION("""COMPUTED_VALUE"""),"Otras Transferencias")</f>
        <v>Otras Transferencias</v>
      </c>
      <c r="J57" s="10" t="str">
        <f ca="1">IFERROR(__xludf.DUMMYFUNCTION("""COMPUTED_VALUE"""),"Cumplir con normativa y reglamentos internos del programa en base a los objetivos.")</f>
        <v>Cumplir con normativa y reglamentos internos del programa en base a los objetivos.</v>
      </c>
      <c r="K57" s="71">
        <f ca="1">IFERROR(__xludf.DUMMYFUNCTION("""COMPUTED_VALUE"""),11100000)</f>
        <v>11100000</v>
      </c>
      <c r="L57" s="27">
        <f ca="1">IFERROR(__xludf.DUMMYFUNCTION("""COMPUTED_VALUE"""),0.75)</f>
        <v>0.75</v>
      </c>
      <c r="M57" s="10" t="str">
        <f ca="1">IFERROR(__xludf.DUMMYFUNCTION("""COMPUTED_VALUE"""),"5977/2024")</f>
        <v>5977/2024</v>
      </c>
      <c r="N57" s="10" t="str">
        <f ca="1">IFERROR(__xludf.DUMMYFUNCTION("""COMPUTED_VALUE"""),"PMB")</f>
        <v>PMB</v>
      </c>
      <c r="O57" s="59"/>
      <c r="P57" s="1"/>
      <c r="Q57" s="1"/>
      <c r="R57" s="1"/>
      <c r="S57" s="1"/>
      <c r="T57" s="1"/>
      <c r="U57" s="1"/>
      <c r="V57" s="1"/>
      <c r="W57" s="1"/>
      <c r="X57" s="1"/>
      <c r="Y57" s="1"/>
      <c r="Z57" s="1"/>
      <c r="AA57" s="1"/>
    </row>
    <row r="58" spans="1:27" ht="12.75" customHeight="1">
      <c r="A58" s="1"/>
      <c r="B58" s="10" t="str">
        <f ca="1">IFERROR(__xludf.DUMMYFUNCTION("""COMPUTED_VALUE"""),"ASISTENCIA LEGAL SANEAMIENTO DE TITULOS DE DOMINIO PARA SOLUCIONES SANITARIAS DISTINTOS SECTORES")</f>
        <v>ASISTENCIA LEGAL SANEAMIENTO DE TITULOS DE DOMINIO PARA SOLUCIONES SANITARIAS DISTINTOS SECTORES</v>
      </c>
      <c r="C58" s="10" t="str">
        <f ca="1">IFERROR(__xludf.DUMMYFUNCTION("""COMPUTED_VALUE"""),"7408230601-C")</f>
        <v>7408230601-C</v>
      </c>
      <c r="D58" s="26" t="str">
        <f t="shared" ca="1" si="0"/>
        <v xml:space="preserve"> YERBAS BUENAS</v>
      </c>
      <c r="E58" s="10" t="str">
        <f ca="1">IFERROR(__xludf.DUMMYFUNCTION("""COMPUTED_VALUE"""),"Guía Operativa")</f>
        <v>Guía Operativa</v>
      </c>
      <c r="F58" s="10" t="str">
        <f ca="1">IFERROR(__xludf.DUMMYFUNCTION("""COMPUTED_VALUE"""),"MUNICIPALIDAD DE YERBAS BUENAS")</f>
        <v>MUNICIPALIDAD DE YERBAS BUENAS</v>
      </c>
      <c r="G58" s="71">
        <f ca="1">IFERROR(__xludf.DUMMYFUNCTION("""COMPUTED_VALUE"""),37200000)</f>
        <v>37200000</v>
      </c>
      <c r="H58" s="10" t="str">
        <f ca="1">IFERROR(__xludf.DUMMYFUNCTION("""COMPUTED_VALUE"""),"Resolución")</f>
        <v>Resolución</v>
      </c>
      <c r="I58" s="10" t="str">
        <f ca="1">IFERROR(__xludf.DUMMYFUNCTION("""COMPUTED_VALUE"""),"Otras Transferencias")</f>
        <v>Otras Transferencias</v>
      </c>
      <c r="J58" s="10" t="str">
        <f ca="1">IFERROR(__xludf.DUMMYFUNCTION("""COMPUTED_VALUE"""),"Cumplir con normativa y reglamentos internos del programa en base a los objetivos.")</f>
        <v>Cumplir con normativa y reglamentos internos del programa en base a los objetivos.</v>
      </c>
      <c r="K58" s="71">
        <f ca="1">IFERROR(__xludf.DUMMYFUNCTION("""COMPUTED_VALUE"""),11160000)</f>
        <v>11160000</v>
      </c>
      <c r="L58" s="27">
        <f ca="1">IFERROR(__xludf.DUMMYFUNCTION("""COMPUTED_VALUE"""),1)</f>
        <v>1</v>
      </c>
      <c r="M58" s="10" t="str">
        <f ca="1">IFERROR(__xludf.DUMMYFUNCTION("""COMPUTED_VALUE"""),"3704/2024")</f>
        <v>3704/2024</v>
      </c>
      <c r="N58" s="10" t="str">
        <f ca="1">IFERROR(__xludf.DUMMYFUNCTION("""COMPUTED_VALUE"""),"PMB")</f>
        <v>PMB</v>
      </c>
      <c r="O58" s="59"/>
      <c r="P58" s="1"/>
      <c r="Q58" s="1"/>
      <c r="R58" s="1"/>
      <c r="S58" s="1"/>
      <c r="T58" s="1"/>
      <c r="U58" s="1"/>
      <c r="V58" s="1"/>
      <c r="W58" s="1"/>
      <c r="X58" s="1"/>
      <c r="Y58" s="1"/>
      <c r="Z58" s="1"/>
      <c r="AA58" s="1"/>
    </row>
    <row r="59" spans="1:27" ht="12.75" customHeight="1">
      <c r="A59" s="1"/>
      <c r="B59" s="10" t="str">
        <f ca="1">IFERROR(__xludf.DUMMYFUNCTION("""COMPUTED_VALUE"""),"REPARACION PLANTA DE TRATAMIENTO DE AGUAS SERVIDAS LOS CERRILLOS, COMUNA DE CATEMU. CARTERA DE INVERSIÓN PLAN DE ZONA DE REZAGO")</f>
        <v>REPARACION PLANTA DE TRATAMIENTO DE AGUAS SERVIDAS LOS CERRILLOS, COMUNA DE CATEMU. CARTERA DE INVERSIÓN PLAN DE ZONA DE REZAGO</v>
      </c>
      <c r="C59" s="10" t="str">
        <f ca="1">IFERROR(__xludf.DUMMYFUNCTION("""COMPUTED_VALUE"""),"5702230702-C")</f>
        <v>5702230702-C</v>
      </c>
      <c r="D59" s="26" t="str">
        <f t="shared" ca="1" si="0"/>
        <v xml:space="preserve"> CATEMU</v>
      </c>
      <c r="E59" s="10" t="str">
        <f ca="1">IFERROR(__xludf.DUMMYFUNCTION("""COMPUTED_VALUE"""),"Guía Operativa")</f>
        <v>Guía Operativa</v>
      </c>
      <c r="F59" s="10" t="str">
        <f ca="1">IFERROR(__xludf.DUMMYFUNCTION("""COMPUTED_VALUE"""),"MUNICIPALIDAD DE CATEMU")</f>
        <v>MUNICIPALIDAD DE CATEMU</v>
      </c>
      <c r="G59" s="71">
        <f ca="1">IFERROR(__xludf.DUMMYFUNCTION("""COMPUTED_VALUE"""),306759688)</f>
        <v>306759688</v>
      </c>
      <c r="H59" s="10" t="str">
        <f ca="1">IFERROR(__xludf.DUMMYFUNCTION("""COMPUTED_VALUE"""),"Resolución")</f>
        <v>Resolución</v>
      </c>
      <c r="I59" s="10" t="str">
        <f ca="1">IFERROR(__xludf.DUMMYFUNCTION("""COMPUTED_VALUE"""),"Obras")</f>
        <v>Obras</v>
      </c>
      <c r="J59" s="10" t="str">
        <f ca="1">IFERROR(__xludf.DUMMYFUNCTION("""COMPUTED_VALUE"""),"Cumplir con normativa y reglamentos internos del programa en base a los objetivos.")</f>
        <v>Cumplir con normativa y reglamentos internos del programa en base a los objetivos.</v>
      </c>
      <c r="K59" s="71">
        <f ca="1">IFERROR(__xludf.DUMMYFUNCTION("""COMPUTED_VALUE"""),306759688)</f>
        <v>306759688</v>
      </c>
      <c r="L59" s="27">
        <f ca="1">IFERROR(__xludf.DUMMYFUNCTION("""COMPUTED_VALUE"""),1)</f>
        <v>1</v>
      </c>
      <c r="M59" s="10" t="str">
        <f ca="1">IFERROR(__xludf.DUMMYFUNCTION("""COMPUTED_VALUE"""),"2877/2024")</f>
        <v>2877/2024</v>
      </c>
      <c r="N59" s="10" t="str">
        <f ca="1">IFERROR(__xludf.DUMMYFUNCTION("""COMPUTED_VALUE"""),"PMB")</f>
        <v>PMB</v>
      </c>
      <c r="O59" s="59"/>
      <c r="P59" s="1"/>
      <c r="Q59" s="1"/>
      <c r="R59" s="1"/>
      <c r="S59" s="1"/>
      <c r="T59" s="1"/>
      <c r="U59" s="1"/>
      <c r="V59" s="1"/>
      <c r="W59" s="1"/>
      <c r="X59" s="1"/>
      <c r="Y59" s="1"/>
      <c r="Z59" s="1"/>
      <c r="AA59" s="1"/>
    </row>
    <row r="60" spans="1:27" ht="12.75" customHeight="1">
      <c r="A60" s="1"/>
      <c r="B60" s="10" t="str">
        <f ca="1">IFERROR(__xludf.DUMMYFUNCTION("""COMPUTED_VALUE"""),"ASISTENCIA LEGAL PARA REGULARIZACION Y SANEAMIENTO DE TERRENOS DIVERSOS SECTORES, DE LA COMUNA DE ERCILLA")</f>
        <v>ASISTENCIA LEGAL PARA REGULARIZACION Y SANEAMIENTO DE TERRENOS DIVERSOS SECTORES, DE LA COMUNA DE ERCILLA</v>
      </c>
      <c r="C60" s="10" t="str">
        <f ca="1">IFERROR(__xludf.DUMMYFUNCTION("""COMPUTED_VALUE"""),"9204230601-C")</f>
        <v>9204230601-C</v>
      </c>
      <c r="D60" s="26" t="str">
        <f t="shared" ca="1" si="0"/>
        <v xml:space="preserve"> ERCILLA</v>
      </c>
      <c r="E60" s="10" t="str">
        <f ca="1">IFERROR(__xludf.DUMMYFUNCTION("""COMPUTED_VALUE"""),"Guía Operativa")</f>
        <v>Guía Operativa</v>
      </c>
      <c r="F60" s="10" t="str">
        <f ca="1">IFERROR(__xludf.DUMMYFUNCTION("""COMPUTED_VALUE"""),"MUNICIPALIDAD DE ERCILLA")</f>
        <v>MUNICIPALIDAD DE ERCILLA</v>
      </c>
      <c r="G60" s="71">
        <f ca="1">IFERROR(__xludf.DUMMYFUNCTION("""COMPUTED_VALUE"""),81600000)</f>
        <v>81600000</v>
      </c>
      <c r="H60" s="10" t="str">
        <f ca="1">IFERROR(__xludf.DUMMYFUNCTION("""COMPUTED_VALUE"""),"Resolución")</f>
        <v>Resolución</v>
      </c>
      <c r="I60" s="10" t="str">
        <f ca="1">IFERROR(__xludf.DUMMYFUNCTION("""COMPUTED_VALUE"""),"Asistencia Legal")</f>
        <v>Asistencia Legal</v>
      </c>
      <c r="J60" s="10" t="str">
        <f ca="1">IFERROR(__xludf.DUMMYFUNCTION("""COMPUTED_VALUE"""),"Cumplir con normativa y reglamentos internos del programa en base a los objetivos.")</f>
        <v>Cumplir con normativa y reglamentos internos del programa en base a los objetivos.</v>
      </c>
      <c r="K60" s="71">
        <f ca="1">IFERROR(__xludf.DUMMYFUNCTION("""COMPUTED_VALUE"""),81600000)</f>
        <v>81600000</v>
      </c>
      <c r="L60" s="27">
        <f ca="1">IFERROR(__xludf.DUMMYFUNCTION("""COMPUTED_VALUE"""),1)</f>
        <v>1</v>
      </c>
      <c r="M60" s="10" t="str">
        <f ca="1">IFERROR(__xludf.DUMMYFUNCTION("""COMPUTED_VALUE"""),"2974/2024")</f>
        <v>2974/2024</v>
      </c>
      <c r="N60" s="10" t="str">
        <f ca="1">IFERROR(__xludf.DUMMYFUNCTION("""COMPUTED_VALUE"""),"PMB")</f>
        <v>PMB</v>
      </c>
      <c r="O60" s="59"/>
      <c r="P60" s="1"/>
      <c r="Q60" s="1"/>
      <c r="R60" s="1"/>
      <c r="S60" s="1"/>
      <c r="T60" s="1"/>
      <c r="U60" s="1"/>
      <c r="V60" s="1"/>
      <c r="W60" s="1"/>
      <c r="X60" s="1"/>
      <c r="Y60" s="1"/>
      <c r="Z60" s="1"/>
      <c r="AA60" s="1"/>
    </row>
    <row r="61" spans="1:27" ht="12.75" customHeight="1">
      <c r="A61" s="1"/>
      <c r="B61" s="10" t="str">
        <f ca="1">IFERROR(__xludf.DUMMYFUNCTION("""COMPUTED_VALUE"""),"ASISTENCIA TÉCNICA PROYECTOS DE SANEAMIENTO SANITARIOS, COMUNA DE CHÉPICA")</f>
        <v>ASISTENCIA TÉCNICA PROYECTOS DE SANEAMIENTO SANITARIOS, COMUNA DE CHÉPICA</v>
      </c>
      <c r="C61" s="10" t="str">
        <f ca="1">IFERROR(__xludf.DUMMYFUNCTION("""COMPUTED_VALUE"""),"6302231001-C")</f>
        <v>6302231001-C</v>
      </c>
      <c r="D61" s="26" t="str">
        <f t="shared" ca="1" si="0"/>
        <v xml:space="preserve"> CATEMU</v>
      </c>
      <c r="E61" s="10" t="str">
        <f ca="1">IFERROR(__xludf.DUMMYFUNCTION("""COMPUTED_VALUE"""),"Guía Operativa")</f>
        <v>Guía Operativa</v>
      </c>
      <c r="F61" s="10" t="str">
        <f ca="1">IFERROR(__xludf.DUMMYFUNCTION("""COMPUTED_VALUE"""),"MUNICIPALIDAD DE CATEMU")</f>
        <v>MUNICIPALIDAD DE CATEMU</v>
      </c>
      <c r="G61" s="71">
        <f ca="1">IFERROR(__xludf.DUMMYFUNCTION("""COMPUTED_VALUE"""),67152000)</f>
        <v>67152000</v>
      </c>
      <c r="H61" s="10" t="str">
        <f ca="1">IFERROR(__xludf.DUMMYFUNCTION("""COMPUTED_VALUE"""),"Resolución")</f>
        <v>Resolución</v>
      </c>
      <c r="I61" s="10" t="str">
        <f ca="1">IFERROR(__xludf.DUMMYFUNCTION("""COMPUTED_VALUE"""),"Asistencia Técnica")</f>
        <v>Asistencia Técnica</v>
      </c>
      <c r="J61" s="10" t="str">
        <f ca="1">IFERROR(__xludf.DUMMYFUNCTION("""COMPUTED_VALUE"""),"Cumplir con normativa y reglamentos internos del programa en base a los objetivos.")</f>
        <v>Cumplir con normativa y reglamentos internos del programa en base a los objetivos.</v>
      </c>
      <c r="K61" s="71">
        <f ca="1">IFERROR(__xludf.DUMMYFUNCTION("""COMPUTED_VALUE"""),67152000)</f>
        <v>67152000</v>
      </c>
      <c r="L61" s="27">
        <f ca="1">IFERROR(__xludf.DUMMYFUNCTION("""COMPUTED_VALUE"""),1)</f>
        <v>1</v>
      </c>
      <c r="M61" s="10" t="str">
        <f ca="1">IFERROR(__xludf.DUMMYFUNCTION("""COMPUTED_VALUE"""),"2362/2024")</f>
        <v>2362/2024</v>
      </c>
      <c r="N61" s="10" t="str">
        <f ca="1">IFERROR(__xludf.DUMMYFUNCTION("""COMPUTED_VALUE"""),"PMB")</f>
        <v>PMB</v>
      </c>
      <c r="O61" s="59"/>
      <c r="P61" s="1"/>
      <c r="Q61" s="1"/>
      <c r="R61" s="1"/>
      <c r="S61" s="1"/>
      <c r="T61" s="1"/>
      <c r="U61" s="1"/>
      <c r="V61" s="1"/>
      <c r="W61" s="1"/>
      <c r="X61" s="1"/>
      <c r="Y61" s="1"/>
      <c r="Z61" s="1"/>
      <c r="AA61" s="1"/>
    </row>
    <row r="62" spans="1:27" ht="12.75" customHeight="1">
      <c r="A62" s="1"/>
      <c r="B62" s="10" t="str">
        <f ca="1">IFERROR(__xludf.DUMMYFUNCTION("""COMPUTED_VALUE"""),"ADQUISICIÓN LOTE A1-AB-1B, COMITÉ DE ALLEGADOS CUMBRES DE LLAY-LLAY")</f>
        <v>ADQUISICIÓN LOTE A1-AB-1B, COMITÉ DE ALLEGADOS CUMBRES DE LLAY-LLAY</v>
      </c>
      <c r="C62" s="10" t="str">
        <f ca="1">IFERROR(__xludf.DUMMYFUNCTION("""COMPUTED_VALUE"""),"5703220801-C")</f>
        <v>5703220801-C</v>
      </c>
      <c r="D62" s="26" t="str">
        <f t="shared" ca="1" si="0"/>
        <v xml:space="preserve"> LLAILLAY</v>
      </c>
      <c r="E62" s="10" t="str">
        <f ca="1">IFERROR(__xludf.DUMMYFUNCTION("""COMPUTED_VALUE"""),"Guía Operativa")</f>
        <v>Guía Operativa</v>
      </c>
      <c r="F62" s="10" t="str">
        <f ca="1">IFERROR(__xludf.DUMMYFUNCTION("""COMPUTED_VALUE"""),"MUNICIPALIDAD DE LLAILLAY")</f>
        <v>MUNICIPALIDAD DE LLAILLAY</v>
      </c>
      <c r="G62" s="71">
        <f ca="1">IFERROR(__xludf.DUMMYFUNCTION("""COMPUTED_VALUE"""),406146000)</f>
        <v>406146000</v>
      </c>
      <c r="H62" s="10" t="str">
        <f ca="1">IFERROR(__xludf.DUMMYFUNCTION("""COMPUTED_VALUE"""),"Resolución")</f>
        <v>Resolución</v>
      </c>
      <c r="I62" s="10" t="str">
        <f ca="1">IFERROR(__xludf.DUMMYFUNCTION("""COMPUTED_VALUE"""),"Adq. De Terrenos")</f>
        <v>Adq. De Terrenos</v>
      </c>
      <c r="J62" s="10" t="str">
        <f ca="1">IFERROR(__xludf.DUMMYFUNCTION("""COMPUTED_VALUE"""),"Cumplir con normativa y reglamentos internos del programa en base a los objetivos.")</f>
        <v>Cumplir con normativa y reglamentos internos del programa en base a los objetivos.</v>
      </c>
      <c r="K62" s="71">
        <f ca="1">IFERROR(__xludf.DUMMYFUNCTION("""COMPUTED_VALUE"""),406146000)</f>
        <v>406146000</v>
      </c>
      <c r="L62" s="27">
        <f ca="1">IFERROR(__xludf.DUMMYFUNCTION("""COMPUTED_VALUE"""),1)</f>
        <v>1</v>
      </c>
      <c r="M62" s="10" t="str">
        <f ca="1">IFERROR(__xludf.DUMMYFUNCTION("""COMPUTED_VALUE"""),"3709/2024")</f>
        <v>3709/2024</v>
      </c>
      <c r="N62" s="10" t="str">
        <f ca="1">IFERROR(__xludf.DUMMYFUNCTION("""COMPUTED_VALUE"""),"PMB")</f>
        <v>PMB</v>
      </c>
      <c r="O62" s="59"/>
      <c r="P62" s="1"/>
      <c r="Q62" s="1"/>
      <c r="R62" s="1"/>
      <c r="S62" s="1"/>
      <c r="T62" s="1"/>
      <c r="U62" s="1"/>
      <c r="V62" s="1"/>
      <c r="W62" s="1"/>
      <c r="X62" s="1"/>
      <c r="Y62" s="1"/>
      <c r="Z62" s="1"/>
      <c r="AA62" s="1"/>
    </row>
    <row r="63" spans="1:27" ht="12.75" customHeight="1">
      <c r="A63" s="1"/>
      <c r="B63" s="10" t="str">
        <f ca="1">IFERROR(__xludf.DUMMYFUNCTION("""COMPUTED_VALUE"""),"ASISTENCIA TÉCNICA INICIATIVAS SUBDERE, COMUNA DE PIRQUE")</f>
        <v>ASISTENCIA TÉCNICA INICIATIVAS SUBDERE, COMUNA DE PIRQUE</v>
      </c>
      <c r="C63" s="10" t="str">
        <f ca="1">IFERROR(__xludf.DUMMYFUNCTION("""COMPUTED_VALUE"""),"13202231001-C")</f>
        <v>13202231001-C</v>
      </c>
      <c r="D63" s="26" t="str">
        <f t="shared" ca="1" si="0"/>
        <v xml:space="preserve"> PIRQUE</v>
      </c>
      <c r="E63" s="10" t="str">
        <f ca="1">IFERROR(__xludf.DUMMYFUNCTION("""COMPUTED_VALUE"""),"Guía Operativa")</f>
        <v>Guía Operativa</v>
      </c>
      <c r="F63" s="10" t="str">
        <f ca="1">IFERROR(__xludf.DUMMYFUNCTION("""COMPUTED_VALUE"""),"MUNICIPALIDAD DE PIRQUE")</f>
        <v>MUNICIPALIDAD DE PIRQUE</v>
      </c>
      <c r="G63" s="71">
        <f ca="1">IFERROR(__xludf.DUMMYFUNCTION("""COMPUTED_VALUE"""),66000000)</f>
        <v>66000000</v>
      </c>
      <c r="H63" s="10" t="str">
        <f ca="1">IFERROR(__xludf.DUMMYFUNCTION("""COMPUTED_VALUE"""),"Resolución")</f>
        <v>Resolución</v>
      </c>
      <c r="I63" s="10" t="str">
        <f ca="1">IFERROR(__xludf.DUMMYFUNCTION("""COMPUTED_VALUE"""),"Asistencia Técnica")</f>
        <v>Asistencia Técnica</v>
      </c>
      <c r="J63" s="10" t="str">
        <f ca="1">IFERROR(__xludf.DUMMYFUNCTION("""COMPUTED_VALUE"""),"Cumplir con normativa y reglamentos internos del programa en base a los objetivos.")</f>
        <v>Cumplir con normativa y reglamentos internos del programa en base a los objetivos.</v>
      </c>
      <c r="K63" s="71">
        <f ca="1">IFERROR(__xludf.DUMMYFUNCTION("""COMPUTED_VALUE"""),66000000)</f>
        <v>66000000</v>
      </c>
      <c r="L63" s="27">
        <f ca="1">IFERROR(__xludf.DUMMYFUNCTION("""COMPUTED_VALUE"""),1)</f>
        <v>1</v>
      </c>
      <c r="M63" s="10" t="str">
        <f ca="1">IFERROR(__xludf.DUMMYFUNCTION("""COMPUTED_VALUE"""),"4231/2024")</f>
        <v>4231/2024</v>
      </c>
      <c r="N63" s="10" t="str">
        <f ca="1">IFERROR(__xludf.DUMMYFUNCTION("""COMPUTED_VALUE"""),"PMB")</f>
        <v>PMB</v>
      </c>
      <c r="O63" s="59"/>
      <c r="P63" s="1"/>
      <c r="Q63" s="1"/>
      <c r="R63" s="1"/>
      <c r="S63" s="1"/>
      <c r="T63" s="1"/>
      <c r="U63" s="1"/>
      <c r="V63" s="1"/>
      <c r="W63" s="1"/>
      <c r="X63" s="1"/>
      <c r="Y63" s="1"/>
      <c r="Z63" s="1"/>
      <c r="AA63" s="1"/>
    </row>
    <row r="64" spans="1:27" ht="12.75" customHeight="1">
      <c r="A64" s="1"/>
      <c r="B64" s="10" t="str">
        <f ca="1">IFERROR(__xludf.DUMMYFUNCTION("""COMPUTED_VALUE"""),"ASISTENCIA LEGAL PARA REGULARIZACION DE PROPIEDAD RAIZ PARA FUTUROS PROYECTOS DE AGUA POTABLE DE DIVERSOS SECTORES RURALES, COMUNA DE CUNCO")</f>
        <v>ASISTENCIA LEGAL PARA REGULARIZACION DE PROPIEDAD RAIZ PARA FUTUROS PROYECTOS DE AGUA POTABLE DE DIVERSOS SECTORES RURALES, COMUNA DE CUNCO</v>
      </c>
      <c r="C64" s="10" t="str">
        <f ca="1">IFERROR(__xludf.DUMMYFUNCTION("""COMPUTED_VALUE"""),"9103230601-C")</f>
        <v>9103230601-C</v>
      </c>
      <c r="D64" s="26" t="str">
        <f t="shared" ca="1" si="0"/>
        <v xml:space="preserve"> CUNCO</v>
      </c>
      <c r="E64" s="10" t="str">
        <f ca="1">IFERROR(__xludf.DUMMYFUNCTION("""COMPUTED_VALUE"""),"Guía Operativa")</f>
        <v>Guía Operativa</v>
      </c>
      <c r="F64" s="10" t="str">
        <f ca="1">IFERROR(__xludf.DUMMYFUNCTION("""COMPUTED_VALUE"""),"MUNICIPALIDAD DE CUNCO")</f>
        <v>MUNICIPALIDAD DE CUNCO</v>
      </c>
      <c r="G64" s="71">
        <f ca="1">IFERROR(__xludf.DUMMYFUNCTION("""COMPUTED_VALUE"""),102000000)</f>
        <v>102000000</v>
      </c>
      <c r="H64" s="10" t="str">
        <f ca="1">IFERROR(__xludf.DUMMYFUNCTION("""COMPUTED_VALUE"""),"Resolución")</f>
        <v>Resolución</v>
      </c>
      <c r="I64" s="10" t="str">
        <f ca="1">IFERROR(__xludf.DUMMYFUNCTION("""COMPUTED_VALUE"""),"Asistencia Legal")</f>
        <v>Asistencia Legal</v>
      </c>
      <c r="J64" s="10" t="str">
        <f ca="1">IFERROR(__xludf.DUMMYFUNCTION("""COMPUTED_VALUE"""),"Cumplir con normativa y reglamentos internos del programa en base a los objetivos.")</f>
        <v>Cumplir con normativa y reglamentos internos del programa en base a los objetivos.</v>
      </c>
      <c r="K64" s="71">
        <f ca="1">IFERROR(__xludf.DUMMYFUNCTION("""COMPUTED_VALUE"""),102000000)</f>
        <v>102000000</v>
      </c>
      <c r="L64" s="27">
        <f ca="1">IFERROR(__xludf.DUMMYFUNCTION("""COMPUTED_VALUE"""),1)</f>
        <v>1</v>
      </c>
      <c r="M64" s="10" t="str">
        <f ca="1">IFERROR(__xludf.DUMMYFUNCTION("""COMPUTED_VALUE"""),"3041/2024")</f>
        <v>3041/2024</v>
      </c>
      <c r="N64" s="10" t="str">
        <f ca="1">IFERROR(__xludf.DUMMYFUNCTION("""COMPUTED_VALUE"""),"PMB")</f>
        <v>PMB</v>
      </c>
      <c r="O64" s="59"/>
      <c r="P64" s="1"/>
      <c r="Q64" s="1"/>
      <c r="R64" s="1"/>
      <c r="S64" s="1"/>
      <c r="T64" s="1"/>
      <c r="U64" s="1"/>
      <c r="V64" s="1"/>
      <c r="W64" s="1"/>
      <c r="X64" s="1"/>
      <c r="Y64" s="1"/>
      <c r="Z64" s="1"/>
      <c r="AA64" s="1"/>
    </row>
    <row r="65" spans="1:27" ht="12.75" customHeight="1">
      <c r="A65" s="1"/>
      <c r="B65" s="10" t="str">
        <f ca="1">IFERROR(__xludf.DUMMYFUNCTION("""COMPUTED_VALUE"""),"[SATE] MEJORAMIENTO DE SALA DE GENERADORES Y TRAZADO DE ALUMBRADO PUBLICO")</f>
        <v>[SATE] MEJORAMIENTO DE SALA DE GENERADORES Y TRAZADO DE ALUMBRADO PUBLICO</v>
      </c>
      <c r="C65" s="10" t="str">
        <f ca="1">IFERROR(__xludf.DUMMYFUNCTION("""COMPUTED_VALUE"""),"12303230705-C")</f>
        <v>12303230705-C</v>
      </c>
      <c r="D65" s="26" t="str">
        <f t="shared" ca="1" si="0"/>
        <v xml:space="preserve"> TIMAUKEL</v>
      </c>
      <c r="E65" s="10" t="str">
        <f ca="1">IFERROR(__xludf.DUMMYFUNCTION("""COMPUTED_VALUE"""),"Guía Operativa")</f>
        <v>Guía Operativa</v>
      </c>
      <c r="F65" s="10" t="str">
        <f ca="1">IFERROR(__xludf.DUMMYFUNCTION("""COMPUTED_VALUE"""),"MUNICIPALIDAD DE TIMAUKEL")</f>
        <v>MUNICIPALIDAD DE TIMAUKEL</v>
      </c>
      <c r="G65" s="71">
        <f ca="1">IFERROR(__xludf.DUMMYFUNCTION("""COMPUTED_VALUE"""),263459788)</f>
        <v>263459788</v>
      </c>
      <c r="H65" s="10" t="str">
        <f ca="1">IFERROR(__xludf.DUMMYFUNCTION("""COMPUTED_VALUE"""),"Resolución")</f>
        <v>Resolución</v>
      </c>
      <c r="I65" s="10" t="str">
        <f ca="1">IFERROR(__xludf.DUMMYFUNCTION("""COMPUTED_VALUE"""),"Obras")</f>
        <v>Obras</v>
      </c>
      <c r="J65" s="10" t="str">
        <f ca="1">IFERROR(__xludf.DUMMYFUNCTION("""COMPUTED_VALUE"""),"Cumplir con normativa y reglamentos internos del programa en base a los objetivos.")</f>
        <v>Cumplir con normativa y reglamentos internos del programa en base a los objetivos.</v>
      </c>
      <c r="K65" s="71">
        <f ca="1">IFERROR(__xludf.DUMMYFUNCTION("""COMPUTED_VALUE"""),263459788)</f>
        <v>263459788</v>
      </c>
      <c r="L65" s="27">
        <f ca="1">IFERROR(__xludf.DUMMYFUNCTION("""COMPUTED_VALUE"""),1)</f>
        <v>1</v>
      </c>
      <c r="M65" s="10" t="str">
        <f ca="1">IFERROR(__xludf.DUMMYFUNCTION("""COMPUTED_VALUE"""),"3051/2024")</f>
        <v>3051/2024</v>
      </c>
      <c r="N65" s="10" t="str">
        <f ca="1">IFERROR(__xludf.DUMMYFUNCTION("""COMPUTED_VALUE"""),"PMB")</f>
        <v>PMB</v>
      </c>
      <c r="O65" s="59"/>
      <c r="P65" s="1"/>
      <c r="Q65" s="1"/>
      <c r="R65" s="1"/>
      <c r="S65" s="1"/>
      <c r="T65" s="1"/>
      <c r="U65" s="1"/>
      <c r="V65" s="1"/>
      <c r="W65" s="1"/>
      <c r="X65" s="1"/>
      <c r="Y65" s="1"/>
      <c r="Z65" s="1"/>
      <c r="AA65" s="1"/>
    </row>
    <row r="66" spans="1:27" ht="12.75" customHeight="1">
      <c r="A66" s="1"/>
      <c r="B66" s="10" t="str">
        <f ca="1">IFERROR(__xludf.DUMMYFUNCTION("""COMPUTED_VALUE"""),"“ASISTENCIA TÉCNICA DISEÑOS ABASTOS DE AGUA SECTOR HUILLINCO Y COMUNIDAD DOMINGO PIRQUIL, Y PROYECTOS PMU EN DIVERSOS SECTORES, COMUNA CONTULMO”")</f>
        <v>“ASISTENCIA TÉCNICA DISEÑOS ABASTOS DE AGUA SECTOR HUILLINCO Y COMUNIDAD DOMINGO PIRQUIL, Y PROYECTOS PMU EN DIVERSOS SECTORES, COMUNA CONTULMO”</v>
      </c>
      <c r="C66" s="10" t="str">
        <f ca="1">IFERROR(__xludf.DUMMYFUNCTION("""COMPUTED_VALUE"""),"8204231001-C")</f>
        <v>8204231001-C</v>
      </c>
      <c r="D66" s="26" t="str">
        <f t="shared" ca="1" si="0"/>
        <v xml:space="preserve"> CONTULMO</v>
      </c>
      <c r="E66" s="10" t="str">
        <f ca="1">IFERROR(__xludf.DUMMYFUNCTION("""COMPUTED_VALUE"""),"Guía Operativa")</f>
        <v>Guía Operativa</v>
      </c>
      <c r="F66" s="10" t="str">
        <f ca="1">IFERROR(__xludf.DUMMYFUNCTION("""COMPUTED_VALUE"""),"MUNICIPALIDAD DE CONTULMO")</f>
        <v>MUNICIPALIDAD DE CONTULMO</v>
      </c>
      <c r="G66" s="71">
        <f ca="1">IFERROR(__xludf.DUMMYFUNCTION("""COMPUTED_VALUE"""),86400000)</f>
        <v>86400000</v>
      </c>
      <c r="H66" s="10" t="str">
        <f ca="1">IFERROR(__xludf.DUMMYFUNCTION("""COMPUTED_VALUE"""),"Resolución")</f>
        <v>Resolución</v>
      </c>
      <c r="I66" s="10" t="str">
        <f ca="1">IFERROR(__xludf.DUMMYFUNCTION("""COMPUTED_VALUE"""),"Asistencia Técnica")</f>
        <v>Asistencia Técnica</v>
      </c>
      <c r="J66" s="10" t="str">
        <f ca="1">IFERROR(__xludf.DUMMYFUNCTION("""COMPUTED_VALUE"""),"Cumplir con normativa y reglamentos internos del programa en base a los objetivos.")</f>
        <v>Cumplir con normativa y reglamentos internos del programa en base a los objetivos.</v>
      </c>
      <c r="K66" s="71">
        <f ca="1">IFERROR(__xludf.DUMMYFUNCTION("""COMPUTED_VALUE"""),86400000)</f>
        <v>86400000</v>
      </c>
      <c r="L66" s="27">
        <f ca="1">IFERROR(__xludf.DUMMYFUNCTION("""COMPUTED_VALUE"""),1)</f>
        <v>1</v>
      </c>
      <c r="M66" s="10" t="str">
        <f ca="1">IFERROR(__xludf.DUMMYFUNCTION("""COMPUTED_VALUE"""),"3040/2024")</f>
        <v>3040/2024</v>
      </c>
      <c r="N66" s="10" t="str">
        <f ca="1">IFERROR(__xludf.DUMMYFUNCTION("""COMPUTED_VALUE"""),"PMB")</f>
        <v>PMB</v>
      </c>
      <c r="O66" s="59"/>
      <c r="P66" s="1"/>
      <c r="Q66" s="1"/>
      <c r="R66" s="1"/>
      <c r="S66" s="1"/>
      <c r="T66" s="1"/>
      <c r="U66" s="1"/>
      <c r="V66" s="1"/>
      <c r="W66" s="1"/>
      <c r="X66" s="1"/>
      <c r="Y66" s="1"/>
      <c r="Z66" s="1"/>
      <c r="AA66" s="1"/>
    </row>
    <row r="67" spans="1:27" ht="12.75" customHeight="1">
      <c r="A67" s="1"/>
      <c r="B67" s="10" t="str">
        <f ca="1">IFERROR(__xludf.DUMMYFUNCTION("""COMPUTED_VALUE"""),"ASISTENCIA TÉCNICA PARA GENERACIÒN DE PROYECTOS, COMUNA DE NACIMIENTO")</f>
        <v>ASISTENCIA TÉCNICA PARA GENERACIÒN DE PROYECTOS, COMUNA DE NACIMIENTO</v>
      </c>
      <c r="C67" s="10" t="str">
        <f ca="1">IFERROR(__xludf.DUMMYFUNCTION("""COMPUTED_VALUE"""),"8306231001-C")</f>
        <v>8306231001-C</v>
      </c>
      <c r="D67" s="26" t="str">
        <f t="shared" ca="1" si="0"/>
        <v xml:space="preserve"> NACIMIENTO</v>
      </c>
      <c r="E67" s="10" t="str">
        <f ca="1">IFERROR(__xludf.DUMMYFUNCTION("""COMPUTED_VALUE"""),"Guía Operativa")</f>
        <v>Guía Operativa</v>
      </c>
      <c r="F67" s="10" t="str">
        <f ca="1">IFERROR(__xludf.DUMMYFUNCTION("""COMPUTED_VALUE"""),"MUNICIPALIDAD DE NACIMIENTO")</f>
        <v>MUNICIPALIDAD DE NACIMIENTO</v>
      </c>
      <c r="G67" s="71">
        <f ca="1">IFERROR(__xludf.DUMMYFUNCTION("""COMPUTED_VALUE"""),80040000)</f>
        <v>80040000</v>
      </c>
      <c r="H67" s="10" t="str">
        <f ca="1">IFERROR(__xludf.DUMMYFUNCTION("""COMPUTED_VALUE"""),"Resolución")</f>
        <v>Resolución</v>
      </c>
      <c r="I67" s="10" t="str">
        <f ca="1">IFERROR(__xludf.DUMMYFUNCTION("""COMPUTED_VALUE"""),"Asistencia Técnica")</f>
        <v>Asistencia Técnica</v>
      </c>
      <c r="J67" s="10" t="str">
        <f ca="1">IFERROR(__xludf.DUMMYFUNCTION("""COMPUTED_VALUE"""),"Cumplir con normativa y reglamentos internos del programa en base a los objetivos.")</f>
        <v>Cumplir con normativa y reglamentos internos del programa en base a los objetivos.</v>
      </c>
      <c r="K67" s="71">
        <f ca="1">IFERROR(__xludf.DUMMYFUNCTION("""COMPUTED_VALUE"""),80040000)</f>
        <v>80040000</v>
      </c>
      <c r="L67" s="27">
        <f ca="1">IFERROR(__xludf.DUMMYFUNCTION("""COMPUTED_VALUE"""),1)</f>
        <v>1</v>
      </c>
      <c r="M67" s="10" t="str">
        <f ca="1">IFERROR(__xludf.DUMMYFUNCTION("""COMPUTED_VALUE"""),"3052/2024")</f>
        <v>3052/2024</v>
      </c>
      <c r="N67" s="10" t="str">
        <f ca="1">IFERROR(__xludf.DUMMYFUNCTION("""COMPUTED_VALUE"""),"PMB")</f>
        <v>PMB</v>
      </c>
      <c r="O67" s="59"/>
      <c r="P67" s="1"/>
      <c r="Q67" s="1"/>
      <c r="R67" s="1"/>
      <c r="S67" s="1"/>
      <c r="T67" s="1"/>
      <c r="U67" s="1"/>
      <c r="V67" s="1"/>
      <c r="W67" s="1"/>
      <c r="X67" s="1"/>
      <c r="Y67" s="1"/>
      <c r="Z67" s="1"/>
      <c r="AA67" s="1"/>
    </row>
    <row r="68" spans="1:27" ht="12.75" customHeight="1">
      <c r="A68" s="1"/>
      <c r="B68" s="10" t="str">
        <f ca="1">IFERROR(__xludf.DUMMYFUNCTION("""COMPUTED_VALUE"""),"CONTRATACIÓN PROFESIONAL ASISTENCIA TÉCNICA PROYECTOS PMU, NUEVA IMPERIAL")</f>
        <v>CONTRATACIÓN PROFESIONAL ASISTENCIA TÉCNICA PROYECTOS PMU, NUEVA IMPERIAL</v>
      </c>
      <c r="C68" s="10" t="str">
        <f ca="1">IFERROR(__xludf.DUMMYFUNCTION("""COMPUTED_VALUE"""),"9111231004-C")</f>
        <v>9111231004-C</v>
      </c>
      <c r="D68" s="26" t="str">
        <f t="shared" ca="1" si="0"/>
        <v xml:space="preserve"> NUEVA IMPERIAL</v>
      </c>
      <c r="E68" s="10" t="str">
        <f ca="1">IFERROR(__xludf.DUMMYFUNCTION("""COMPUTED_VALUE"""),"Guía Operativa")</f>
        <v>Guía Operativa</v>
      </c>
      <c r="F68" s="10" t="str">
        <f ca="1">IFERROR(__xludf.DUMMYFUNCTION("""COMPUTED_VALUE"""),"MUNICIPALIDAD DE NUEVA IMPERIAL")</f>
        <v>MUNICIPALIDAD DE NUEVA IMPERIAL</v>
      </c>
      <c r="G68" s="71">
        <f ca="1">IFERROR(__xludf.DUMMYFUNCTION("""COMPUTED_VALUE"""),104400000)</f>
        <v>104400000</v>
      </c>
      <c r="H68" s="10" t="str">
        <f ca="1">IFERROR(__xludf.DUMMYFUNCTION("""COMPUTED_VALUE"""),"Resolución")</f>
        <v>Resolución</v>
      </c>
      <c r="I68" s="10" t="str">
        <f ca="1">IFERROR(__xludf.DUMMYFUNCTION("""COMPUTED_VALUE"""),"Asistencia Técnica")</f>
        <v>Asistencia Técnica</v>
      </c>
      <c r="J68" s="10" t="str">
        <f ca="1">IFERROR(__xludf.DUMMYFUNCTION("""COMPUTED_VALUE"""),"Cumplir con normativa y reglamentos internos del programa en base a los objetivos.")</f>
        <v>Cumplir con normativa y reglamentos internos del programa en base a los objetivos.</v>
      </c>
      <c r="K68" s="71">
        <f ca="1">IFERROR(__xludf.DUMMYFUNCTION("""COMPUTED_VALUE"""),104400000)</f>
        <v>104400000</v>
      </c>
      <c r="L68" s="27">
        <f ca="1">IFERROR(__xludf.DUMMYFUNCTION("""COMPUTED_VALUE"""),1)</f>
        <v>1</v>
      </c>
      <c r="M68" s="10" t="str">
        <f ca="1">IFERROR(__xludf.DUMMYFUNCTION("""COMPUTED_VALUE"""),"3404/2024")</f>
        <v>3404/2024</v>
      </c>
      <c r="N68" s="10" t="str">
        <f ca="1">IFERROR(__xludf.DUMMYFUNCTION("""COMPUTED_VALUE"""),"PMB")</f>
        <v>PMB</v>
      </c>
      <c r="O68" s="59"/>
      <c r="P68" s="1"/>
      <c r="Q68" s="1"/>
      <c r="R68" s="1"/>
      <c r="S68" s="1"/>
      <c r="T68" s="1"/>
      <c r="U68" s="1"/>
      <c r="V68" s="1"/>
      <c r="W68" s="1"/>
      <c r="X68" s="1"/>
      <c r="Y68" s="1"/>
      <c r="Z68" s="1"/>
      <c r="AA68" s="1"/>
    </row>
    <row r="69" spans="1:27" ht="12.75" customHeight="1">
      <c r="A69" s="1"/>
      <c r="B69" s="10" t="str">
        <f ca="1">IFERROR(__xludf.DUMMYFUNCTION("""COMPUTED_VALUE"""),"GENERACIÓN DE DIVERSOS PROYECTOS DE INFRAESTRUCTURA PUBLICA Y DE SANEAMIENTO SANITARIO EN SECTORES RURALES DE LA COMUNA DE QUEILEN.")</f>
        <v>GENERACIÓN DE DIVERSOS PROYECTOS DE INFRAESTRUCTURA PUBLICA Y DE SANEAMIENTO SANITARIO EN SECTORES RURALES DE LA COMUNA DE QUEILEN.</v>
      </c>
      <c r="C69" s="10" t="str">
        <f ca="1">IFERROR(__xludf.DUMMYFUNCTION("""COMPUTED_VALUE"""),"10207241002-C")</f>
        <v>10207241002-C</v>
      </c>
      <c r="D69" s="26" t="str">
        <f t="shared" ca="1" si="0"/>
        <v xml:space="preserve"> QUEILÉN</v>
      </c>
      <c r="E69" s="10" t="str">
        <f ca="1">IFERROR(__xludf.DUMMYFUNCTION("""COMPUTED_VALUE"""),"Guía Operativa")</f>
        <v>Guía Operativa</v>
      </c>
      <c r="F69" s="10" t="str">
        <f ca="1">IFERROR(__xludf.DUMMYFUNCTION("""COMPUTED_VALUE"""),"MUNICIPALIDAD DE QUEILÉN")</f>
        <v>MUNICIPALIDAD DE QUEILÉN</v>
      </c>
      <c r="G69" s="71">
        <f ca="1">IFERROR(__xludf.DUMMYFUNCTION("""COMPUTED_VALUE"""),86400000)</f>
        <v>86400000</v>
      </c>
      <c r="H69" s="10" t="str">
        <f ca="1">IFERROR(__xludf.DUMMYFUNCTION("""COMPUTED_VALUE"""),"Resolución")</f>
        <v>Resolución</v>
      </c>
      <c r="I69" s="10" t="str">
        <f ca="1">IFERROR(__xludf.DUMMYFUNCTION("""COMPUTED_VALUE"""),"Asistencia Técnica")</f>
        <v>Asistencia Técnica</v>
      </c>
      <c r="J69" s="10" t="str">
        <f ca="1">IFERROR(__xludf.DUMMYFUNCTION("""COMPUTED_VALUE"""),"Cumplir con normativa y reglamentos internos del programa en base a los objetivos.")</f>
        <v>Cumplir con normativa y reglamentos internos del programa en base a los objetivos.</v>
      </c>
      <c r="K69" s="71">
        <f ca="1">IFERROR(__xludf.DUMMYFUNCTION("""COMPUTED_VALUE"""),86400000)</f>
        <v>86400000</v>
      </c>
      <c r="L69" s="27">
        <f ca="1">IFERROR(__xludf.DUMMYFUNCTION("""COMPUTED_VALUE"""),1)</f>
        <v>1</v>
      </c>
      <c r="M69" s="10" t="str">
        <f ca="1">IFERROR(__xludf.DUMMYFUNCTION("""COMPUTED_VALUE"""),"3037/2024")</f>
        <v>3037/2024</v>
      </c>
      <c r="N69" s="10" t="str">
        <f ca="1">IFERROR(__xludf.DUMMYFUNCTION("""COMPUTED_VALUE"""),"PMB")</f>
        <v>PMB</v>
      </c>
      <c r="O69" s="59"/>
      <c r="P69" s="1"/>
      <c r="Q69" s="1"/>
      <c r="R69" s="1"/>
      <c r="S69" s="1"/>
      <c r="T69" s="1"/>
      <c r="U69" s="1"/>
      <c r="V69" s="1"/>
      <c r="W69" s="1"/>
      <c r="X69" s="1"/>
      <c r="Y69" s="1"/>
      <c r="Z69" s="1"/>
      <c r="AA69" s="1"/>
    </row>
    <row r="70" spans="1:27" ht="12.75" customHeight="1">
      <c r="A70" s="1"/>
      <c r="B70" s="10" t="str">
        <f ca="1">IFERROR(__xludf.DUMMYFUNCTION("""COMPUTED_VALUE"""),"ASISTENCIA TECNICA PARA EL ABASTECIMIENTO DE AGUA POTABLE RURAL, DIVERSOS SECTORES, TUCAPEL")</f>
        <v>ASISTENCIA TECNICA PARA EL ABASTECIMIENTO DE AGUA POTABLE RURAL, DIVERSOS SECTORES, TUCAPEL</v>
      </c>
      <c r="C70" s="10" t="str">
        <f ca="1">IFERROR(__xludf.DUMMYFUNCTION("""COMPUTED_VALUE"""),"8312231001-C")</f>
        <v>8312231001-C</v>
      </c>
      <c r="D70" s="26" t="str">
        <f t="shared" ca="1" si="0"/>
        <v xml:space="preserve"> TUCAPEL</v>
      </c>
      <c r="E70" s="10" t="str">
        <f ca="1">IFERROR(__xludf.DUMMYFUNCTION("""COMPUTED_VALUE"""),"Guía Operativa")</f>
        <v>Guía Operativa</v>
      </c>
      <c r="F70" s="10" t="str">
        <f ca="1">IFERROR(__xludf.DUMMYFUNCTION("""COMPUTED_VALUE"""),"MUNICIPALIDAD DE TUCAPEL")</f>
        <v>MUNICIPALIDAD DE TUCAPEL</v>
      </c>
      <c r="G70" s="71">
        <f ca="1">IFERROR(__xludf.DUMMYFUNCTION("""COMPUTED_VALUE"""),73800000)</f>
        <v>73800000</v>
      </c>
      <c r="H70" s="10" t="str">
        <f ca="1">IFERROR(__xludf.DUMMYFUNCTION("""COMPUTED_VALUE"""),"Resolución")</f>
        <v>Resolución</v>
      </c>
      <c r="I70" s="10" t="str">
        <f ca="1">IFERROR(__xludf.DUMMYFUNCTION("""COMPUTED_VALUE"""),"Asistencia Técnica")</f>
        <v>Asistencia Técnica</v>
      </c>
      <c r="J70" s="10" t="str">
        <f ca="1">IFERROR(__xludf.DUMMYFUNCTION("""COMPUTED_VALUE"""),"Cumplir con normativa y reglamentos internos del programa en base a los objetivos.")</f>
        <v>Cumplir con normativa y reglamentos internos del programa en base a los objetivos.</v>
      </c>
      <c r="K70" s="71">
        <f ca="1">IFERROR(__xludf.DUMMYFUNCTION("""COMPUTED_VALUE"""),73800000)</f>
        <v>73800000</v>
      </c>
      <c r="L70" s="27">
        <f ca="1">IFERROR(__xludf.DUMMYFUNCTION("""COMPUTED_VALUE"""),1)</f>
        <v>1</v>
      </c>
      <c r="M70" s="10" t="str">
        <f ca="1">IFERROR(__xludf.DUMMYFUNCTION("""COMPUTED_VALUE"""),"4139/2024")</f>
        <v>4139/2024</v>
      </c>
      <c r="N70" s="10" t="str">
        <f ca="1">IFERROR(__xludf.DUMMYFUNCTION("""COMPUTED_VALUE"""),"PMB")</f>
        <v>PMB</v>
      </c>
      <c r="O70" s="59"/>
      <c r="P70" s="1"/>
      <c r="Q70" s="1"/>
      <c r="R70" s="1"/>
      <c r="S70" s="1"/>
      <c r="T70" s="1"/>
      <c r="U70" s="1"/>
      <c r="V70" s="1"/>
      <c r="W70" s="1"/>
      <c r="X70" s="1"/>
      <c r="Y70" s="1"/>
      <c r="Z70" s="1"/>
      <c r="AA70" s="1"/>
    </row>
    <row r="71" spans="1:27" ht="12.75" customHeight="1">
      <c r="A71" s="1"/>
      <c r="B71" s="10" t="str">
        <f ca="1">IFERROR(__xludf.DUMMYFUNCTION("""COMPUTED_VALUE"""),"ASISTENCIA TECNICA PROYECTOS SANEAMIENTO SANITARIOS, ALCANTARILLADOS COMUNA DE TUCAPEL 2024")</f>
        <v>ASISTENCIA TECNICA PROYECTOS SANEAMIENTO SANITARIOS, ALCANTARILLADOS COMUNA DE TUCAPEL 2024</v>
      </c>
      <c r="C71" s="10" t="str">
        <f ca="1">IFERROR(__xludf.DUMMYFUNCTION("""COMPUTED_VALUE"""),"8312231003-C")</f>
        <v>8312231003-C</v>
      </c>
      <c r="D71" s="26" t="str">
        <f t="shared" ca="1" si="0"/>
        <v xml:space="preserve"> TUCAPEL</v>
      </c>
      <c r="E71" s="10" t="str">
        <f ca="1">IFERROR(__xludf.DUMMYFUNCTION("""COMPUTED_VALUE"""),"Guía Operativa")</f>
        <v>Guía Operativa</v>
      </c>
      <c r="F71" s="10" t="str">
        <f ca="1">IFERROR(__xludf.DUMMYFUNCTION("""COMPUTED_VALUE"""),"MUNICIPALIDAD DE TUCAPEL")</f>
        <v>MUNICIPALIDAD DE TUCAPEL</v>
      </c>
      <c r="G71" s="71">
        <f ca="1">IFERROR(__xludf.DUMMYFUNCTION("""COMPUTED_VALUE"""),84000000)</f>
        <v>84000000</v>
      </c>
      <c r="H71" s="10" t="str">
        <f ca="1">IFERROR(__xludf.DUMMYFUNCTION("""COMPUTED_VALUE"""),"Resolución")</f>
        <v>Resolución</v>
      </c>
      <c r="I71" s="10" t="str">
        <f ca="1">IFERROR(__xludf.DUMMYFUNCTION("""COMPUTED_VALUE"""),"Asistencia Técnica")</f>
        <v>Asistencia Técnica</v>
      </c>
      <c r="J71" s="10" t="str">
        <f ca="1">IFERROR(__xludf.DUMMYFUNCTION("""COMPUTED_VALUE"""),"Cumplir con normativa y reglamentos internos del programa en base a los objetivos.")</f>
        <v>Cumplir con normativa y reglamentos internos del programa en base a los objetivos.</v>
      </c>
      <c r="K71" s="71">
        <f ca="1">IFERROR(__xludf.DUMMYFUNCTION("""COMPUTED_VALUE"""),84000000)</f>
        <v>84000000</v>
      </c>
      <c r="L71" s="27">
        <f ca="1">IFERROR(__xludf.DUMMYFUNCTION("""COMPUTED_VALUE"""),1)</f>
        <v>1</v>
      </c>
      <c r="M71" s="10" t="str">
        <f ca="1">IFERROR(__xludf.DUMMYFUNCTION("""COMPUTED_VALUE"""),"4333/2024")</f>
        <v>4333/2024</v>
      </c>
      <c r="N71" s="10" t="str">
        <f ca="1">IFERROR(__xludf.DUMMYFUNCTION("""COMPUTED_VALUE"""),"PMB")</f>
        <v>PMB</v>
      </c>
      <c r="O71" s="59"/>
      <c r="P71" s="1"/>
      <c r="Q71" s="1"/>
      <c r="R71" s="1"/>
      <c r="S71" s="1"/>
      <c r="T71" s="1"/>
      <c r="U71" s="1"/>
      <c r="V71" s="1"/>
      <c r="W71" s="1"/>
      <c r="X71" s="1"/>
      <c r="Y71" s="1"/>
      <c r="Z71" s="1"/>
      <c r="AA71" s="1"/>
    </row>
    <row r="72" spans="1:27" ht="12.75" customHeight="1">
      <c r="A72" s="1"/>
      <c r="B72" s="10" t="str">
        <f ca="1">IFERROR(__xludf.DUMMYFUNCTION("""COMPUTED_VALUE"""),"ASISTENCIA TÉCNICA PARA DISEÑOS Y CONSTRUCCIÓN PROYECTOS DE ALUMBRADO PÚBLICO EN LOCALIDADES RURALES, COMUNA DE ARAUCO")</f>
        <v>ASISTENCIA TÉCNICA PARA DISEÑOS Y CONSTRUCCIÓN PROYECTOS DE ALUMBRADO PÚBLICO EN LOCALIDADES RURALES, COMUNA DE ARAUCO</v>
      </c>
      <c r="C72" s="10" t="str">
        <f ca="1">IFERROR(__xludf.DUMMYFUNCTION("""COMPUTED_VALUE"""),"8202231003-C")</f>
        <v>8202231003-C</v>
      </c>
      <c r="D72" s="26" t="str">
        <f t="shared" ca="1" si="0"/>
        <v xml:space="preserve"> ARAUCO</v>
      </c>
      <c r="E72" s="10" t="str">
        <f ca="1">IFERROR(__xludf.DUMMYFUNCTION("""COMPUTED_VALUE"""),"Guía Operativa")</f>
        <v>Guía Operativa</v>
      </c>
      <c r="F72" s="10" t="str">
        <f ca="1">IFERROR(__xludf.DUMMYFUNCTION("""COMPUTED_VALUE"""),"MUNICIPALIDAD DE ARAUCO")</f>
        <v>MUNICIPALIDAD DE ARAUCO</v>
      </c>
      <c r="G72" s="71">
        <f ca="1">IFERROR(__xludf.DUMMYFUNCTION("""COMPUTED_VALUE"""),65880000)</f>
        <v>65880000</v>
      </c>
      <c r="H72" s="10" t="str">
        <f ca="1">IFERROR(__xludf.DUMMYFUNCTION("""COMPUTED_VALUE"""),"Resolución")</f>
        <v>Resolución</v>
      </c>
      <c r="I72" s="10" t="str">
        <f ca="1">IFERROR(__xludf.DUMMYFUNCTION("""COMPUTED_VALUE"""),"Asistencia Técnica")</f>
        <v>Asistencia Técnica</v>
      </c>
      <c r="J72" s="10" t="str">
        <f ca="1">IFERROR(__xludf.DUMMYFUNCTION("""COMPUTED_VALUE"""),"Cumplir con normativa y reglamentos internos del programa en base a los objetivos.")</f>
        <v>Cumplir con normativa y reglamentos internos del programa en base a los objetivos.</v>
      </c>
      <c r="K72" s="71">
        <f ca="1">IFERROR(__xludf.DUMMYFUNCTION("""COMPUTED_VALUE"""),65880000)</f>
        <v>65880000</v>
      </c>
      <c r="L72" s="27">
        <f ca="1">IFERROR(__xludf.DUMMYFUNCTION("""COMPUTED_VALUE"""),1)</f>
        <v>1</v>
      </c>
      <c r="M72" s="10" t="str">
        <f ca="1">IFERROR(__xludf.DUMMYFUNCTION("""COMPUTED_VALUE"""),"3693/2024")</f>
        <v>3693/2024</v>
      </c>
      <c r="N72" s="10" t="str">
        <f ca="1">IFERROR(__xludf.DUMMYFUNCTION("""COMPUTED_VALUE"""),"PMB")</f>
        <v>PMB</v>
      </c>
      <c r="O72" s="59"/>
      <c r="P72" s="1"/>
      <c r="Q72" s="1"/>
      <c r="R72" s="1"/>
      <c r="S72" s="1"/>
      <c r="T72" s="1"/>
      <c r="U72" s="1"/>
      <c r="V72" s="1"/>
      <c r="W72" s="1"/>
      <c r="X72" s="1"/>
      <c r="Y72" s="1"/>
      <c r="Z72" s="1"/>
      <c r="AA72" s="1"/>
    </row>
    <row r="73" spans="1:27" ht="12.75" customHeight="1">
      <c r="A73" s="1"/>
      <c r="B73" s="10" t="str">
        <f ca="1">IFERROR(__xludf.DUMMYFUNCTION("""COMPUTED_VALUE"""),"DISEÑO DE ELECTRIFICACIÓN PARA LAS C.I NICOLÁS CALBULLANCA Y RAYEN ANTÚ, Y ALUMBRADO PÚBLICO PARA LA C.I. JOSÉ ANTONIO MELITA Y RUTA AL PARQUE ANIQUE")</f>
        <v>DISEÑO DE ELECTRIFICACIÓN PARA LAS C.I NICOLÁS CALBULLANCA Y RAYEN ANTÚ, Y ALUMBRADO PÚBLICO PARA LA C.I. JOSÉ ANTONIO MELITA Y RUTA AL PARQUE ANIQUE</v>
      </c>
      <c r="C73" s="10" t="str">
        <f ca="1">IFERROR(__xludf.DUMMYFUNCTION("""COMPUTED_VALUE"""),"8203241001-C")</f>
        <v>8203241001-C</v>
      </c>
      <c r="D73" s="26" t="str">
        <f t="shared" ca="1" si="0"/>
        <v xml:space="preserve"> CAÑETE</v>
      </c>
      <c r="E73" s="10" t="str">
        <f ca="1">IFERROR(__xludf.DUMMYFUNCTION("""COMPUTED_VALUE"""),"Guía Operativa")</f>
        <v>Guía Operativa</v>
      </c>
      <c r="F73" s="10" t="str">
        <f ca="1">IFERROR(__xludf.DUMMYFUNCTION("""COMPUTED_VALUE"""),"MUNICIPALIDAD DE CAÑETE")</f>
        <v>MUNICIPALIDAD DE CAÑETE</v>
      </c>
      <c r="G73" s="71">
        <f ca="1">IFERROR(__xludf.DUMMYFUNCTION("""COMPUTED_VALUE"""),94800000)</f>
        <v>94800000</v>
      </c>
      <c r="H73" s="10" t="str">
        <f ca="1">IFERROR(__xludf.DUMMYFUNCTION("""COMPUTED_VALUE"""),"Resolución")</f>
        <v>Resolución</v>
      </c>
      <c r="I73" s="10" t="str">
        <f ca="1">IFERROR(__xludf.DUMMYFUNCTION("""COMPUTED_VALUE"""),"Asistencia Técnica")</f>
        <v>Asistencia Técnica</v>
      </c>
      <c r="J73" s="10" t="str">
        <f ca="1">IFERROR(__xludf.DUMMYFUNCTION("""COMPUTED_VALUE"""),"Cumplir con normativa y reglamentos internos del programa en base a los objetivos.")</f>
        <v>Cumplir con normativa y reglamentos internos del programa en base a los objetivos.</v>
      </c>
      <c r="K73" s="71">
        <f ca="1">IFERROR(__xludf.DUMMYFUNCTION("""COMPUTED_VALUE"""),94800000)</f>
        <v>94800000</v>
      </c>
      <c r="L73" s="27">
        <f ca="1">IFERROR(__xludf.DUMMYFUNCTION("""COMPUTED_VALUE"""),1)</f>
        <v>1</v>
      </c>
      <c r="M73" s="10" t="str">
        <f ca="1">IFERROR(__xludf.DUMMYFUNCTION("""COMPUTED_VALUE"""),"3692/2024")</f>
        <v>3692/2024</v>
      </c>
      <c r="N73" s="10" t="str">
        <f ca="1">IFERROR(__xludf.DUMMYFUNCTION("""COMPUTED_VALUE"""),"PMB")</f>
        <v>PMB</v>
      </c>
      <c r="O73" s="59"/>
      <c r="P73" s="1"/>
      <c r="Q73" s="1"/>
      <c r="R73" s="1"/>
      <c r="S73" s="1"/>
      <c r="T73" s="1"/>
      <c r="U73" s="1"/>
      <c r="V73" s="1"/>
      <c r="W73" s="1"/>
      <c r="X73" s="1"/>
      <c r="Y73" s="1"/>
      <c r="Z73" s="1"/>
      <c r="AA73" s="1"/>
    </row>
    <row r="74" spans="1:27" ht="12.75" customHeight="1">
      <c r="A74" s="1"/>
      <c r="B74" s="10" t="str">
        <f ca="1">IFERROR(__xludf.DUMMYFUNCTION("""COMPUTED_VALUE"""),"ASISTENCIA TÉCNICA SANEAMIENTO SANITARIO – SECTORES RURALES LAUTARO, LOS BATROS Y COLO COLO, COMUNA DE CAÑETE")</f>
        <v>ASISTENCIA TÉCNICA SANEAMIENTO SANITARIO – SECTORES RURALES LAUTARO, LOS BATROS Y COLO COLO, COMUNA DE CAÑETE</v>
      </c>
      <c r="C74" s="10" t="str">
        <f ca="1">IFERROR(__xludf.DUMMYFUNCTION("""COMPUTED_VALUE"""),"8203241002-C")</f>
        <v>8203241002-C</v>
      </c>
      <c r="D74" s="26" t="str">
        <f t="shared" ca="1" si="0"/>
        <v xml:space="preserve"> CAÑETE</v>
      </c>
      <c r="E74" s="10" t="str">
        <f ca="1">IFERROR(__xludf.DUMMYFUNCTION("""COMPUTED_VALUE"""),"Guía Operativa")</f>
        <v>Guía Operativa</v>
      </c>
      <c r="F74" s="10" t="str">
        <f ca="1">IFERROR(__xludf.DUMMYFUNCTION("""COMPUTED_VALUE"""),"MUNICIPALIDAD DE CAÑETE")</f>
        <v>MUNICIPALIDAD DE CAÑETE</v>
      </c>
      <c r="G74" s="71">
        <f ca="1">IFERROR(__xludf.DUMMYFUNCTION("""COMPUTED_VALUE"""),71100000)</f>
        <v>71100000</v>
      </c>
      <c r="H74" s="10" t="str">
        <f ca="1">IFERROR(__xludf.DUMMYFUNCTION("""COMPUTED_VALUE"""),"Resolución")</f>
        <v>Resolución</v>
      </c>
      <c r="I74" s="10" t="str">
        <f ca="1">IFERROR(__xludf.DUMMYFUNCTION("""COMPUTED_VALUE"""),"Asistencia Técnica")</f>
        <v>Asistencia Técnica</v>
      </c>
      <c r="J74" s="10" t="str">
        <f ca="1">IFERROR(__xludf.DUMMYFUNCTION("""COMPUTED_VALUE"""),"Cumplir con normativa y reglamentos internos del programa en base a los objetivos.")</f>
        <v>Cumplir con normativa y reglamentos internos del programa en base a los objetivos.</v>
      </c>
      <c r="K74" s="71">
        <f ca="1">IFERROR(__xludf.DUMMYFUNCTION("""COMPUTED_VALUE"""),71100000)</f>
        <v>71100000</v>
      </c>
      <c r="L74" s="27">
        <f ca="1">IFERROR(__xludf.DUMMYFUNCTION("""COMPUTED_VALUE"""),1)</f>
        <v>1</v>
      </c>
      <c r="M74" s="10" t="str">
        <f ca="1">IFERROR(__xludf.DUMMYFUNCTION("""COMPUTED_VALUE"""),"3692/2024")</f>
        <v>3692/2024</v>
      </c>
      <c r="N74" s="10" t="str">
        <f ca="1">IFERROR(__xludf.DUMMYFUNCTION("""COMPUTED_VALUE"""),"PMB")</f>
        <v>PMB</v>
      </c>
      <c r="O74" s="59"/>
      <c r="P74" s="1"/>
      <c r="Q74" s="1"/>
      <c r="R74" s="1"/>
      <c r="S74" s="1"/>
      <c r="T74" s="1"/>
      <c r="U74" s="1"/>
      <c r="V74" s="1"/>
      <c r="W74" s="1"/>
      <c r="X74" s="1"/>
      <c r="Y74" s="1"/>
      <c r="Z74" s="1"/>
      <c r="AA74" s="1"/>
    </row>
    <row r="75" spans="1:27" ht="12.75" customHeight="1">
      <c r="A75" s="1"/>
      <c r="B75" s="10" t="str">
        <f ca="1">IFERROR(__xludf.DUMMYFUNCTION("""COMPUTED_VALUE"""),"ASISTENCIA TÉCNICA PATRIMONIAL PARA EL CATASTRO DE INMUEBLES DE INTERÉS PATRIMONIAL DEL CENTRO DE VALDIVIA")</f>
        <v>ASISTENCIA TÉCNICA PATRIMONIAL PARA EL CATASTRO DE INMUEBLES DE INTERÉS PATRIMONIAL DEL CENTRO DE VALDIVIA</v>
      </c>
      <c r="C75" s="10" t="str">
        <f ca="1">IFERROR(__xludf.DUMMYFUNCTION("""COMPUTED_VALUE"""),"14101241002-C")</f>
        <v>14101241002-C</v>
      </c>
      <c r="D75" s="26" t="str">
        <f t="shared" ca="1" si="0"/>
        <v xml:space="preserve"> VALDIVIA</v>
      </c>
      <c r="E75" s="10" t="str">
        <f ca="1">IFERROR(__xludf.DUMMYFUNCTION("""COMPUTED_VALUE"""),"Guía Operativa")</f>
        <v>Guía Operativa</v>
      </c>
      <c r="F75" s="10" t="str">
        <f ca="1">IFERROR(__xludf.DUMMYFUNCTION("""COMPUTED_VALUE"""),"MUNICIPALIDAD DE VALDIVIA")</f>
        <v>MUNICIPALIDAD DE VALDIVIA</v>
      </c>
      <c r="G75" s="71">
        <f ca="1">IFERROR(__xludf.DUMMYFUNCTION("""COMPUTED_VALUE"""),86400000)</f>
        <v>86400000</v>
      </c>
      <c r="H75" s="10" t="str">
        <f ca="1">IFERROR(__xludf.DUMMYFUNCTION("""COMPUTED_VALUE"""),"Resolución")</f>
        <v>Resolución</v>
      </c>
      <c r="I75" s="10" t="str">
        <f ca="1">IFERROR(__xludf.DUMMYFUNCTION("""COMPUTED_VALUE"""),"Asistencia Técnica")</f>
        <v>Asistencia Técnica</v>
      </c>
      <c r="J75" s="10" t="str">
        <f ca="1">IFERROR(__xludf.DUMMYFUNCTION("""COMPUTED_VALUE"""),"Cumplir con normativa y reglamentos internos del programa en base a los objetivos.")</f>
        <v>Cumplir con normativa y reglamentos internos del programa en base a los objetivos.</v>
      </c>
      <c r="K75" s="71">
        <f ca="1">IFERROR(__xludf.DUMMYFUNCTION("""COMPUTED_VALUE"""),86400000)</f>
        <v>86400000</v>
      </c>
      <c r="L75" s="27">
        <f ca="1">IFERROR(__xludf.DUMMYFUNCTION("""COMPUTED_VALUE"""),1)</f>
        <v>1</v>
      </c>
      <c r="M75" s="10" t="str">
        <f ca="1">IFERROR(__xludf.DUMMYFUNCTION("""COMPUTED_VALUE"""),"3688/2024")</f>
        <v>3688/2024</v>
      </c>
      <c r="N75" s="10" t="str">
        <f ca="1">IFERROR(__xludf.DUMMYFUNCTION("""COMPUTED_VALUE"""),"PMB")</f>
        <v>PMB</v>
      </c>
      <c r="O75" s="59"/>
      <c r="P75" s="1"/>
      <c r="Q75" s="1"/>
      <c r="R75" s="1"/>
      <c r="S75" s="1"/>
      <c r="T75" s="1"/>
      <c r="U75" s="1"/>
      <c r="V75" s="1"/>
      <c r="W75" s="1"/>
      <c r="X75" s="1"/>
      <c r="Y75" s="1"/>
      <c r="Z75" s="1"/>
      <c r="AA75" s="1"/>
    </row>
    <row r="76" spans="1:27" ht="12.75" customHeight="1">
      <c r="A76" s="1"/>
      <c r="B76" s="10" t="str">
        <f ca="1">IFERROR(__xludf.DUMMYFUNCTION("""COMPUTED_VALUE"""),"ASISTENCIA TÉCNICA PARA ELABORACIÓN DE PROYECTOS CATÁSTROFE-MEJORAMIENTO CENTROS COMUNITARIOS RURALES SINIESTRADOS EL PATAGUAL VILLA ALEMANA")</f>
        <v>ASISTENCIA TÉCNICA PARA ELABORACIÓN DE PROYECTOS CATÁSTROFE-MEJORAMIENTO CENTROS COMUNITARIOS RURALES SINIESTRADOS EL PATAGUAL VILLA ALEMANA</v>
      </c>
      <c r="C76" s="10" t="str">
        <f ca="1">IFERROR(__xludf.DUMMYFUNCTION("""COMPUTED_VALUE"""),"5804241001-C")</f>
        <v>5804241001-C</v>
      </c>
      <c r="D76" s="26" t="str">
        <f t="shared" ca="1" si="0"/>
        <v xml:space="preserve"> VILLA ALEMANA</v>
      </c>
      <c r="E76" s="10" t="str">
        <f ca="1">IFERROR(__xludf.DUMMYFUNCTION("""COMPUTED_VALUE"""),"Guía Operativa")</f>
        <v>Guía Operativa</v>
      </c>
      <c r="F76" s="10" t="str">
        <f ca="1">IFERROR(__xludf.DUMMYFUNCTION("""COMPUTED_VALUE"""),"MUNICIPALIDAD DE VILLA ALEMANA")</f>
        <v>MUNICIPALIDAD DE VILLA ALEMANA</v>
      </c>
      <c r="G76" s="71">
        <f ca="1">IFERROR(__xludf.DUMMYFUNCTION("""COMPUTED_VALUE"""),13300000)</f>
        <v>13300000</v>
      </c>
      <c r="H76" s="10" t="str">
        <f ca="1">IFERROR(__xludf.DUMMYFUNCTION("""COMPUTED_VALUE"""),"Resolución")</f>
        <v>Resolución</v>
      </c>
      <c r="I76" s="10" t="str">
        <f ca="1">IFERROR(__xludf.DUMMYFUNCTION("""COMPUTED_VALUE"""),"Asistencia Técnica")</f>
        <v>Asistencia Técnica</v>
      </c>
      <c r="J76" s="10" t="str">
        <f ca="1">IFERROR(__xludf.DUMMYFUNCTION("""COMPUTED_VALUE"""),"Cumplir con normativa y reglamentos internos del programa en base a los objetivos.")</f>
        <v>Cumplir con normativa y reglamentos internos del programa en base a los objetivos.</v>
      </c>
      <c r="K76" s="71">
        <f ca="1">IFERROR(__xludf.DUMMYFUNCTION("""COMPUTED_VALUE"""),13300000)</f>
        <v>13300000</v>
      </c>
      <c r="L76" s="27">
        <f ca="1">IFERROR(__xludf.DUMMYFUNCTION("""COMPUTED_VALUE"""),1)</f>
        <v>1</v>
      </c>
      <c r="M76" s="10" t="str">
        <f ca="1">IFERROR(__xludf.DUMMYFUNCTION("""COMPUTED_VALUE"""),"3405/2024")</f>
        <v>3405/2024</v>
      </c>
      <c r="N76" s="10" t="str">
        <f ca="1">IFERROR(__xludf.DUMMYFUNCTION("""COMPUTED_VALUE"""),"PMB")</f>
        <v>PMB</v>
      </c>
      <c r="O76" s="59"/>
      <c r="P76" s="1"/>
      <c r="Q76" s="1"/>
      <c r="R76" s="1"/>
      <c r="S76" s="1"/>
      <c r="T76" s="1"/>
      <c r="U76" s="1"/>
      <c r="V76" s="1"/>
      <c r="W76" s="1"/>
      <c r="X76" s="1"/>
      <c r="Y76" s="1"/>
      <c r="Z76" s="1"/>
      <c r="AA76" s="1"/>
    </row>
    <row r="77" spans="1:27" ht="12.75" customHeight="1">
      <c r="A77" s="1"/>
      <c r="B77" s="10" t="str">
        <f ca="1">IFERROR(__xludf.DUMMYFUNCTION("""COMPUTED_VALUE"""),"ASISTENCIA LEGAL PARA SANEAMIENTO DE LA PEQUEÑA PROPIEDAD RAÍZ, COMUNA DE LAUTARO")</f>
        <v>ASISTENCIA LEGAL PARA SANEAMIENTO DE LA PEQUEÑA PROPIEDAD RAÍZ, COMUNA DE LAUTARO</v>
      </c>
      <c r="C77" s="10" t="str">
        <f ca="1">IFERROR(__xludf.DUMMYFUNCTION("""COMPUTED_VALUE"""),"9108230601-C")</f>
        <v>9108230601-C</v>
      </c>
      <c r="D77" s="26" t="str">
        <f t="shared" ca="1" si="0"/>
        <v xml:space="preserve"> LAUTARO</v>
      </c>
      <c r="E77" s="10" t="str">
        <f ca="1">IFERROR(__xludf.DUMMYFUNCTION("""COMPUTED_VALUE"""),"Guía Operativa")</f>
        <v>Guía Operativa</v>
      </c>
      <c r="F77" s="10" t="str">
        <f ca="1">IFERROR(__xludf.DUMMYFUNCTION("""COMPUTED_VALUE"""),"MUNICIPALIDAD DE LAUTARO")</f>
        <v>MUNICIPALIDAD DE LAUTARO</v>
      </c>
      <c r="G77" s="71">
        <f ca="1">IFERROR(__xludf.DUMMYFUNCTION("""COMPUTED_VALUE"""),48000000)</f>
        <v>48000000</v>
      </c>
      <c r="H77" s="10" t="str">
        <f ca="1">IFERROR(__xludf.DUMMYFUNCTION("""COMPUTED_VALUE"""),"Resolución")</f>
        <v>Resolución</v>
      </c>
      <c r="I77" s="10" t="str">
        <f ca="1">IFERROR(__xludf.DUMMYFUNCTION("""COMPUTED_VALUE"""),"Asistencia Legal")</f>
        <v>Asistencia Legal</v>
      </c>
      <c r="J77" s="10" t="str">
        <f ca="1">IFERROR(__xludf.DUMMYFUNCTION("""COMPUTED_VALUE"""),"Cumplir con normativa y reglamentos internos del programa en base a los objetivos.")</f>
        <v>Cumplir con normativa y reglamentos internos del programa en base a los objetivos.</v>
      </c>
      <c r="K77" s="71">
        <f ca="1">IFERROR(__xludf.DUMMYFUNCTION("""COMPUTED_VALUE"""),48000000)</f>
        <v>48000000</v>
      </c>
      <c r="L77" s="27">
        <f ca="1">IFERROR(__xludf.DUMMYFUNCTION("""COMPUTED_VALUE"""),1)</f>
        <v>1</v>
      </c>
      <c r="M77" s="10" t="str">
        <f ca="1">IFERROR(__xludf.DUMMYFUNCTION("""COMPUTED_VALUE"""),"4402/2024")</f>
        <v>4402/2024</v>
      </c>
      <c r="N77" s="10" t="str">
        <f ca="1">IFERROR(__xludf.DUMMYFUNCTION("""COMPUTED_VALUE"""),"PMB")</f>
        <v>PMB</v>
      </c>
      <c r="O77" s="59"/>
      <c r="P77" s="1"/>
      <c r="Q77" s="1"/>
      <c r="R77" s="1"/>
      <c r="S77" s="1"/>
      <c r="T77" s="1"/>
      <c r="U77" s="1"/>
      <c r="V77" s="1"/>
      <c r="W77" s="1"/>
      <c r="X77" s="1"/>
      <c r="Y77" s="1"/>
      <c r="Z77" s="1"/>
      <c r="AA77" s="1"/>
    </row>
    <row r="78" spans="1:27" ht="12.75" customHeight="1">
      <c r="A78" s="1"/>
      <c r="B78" s="10" t="str">
        <f ca="1">IFERROR(__xludf.DUMMYFUNCTION("""COMPUTED_VALUE"""),"PROGRAMA DE COMPOSTAJE DOMICILIARIO Y COMUNITARIO “BOSQUE SUR”, COMUNA DE LANCO")</f>
        <v>PROGRAMA DE COMPOSTAJE DOMICILIARIO Y COMUNITARIO “BOSQUE SUR”, COMUNA DE LANCO</v>
      </c>
      <c r="C78" s="10" t="str">
        <f ca="1">IFERROR(__xludf.DUMMYFUNCTION("""COMPUTED_VALUE"""),"14103221502-C")</f>
        <v>14103221502-C</v>
      </c>
      <c r="D78" s="26" t="str">
        <f t="shared" ca="1" si="0"/>
        <v xml:space="preserve"> LANCO</v>
      </c>
      <c r="E78" s="10" t="str">
        <f ca="1">IFERROR(__xludf.DUMMYFUNCTION("""COMPUTED_VALUE"""),"Guía Operativa")</f>
        <v>Guía Operativa</v>
      </c>
      <c r="F78" s="10" t="str">
        <f ca="1">IFERROR(__xludf.DUMMYFUNCTION("""COMPUTED_VALUE"""),"MUNICIPALIDAD DE LANCO")</f>
        <v>MUNICIPALIDAD DE LANCO</v>
      </c>
      <c r="G78" s="71">
        <f ca="1">IFERROR(__xludf.DUMMYFUNCTION("""COMPUTED_VALUE"""),34392850)</f>
        <v>34392850</v>
      </c>
      <c r="H78" s="10" t="str">
        <f ca="1">IFERROR(__xludf.DUMMYFUNCTION("""COMPUTED_VALUE"""),"Resolución")</f>
        <v>Resolución</v>
      </c>
      <c r="I78" s="10" t="str">
        <f ca="1">IFERROR(__xludf.DUMMYFUNCTION("""COMPUTED_VALUE"""),"Otras Transferencias")</f>
        <v>Otras Transferencias</v>
      </c>
      <c r="J78" s="10" t="str">
        <f ca="1">IFERROR(__xludf.DUMMYFUNCTION("""COMPUTED_VALUE"""),"Cumplir con normativa y reglamentos internos del programa en base a los objetivos.")</f>
        <v>Cumplir con normativa y reglamentos internos del programa en base a los objetivos.</v>
      </c>
      <c r="K78" s="71">
        <f ca="1">IFERROR(__xludf.DUMMYFUNCTION("""COMPUTED_VALUE"""),6356770)</f>
        <v>6356770</v>
      </c>
      <c r="L78" s="27">
        <f ca="1">IFERROR(__xludf.DUMMYFUNCTION("""COMPUTED_VALUE"""),0.984828241916561)</f>
        <v>0.98482824191656104</v>
      </c>
      <c r="M78" s="10" t="str">
        <f ca="1">IFERROR(__xludf.DUMMYFUNCTION("""COMPUTED_VALUE"""),"3941/2022")</f>
        <v>3941/2022</v>
      </c>
      <c r="N78" s="10" t="str">
        <f ca="1">IFERROR(__xludf.DUMMYFUNCTION("""COMPUTED_VALUE"""),"PMB")</f>
        <v>PMB</v>
      </c>
      <c r="O78" s="59"/>
      <c r="P78" s="1"/>
      <c r="Q78" s="1"/>
      <c r="R78" s="1"/>
      <c r="S78" s="1"/>
      <c r="T78" s="1"/>
      <c r="U78" s="1"/>
      <c r="V78" s="1"/>
      <c r="W78" s="1"/>
      <c r="X78" s="1"/>
      <c r="Y78" s="1"/>
      <c r="Z78" s="1"/>
      <c r="AA78" s="1"/>
    </row>
    <row r="79" spans="1:27" ht="12.75" customHeight="1">
      <c r="A79" s="1"/>
      <c r="B79" s="10" t="str">
        <f ca="1">IFERROR(__xludf.DUMMYFUNCTION("""COMPUTED_VALUE"""),"ASISTENCIA TÉCNICA PROYECTOS SANITARIOS COMUNA DE SANTA JUANA”")</f>
        <v>ASISTENCIA TÉCNICA PROYECTOS SANITARIOS COMUNA DE SANTA JUANA”</v>
      </c>
      <c r="C79" s="10" t="str">
        <f ca="1">IFERROR(__xludf.DUMMYFUNCTION("""COMPUTED_VALUE"""),"8109221001-C")</f>
        <v>8109221001-C</v>
      </c>
      <c r="D79" s="26" t="str">
        <f t="shared" ca="1" si="0"/>
        <v xml:space="preserve"> SANTA JUANA</v>
      </c>
      <c r="E79" s="10" t="str">
        <f ca="1">IFERROR(__xludf.DUMMYFUNCTION("""COMPUTED_VALUE"""),"Guía Operativa")</f>
        <v>Guía Operativa</v>
      </c>
      <c r="F79" s="10" t="str">
        <f ca="1">IFERROR(__xludf.DUMMYFUNCTION("""COMPUTED_VALUE"""),"MUNICIPALIDAD DE SANTA JUANA")</f>
        <v>MUNICIPALIDAD DE SANTA JUANA</v>
      </c>
      <c r="G79" s="71">
        <f ca="1">IFERROR(__xludf.DUMMYFUNCTION("""COMPUTED_VALUE"""),94900000)</f>
        <v>94900000</v>
      </c>
      <c r="H79" s="10" t="str">
        <f ca="1">IFERROR(__xludf.DUMMYFUNCTION("""COMPUTED_VALUE"""),"Resolución")</f>
        <v>Resolución</v>
      </c>
      <c r="I79" s="10" t="str">
        <f ca="1">IFERROR(__xludf.DUMMYFUNCTION("""COMPUTED_VALUE"""),"Asistencia Técnica")</f>
        <v>Asistencia Técnica</v>
      </c>
      <c r="J79" s="10" t="str">
        <f ca="1">IFERROR(__xludf.DUMMYFUNCTION("""COMPUTED_VALUE"""),"Cumplir con normativa y reglamentos internos del programa en base a los objetivos.")</f>
        <v>Cumplir con normativa y reglamentos internos del programa en base a los objetivos.</v>
      </c>
      <c r="K79" s="71">
        <f ca="1">IFERROR(__xludf.DUMMYFUNCTION("""COMPUTED_VALUE"""),10198596)</f>
        <v>10198596</v>
      </c>
      <c r="L79" s="27">
        <f ca="1">IFERROR(__xludf.DUMMYFUNCTION("""COMPUTED_VALUE"""),0.507466765015806)</f>
        <v>0.50746676501580601</v>
      </c>
      <c r="M79" s="10" t="str">
        <f ca="1">IFERROR(__xludf.DUMMYFUNCTION("""COMPUTED_VALUE"""),"9635/2022")</f>
        <v>9635/2022</v>
      </c>
      <c r="N79" s="10" t="str">
        <f ca="1">IFERROR(__xludf.DUMMYFUNCTION("""COMPUTED_VALUE"""),"PMB")</f>
        <v>PMB</v>
      </c>
      <c r="O79" s="59"/>
      <c r="P79" s="1"/>
      <c r="Q79" s="1"/>
      <c r="R79" s="1"/>
      <c r="S79" s="1"/>
      <c r="T79" s="1"/>
      <c r="U79" s="1"/>
      <c r="V79" s="1"/>
      <c r="W79" s="1"/>
      <c r="X79" s="1"/>
      <c r="Y79" s="1"/>
      <c r="Z79" s="1"/>
      <c r="AA79" s="1"/>
    </row>
    <row r="80" spans="1:27" ht="12.75" customHeight="1">
      <c r="A80" s="1"/>
      <c r="B80" s="10" t="str">
        <f ca="1">IFERROR(__xludf.DUMMYFUNCTION("""COMPUTED_VALUE"""),"INSTALACION SERVICIO DE AGUA POTABLE RURAL SECTOR COLONIA EL GATO, PUERTO MONTT")</f>
        <v>INSTALACION SERVICIO DE AGUA POTABLE RURAL SECTOR COLONIA EL GATO, PUERTO MONTT</v>
      </c>
      <c r="C80" s="10" t="str">
        <f ca="1">IFERROR(__xludf.DUMMYFUNCTION("""COMPUTED_VALUE"""),"10101180401-C")</f>
        <v>10101180401-C</v>
      </c>
      <c r="D80" s="26" t="str">
        <f t="shared" ca="1" si="0"/>
        <v xml:space="preserve"> PUERTO MONTT</v>
      </c>
      <c r="E80" s="10" t="str">
        <f ca="1">IFERROR(__xludf.DUMMYFUNCTION("""COMPUTED_VALUE"""),"Guía Operativa")</f>
        <v>Guía Operativa</v>
      </c>
      <c r="F80" s="10" t="str">
        <f ca="1">IFERROR(__xludf.DUMMYFUNCTION("""COMPUTED_VALUE"""),"MUNICIPALIDAD DE PUERTO MONTT")</f>
        <v>MUNICIPALIDAD DE PUERTO MONTT</v>
      </c>
      <c r="G80" s="71">
        <f ca="1">IFERROR(__xludf.DUMMYFUNCTION("""COMPUTED_VALUE"""),38181250)</f>
        <v>38181250</v>
      </c>
      <c r="H80" s="10" t="str">
        <f ca="1">IFERROR(__xludf.DUMMYFUNCTION("""COMPUTED_VALUE"""),"Resolución")</f>
        <v>Resolución</v>
      </c>
      <c r="I80" s="10" t="str">
        <f ca="1">IFERROR(__xludf.DUMMYFUNCTION("""COMPUTED_VALUE"""),"Estudios y Diseños")</f>
        <v>Estudios y Diseños</v>
      </c>
      <c r="J80" s="10" t="str">
        <f ca="1">IFERROR(__xludf.DUMMYFUNCTION("""COMPUTED_VALUE"""),"Cumplir con normativa y reglamentos internos del programa en base a los objetivos.")</f>
        <v>Cumplir con normativa y reglamentos internos del programa en base a los objetivos.</v>
      </c>
      <c r="K80" s="71">
        <f ca="1">IFERROR(__xludf.DUMMYFUNCTION("""COMPUTED_VALUE"""),18345625)</f>
        <v>18345625</v>
      </c>
      <c r="L80" s="27">
        <f ca="1">IFERROR(__xludf.DUMMYFUNCTION("""COMPUTED_VALUE"""),0.780487804878048)</f>
        <v>0.78048780487804803</v>
      </c>
      <c r="M80" s="10" t="str">
        <f ca="1">IFERROR(__xludf.DUMMYFUNCTION("""COMPUTED_VALUE"""),"1823/2021")</f>
        <v>1823/2021</v>
      </c>
      <c r="N80" s="10" t="str">
        <f ca="1">IFERROR(__xludf.DUMMYFUNCTION("""COMPUTED_VALUE"""),"PMB")</f>
        <v>PMB</v>
      </c>
      <c r="O80" s="59"/>
      <c r="P80" s="1"/>
      <c r="Q80" s="1"/>
      <c r="R80" s="1"/>
      <c r="S80" s="1"/>
      <c r="T80" s="1"/>
      <c r="U80" s="1"/>
      <c r="V80" s="1"/>
      <c r="W80" s="1"/>
      <c r="X80" s="1"/>
      <c r="Y80" s="1"/>
      <c r="Z80" s="1"/>
      <c r="AA80" s="1"/>
    </row>
    <row r="81" spans="1:27" ht="12.75" customHeight="1">
      <c r="A81" s="1"/>
      <c r="B81" s="10" t="str">
        <f ca="1">IFERROR(__xludf.DUMMYFUNCTION("""COMPUTED_VALUE"""),"ASISTENCIA TÉCNICA CONTRATACIÓN DE PROFESIONALES PARA APOYO TÉCNICO MUNICIPAL")</f>
        <v>ASISTENCIA TÉCNICA CONTRATACIÓN DE PROFESIONALES PARA APOYO TÉCNICO MUNICIPAL</v>
      </c>
      <c r="C81" s="10" t="str">
        <f ca="1">IFERROR(__xludf.DUMMYFUNCTION("""COMPUTED_VALUE"""),"10307211001-C")</f>
        <v>10307211001-C</v>
      </c>
      <c r="D81" s="26" t="str">
        <f t="shared" ca="1" si="0"/>
        <v xml:space="preserve"> SAN PABLO</v>
      </c>
      <c r="E81" s="10" t="str">
        <f ca="1">IFERROR(__xludf.DUMMYFUNCTION("""COMPUTED_VALUE"""),"Guía Operativa")</f>
        <v>Guía Operativa</v>
      </c>
      <c r="F81" s="10" t="str">
        <f ca="1">IFERROR(__xludf.DUMMYFUNCTION("""COMPUTED_VALUE"""),"MUNICIPALIDAD DE SAN PABLO")</f>
        <v>MUNICIPALIDAD DE SAN PABLO</v>
      </c>
      <c r="G81" s="71">
        <f ca="1">IFERROR(__xludf.DUMMYFUNCTION("""COMPUTED_VALUE"""),57600000)</f>
        <v>57600000</v>
      </c>
      <c r="H81" s="10" t="str">
        <f ca="1">IFERROR(__xludf.DUMMYFUNCTION("""COMPUTED_VALUE"""),"Resolución")</f>
        <v>Resolución</v>
      </c>
      <c r="I81" s="10" t="str">
        <f ca="1">IFERROR(__xludf.DUMMYFUNCTION("""COMPUTED_VALUE"""),"Asistencia Técnica")</f>
        <v>Asistencia Técnica</v>
      </c>
      <c r="J81" s="10" t="str">
        <f ca="1">IFERROR(__xludf.DUMMYFUNCTION("""COMPUTED_VALUE"""),"Cumplir con normativa y reglamentos internos del programa en base a los objetivos.")</f>
        <v>Cumplir con normativa y reglamentos internos del programa en base a los objetivos.</v>
      </c>
      <c r="K81" s="71">
        <f ca="1">IFERROR(__xludf.DUMMYFUNCTION("""COMPUTED_VALUE"""),1090601)</f>
        <v>1090601</v>
      </c>
      <c r="L81" s="27">
        <f ca="1">IFERROR(__xludf.DUMMYFUNCTION("""COMPUTED_VALUE"""),0.918934045138888)</f>
        <v>0.91893404513888799</v>
      </c>
      <c r="M81" s="10" t="str">
        <f ca="1">IFERROR(__xludf.DUMMYFUNCTION("""COMPUTED_VALUE"""),"12138/2021")</f>
        <v>12138/2021</v>
      </c>
      <c r="N81" s="10" t="str">
        <f ca="1">IFERROR(__xludf.DUMMYFUNCTION("""COMPUTED_VALUE"""),"PMB")</f>
        <v>PMB</v>
      </c>
      <c r="O81" s="59"/>
      <c r="P81" s="1"/>
      <c r="Q81" s="1"/>
      <c r="R81" s="1"/>
      <c r="S81" s="1"/>
      <c r="T81" s="1"/>
      <c r="U81" s="1"/>
      <c r="V81" s="1"/>
      <c r="W81" s="1"/>
      <c r="X81" s="1"/>
      <c r="Y81" s="1"/>
      <c r="Z81" s="1"/>
      <c r="AA81" s="1"/>
    </row>
    <row r="82" spans="1:27" ht="12.75" customHeight="1">
      <c r="A82" s="1"/>
      <c r="B82" s="10" t="str">
        <f ca="1">IFERROR(__xludf.DUMMYFUNCTION("""COMPUTED_VALUE"""),"CONSTRUCCIÓN POZO PROFUNDO SECTOR SAN NICOLAS")</f>
        <v>CONSTRUCCIÓN POZO PROFUNDO SECTOR SAN NICOLAS</v>
      </c>
      <c r="C82" s="10" t="str">
        <f ca="1">IFERROR(__xludf.DUMMYFUNCTION("""COMPUTED_VALUE"""),"10104180701-C [FET]")</f>
        <v>10104180701-C [FET]</v>
      </c>
      <c r="D82" s="26" t="str">
        <f t="shared" ca="1" si="0"/>
        <v xml:space="preserve"> FRESIA</v>
      </c>
      <c r="E82" s="10" t="str">
        <f ca="1">IFERROR(__xludf.DUMMYFUNCTION("""COMPUTED_VALUE"""),"Guía Operativa")</f>
        <v>Guía Operativa</v>
      </c>
      <c r="F82" s="10" t="str">
        <f ca="1">IFERROR(__xludf.DUMMYFUNCTION("""COMPUTED_VALUE"""),"MUNICIPALIDAD DE FRESIA")</f>
        <v>MUNICIPALIDAD DE FRESIA</v>
      </c>
      <c r="G82" s="71">
        <f ca="1">IFERROR(__xludf.DUMMYFUNCTION("""COMPUTED_VALUE"""),86320614)</f>
        <v>86320614</v>
      </c>
      <c r="H82" s="10" t="str">
        <f ca="1">IFERROR(__xludf.DUMMYFUNCTION("""COMPUTED_VALUE"""),"Resolución")</f>
        <v>Resolución</v>
      </c>
      <c r="I82" s="10" t="str">
        <f ca="1">IFERROR(__xludf.DUMMYFUNCTION("""COMPUTED_VALUE"""),"Obras")</f>
        <v>Obras</v>
      </c>
      <c r="J82" s="10" t="str">
        <f ca="1">IFERROR(__xludf.DUMMYFUNCTION("""COMPUTED_VALUE"""),"Cumplir con normativa y reglamentos internos del programa en base a los objetivos.")</f>
        <v>Cumplir con normativa y reglamentos internos del programa en base a los objetivos.</v>
      </c>
      <c r="K82" s="71">
        <f ca="1">IFERROR(__xludf.DUMMYFUNCTION("""COMPUTED_VALUE"""),80018297)</f>
        <v>80018297</v>
      </c>
      <c r="L82" s="27">
        <f ca="1">IFERROR(__xludf.DUMMYFUNCTION("""COMPUTED_VALUE"""),0.926989432674795)</f>
        <v>0.92698943267479506</v>
      </c>
      <c r="M82" s="10" t="str">
        <f ca="1">IFERROR(__xludf.DUMMYFUNCTION("""COMPUTED_VALUE"""),"4126/2022")</f>
        <v>4126/2022</v>
      </c>
      <c r="N82" s="10" t="str">
        <f ca="1">IFERROR(__xludf.DUMMYFUNCTION("""COMPUTED_VALUE"""),"PMB")</f>
        <v>PMB</v>
      </c>
      <c r="O82" s="59"/>
      <c r="P82" s="1"/>
      <c r="Q82" s="1"/>
      <c r="R82" s="1"/>
      <c r="S82" s="1"/>
      <c r="T82" s="1"/>
      <c r="U82" s="1"/>
      <c r="V82" s="1"/>
      <c r="W82" s="1"/>
      <c r="X82" s="1"/>
      <c r="Y82" s="1"/>
      <c r="Z82" s="1"/>
      <c r="AA82" s="1"/>
    </row>
    <row r="83" spans="1:27" ht="12.75" customHeight="1">
      <c r="A83" s="1"/>
      <c r="B83" s="10" t="str">
        <f ca="1">IFERROR(__xludf.DUMMYFUNCTION("""COMPUTED_VALUE"""),"GENERACION DE INICIATIVAS DE INVERSION EN ALCANTARILLADO E INFRAESTRUCTURA SANITARIA EN 6 LOCALIDADES DE LA COMUNA DE QUEILEN")</f>
        <v>GENERACION DE INICIATIVAS DE INVERSION EN ALCANTARILLADO E INFRAESTRUCTURA SANITARIA EN 6 LOCALIDADES DE LA COMUNA DE QUEILEN</v>
      </c>
      <c r="C83" s="10" t="str">
        <f ca="1">IFERROR(__xludf.DUMMYFUNCTION("""COMPUTED_VALUE"""),"10207231001-C")</f>
        <v>10207231001-C</v>
      </c>
      <c r="D83" s="26" t="str">
        <f t="shared" ca="1" si="0"/>
        <v xml:space="preserve"> QUEILÉN</v>
      </c>
      <c r="E83" s="10" t="str">
        <f ca="1">IFERROR(__xludf.DUMMYFUNCTION("""COMPUTED_VALUE"""),"Guía Operativa")</f>
        <v>Guía Operativa</v>
      </c>
      <c r="F83" s="10" t="str">
        <f ca="1">IFERROR(__xludf.DUMMYFUNCTION("""COMPUTED_VALUE"""),"MUNICIPALIDAD DE QUEILÉN")</f>
        <v>MUNICIPALIDAD DE QUEILÉN</v>
      </c>
      <c r="G83" s="71">
        <f ca="1">IFERROR(__xludf.DUMMYFUNCTION("""COMPUTED_VALUE"""),78000000)</f>
        <v>78000000</v>
      </c>
      <c r="H83" s="10" t="str">
        <f ca="1">IFERROR(__xludf.DUMMYFUNCTION("""COMPUTED_VALUE"""),"Resolución")</f>
        <v>Resolución</v>
      </c>
      <c r="I83" s="10" t="str">
        <f ca="1">IFERROR(__xludf.DUMMYFUNCTION("""COMPUTED_VALUE"""),"Asistencia Técnica")</f>
        <v>Asistencia Técnica</v>
      </c>
      <c r="J83" s="10" t="str">
        <f ca="1">IFERROR(__xludf.DUMMYFUNCTION("""COMPUTED_VALUE"""),"Cumplir con normativa y reglamentos internos del programa en base a los objetivos.")</f>
        <v>Cumplir con normativa y reglamentos internos del programa en base a los objetivos.</v>
      </c>
      <c r="K83" s="71">
        <f ca="1">IFERROR(__xludf.DUMMYFUNCTION("""COMPUTED_VALUE"""),13030000)</f>
        <v>13030000</v>
      </c>
      <c r="L83" s="27">
        <f ca="1">IFERROR(__xludf.DUMMYFUNCTION("""COMPUTED_VALUE"""),1)</f>
        <v>1</v>
      </c>
      <c r="M83" s="10" t="str">
        <f ca="1">IFERROR(__xludf.DUMMYFUNCTION("""COMPUTED_VALUE"""),"2221/2023")</f>
        <v>2221/2023</v>
      </c>
      <c r="N83" s="10" t="str">
        <f ca="1">IFERROR(__xludf.DUMMYFUNCTION("""COMPUTED_VALUE"""),"PMB")</f>
        <v>PMB</v>
      </c>
      <c r="O83" s="59"/>
      <c r="P83" s="1"/>
      <c r="Q83" s="1"/>
      <c r="R83" s="1"/>
      <c r="S83" s="1"/>
      <c r="T83" s="1"/>
      <c r="U83" s="1"/>
      <c r="V83" s="1"/>
      <c r="W83" s="1"/>
      <c r="X83" s="1"/>
      <c r="Y83" s="1"/>
      <c r="Z83" s="1"/>
      <c r="AA83" s="1"/>
    </row>
    <row r="84" spans="1:27" ht="12.75" customHeight="1">
      <c r="A84" s="1"/>
      <c r="B84" s="10" t="str">
        <f ca="1">IFERROR(__xludf.DUMMYFUNCTION("""COMPUTED_VALUE"""),"ASISTENCIA TECNICA EN SANEAMIENTO SANITARIO COMUNA DE PENCAHUE")</f>
        <v>ASISTENCIA TECNICA EN SANEAMIENTO SANITARIO COMUNA DE PENCAHUE</v>
      </c>
      <c r="C84" s="10" t="str">
        <f ca="1">IFERROR(__xludf.DUMMYFUNCTION("""COMPUTED_VALUE"""),"7107231001-C")</f>
        <v>7107231001-C</v>
      </c>
      <c r="D84" s="26" t="str">
        <f t="shared" ca="1" si="0"/>
        <v xml:space="preserve"> PENCAHUE</v>
      </c>
      <c r="E84" s="10" t="str">
        <f ca="1">IFERROR(__xludf.DUMMYFUNCTION("""COMPUTED_VALUE"""),"Guía Operativa")</f>
        <v>Guía Operativa</v>
      </c>
      <c r="F84" s="10" t="str">
        <f ca="1">IFERROR(__xludf.DUMMYFUNCTION("""COMPUTED_VALUE"""),"MUNICIPALIDAD DE PENCAHUE")</f>
        <v>MUNICIPALIDAD DE PENCAHUE</v>
      </c>
      <c r="G84" s="71">
        <f ca="1">IFERROR(__xludf.DUMMYFUNCTION("""COMPUTED_VALUE"""),70800000)</f>
        <v>70800000</v>
      </c>
      <c r="H84" s="10" t="str">
        <f ca="1">IFERROR(__xludf.DUMMYFUNCTION("""COMPUTED_VALUE"""),"Resolución")</f>
        <v>Resolución</v>
      </c>
      <c r="I84" s="10" t="str">
        <f ca="1">IFERROR(__xludf.DUMMYFUNCTION("""COMPUTED_VALUE"""),"Asistencia Técnica")</f>
        <v>Asistencia Técnica</v>
      </c>
      <c r="J84" s="10" t="str">
        <f ca="1">IFERROR(__xludf.DUMMYFUNCTION("""COMPUTED_VALUE"""),"Cumplir con normativa y reglamentos internos del programa en base a los objetivos.")</f>
        <v>Cumplir con normativa y reglamentos internos del programa en base a los objetivos.</v>
      </c>
      <c r="K84" s="71">
        <f ca="1">IFERROR(__xludf.DUMMYFUNCTION("""COMPUTED_VALUE"""),17700000)</f>
        <v>17700000</v>
      </c>
      <c r="L84" s="27">
        <f ca="1">IFERROR(__xludf.DUMMYFUNCTION("""COMPUTED_VALUE"""),0.75)</f>
        <v>0.75</v>
      </c>
      <c r="M84" s="10" t="str">
        <f ca="1">IFERROR(__xludf.DUMMYFUNCTION("""COMPUTED_VALUE"""),"4974/2023")</f>
        <v>4974/2023</v>
      </c>
      <c r="N84" s="10" t="str">
        <f ca="1">IFERROR(__xludf.DUMMYFUNCTION("""COMPUTED_VALUE"""),"PMB")</f>
        <v>PMB</v>
      </c>
      <c r="O84" s="59"/>
      <c r="P84" s="1"/>
      <c r="Q84" s="1"/>
      <c r="R84" s="1"/>
      <c r="S84" s="1"/>
      <c r="T84" s="1"/>
      <c r="U84" s="1"/>
      <c r="V84" s="1"/>
      <c r="W84" s="1"/>
      <c r="X84" s="1"/>
      <c r="Y84" s="1"/>
      <c r="Z84" s="1"/>
      <c r="AA84" s="1"/>
    </row>
    <row r="85" spans="1:27" ht="12.75" customHeight="1">
      <c r="A85" s="1"/>
      <c r="B85" s="10" t="str">
        <f ca="1">IFERROR(__xludf.DUMMYFUNCTION("""COMPUTED_VALUE"""),"DISEÑO DE SOLUCIONES DE SANEAMIENTO SANITARIO PARA LOS SECTORES DE VILLA LOS ÁNGELES, VILLA 2000 Y OTROS")</f>
        <v>DISEÑO DE SOLUCIONES DE SANEAMIENTO SANITARIO PARA LOS SECTORES DE VILLA LOS ÁNGELES, VILLA 2000 Y OTROS</v>
      </c>
      <c r="C85" s="10" t="str">
        <f ca="1">IFERROR(__xludf.DUMMYFUNCTION("""COMPUTED_VALUE"""),"7401221004-C")</f>
        <v>7401221004-C</v>
      </c>
      <c r="D85" s="26" t="str">
        <f t="shared" ca="1" si="0"/>
        <v xml:space="preserve"> LINARES</v>
      </c>
      <c r="E85" s="10" t="str">
        <f ca="1">IFERROR(__xludf.DUMMYFUNCTION("""COMPUTED_VALUE"""),"Guía Operativa")</f>
        <v>Guía Operativa</v>
      </c>
      <c r="F85" s="10" t="str">
        <f ca="1">IFERROR(__xludf.DUMMYFUNCTION("""COMPUTED_VALUE"""),"MUNICIPALIDAD DE LINARES")</f>
        <v>MUNICIPALIDAD DE LINARES</v>
      </c>
      <c r="G85" s="71">
        <f ca="1">IFERROR(__xludf.DUMMYFUNCTION("""COMPUTED_VALUE"""),46800000)</f>
        <v>46800000</v>
      </c>
      <c r="H85" s="10" t="str">
        <f ca="1">IFERROR(__xludf.DUMMYFUNCTION("""COMPUTED_VALUE"""),"Resolución")</f>
        <v>Resolución</v>
      </c>
      <c r="I85" s="10" t="str">
        <f ca="1">IFERROR(__xludf.DUMMYFUNCTION("""COMPUTED_VALUE"""),"Asistencia Técnica")</f>
        <v>Asistencia Técnica</v>
      </c>
      <c r="J85" s="10" t="str">
        <f ca="1">IFERROR(__xludf.DUMMYFUNCTION("""COMPUTED_VALUE"""),"Cumplir con normativa y reglamentos internos del programa en base a los objetivos.")</f>
        <v>Cumplir con normativa y reglamentos internos del programa en base a los objetivos.</v>
      </c>
      <c r="K85" s="71">
        <f ca="1">IFERROR(__xludf.DUMMYFUNCTION("""COMPUTED_VALUE"""),11700000)</f>
        <v>11700000</v>
      </c>
      <c r="L85" s="27">
        <f ca="1">IFERROR(__xludf.DUMMYFUNCTION("""COMPUTED_VALUE"""),0.416666666666666)</f>
        <v>0.41666666666666602</v>
      </c>
      <c r="M85" s="10" t="str">
        <f ca="1">IFERROR(__xludf.DUMMYFUNCTION("""COMPUTED_VALUE"""),"6441/2023")</f>
        <v>6441/2023</v>
      </c>
      <c r="N85" s="10" t="str">
        <f ca="1">IFERROR(__xludf.DUMMYFUNCTION("""COMPUTED_VALUE"""),"PMB")</f>
        <v>PMB</v>
      </c>
      <c r="O85" s="59"/>
      <c r="P85" s="1"/>
      <c r="Q85" s="1"/>
      <c r="R85" s="1"/>
      <c r="S85" s="1"/>
      <c r="T85" s="1"/>
      <c r="U85" s="1"/>
      <c r="V85" s="1"/>
      <c r="W85" s="1"/>
      <c r="X85" s="1"/>
      <c r="Y85" s="1"/>
      <c r="Z85" s="1"/>
      <c r="AA85" s="1"/>
    </row>
    <row r="86" spans="1:27" ht="12.75" customHeight="1">
      <c r="A86" s="1"/>
      <c r="B86" s="10" t="str">
        <f ca="1">IFERROR(__xludf.DUMMYFUNCTION("""COMPUTED_VALUE"""),"ASISTENCIA TÉCNICA EVALUACIÓN Y PROPUESTA DE SOLUCIÓN PLANTAS DE TRATAMIENTOS DE AGUAS SERVIDAS")</f>
        <v>ASISTENCIA TÉCNICA EVALUACIÓN Y PROPUESTA DE SOLUCIÓN PLANTAS DE TRATAMIENTOS DE AGUAS SERVIDAS</v>
      </c>
      <c r="C86" s="10" t="str">
        <f ca="1">IFERROR(__xludf.DUMMYFUNCTION("""COMPUTED_VALUE"""),"7105221001-C")</f>
        <v>7105221001-C</v>
      </c>
      <c r="D86" s="26" t="str">
        <f t="shared" ca="1" si="0"/>
        <v xml:space="preserve"> MAULE</v>
      </c>
      <c r="E86" s="10" t="str">
        <f ca="1">IFERROR(__xludf.DUMMYFUNCTION("""COMPUTED_VALUE"""),"Guía Operativa")</f>
        <v>Guía Operativa</v>
      </c>
      <c r="F86" s="10" t="str">
        <f ca="1">IFERROR(__xludf.DUMMYFUNCTION("""COMPUTED_VALUE"""),"MUNICIPALIDAD DE MAULE")</f>
        <v>MUNICIPALIDAD DE MAULE</v>
      </c>
      <c r="G86" s="71">
        <f ca="1">IFERROR(__xludf.DUMMYFUNCTION("""COMPUTED_VALUE"""),66600000)</f>
        <v>66600000</v>
      </c>
      <c r="H86" s="10" t="str">
        <f ca="1">IFERROR(__xludf.DUMMYFUNCTION("""COMPUTED_VALUE"""),"Resolución")</f>
        <v>Resolución</v>
      </c>
      <c r="I86" s="10" t="str">
        <f ca="1">IFERROR(__xludf.DUMMYFUNCTION("""COMPUTED_VALUE"""),"Asistencia Técnica")</f>
        <v>Asistencia Técnica</v>
      </c>
      <c r="J86" s="10" t="str">
        <f ca="1">IFERROR(__xludf.DUMMYFUNCTION("""COMPUTED_VALUE"""),"Cumplir con normativa y reglamentos internos del programa en base a los objetivos.")</f>
        <v>Cumplir con normativa y reglamentos internos del programa en base a los objetivos.</v>
      </c>
      <c r="K86" s="71">
        <f ca="1">IFERROR(__xludf.DUMMYFUNCTION("""COMPUTED_VALUE"""),19980000)</f>
        <v>19980000</v>
      </c>
      <c r="L86" s="27">
        <f ca="1">IFERROR(__xludf.DUMMYFUNCTION("""COMPUTED_VALUE"""),0.6)</f>
        <v>0.6</v>
      </c>
      <c r="M86" s="10" t="str">
        <f ca="1">IFERROR(__xludf.DUMMYFUNCTION("""COMPUTED_VALUE"""),"11223/2023")</f>
        <v>11223/2023</v>
      </c>
      <c r="N86" s="10" t="str">
        <f ca="1">IFERROR(__xludf.DUMMYFUNCTION("""COMPUTED_VALUE"""),"PMB")</f>
        <v>PMB</v>
      </c>
      <c r="O86" s="59"/>
      <c r="P86" s="1"/>
      <c r="Q86" s="1"/>
      <c r="R86" s="1"/>
      <c r="S86" s="1"/>
      <c r="T86" s="1"/>
      <c r="U86" s="1"/>
      <c r="V86" s="1"/>
      <c r="W86" s="1"/>
      <c r="X86" s="1"/>
      <c r="Y86" s="1"/>
      <c r="Z86" s="1"/>
      <c r="AA86" s="1"/>
    </row>
    <row r="87" spans="1:27" ht="12.75" customHeight="1">
      <c r="A87" s="1"/>
      <c r="B87" s="10" t="str">
        <f ca="1">IFERROR(__xludf.DUMMYFUNCTION("""COMPUTED_VALUE"""),"ASISTENCIA TECNICA PARA GENERACION DE PROYECTOS DE SANEAMIENTO SANITARIO")</f>
        <v>ASISTENCIA TECNICA PARA GENERACION DE PROYECTOS DE SANEAMIENTO SANITARIO</v>
      </c>
      <c r="C87" s="10" t="str">
        <f ca="1">IFERROR(__xludf.DUMMYFUNCTION("""COMPUTED_VALUE"""),"7309231002-C")</f>
        <v>7309231002-C</v>
      </c>
      <c r="D87" s="26" t="str">
        <f t="shared" ca="1" si="0"/>
        <v xml:space="preserve"> VICHUQUÉN</v>
      </c>
      <c r="E87" s="10" t="str">
        <f ca="1">IFERROR(__xludf.DUMMYFUNCTION("""COMPUTED_VALUE"""),"Guía Operativa")</f>
        <v>Guía Operativa</v>
      </c>
      <c r="F87" s="10" t="str">
        <f ca="1">IFERROR(__xludf.DUMMYFUNCTION("""COMPUTED_VALUE"""),"MUNICIPALIDAD DE VICHUQUÉN")</f>
        <v>MUNICIPALIDAD DE VICHUQUÉN</v>
      </c>
      <c r="G87" s="71">
        <f ca="1">IFERROR(__xludf.DUMMYFUNCTION("""COMPUTED_VALUE"""),64800000)</f>
        <v>64800000</v>
      </c>
      <c r="H87" s="10" t="str">
        <f ca="1">IFERROR(__xludf.DUMMYFUNCTION("""COMPUTED_VALUE"""),"Resolución")</f>
        <v>Resolución</v>
      </c>
      <c r="I87" s="10" t="str">
        <f ca="1">IFERROR(__xludf.DUMMYFUNCTION("""COMPUTED_VALUE"""),"Asistencia Técnica")</f>
        <v>Asistencia Técnica</v>
      </c>
      <c r="J87" s="10" t="str">
        <f ca="1">IFERROR(__xludf.DUMMYFUNCTION("""COMPUTED_VALUE"""),"Cumplir con normativa y reglamentos internos del programa en base a los objetivos.")</f>
        <v>Cumplir con normativa y reglamentos internos del programa en base a los objetivos.</v>
      </c>
      <c r="K87" s="71">
        <f ca="1">IFERROR(__xludf.DUMMYFUNCTION("""COMPUTED_VALUE"""),22680000)</f>
        <v>22680000</v>
      </c>
      <c r="L87" s="27">
        <f ca="1">IFERROR(__xludf.DUMMYFUNCTION("""COMPUTED_VALUE"""),0.65)</f>
        <v>0.65</v>
      </c>
      <c r="M87" s="10" t="str">
        <f ca="1">IFERROR(__xludf.DUMMYFUNCTION("""COMPUTED_VALUE"""),"11624/2023")</f>
        <v>11624/2023</v>
      </c>
      <c r="N87" s="10" t="str">
        <f ca="1">IFERROR(__xludf.DUMMYFUNCTION("""COMPUTED_VALUE"""),"PMB")</f>
        <v>PMB</v>
      </c>
      <c r="O87" s="59"/>
      <c r="P87" s="1"/>
      <c r="Q87" s="1"/>
      <c r="R87" s="1"/>
      <c r="S87" s="1"/>
      <c r="T87" s="1"/>
      <c r="U87" s="1"/>
      <c r="V87" s="1"/>
      <c r="W87" s="1"/>
      <c r="X87" s="1"/>
      <c r="Y87" s="1"/>
      <c r="Z87" s="1"/>
      <c r="AA87" s="1"/>
    </row>
    <row r="88" spans="1:27" ht="12.75" customHeight="1">
      <c r="A88" s="1"/>
      <c r="B88" s="10" t="str">
        <f ca="1">IFERROR(__xludf.DUMMYFUNCTION("""COMPUTED_VALUE"""),"ABASTECIMIENTO DE AGUA POTABLE RURAL SECTOR EL PARRON - PONIENTE , COMUNA DE TUCAPEL")</f>
        <v>ABASTECIMIENTO DE AGUA POTABLE RURAL SECTOR EL PARRON - PONIENTE , COMUNA DE TUCAPEL</v>
      </c>
      <c r="C88" s="10" t="str">
        <f ca="1">IFERROR(__xludf.DUMMYFUNCTION("""COMPUTED_VALUE"""),"8312200706-C [FET]")</f>
        <v>8312200706-C [FET]</v>
      </c>
      <c r="D88" s="26" t="str">
        <f t="shared" ca="1" si="0"/>
        <v xml:space="preserve"> TUCAPEL</v>
      </c>
      <c r="E88" s="10" t="str">
        <f ca="1">IFERROR(__xludf.DUMMYFUNCTION("""COMPUTED_VALUE"""),"Guía Operativa")</f>
        <v>Guía Operativa</v>
      </c>
      <c r="F88" s="10" t="str">
        <f ca="1">IFERROR(__xludf.DUMMYFUNCTION("""COMPUTED_VALUE"""),"MUNICIPALIDAD DE TUCAPEL")</f>
        <v>MUNICIPALIDAD DE TUCAPEL</v>
      </c>
      <c r="G88" s="71">
        <f ca="1">IFERROR(__xludf.DUMMYFUNCTION("""COMPUTED_VALUE"""),77045546)</f>
        <v>77045546</v>
      </c>
      <c r="H88" s="10" t="str">
        <f ca="1">IFERROR(__xludf.DUMMYFUNCTION("""COMPUTED_VALUE"""),"Resolución")</f>
        <v>Resolución</v>
      </c>
      <c r="I88" s="10" t="str">
        <f ca="1">IFERROR(__xludf.DUMMYFUNCTION("""COMPUTED_VALUE"""),"Obras")</f>
        <v>Obras</v>
      </c>
      <c r="J88" s="10" t="str">
        <f ca="1">IFERROR(__xludf.DUMMYFUNCTION("""COMPUTED_VALUE"""),"Cumplir con normativa y reglamentos internos del programa en base a los objetivos.")</f>
        <v>Cumplir con normativa y reglamentos internos del programa en base a los objetivos.</v>
      </c>
      <c r="K88" s="71">
        <f ca="1">IFERROR(__xludf.DUMMYFUNCTION("""COMPUTED_VALUE"""),77045546)</f>
        <v>77045546</v>
      </c>
      <c r="L88" s="27">
        <f ca="1">IFERROR(__xludf.DUMMYFUNCTION("""COMPUTED_VALUE"""),1)</f>
        <v>1</v>
      </c>
      <c r="M88" s="10" t="str">
        <f ca="1">IFERROR(__xludf.DUMMYFUNCTION("""COMPUTED_VALUE"""),"3378/2021")</f>
        <v>3378/2021</v>
      </c>
      <c r="N88" s="10" t="str">
        <f ca="1">IFERROR(__xludf.DUMMYFUNCTION("""COMPUTED_VALUE"""),"PMB")</f>
        <v>PMB</v>
      </c>
      <c r="O88" s="59"/>
      <c r="P88" s="1"/>
      <c r="Q88" s="1"/>
      <c r="R88" s="1"/>
      <c r="S88" s="1"/>
      <c r="T88" s="1"/>
      <c r="U88" s="1"/>
      <c r="V88" s="1"/>
      <c r="W88" s="1"/>
      <c r="X88" s="1"/>
      <c r="Y88" s="1"/>
      <c r="Z88" s="1"/>
      <c r="AA88" s="1"/>
    </row>
    <row r="89" spans="1:27" ht="12.75" customHeight="1">
      <c r="A89" s="1"/>
      <c r="B89" s="10" t="str">
        <f ca="1">IFERROR(__xludf.DUMMYFUNCTION("""COMPUTED_VALUE"""),"AMPLIACION DEL SISTEMA DE AGUA POTABLE RURAL LOCALIDAD CHULCHUY, COMUNA DE PUQUELDON")</f>
        <v>AMPLIACION DEL SISTEMA DE AGUA POTABLE RURAL LOCALIDAD CHULCHUY, COMUNA DE PUQUELDON</v>
      </c>
      <c r="C89" s="10" t="str">
        <f ca="1">IFERROR(__xludf.DUMMYFUNCTION("""COMPUTED_VALUE"""),"10206230703-C")</f>
        <v>10206230703-C</v>
      </c>
      <c r="D89" s="26" t="str">
        <f t="shared" ca="1" si="0"/>
        <v xml:space="preserve"> PUQUELDÓN</v>
      </c>
      <c r="E89" s="10" t="str">
        <f ca="1">IFERROR(__xludf.DUMMYFUNCTION("""COMPUTED_VALUE"""),"Guía Operativa")</f>
        <v>Guía Operativa</v>
      </c>
      <c r="F89" s="10" t="str">
        <f ca="1">IFERROR(__xludf.DUMMYFUNCTION("""COMPUTED_VALUE"""),"MUNICIPALIDAD DE PUQUELDÓN")</f>
        <v>MUNICIPALIDAD DE PUQUELDÓN</v>
      </c>
      <c r="G89" s="71">
        <f ca="1">IFERROR(__xludf.DUMMYFUNCTION("""COMPUTED_VALUE"""),146078832)</f>
        <v>146078832</v>
      </c>
      <c r="H89" s="10" t="str">
        <f ca="1">IFERROR(__xludf.DUMMYFUNCTION("""COMPUTED_VALUE"""),"Resolución")</f>
        <v>Resolución</v>
      </c>
      <c r="I89" s="10" t="str">
        <f ca="1">IFERROR(__xludf.DUMMYFUNCTION("""COMPUTED_VALUE"""),"Obra")</f>
        <v>Obra</v>
      </c>
      <c r="J89" s="10" t="str">
        <f ca="1">IFERROR(__xludf.DUMMYFUNCTION("""COMPUTED_VALUE"""),"Cumplir con normativa y reglamentos internos del programa en base a los objetivos.")</f>
        <v>Cumplir con normativa y reglamentos internos del programa en base a los objetivos.</v>
      </c>
      <c r="K89" s="71">
        <f ca="1">IFERROR(__xludf.DUMMYFUNCTION("""COMPUTED_VALUE"""),146078832)</f>
        <v>146078832</v>
      </c>
      <c r="L89" s="27">
        <f ca="1">IFERROR(__xludf.DUMMYFUNCTION("""COMPUTED_VALUE"""),1)</f>
        <v>1</v>
      </c>
      <c r="M89" s="10" t="str">
        <f ca="1">IFERROR(__xludf.DUMMYFUNCTION("""COMPUTED_VALUE"""),"4660/2024")</f>
        <v>4660/2024</v>
      </c>
      <c r="N89" s="10" t="str">
        <f ca="1">IFERROR(__xludf.DUMMYFUNCTION("""COMPUTED_VALUE"""),"PMB")</f>
        <v>PMB</v>
      </c>
      <c r="O89" s="59"/>
      <c r="P89" s="1"/>
      <c r="Q89" s="1"/>
      <c r="R89" s="1"/>
      <c r="S89" s="1"/>
      <c r="T89" s="1"/>
      <c r="U89" s="1"/>
      <c r="V89" s="1"/>
      <c r="W89" s="1"/>
      <c r="X89" s="1"/>
      <c r="Y89" s="1"/>
      <c r="Z89" s="1"/>
      <c r="AA89" s="1"/>
    </row>
    <row r="90" spans="1:27" ht="12.75" customHeight="1">
      <c r="A90" s="1"/>
      <c r="B90" s="10" t="str">
        <f ca="1">IFERROR(__xludf.DUMMYFUNCTION("""COMPUTED_VALUE"""),"CONSTRUCCIÓN RED DE AGUA POTABLE SECTOR SANTA MARTA, MAIPÚ")</f>
        <v>CONSTRUCCIÓN RED DE AGUA POTABLE SECTOR SANTA MARTA, MAIPÚ</v>
      </c>
      <c r="C90" s="10" t="str">
        <f ca="1">IFERROR(__xludf.DUMMYFUNCTION("""COMPUTED_VALUE"""),"13119230701-C")</f>
        <v>13119230701-C</v>
      </c>
      <c r="D90" s="26" t="str">
        <f t="shared" ca="1" si="0"/>
        <v xml:space="preserve"> MAIPÚ</v>
      </c>
      <c r="E90" s="10" t="str">
        <f ca="1">IFERROR(__xludf.DUMMYFUNCTION("""COMPUTED_VALUE"""),"Guía Operativa")</f>
        <v>Guía Operativa</v>
      </c>
      <c r="F90" s="10" t="str">
        <f ca="1">IFERROR(__xludf.DUMMYFUNCTION("""COMPUTED_VALUE"""),"MUNICIPALIDAD DE MAIPÚ")</f>
        <v>MUNICIPALIDAD DE MAIPÚ</v>
      </c>
      <c r="G90" s="71">
        <f ca="1">IFERROR(__xludf.DUMMYFUNCTION("""COMPUTED_VALUE"""),124957575)</f>
        <v>124957575</v>
      </c>
      <c r="H90" s="10" t="str">
        <f ca="1">IFERROR(__xludf.DUMMYFUNCTION("""COMPUTED_VALUE"""),"Resolución")</f>
        <v>Resolución</v>
      </c>
      <c r="I90" s="10" t="str">
        <f ca="1">IFERROR(__xludf.DUMMYFUNCTION("""COMPUTED_VALUE"""),"Obra")</f>
        <v>Obra</v>
      </c>
      <c r="J90" s="10" t="str">
        <f ca="1">IFERROR(__xludf.DUMMYFUNCTION("""COMPUTED_VALUE"""),"Cumplir con normativa y reglamentos internos del programa en base a los objetivos.")</f>
        <v>Cumplir con normativa y reglamentos internos del programa en base a los objetivos.</v>
      </c>
      <c r="K90" s="71">
        <f ca="1">IFERROR(__xludf.DUMMYFUNCTION("""COMPUTED_VALUE"""),124957575)</f>
        <v>124957575</v>
      </c>
      <c r="L90" s="27">
        <f ca="1">IFERROR(__xludf.DUMMYFUNCTION("""COMPUTED_VALUE"""),1)</f>
        <v>1</v>
      </c>
      <c r="M90" s="10" t="str">
        <f ca="1">IFERROR(__xludf.DUMMYFUNCTION("""COMPUTED_VALUE"""),"4379/2024")</f>
        <v>4379/2024</v>
      </c>
      <c r="N90" s="10" t="str">
        <f ca="1">IFERROR(__xludf.DUMMYFUNCTION("""COMPUTED_VALUE"""),"PMB")</f>
        <v>PMB</v>
      </c>
      <c r="O90" s="59"/>
      <c r="P90" s="1"/>
      <c r="Q90" s="1"/>
      <c r="R90" s="1"/>
      <c r="S90" s="1"/>
      <c r="T90" s="1"/>
      <c r="U90" s="1"/>
      <c r="V90" s="1"/>
      <c r="W90" s="1"/>
      <c r="X90" s="1"/>
      <c r="Y90" s="1"/>
      <c r="Z90" s="1"/>
      <c r="AA90" s="1"/>
    </row>
    <row r="91" spans="1:27" ht="12.75" customHeight="1">
      <c r="A91" s="1"/>
      <c r="B91" s="10" t="str">
        <f ca="1">IFERROR(__xludf.DUMMYFUNCTION("""COMPUTED_VALUE"""),"[SATE] INSTALACION DE AGUA POTABLE Y ALCANTARILLADO PARA DISTINTAS PROPIEDADES SIN SERVICIO SANITARIO, COMUNA DE LA CISTERNA")</f>
        <v>[SATE] INSTALACION DE AGUA POTABLE Y ALCANTARILLADO PARA DISTINTAS PROPIEDADES SIN SERVICIO SANITARIO, COMUNA DE LA CISTERNA</v>
      </c>
      <c r="C91" s="10" t="str">
        <f ca="1">IFERROR(__xludf.DUMMYFUNCTION("""COMPUTED_VALUE"""),"13109230701-C")</f>
        <v>13109230701-C</v>
      </c>
      <c r="D91" s="26" t="str">
        <f t="shared" ca="1" si="0"/>
        <v xml:space="preserve"> LA CISTERNA</v>
      </c>
      <c r="E91" s="10" t="str">
        <f ca="1">IFERROR(__xludf.DUMMYFUNCTION("""COMPUTED_VALUE"""),"Guía Operativa")</f>
        <v>Guía Operativa</v>
      </c>
      <c r="F91" s="10" t="str">
        <f ca="1">IFERROR(__xludf.DUMMYFUNCTION("""COMPUTED_VALUE"""),"MUNICIPALIDAD DE LA CISTERNA")</f>
        <v>MUNICIPALIDAD DE LA CISTERNA</v>
      </c>
      <c r="G91" s="71">
        <f ca="1">IFERROR(__xludf.DUMMYFUNCTION("""COMPUTED_VALUE"""),195631485)</f>
        <v>195631485</v>
      </c>
      <c r="H91" s="10" t="str">
        <f ca="1">IFERROR(__xludf.DUMMYFUNCTION("""COMPUTED_VALUE"""),"Resolución")</f>
        <v>Resolución</v>
      </c>
      <c r="I91" s="10" t="str">
        <f ca="1">IFERROR(__xludf.DUMMYFUNCTION("""COMPUTED_VALUE"""),"Obra")</f>
        <v>Obra</v>
      </c>
      <c r="J91" s="10" t="str">
        <f ca="1">IFERROR(__xludf.DUMMYFUNCTION("""COMPUTED_VALUE"""),"Cumplir con normativa y reglamentos internos del programa en base a los objetivos.")</f>
        <v>Cumplir con normativa y reglamentos internos del programa en base a los objetivos.</v>
      </c>
      <c r="K91" s="71">
        <f ca="1">IFERROR(__xludf.DUMMYFUNCTION("""COMPUTED_VALUE"""),195631485)</f>
        <v>195631485</v>
      </c>
      <c r="L91" s="27">
        <f ca="1">IFERROR(__xludf.DUMMYFUNCTION("""COMPUTED_VALUE"""),1)</f>
        <v>1</v>
      </c>
      <c r="M91" s="10" t="str">
        <f ca="1">IFERROR(__xludf.DUMMYFUNCTION("""COMPUTED_VALUE"""),"4384/2024")</f>
        <v>4384/2024</v>
      </c>
      <c r="N91" s="10" t="str">
        <f ca="1">IFERROR(__xludf.DUMMYFUNCTION("""COMPUTED_VALUE"""),"PMB")</f>
        <v>PMB</v>
      </c>
      <c r="O91" s="59"/>
      <c r="P91" s="1"/>
      <c r="Q91" s="1"/>
      <c r="R91" s="1"/>
      <c r="S91" s="1"/>
      <c r="T91" s="1"/>
      <c r="U91" s="1"/>
      <c r="V91" s="1"/>
      <c r="W91" s="1"/>
      <c r="X91" s="1"/>
      <c r="Y91" s="1"/>
      <c r="Z91" s="1"/>
      <c r="AA91" s="1"/>
    </row>
    <row r="92" spans="1:27" ht="12.75" customHeight="1">
      <c r="A92" s="1"/>
      <c r="B92" s="10" t="str">
        <f ca="1">IFERROR(__xludf.DUMMYFUNCTION("""COMPUTED_VALUE"""),"ASISTENCIA LEGAL PARA PROYECTOS CON FINANCIAMIENTO SUBDERE COMUNA DE LOS LAGOS")</f>
        <v>ASISTENCIA LEGAL PARA PROYECTOS CON FINANCIAMIENTO SUBDERE COMUNA DE LOS LAGOS</v>
      </c>
      <c r="C92" s="10" t="str">
        <f ca="1">IFERROR(__xludf.DUMMYFUNCTION("""COMPUTED_VALUE"""),"14104230601-C")</f>
        <v>14104230601-C</v>
      </c>
      <c r="D92" s="26" t="str">
        <f t="shared" ca="1" si="0"/>
        <v xml:space="preserve"> LOS LAGOS</v>
      </c>
      <c r="E92" s="10" t="str">
        <f ca="1">IFERROR(__xludf.DUMMYFUNCTION("""COMPUTED_VALUE"""),"Guía Operativa")</f>
        <v>Guía Operativa</v>
      </c>
      <c r="F92" s="10" t="str">
        <f ca="1">IFERROR(__xludf.DUMMYFUNCTION("""COMPUTED_VALUE"""),"MUNICIPALIDAD DE LOS LAGOS")</f>
        <v>MUNICIPALIDAD DE LOS LAGOS</v>
      </c>
      <c r="G92" s="71">
        <f ca="1">IFERROR(__xludf.DUMMYFUNCTION("""COMPUTED_VALUE"""),18000000)</f>
        <v>18000000</v>
      </c>
      <c r="H92" s="10" t="str">
        <f ca="1">IFERROR(__xludf.DUMMYFUNCTION("""COMPUTED_VALUE"""),"Resolución")</f>
        <v>Resolución</v>
      </c>
      <c r="I92" s="10" t="str">
        <f ca="1">IFERROR(__xludf.DUMMYFUNCTION("""COMPUTED_VALUE"""),"Asistencia Legal")</f>
        <v>Asistencia Legal</v>
      </c>
      <c r="J92" s="10" t="str">
        <f ca="1">IFERROR(__xludf.DUMMYFUNCTION("""COMPUTED_VALUE"""),"Cumplir con normativa y reglamentos internos del programa en base a los objetivos.")</f>
        <v>Cumplir con normativa y reglamentos internos del programa en base a los objetivos.</v>
      </c>
      <c r="K92" s="71">
        <f ca="1">IFERROR(__xludf.DUMMYFUNCTION("""COMPUTED_VALUE"""),18000000)</f>
        <v>18000000</v>
      </c>
      <c r="L92" s="27">
        <f ca="1">IFERROR(__xludf.DUMMYFUNCTION("""COMPUTED_VALUE"""),1)</f>
        <v>1</v>
      </c>
      <c r="M92" s="10" t="str">
        <f ca="1">IFERROR(__xludf.DUMMYFUNCTION("""COMPUTED_VALUE"""),"4909/2024")</f>
        <v>4909/2024</v>
      </c>
      <c r="N92" s="10" t="str">
        <f ca="1">IFERROR(__xludf.DUMMYFUNCTION("""COMPUTED_VALUE"""),"PMB")</f>
        <v>PMB</v>
      </c>
      <c r="O92" s="59"/>
      <c r="P92" s="1"/>
      <c r="Q92" s="1"/>
      <c r="R92" s="1"/>
      <c r="S92" s="1"/>
      <c r="T92" s="1"/>
      <c r="U92" s="1"/>
      <c r="V92" s="1"/>
      <c r="W92" s="1"/>
      <c r="X92" s="1"/>
      <c r="Y92" s="1"/>
      <c r="Z92" s="1"/>
      <c r="AA92" s="1"/>
    </row>
    <row r="93" spans="1:27" ht="12.75" customHeight="1">
      <c r="A93" s="1"/>
      <c r="B93" s="10" t="str">
        <f ca="1">IFERROR(__xludf.DUMMYFUNCTION("""COMPUTED_VALUE"""),"(SATE) PROGRAMA PILOTO COMPOSTAJE DOMICILIARIO COMUNA DE QUELLÓN")</f>
        <v>(SATE) PROGRAMA PILOTO COMPOSTAJE DOMICILIARIO COMUNA DE QUELLÓN</v>
      </c>
      <c r="C93" s="10" t="str">
        <f ca="1">IFERROR(__xludf.DUMMYFUNCTION("""COMPUTED_VALUE"""),"10208221501-C")</f>
        <v>10208221501-C</v>
      </c>
      <c r="D93" s="26" t="str">
        <f t="shared" ca="1" si="0"/>
        <v xml:space="preserve"> QUELLÓN</v>
      </c>
      <c r="E93" s="10" t="str">
        <f ca="1">IFERROR(__xludf.DUMMYFUNCTION("""COMPUTED_VALUE"""),"Guía Operativa")</f>
        <v>Guía Operativa</v>
      </c>
      <c r="F93" s="10" t="str">
        <f ca="1">IFERROR(__xludf.DUMMYFUNCTION("""COMPUTED_VALUE"""),"MUNICIPALIDAD DE QUELLÓN")</f>
        <v>MUNICIPALIDAD DE QUELLÓN</v>
      </c>
      <c r="G93" s="71">
        <f ca="1">IFERROR(__xludf.DUMMYFUNCTION("""COMPUTED_VALUE"""),239785000)</f>
        <v>239785000</v>
      </c>
      <c r="H93" s="10" t="str">
        <f ca="1">IFERROR(__xludf.DUMMYFUNCTION("""COMPUTED_VALUE"""),"Resolución")</f>
        <v>Resolución</v>
      </c>
      <c r="I93" s="10" t="str">
        <f ca="1">IFERROR(__xludf.DUMMYFUNCTION("""COMPUTED_VALUE"""),"Valorización de Residuos")</f>
        <v>Valorización de Residuos</v>
      </c>
      <c r="J93" s="10" t="str">
        <f ca="1">IFERROR(__xludf.DUMMYFUNCTION("""COMPUTED_VALUE"""),"Cumplir con normativa y reglamentos internos del programa en base a los objetivos.")</f>
        <v>Cumplir con normativa y reglamentos internos del programa en base a los objetivos.</v>
      </c>
      <c r="K93" s="71">
        <f ca="1">IFERROR(__xludf.DUMMYFUNCTION("""COMPUTED_VALUE"""),239785000)</f>
        <v>239785000</v>
      </c>
      <c r="L93" s="27">
        <f ca="1">IFERROR(__xludf.DUMMYFUNCTION("""COMPUTED_VALUE"""),1)</f>
        <v>1</v>
      </c>
      <c r="M93" s="10" t="str">
        <f ca="1">IFERROR(__xludf.DUMMYFUNCTION("""COMPUTED_VALUE"""),"5103/2024")</f>
        <v>5103/2024</v>
      </c>
      <c r="N93" s="10" t="str">
        <f ca="1">IFERROR(__xludf.DUMMYFUNCTION("""COMPUTED_VALUE"""),"PMB")</f>
        <v>PMB</v>
      </c>
      <c r="O93" s="59"/>
      <c r="P93" s="1"/>
      <c r="Q93" s="1"/>
      <c r="R93" s="1"/>
      <c r="S93" s="1"/>
      <c r="T93" s="1"/>
      <c r="U93" s="1"/>
      <c r="V93" s="1"/>
      <c r="W93" s="1"/>
      <c r="X93" s="1"/>
      <c r="Y93" s="1"/>
      <c r="Z93" s="1"/>
      <c r="AA93" s="1"/>
    </row>
    <row r="94" spans="1:27" ht="12.75" customHeight="1">
      <c r="A94" s="1"/>
      <c r="B94" s="10" t="str">
        <f ca="1">IFERROR(__xludf.DUMMYFUNCTION("""COMPUTED_VALUE"""),"ASISTENCIA TÉCNICA PARA GENERACIÓN DE PROYECTOS DE SANEAMIENTO SANITARIO, PURRANQUE")</f>
        <v>ASISTENCIA TÉCNICA PARA GENERACIÓN DE PROYECTOS DE SANEAMIENTO SANITARIO, PURRANQUE</v>
      </c>
      <c r="C94" s="10" t="str">
        <f ca="1">IFERROR(__xludf.DUMMYFUNCTION("""COMPUTED_VALUE"""),"10303231001-C")</f>
        <v>10303231001-C</v>
      </c>
      <c r="D94" s="26" t="str">
        <f t="shared" ca="1" si="0"/>
        <v xml:space="preserve"> PURRANQUE</v>
      </c>
      <c r="E94" s="10" t="str">
        <f ca="1">IFERROR(__xludf.DUMMYFUNCTION("""COMPUTED_VALUE"""),"Guía Operativa")</f>
        <v>Guía Operativa</v>
      </c>
      <c r="F94" s="10" t="str">
        <f ca="1">IFERROR(__xludf.DUMMYFUNCTION("""COMPUTED_VALUE"""),"MUNICIPALIDAD DE PURRANQUE")</f>
        <v>MUNICIPALIDAD DE PURRANQUE</v>
      </c>
      <c r="G94" s="71">
        <f ca="1">IFERROR(__xludf.DUMMYFUNCTION("""COMPUTED_VALUE"""),54600000)</f>
        <v>54600000</v>
      </c>
      <c r="H94" s="10" t="str">
        <f ca="1">IFERROR(__xludf.DUMMYFUNCTION("""COMPUTED_VALUE"""),"Resolución")</f>
        <v>Resolución</v>
      </c>
      <c r="I94" s="10" t="str">
        <f ca="1">IFERROR(__xludf.DUMMYFUNCTION("""COMPUTED_VALUE"""),"Asistencia Técnica")</f>
        <v>Asistencia Técnica</v>
      </c>
      <c r="J94" s="10" t="str">
        <f ca="1">IFERROR(__xludf.DUMMYFUNCTION("""COMPUTED_VALUE"""),"Cumplir con normativa y reglamentos internos del programa en base a los objetivos.")</f>
        <v>Cumplir con normativa y reglamentos internos del programa en base a los objetivos.</v>
      </c>
      <c r="K94" s="71">
        <f ca="1">IFERROR(__xludf.DUMMYFUNCTION("""COMPUTED_VALUE"""),54600000)</f>
        <v>54600000</v>
      </c>
      <c r="L94" s="27">
        <f ca="1">IFERROR(__xludf.DUMMYFUNCTION("""COMPUTED_VALUE"""),1)</f>
        <v>1</v>
      </c>
      <c r="M94" s="10" t="str">
        <f ca="1">IFERROR(__xludf.DUMMYFUNCTION("""COMPUTED_VALUE"""),"5385/2024")</f>
        <v>5385/2024</v>
      </c>
      <c r="N94" s="10" t="str">
        <f ca="1">IFERROR(__xludf.DUMMYFUNCTION("""COMPUTED_VALUE"""),"PMB")</f>
        <v>PMB</v>
      </c>
      <c r="O94" s="59"/>
      <c r="P94" s="1"/>
      <c r="Q94" s="1"/>
      <c r="R94" s="1"/>
      <c r="S94" s="1"/>
      <c r="T94" s="1"/>
      <c r="U94" s="1"/>
      <c r="V94" s="1"/>
      <c r="W94" s="1"/>
      <c r="X94" s="1"/>
      <c r="Y94" s="1"/>
      <c r="Z94" s="1"/>
      <c r="AA94" s="1"/>
    </row>
    <row r="95" spans="1:27" ht="12.75" customHeight="1">
      <c r="A95" s="1"/>
      <c r="B95" s="10" t="str">
        <f ca="1">IFERROR(__xludf.DUMMYFUNCTION("""COMPUTED_VALUE"""),"ASISTENCIA TÉCNICA PARA LA GESTIÓN DE RESIDUOS SÓLIDOS COMUNA DE PUQUELDÓN")</f>
        <v>ASISTENCIA TÉCNICA PARA LA GESTIÓN DE RESIDUOS SÓLIDOS COMUNA DE PUQUELDÓN</v>
      </c>
      <c r="C95" s="10" t="str">
        <f ca="1">IFERROR(__xludf.DUMMYFUNCTION("""COMPUTED_VALUE"""),"10206231002-C")</f>
        <v>10206231002-C</v>
      </c>
      <c r="D95" s="26" t="str">
        <f t="shared" ca="1" si="0"/>
        <v xml:space="preserve"> PUQUELDÓN</v>
      </c>
      <c r="E95" s="10" t="str">
        <f ca="1">IFERROR(__xludf.DUMMYFUNCTION("""COMPUTED_VALUE"""),"Guía Operativa")</f>
        <v>Guía Operativa</v>
      </c>
      <c r="F95" s="10" t="str">
        <f ca="1">IFERROR(__xludf.DUMMYFUNCTION("""COMPUTED_VALUE"""),"MUNICIPALIDAD DE PUQUELDÓN")</f>
        <v>MUNICIPALIDAD DE PUQUELDÓN</v>
      </c>
      <c r="G95" s="71">
        <f ca="1">IFERROR(__xludf.DUMMYFUNCTION("""COMPUTED_VALUE"""),22800000)</f>
        <v>22800000</v>
      </c>
      <c r="H95" s="10" t="str">
        <f ca="1">IFERROR(__xludf.DUMMYFUNCTION("""COMPUTED_VALUE"""),"Resolución")</f>
        <v>Resolución</v>
      </c>
      <c r="I95" s="10" t="str">
        <f ca="1">IFERROR(__xludf.DUMMYFUNCTION("""COMPUTED_VALUE"""),"Asistencia Técnica")</f>
        <v>Asistencia Técnica</v>
      </c>
      <c r="J95" s="10" t="str">
        <f ca="1">IFERROR(__xludf.DUMMYFUNCTION("""COMPUTED_VALUE"""),"Cumplir con normativa y reglamentos internos del programa en base a los objetivos.")</f>
        <v>Cumplir con normativa y reglamentos internos del programa en base a los objetivos.</v>
      </c>
      <c r="K95" s="71">
        <f ca="1">IFERROR(__xludf.DUMMYFUNCTION("""COMPUTED_VALUE"""),22800000)</f>
        <v>22800000</v>
      </c>
      <c r="L95" s="27">
        <f ca="1">IFERROR(__xludf.DUMMYFUNCTION("""COMPUTED_VALUE"""),1)</f>
        <v>1</v>
      </c>
      <c r="M95" s="10" t="str">
        <f ca="1">IFERROR(__xludf.DUMMYFUNCTION("""COMPUTED_VALUE"""),"4661/2024")</f>
        <v>4661/2024</v>
      </c>
      <c r="N95" s="10" t="str">
        <f ca="1">IFERROR(__xludf.DUMMYFUNCTION("""COMPUTED_VALUE"""),"PMB")</f>
        <v>PMB</v>
      </c>
      <c r="O95" s="59"/>
      <c r="P95" s="1"/>
      <c r="Q95" s="1"/>
      <c r="R95" s="1"/>
      <c r="S95" s="1"/>
      <c r="T95" s="1"/>
      <c r="U95" s="1"/>
      <c r="V95" s="1"/>
      <c r="W95" s="1"/>
      <c r="X95" s="1"/>
      <c r="Y95" s="1"/>
      <c r="Z95" s="1"/>
      <c r="AA95" s="1"/>
    </row>
    <row r="96" spans="1:27" ht="12.75" customHeight="1">
      <c r="A96" s="1"/>
      <c r="B96" s="10" t="str">
        <f ca="1">IFERROR(__xludf.DUMMYFUNCTION("""COMPUTED_VALUE"""),"ASISTENCIA TECNICA PROFESIONAL PARA PROYECTOS DE RESIDUOS SOLIDOS.")</f>
        <v>ASISTENCIA TECNICA PROFESIONAL PARA PROYECTOS DE RESIDUOS SOLIDOS.</v>
      </c>
      <c r="C96" s="10" t="str">
        <f ca="1">IFERROR(__xludf.DUMMYFUNCTION("""COMPUTED_VALUE"""),"14102231001-C")</f>
        <v>14102231001-C</v>
      </c>
      <c r="D96" s="26" t="str">
        <f t="shared" ca="1" si="0"/>
        <v xml:space="preserve"> CORRAL</v>
      </c>
      <c r="E96" s="10" t="str">
        <f ca="1">IFERROR(__xludf.DUMMYFUNCTION("""COMPUTED_VALUE"""),"Guía Operativa")</f>
        <v>Guía Operativa</v>
      </c>
      <c r="F96" s="10" t="str">
        <f ca="1">IFERROR(__xludf.DUMMYFUNCTION("""COMPUTED_VALUE"""),"MUNICIPALIDAD DE CORRAL")</f>
        <v>MUNICIPALIDAD DE CORRAL</v>
      </c>
      <c r="G96" s="71">
        <f ca="1">IFERROR(__xludf.DUMMYFUNCTION("""COMPUTED_VALUE"""),24684000)</f>
        <v>24684000</v>
      </c>
      <c r="H96" s="10" t="str">
        <f ca="1">IFERROR(__xludf.DUMMYFUNCTION("""COMPUTED_VALUE"""),"Resolución")</f>
        <v>Resolución</v>
      </c>
      <c r="I96" s="10" t="str">
        <f ca="1">IFERROR(__xludf.DUMMYFUNCTION("""COMPUTED_VALUE"""),"Asistencia Técnica")</f>
        <v>Asistencia Técnica</v>
      </c>
      <c r="J96" s="10" t="str">
        <f ca="1">IFERROR(__xludf.DUMMYFUNCTION("""COMPUTED_VALUE"""),"Cumplir con normativa y reglamentos internos del programa en base a los objetivos.")</f>
        <v>Cumplir con normativa y reglamentos internos del programa en base a los objetivos.</v>
      </c>
      <c r="K96" s="71">
        <f ca="1">IFERROR(__xludf.DUMMYFUNCTION("""COMPUTED_VALUE"""),24684000)</f>
        <v>24684000</v>
      </c>
      <c r="L96" s="27">
        <f ca="1">IFERROR(__xludf.DUMMYFUNCTION("""COMPUTED_VALUE"""),1)</f>
        <v>1</v>
      </c>
      <c r="M96" s="10" t="str">
        <f ca="1">IFERROR(__xludf.DUMMYFUNCTION("""COMPUTED_VALUE"""),"5085/2024")</f>
        <v>5085/2024</v>
      </c>
      <c r="N96" s="10" t="str">
        <f ca="1">IFERROR(__xludf.DUMMYFUNCTION("""COMPUTED_VALUE"""),"PMB")</f>
        <v>PMB</v>
      </c>
      <c r="O96" s="59"/>
      <c r="P96" s="1"/>
      <c r="Q96" s="1"/>
      <c r="R96" s="1"/>
      <c r="S96" s="1"/>
      <c r="T96" s="1"/>
      <c r="U96" s="1"/>
      <c r="V96" s="1"/>
      <c r="W96" s="1"/>
      <c r="X96" s="1"/>
      <c r="Y96" s="1"/>
      <c r="Z96" s="1"/>
      <c r="AA96" s="1"/>
    </row>
    <row r="97" spans="1:27" ht="12.75" customHeight="1">
      <c r="A97" s="1"/>
      <c r="B97" s="10" t="str">
        <f ca="1">IFERROR(__xludf.DUMMYFUNCTION("""COMPUTED_VALUE"""),"ASISTENCIA LEGAL PARA POSTULACION PROYECTOS PMB, CONTULMO")</f>
        <v>ASISTENCIA LEGAL PARA POSTULACION PROYECTOS PMB, CONTULMO</v>
      </c>
      <c r="C97" s="10" t="str">
        <f ca="1">IFERROR(__xludf.DUMMYFUNCTION("""COMPUTED_VALUE"""),"8204230601-C")</f>
        <v>8204230601-C</v>
      </c>
      <c r="D97" s="26" t="str">
        <f t="shared" ca="1" si="0"/>
        <v xml:space="preserve"> CONTULMO</v>
      </c>
      <c r="E97" s="10" t="str">
        <f ca="1">IFERROR(__xludf.DUMMYFUNCTION("""COMPUTED_VALUE"""),"Guía Operativa")</f>
        <v>Guía Operativa</v>
      </c>
      <c r="F97" s="10" t="str">
        <f ca="1">IFERROR(__xludf.DUMMYFUNCTION("""COMPUTED_VALUE"""),"MUNICIPALIDAD DE CONTULMO")</f>
        <v>MUNICIPALIDAD DE CONTULMO</v>
      </c>
      <c r="G97" s="71">
        <f ca="1">IFERROR(__xludf.DUMMYFUNCTION("""COMPUTED_VALUE"""),20400000)</f>
        <v>20400000</v>
      </c>
      <c r="H97" s="10" t="str">
        <f ca="1">IFERROR(__xludf.DUMMYFUNCTION("""COMPUTED_VALUE"""),"Resolución")</f>
        <v>Resolución</v>
      </c>
      <c r="I97" s="10" t="str">
        <f ca="1">IFERROR(__xludf.DUMMYFUNCTION("""COMPUTED_VALUE"""),"Asistencia Legal")</f>
        <v>Asistencia Legal</v>
      </c>
      <c r="J97" s="10" t="str">
        <f ca="1">IFERROR(__xludf.DUMMYFUNCTION("""COMPUTED_VALUE"""),"Cumplir con normativa y reglamentos internos del programa en base a los objetivos.")</f>
        <v>Cumplir con normativa y reglamentos internos del programa en base a los objetivos.</v>
      </c>
      <c r="K97" s="71">
        <f ca="1">IFERROR(__xludf.DUMMYFUNCTION("""COMPUTED_VALUE"""),20400000)</f>
        <v>20400000</v>
      </c>
      <c r="L97" s="27">
        <f ca="1">IFERROR(__xludf.DUMMYFUNCTION("""COMPUTED_VALUE"""),1)</f>
        <v>1</v>
      </c>
      <c r="M97" s="10" t="str">
        <f ca="1">IFERROR(__xludf.DUMMYFUNCTION("""COMPUTED_VALUE"""),"5093/2024")</f>
        <v>5093/2024</v>
      </c>
      <c r="N97" s="10" t="str">
        <f ca="1">IFERROR(__xludf.DUMMYFUNCTION("""COMPUTED_VALUE"""),"PMB")</f>
        <v>PMB</v>
      </c>
      <c r="O97" s="59"/>
      <c r="P97" s="1"/>
      <c r="Q97" s="1"/>
      <c r="R97" s="1"/>
      <c r="S97" s="1"/>
      <c r="T97" s="1"/>
      <c r="U97" s="1"/>
      <c r="V97" s="1"/>
      <c r="W97" s="1"/>
      <c r="X97" s="1"/>
      <c r="Y97" s="1"/>
      <c r="Z97" s="1"/>
      <c r="AA97" s="1"/>
    </row>
    <row r="98" spans="1:27" ht="12.75" customHeight="1">
      <c r="A98" s="1"/>
      <c r="B98" s="10" t="str">
        <f ca="1">IFERROR(__xludf.DUMMYFUNCTION("""COMPUTED_VALUE"""),"ASIST. TÉCNICA PARA LA GENERACIÓN DE PROYECTOS SUBDERE DE INFRAESTRUCTURA MENOR URBANA Y EQUIPAMIENTO COMUNAL")</f>
        <v>ASIST. TÉCNICA PARA LA GENERACIÓN DE PROYECTOS SUBDERE DE INFRAESTRUCTURA MENOR URBANA Y EQUIPAMIENTO COMUNAL</v>
      </c>
      <c r="C98" s="10" t="str">
        <f ca="1">IFERROR(__xludf.DUMMYFUNCTION("""COMPUTED_VALUE"""),"8205231001-C")</f>
        <v>8205231001-C</v>
      </c>
      <c r="D98" s="26" t="str">
        <f t="shared" ca="1" si="0"/>
        <v xml:space="preserve"> CURANILAHUE</v>
      </c>
      <c r="E98" s="10" t="str">
        <f ca="1">IFERROR(__xludf.DUMMYFUNCTION("""COMPUTED_VALUE"""),"Guía Operativa")</f>
        <v>Guía Operativa</v>
      </c>
      <c r="F98" s="10" t="str">
        <f ca="1">IFERROR(__xludf.DUMMYFUNCTION("""COMPUTED_VALUE"""),"MUNICIPALIDAD DE CURANILAHUE")</f>
        <v>MUNICIPALIDAD DE CURANILAHUE</v>
      </c>
      <c r="G98" s="71">
        <f ca="1">IFERROR(__xludf.DUMMYFUNCTION("""COMPUTED_VALUE"""),69600000)</f>
        <v>69600000</v>
      </c>
      <c r="H98" s="10" t="str">
        <f ca="1">IFERROR(__xludf.DUMMYFUNCTION("""COMPUTED_VALUE"""),"Resolución")</f>
        <v>Resolución</v>
      </c>
      <c r="I98" s="10" t="str">
        <f ca="1">IFERROR(__xludf.DUMMYFUNCTION("""COMPUTED_VALUE"""),"Asistencia Técnica")</f>
        <v>Asistencia Técnica</v>
      </c>
      <c r="J98" s="10" t="str">
        <f ca="1">IFERROR(__xludf.DUMMYFUNCTION("""COMPUTED_VALUE"""),"Cumplir con normativa y reglamentos internos del programa en base a los objetivos.")</f>
        <v>Cumplir con normativa y reglamentos internos del programa en base a los objetivos.</v>
      </c>
      <c r="K98" s="71">
        <f ca="1">IFERROR(__xludf.DUMMYFUNCTION("""COMPUTED_VALUE"""),69600000)</f>
        <v>69600000</v>
      </c>
      <c r="L98" s="27">
        <f ca="1">IFERROR(__xludf.DUMMYFUNCTION("""COMPUTED_VALUE"""),1)</f>
        <v>1</v>
      </c>
      <c r="M98" s="10" t="str">
        <f ca="1">IFERROR(__xludf.DUMMYFUNCTION("""COMPUTED_VALUE"""),"5297/2024")</f>
        <v>5297/2024</v>
      </c>
      <c r="N98" s="10" t="str">
        <f ca="1">IFERROR(__xludf.DUMMYFUNCTION("""COMPUTED_VALUE"""),"PMB")</f>
        <v>PMB</v>
      </c>
      <c r="O98" s="59"/>
      <c r="P98" s="1"/>
      <c r="Q98" s="1"/>
      <c r="R98" s="1"/>
      <c r="S98" s="1"/>
      <c r="T98" s="1"/>
      <c r="U98" s="1"/>
      <c r="V98" s="1"/>
      <c r="W98" s="1"/>
      <c r="X98" s="1"/>
      <c r="Y98" s="1"/>
      <c r="Z98" s="1"/>
      <c r="AA98" s="1"/>
    </row>
    <row r="99" spans="1:27" ht="12.75" customHeight="1">
      <c r="A99" s="1"/>
      <c r="B99" s="10" t="str">
        <f ca="1">IFERROR(__xludf.DUMMYFUNCTION("""COMPUTED_VALUE"""),"ASISTENCIA TÉCNICA PARA PROYECTOS DE SANEAMIENTO SANITARIO EN CALLE LIENTUR Y PASAJES LOS LAURELES B Y LOS ACACIOS")</f>
        <v>ASISTENCIA TÉCNICA PARA PROYECTOS DE SANEAMIENTO SANITARIO EN CALLE LIENTUR Y PASAJES LOS LAURELES B Y LOS ACACIOS</v>
      </c>
      <c r="C99" s="10" t="str">
        <f ca="1">IFERROR(__xludf.DUMMYFUNCTION("""COMPUTED_VALUE"""),"8205241002-C")</f>
        <v>8205241002-C</v>
      </c>
      <c r="D99" s="26" t="str">
        <f t="shared" ca="1" si="0"/>
        <v xml:space="preserve"> CURANILAHUE</v>
      </c>
      <c r="E99" s="10" t="str">
        <f ca="1">IFERROR(__xludf.DUMMYFUNCTION("""COMPUTED_VALUE"""),"Guía Operativa")</f>
        <v>Guía Operativa</v>
      </c>
      <c r="F99" s="10" t="str">
        <f ca="1">IFERROR(__xludf.DUMMYFUNCTION("""COMPUTED_VALUE"""),"MUNICIPALIDAD DE CURANILAHUE")</f>
        <v>MUNICIPALIDAD DE CURANILAHUE</v>
      </c>
      <c r="G99" s="71">
        <f ca="1">IFERROR(__xludf.DUMMYFUNCTION("""COMPUTED_VALUE"""),76800000)</f>
        <v>76800000</v>
      </c>
      <c r="H99" s="10" t="str">
        <f ca="1">IFERROR(__xludf.DUMMYFUNCTION("""COMPUTED_VALUE"""),"Resolución")</f>
        <v>Resolución</v>
      </c>
      <c r="I99" s="10" t="str">
        <f ca="1">IFERROR(__xludf.DUMMYFUNCTION("""COMPUTED_VALUE"""),"Asistencia Técnica")</f>
        <v>Asistencia Técnica</v>
      </c>
      <c r="J99" s="10" t="str">
        <f ca="1">IFERROR(__xludf.DUMMYFUNCTION("""COMPUTED_VALUE"""),"Cumplir con normativa y reglamentos internos del programa en base a los objetivos.")</f>
        <v>Cumplir con normativa y reglamentos internos del programa en base a los objetivos.</v>
      </c>
      <c r="K99" s="71">
        <f ca="1">IFERROR(__xludf.DUMMYFUNCTION("""COMPUTED_VALUE"""),76800000)</f>
        <v>76800000</v>
      </c>
      <c r="L99" s="27">
        <f ca="1">IFERROR(__xludf.DUMMYFUNCTION("""COMPUTED_VALUE"""),1)</f>
        <v>1</v>
      </c>
      <c r="M99" s="10" t="str">
        <f ca="1">IFERROR(__xludf.DUMMYFUNCTION("""COMPUTED_VALUE"""),"5297/2024")</f>
        <v>5297/2024</v>
      </c>
      <c r="N99" s="10" t="str">
        <f ca="1">IFERROR(__xludf.DUMMYFUNCTION("""COMPUTED_VALUE"""),"PMB")</f>
        <v>PMB</v>
      </c>
      <c r="O99" s="59"/>
      <c r="P99" s="1"/>
      <c r="Q99" s="1"/>
      <c r="R99" s="1"/>
      <c r="S99" s="1"/>
      <c r="T99" s="1"/>
      <c r="U99" s="1"/>
      <c r="V99" s="1"/>
      <c r="W99" s="1"/>
      <c r="X99" s="1"/>
      <c r="Y99" s="1"/>
      <c r="Z99" s="1"/>
      <c r="AA99" s="1"/>
    </row>
    <row r="100" spans="1:27" ht="12.75" customHeight="1">
      <c r="A100" s="1"/>
      <c r="B100" s="10" t="str">
        <f ca="1">IFERROR(__xludf.DUMMYFUNCTION("""COMPUTED_VALUE"""),"ASISTENCIA TÉCNICA PARA LA URBANIZACIÓN DE SECTORES CON INSTALACIONES SANITARIAS IRREGULARES EN LA ZONA URBANA, COMUNA DE LOS ÁLAMOS")</f>
        <v>ASISTENCIA TÉCNICA PARA LA URBANIZACIÓN DE SECTORES CON INSTALACIONES SANITARIAS IRREGULARES EN LA ZONA URBANA, COMUNA DE LOS ÁLAMOS</v>
      </c>
      <c r="C100" s="10" t="str">
        <f ca="1">IFERROR(__xludf.DUMMYFUNCTION("""COMPUTED_VALUE"""),"8206231002-C")</f>
        <v>8206231002-C</v>
      </c>
      <c r="D100" s="26" t="str">
        <f t="shared" ca="1" si="0"/>
        <v xml:space="preserve"> LOS ÁLAMOS</v>
      </c>
      <c r="E100" s="10" t="str">
        <f ca="1">IFERROR(__xludf.DUMMYFUNCTION("""COMPUTED_VALUE"""),"Guía Operativa")</f>
        <v>Guía Operativa</v>
      </c>
      <c r="F100" s="10" t="str">
        <f ca="1">IFERROR(__xludf.DUMMYFUNCTION("""COMPUTED_VALUE"""),"MUNICIPALIDAD DE LOS ÁLAMOS")</f>
        <v>MUNICIPALIDAD DE LOS ÁLAMOS</v>
      </c>
      <c r="G100" s="71">
        <f ca="1">IFERROR(__xludf.DUMMYFUNCTION("""COMPUTED_VALUE"""),27960000)</f>
        <v>27960000</v>
      </c>
      <c r="H100" s="10" t="str">
        <f ca="1">IFERROR(__xludf.DUMMYFUNCTION("""COMPUTED_VALUE"""),"Resolución")</f>
        <v>Resolución</v>
      </c>
      <c r="I100" s="10" t="str">
        <f ca="1">IFERROR(__xludf.DUMMYFUNCTION("""COMPUTED_VALUE"""),"Asistencia Técnica")</f>
        <v>Asistencia Técnica</v>
      </c>
      <c r="J100" s="10" t="str">
        <f ca="1">IFERROR(__xludf.DUMMYFUNCTION("""COMPUTED_VALUE"""),"Cumplir con normativa y reglamentos internos del programa en base a los objetivos.")</f>
        <v>Cumplir con normativa y reglamentos internos del programa en base a los objetivos.</v>
      </c>
      <c r="K100" s="71">
        <f ca="1">IFERROR(__xludf.DUMMYFUNCTION("""COMPUTED_VALUE"""),27960000)</f>
        <v>27960000</v>
      </c>
      <c r="L100" s="27">
        <f ca="1">IFERROR(__xludf.DUMMYFUNCTION("""COMPUTED_VALUE"""),1)</f>
        <v>1</v>
      </c>
      <c r="M100" s="10" t="str">
        <f ca="1">IFERROR(__xludf.DUMMYFUNCTION("""COMPUTED_VALUE"""),"4539/2024")</f>
        <v>4539/2024</v>
      </c>
      <c r="N100" s="10" t="str">
        <f ca="1">IFERROR(__xludf.DUMMYFUNCTION("""COMPUTED_VALUE"""),"PMB")</f>
        <v>PMB</v>
      </c>
      <c r="O100" s="59"/>
      <c r="P100" s="1"/>
      <c r="Q100" s="1"/>
      <c r="R100" s="1"/>
      <c r="S100" s="1"/>
      <c r="T100" s="1"/>
      <c r="U100" s="1"/>
      <c r="V100" s="1"/>
      <c r="W100" s="1"/>
      <c r="X100" s="1"/>
      <c r="Y100" s="1"/>
      <c r="Z100" s="1"/>
      <c r="AA100" s="1"/>
    </row>
    <row r="101" spans="1:27" ht="12.75" customHeight="1">
      <c r="A101" s="1"/>
      <c r="B101" s="10" t="str">
        <f ca="1">IFERROR(__xludf.DUMMYFUNCTION("""COMPUTED_VALUE"""),"CONSTRUCCIÓN SOLUCIONES SANITARIAS SANTA FILOMENA")</f>
        <v>CONSTRUCCIÓN SOLUCIONES SANITARIAS SANTA FILOMENA</v>
      </c>
      <c r="C101" s="10" t="str">
        <f ca="1">IFERROR(__xludf.DUMMYFUNCTION("""COMPUTED_VALUE"""),"7309240701-B")</f>
        <v>7309240701-B</v>
      </c>
      <c r="D101" s="26" t="str">
        <f t="shared" ca="1" si="0"/>
        <v xml:space="preserve"> VICHUQUÉN</v>
      </c>
      <c r="E101" s="10" t="str">
        <f ca="1">IFERROR(__xludf.DUMMYFUNCTION("""COMPUTED_VALUE"""),"Guía Operativa")</f>
        <v>Guía Operativa</v>
      </c>
      <c r="F101" s="10" t="str">
        <f ca="1">IFERROR(__xludf.DUMMYFUNCTION("""COMPUTED_VALUE"""),"MUNICIPALIDAD DE VICHUQUÉN")</f>
        <v>MUNICIPALIDAD DE VICHUQUÉN</v>
      </c>
      <c r="G101" s="71">
        <f ca="1">IFERROR(__xludf.DUMMYFUNCTION("""COMPUTED_VALUE"""),292620000)</f>
        <v>292620000</v>
      </c>
      <c r="H101" s="10" t="str">
        <f ca="1">IFERROR(__xludf.DUMMYFUNCTION("""COMPUTED_VALUE"""),"Resolución")</f>
        <v>Resolución</v>
      </c>
      <c r="I101" s="10" t="str">
        <f ca="1">IFERROR(__xludf.DUMMYFUNCTION("""COMPUTED_VALUE"""),"Obra")</f>
        <v>Obra</v>
      </c>
      <c r="J101" s="10" t="str">
        <f ca="1">IFERROR(__xludf.DUMMYFUNCTION("""COMPUTED_VALUE"""),"Cumplir con normativa y reglamentos internos del programa en base a los objetivos.")</f>
        <v>Cumplir con normativa y reglamentos internos del programa en base a los objetivos.</v>
      </c>
      <c r="K101" s="71">
        <f ca="1">IFERROR(__xludf.DUMMYFUNCTION("""COMPUTED_VALUE"""),292620000)</f>
        <v>292620000</v>
      </c>
      <c r="L101" s="27">
        <f ca="1">IFERROR(__xludf.DUMMYFUNCTION("""COMPUTED_VALUE"""),1)</f>
        <v>1</v>
      </c>
      <c r="M101" s="10" t="str">
        <f ca="1">IFERROR(__xludf.DUMMYFUNCTION("""COMPUTED_VALUE"""),"4383/2024")</f>
        <v>4383/2024</v>
      </c>
      <c r="N101" s="10" t="str">
        <f ca="1">IFERROR(__xludf.DUMMYFUNCTION("""COMPUTED_VALUE"""),"PMB")</f>
        <v>PMB</v>
      </c>
      <c r="O101" s="59"/>
      <c r="P101" s="1"/>
      <c r="Q101" s="1"/>
      <c r="R101" s="1"/>
      <c r="S101" s="1"/>
      <c r="T101" s="1"/>
      <c r="U101" s="1"/>
      <c r="V101" s="1"/>
      <c r="W101" s="1"/>
      <c r="X101" s="1"/>
      <c r="Y101" s="1"/>
      <c r="Z101" s="1"/>
      <c r="AA101" s="1"/>
    </row>
    <row r="102" spans="1:27" ht="12.75" customHeight="1">
      <c r="A102" s="1"/>
      <c r="B102" s="10" t="str">
        <f ca="1">IFERROR(__xludf.DUMMYFUNCTION("""COMPUTED_VALUE"""),"ASISTENCIA TÉCNICA EN DESARROLLO DE PROYECTOS DE AGUA POTABLE Y ELECTRIFICACIÓN COMUNA DE LOS ANDES")</f>
        <v>ASISTENCIA TÉCNICA EN DESARROLLO DE PROYECTOS DE AGUA POTABLE Y ELECTRIFICACIÓN COMUNA DE LOS ANDES</v>
      </c>
      <c r="C102" s="10" t="str">
        <f ca="1">IFERROR(__xludf.DUMMYFUNCTION("""COMPUTED_VALUE"""),"5301231001-C")</f>
        <v>5301231001-C</v>
      </c>
      <c r="D102" s="26" t="str">
        <f t="shared" ca="1" si="0"/>
        <v xml:space="preserve"> LOS ANDES</v>
      </c>
      <c r="E102" s="10" t="str">
        <f ca="1">IFERROR(__xludf.DUMMYFUNCTION("""COMPUTED_VALUE"""),"Guía Operativa")</f>
        <v>Guía Operativa</v>
      </c>
      <c r="F102" s="10" t="str">
        <f ca="1">IFERROR(__xludf.DUMMYFUNCTION("""COMPUTED_VALUE"""),"MUNICIPALIDAD DE LOS ANDES")</f>
        <v>MUNICIPALIDAD DE LOS ANDES</v>
      </c>
      <c r="G102" s="71">
        <f ca="1">IFERROR(__xludf.DUMMYFUNCTION("""COMPUTED_VALUE"""),58500000)</f>
        <v>58500000</v>
      </c>
      <c r="H102" s="10" t="str">
        <f ca="1">IFERROR(__xludf.DUMMYFUNCTION("""COMPUTED_VALUE"""),"Resolución")</f>
        <v>Resolución</v>
      </c>
      <c r="I102" s="10" t="str">
        <f ca="1">IFERROR(__xludf.DUMMYFUNCTION("""COMPUTED_VALUE"""),"Asistencia Técnica")</f>
        <v>Asistencia Técnica</v>
      </c>
      <c r="J102" s="10" t="str">
        <f ca="1">IFERROR(__xludf.DUMMYFUNCTION("""COMPUTED_VALUE"""),"Cumplir con normativa y reglamentos internos del programa en base a los objetivos.")</f>
        <v>Cumplir con normativa y reglamentos internos del programa en base a los objetivos.</v>
      </c>
      <c r="K102" s="71">
        <f ca="1">IFERROR(__xludf.DUMMYFUNCTION("""COMPUTED_VALUE"""),58500000)</f>
        <v>58500000</v>
      </c>
      <c r="L102" s="27">
        <f ca="1">IFERROR(__xludf.DUMMYFUNCTION("""COMPUTED_VALUE"""),1)</f>
        <v>1</v>
      </c>
      <c r="M102" s="10" t="str">
        <f ca="1">IFERROR(__xludf.DUMMYFUNCTION("""COMPUTED_VALUE"""),"5305/2024")</f>
        <v>5305/2024</v>
      </c>
      <c r="N102" s="10" t="str">
        <f ca="1">IFERROR(__xludf.DUMMYFUNCTION("""COMPUTED_VALUE"""),"PMB")</f>
        <v>PMB</v>
      </c>
      <c r="O102" s="59"/>
      <c r="P102" s="1"/>
      <c r="Q102" s="1"/>
      <c r="R102" s="1"/>
      <c r="S102" s="1"/>
      <c r="T102" s="1"/>
      <c r="U102" s="1"/>
      <c r="V102" s="1"/>
      <c r="W102" s="1"/>
      <c r="X102" s="1"/>
      <c r="Y102" s="1"/>
      <c r="Z102" s="1"/>
      <c r="AA102" s="1"/>
    </row>
    <row r="103" spans="1:27" ht="12.75" customHeight="1">
      <c r="A103" s="1"/>
      <c r="B103" s="10" t="str">
        <f ca="1">IFERROR(__xludf.DUMMYFUNCTION("""COMPUTED_VALUE"""),"ASISTENCIA LEGAL EN PROYECTOS DE SANEAMIENTO SANITARIO Y SERVICIOS SOCIALES SECPLAN")</f>
        <v>ASISTENCIA LEGAL EN PROYECTOS DE SANEAMIENTO SANITARIO Y SERVICIOS SOCIALES SECPLAN</v>
      </c>
      <c r="C103" s="10" t="str">
        <f ca="1">IFERROR(__xludf.DUMMYFUNCTION("""COMPUTED_VALUE"""),"8207230601-C")</f>
        <v>8207230601-C</v>
      </c>
      <c r="D103" s="26" t="str">
        <f t="shared" ca="1" si="0"/>
        <v xml:space="preserve"> TIRÚA</v>
      </c>
      <c r="E103" s="10" t="str">
        <f ca="1">IFERROR(__xludf.DUMMYFUNCTION("""COMPUTED_VALUE"""),"Guía Operativa")</f>
        <v>Guía Operativa</v>
      </c>
      <c r="F103" s="10" t="str">
        <f ca="1">IFERROR(__xludf.DUMMYFUNCTION("""COMPUTED_VALUE"""),"MUNICIPALIDAD DE TIRÚA")</f>
        <v>MUNICIPALIDAD DE TIRÚA</v>
      </c>
      <c r="G103" s="71">
        <f ca="1">IFERROR(__xludf.DUMMYFUNCTION("""COMPUTED_VALUE"""),45600000)</f>
        <v>45600000</v>
      </c>
      <c r="H103" s="10" t="str">
        <f ca="1">IFERROR(__xludf.DUMMYFUNCTION("""COMPUTED_VALUE"""),"Resolución")</f>
        <v>Resolución</v>
      </c>
      <c r="I103" s="10" t="str">
        <f ca="1">IFERROR(__xludf.DUMMYFUNCTION("""COMPUTED_VALUE"""),"Asistencia Legal")</f>
        <v>Asistencia Legal</v>
      </c>
      <c r="J103" s="10" t="str">
        <f ca="1">IFERROR(__xludf.DUMMYFUNCTION("""COMPUTED_VALUE"""),"Cumplir con normativa y reglamentos internos del programa en base a los objetivos.")</f>
        <v>Cumplir con normativa y reglamentos internos del programa en base a los objetivos.</v>
      </c>
      <c r="K103" s="71">
        <f ca="1">IFERROR(__xludf.DUMMYFUNCTION("""COMPUTED_VALUE"""),45600000)</f>
        <v>45600000</v>
      </c>
      <c r="L103" s="27">
        <f ca="1">IFERROR(__xludf.DUMMYFUNCTION("""COMPUTED_VALUE"""),1)</f>
        <v>1</v>
      </c>
      <c r="M103" s="10" t="str">
        <f ca="1">IFERROR(__xludf.DUMMYFUNCTION("""COMPUTED_VALUE"""),"4910/2024")</f>
        <v>4910/2024</v>
      </c>
      <c r="N103" s="10" t="str">
        <f ca="1">IFERROR(__xludf.DUMMYFUNCTION("""COMPUTED_VALUE"""),"PMB")</f>
        <v>PMB</v>
      </c>
      <c r="O103" s="59"/>
      <c r="P103" s="1"/>
      <c r="Q103" s="1"/>
      <c r="R103" s="1"/>
      <c r="S103" s="1"/>
      <c r="T103" s="1"/>
      <c r="U103" s="1"/>
      <c r="V103" s="1"/>
      <c r="W103" s="1"/>
      <c r="X103" s="1"/>
      <c r="Y103" s="1"/>
      <c r="Z103" s="1"/>
      <c r="AA103" s="1"/>
    </row>
    <row r="104" spans="1:27" ht="12.75" customHeight="1">
      <c r="A104" s="1"/>
      <c r="B104" s="10" t="str">
        <f ca="1">IFERROR(__xludf.DUMMYFUNCTION("""COMPUTED_VALUE"""),"ASISTENCIA TECNICA PARA GENERACION DE PROYECTOS DE INFRAESTRUCTURA SANITARIA - COMUNA DE PUQUELDON")</f>
        <v>ASISTENCIA TECNICA PARA GENERACION DE PROYECTOS DE INFRAESTRUCTURA SANITARIA - COMUNA DE PUQUELDON</v>
      </c>
      <c r="C104" s="10" t="str">
        <f ca="1">IFERROR(__xludf.DUMMYFUNCTION("""COMPUTED_VALUE"""),"10206241002-C")</f>
        <v>10206241002-C</v>
      </c>
      <c r="D104" s="26" t="str">
        <f t="shared" ca="1" si="0"/>
        <v xml:space="preserve"> PUQUELDÓN</v>
      </c>
      <c r="E104" s="10" t="str">
        <f ca="1">IFERROR(__xludf.DUMMYFUNCTION("""COMPUTED_VALUE"""),"Guía Operativa")</f>
        <v>Guía Operativa</v>
      </c>
      <c r="F104" s="10" t="str">
        <f ca="1">IFERROR(__xludf.DUMMYFUNCTION("""COMPUTED_VALUE"""),"MUNICIPALIDAD DE PUQUELDÓN")</f>
        <v>MUNICIPALIDAD DE PUQUELDÓN</v>
      </c>
      <c r="G104" s="71">
        <f ca="1">IFERROR(__xludf.DUMMYFUNCTION("""COMPUTED_VALUE"""),91200000)</f>
        <v>91200000</v>
      </c>
      <c r="H104" s="10" t="str">
        <f ca="1">IFERROR(__xludf.DUMMYFUNCTION("""COMPUTED_VALUE"""),"Resolución")</f>
        <v>Resolución</v>
      </c>
      <c r="I104" s="10" t="str">
        <f ca="1">IFERROR(__xludf.DUMMYFUNCTION("""COMPUTED_VALUE"""),"Asistencia Técnica")</f>
        <v>Asistencia Técnica</v>
      </c>
      <c r="J104" s="10" t="str">
        <f ca="1">IFERROR(__xludf.DUMMYFUNCTION("""COMPUTED_VALUE"""),"Cumplir con normativa y reglamentos internos del programa en base a los objetivos.")</f>
        <v>Cumplir con normativa y reglamentos internos del programa en base a los objetivos.</v>
      </c>
      <c r="K104" s="71">
        <f ca="1">IFERROR(__xludf.DUMMYFUNCTION("""COMPUTED_VALUE"""),91200000)</f>
        <v>91200000</v>
      </c>
      <c r="L104" s="27">
        <f ca="1">IFERROR(__xludf.DUMMYFUNCTION("""COMPUTED_VALUE"""),1)</f>
        <v>1</v>
      </c>
      <c r="M104" s="10" t="str">
        <f ca="1">IFERROR(__xludf.DUMMYFUNCTION("""COMPUTED_VALUE"""),"4771/2024")</f>
        <v>4771/2024</v>
      </c>
      <c r="N104" s="10" t="str">
        <f ca="1">IFERROR(__xludf.DUMMYFUNCTION("""COMPUTED_VALUE"""),"PMB")</f>
        <v>PMB</v>
      </c>
      <c r="O104" s="59"/>
      <c r="P104" s="1"/>
      <c r="Q104" s="1"/>
      <c r="R104" s="1"/>
      <c r="S104" s="1"/>
      <c r="T104" s="1"/>
      <c r="U104" s="1"/>
      <c r="V104" s="1"/>
      <c r="W104" s="1"/>
      <c r="X104" s="1"/>
      <c r="Y104" s="1"/>
      <c r="Z104" s="1"/>
      <c r="AA104" s="1"/>
    </row>
    <row r="105" spans="1:27" ht="12.75" customHeight="1">
      <c r="A105" s="1"/>
      <c r="B105" s="10" t="str">
        <f ca="1">IFERROR(__xludf.DUMMYFUNCTION("""COMPUTED_VALUE"""),"ASISTENCIA TECNICA PROFESIONALES (PMB-PMU) PARA LA ELABORACION DE PROYECTOS EN LOCALIDADES, LLICO, LARAQUETE, CARAMPANGUE Y OTROS, COMUNA DE ARAUCO.")</f>
        <v>ASISTENCIA TECNICA PROFESIONALES (PMB-PMU) PARA LA ELABORACION DE PROYECTOS EN LOCALIDADES, LLICO, LARAQUETE, CARAMPANGUE Y OTROS, COMUNA DE ARAUCO.</v>
      </c>
      <c r="C105" s="10" t="str">
        <f ca="1">IFERROR(__xludf.DUMMYFUNCTION("""COMPUTED_VALUE"""),"8202231002-C")</f>
        <v>8202231002-C</v>
      </c>
      <c r="D105" s="26" t="str">
        <f t="shared" ca="1" si="0"/>
        <v xml:space="preserve"> ARAUCO</v>
      </c>
      <c r="E105" s="10" t="str">
        <f ca="1">IFERROR(__xludf.DUMMYFUNCTION("""COMPUTED_VALUE"""),"Guía Operativa")</f>
        <v>Guía Operativa</v>
      </c>
      <c r="F105" s="10" t="str">
        <f ca="1">IFERROR(__xludf.DUMMYFUNCTION("""COMPUTED_VALUE"""),"MUNICIPALIDAD DE ARAUCO")</f>
        <v>MUNICIPALIDAD DE ARAUCO</v>
      </c>
      <c r="G105" s="71">
        <f ca="1">IFERROR(__xludf.DUMMYFUNCTION("""COMPUTED_VALUE"""),88200000)</f>
        <v>88200000</v>
      </c>
      <c r="H105" s="10" t="str">
        <f ca="1">IFERROR(__xludf.DUMMYFUNCTION("""COMPUTED_VALUE"""),"Resolución")</f>
        <v>Resolución</v>
      </c>
      <c r="I105" s="10" t="str">
        <f ca="1">IFERROR(__xludf.DUMMYFUNCTION("""COMPUTED_VALUE"""),"Asistencia Técnica")</f>
        <v>Asistencia Técnica</v>
      </c>
      <c r="J105" s="10" t="str">
        <f ca="1">IFERROR(__xludf.DUMMYFUNCTION("""COMPUTED_VALUE"""),"Cumplir con normativa y reglamentos internos del programa en base a los objetivos.")</f>
        <v>Cumplir con normativa y reglamentos internos del programa en base a los objetivos.</v>
      </c>
      <c r="K105" s="71">
        <f ca="1">IFERROR(__xludf.DUMMYFUNCTION("""COMPUTED_VALUE"""),88200000)</f>
        <v>88200000</v>
      </c>
      <c r="L105" s="27">
        <f ca="1">IFERROR(__xludf.DUMMYFUNCTION("""COMPUTED_VALUE"""),1)</f>
        <v>1</v>
      </c>
      <c r="M105" s="10" t="str">
        <f ca="1">IFERROR(__xludf.DUMMYFUNCTION("""COMPUTED_VALUE"""),"5101/2024")</f>
        <v>5101/2024</v>
      </c>
      <c r="N105" s="10" t="str">
        <f ca="1">IFERROR(__xludf.DUMMYFUNCTION("""COMPUTED_VALUE"""),"PMB")</f>
        <v>PMB</v>
      </c>
      <c r="O105" s="59"/>
      <c r="P105" s="1"/>
      <c r="Q105" s="1"/>
      <c r="R105" s="1"/>
      <c r="S105" s="1"/>
      <c r="T105" s="1"/>
      <c r="U105" s="1"/>
      <c r="V105" s="1"/>
      <c r="W105" s="1"/>
      <c r="X105" s="1"/>
      <c r="Y105" s="1"/>
      <c r="Z105" s="1"/>
      <c r="AA105" s="1"/>
    </row>
    <row r="106" spans="1:27" ht="12.75" customHeight="1">
      <c r="A106" s="1"/>
      <c r="B106" s="10" t="str">
        <f ca="1">IFERROR(__xludf.DUMMYFUNCTION("""COMPUTED_VALUE"""),"ASISTENCIA TECNICA DE PROYECTOS PMU Y PMB PARA ILUSTRE MUNICIPALIDAD DE LA UNION 2024")</f>
        <v>ASISTENCIA TECNICA DE PROYECTOS PMU Y PMB PARA ILUSTRE MUNICIPALIDAD DE LA UNION 2024</v>
      </c>
      <c r="C106" s="10" t="str">
        <f ca="1">IFERROR(__xludf.DUMMYFUNCTION("""COMPUTED_VALUE"""),"14201231002-C")</f>
        <v>14201231002-C</v>
      </c>
      <c r="D106" s="26" t="str">
        <f t="shared" ca="1" si="0"/>
        <v xml:space="preserve"> LA UNIÓN</v>
      </c>
      <c r="E106" s="10" t="str">
        <f ca="1">IFERROR(__xludf.DUMMYFUNCTION("""COMPUTED_VALUE"""),"Guía Operativa")</f>
        <v>Guía Operativa</v>
      </c>
      <c r="F106" s="10" t="str">
        <f ca="1">IFERROR(__xludf.DUMMYFUNCTION("""COMPUTED_VALUE"""),"MUNICIPALIDAD DE LA UNIÓN")</f>
        <v>MUNICIPALIDAD DE LA UNIÓN</v>
      </c>
      <c r="G106" s="71">
        <f ca="1">IFERROR(__xludf.DUMMYFUNCTION("""COMPUTED_VALUE"""),79304364)</f>
        <v>79304364</v>
      </c>
      <c r="H106" s="10" t="str">
        <f ca="1">IFERROR(__xludf.DUMMYFUNCTION("""COMPUTED_VALUE"""),"Resolución")</f>
        <v>Resolución</v>
      </c>
      <c r="I106" s="10" t="str">
        <f ca="1">IFERROR(__xludf.DUMMYFUNCTION("""COMPUTED_VALUE"""),"Asistencia Técnica")</f>
        <v>Asistencia Técnica</v>
      </c>
      <c r="J106" s="10" t="str">
        <f ca="1">IFERROR(__xludf.DUMMYFUNCTION("""COMPUTED_VALUE"""),"Cumplir con normativa y reglamentos internos del programa en base a los objetivos.")</f>
        <v>Cumplir con normativa y reglamentos internos del programa en base a los objetivos.</v>
      </c>
      <c r="K106" s="71">
        <f ca="1">IFERROR(__xludf.DUMMYFUNCTION("""COMPUTED_VALUE"""),79304364)</f>
        <v>79304364</v>
      </c>
      <c r="L106" s="27">
        <f ca="1">IFERROR(__xludf.DUMMYFUNCTION("""COMPUTED_VALUE"""),1)</f>
        <v>1</v>
      </c>
      <c r="M106" s="10" t="str">
        <f ca="1">IFERROR(__xludf.DUMMYFUNCTION("""COMPUTED_VALUE"""),"4797/2024")</f>
        <v>4797/2024</v>
      </c>
      <c r="N106" s="10" t="str">
        <f ca="1">IFERROR(__xludf.DUMMYFUNCTION("""COMPUTED_VALUE"""),"PMB")</f>
        <v>PMB</v>
      </c>
      <c r="O106" s="59"/>
      <c r="P106" s="1"/>
      <c r="Q106" s="1"/>
      <c r="R106" s="1"/>
      <c r="S106" s="1"/>
      <c r="T106" s="1"/>
      <c r="U106" s="1"/>
      <c r="V106" s="1"/>
      <c r="W106" s="1"/>
      <c r="X106" s="1"/>
      <c r="Y106" s="1"/>
      <c r="Z106" s="1"/>
      <c r="AA106" s="1"/>
    </row>
    <row r="107" spans="1:27" ht="12.75" customHeight="1">
      <c r="A107" s="1"/>
      <c r="B107" s="10" t="str">
        <f ca="1">IFERROR(__xludf.DUMMYFUNCTION("""COMPUTED_VALUE"""),"ASISTENCIA TECNICA PARA CARTERA DE PROYECTOS PMU-PMB, MELIPEUCO")</f>
        <v>ASISTENCIA TECNICA PARA CARTERA DE PROYECTOS PMU-PMB, MELIPEUCO</v>
      </c>
      <c r="C107" s="10" t="str">
        <f ca="1">IFERROR(__xludf.DUMMYFUNCTION("""COMPUTED_VALUE"""),"9110231001-C")</f>
        <v>9110231001-C</v>
      </c>
      <c r="D107" s="26" t="str">
        <f t="shared" ca="1" si="0"/>
        <v xml:space="preserve"> MELIPEUCO</v>
      </c>
      <c r="E107" s="10" t="str">
        <f ca="1">IFERROR(__xludf.DUMMYFUNCTION("""COMPUTED_VALUE"""),"Guía Operativa")</f>
        <v>Guía Operativa</v>
      </c>
      <c r="F107" s="10" t="str">
        <f ca="1">IFERROR(__xludf.DUMMYFUNCTION("""COMPUTED_VALUE"""),"MUNICIPALIDAD DE MELIPEUCO")</f>
        <v>MUNICIPALIDAD DE MELIPEUCO</v>
      </c>
      <c r="G107" s="71">
        <f ca="1">IFERROR(__xludf.DUMMYFUNCTION("""COMPUTED_VALUE"""),79200000)</f>
        <v>79200000</v>
      </c>
      <c r="H107" s="10" t="str">
        <f ca="1">IFERROR(__xludf.DUMMYFUNCTION("""COMPUTED_VALUE"""),"Resolución")</f>
        <v>Resolución</v>
      </c>
      <c r="I107" s="10" t="str">
        <f ca="1">IFERROR(__xludf.DUMMYFUNCTION("""COMPUTED_VALUE"""),"Asistencia Técnica")</f>
        <v>Asistencia Técnica</v>
      </c>
      <c r="J107" s="10" t="str">
        <f ca="1">IFERROR(__xludf.DUMMYFUNCTION("""COMPUTED_VALUE"""),"Cumplir con normativa y reglamentos internos del programa en base a los objetivos.")</f>
        <v>Cumplir con normativa y reglamentos internos del programa en base a los objetivos.</v>
      </c>
      <c r="K107" s="71">
        <f ca="1">IFERROR(__xludf.DUMMYFUNCTION("""COMPUTED_VALUE"""),79200000)</f>
        <v>79200000</v>
      </c>
      <c r="L107" s="27">
        <f ca="1">IFERROR(__xludf.DUMMYFUNCTION("""COMPUTED_VALUE"""),1)</f>
        <v>1</v>
      </c>
      <c r="M107" s="10" t="str">
        <f ca="1">IFERROR(__xludf.DUMMYFUNCTION("""COMPUTED_VALUE"""),"4929/2024")</f>
        <v>4929/2024</v>
      </c>
      <c r="N107" s="10" t="str">
        <f ca="1">IFERROR(__xludf.DUMMYFUNCTION("""COMPUTED_VALUE"""),"PMB")</f>
        <v>PMB</v>
      </c>
      <c r="O107" s="59"/>
      <c r="P107" s="1"/>
      <c r="Q107" s="1"/>
      <c r="R107" s="1"/>
      <c r="S107" s="1"/>
      <c r="T107" s="1"/>
      <c r="U107" s="1"/>
      <c r="V107" s="1"/>
      <c r="W107" s="1"/>
      <c r="X107" s="1"/>
      <c r="Y107" s="1"/>
      <c r="Z107" s="1"/>
      <c r="AA107" s="1"/>
    </row>
    <row r="108" spans="1:27" ht="12.75" customHeight="1">
      <c r="A108" s="1"/>
      <c r="B108" s="10" t="str">
        <f ca="1">IFERROR(__xludf.DUMMYFUNCTION("""COMPUTED_VALUE"""),"CONSTRUCCION DE LA ILUMINACION PEATONAL LA FRONTERA")</f>
        <v>CONSTRUCCION DE LA ILUMINACION PEATONAL LA FRONTERA</v>
      </c>
      <c r="C108" s="10" t="str">
        <f ca="1">IFERROR(__xludf.DUMMYFUNCTION("""COMPUTED_VALUE"""),"13126230706-C")</f>
        <v>13126230706-C</v>
      </c>
      <c r="D108" s="26" t="str">
        <f t="shared" ca="1" si="0"/>
        <v xml:space="preserve"> QUINTA NORMAL</v>
      </c>
      <c r="E108" s="10" t="str">
        <f ca="1">IFERROR(__xludf.DUMMYFUNCTION("""COMPUTED_VALUE"""),"Guía Operativa")</f>
        <v>Guía Operativa</v>
      </c>
      <c r="F108" s="10" t="str">
        <f ca="1">IFERROR(__xludf.DUMMYFUNCTION("""COMPUTED_VALUE"""),"MUNICIPALIDAD DE QUINTA NORMAL")</f>
        <v>MUNICIPALIDAD DE QUINTA NORMAL</v>
      </c>
      <c r="G108" s="71">
        <f ca="1">IFERROR(__xludf.DUMMYFUNCTION("""COMPUTED_VALUE"""),311681704)</f>
        <v>311681704</v>
      </c>
      <c r="H108" s="10" t="str">
        <f ca="1">IFERROR(__xludf.DUMMYFUNCTION("""COMPUTED_VALUE"""),"Resolución")</f>
        <v>Resolución</v>
      </c>
      <c r="I108" s="10" t="str">
        <f ca="1">IFERROR(__xludf.DUMMYFUNCTION("""COMPUTED_VALUE"""),"Obra")</f>
        <v>Obra</v>
      </c>
      <c r="J108" s="10" t="str">
        <f ca="1">IFERROR(__xludf.DUMMYFUNCTION("""COMPUTED_VALUE"""),"Cumplir con normativa y reglamentos internos del programa en base a los objetivos.")</f>
        <v>Cumplir con normativa y reglamentos internos del programa en base a los objetivos.</v>
      </c>
      <c r="K108" s="71">
        <f ca="1">IFERROR(__xludf.DUMMYFUNCTION("""COMPUTED_VALUE"""),311681704)</f>
        <v>311681704</v>
      </c>
      <c r="L108" s="27">
        <f ca="1">IFERROR(__xludf.DUMMYFUNCTION("""COMPUTED_VALUE"""),1)</f>
        <v>1</v>
      </c>
      <c r="M108" s="10" t="str">
        <f ca="1">IFERROR(__xludf.DUMMYFUNCTION("""COMPUTED_VALUE"""),"4140/2024")</f>
        <v>4140/2024</v>
      </c>
      <c r="N108" s="10" t="str">
        <f ca="1">IFERROR(__xludf.DUMMYFUNCTION("""COMPUTED_VALUE"""),"PMB")</f>
        <v>PMB</v>
      </c>
      <c r="O108" s="59"/>
      <c r="P108" s="1"/>
      <c r="Q108" s="1"/>
      <c r="R108" s="1"/>
      <c r="S108" s="1"/>
      <c r="T108" s="1"/>
      <c r="U108" s="1"/>
      <c r="V108" s="1"/>
      <c r="W108" s="1"/>
      <c r="X108" s="1"/>
      <c r="Y108" s="1"/>
      <c r="Z108" s="1"/>
      <c r="AA108" s="1"/>
    </row>
    <row r="109" spans="1:27" ht="12.75" customHeight="1">
      <c r="A109" s="1"/>
      <c r="B109" s="10" t="str">
        <f ca="1">IFERROR(__xludf.DUMMYFUNCTION("""COMPUTED_VALUE"""),"ASISTENCIA TECNICA PARA ELABORACION DE PROYECTOS DE MEJORAMIENTO DE BARRIOS (PMB) Y MEJORAMIENTO URBANO (PMU), EN LA COMUNA DE PITRUFQUEN")</f>
        <v>ASISTENCIA TECNICA PARA ELABORACION DE PROYECTOS DE MEJORAMIENTO DE BARRIOS (PMB) Y MEJORAMIENTO URBANO (PMU), EN LA COMUNA DE PITRUFQUEN</v>
      </c>
      <c r="C109" s="10" t="str">
        <f ca="1">IFERROR(__xludf.DUMMYFUNCTION("""COMPUTED_VALUE"""),"9114231001-C")</f>
        <v>9114231001-C</v>
      </c>
      <c r="D109" s="26" t="str">
        <f t="shared" ca="1" si="0"/>
        <v xml:space="preserve"> PITRUFQUÉN</v>
      </c>
      <c r="E109" s="10" t="str">
        <f ca="1">IFERROR(__xludf.DUMMYFUNCTION("""COMPUTED_VALUE"""),"Guía Operativa")</f>
        <v>Guía Operativa</v>
      </c>
      <c r="F109" s="10" t="str">
        <f ca="1">IFERROR(__xludf.DUMMYFUNCTION("""COMPUTED_VALUE"""),"MUNICIPALIDAD DE PITRUFQUÉN")</f>
        <v>MUNICIPALIDAD DE PITRUFQUÉN</v>
      </c>
      <c r="G109" s="71">
        <f ca="1">IFERROR(__xludf.DUMMYFUNCTION("""COMPUTED_VALUE"""),86400000)</f>
        <v>86400000</v>
      </c>
      <c r="H109" s="10" t="str">
        <f ca="1">IFERROR(__xludf.DUMMYFUNCTION("""COMPUTED_VALUE"""),"Resolución")</f>
        <v>Resolución</v>
      </c>
      <c r="I109" s="10" t="str">
        <f ca="1">IFERROR(__xludf.DUMMYFUNCTION("""COMPUTED_VALUE"""),"Asistencia Técnica")</f>
        <v>Asistencia Técnica</v>
      </c>
      <c r="J109" s="10" t="str">
        <f ca="1">IFERROR(__xludf.DUMMYFUNCTION("""COMPUTED_VALUE"""),"Cumplir con normativa y reglamentos internos del programa en base a los objetivos.")</f>
        <v>Cumplir con normativa y reglamentos internos del programa en base a los objetivos.</v>
      </c>
      <c r="K109" s="71">
        <f ca="1">IFERROR(__xludf.DUMMYFUNCTION("""COMPUTED_VALUE"""),86400000)</f>
        <v>86400000</v>
      </c>
      <c r="L109" s="27">
        <f ca="1">IFERROR(__xludf.DUMMYFUNCTION("""COMPUTED_VALUE"""),1)</f>
        <v>1</v>
      </c>
      <c r="M109" s="10" t="str">
        <f ca="1">IFERROR(__xludf.DUMMYFUNCTION("""COMPUTED_VALUE"""),"5102/2024")</f>
        <v>5102/2024</v>
      </c>
      <c r="N109" s="10" t="str">
        <f ca="1">IFERROR(__xludf.DUMMYFUNCTION("""COMPUTED_VALUE"""),"PMB")</f>
        <v>PMB</v>
      </c>
      <c r="O109" s="59"/>
      <c r="P109" s="1"/>
      <c r="Q109" s="1"/>
      <c r="R109" s="1"/>
      <c r="S109" s="1"/>
      <c r="T109" s="1"/>
      <c r="U109" s="1"/>
      <c r="V109" s="1"/>
      <c r="W109" s="1"/>
      <c r="X109" s="1"/>
      <c r="Y109" s="1"/>
      <c r="Z109" s="1"/>
      <c r="AA109" s="1"/>
    </row>
    <row r="110" spans="1:27" ht="12.75" customHeight="1">
      <c r="A110" s="1"/>
      <c r="B110" s="10" t="str">
        <f ca="1">IFERROR(__xludf.DUMMYFUNCTION("""COMPUTED_VALUE"""),"CONSTRUCCION ALUMBRADO PUBLICO FOTOVOLTAICO HUYAR BAJO - CHULLEC, CURACO DE VELEZ")</f>
        <v>CONSTRUCCION ALUMBRADO PUBLICO FOTOVOLTAICO HUYAR BAJO - CHULLEC, CURACO DE VELEZ</v>
      </c>
      <c r="C110" s="10" t="str">
        <f ca="1">IFERROR(__xludf.DUMMYFUNCTION("""COMPUTED_VALUE"""),"10204230702-C")</f>
        <v>10204230702-C</v>
      </c>
      <c r="D110" s="26" t="str">
        <f t="shared" ca="1" si="0"/>
        <v xml:space="preserve"> CURACO DE VÉLEZ</v>
      </c>
      <c r="E110" s="10" t="str">
        <f ca="1">IFERROR(__xludf.DUMMYFUNCTION("""COMPUTED_VALUE"""),"Guía Operativa")</f>
        <v>Guía Operativa</v>
      </c>
      <c r="F110" s="10" t="str">
        <f ca="1">IFERROR(__xludf.DUMMYFUNCTION("""COMPUTED_VALUE"""),"MUNICIPALIDAD DE CURACO DE VÉLEZ")</f>
        <v>MUNICIPALIDAD DE CURACO DE VÉLEZ</v>
      </c>
      <c r="G110" s="71">
        <f ca="1">IFERROR(__xludf.DUMMYFUNCTION("""COMPUTED_VALUE"""),161139983)</f>
        <v>161139983</v>
      </c>
      <c r="H110" s="10" t="str">
        <f ca="1">IFERROR(__xludf.DUMMYFUNCTION("""COMPUTED_VALUE"""),"Resolución")</f>
        <v>Resolución</v>
      </c>
      <c r="I110" s="10" t="str">
        <f ca="1">IFERROR(__xludf.DUMMYFUNCTION("""COMPUTED_VALUE"""),"Obra")</f>
        <v>Obra</v>
      </c>
      <c r="J110" s="10" t="str">
        <f ca="1">IFERROR(__xludf.DUMMYFUNCTION("""COMPUTED_VALUE"""),"Cumplir con normativa y reglamentos internos del programa en base a los objetivos.")</f>
        <v>Cumplir con normativa y reglamentos internos del programa en base a los objetivos.</v>
      </c>
      <c r="K110" s="71">
        <f ca="1">IFERROR(__xludf.DUMMYFUNCTION("""COMPUTED_VALUE"""),161139983)</f>
        <v>161139983</v>
      </c>
      <c r="L110" s="27">
        <f ca="1">IFERROR(__xludf.DUMMYFUNCTION("""COMPUTED_VALUE"""),1)</f>
        <v>1</v>
      </c>
      <c r="M110" s="10" t="str">
        <f ca="1">IFERROR(__xludf.DUMMYFUNCTION("""COMPUTED_VALUE"""),"5091/2024")</f>
        <v>5091/2024</v>
      </c>
      <c r="N110" s="10" t="str">
        <f ca="1">IFERROR(__xludf.DUMMYFUNCTION("""COMPUTED_VALUE"""),"PMB")</f>
        <v>PMB</v>
      </c>
      <c r="O110" s="59"/>
      <c r="P110" s="1"/>
      <c r="Q110" s="1"/>
      <c r="R110" s="1"/>
      <c r="S110" s="1"/>
      <c r="T110" s="1"/>
      <c r="U110" s="1"/>
      <c r="V110" s="1"/>
      <c r="W110" s="1"/>
      <c r="X110" s="1"/>
      <c r="Y110" s="1"/>
      <c r="Z110" s="1"/>
      <c r="AA110" s="1"/>
    </row>
    <row r="111" spans="1:27" ht="12.75" customHeight="1">
      <c r="A111" s="1"/>
      <c r="B111" s="10" t="str">
        <f ca="1">IFERROR(__xludf.DUMMYFUNCTION("""COMPUTED_VALUE"""),"PROYECTO DE ILUMINACIÓN PEATONAL. CALLE VICENTE PÉREZ ROSALES SECTOR NORTE , COMUNA DE LA REINA")</f>
        <v>PROYECTO DE ILUMINACIÓN PEATONAL. CALLE VICENTE PÉREZ ROSALES SECTOR NORTE , COMUNA DE LA REINA</v>
      </c>
      <c r="C111" s="10" t="str">
        <f ca="1">IFERROR(__xludf.DUMMYFUNCTION("""COMPUTED_VALUE"""),"13113220701-C")</f>
        <v>13113220701-C</v>
      </c>
      <c r="D111" s="26" t="str">
        <f t="shared" ca="1" si="0"/>
        <v xml:space="preserve"> LA REINA</v>
      </c>
      <c r="E111" s="10" t="str">
        <f ca="1">IFERROR(__xludf.DUMMYFUNCTION("""COMPUTED_VALUE"""),"Guía Operativa")</f>
        <v>Guía Operativa</v>
      </c>
      <c r="F111" s="10" t="str">
        <f ca="1">IFERROR(__xludf.DUMMYFUNCTION("""COMPUTED_VALUE"""),"MUNICIPALIDAD DE LA REINA")</f>
        <v>MUNICIPALIDAD DE LA REINA</v>
      </c>
      <c r="G111" s="71">
        <f ca="1">IFERROR(__xludf.DUMMYFUNCTION("""COMPUTED_VALUE"""),258134178)</f>
        <v>258134178</v>
      </c>
      <c r="H111" s="10" t="str">
        <f ca="1">IFERROR(__xludf.DUMMYFUNCTION("""COMPUTED_VALUE"""),"Resolución")</f>
        <v>Resolución</v>
      </c>
      <c r="I111" s="10" t="str">
        <f ca="1">IFERROR(__xludf.DUMMYFUNCTION("""COMPUTED_VALUE"""),"Obra")</f>
        <v>Obra</v>
      </c>
      <c r="J111" s="10" t="str">
        <f ca="1">IFERROR(__xludf.DUMMYFUNCTION("""COMPUTED_VALUE"""),"Cumplir con normativa y reglamentos internos del programa en base a los objetivos.")</f>
        <v>Cumplir con normativa y reglamentos internos del programa en base a los objetivos.</v>
      </c>
      <c r="K111" s="71">
        <f ca="1">IFERROR(__xludf.DUMMYFUNCTION("""COMPUTED_VALUE"""),258134178)</f>
        <v>258134178</v>
      </c>
      <c r="L111" s="27">
        <f ca="1">IFERROR(__xludf.DUMMYFUNCTION("""COMPUTED_VALUE"""),1)</f>
        <v>1</v>
      </c>
      <c r="M111" s="10" t="str">
        <f ca="1">IFERROR(__xludf.DUMMYFUNCTION("""COMPUTED_VALUE"""),"4911/2024")</f>
        <v>4911/2024</v>
      </c>
      <c r="N111" s="10" t="str">
        <f ca="1">IFERROR(__xludf.DUMMYFUNCTION("""COMPUTED_VALUE"""),"PMB")</f>
        <v>PMB</v>
      </c>
      <c r="O111" s="59"/>
      <c r="P111" s="1"/>
      <c r="Q111" s="1"/>
      <c r="R111" s="1"/>
      <c r="S111" s="1"/>
      <c r="T111" s="1"/>
      <c r="U111" s="1"/>
      <c r="V111" s="1"/>
      <c r="W111" s="1"/>
      <c r="X111" s="1"/>
      <c r="Y111" s="1"/>
      <c r="Z111" s="1"/>
      <c r="AA111" s="1"/>
    </row>
    <row r="112" spans="1:27" ht="12.75" customHeight="1">
      <c r="A112" s="1"/>
      <c r="B112" s="10" t="str">
        <f ca="1">IFERROR(__xludf.DUMMYFUNCTION("""COMPUTED_VALUE"""),"ELABORACION DE PROYECTOS DE EQUIPAMIENTO Y SANEAMIENTO SANITARIO PARA CEMENTERIOS, SEDES SOCIALES Y ESPACIOS PUBLICOS DE LA COMUNA DE CARAHUE.")</f>
        <v>ELABORACION DE PROYECTOS DE EQUIPAMIENTO Y SANEAMIENTO SANITARIO PARA CEMENTERIOS, SEDES SOCIALES Y ESPACIOS PUBLICOS DE LA COMUNA DE CARAHUE.</v>
      </c>
      <c r="C112" s="10" t="str">
        <f ca="1">IFERROR(__xludf.DUMMYFUNCTION("""COMPUTED_VALUE"""),"9102231001-C")</f>
        <v>9102231001-C</v>
      </c>
      <c r="D112" s="26" t="str">
        <f t="shared" ca="1" si="0"/>
        <v xml:space="preserve"> CARAHUE</v>
      </c>
      <c r="E112" s="10" t="str">
        <f ca="1">IFERROR(__xludf.DUMMYFUNCTION("""COMPUTED_VALUE"""),"Guía Operativa")</f>
        <v>Guía Operativa</v>
      </c>
      <c r="F112" s="10" t="str">
        <f ca="1">IFERROR(__xludf.DUMMYFUNCTION("""COMPUTED_VALUE"""),"MUNICIPALIDAD DE CARAHUE")</f>
        <v>MUNICIPALIDAD DE CARAHUE</v>
      </c>
      <c r="G112" s="71">
        <f ca="1">IFERROR(__xludf.DUMMYFUNCTION("""COMPUTED_VALUE"""),122400000)</f>
        <v>122400000</v>
      </c>
      <c r="H112" s="10" t="str">
        <f ca="1">IFERROR(__xludf.DUMMYFUNCTION("""COMPUTED_VALUE"""),"Resolución")</f>
        <v>Resolución</v>
      </c>
      <c r="I112" s="10" t="str">
        <f ca="1">IFERROR(__xludf.DUMMYFUNCTION("""COMPUTED_VALUE"""),"Asistencia Técnica")</f>
        <v>Asistencia Técnica</v>
      </c>
      <c r="J112" s="10" t="str">
        <f ca="1">IFERROR(__xludf.DUMMYFUNCTION("""COMPUTED_VALUE"""),"Cumplir con normativa y reglamentos internos del programa en base a los objetivos.")</f>
        <v>Cumplir con normativa y reglamentos internos del programa en base a los objetivos.</v>
      </c>
      <c r="K112" s="71">
        <f ca="1">IFERROR(__xludf.DUMMYFUNCTION("""COMPUTED_VALUE"""),122400000)</f>
        <v>122400000</v>
      </c>
      <c r="L112" s="27">
        <f ca="1">IFERROR(__xludf.DUMMYFUNCTION("""COMPUTED_VALUE"""),1)</f>
        <v>1</v>
      </c>
      <c r="M112" s="10" t="str">
        <f ca="1">IFERROR(__xludf.DUMMYFUNCTION("""COMPUTED_VALUE"""),"4668/2024")</f>
        <v>4668/2024</v>
      </c>
      <c r="N112" s="10" t="str">
        <f ca="1">IFERROR(__xludf.DUMMYFUNCTION("""COMPUTED_VALUE"""),"PMB")</f>
        <v>PMB</v>
      </c>
      <c r="O112" s="59"/>
      <c r="P112" s="1"/>
      <c r="Q112" s="1"/>
      <c r="R112" s="1"/>
      <c r="S112" s="1"/>
      <c r="T112" s="1"/>
      <c r="U112" s="1"/>
      <c r="V112" s="1"/>
      <c r="W112" s="1"/>
      <c r="X112" s="1"/>
      <c r="Y112" s="1"/>
      <c r="Z112" s="1"/>
      <c r="AA112" s="1"/>
    </row>
    <row r="113" spans="1:27" ht="12.75" customHeight="1">
      <c r="A113" s="1"/>
      <c r="B113" s="10" t="str">
        <f ca="1">IFERROR(__xludf.DUMMYFUNCTION("""COMPUTED_VALUE"""),"ASISTENCIA LEGAL PARA LA REGULARIZACIÓN DE PROPIEDAD RAÍZ, COMUNA DE LUMACO")</f>
        <v>ASISTENCIA LEGAL PARA LA REGULARIZACIÓN DE PROPIEDAD RAÍZ, COMUNA DE LUMACO</v>
      </c>
      <c r="C113" s="10" t="str">
        <f ca="1">IFERROR(__xludf.DUMMYFUNCTION("""COMPUTED_VALUE"""),"9207230601-C")</f>
        <v>9207230601-C</v>
      </c>
      <c r="D113" s="26" t="str">
        <f t="shared" ca="1" si="0"/>
        <v xml:space="preserve"> LUMACO</v>
      </c>
      <c r="E113" s="10" t="str">
        <f ca="1">IFERROR(__xludf.DUMMYFUNCTION("""COMPUTED_VALUE"""),"Guía Operativa")</f>
        <v>Guía Operativa</v>
      </c>
      <c r="F113" s="10" t="str">
        <f ca="1">IFERROR(__xludf.DUMMYFUNCTION("""COMPUTED_VALUE"""),"MUNICIPALIDAD DE LUMACO")</f>
        <v>MUNICIPALIDAD DE LUMACO</v>
      </c>
      <c r="G113" s="71">
        <f ca="1">IFERROR(__xludf.DUMMYFUNCTION("""COMPUTED_VALUE"""),74400000)</f>
        <v>74400000</v>
      </c>
      <c r="H113" s="10" t="str">
        <f ca="1">IFERROR(__xludf.DUMMYFUNCTION("""COMPUTED_VALUE"""),"Resolución")</f>
        <v>Resolución</v>
      </c>
      <c r="I113" s="10" t="str">
        <f ca="1">IFERROR(__xludf.DUMMYFUNCTION("""COMPUTED_VALUE"""),"Asistencia Legal")</f>
        <v>Asistencia Legal</v>
      </c>
      <c r="J113" s="10" t="str">
        <f ca="1">IFERROR(__xludf.DUMMYFUNCTION("""COMPUTED_VALUE"""),"Cumplir con normativa y reglamentos internos del programa en base a los objetivos.")</f>
        <v>Cumplir con normativa y reglamentos internos del programa en base a los objetivos.</v>
      </c>
      <c r="K113" s="71">
        <f ca="1">IFERROR(__xludf.DUMMYFUNCTION("""COMPUTED_VALUE"""),74400000)</f>
        <v>74400000</v>
      </c>
      <c r="L113" s="27">
        <f ca="1">IFERROR(__xludf.DUMMYFUNCTION("""COMPUTED_VALUE"""),1)</f>
        <v>1</v>
      </c>
      <c r="M113" s="10" t="str">
        <f ca="1">IFERROR(__xludf.DUMMYFUNCTION("""COMPUTED_VALUE"""),"4670/2024")</f>
        <v>4670/2024</v>
      </c>
      <c r="N113" s="10" t="str">
        <f ca="1">IFERROR(__xludf.DUMMYFUNCTION("""COMPUTED_VALUE"""),"PMB")</f>
        <v>PMB</v>
      </c>
      <c r="O113" s="59"/>
      <c r="P113" s="1"/>
      <c r="Q113" s="1"/>
      <c r="R113" s="1"/>
      <c r="S113" s="1"/>
      <c r="T113" s="1"/>
      <c r="U113" s="1"/>
      <c r="V113" s="1"/>
      <c r="W113" s="1"/>
      <c r="X113" s="1"/>
      <c r="Y113" s="1"/>
      <c r="Z113" s="1"/>
      <c r="AA113" s="1"/>
    </row>
    <row r="114" spans="1:27" ht="12.75" customHeight="1">
      <c r="A114" s="1"/>
      <c r="B114" s="10" t="str">
        <f ca="1">IFERROR(__xludf.DUMMYFUNCTION("""COMPUTED_VALUE"""),"INSTALACION RED DE ALUMBRADO PUBLICO LOTEO SANTA MONICA EL ARRAYAN, COMUNA DE PADRE HURTADO")</f>
        <v>INSTALACION RED DE ALUMBRADO PUBLICO LOTEO SANTA MONICA EL ARRAYAN, COMUNA DE PADRE HURTADO</v>
      </c>
      <c r="C114" s="10" t="str">
        <f ca="1">IFERROR(__xludf.DUMMYFUNCTION("""COMPUTED_VALUE"""),"13604230705-C")</f>
        <v>13604230705-C</v>
      </c>
      <c r="D114" s="26" t="str">
        <f t="shared" ca="1" si="0"/>
        <v xml:space="preserve"> PADRE HURTADO</v>
      </c>
      <c r="E114" s="10" t="str">
        <f ca="1">IFERROR(__xludf.DUMMYFUNCTION("""COMPUTED_VALUE"""),"Guía Operativa")</f>
        <v>Guía Operativa</v>
      </c>
      <c r="F114" s="10" t="str">
        <f ca="1">IFERROR(__xludf.DUMMYFUNCTION("""COMPUTED_VALUE"""),"MUNICIPALIDAD DE PADRE HURTADO")</f>
        <v>MUNICIPALIDAD DE PADRE HURTADO</v>
      </c>
      <c r="G114" s="71">
        <f ca="1">IFERROR(__xludf.DUMMYFUNCTION("""COMPUTED_VALUE"""),86454999)</f>
        <v>86454999</v>
      </c>
      <c r="H114" s="10" t="str">
        <f ca="1">IFERROR(__xludf.DUMMYFUNCTION("""COMPUTED_VALUE"""),"Resolución")</f>
        <v>Resolución</v>
      </c>
      <c r="I114" s="10" t="str">
        <f ca="1">IFERROR(__xludf.DUMMYFUNCTION("""COMPUTED_VALUE"""),"Obra")</f>
        <v>Obra</v>
      </c>
      <c r="J114" s="10" t="str">
        <f ca="1">IFERROR(__xludf.DUMMYFUNCTION("""COMPUTED_VALUE"""),"Cumplir con normativa y reglamentos internos del programa en base a los objetivos.")</f>
        <v>Cumplir con normativa y reglamentos internos del programa en base a los objetivos.</v>
      </c>
      <c r="K114" s="71">
        <f ca="1">IFERROR(__xludf.DUMMYFUNCTION("""COMPUTED_VALUE"""),86454999)</f>
        <v>86454999</v>
      </c>
      <c r="L114" s="27">
        <f ca="1">IFERROR(__xludf.DUMMYFUNCTION("""COMPUTED_VALUE"""),1)</f>
        <v>1</v>
      </c>
      <c r="M114" s="10" t="str">
        <f ca="1">IFERROR(__xludf.DUMMYFUNCTION("""COMPUTED_VALUE"""),"4663/2024")</f>
        <v>4663/2024</v>
      </c>
      <c r="N114" s="10" t="str">
        <f ca="1">IFERROR(__xludf.DUMMYFUNCTION("""COMPUTED_VALUE"""),"PMB")</f>
        <v>PMB</v>
      </c>
      <c r="O114" s="59"/>
      <c r="P114" s="1"/>
      <c r="Q114" s="1"/>
      <c r="R114" s="1"/>
      <c r="S114" s="1"/>
      <c r="T114" s="1"/>
      <c r="U114" s="1"/>
      <c r="V114" s="1"/>
      <c r="W114" s="1"/>
      <c r="X114" s="1"/>
      <c r="Y114" s="1"/>
      <c r="Z114" s="1"/>
      <c r="AA114" s="1"/>
    </row>
    <row r="115" spans="1:27" ht="12.75" customHeight="1">
      <c r="A115" s="1"/>
      <c r="B115" s="10" t="str">
        <f ca="1">IFERROR(__xludf.DUMMYFUNCTION("""COMPUTED_VALUE"""),"ESTUDIO ARQUEOLÓGICO Y PALEONTOLÓGICO PARA EL SITIO PROPUESTO DEL SISTEMA DE AUTOGENERACIÓN ELECTRICA PARA EL PUEBLO DE MACAYA.")</f>
        <v>ESTUDIO ARQUEOLÓGICO Y PALEONTOLÓGICO PARA EL SITIO PROPUESTO DEL SISTEMA DE AUTOGENERACIÓN ELECTRICA PARA EL PUEBLO DE MACAYA.</v>
      </c>
      <c r="C115" s="10" t="str">
        <f ca="1">IFERROR(__xludf.DUMMYFUNCTION("""COMPUTED_VALUE"""),"1401230401-C")</f>
        <v>1401230401-C</v>
      </c>
      <c r="D115" s="26" t="str">
        <f t="shared" ca="1" si="0"/>
        <v xml:space="preserve"> POZO ALMONTE</v>
      </c>
      <c r="E115" s="10" t="str">
        <f ca="1">IFERROR(__xludf.DUMMYFUNCTION("""COMPUTED_VALUE"""),"Guía Operativa")</f>
        <v>Guía Operativa</v>
      </c>
      <c r="F115" s="10" t="str">
        <f ca="1">IFERROR(__xludf.DUMMYFUNCTION("""COMPUTED_VALUE"""),"MUNICIPALIDAD DE POZO ALMONTE")</f>
        <v>MUNICIPALIDAD DE POZO ALMONTE</v>
      </c>
      <c r="G115" s="71">
        <f ca="1">IFERROR(__xludf.DUMMYFUNCTION("""COMPUTED_VALUE"""),15232595)</f>
        <v>15232595</v>
      </c>
      <c r="H115" s="10" t="str">
        <f ca="1">IFERROR(__xludf.DUMMYFUNCTION("""COMPUTED_VALUE"""),"Resolución")</f>
        <v>Resolución</v>
      </c>
      <c r="I115" s="10" t="str">
        <f ca="1">IFERROR(__xludf.DUMMYFUNCTION("""COMPUTED_VALUE"""),"Estudio")</f>
        <v>Estudio</v>
      </c>
      <c r="J115" s="10" t="str">
        <f ca="1">IFERROR(__xludf.DUMMYFUNCTION("""COMPUTED_VALUE"""),"Cumplir con normativa y reglamentos internos del programa en base a los objetivos.")</f>
        <v>Cumplir con normativa y reglamentos internos del programa en base a los objetivos.</v>
      </c>
      <c r="K115" s="71">
        <f ca="1">IFERROR(__xludf.DUMMYFUNCTION("""COMPUTED_VALUE"""),15232595)</f>
        <v>15232595</v>
      </c>
      <c r="L115" s="27">
        <f ca="1">IFERROR(__xludf.DUMMYFUNCTION("""COMPUTED_VALUE"""),1)</f>
        <v>1</v>
      </c>
      <c r="M115" s="10" t="str">
        <f ca="1">IFERROR(__xludf.DUMMYFUNCTION("""COMPUTED_VALUE"""),"4669/2024")</f>
        <v>4669/2024</v>
      </c>
      <c r="N115" s="10" t="str">
        <f ca="1">IFERROR(__xludf.DUMMYFUNCTION("""COMPUTED_VALUE"""),"PMB")</f>
        <v>PMB</v>
      </c>
      <c r="O115" s="59"/>
      <c r="P115" s="1"/>
      <c r="Q115" s="1"/>
      <c r="R115" s="1"/>
      <c r="S115" s="1"/>
      <c r="T115" s="1"/>
      <c r="U115" s="1"/>
      <c r="V115" s="1"/>
      <c r="W115" s="1"/>
      <c r="X115" s="1"/>
      <c r="Y115" s="1"/>
      <c r="Z115" s="1"/>
      <c r="AA115" s="1"/>
    </row>
    <row r="116" spans="1:27" ht="12.75" customHeight="1">
      <c r="A116" s="1"/>
      <c r="B116" s="10" t="str">
        <f ca="1">IFERROR(__xludf.DUMMYFUNCTION("""COMPUTED_VALUE"""),"CONSTRUCCION DE LA ILUMINACION PEATONAL LO ESPINOZA")</f>
        <v>CONSTRUCCION DE LA ILUMINACION PEATONAL LO ESPINOZA</v>
      </c>
      <c r="C116" s="10" t="str">
        <f ca="1">IFERROR(__xludf.DUMMYFUNCTION("""COMPUTED_VALUE"""),"13126230709-C")</f>
        <v>13126230709-C</v>
      </c>
      <c r="D116" s="26" t="str">
        <f t="shared" ca="1" si="0"/>
        <v xml:space="preserve"> QUINTA NORMAL</v>
      </c>
      <c r="E116" s="10" t="str">
        <f ca="1">IFERROR(__xludf.DUMMYFUNCTION("""COMPUTED_VALUE"""),"Guía Operativa")</f>
        <v>Guía Operativa</v>
      </c>
      <c r="F116" s="10" t="str">
        <f ca="1">IFERROR(__xludf.DUMMYFUNCTION("""COMPUTED_VALUE"""),"MUNICIPALIDAD DE QUINTA NORMAL")</f>
        <v>MUNICIPALIDAD DE QUINTA NORMAL</v>
      </c>
      <c r="G116" s="71">
        <f ca="1">IFERROR(__xludf.DUMMYFUNCTION("""COMPUTED_VALUE"""),307379239)</f>
        <v>307379239</v>
      </c>
      <c r="H116" s="10" t="str">
        <f ca="1">IFERROR(__xludf.DUMMYFUNCTION("""COMPUTED_VALUE"""),"Resolución")</f>
        <v>Resolución</v>
      </c>
      <c r="I116" s="10" t="str">
        <f ca="1">IFERROR(__xludf.DUMMYFUNCTION("""COMPUTED_VALUE"""),"Obra")</f>
        <v>Obra</v>
      </c>
      <c r="J116" s="10" t="str">
        <f ca="1">IFERROR(__xludf.DUMMYFUNCTION("""COMPUTED_VALUE"""),"Cumplir con normativa y reglamentos internos del programa en base a los objetivos.")</f>
        <v>Cumplir con normativa y reglamentos internos del programa en base a los objetivos.</v>
      </c>
      <c r="K116" s="71">
        <f ca="1">IFERROR(__xludf.DUMMYFUNCTION("""COMPUTED_VALUE"""),307379239)</f>
        <v>307379239</v>
      </c>
      <c r="L116" s="27">
        <f ca="1">IFERROR(__xludf.DUMMYFUNCTION("""COMPUTED_VALUE"""),1)</f>
        <v>1</v>
      </c>
      <c r="M116" s="10" t="str">
        <f ca="1">IFERROR(__xludf.DUMMYFUNCTION("""COMPUTED_VALUE"""),"4790/2024")</f>
        <v>4790/2024</v>
      </c>
      <c r="N116" s="10" t="str">
        <f ca="1">IFERROR(__xludf.DUMMYFUNCTION("""COMPUTED_VALUE"""),"PMB")</f>
        <v>PMB</v>
      </c>
      <c r="O116" s="59"/>
      <c r="P116" s="1"/>
      <c r="Q116" s="1"/>
      <c r="R116" s="1"/>
      <c r="S116" s="1"/>
      <c r="T116" s="1"/>
      <c r="U116" s="1"/>
      <c r="V116" s="1"/>
      <c r="W116" s="1"/>
      <c r="X116" s="1"/>
      <c r="Y116" s="1"/>
      <c r="Z116" s="1"/>
      <c r="AA116" s="1"/>
    </row>
    <row r="117" spans="1:27" ht="12.75" customHeight="1">
      <c r="A117" s="1"/>
      <c r="B117" s="10" t="str">
        <f ca="1">IFERROR(__xludf.DUMMYFUNCTION("""COMPUTED_VALUE"""),"ASISTENCIA LEGAL REGULARIZACION DE TITULOS DE DOMINIO PROPIEDADES MUNICIPALES COMUNA DE PICHIDEGUA")</f>
        <v>ASISTENCIA LEGAL REGULARIZACION DE TITULOS DE DOMINIO PROPIEDADES MUNICIPALES COMUNA DE PICHIDEGUA</v>
      </c>
      <c r="C117" s="10" t="str">
        <f ca="1">IFERROR(__xludf.DUMMYFUNCTION("""COMPUTED_VALUE"""),"6113230601-C")</f>
        <v>6113230601-C</v>
      </c>
      <c r="D117" s="26" t="str">
        <f t="shared" ca="1" si="0"/>
        <v xml:space="preserve"> PICHIDEGUA</v>
      </c>
      <c r="E117" s="10" t="str">
        <f ca="1">IFERROR(__xludf.DUMMYFUNCTION("""COMPUTED_VALUE"""),"Guía Operativa")</f>
        <v>Guía Operativa</v>
      </c>
      <c r="F117" s="10" t="str">
        <f ca="1">IFERROR(__xludf.DUMMYFUNCTION("""COMPUTED_VALUE"""),"MUNICIPALIDAD DE PICHIDEGUA")</f>
        <v>MUNICIPALIDAD DE PICHIDEGUA</v>
      </c>
      <c r="G117" s="71">
        <f ca="1">IFERROR(__xludf.DUMMYFUNCTION("""COMPUTED_VALUE"""),37800000)</f>
        <v>37800000</v>
      </c>
      <c r="H117" s="10" t="str">
        <f ca="1">IFERROR(__xludf.DUMMYFUNCTION("""COMPUTED_VALUE"""),"Resolución")</f>
        <v>Resolución</v>
      </c>
      <c r="I117" s="10" t="str">
        <f ca="1">IFERROR(__xludf.DUMMYFUNCTION("""COMPUTED_VALUE"""),"Asistencia Legal")</f>
        <v>Asistencia Legal</v>
      </c>
      <c r="J117" s="10" t="str">
        <f ca="1">IFERROR(__xludf.DUMMYFUNCTION("""COMPUTED_VALUE"""),"Cumplir con normativa y reglamentos internos del programa en base a los objetivos.")</f>
        <v>Cumplir con normativa y reglamentos internos del programa en base a los objetivos.</v>
      </c>
      <c r="K117" s="71">
        <f ca="1">IFERROR(__xludf.DUMMYFUNCTION("""COMPUTED_VALUE"""),37800000)</f>
        <v>37800000</v>
      </c>
      <c r="L117" s="27">
        <f ca="1">IFERROR(__xludf.DUMMYFUNCTION("""COMPUTED_VALUE"""),1)</f>
        <v>1</v>
      </c>
      <c r="M117" s="10" t="str">
        <f ca="1">IFERROR(__xludf.DUMMYFUNCTION("""COMPUTED_VALUE"""),"5298/2024")</f>
        <v>5298/2024</v>
      </c>
      <c r="N117" s="10" t="str">
        <f ca="1">IFERROR(__xludf.DUMMYFUNCTION("""COMPUTED_VALUE"""),"PMB")</f>
        <v>PMB</v>
      </c>
      <c r="O117" s="59"/>
      <c r="P117" s="1"/>
      <c r="Q117" s="1"/>
      <c r="R117" s="1"/>
      <c r="S117" s="1"/>
      <c r="T117" s="1"/>
      <c r="U117" s="1"/>
      <c r="V117" s="1"/>
      <c r="W117" s="1"/>
      <c r="X117" s="1"/>
      <c r="Y117" s="1"/>
      <c r="Z117" s="1"/>
      <c r="AA117" s="1"/>
    </row>
    <row r="118" spans="1:27" ht="12.75" customHeight="1">
      <c r="A118" s="1"/>
      <c r="B118" s="10" t="str">
        <f ca="1">IFERROR(__xludf.DUMMYFUNCTION("""COMPUTED_VALUE"""),"CONSTRUCCION DE LA ILUMINACION PEATONAL SAN PABLO PONIENTE")</f>
        <v>CONSTRUCCION DE LA ILUMINACION PEATONAL SAN PABLO PONIENTE</v>
      </c>
      <c r="C118" s="10" t="str">
        <f ca="1">IFERROR(__xludf.DUMMYFUNCTION("""COMPUTED_VALUE"""),"13126230705-C")</f>
        <v>13126230705-C</v>
      </c>
      <c r="D118" s="26" t="str">
        <f t="shared" ca="1" si="0"/>
        <v xml:space="preserve"> QUINTA NORMAL</v>
      </c>
      <c r="E118" s="10" t="str">
        <f ca="1">IFERROR(__xludf.DUMMYFUNCTION("""COMPUTED_VALUE"""),"Guía Operativa")</f>
        <v>Guía Operativa</v>
      </c>
      <c r="F118" s="10" t="str">
        <f ca="1">IFERROR(__xludf.DUMMYFUNCTION("""COMPUTED_VALUE"""),"MUNICIPALIDAD DE QUINTA NORMAL")</f>
        <v>MUNICIPALIDAD DE QUINTA NORMAL</v>
      </c>
      <c r="G118" s="71">
        <f ca="1">IFERROR(__xludf.DUMMYFUNCTION("""COMPUTED_VALUE"""),264620173)</f>
        <v>264620173</v>
      </c>
      <c r="H118" s="10" t="str">
        <f ca="1">IFERROR(__xludf.DUMMYFUNCTION("""COMPUTED_VALUE"""),"Resolución")</f>
        <v>Resolución</v>
      </c>
      <c r="I118" s="10" t="str">
        <f ca="1">IFERROR(__xludf.DUMMYFUNCTION("""COMPUTED_VALUE"""),"Obra")</f>
        <v>Obra</v>
      </c>
      <c r="J118" s="10" t="str">
        <f ca="1">IFERROR(__xludf.DUMMYFUNCTION("""COMPUTED_VALUE"""),"Cumplir con normativa y reglamentos internos del programa en base a los objetivos.")</f>
        <v>Cumplir con normativa y reglamentos internos del programa en base a los objetivos.</v>
      </c>
      <c r="K118" s="71">
        <f ca="1">IFERROR(__xludf.DUMMYFUNCTION("""COMPUTED_VALUE"""),264620173)</f>
        <v>264620173</v>
      </c>
      <c r="L118" s="27">
        <f ca="1">IFERROR(__xludf.DUMMYFUNCTION("""COMPUTED_VALUE"""),1)</f>
        <v>1</v>
      </c>
      <c r="M118" s="10" t="str">
        <f ca="1">IFERROR(__xludf.DUMMYFUNCTION("""COMPUTED_VALUE"""),"4791/2024")</f>
        <v>4791/2024</v>
      </c>
      <c r="N118" s="10" t="str">
        <f ca="1">IFERROR(__xludf.DUMMYFUNCTION("""COMPUTED_VALUE"""),"PMB")</f>
        <v>PMB</v>
      </c>
      <c r="O118" s="59"/>
      <c r="P118" s="1"/>
      <c r="Q118" s="1"/>
      <c r="R118" s="1"/>
      <c r="S118" s="1"/>
      <c r="T118" s="1"/>
      <c r="U118" s="1"/>
      <c r="V118" s="1"/>
      <c r="W118" s="1"/>
      <c r="X118" s="1"/>
      <c r="Y118" s="1"/>
      <c r="Z118" s="1"/>
      <c r="AA118" s="1"/>
    </row>
    <row r="119" spans="1:27" ht="12.75" customHeight="1">
      <c r="A119" s="1"/>
      <c r="B119" s="10" t="str">
        <f ca="1">IFERROR(__xludf.DUMMYFUNCTION("""COMPUTED_VALUE"""),"ASISTENCIA TÉCNICA PARA ELABORACIÓN DE PROYECTOS PMU EN CONDOMINIOS DE VIVIENDAS SOCIALES DE SAN JOAQUÍN")</f>
        <v>ASISTENCIA TÉCNICA PARA ELABORACIÓN DE PROYECTOS PMU EN CONDOMINIOS DE VIVIENDAS SOCIALES DE SAN JOAQUÍN</v>
      </c>
      <c r="C119" s="10" t="str">
        <f ca="1">IFERROR(__xludf.DUMMYFUNCTION("""COMPUTED_VALUE"""),"13129241001-C")</f>
        <v>13129241001-C</v>
      </c>
      <c r="D119" s="26" t="str">
        <f t="shared" ca="1" si="0"/>
        <v xml:space="preserve"> SAN JOAQUÍN</v>
      </c>
      <c r="E119" s="10" t="str">
        <f ca="1">IFERROR(__xludf.DUMMYFUNCTION("""COMPUTED_VALUE"""),"Guía Operativa")</f>
        <v>Guía Operativa</v>
      </c>
      <c r="F119" s="10" t="str">
        <f ca="1">IFERROR(__xludf.DUMMYFUNCTION("""COMPUTED_VALUE"""),"MUNICIPALIDAD DE SAN JOAQUÍN")</f>
        <v>MUNICIPALIDAD DE SAN JOAQUÍN</v>
      </c>
      <c r="G119" s="71">
        <f ca="1">IFERROR(__xludf.DUMMYFUNCTION("""COMPUTED_VALUE"""),54390000)</f>
        <v>54390000</v>
      </c>
      <c r="H119" s="10" t="str">
        <f ca="1">IFERROR(__xludf.DUMMYFUNCTION("""COMPUTED_VALUE"""),"Resolución")</f>
        <v>Resolución</v>
      </c>
      <c r="I119" s="10" t="str">
        <f ca="1">IFERROR(__xludf.DUMMYFUNCTION("""COMPUTED_VALUE"""),"Asistencia Técnica")</f>
        <v>Asistencia Técnica</v>
      </c>
      <c r="J119" s="10" t="str">
        <f ca="1">IFERROR(__xludf.DUMMYFUNCTION("""COMPUTED_VALUE"""),"Cumplir con normativa y reglamentos internos del programa en base a los objetivos.")</f>
        <v>Cumplir con normativa y reglamentos internos del programa en base a los objetivos.</v>
      </c>
      <c r="K119" s="71">
        <f ca="1">IFERROR(__xludf.DUMMYFUNCTION("""COMPUTED_VALUE"""),54390000)</f>
        <v>54390000</v>
      </c>
      <c r="L119" s="27">
        <f ca="1">IFERROR(__xludf.DUMMYFUNCTION("""COMPUTED_VALUE"""),1)</f>
        <v>1</v>
      </c>
      <c r="M119" s="10" t="str">
        <f ca="1">IFERROR(__xludf.DUMMYFUNCTION("""COMPUTED_VALUE"""),"5090/2024")</f>
        <v>5090/2024</v>
      </c>
      <c r="N119" s="10" t="str">
        <f ca="1">IFERROR(__xludf.DUMMYFUNCTION("""COMPUTED_VALUE"""),"PMB")</f>
        <v>PMB</v>
      </c>
      <c r="O119" s="59"/>
      <c r="P119" s="1"/>
      <c r="Q119" s="1"/>
      <c r="R119" s="1"/>
      <c r="S119" s="1"/>
      <c r="T119" s="1"/>
      <c r="U119" s="1"/>
      <c r="V119" s="1"/>
      <c r="W119" s="1"/>
      <c r="X119" s="1"/>
      <c r="Y119" s="1"/>
      <c r="Z119" s="1"/>
      <c r="AA119" s="1"/>
    </row>
    <row r="120" spans="1:27" ht="12.75" customHeight="1">
      <c r="A120" s="1"/>
      <c r="B120" s="10" t="str">
        <f ca="1">IFERROR(__xludf.DUMMYFUNCTION("""COMPUTED_VALUE"""),"ASISTENCIA TÉCNICA DE FORMULACIÓN, DISEÑO Y POSTULACIÓN DE INICIATIVAS DE INVERSIÓN EN SANEAMIENTO SANITARIO E INFRAESTRUCTURA AÑO 2024")</f>
        <v>ASISTENCIA TÉCNICA DE FORMULACIÓN, DISEÑO Y POSTULACIÓN DE INICIATIVAS DE INVERSIÓN EN SANEAMIENTO SANITARIO E INFRAESTRUCTURA AÑO 2024</v>
      </c>
      <c r="C120" s="10" t="str">
        <f ca="1">IFERROR(__xludf.DUMMYFUNCTION("""COMPUTED_VALUE"""),"8308241001-C")</f>
        <v>8308241001-C</v>
      </c>
      <c r="D120" s="26" t="str">
        <f t="shared" ca="1" si="0"/>
        <v xml:space="preserve"> QUILACO</v>
      </c>
      <c r="E120" s="10" t="str">
        <f ca="1">IFERROR(__xludf.DUMMYFUNCTION("""COMPUTED_VALUE"""),"Guía Operativa")</f>
        <v>Guía Operativa</v>
      </c>
      <c r="F120" s="10" t="str">
        <f ca="1">IFERROR(__xludf.DUMMYFUNCTION("""COMPUTED_VALUE"""),"MUNICIPALIDAD DE QUILACO")</f>
        <v>MUNICIPALIDAD DE QUILACO</v>
      </c>
      <c r="G120" s="71">
        <f ca="1">IFERROR(__xludf.DUMMYFUNCTION("""COMPUTED_VALUE"""),86360400)</f>
        <v>86360400</v>
      </c>
      <c r="H120" s="10" t="str">
        <f ca="1">IFERROR(__xludf.DUMMYFUNCTION("""COMPUTED_VALUE"""),"Resolución")</f>
        <v>Resolución</v>
      </c>
      <c r="I120" s="10" t="str">
        <f ca="1">IFERROR(__xludf.DUMMYFUNCTION("""COMPUTED_VALUE"""),"Asistencia Técnica")</f>
        <v>Asistencia Técnica</v>
      </c>
      <c r="J120" s="10" t="str">
        <f ca="1">IFERROR(__xludf.DUMMYFUNCTION("""COMPUTED_VALUE"""),"Cumplir con normativa y reglamentos internos del programa en base a los objetivos.")</f>
        <v>Cumplir con normativa y reglamentos internos del programa en base a los objetivos.</v>
      </c>
      <c r="K120" s="71">
        <f ca="1">IFERROR(__xludf.DUMMYFUNCTION("""COMPUTED_VALUE"""),86360400)</f>
        <v>86360400</v>
      </c>
      <c r="L120" s="27">
        <f ca="1">IFERROR(__xludf.DUMMYFUNCTION("""COMPUTED_VALUE"""),1)</f>
        <v>1</v>
      </c>
      <c r="M120" s="10" t="str">
        <f ca="1">IFERROR(__xludf.DUMMYFUNCTION("""COMPUTED_VALUE"""),"5537/2024")</f>
        <v>5537/2024</v>
      </c>
      <c r="N120" s="10" t="str">
        <f ca="1">IFERROR(__xludf.DUMMYFUNCTION("""COMPUTED_VALUE"""),"PMB")</f>
        <v>PMB</v>
      </c>
      <c r="O120" s="59"/>
      <c r="P120" s="1"/>
      <c r="Q120" s="1"/>
      <c r="R120" s="1"/>
      <c r="S120" s="1"/>
      <c r="T120" s="1"/>
      <c r="U120" s="1"/>
      <c r="V120" s="1"/>
      <c r="W120" s="1"/>
      <c r="X120" s="1"/>
      <c r="Y120" s="1"/>
      <c r="Z120" s="1"/>
      <c r="AA120" s="1"/>
    </row>
    <row r="121" spans="1:27" ht="12.75" customHeight="1">
      <c r="A121" s="1"/>
      <c r="B121" s="10" t="str">
        <f ca="1">IFERROR(__xludf.DUMMYFUNCTION("""COMPUTED_VALUE"""),"CONTRATACIÓN DE PROFESIONALES PARA ASISTENCIA TECNICA, CARTERA PMB, COMUNA PERQUENCO")</f>
        <v>CONTRATACIÓN DE PROFESIONALES PARA ASISTENCIA TECNICA, CARTERA PMB, COMUNA PERQUENCO</v>
      </c>
      <c r="C121" s="10" t="str">
        <f ca="1">IFERROR(__xludf.DUMMYFUNCTION("""COMPUTED_VALUE"""),"9113231003-C")</f>
        <v>9113231003-C</v>
      </c>
      <c r="D121" s="26" t="str">
        <f t="shared" ca="1" si="0"/>
        <v xml:space="preserve"> PERQUENCO</v>
      </c>
      <c r="E121" s="10" t="str">
        <f ca="1">IFERROR(__xludf.DUMMYFUNCTION("""COMPUTED_VALUE"""),"Guía Operativa")</f>
        <v>Guía Operativa</v>
      </c>
      <c r="F121" s="10" t="str">
        <f ca="1">IFERROR(__xludf.DUMMYFUNCTION("""COMPUTED_VALUE"""),"MUNICIPALIDAD DE PERQUENCO")</f>
        <v>MUNICIPALIDAD DE PERQUENCO</v>
      </c>
      <c r="G121" s="71">
        <f ca="1">IFERROR(__xludf.DUMMYFUNCTION("""COMPUTED_VALUE"""),68400000)</f>
        <v>68400000</v>
      </c>
      <c r="H121" s="10" t="str">
        <f ca="1">IFERROR(__xludf.DUMMYFUNCTION("""COMPUTED_VALUE"""),"Resolución")</f>
        <v>Resolución</v>
      </c>
      <c r="I121" s="10" t="str">
        <f ca="1">IFERROR(__xludf.DUMMYFUNCTION("""COMPUTED_VALUE"""),"Asistencia Técnica")</f>
        <v>Asistencia Técnica</v>
      </c>
      <c r="J121" s="10" t="str">
        <f ca="1">IFERROR(__xludf.DUMMYFUNCTION("""COMPUTED_VALUE"""),"Cumplir con normativa y reglamentos internos del programa en base a los objetivos.")</f>
        <v>Cumplir con normativa y reglamentos internos del programa en base a los objetivos.</v>
      </c>
      <c r="K121" s="71">
        <f ca="1">IFERROR(__xludf.DUMMYFUNCTION("""COMPUTED_VALUE"""),68400000)</f>
        <v>68400000</v>
      </c>
      <c r="L121" s="27">
        <f ca="1">IFERROR(__xludf.DUMMYFUNCTION("""COMPUTED_VALUE"""),1)</f>
        <v>1</v>
      </c>
      <c r="M121" s="10" t="str">
        <f ca="1">IFERROR(__xludf.DUMMYFUNCTION("""COMPUTED_VALUE"""),"5377/2024")</f>
        <v>5377/2024</v>
      </c>
      <c r="N121" s="10" t="str">
        <f ca="1">IFERROR(__xludf.DUMMYFUNCTION("""COMPUTED_VALUE"""),"PMB")</f>
        <v>PMB</v>
      </c>
      <c r="O121" s="59"/>
      <c r="P121" s="1"/>
      <c r="Q121" s="1"/>
      <c r="R121" s="1"/>
      <c r="S121" s="1"/>
      <c r="T121" s="1"/>
      <c r="U121" s="1"/>
      <c r="V121" s="1"/>
      <c r="W121" s="1"/>
      <c r="X121" s="1"/>
      <c r="Y121" s="1"/>
      <c r="Z121" s="1"/>
      <c r="AA121" s="1"/>
    </row>
    <row r="122" spans="1:27" ht="12.75" customHeight="1">
      <c r="A122" s="1"/>
      <c r="B122" s="10" t="str">
        <f ca="1">IFERROR(__xludf.DUMMYFUNCTION("""COMPUTED_VALUE"""),"CONTRATACIÓN DE PROFESIONAL DEL ÁREA DE ELECTRIFICACIÓN PARA GENERACIÓN Y CONTRAPARTE TÉCNICA DE PROYECTOS PMB 2022, COMUNA DE CISNES")</f>
        <v>CONTRATACIÓN DE PROFESIONAL DEL ÁREA DE ELECTRIFICACIÓN PARA GENERACIÓN Y CONTRAPARTE TÉCNICA DE PROYECTOS PMB 2022, COMUNA DE CISNES</v>
      </c>
      <c r="C122" s="10" t="str">
        <f ca="1">IFERROR(__xludf.DUMMYFUNCTION("""COMPUTED_VALUE"""),"11202221003-C")</f>
        <v>11202221003-C</v>
      </c>
      <c r="D122" s="26" t="str">
        <f t="shared" ca="1" si="0"/>
        <v xml:space="preserve"> CISNES</v>
      </c>
      <c r="E122" s="10" t="str">
        <f ca="1">IFERROR(__xludf.DUMMYFUNCTION("""COMPUTED_VALUE"""),"Guía Operativa")</f>
        <v>Guía Operativa</v>
      </c>
      <c r="F122" s="10" t="str">
        <f ca="1">IFERROR(__xludf.DUMMYFUNCTION("""COMPUTED_VALUE"""),"MUNICIPALIDAD DE CISNES")</f>
        <v>MUNICIPALIDAD DE CISNES</v>
      </c>
      <c r="G122" s="71">
        <f ca="1">IFERROR(__xludf.DUMMYFUNCTION("""COMPUTED_VALUE"""),21600000)</f>
        <v>21600000</v>
      </c>
      <c r="H122" s="10" t="str">
        <f ca="1">IFERROR(__xludf.DUMMYFUNCTION("""COMPUTED_VALUE"""),"Resolución")</f>
        <v>Resolución</v>
      </c>
      <c r="I122" s="10" t="str">
        <f ca="1">IFERROR(__xludf.DUMMYFUNCTION("""COMPUTED_VALUE"""),"Asistencia Técnica")</f>
        <v>Asistencia Técnica</v>
      </c>
      <c r="J122" s="10" t="str">
        <f ca="1">IFERROR(__xludf.DUMMYFUNCTION("""COMPUTED_VALUE"""),"Cumplir con normativa y reglamentos internos del programa en base a los objetivos.")</f>
        <v>Cumplir con normativa y reglamentos internos del programa en base a los objetivos.</v>
      </c>
      <c r="K122" s="71">
        <f ca="1">IFERROR(__xludf.DUMMYFUNCTION("""COMPUTED_VALUE"""),3600000)</f>
        <v>3600000</v>
      </c>
      <c r="L122" s="27">
        <f ca="1">IFERROR(__xludf.DUMMYFUNCTION("""COMPUTED_VALUE"""),0.566666666666666)</f>
        <v>0.56666666666666599</v>
      </c>
      <c r="M122" s="10" t="str">
        <f ca="1">IFERROR(__xludf.DUMMYFUNCTION("""COMPUTED_VALUE"""),"10172/2022")</f>
        <v>10172/2022</v>
      </c>
      <c r="N122" s="10" t="str">
        <f ca="1">IFERROR(__xludf.DUMMYFUNCTION("""COMPUTED_VALUE"""),"PMB")</f>
        <v>PMB</v>
      </c>
      <c r="O122" s="59"/>
      <c r="P122" s="1"/>
      <c r="Q122" s="1"/>
      <c r="R122" s="1"/>
      <c r="S122" s="1"/>
      <c r="T122" s="1"/>
      <c r="U122" s="1"/>
      <c r="V122" s="1"/>
      <c r="W122" s="1"/>
      <c r="X122" s="1"/>
      <c r="Y122" s="1"/>
      <c r="Z122" s="1"/>
      <c r="AA122" s="1"/>
    </row>
    <row r="123" spans="1:27" ht="12.75" customHeight="1">
      <c r="A123" s="1"/>
      <c r="B123" s="10" t="str">
        <f ca="1">IFERROR(__xludf.DUMMYFUNCTION("""COMPUTED_VALUE"""),"ASISTENCIA TÉCNICA PROFESIONAL PARA FORMULACIÓN DE PROYECTOS 2022 – 2023")</f>
        <v>ASISTENCIA TÉCNICA PROFESIONAL PARA FORMULACIÓN DE PROYECTOS 2022 – 2023</v>
      </c>
      <c r="C123" s="10" t="str">
        <f ca="1">IFERROR(__xludf.DUMMYFUNCTION("""COMPUTED_VALUE"""),"10304221002-C")</f>
        <v>10304221002-C</v>
      </c>
      <c r="D123" s="26" t="str">
        <f t="shared" ca="1" si="0"/>
        <v xml:space="preserve"> PUYEHUE</v>
      </c>
      <c r="E123" s="10" t="str">
        <f ca="1">IFERROR(__xludf.DUMMYFUNCTION("""COMPUTED_VALUE"""),"Guía Operativa")</f>
        <v>Guía Operativa</v>
      </c>
      <c r="F123" s="10" t="str">
        <f ca="1">IFERROR(__xludf.DUMMYFUNCTION("""COMPUTED_VALUE"""),"MUNICIPALIDAD DE PUYEHUE")</f>
        <v>MUNICIPALIDAD DE PUYEHUE</v>
      </c>
      <c r="G123" s="71">
        <f ca="1">IFERROR(__xludf.DUMMYFUNCTION("""COMPUTED_VALUE"""),64800000)</f>
        <v>64800000</v>
      </c>
      <c r="H123" s="10" t="str">
        <f ca="1">IFERROR(__xludf.DUMMYFUNCTION("""COMPUTED_VALUE"""),"Resolución")</f>
        <v>Resolución</v>
      </c>
      <c r="I123" s="10" t="str">
        <f ca="1">IFERROR(__xludf.DUMMYFUNCTION("""COMPUTED_VALUE"""),"Asistencia Técnica")</f>
        <v>Asistencia Técnica</v>
      </c>
      <c r="J123" s="10" t="str">
        <f ca="1">IFERROR(__xludf.DUMMYFUNCTION("""COMPUTED_VALUE"""),"Cumplir con normativa y reglamentos internos del programa en base a los objetivos.")</f>
        <v>Cumplir con normativa y reglamentos internos del programa en base a los objetivos.</v>
      </c>
      <c r="K123" s="71">
        <f ca="1">IFERROR(__xludf.DUMMYFUNCTION("""COMPUTED_VALUE"""),3600000)</f>
        <v>3600000</v>
      </c>
      <c r="L123" s="27">
        <f ca="1">IFERROR(__xludf.DUMMYFUNCTION("""COMPUTED_VALUE"""),0.455555555555555)</f>
        <v>0.45555555555555499</v>
      </c>
      <c r="M123" s="10" t="str">
        <f ca="1">IFERROR(__xludf.DUMMYFUNCTION("""COMPUTED_VALUE"""),"10256/2022")</f>
        <v>10256/2022</v>
      </c>
      <c r="N123" s="10" t="str">
        <f ca="1">IFERROR(__xludf.DUMMYFUNCTION("""COMPUTED_VALUE"""),"PMB")</f>
        <v>PMB</v>
      </c>
      <c r="O123" s="59"/>
      <c r="P123" s="1"/>
      <c r="Q123" s="1"/>
      <c r="R123" s="1"/>
      <c r="S123" s="1"/>
      <c r="T123" s="1"/>
      <c r="U123" s="1"/>
      <c r="V123" s="1"/>
      <c r="W123" s="1"/>
      <c r="X123" s="1"/>
      <c r="Y123" s="1"/>
      <c r="Z123" s="1"/>
      <c r="AA123" s="1"/>
    </row>
    <row r="124" spans="1:27" ht="12.75" customHeight="1">
      <c r="A124" s="1"/>
      <c r="B124" s="10" t="str">
        <f ca="1">IFERROR(__xludf.DUMMYFUNCTION("""COMPUTED_VALUE"""),"CONSTRUCCIÓN EXTENSIÓN DE MATRIZ AP CALLEJÓN SAN FRANCISCO, COMUNA DE SANTA MARÍA")</f>
        <v>CONSTRUCCIÓN EXTENSIÓN DE MATRIZ AP CALLEJÓN SAN FRANCISCO, COMUNA DE SANTA MARÍA</v>
      </c>
      <c r="C124" s="10" t="str">
        <f ca="1">IFERROR(__xludf.DUMMYFUNCTION("""COMPUTED_VALUE"""),"5706220703-C [CHA]")</f>
        <v>5706220703-C [CHA]</v>
      </c>
      <c r="D124" s="26" t="str">
        <f t="shared" ca="1" si="0"/>
        <v xml:space="preserve"> SANTA MARÍA</v>
      </c>
      <c r="E124" s="10" t="str">
        <f ca="1">IFERROR(__xludf.DUMMYFUNCTION("""COMPUTED_VALUE"""),"Guía Operativa")</f>
        <v>Guía Operativa</v>
      </c>
      <c r="F124" s="10" t="str">
        <f ca="1">IFERROR(__xludf.DUMMYFUNCTION("""COMPUTED_VALUE"""),"MUNICIPALIDAD DE SANTA MARÍA")</f>
        <v>MUNICIPALIDAD DE SANTA MARÍA</v>
      </c>
      <c r="G124" s="71">
        <f ca="1">IFERROR(__xludf.DUMMYFUNCTION("""COMPUTED_VALUE"""),6280524)</f>
        <v>6280524</v>
      </c>
      <c r="H124" s="10" t="str">
        <f ca="1">IFERROR(__xludf.DUMMYFUNCTION("""COMPUTED_VALUE"""),"Resolución")</f>
        <v>Resolución</v>
      </c>
      <c r="I124" s="10" t="str">
        <f ca="1">IFERROR(__xludf.DUMMYFUNCTION("""COMPUTED_VALUE"""),"Obra")</f>
        <v>Obra</v>
      </c>
      <c r="J124" s="10" t="str">
        <f ca="1">IFERROR(__xludf.DUMMYFUNCTION("""COMPUTED_VALUE"""),"Cumplir con normativa y reglamentos internos del programa en base a los objetivos.")</f>
        <v>Cumplir con normativa y reglamentos internos del programa en base a los objetivos.</v>
      </c>
      <c r="K124" s="71">
        <f ca="1">IFERROR(__xludf.DUMMYFUNCTION("""COMPUTED_VALUE"""),6279445)</f>
        <v>6279445</v>
      </c>
      <c r="L124" s="27">
        <f ca="1">IFERROR(__xludf.DUMMYFUNCTION("""COMPUTED_VALUE"""),1)</f>
        <v>1</v>
      </c>
      <c r="M124" s="10" t="str">
        <f ca="1">IFERROR(__xludf.DUMMYFUNCTION("""COMPUTED_VALUE"""),"6965/2022")</f>
        <v>6965/2022</v>
      </c>
      <c r="N124" s="10" t="str">
        <f ca="1">IFERROR(__xludf.DUMMYFUNCTION("""COMPUTED_VALUE"""),"PMB")</f>
        <v>PMB</v>
      </c>
      <c r="O124" s="59"/>
      <c r="P124" s="1"/>
      <c r="Q124" s="1"/>
      <c r="R124" s="1"/>
      <c r="S124" s="1"/>
      <c r="T124" s="1"/>
      <c r="U124" s="1"/>
      <c r="V124" s="1"/>
      <c r="W124" s="1"/>
      <c r="X124" s="1"/>
      <c r="Y124" s="1"/>
      <c r="Z124" s="1"/>
      <c r="AA124" s="1"/>
    </row>
    <row r="125" spans="1:27" ht="12.75" customHeight="1">
      <c r="A125" s="1"/>
      <c r="B125" s="10" t="str">
        <f ca="1">IFERROR(__xludf.DUMMYFUNCTION("""COMPUTED_VALUE"""),"MEJORAMIENTO Y AMPLIACION DE REDES DE ALUMBRADO PUBLICO Y DISEÑO DE PROYECTOS DE EFICIENCIA ENERGETICA EN EQUIPAMIENTO COMUNAL, COMUNA DE ROMERAL")</f>
        <v>MEJORAMIENTO Y AMPLIACION DE REDES DE ALUMBRADO PUBLICO Y DISEÑO DE PROYECTOS DE EFICIENCIA ENERGETICA EN EQUIPAMIENTO COMUNAL, COMUNA DE ROMERAL</v>
      </c>
      <c r="C125" s="10" t="str">
        <f ca="1">IFERROR(__xludf.DUMMYFUNCTION("""COMPUTED_VALUE"""),"7306231001-C")</f>
        <v>7306231001-C</v>
      </c>
      <c r="D125" s="26" t="str">
        <f t="shared" ca="1" si="0"/>
        <v xml:space="preserve"> ROMERAL</v>
      </c>
      <c r="E125" s="10" t="str">
        <f ca="1">IFERROR(__xludf.DUMMYFUNCTION("""COMPUTED_VALUE"""),"Guía Operativa")</f>
        <v>Guía Operativa</v>
      </c>
      <c r="F125" s="10" t="str">
        <f ca="1">IFERROR(__xludf.DUMMYFUNCTION("""COMPUTED_VALUE"""),"MUNICIPALIDAD DE ROMERAL")</f>
        <v>MUNICIPALIDAD DE ROMERAL</v>
      </c>
      <c r="G125" s="71">
        <f ca="1">IFERROR(__xludf.DUMMYFUNCTION("""COMPUTED_VALUE"""),52800000)</f>
        <v>52800000</v>
      </c>
      <c r="H125" s="10" t="str">
        <f ca="1">IFERROR(__xludf.DUMMYFUNCTION("""COMPUTED_VALUE"""),"Resolución")</f>
        <v>Resolución</v>
      </c>
      <c r="I125" s="10" t="str">
        <f ca="1">IFERROR(__xludf.DUMMYFUNCTION("""COMPUTED_VALUE"""),"Asistencia Técnica")</f>
        <v>Asistencia Técnica</v>
      </c>
      <c r="J125" s="10" t="str">
        <f ca="1">IFERROR(__xludf.DUMMYFUNCTION("""COMPUTED_VALUE"""),"Cumplir con normativa y reglamentos internos del programa en base a los objetivos.")</f>
        <v>Cumplir con normativa y reglamentos internos del programa en base a los objetivos.</v>
      </c>
      <c r="K125" s="71">
        <f ca="1">IFERROR(__xludf.DUMMYFUNCTION("""COMPUTED_VALUE"""),13200000)</f>
        <v>13200000</v>
      </c>
      <c r="L125" s="27">
        <f ca="1">IFERROR(__xludf.DUMMYFUNCTION("""COMPUTED_VALUE"""),0.5)</f>
        <v>0.5</v>
      </c>
      <c r="M125" s="10" t="str">
        <f ca="1">IFERROR(__xludf.DUMMYFUNCTION("""COMPUTED_VALUE"""),"7417/2023")</f>
        <v>7417/2023</v>
      </c>
      <c r="N125" s="10" t="str">
        <f ca="1">IFERROR(__xludf.DUMMYFUNCTION("""COMPUTED_VALUE"""),"PMB")</f>
        <v>PMB</v>
      </c>
      <c r="O125" s="59"/>
      <c r="P125" s="1"/>
      <c r="Q125" s="1"/>
      <c r="R125" s="1"/>
      <c r="S125" s="1"/>
      <c r="T125" s="1"/>
      <c r="U125" s="1"/>
      <c r="V125" s="1"/>
      <c r="W125" s="1"/>
      <c r="X125" s="1"/>
      <c r="Y125" s="1"/>
      <c r="Z125" s="1"/>
      <c r="AA125" s="1"/>
    </row>
    <row r="126" spans="1:27" ht="12.75" customHeight="1">
      <c r="A126" s="1"/>
      <c r="B126" s="10" t="str">
        <f ca="1">IFERROR(__xludf.DUMMYFUNCTION("""COMPUTED_VALUE"""),"ASISTENCIA TÉCNICA EN SANEAMIENTO SANITARIO COMUNA DE RÍO CLARO")</f>
        <v>ASISTENCIA TÉCNICA EN SANEAMIENTO SANITARIO COMUNA DE RÍO CLARO</v>
      </c>
      <c r="C126" s="10" t="str">
        <f ca="1">IFERROR(__xludf.DUMMYFUNCTION("""COMPUTED_VALUE"""),"7108231001-C")</f>
        <v>7108231001-C</v>
      </c>
      <c r="D126" s="26" t="str">
        <f t="shared" ca="1" si="0"/>
        <v xml:space="preserve"> RÍO CLARO</v>
      </c>
      <c r="E126" s="10" t="str">
        <f ca="1">IFERROR(__xludf.DUMMYFUNCTION("""COMPUTED_VALUE"""),"Guía Operativa")</f>
        <v>Guía Operativa</v>
      </c>
      <c r="F126" s="10" t="str">
        <f ca="1">IFERROR(__xludf.DUMMYFUNCTION("""COMPUTED_VALUE"""),"MUNICIPALIDAD DE RÍO CLARO")</f>
        <v>MUNICIPALIDAD DE RÍO CLARO</v>
      </c>
      <c r="G126" s="71">
        <f ca="1">IFERROR(__xludf.DUMMYFUNCTION("""COMPUTED_VALUE"""),73560000)</f>
        <v>73560000</v>
      </c>
      <c r="H126" s="10" t="str">
        <f ca="1">IFERROR(__xludf.DUMMYFUNCTION("""COMPUTED_VALUE"""),"Resolución")</f>
        <v>Resolución</v>
      </c>
      <c r="I126" s="10" t="str">
        <f ca="1">IFERROR(__xludf.DUMMYFUNCTION("""COMPUTED_VALUE"""),"Asistencia Técnica")</f>
        <v>Asistencia Técnica</v>
      </c>
      <c r="J126" s="10" t="str">
        <f ca="1">IFERROR(__xludf.DUMMYFUNCTION("""COMPUTED_VALUE"""),"Cumplir con normativa y reglamentos internos del programa en base a los objetivos.")</f>
        <v>Cumplir con normativa y reglamentos internos del programa en base a los objetivos.</v>
      </c>
      <c r="K126" s="71">
        <f ca="1">IFERROR(__xludf.DUMMYFUNCTION("""COMPUTED_VALUE"""),18390000)</f>
        <v>18390000</v>
      </c>
      <c r="L126" s="27">
        <f ca="1">IFERROR(__xludf.DUMMYFUNCTION("""COMPUTED_VALUE"""),0.6875)</f>
        <v>0.6875</v>
      </c>
      <c r="M126" s="10" t="str">
        <f ca="1">IFERROR(__xludf.DUMMYFUNCTION("""COMPUTED_VALUE"""),"7403/2023")</f>
        <v>7403/2023</v>
      </c>
      <c r="N126" s="10" t="str">
        <f ca="1">IFERROR(__xludf.DUMMYFUNCTION("""COMPUTED_VALUE"""),"PMB")</f>
        <v>PMB</v>
      </c>
      <c r="O126" s="59"/>
      <c r="P126" s="1"/>
      <c r="Q126" s="1"/>
      <c r="R126" s="1"/>
      <c r="S126" s="1"/>
      <c r="T126" s="1"/>
      <c r="U126" s="1"/>
      <c r="V126" s="1"/>
      <c r="W126" s="1"/>
      <c r="X126" s="1"/>
      <c r="Y126" s="1"/>
      <c r="Z126" s="1"/>
      <c r="AA126" s="1"/>
    </row>
    <row r="127" spans="1:27" ht="12.75" customHeight="1">
      <c r="A127" s="1"/>
      <c r="B127" s="10" t="str">
        <f ca="1">IFERROR(__xludf.DUMMYFUNCTION("""COMPUTED_VALUE"""),"ASISTENCIA TÉCNICA CONTRATACIÓN DE PROFESIONALES PARA APOYO TÉCNICO MUNICIPAL")</f>
        <v>ASISTENCIA TÉCNICA CONTRATACIÓN DE PROFESIONALES PARA APOYO TÉCNICO MUNICIPAL</v>
      </c>
      <c r="C127" s="10" t="str">
        <f ca="1">IFERROR(__xludf.DUMMYFUNCTION("""COMPUTED_VALUE"""),"10307231001-C")</f>
        <v>10307231001-C</v>
      </c>
      <c r="D127" s="26" t="str">
        <f t="shared" ca="1" si="0"/>
        <v xml:space="preserve"> SAN PABLO</v>
      </c>
      <c r="E127" s="10" t="str">
        <f ca="1">IFERROR(__xludf.DUMMYFUNCTION("""COMPUTED_VALUE"""),"Guía Operativa")</f>
        <v>Guía Operativa</v>
      </c>
      <c r="F127" s="10" t="str">
        <f ca="1">IFERROR(__xludf.DUMMYFUNCTION("""COMPUTED_VALUE"""),"MUNICIPALIDAD DE SAN PABLO")</f>
        <v>MUNICIPALIDAD DE SAN PABLO</v>
      </c>
      <c r="G127" s="71">
        <f ca="1">IFERROR(__xludf.DUMMYFUNCTION("""COMPUTED_VALUE"""),64800000)</f>
        <v>64800000</v>
      </c>
      <c r="H127" s="10" t="str">
        <f ca="1">IFERROR(__xludf.DUMMYFUNCTION("""COMPUTED_VALUE"""),"Resolución")</f>
        <v>Resolución</v>
      </c>
      <c r="I127" s="10" t="str">
        <f ca="1">IFERROR(__xludf.DUMMYFUNCTION("""COMPUTED_VALUE"""),"Asistencia Técnica")</f>
        <v>Asistencia Técnica</v>
      </c>
      <c r="J127" s="10" t="str">
        <f ca="1">IFERROR(__xludf.DUMMYFUNCTION("""COMPUTED_VALUE"""),"Cumplir con normativa y reglamentos internos del programa en base a los objetivos.")</f>
        <v>Cumplir con normativa y reglamentos internos del programa en base a los objetivos.</v>
      </c>
      <c r="K127" s="71">
        <f ca="1">IFERROR(__xludf.DUMMYFUNCTION("""COMPUTED_VALUE"""),64800000)</f>
        <v>64800000</v>
      </c>
      <c r="L127" s="27">
        <f ca="1">IFERROR(__xludf.DUMMYFUNCTION("""COMPUTED_VALUE"""),1)</f>
        <v>1</v>
      </c>
      <c r="M127" s="10" t="str">
        <f ca="1">IFERROR(__xludf.DUMMYFUNCTION("""COMPUTED_VALUE"""),"5782/2024")</f>
        <v>5782/2024</v>
      </c>
      <c r="N127" s="10" t="str">
        <f ca="1">IFERROR(__xludf.DUMMYFUNCTION("""COMPUTED_VALUE"""),"PMB")</f>
        <v>PMB</v>
      </c>
      <c r="O127" s="59"/>
      <c r="P127" s="1"/>
      <c r="Q127" s="1"/>
      <c r="R127" s="1"/>
      <c r="S127" s="1"/>
      <c r="T127" s="1"/>
      <c r="U127" s="1"/>
      <c r="V127" s="1"/>
      <c r="W127" s="1"/>
      <c r="X127" s="1"/>
      <c r="Y127" s="1"/>
      <c r="Z127" s="1"/>
      <c r="AA127" s="1"/>
    </row>
    <row r="128" spans="1:27" ht="12.75" customHeight="1">
      <c r="A128" s="1"/>
      <c r="B128" s="10" t="str">
        <f ca="1">IFERROR(__xludf.DUMMYFUNCTION("""COMPUTED_VALUE"""),"ADQUISICIÓN DE TERRENO UBICADO EN AV. MIGUEL LEMEUR N°625-635")</f>
        <v>ADQUISICIÓN DE TERRENO UBICADO EN AV. MIGUEL LEMEUR N°625-635</v>
      </c>
      <c r="C128" s="10" t="str">
        <f ca="1">IFERROR(__xludf.DUMMYFUNCTION("""COMPUTED_VALUE"""),"3103220801-C")</f>
        <v>3103220801-C</v>
      </c>
      <c r="D128" s="26" t="str">
        <f t="shared" ca="1" si="0"/>
        <v xml:space="preserve"> TIERRA AMARILLA</v>
      </c>
      <c r="E128" s="10" t="str">
        <f ca="1">IFERROR(__xludf.DUMMYFUNCTION("""COMPUTED_VALUE"""),"Guía Operativa")</f>
        <v>Guía Operativa</v>
      </c>
      <c r="F128" s="10" t="str">
        <f ca="1">IFERROR(__xludf.DUMMYFUNCTION("""COMPUTED_VALUE"""),"MUNICIPALIDAD DE TIERRA AMARILLA")</f>
        <v>MUNICIPALIDAD DE TIERRA AMARILLA</v>
      </c>
      <c r="G128" s="71">
        <f ca="1">IFERROR(__xludf.DUMMYFUNCTION("""COMPUTED_VALUE"""),659886340)</f>
        <v>659886340</v>
      </c>
      <c r="H128" s="10" t="str">
        <f ca="1">IFERROR(__xludf.DUMMYFUNCTION("""COMPUTED_VALUE"""),"Resolución")</f>
        <v>Resolución</v>
      </c>
      <c r="I128" s="10" t="str">
        <f ca="1">IFERROR(__xludf.DUMMYFUNCTION("""COMPUTED_VALUE"""),"Adquisición Terreno")</f>
        <v>Adquisición Terreno</v>
      </c>
      <c r="J128" s="10" t="str">
        <f ca="1">IFERROR(__xludf.DUMMYFUNCTION("""COMPUTED_VALUE"""),"Cumplir con normativa y reglamentos internos del programa en base a los objetivos.")</f>
        <v>Cumplir con normativa y reglamentos internos del programa en base a los objetivos.</v>
      </c>
      <c r="K128" s="71">
        <f ca="1">IFERROR(__xludf.DUMMYFUNCTION("""COMPUTED_VALUE"""),659886340)</f>
        <v>659886340</v>
      </c>
      <c r="L128" s="27">
        <f ca="1">IFERROR(__xludf.DUMMYFUNCTION("""COMPUTED_VALUE"""),1)</f>
        <v>1</v>
      </c>
      <c r="M128" s="10" t="str">
        <f ca="1">IFERROR(__xludf.DUMMYFUNCTION("""COMPUTED_VALUE"""),"5898/2024")</f>
        <v>5898/2024</v>
      </c>
      <c r="N128" s="10" t="str">
        <f ca="1">IFERROR(__xludf.DUMMYFUNCTION("""COMPUTED_VALUE"""),"PMB")</f>
        <v>PMB</v>
      </c>
      <c r="O128" s="59"/>
      <c r="P128" s="1"/>
      <c r="Q128" s="1"/>
      <c r="R128" s="1"/>
      <c r="S128" s="1"/>
      <c r="T128" s="1"/>
      <c r="U128" s="1"/>
      <c r="V128" s="1"/>
      <c r="W128" s="1"/>
      <c r="X128" s="1"/>
      <c r="Y128" s="1"/>
      <c r="Z128" s="1"/>
      <c r="AA128" s="1"/>
    </row>
    <row r="129" spans="1:27" ht="12.75" customHeight="1">
      <c r="A129" s="1"/>
      <c r="B129" s="10" t="str">
        <f ca="1">IFERROR(__xludf.DUMMYFUNCTION("""COMPUTED_VALUE"""),"ESTUDIOS GEOFISICOS E HIDROLOGICOS, DIVERSOS SECTORES, COMUNA TUCAPEL")</f>
        <v>ESTUDIOS GEOFISICOS E HIDROLOGICOS, DIVERSOS SECTORES, COMUNA TUCAPEL</v>
      </c>
      <c r="C129" s="10" t="str">
        <f ca="1">IFERROR(__xludf.DUMMYFUNCTION("""COMPUTED_VALUE"""),"8312230401-C")</f>
        <v>8312230401-C</v>
      </c>
      <c r="D129" s="26" t="str">
        <f t="shared" ca="1" si="0"/>
        <v xml:space="preserve"> TUCAPEL</v>
      </c>
      <c r="E129" s="10" t="str">
        <f ca="1">IFERROR(__xludf.DUMMYFUNCTION("""COMPUTED_VALUE"""),"Guía Operativa")</f>
        <v>Guía Operativa</v>
      </c>
      <c r="F129" s="10" t="str">
        <f ca="1">IFERROR(__xludf.DUMMYFUNCTION("""COMPUTED_VALUE"""),"MUNICIPALIDAD DE TUCAPEL")</f>
        <v>MUNICIPALIDAD DE TUCAPEL</v>
      </c>
      <c r="G129" s="71">
        <f ca="1">IFERROR(__xludf.DUMMYFUNCTION("""COMPUTED_VALUE"""),59916500)</f>
        <v>59916500</v>
      </c>
      <c r="H129" s="10" t="str">
        <f ca="1">IFERROR(__xludf.DUMMYFUNCTION("""COMPUTED_VALUE"""),"Resolución")</f>
        <v>Resolución</v>
      </c>
      <c r="I129" s="10" t="str">
        <f ca="1">IFERROR(__xludf.DUMMYFUNCTION("""COMPUTED_VALUE"""),"Estudio")</f>
        <v>Estudio</v>
      </c>
      <c r="J129" s="10" t="str">
        <f ca="1">IFERROR(__xludf.DUMMYFUNCTION("""COMPUTED_VALUE"""),"Cumplir con normativa y reglamentos internos del programa en base a los objetivos.")</f>
        <v>Cumplir con normativa y reglamentos internos del programa en base a los objetivos.</v>
      </c>
      <c r="K129" s="71">
        <f ca="1">IFERROR(__xludf.DUMMYFUNCTION("""COMPUTED_VALUE"""),59916500)</f>
        <v>59916500</v>
      </c>
      <c r="L129" s="27">
        <f ca="1">IFERROR(__xludf.DUMMYFUNCTION("""COMPUTED_VALUE"""),1)</f>
        <v>1</v>
      </c>
      <c r="M129" s="10" t="str">
        <f ca="1">IFERROR(__xludf.DUMMYFUNCTION("""COMPUTED_VALUE"""),"5778/2024")</f>
        <v>5778/2024</v>
      </c>
      <c r="N129" s="10" t="str">
        <f ca="1">IFERROR(__xludf.DUMMYFUNCTION("""COMPUTED_VALUE"""),"PMB")</f>
        <v>PMB</v>
      </c>
      <c r="O129" s="59"/>
      <c r="P129" s="1"/>
      <c r="Q129" s="1"/>
      <c r="R129" s="1"/>
      <c r="S129" s="1"/>
      <c r="T129" s="1"/>
      <c r="U129" s="1"/>
      <c r="V129" s="1"/>
      <c r="W129" s="1"/>
      <c r="X129" s="1"/>
      <c r="Y129" s="1"/>
      <c r="Z129" s="1"/>
      <c r="AA129" s="1"/>
    </row>
    <row r="130" spans="1:27" ht="12.75" customHeight="1">
      <c r="A130" s="1"/>
      <c r="B130" s="10" t="str">
        <f ca="1">IFERROR(__xludf.DUMMYFUNCTION("""COMPUTED_VALUE"""),"ASISTENCIA TÉCNICA PARA EL DESARROLLO DE PROYECTOS DE SANEAMIENTO BÁSICO, ELECTRIFICACIÓN RURAL Y SERVICIOS SOCIALES SECPLAN")</f>
        <v>ASISTENCIA TÉCNICA PARA EL DESARROLLO DE PROYECTOS DE SANEAMIENTO BÁSICO, ELECTRIFICACIÓN RURAL Y SERVICIOS SOCIALES SECPLAN</v>
      </c>
      <c r="C130" s="10" t="str">
        <f ca="1">IFERROR(__xludf.DUMMYFUNCTION("""COMPUTED_VALUE"""),"8207231001-C")</f>
        <v>8207231001-C</v>
      </c>
      <c r="D130" s="26" t="str">
        <f t="shared" ca="1" si="0"/>
        <v xml:space="preserve"> TIRÚA</v>
      </c>
      <c r="E130" s="10" t="str">
        <f ca="1">IFERROR(__xludf.DUMMYFUNCTION("""COMPUTED_VALUE"""),"Guía Operativa")</f>
        <v>Guía Operativa</v>
      </c>
      <c r="F130" s="10" t="str">
        <f ca="1">IFERROR(__xludf.DUMMYFUNCTION("""COMPUTED_VALUE"""),"MUNICIPALIDAD DE TIRÚA")</f>
        <v>MUNICIPALIDAD DE TIRÚA</v>
      </c>
      <c r="G130" s="71">
        <f ca="1">IFERROR(__xludf.DUMMYFUNCTION("""COMPUTED_VALUE"""),64800000)</f>
        <v>64800000</v>
      </c>
      <c r="H130" s="10" t="str">
        <f ca="1">IFERROR(__xludf.DUMMYFUNCTION("""COMPUTED_VALUE"""),"Resolución")</f>
        <v>Resolución</v>
      </c>
      <c r="I130" s="10" t="str">
        <f ca="1">IFERROR(__xludf.DUMMYFUNCTION("""COMPUTED_VALUE"""),"Asistencia Técnica")</f>
        <v>Asistencia Técnica</v>
      </c>
      <c r="J130" s="10" t="str">
        <f ca="1">IFERROR(__xludf.DUMMYFUNCTION("""COMPUTED_VALUE"""),"Cumplir con normativa y reglamentos internos del programa en base a los objetivos.")</f>
        <v>Cumplir con normativa y reglamentos internos del programa en base a los objetivos.</v>
      </c>
      <c r="K130" s="71">
        <f ca="1">IFERROR(__xludf.DUMMYFUNCTION("""COMPUTED_VALUE"""),64800000)</f>
        <v>64800000</v>
      </c>
      <c r="L130" s="27">
        <f ca="1">IFERROR(__xludf.DUMMYFUNCTION("""COMPUTED_VALUE"""),1)</f>
        <v>1</v>
      </c>
      <c r="M130" s="10" t="str">
        <f ca="1">IFERROR(__xludf.DUMMYFUNCTION("""COMPUTED_VALUE"""),"5774/2024")</f>
        <v>5774/2024</v>
      </c>
      <c r="N130" s="10" t="str">
        <f ca="1">IFERROR(__xludf.DUMMYFUNCTION("""COMPUTED_VALUE"""),"PMB")</f>
        <v>PMB</v>
      </c>
      <c r="O130" s="59"/>
      <c r="P130" s="1"/>
      <c r="Q130" s="1"/>
      <c r="R130" s="1"/>
      <c r="S130" s="1"/>
      <c r="T130" s="1"/>
      <c r="U130" s="1"/>
      <c r="V130" s="1"/>
      <c r="W130" s="1"/>
      <c r="X130" s="1"/>
      <c r="Y130" s="1"/>
      <c r="Z130" s="1"/>
      <c r="AA130" s="1"/>
    </row>
    <row r="131" spans="1:27" ht="12.75" customHeight="1">
      <c r="A131" s="1"/>
      <c r="B131" s="10" t="str">
        <f ca="1">IFERROR(__xludf.DUMMYFUNCTION("""COMPUTED_VALUE"""),"ASISTENCIAS TÉCNICAS PARA EL DESARROLLO Y GESTIÓN DE PROYECTOS, VARIOS SECTORES DE LA COMUNA DE CALDERA")</f>
        <v>ASISTENCIAS TÉCNICAS PARA EL DESARROLLO Y GESTIÓN DE PROYECTOS, VARIOS SECTORES DE LA COMUNA DE CALDERA</v>
      </c>
      <c r="C131" s="10" t="str">
        <f ca="1">IFERROR(__xludf.DUMMYFUNCTION("""COMPUTED_VALUE"""),"3102231001-C")</f>
        <v>3102231001-C</v>
      </c>
      <c r="D131" s="26" t="str">
        <f t="shared" ca="1" si="0"/>
        <v xml:space="preserve"> CALDERA</v>
      </c>
      <c r="E131" s="10" t="str">
        <f ca="1">IFERROR(__xludf.DUMMYFUNCTION("""COMPUTED_VALUE"""),"Guía Operativa")</f>
        <v>Guía Operativa</v>
      </c>
      <c r="F131" s="10" t="str">
        <f ca="1">IFERROR(__xludf.DUMMYFUNCTION("""COMPUTED_VALUE"""),"MUNICIPALIDAD DE CALDERA")</f>
        <v>MUNICIPALIDAD DE CALDERA</v>
      </c>
      <c r="G131" s="71">
        <f ca="1">IFERROR(__xludf.DUMMYFUNCTION("""COMPUTED_VALUE"""),67200000)</f>
        <v>67200000</v>
      </c>
      <c r="H131" s="10" t="str">
        <f ca="1">IFERROR(__xludf.DUMMYFUNCTION("""COMPUTED_VALUE"""),"Resolución")</f>
        <v>Resolución</v>
      </c>
      <c r="I131" s="10" t="str">
        <f ca="1">IFERROR(__xludf.DUMMYFUNCTION("""COMPUTED_VALUE"""),"Asistencia Técnica")</f>
        <v>Asistencia Técnica</v>
      </c>
      <c r="J131" s="10" t="str">
        <f ca="1">IFERROR(__xludf.DUMMYFUNCTION("""COMPUTED_VALUE"""),"Cumplir con normativa y reglamentos internos del programa en base a los objetivos.")</f>
        <v>Cumplir con normativa y reglamentos internos del programa en base a los objetivos.</v>
      </c>
      <c r="K131" s="71">
        <f ca="1">IFERROR(__xludf.DUMMYFUNCTION("""COMPUTED_VALUE"""),67200000)</f>
        <v>67200000</v>
      </c>
      <c r="L131" s="27">
        <f ca="1">IFERROR(__xludf.DUMMYFUNCTION("""COMPUTED_VALUE"""),1)</f>
        <v>1</v>
      </c>
      <c r="M131" s="10" t="str">
        <f ca="1">IFERROR(__xludf.DUMMYFUNCTION("""COMPUTED_VALUE"""),"5781/2024")</f>
        <v>5781/2024</v>
      </c>
      <c r="N131" s="10" t="str">
        <f ca="1">IFERROR(__xludf.DUMMYFUNCTION("""COMPUTED_VALUE"""),"PMB")</f>
        <v>PMB</v>
      </c>
      <c r="O131" s="59"/>
      <c r="P131" s="1"/>
      <c r="Q131" s="1"/>
      <c r="R131" s="1"/>
      <c r="S131" s="1"/>
      <c r="T131" s="1"/>
      <c r="U131" s="1"/>
      <c r="V131" s="1"/>
      <c r="W131" s="1"/>
      <c r="X131" s="1"/>
      <c r="Y131" s="1"/>
      <c r="Z131" s="1"/>
      <c r="AA131" s="1"/>
    </row>
    <row r="132" spans="1:27" ht="12.75" customHeight="1">
      <c r="A132" s="1"/>
      <c r="B132" s="10" t="str">
        <f ca="1">IFERROR(__xludf.DUMMYFUNCTION("""COMPUTED_VALUE"""),"ETAPA II ASISTENCIA TÉCNICA PARA LA NORMALIZACION Y REGULARIZACIÓN ZONA TÍPICA, COMUNA DE COBQUECURA")</f>
        <v>ETAPA II ASISTENCIA TÉCNICA PARA LA NORMALIZACION Y REGULARIZACIÓN ZONA TÍPICA, COMUNA DE COBQUECURA</v>
      </c>
      <c r="C132" s="10" t="str">
        <f ca="1">IFERROR(__xludf.DUMMYFUNCTION("""COMPUTED_VALUE"""),"16202231002-C")</f>
        <v>16202231002-C</v>
      </c>
      <c r="D132" s="26" t="str">
        <f t="shared" ca="1" si="0"/>
        <v xml:space="preserve"> COBQUECURA</v>
      </c>
      <c r="E132" s="10" t="str">
        <f ca="1">IFERROR(__xludf.DUMMYFUNCTION("""COMPUTED_VALUE"""),"Guía Operativa")</f>
        <v>Guía Operativa</v>
      </c>
      <c r="F132" s="10" t="str">
        <f ca="1">IFERROR(__xludf.DUMMYFUNCTION("""COMPUTED_VALUE"""),"MUNICIPALIDAD DE COBQUECURA")</f>
        <v>MUNICIPALIDAD DE COBQUECURA</v>
      </c>
      <c r="G132" s="71">
        <f ca="1">IFERROR(__xludf.DUMMYFUNCTION("""COMPUTED_VALUE"""),83400000)</f>
        <v>83400000</v>
      </c>
      <c r="H132" s="10" t="str">
        <f ca="1">IFERROR(__xludf.DUMMYFUNCTION("""COMPUTED_VALUE"""),"Resolución")</f>
        <v>Resolución</v>
      </c>
      <c r="I132" s="10" t="str">
        <f ca="1">IFERROR(__xludf.DUMMYFUNCTION("""COMPUTED_VALUE"""),"Asistencia Técnica")</f>
        <v>Asistencia Técnica</v>
      </c>
      <c r="J132" s="10" t="str">
        <f ca="1">IFERROR(__xludf.DUMMYFUNCTION("""COMPUTED_VALUE"""),"Cumplir con normativa y reglamentos internos del programa en base a los objetivos.")</f>
        <v>Cumplir con normativa y reglamentos internos del programa en base a los objetivos.</v>
      </c>
      <c r="K132" s="71">
        <f ca="1">IFERROR(__xludf.DUMMYFUNCTION("""COMPUTED_VALUE"""),83400000)</f>
        <v>83400000</v>
      </c>
      <c r="L132" s="27">
        <f ca="1">IFERROR(__xludf.DUMMYFUNCTION("""COMPUTED_VALUE"""),1)</f>
        <v>1</v>
      </c>
      <c r="M132" s="10" t="str">
        <f ca="1">IFERROR(__xludf.DUMMYFUNCTION("""COMPUTED_VALUE"""),"5780/2024")</f>
        <v>5780/2024</v>
      </c>
      <c r="N132" s="10" t="str">
        <f ca="1">IFERROR(__xludf.DUMMYFUNCTION("""COMPUTED_VALUE"""),"PMB")</f>
        <v>PMB</v>
      </c>
      <c r="O132" s="59"/>
      <c r="P132" s="1"/>
      <c r="Q132" s="1"/>
      <c r="R132" s="1"/>
      <c r="S132" s="1"/>
      <c r="T132" s="1"/>
      <c r="U132" s="1"/>
      <c r="V132" s="1"/>
      <c r="W132" s="1"/>
      <c r="X132" s="1"/>
      <c r="Y132" s="1"/>
      <c r="Z132" s="1"/>
      <c r="AA132" s="1"/>
    </row>
    <row r="133" spans="1:27" ht="12.75" customHeight="1">
      <c r="A133" s="1"/>
      <c r="B133" s="10" t="str">
        <f ca="1">IFERROR(__xludf.DUMMYFUNCTION("""COMPUTED_VALUE"""),"ASISTENCIA TECNICA PARA LA GENERACIÓN DE PROYECTOS URBANOS Y RURALES, SAN CLEMENTE")</f>
        <v>ASISTENCIA TECNICA PARA LA GENERACIÓN DE PROYECTOS URBANOS Y RURALES, SAN CLEMENTE</v>
      </c>
      <c r="C133" s="10" t="str">
        <f ca="1">IFERROR(__xludf.DUMMYFUNCTION("""COMPUTED_VALUE"""),"7109231003-C")</f>
        <v>7109231003-C</v>
      </c>
      <c r="D133" s="26" t="str">
        <f t="shared" ca="1" si="0"/>
        <v xml:space="preserve"> SAN CLEMENTE</v>
      </c>
      <c r="E133" s="10" t="str">
        <f ca="1">IFERROR(__xludf.DUMMYFUNCTION("""COMPUTED_VALUE"""),"Guía Operativa")</f>
        <v>Guía Operativa</v>
      </c>
      <c r="F133" s="10" t="str">
        <f ca="1">IFERROR(__xludf.DUMMYFUNCTION("""COMPUTED_VALUE"""),"MUNICIPALIDAD DE SAN CLEMENTE")</f>
        <v>MUNICIPALIDAD DE SAN CLEMENTE</v>
      </c>
      <c r="G133" s="71">
        <f ca="1">IFERROR(__xludf.DUMMYFUNCTION("""COMPUTED_VALUE"""),75420000)</f>
        <v>75420000</v>
      </c>
      <c r="H133" s="10" t="str">
        <f ca="1">IFERROR(__xludf.DUMMYFUNCTION("""COMPUTED_VALUE"""),"Resolución")</f>
        <v>Resolución</v>
      </c>
      <c r="I133" s="10" t="str">
        <f ca="1">IFERROR(__xludf.DUMMYFUNCTION("""COMPUTED_VALUE"""),"Asistencia Técnica")</f>
        <v>Asistencia Técnica</v>
      </c>
      <c r="J133" s="10" t="str">
        <f ca="1">IFERROR(__xludf.DUMMYFUNCTION("""COMPUTED_VALUE"""),"Cumplir con normativa y reglamentos internos del programa en base a los objetivos.")</f>
        <v>Cumplir con normativa y reglamentos internos del programa en base a los objetivos.</v>
      </c>
      <c r="K133" s="71">
        <f ca="1">IFERROR(__xludf.DUMMYFUNCTION("""COMPUTED_VALUE"""),18855000)</f>
        <v>18855000</v>
      </c>
      <c r="L133" s="27">
        <f ca="1">IFERROR(__xludf.DUMMYFUNCTION("""COMPUTED_VALUE"""),0.25)</f>
        <v>0.25</v>
      </c>
      <c r="M133" s="10" t="str">
        <f ca="1">IFERROR(__xludf.DUMMYFUNCTION("""COMPUTED_VALUE"""),"5386/2024")</f>
        <v>5386/2024</v>
      </c>
      <c r="N133" s="10" t="str">
        <f ca="1">IFERROR(__xludf.DUMMYFUNCTION("""COMPUTED_VALUE"""),"PMB")</f>
        <v>PMB</v>
      </c>
      <c r="O133" s="59"/>
      <c r="P133" s="1"/>
      <c r="Q133" s="1"/>
      <c r="R133" s="1"/>
      <c r="S133" s="1"/>
      <c r="T133" s="1"/>
      <c r="U133" s="1"/>
      <c r="V133" s="1"/>
      <c r="W133" s="1"/>
      <c r="X133" s="1"/>
      <c r="Y133" s="1"/>
      <c r="Z133" s="1"/>
      <c r="AA133" s="1"/>
    </row>
    <row r="134" spans="1:27" ht="12.75" customHeight="1">
      <c r="A134" s="1"/>
      <c r="B134" s="10" t="str">
        <f ca="1">IFERROR(__xludf.DUMMYFUNCTION("""COMPUTED_VALUE"""),"ASESORÍA TÉCNICA PARA CATASTRO, ELABORACIÓN Y SEGUIMIENTO DE PROYECTOS DE INVERSIÓN, COMUNA DE MAULLIN")</f>
        <v>ASESORÍA TÉCNICA PARA CATASTRO, ELABORACIÓN Y SEGUIMIENTO DE PROYECTOS DE INVERSIÓN, COMUNA DE MAULLIN</v>
      </c>
      <c r="C134" s="10" t="str">
        <f ca="1">IFERROR(__xludf.DUMMYFUNCTION("""COMPUTED_VALUE"""),"10108231001-C")</f>
        <v>10108231001-C</v>
      </c>
      <c r="D134" s="26" t="str">
        <f t="shared" ca="1" si="0"/>
        <v xml:space="preserve"> MAULLÍN</v>
      </c>
      <c r="E134" s="10" t="str">
        <f ca="1">IFERROR(__xludf.DUMMYFUNCTION("""COMPUTED_VALUE"""),"Guía Operativa")</f>
        <v>Guía Operativa</v>
      </c>
      <c r="F134" s="10" t="str">
        <f ca="1">IFERROR(__xludf.DUMMYFUNCTION("""COMPUTED_VALUE"""),"MUNICIPALIDAD DE MAULLÍN")</f>
        <v>MUNICIPALIDAD DE MAULLÍN</v>
      </c>
      <c r="G134" s="71">
        <f ca="1">IFERROR(__xludf.DUMMYFUNCTION("""COMPUTED_VALUE"""),81600000)</f>
        <v>81600000</v>
      </c>
      <c r="H134" s="10" t="str">
        <f ca="1">IFERROR(__xludf.DUMMYFUNCTION("""COMPUTED_VALUE"""),"Resolución")</f>
        <v>Resolución</v>
      </c>
      <c r="I134" s="10" t="str">
        <f ca="1">IFERROR(__xludf.DUMMYFUNCTION("""COMPUTED_VALUE"""),"Asistencia Técnica")</f>
        <v>Asistencia Técnica</v>
      </c>
      <c r="J134" s="10" t="str">
        <f ca="1">IFERROR(__xludf.DUMMYFUNCTION("""COMPUTED_VALUE"""),"Cumplir con normativa y reglamentos internos del programa en base a los objetivos.")</f>
        <v>Cumplir con normativa y reglamentos internos del programa en base a los objetivos.</v>
      </c>
      <c r="K134" s="71">
        <f ca="1">IFERROR(__xludf.DUMMYFUNCTION("""COMPUTED_VALUE"""),81600000)</f>
        <v>81600000</v>
      </c>
      <c r="L134" s="27">
        <f ca="1">IFERROR(__xludf.DUMMYFUNCTION("""COMPUTED_VALUE"""),1)</f>
        <v>1</v>
      </c>
      <c r="M134" s="10" t="str">
        <f ca="1">IFERROR(__xludf.DUMMYFUNCTION("""COMPUTED_VALUE"""),"5779/2024")</f>
        <v>5779/2024</v>
      </c>
      <c r="N134" s="10" t="str">
        <f ca="1">IFERROR(__xludf.DUMMYFUNCTION("""COMPUTED_VALUE"""),"PMB")</f>
        <v>PMB</v>
      </c>
      <c r="O134" s="59"/>
      <c r="P134" s="1"/>
      <c r="Q134" s="1"/>
      <c r="R134" s="1"/>
      <c r="S134" s="1"/>
      <c r="T134" s="1"/>
      <c r="U134" s="1"/>
      <c r="V134" s="1"/>
      <c r="W134" s="1"/>
      <c r="X134" s="1"/>
      <c r="Y134" s="1"/>
      <c r="Z134" s="1"/>
      <c r="AA134" s="1"/>
    </row>
    <row r="135" spans="1:27" ht="12.75" customHeight="1">
      <c r="A135" s="1"/>
      <c r="B135" s="10" t="str">
        <f ca="1">IFERROR(__xludf.DUMMYFUNCTION("""COMPUTED_VALUE"""),"INSTALACION, 20 MONOPOSTES TECNOLOGIA LED, DISTINTOS SECTORES DE LA COMUNA DE LA FLORIDA")</f>
        <v>INSTALACION, 20 MONOPOSTES TECNOLOGIA LED, DISTINTOS SECTORES DE LA COMUNA DE LA FLORIDA</v>
      </c>
      <c r="C135" s="10" t="str">
        <f ca="1">IFERROR(__xludf.DUMMYFUNCTION("""COMPUTED_VALUE"""),"13110220701-C")</f>
        <v>13110220701-C</v>
      </c>
      <c r="D135" s="26" t="str">
        <f t="shared" ca="1" si="0"/>
        <v xml:space="preserve"> LA FLORIDA</v>
      </c>
      <c r="E135" s="10" t="str">
        <f ca="1">IFERROR(__xludf.DUMMYFUNCTION("""COMPUTED_VALUE"""),"Guía Operativa")</f>
        <v>Guía Operativa</v>
      </c>
      <c r="F135" s="10" t="str">
        <f ca="1">IFERROR(__xludf.DUMMYFUNCTION("""COMPUTED_VALUE"""),"MUNICIPALIDAD DE LA FLORIDA")</f>
        <v>MUNICIPALIDAD DE LA FLORIDA</v>
      </c>
      <c r="G135" s="71">
        <f ca="1">IFERROR(__xludf.DUMMYFUNCTION("""COMPUTED_VALUE"""),169296006)</f>
        <v>169296006</v>
      </c>
      <c r="H135" s="10" t="str">
        <f ca="1">IFERROR(__xludf.DUMMYFUNCTION("""COMPUTED_VALUE"""),"Resolución")</f>
        <v>Resolución</v>
      </c>
      <c r="I135" s="10" t="str">
        <f ca="1">IFERROR(__xludf.DUMMYFUNCTION("""COMPUTED_VALUE"""),"Obra")</f>
        <v>Obra</v>
      </c>
      <c r="J135" s="10" t="str">
        <f ca="1">IFERROR(__xludf.DUMMYFUNCTION("""COMPUTED_VALUE"""),"Cumplir con normativa y reglamentos internos del programa en base a los objetivos.")</f>
        <v>Cumplir con normativa y reglamentos internos del programa en base a los objetivos.</v>
      </c>
      <c r="K135" s="71">
        <f ca="1">IFERROR(__xludf.DUMMYFUNCTION("""COMPUTED_VALUE"""),169296006)</f>
        <v>169296006</v>
      </c>
      <c r="L135" s="27">
        <f ca="1">IFERROR(__xludf.DUMMYFUNCTION("""COMPUTED_VALUE"""),1)</f>
        <v>1</v>
      </c>
      <c r="M135" s="10" t="str">
        <f ca="1">IFERROR(__xludf.DUMMYFUNCTION("""COMPUTED_VALUE"""),"6496/2024")</f>
        <v>6496/2024</v>
      </c>
      <c r="N135" s="10" t="str">
        <f ca="1">IFERROR(__xludf.DUMMYFUNCTION("""COMPUTED_VALUE"""),"PMB")</f>
        <v>PMB</v>
      </c>
      <c r="O135" s="59"/>
      <c r="P135" s="1"/>
      <c r="Q135" s="1"/>
      <c r="R135" s="1"/>
      <c r="S135" s="1"/>
      <c r="T135" s="1"/>
      <c r="U135" s="1"/>
      <c r="V135" s="1"/>
      <c r="W135" s="1"/>
      <c r="X135" s="1"/>
      <c r="Y135" s="1"/>
      <c r="Z135" s="1"/>
      <c r="AA135" s="1"/>
    </row>
    <row r="136" spans="1:27" ht="12.75" customHeight="1">
      <c r="A136" s="1"/>
      <c r="B136" s="10" t="str">
        <f ca="1">IFERROR(__xludf.DUMMYFUNCTION("""COMPUTED_VALUE"""),"ASISTENCIA DE ASESORIA LEGAL PARA LA REGULARIZACIÓN DE LA PEQUEÑA PROPIEDAD RAIZ, COMUNA DE PADRE LAS CASAS")</f>
        <v>ASISTENCIA DE ASESORIA LEGAL PARA LA REGULARIZACIÓN DE LA PEQUEÑA PROPIEDAD RAIZ, COMUNA DE PADRE LAS CASAS</v>
      </c>
      <c r="C136" s="10" t="str">
        <f ca="1">IFERROR(__xludf.DUMMYFUNCTION("""COMPUTED_VALUE"""),"9112230601-C")</f>
        <v>9112230601-C</v>
      </c>
      <c r="D136" s="26" t="str">
        <f t="shared" ca="1" si="0"/>
        <v xml:space="preserve"> PADRE LAS CASAS</v>
      </c>
      <c r="E136" s="10" t="str">
        <f ca="1">IFERROR(__xludf.DUMMYFUNCTION("""COMPUTED_VALUE"""),"Guía Operativa")</f>
        <v>Guía Operativa</v>
      </c>
      <c r="F136" s="10" t="str">
        <f ca="1">IFERROR(__xludf.DUMMYFUNCTION("""COMPUTED_VALUE"""),"MUNICIPALIDAD DE PADRE LAS CASAS")</f>
        <v>MUNICIPALIDAD DE PADRE LAS CASAS</v>
      </c>
      <c r="G136" s="71">
        <f ca="1">IFERROR(__xludf.DUMMYFUNCTION("""COMPUTED_VALUE"""),111600000)</f>
        <v>111600000</v>
      </c>
      <c r="H136" s="10" t="str">
        <f ca="1">IFERROR(__xludf.DUMMYFUNCTION("""COMPUTED_VALUE"""),"Resolución")</f>
        <v>Resolución</v>
      </c>
      <c r="I136" s="10" t="str">
        <f ca="1">IFERROR(__xludf.DUMMYFUNCTION("""COMPUTED_VALUE"""),"Asistencia Legal")</f>
        <v>Asistencia Legal</v>
      </c>
      <c r="J136" s="10" t="str">
        <f ca="1">IFERROR(__xludf.DUMMYFUNCTION("""COMPUTED_VALUE"""),"Cumplir con normativa y reglamentos internos del programa en base a los objetivos.")</f>
        <v>Cumplir con normativa y reglamentos internos del programa en base a los objetivos.</v>
      </c>
      <c r="K136" s="71">
        <f ca="1">IFERROR(__xludf.DUMMYFUNCTION("""COMPUTED_VALUE"""),111600000)</f>
        <v>111600000</v>
      </c>
      <c r="L136" s="27">
        <f ca="1">IFERROR(__xludf.DUMMYFUNCTION("""COMPUTED_VALUE"""),1)</f>
        <v>1</v>
      </c>
      <c r="M136" s="10" t="str">
        <f ca="1">IFERROR(__xludf.DUMMYFUNCTION("""COMPUTED_VALUE"""),"5777/2024")</f>
        <v>5777/2024</v>
      </c>
      <c r="N136" s="10" t="str">
        <f ca="1">IFERROR(__xludf.DUMMYFUNCTION("""COMPUTED_VALUE"""),"PMB")</f>
        <v>PMB</v>
      </c>
      <c r="O136" s="59"/>
      <c r="P136" s="1"/>
      <c r="Q136" s="1"/>
      <c r="R136" s="1"/>
      <c r="S136" s="1"/>
      <c r="T136" s="1"/>
      <c r="U136" s="1"/>
      <c r="V136" s="1"/>
      <c r="W136" s="1"/>
      <c r="X136" s="1"/>
      <c r="Y136" s="1"/>
      <c r="Z136" s="1"/>
      <c r="AA136" s="1"/>
    </row>
    <row r="137" spans="1:27" ht="12.75" customHeight="1">
      <c r="A137" s="1"/>
      <c r="B137" s="10" t="str">
        <f ca="1">IFERROR(__xludf.DUMMYFUNCTION("""COMPUTED_VALUE"""),"ASISTENCIA TECNICA PARA LA GENERACIÓN DE PROYECTOS PMB Y PMU COMUNA DE HUARA")</f>
        <v>ASISTENCIA TECNICA PARA LA GENERACIÓN DE PROYECTOS PMB Y PMU COMUNA DE HUARA</v>
      </c>
      <c r="C137" s="10" t="str">
        <f ca="1">IFERROR(__xludf.DUMMYFUNCTION("""COMPUTED_VALUE"""),"1404231001-C")</f>
        <v>1404231001-C</v>
      </c>
      <c r="D137" s="26" t="str">
        <f t="shared" ca="1" si="0"/>
        <v xml:space="preserve"> HUARA</v>
      </c>
      <c r="E137" s="10" t="str">
        <f ca="1">IFERROR(__xludf.DUMMYFUNCTION("""COMPUTED_VALUE"""),"Guía Operativa")</f>
        <v>Guía Operativa</v>
      </c>
      <c r="F137" s="10" t="str">
        <f ca="1">IFERROR(__xludf.DUMMYFUNCTION("""COMPUTED_VALUE"""),"MUNICIPALIDAD DE HUARA")</f>
        <v>MUNICIPALIDAD DE HUARA</v>
      </c>
      <c r="G137" s="71">
        <f ca="1">IFERROR(__xludf.DUMMYFUNCTION("""COMPUTED_VALUE"""),55800000)</f>
        <v>55800000</v>
      </c>
      <c r="H137" s="10" t="str">
        <f ca="1">IFERROR(__xludf.DUMMYFUNCTION("""COMPUTED_VALUE"""),"Resolución")</f>
        <v>Resolución</v>
      </c>
      <c r="I137" s="10" t="str">
        <f ca="1">IFERROR(__xludf.DUMMYFUNCTION("""COMPUTED_VALUE"""),"Asistencia Técnica")</f>
        <v>Asistencia Técnica</v>
      </c>
      <c r="J137" s="10" t="str">
        <f ca="1">IFERROR(__xludf.DUMMYFUNCTION("""COMPUTED_VALUE"""),"Cumplir con normativa y reglamentos internos del programa en base a los objetivos.")</f>
        <v>Cumplir con normativa y reglamentos internos del programa en base a los objetivos.</v>
      </c>
      <c r="K137" s="71">
        <f ca="1">IFERROR(__xludf.DUMMYFUNCTION("""COMPUTED_VALUE"""),55800000)</f>
        <v>55800000</v>
      </c>
      <c r="L137" s="27">
        <f ca="1">IFERROR(__xludf.DUMMYFUNCTION("""COMPUTED_VALUE"""),1)</f>
        <v>1</v>
      </c>
      <c r="M137" s="10" t="str">
        <f ca="1">IFERROR(__xludf.DUMMYFUNCTION("""COMPUTED_VALUE"""),"6679/2024")</f>
        <v>6679/2024</v>
      </c>
      <c r="N137" s="10" t="str">
        <f ca="1">IFERROR(__xludf.DUMMYFUNCTION("""COMPUTED_VALUE"""),"PMB")</f>
        <v>PMB</v>
      </c>
      <c r="O137" s="59"/>
      <c r="P137" s="1"/>
      <c r="Q137" s="1"/>
      <c r="R137" s="1"/>
      <c r="S137" s="1"/>
      <c r="T137" s="1"/>
      <c r="U137" s="1"/>
      <c r="V137" s="1"/>
      <c r="W137" s="1"/>
      <c r="X137" s="1"/>
      <c r="Y137" s="1"/>
      <c r="Z137" s="1"/>
      <c r="AA137" s="1"/>
    </row>
    <row r="138" spans="1:27" ht="12.75" customHeight="1">
      <c r="A138" s="1"/>
      <c r="B138" s="10" t="str">
        <f ca="1">IFERROR(__xludf.DUMMYFUNCTION("""COMPUTED_VALUE"""),"ASISTENCIA TÉCNICA PROFESIONAL CON FINANCIAMIENTO DE LA SUBDERE EN LA COMUNA DE CORRAL")</f>
        <v>ASISTENCIA TÉCNICA PROFESIONAL CON FINANCIAMIENTO DE LA SUBDERE EN LA COMUNA DE CORRAL</v>
      </c>
      <c r="C138" s="10" t="str">
        <f ca="1">IFERROR(__xludf.DUMMYFUNCTION("""COMPUTED_VALUE"""),"14102231002-C")</f>
        <v>14102231002-C</v>
      </c>
      <c r="D138" s="26" t="str">
        <f t="shared" ca="1" si="0"/>
        <v xml:space="preserve"> CORRAL</v>
      </c>
      <c r="E138" s="10" t="str">
        <f ca="1">IFERROR(__xludf.DUMMYFUNCTION("""COMPUTED_VALUE"""),"Guía Operativa")</f>
        <v>Guía Operativa</v>
      </c>
      <c r="F138" s="10" t="str">
        <f ca="1">IFERROR(__xludf.DUMMYFUNCTION("""COMPUTED_VALUE"""),"MUNICIPALIDAD DE CORRAL")</f>
        <v>MUNICIPALIDAD DE CORRAL</v>
      </c>
      <c r="G138" s="71">
        <f ca="1">IFERROR(__xludf.DUMMYFUNCTION("""COMPUTED_VALUE"""),74052000)</f>
        <v>74052000</v>
      </c>
      <c r="H138" s="10" t="str">
        <f ca="1">IFERROR(__xludf.DUMMYFUNCTION("""COMPUTED_VALUE"""),"Resolución")</f>
        <v>Resolución</v>
      </c>
      <c r="I138" s="10" t="str">
        <f ca="1">IFERROR(__xludf.DUMMYFUNCTION("""COMPUTED_VALUE"""),"Asistencia Técnica")</f>
        <v>Asistencia Técnica</v>
      </c>
      <c r="J138" s="10" t="str">
        <f ca="1">IFERROR(__xludf.DUMMYFUNCTION("""COMPUTED_VALUE"""),"Cumplir con normativa y reglamentos internos del programa en base a los objetivos.")</f>
        <v>Cumplir con normativa y reglamentos internos del programa en base a los objetivos.</v>
      </c>
      <c r="K138" s="71">
        <f ca="1">IFERROR(__xludf.DUMMYFUNCTION("""COMPUTED_VALUE"""),74052000)</f>
        <v>74052000</v>
      </c>
      <c r="L138" s="27">
        <f ca="1">IFERROR(__xludf.DUMMYFUNCTION("""COMPUTED_VALUE"""),1)</f>
        <v>1</v>
      </c>
      <c r="M138" s="10" t="str">
        <f ca="1">IFERROR(__xludf.DUMMYFUNCTION("""COMPUTED_VALUE"""),"5776/2024")</f>
        <v>5776/2024</v>
      </c>
      <c r="N138" s="10" t="str">
        <f ca="1">IFERROR(__xludf.DUMMYFUNCTION("""COMPUTED_VALUE"""),"PMB")</f>
        <v>PMB</v>
      </c>
      <c r="O138" s="59"/>
      <c r="P138" s="1"/>
      <c r="Q138" s="1"/>
      <c r="R138" s="1"/>
      <c r="S138" s="1"/>
      <c r="T138" s="1"/>
      <c r="U138" s="1"/>
      <c r="V138" s="1"/>
      <c r="W138" s="1"/>
      <c r="X138" s="1"/>
      <c r="Y138" s="1"/>
      <c r="Z138" s="1"/>
      <c r="AA138" s="1"/>
    </row>
    <row r="139" spans="1:27" ht="12.75" customHeight="1">
      <c r="A139" s="1"/>
      <c r="B139" s="10" t="str">
        <f ca="1">IFERROR(__xludf.DUMMYFUNCTION("""COMPUTED_VALUE"""),"CAMBIO DE LUMINARIAS SECTOR CENTRO, POBLACIÓN SAN RAFAEL")</f>
        <v>CAMBIO DE LUMINARIAS SECTOR CENTRO, POBLACIÓN SAN RAFAEL</v>
      </c>
      <c r="C139" s="10" t="str">
        <f ca="1">IFERROR(__xludf.DUMMYFUNCTION("""COMPUTED_VALUE"""),"13112230704-C")</f>
        <v>13112230704-C</v>
      </c>
      <c r="D139" s="26" t="str">
        <f t="shared" ca="1" si="0"/>
        <v xml:space="preserve"> LA PINTANA</v>
      </c>
      <c r="E139" s="10" t="str">
        <f ca="1">IFERROR(__xludf.DUMMYFUNCTION("""COMPUTED_VALUE"""),"Guía Operativa")</f>
        <v>Guía Operativa</v>
      </c>
      <c r="F139" s="10" t="str">
        <f ca="1">IFERROR(__xludf.DUMMYFUNCTION("""COMPUTED_VALUE"""),"MUNICIPALIDAD DE LA PINTANA")</f>
        <v>MUNICIPALIDAD DE LA PINTANA</v>
      </c>
      <c r="G139" s="71">
        <f ca="1">IFERROR(__xludf.DUMMYFUNCTION("""COMPUTED_VALUE"""),245009680)</f>
        <v>245009680</v>
      </c>
      <c r="H139" s="10" t="str">
        <f ca="1">IFERROR(__xludf.DUMMYFUNCTION("""COMPUTED_VALUE"""),"Resolución")</f>
        <v>Resolución</v>
      </c>
      <c r="I139" s="10" t="str">
        <f ca="1">IFERROR(__xludf.DUMMYFUNCTION("""COMPUTED_VALUE"""),"Obra")</f>
        <v>Obra</v>
      </c>
      <c r="J139" s="10" t="str">
        <f ca="1">IFERROR(__xludf.DUMMYFUNCTION("""COMPUTED_VALUE"""),"Cumplir con normativa y reglamentos internos del programa en base a los objetivos.")</f>
        <v>Cumplir con normativa y reglamentos internos del programa en base a los objetivos.</v>
      </c>
      <c r="K139" s="71">
        <f ca="1">IFERROR(__xludf.DUMMYFUNCTION("""COMPUTED_VALUE"""),245009680)</f>
        <v>245009680</v>
      </c>
      <c r="L139" s="27">
        <f ca="1">IFERROR(__xludf.DUMMYFUNCTION("""COMPUTED_VALUE"""),1)</f>
        <v>1</v>
      </c>
      <c r="M139" s="10" t="str">
        <f ca="1">IFERROR(__xludf.DUMMYFUNCTION("""COMPUTED_VALUE"""),"5786/2024")</f>
        <v>5786/2024</v>
      </c>
      <c r="N139" s="10" t="str">
        <f ca="1">IFERROR(__xludf.DUMMYFUNCTION("""COMPUTED_VALUE"""),"PMB")</f>
        <v>PMB</v>
      </c>
      <c r="O139" s="59"/>
      <c r="P139" s="1"/>
      <c r="Q139" s="1"/>
      <c r="R139" s="1"/>
      <c r="S139" s="1"/>
      <c r="T139" s="1"/>
      <c r="U139" s="1"/>
      <c r="V139" s="1"/>
      <c r="W139" s="1"/>
      <c r="X139" s="1"/>
      <c r="Y139" s="1"/>
      <c r="Z139" s="1"/>
      <c r="AA139" s="1"/>
    </row>
    <row r="140" spans="1:27" ht="12.75" customHeight="1">
      <c r="A140" s="1"/>
      <c r="B140" s="10" t="str">
        <f ca="1">IFERROR(__xludf.DUMMYFUNCTION("""COMPUTED_VALUE"""),"CAMBIO DE LUMINARIAS SECTOR CENTRO, POBLACIÓN SAN RICARDO")</f>
        <v>CAMBIO DE LUMINARIAS SECTOR CENTRO, POBLACIÓN SAN RICARDO</v>
      </c>
      <c r="C140" s="10" t="str">
        <f ca="1">IFERROR(__xludf.DUMMYFUNCTION("""COMPUTED_VALUE"""),"13112230706-C")</f>
        <v>13112230706-C</v>
      </c>
      <c r="D140" s="26" t="str">
        <f t="shared" ca="1" si="0"/>
        <v xml:space="preserve"> LA PINTANA</v>
      </c>
      <c r="E140" s="10" t="str">
        <f ca="1">IFERROR(__xludf.DUMMYFUNCTION("""COMPUTED_VALUE"""),"Guía Operativa")</f>
        <v>Guía Operativa</v>
      </c>
      <c r="F140" s="10" t="str">
        <f ca="1">IFERROR(__xludf.DUMMYFUNCTION("""COMPUTED_VALUE"""),"MUNICIPALIDAD DE LA PINTANA")</f>
        <v>MUNICIPALIDAD DE LA PINTANA</v>
      </c>
      <c r="G140" s="71">
        <f ca="1">IFERROR(__xludf.DUMMYFUNCTION("""COMPUTED_VALUE"""),266465023)</f>
        <v>266465023</v>
      </c>
      <c r="H140" s="10" t="str">
        <f ca="1">IFERROR(__xludf.DUMMYFUNCTION("""COMPUTED_VALUE"""),"Resolución")</f>
        <v>Resolución</v>
      </c>
      <c r="I140" s="10" t="str">
        <f ca="1">IFERROR(__xludf.DUMMYFUNCTION("""COMPUTED_VALUE"""),"Obra")</f>
        <v>Obra</v>
      </c>
      <c r="J140" s="10" t="str">
        <f ca="1">IFERROR(__xludf.DUMMYFUNCTION("""COMPUTED_VALUE"""),"Cumplir con normativa y reglamentos internos del programa en base a los objetivos.")</f>
        <v>Cumplir con normativa y reglamentos internos del programa en base a los objetivos.</v>
      </c>
      <c r="K140" s="71">
        <f ca="1">IFERROR(__xludf.DUMMYFUNCTION("""COMPUTED_VALUE"""),266465023)</f>
        <v>266465023</v>
      </c>
      <c r="L140" s="27">
        <f ca="1">IFERROR(__xludf.DUMMYFUNCTION("""COMPUTED_VALUE"""),1)</f>
        <v>1</v>
      </c>
      <c r="M140" s="10" t="str">
        <f ca="1">IFERROR(__xludf.DUMMYFUNCTION("""COMPUTED_VALUE"""),"5786/2024")</f>
        <v>5786/2024</v>
      </c>
      <c r="N140" s="10" t="str">
        <f ca="1">IFERROR(__xludf.DUMMYFUNCTION("""COMPUTED_VALUE"""),"PMB")</f>
        <v>PMB</v>
      </c>
      <c r="O140" s="59"/>
      <c r="P140" s="1"/>
      <c r="Q140" s="1"/>
      <c r="R140" s="1"/>
      <c r="S140" s="1"/>
      <c r="T140" s="1"/>
      <c r="U140" s="1"/>
      <c r="V140" s="1"/>
      <c r="W140" s="1"/>
      <c r="X140" s="1"/>
      <c r="Y140" s="1"/>
      <c r="Z140" s="1"/>
      <c r="AA140" s="1"/>
    </row>
    <row r="141" spans="1:27" ht="12.75" customHeight="1">
      <c r="A141" s="1"/>
      <c r="B141" s="10" t="str">
        <f ca="1">IFERROR(__xludf.DUMMYFUNCTION("""COMPUTED_VALUE"""),"ASISTENCIA TÉCNICA PARA EL DISEÑO DE PROYECTOS Y CATASTRO DE SANEAMIENTO SANITARIO, COMUNA DE RÁNQUIL.")</f>
        <v>ASISTENCIA TÉCNICA PARA EL DISEÑO DE PROYECTOS Y CATASTRO DE SANEAMIENTO SANITARIO, COMUNA DE RÁNQUIL.</v>
      </c>
      <c r="C141" s="10" t="str">
        <f ca="1">IFERROR(__xludf.DUMMYFUNCTION("""COMPUTED_VALUE"""),"16206241002-C")</f>
        <v>16206241002-C</v>
      </c>
      <c r="D141" s="26" t="str">
        <f t="shared" ca="1" si="0"/>
        <v xml:space="preserve"> RÁNQUIL</v>
      </c>
      <c r="E141" s="10" t="str">
        <f ca="1">IFERROR(__xludf.DUMMYFUNCTION("""COMPUTED_VALUE"""),"Guía Operativa")</f>
        <v>Guía Operativa</v>
      </c>
      <c r="F141" s="10" t="str">
        <f ca="1">IFERROR(__xludf.DUMMYFUNCTION("""COMPUTED_VALUE"""),"MUNICIPALIDAD DE RÁNQUIL")</f>
        <v>MUNICIPALIDAD DE RÁNQUIL</v>
      </c>
      <c r="G141" s="71">
        <f ca="1">IFERROR(__xludf.DUMMYFUNCTION("""COMPUTED_VALUE"""),86400000)</f>
        <v>86400000</v>
      </c>
      <c r="H141" s="10" t="str">
        <f ca="1">IFERROR(__xludf.DUMMYFUNCTION("""COMPUTED_VALUE"""),"Resolución")</f>
        <v>Resolución</v>
      </c>
      <c r="I141" s="10" t="str">
        <f ca="1">IFERROR(__xludf.DUMMYFUNCTION("""COMPUTED_VALUE"""),"Asistencia Técnica")</f>
        <v>Asistencia Técnica</v>
      </c>
      <c r="J141" s="10" t="str">
        <f ca="1">IFERROR(__xludf.DUMMYFUNCTION("""COMPUTED_VALUE"""),"Cumplir con normativa y reglamentos internos del programa en base a los objetivos.")</f>
        <v>Cumplir con normativa y reglamentos internos del programa en base a los objetivos.</v>
      </c>
      <c r="K141" s="71">
        <f ca="1">IFERROR(__xludf.DUMMYFUNCTION("""COMPUTED_VALUE"""),86400000)</f>
        <v>86400000</v>
      </c>
      <c r="L141" s="27">
        <f ca="1">IFERROR(__xludf.DUMMYFUNCTION("""COMPUTED_VALUE"""),1)</f>
        <v>1</v>
      </c>
      <c r="M141" s="10" t="str">
        <f ca="1">IFERROR(__xludf.DUMMYFUNCTION("""COMPUTED_VALUE"""),"6696/2024")</f>
        <v>6696/2024</v>
      </c>
      <c r="N141" s="10" t="str">
        <f ca="1">IFERROR(__xludf.DUMMYFUNCTION("""COMPUTED_VALUE"""),"PMB")</f>
        <v>PMB</v>
      </c>
      <c r="O141" s="59"/>
      <c r="P141" s="1"/>
      <c r="Q141" s="1"/>
      <c r="R141" s="1"/>
      <c r="S141" s="1"/>
      <c r="T141" s="1"/>
      <c r="U141" s="1"/>
      <c r="V141" s="1"/>
      <c r="W141" s="1"/>
      <c r="X141" s="1"/>
      <c r="Y141" s="1"/>
      <c r="Z141" s="1"/>
      <c r="AA141" s="1"/>
    </row>
    <row r="142" spans="1:27" ht="12.75" customHeight="1">
      <c r="A142" s="1"/>
      <c r="B142" s="10" t="str">
        <f ca="1">IFERROR(__xludf.DUMMYFUNCTION("""COMPUTED_VALUE"""),"ASISTENCIA TECNICA PARA SOLUCIONES SANITARIAS DE AGUA POTABLE Y AGUAS SERVIDAS DE DIVERSOS SECTORES DE LA COMUNA DE PINTO")</f>
        <v>ASISTENCIA TECNICA PARA SOLUCIONES SANITARIAS DE AGUA POTABLE Y AGUAS SERVIDAS DE DIVERSOS SECTORES DE LA COMUNA DE PINTO</v>
      </c>
      <c r="C142" s="10" t="str">
        <f ca="1">IFERROR(__xludf.DUMMYFUNCTION("""COMPUTED_VALUE"""),"16106231003-C")</f>
        <v>16106231003-C</v>
      </c>
      <c r="D142" s="26" t="str">
        <f t="shared" ca="1" si="0"/>
        <v xml:space="preserve"> PINTO</v>
      </c>
      <c r="E142" s="10" t="str">
        <f ca="1">IFERROR(__xludf.DUMMYFUNCTION("""COMPUTED_VALUE"""),"Guía Operativa")</f>
        <v>Guía Operativa</v>
      </c>
      <c r="F142" s="10" t="str">
        <f ca="1">IFERROR(__xludf.DUMMYFUNCTION("""COMPUTED_VALUE"""),"MUNICIPALIDAD DE PINTO")</f>
        <v>MUNICIPALIDAD DE PINTO</v>
      </c>
      <c r="G142" s="71">
        <f ca="1">IFERROR(__xludf.DUMMYFUNCTION("""COMPUTED_VALUE"""),76800000)</f>
        <v>76800000</v>
      </c>
      <c r="H142" s="10" t="str">
        <f ca="1">IFERROR(__xludf.DUMMYFUNCTION("""COMPUTED_VALUE"""),"Resolución")</f>
        <v>Resolución</v>
      </c>
      <c r="I142" s="10" t="str">
        <f ca="1">IFERROR(__xludf.DUMMYFUNCTION("""COMPUTED_VALUE"""),"Asistencia Técnica")</f>
        <v>Asistencia Técnica</v>
      </c>
      <c r="J142" s="10" t="str">
        <f ca="1">IFERROR(__xludf.DUMMYFUNCTION("""COMPUTED_VALUE"""),"Cumplir con normativa y reglamentos internos del programa en base a los objetivos.")</f>
        <v>Cumplir con normativa y reglamentos internos del programa en base a los objetivos.</v>
      </c>
      <c r="K142" s="71">
        <f ca="1">IFERROR(__xludf.DUMMYFUNCTION("""COMPUTED_VALUE"""),76800000)</f>
        <v>76800000</v>
      </c>
      <c r="L142" s="27">
        <f ca="1">IFERROR(__xludf.DUMMYFUNCTION("""COMPUTED_VALUE"""),1)</f>
        <v>1</v>
      </c>
      <c r="M142" s="10" t="str">
        <f ca="1">IFERROR(__xludf.DUMMYFUNCTION("""COMPUTED_VALUE"""),"6697/2024")</f>
        <v>6697/2024</v>
      </c>
      <c r="N142" s="10" t="str">
        <f ca="1">IFERROR(__xludf.DUMMYFUNCTION("""COMPUTED_VALUE"""),"PMB")</f>
        <v>PMB</v>
      </c>
      <c r="O142" s="59"/>
      <c r="P142" s="1"/>
      <c r="Q142" s="1"/>
      <c r="R142" s="1"/>
      <c r="S142" s="1"/>
      <c r="T142" s="1"/>
      <c r="U142" s="1"/>
      <c r="V142" s="1"/>
      <c r="W142" s="1"/>
      <c r="X142" s="1"/>
      <c r="Y142" s="1"/>
      <c r="Z142" s="1"/>
      <c r="AA142" s="1"/>
    </row>
    <row r="143" spans="1:27" ht="12.75" customHeight="1">
      <c r="A143" s="1"/>
      <c r="B143" s="10" t="str">
        <f ca="1">IFERROR(__xludf.DUMMYFUNCTION("""COMPUTED_VALUE"""),"(SATE) ESTUDIO PLAN DE OPERACIÓN, CIERRE Y SELLADO VERTEDERO MUNICIPAL PUQUELDON")</f>
        <v>(SATE) ESTUDIO PLAN DE OPERACIÓN, CIERRE Y SELLADO VERTEDERO MUNICIPAL PUQUELDON</v>
      </c>
      <c r="C143" s="10" t="str">
        <f ca="1">IFERROR(__xludf.DUMMYFUNCTION("""COMPUTED_VALUE"""),"10206220402-C")</f>
        <v>10206220402-C</v>
      </c>
      <c r="D143" s="26" t="str">
        <f t="shared" ca="1" si="0"/>
        <v xml:space="preserve"> PUQUELDÓN</v>
      </c>
      <c r="E143" s="10" t="str">
        <f ca="1">IFERROR(__xludf.DUMMYFUNCTION("""COMPUTED_VALUE"""),"Guía Operativa")</f>
        <v>Guía Operativa</v>
      </c>
      <c r="F143" s="10" t="str">
        <f ca="1">IFERROR(__xludf.DUMMYFUNCTION("""COMPUTED_VALUE"""),"MUNICIPALIDAD DE PUQUELDÓN")</f>
        <v>MUNICIPALIDAD DE PUQUELDÓN</v>
      </c>
      <c r="G143" s="71">
        <f ca="1">IFERROR(__xludf.DUMMYFUNCTION("""COMPUTED_VALUE"""),84226162)</f>
        <v>84226162</v>
      </c>
      <c r="H143" s="10" t="str">
        <f ca="1">IFERROR(__xludf.DUMMYFUNCTION("""COMPUTED_VALUE"""),"Resolución")</f>
        <v>Resolución</v>
      </c>
      <c r="I143" s="10" t="str">
        <f ca="1">IFERROR(__xludf.DUMMYFUNCTION("""COMPUTED_VALUE"""),"Estudio")</f>
        <v>Estudio</v>
      </c>
      <c r="J143" s="10" t="str">
        <f ca="1">IFERROR(__xludf.DUMMYFUNCTION("""COMPUTED_VALUE"""),"Cumplir con normativa y reglamentos internos del programa en base a los objetivos.")</f>
        <v>Cumplir con normativa y reglamentos internos del programa en base a los objetivos.</v>
      </c>
      <c r="K143" s="71">
        <f ca="1">IFERROR(__xludf.DUMMYFUNCTION("""COMPUTED_VALUE"""),84226162)</f>
        <v>84226162</v>
      </c>
      <c r="L143" s="27">
        <f ca="1">IFERROR(__xludf.DUMMYFUNCTION("""COMPUTED_VALUE"""),1)</f>
        <v>1</v>
      </c>
      <c r="M143" s="10" t="str">
        <f ca="1">IFERROR(__xludf.DUMMYFUNCTION("""COMPUTED_VALUE"""),"6495/2024")</f>
        <v>6495/2024</v>
      </c>
      <c r="N143" s="10" t="str">
        <f ca="1">IFERROR(__xludf.DUMMYFUNCTION("""COMPUTED_VALUE"""),"PMB")</f>
        <v>PMB</v>
      </c>
      <c r="O143" s="59"/>
      <c r="P143" s="1"/>
      <c r="Q143" s="1"/>
      <c r="R143" s="1"/>
      <c r="S143" s="1"/>
      <c r="T143" s="1"/>
      <c r="U143" s="1"/>
      <c r="V143" s="1"/>
      <c r="W143" s="1"/>
      <c r="X143" s="1"/>
      <c r="Y143" s="1"/>
      <c r="Z143" s="1"/>
      <c r="AA143" s="1"/>
    </row>
    <row r="144" spans="1:27" ht="12.75" customHeight="1">
      <c r="A144" s="1"/>
      <c r="B144" s="10" t="str">
        <f ca="1">IFERROR(__xludf.DUMMYFUNCTION("""COMPUTED_VALUE"""),"ESTUDIO DE ALTERNATIVAS DE MANEJO DE RSM Y SELECCIÓN DE TERRENO PARA DISPOSICIÓN FINAL - COMUNA DE PUQUELDÓN")</f>
        <v>ESTUDIO DE ALTERNATIVAS DE MANEJO DE RSM Y SELECCIÓN DE TERRENO PARA DISPOSICIÓN FINAL - COMUNA DE PUQUELDÓN</v>
      </c>
      <c r="C144" s="10" t="str">
        <f ca="1">IFERROR(__xludf.DUMMYFUNCTION("""COMPUTED_VALUE"""),"10206230401-C")</f>
        <v>10206230401-C</v>
      </c>
      <c r="D144" s="26" t="str">
        <f t="shared" ca="1" si="0"/>
        <v xml:space="preserve"> PUQUELDÓN</v>
      </c>
      <c r="E144" s="10" t="str">
        <f ca="1">IFERROR(__xludf.DUMMYFUNCTION("""COMPUTED_VALUE"""),"Guía Operativa")</f>
        <v>Guía Operativa</v>
      </c>
      <c r="F144" s="10" t="str">
        <f ca="1">IFERROR(__xludf.DUMMYFUNCTION("""COMPUTED_VALUE"""),"MUNICIPALIDAD DE PUQUELDÓN")</f>
        <v>MUNICIPALIDAD DE PUQUELDÓN</v>
      </c>
      <c r="G144" s="71">
        <f ca="1">IFERROR(__xludf.DUMMYFUNCTION("""COMPUTED_VALUE"""),157407408)</f>
        <v>157407408</v>
      </c>
      <c r="H144" s="10" t="str">
        <f ca="1">IFERROR(__xludf.DUMMYFUNCTION("""COMPUTED_VALUE"""),"Resolución")</f>
        <v>Resolución</v>
      </c>
      <c r="I144" s="10" t="str">
        <f ca="1">IFERROR(__xludf.DUMMYFUNCTION("""COMPUTED_VALUE"""),"Estudio")</f>
        <v>Estudio</v>
      </c>
      <c r="J144" s="10" t="str">
        <f ca="1">IFERROR(__xludf.DUMMYFUNCTION("""COMPUTED_VALUE"""),"Cumplir con normativa y reglamentos internos del programa en base a los objetivos.")</f>
        <v>Cumplir con normativa y reglamentos internos del programa en base a los objetivos.</v>
      </c>
      <c r="K144" s="71">
        <f ca="1">IFERROR(__xludf.DUMMYFUNCTION("""COMPUTED_VALUE"""),157407408)</f>
        <v>157407408</v>
      </c>
      <c r="L144" s="27">
        <f ca="1">IFERROR(__xludf.DUMMYFUNCTION("""COMPUTED_VALUE"""),1)</f>
        <v>1</v>
      </c>
      <c r="M144" s="10" t="str">
        <f ca="1">IFERROR(__xludf.DUMMYFUNCTION("""COMPUTED_VALUE"""),"6495/2024")</f>
        <v>6495/2024</v>
      </c>
      <c r="N144" s="10" t="str">
        <f ca="1">IFERROR(__xludf.DUMMYFUNCTION("""COMPUTED_VALUE"""),"PMB")</f>
        <v>PMB</v>
      </c>
      <c r="O144" s="59"/>
      <c r="P144" s="1"/>
      <c r="Q144" s="1"/>
      <c r="R144" s="1"/>
      <c r="S144" s="1"/>
      <c r="T144" s="1"/>
      <c r="U144" s="1"/>
      <c r="V144" s="1"/>
      <c r="W144" s="1"/>
      <c r="X144" s="1"/>
      <c r="Y144" s="1"/>
      <c r="Z144" s="1"/>
      <c r="AA144" s="1"/>
    </row>
    <row r="145" spans="1:27" ht="12.75" customHeight="1">
      <c r="A145" s="1"/>
      <c r="B145" s="10" t="str">
        <f ca="1">IFERROR(__xludf.DUMMYFUNCTION("""COMPUTED_VALUE"""),"GENERACION DE PROYECTOS PARA LA COMUNA DE CHAITÉN")</f>
        <v>GENERACION DE PROYECTOS PARA LA COMUNA DE CHAITÉN</v>
      </c>
      <c r="C145" s="10" t="str">
        <f ca="1">IFERROR(__xludf.DUMMYFUNCTION("""COMPUTED_VALUE"""),"10401231001-C")</f>
        <v>10401231001-C</v>
      </c>
      <c r="D145" s="26" t="str">
        <f t="shared" ca="1" si="0"/>
        <v xml:space="preserve"> CHAITÉN</v>
      </c>
      <c r="E145" s="10" t="str">
        <f ca="1">IFERROR(__xludf.DUMMYFUNCTION("""COMPUTED_VALUE"""),"Guía Operativa")</f>
        <v>Guía Operativa</v>
      </c>
      <c r="F145" s="10" t="str">
        <f ca="1">IFERROR(__xludf.DUMMYFUNCTION("""COMPUTED_VALUE"""),"MUNICIPALIDAD DE CHAITÉN")</f>
        <v>MUNICIPALIDAD DE CHAITÉN</v>
      </c>
      <c r="G145" s="71">
        <f ca="1">IFERROR(__xludf.DUMMYFUNCTION("""COMPUTED_VALUE"""),91200000)</f>
        <v>91200000</v>
      </c>
      <c r="H145" s="10" t="str">
        <f ca="1">IFERROR(__xludf.DUMMYFUNCTION("""COMPUTED_VALUE"""),"Resolución")</f>
        <v>Resolución</v>
      </c>
      <c r="I145" s="10" t="str">
        <f ca="1">IFERROR(__xludf.DUMMYFUNCTION("""COMPUTED_VALUE"""),"Asistencia Técnica")</f>
        <v>Asistencia Técnica</v>
      </c>
      <c r="J145" s="10" t="str">
        <f ca="1">IFERROR(__xludf.DUMMYFUNCTION("""COMPUTED_VALUE"""),"Cumplir con normativa y reglamentos internos del programa en base a los objetivos.")</f>
        <v>Cumplir con normativa y reglamentos internos del programa en base a los objetivos.</v>
      </c>
      <c r="K145" s="71">
        <f ca="1">IFERROR(__xludf.DUMMYFUNCTION("""COMPUTED_VALUE"""),91200000)</f>
        <v>91200000</v>
      </c>
      <c r="L145" s="27">
        <f ca="1">IFERROR(__xludf.DUMMYFUNCTION("""COMPUTED_VALUE"""),1)</f>
        <v>1</v>
      </c>
      <c r="M145" s="10" t="str">
        <f ca="1">IFERROR(__xludf.DUMMYFUNCTION("""COMPUTED_VALUE"""),"6681/2024")</f>
        <v>6681/2024</v>
      </c>
      <c r="N145" s="10" t="str">
        <f ca="1">IFERROR(__xludf.DUMMYFUNCTION("""COMPUTED_VALUE"""),"PMB")</f>
        <v>PMB</v>
      </c>
      <c r="O145" s="59"/>
      <c r="P145" s="1"/>
      <c r="Q145" s="1"/>
      <c r="R145" s="1"/>
      <c r="S145" s="1"/>
      <c r="T145" s="1"/>
      <c r="U145" s="1"/>
      <c r="V145" s="1"/>
      <c r="W145" s="1"/>
      <c r="X145" s="1"/>
      <c r="Y145" s="1"/>
      <c r="Z145" s="1"/>
      <c r="AA145" s="1"/>
    </row>
    <row r="146" spans="1:27" ht="12.75" customHeight="1">
      <c r="A146" s="1"/>
      <c r="B146" s="10" t="str">
        <f ca="1">IFERROR(__xludf.DUMMYFUNCTION("""COMPUTED_VALUE"""),"ASISTENCIA TECNICA PARA LA FORMULACION DE PROYECTOS AÑO 2024")</f>
        <v>ASISTENCIA TECNICA PARA LA FORMULACION DE PROYECTOS AÑO 2024</v>
      </c>
      <c r="C146" s="10" t="str">
        <f ca="1">IFERROR(__xludf.DUMMYFUNCTION("""COMPUTED_VALUE"""),"10304241001-C")</f>
        <v>10304241001-C</v>
      </c>
      <c r="D146" s="26" t="str">
        <f t="shared" ca="1" si="0"/>
        <v xml:space="preserve"> PUYEHUE</v>
      </c>
      <c r="E146" s="10" t="str">
        <f ca="1">IFERROR(__xludf.DUMMYFUNCTION("""COMPUTED_VALUE"""),"Guía Operativa")</f>
        <v>Guía Operativa</v>
      </c>
      <c r="F146" s="10" t="str">
        <f ca="1">IFERROR(__xludf.DUMMYFUNCTION("""COMPUTED_VALUE"""),"MUNICIPALIDAD DE PUYEHUE")</f>
        <v>MUNICIPALIDAD DE PUYEHUE</v>
      </c>
      <c r="G146" s="71">
        <f ca="1">IFERROR(__xludf.DUMMYFUNCTION("""COMPUTED_VALUE"""),68400000)</f>
        <v>68400000</v>
      </c>
      <c r="H146" s="10" t="str">
        <f ca="1">IFERROR(__xludf.DUMMYFUNCTION("""COMPUTED_VALUE"""),"Resolución")</f>
        <v>Resolución</v>
      </c>
      <c r="I146" s="10" t="str">
        <f ca="1">IFERROR(__xludf.DUMMYFUNCTION("""COMPUTED_VALUE"""),"Asistencia Técnica")</f>
        <v>Asistencia Técnica</v>
      </c>
      <c r="J146" s="10" t="str">
        <f ca="1">IFERROR(__xludf.DUMMYFUNCTION("""COMPUTED_VALUE"""),"Cumplir con normativa y reglamentos internos del programa en base a los objetivos.")</f>
        <v>Cumplir con normativa y reglamentos internos del programa en base a los objetivos.</v>
      </c>
      <c r="K146" s="71">
        <f ca="1">IFERROR(__xludf.DUMMYFUNCTION("""COMPUTED_VALUE"""),68400000)</f>
        <v>68400000</v>
      </c>
      <c r="L146" s="27">
        <f ca="1">IFERROR(__xludf.DUMMYFUNCTION("""COMPUTED_VALUE"""),1)</f>
        <v>1</v>
      </c>
      <c r="M146" s="10" t="str">
        <f ca="1">IFERROR(__xludf.DUMMYFUNCTION("""COMPUTED_VALUE"""),"6680/2024")</f>
        <v>6680/2024</v>
      </c>
      <c r="N146" s="10" t="str">
        <f ca="1">IFERROR(__xludf.DUMMYFUNCTION("""COMPUTED_VALUE"""),"PMB")</f>
        <v>PMB</v>
      </c>
      <c r="O146" s="59"/>
      <c r="P146" s="1"/>
      <c r="Q146" s="1"/>
      <c r="R146" s="1"/>
      <c r="S146" s="1"/>
      <c r="T146" s="1"/>
      <c r="U146" s="1"/>
      <c r="V146" s="1"/>
      <c r="W146" s="1"/>
      <c r="X146" s="1"/>
      <c r="Y146" s="1"/>
      <c r="Z146" s="1"/>
      <c r="AA146" s="1"/>
    </row>
    <row r="147" spans="1:27" ht="12.75" customHeight="1">
      <c r="A147" s="1"/>
      <c r="B147" s="10" t="str">
        <f ca="1">IFERROR(__xludf.DUMMYFUNCTION("""COMPUTED_VALUE"""),"ASISTENCIA TÉCNICA PARA PROYECTOS DE MEJORAMIENTO URBANO E INFRAESTRUCTURA SANITARIA COMUNA DE PALENA.")</f>
        <v>ASISTENCIA TÉCNICA PARA PROYECTOS DE MEJORAMIENTO URBANO E INFRAESTRUCTURA SANITARIA COMUNA DE PALENA.</v>
      </c>
      <c r="C147" s="10" t="str">
        <f ca="1">IFERROR(__xludf.DUMMYFUNCTION("""COMPUTED_VALUE"""),"10404231002-C")</f>
        <v>10404231002-C</v>
      </c>
      <c r="D147" s="26" t="str">
        <f t="shared" ca="1" si="0"/>
        <v xml:space="preserve"> PALENA</v>
      </c>
      <c r="E147" s="10" t="str">
        <f ca="1">IFERROR(__xludf.DUMMYFUNCTION("""COMPUTED_VALUE"""),"Guía Operativa")</f>
        <v>Guía Operativa</v>
      </c>
      <c r="F147" s="10" t="str">
        <f ca="1">IFERROR(__xludf.DUMMYFUNCTION("""COMPUTED_VALUE"""),"MUNICIPALIDAD DE PALENA")</f>
        <v>MUNICIPALIDAD DE PALENA</v>
      </c>
      <c r="G147" s="71">
        <f ca="1">IFERROR(__xludf.DUMMYFUNCTION("""COMPUTED_VALUE"""),91200000)</f>
        <v>91200000</v>
      </c>
      <c r="H147" s="10" t="str">
        <f ca="1">IFERROR(__xludf.DUMMYFUNCTION("""COMPUTED_VALUE"""),"Resolución")</f>
        <v>Resolución</v>
      </c>
      <c r="I147" s="10" t="str">
        <f ca="1">IFERROR(__xludf.DUMMYFUNCTION("""COMPUTED_VALUE"""),"Asistencia Técnica")</f>
        <v>Asistencia Técnica</v>
      </c>
      <c r="J147" s="10" t="str">
        <f ca="1">IFERROR(__xludf.DUMMYFUNCTION("""COMPUTED_VALUE"""),"Cumplir con normativa y reglamentos internos del programa en base a los objetivos.")</f>
        <v>Cumplir con normativa y reglamentos internos del programa en base a los objetivos.</v>
      </c>
      <c r="K147" s="71">
        <f ca="1">IFERROR(__xludf.DUMMYFUNCTION("""COMPUTED_VALUE"""),91200000)</f>
        <v>91200000</v>
      </c>
      <c r="L147" s="27">
        <f ca="1">IFERROR(__xludf.DUMMYFUNCTION("""COMPUTED_VALUE"""),1)</f>
        <v>1</v>
      </c>
      <c r="M147" s="10" t="str">
        <f ca="1">IFERROR(__xludf.DUMMYFUNCTION("""COMPUTED_VALUE"""),"6682/2024")</f>
        <v>6682/2024</v>
      </c>
      <c r="N147" s="10" t="str">
        <f ca="1">IFERROR(__xludf.DUMMYFUNCTION("""COMPUTED_VALUE"""),"PMB")</f>
        <v>PMB</v>
      </c>
      <c r="O147" s="59"/>
      <c r="P147" s="1"/>
      <c r="Q147" s="1"/>
      <c r="R147" s="1"/>
      <c r="S147" s="1"/>
      <c r="T147" s="1"/>
      <c r="U147" s="1"/>
      <c r="V147" s="1"/>
      <c r="W147" s="1"/>
      <c r="X147" s="1"/>
      <c r="Y147" s="1"/>
      <c r="Z147" s="1"/>
      <c r="AA147" s="1"/>
    </row>
    <row r="148" spans="1:27" ht="12.75" customHeight="1">
      <c r="A148" s="1"/>
      <c r="B148" s="10" t="str">
        <f ca="1">IFERROR(__xludf.DUMMYFUNCTION("""COMPUTED_VALUE"""),"“CONSERVACIÓN RED DE AGUA POTABLE EN CALLE GENERAL LAGOS - SSR ENTRE LAGOS, PUYEHUE”")</f>
        <v>“CONSERVACIÓN RED DE AGUA POTABLE EN CALLE GENERAL LAGOS - SSR ENTRE LAGOS, PUYEHUE”</v>
      </c>
      <c r="C148" s="10" t="str">
        <f ca="1">IFERROR(__xludf.DUMMYFUNCTION("""COMPUTED_VALUE"""),"10304240701-B")</f>
        <v>10304240701-B</v>
      </c>
      <c r="D148" s="26" t="str">
        <f t="shared" ca="1" si="0"/>
        <v xml:space="preserve"> PUYEHUE</v>
      </c>
      <c r="E148" s="10" t="str">
        <f ca="1">IFERROR(__xludf.DUMMYFUNCTION("""COMPUTED_VALUE"""),"Guía Operativa")</f>
        <v>Guía Operativa</v>
      </c>
      <c r="F148" s="10" t="str">
        <f ca="1">IFERROR(__xludf.DUMMYFUNCTION("""COMPUTED_VALUE"""),"MUNICIPALIDAD DE PUYEHUE")</f>
        <v>MUNICIPALIDAD DE PUYEHUE</v>
      </c>
      <c r="G148" s="71">
        <f ca="1">IFERROR(__xludf.DUMMYFUNCTION("""COMPUTED_VALUE"""),90000000)</f>
        <v>90000000</v>
      </c>
      <c r="H148" s="10" t="str">
        <f ca="1">IFERROR(__xludf.DUMMYFUNCTION("""COMPUTED_VALUE"""),"Resolución")</f>
        <v>Resolución</v>
      </c>
      <c r="I148" s="10" t="str">
        <f ca="1">IFERROR(__xludf.DUMMYFUNCTION("""COMPUTED_VALUE"""),"Obra")</f>
        <v>Obra</v>
      </c>
      <c r="J148" s="10" t="str">
        <f ca="1">IFERROR(__xludf.DUMMYFUNCTION("""COMPUTED_VALUE"""),"Cumplir con normativa y reglamentos internos del programa en base a los objetivos.")</f>
        <v>Cumplir con normativa y reglamentos internos del programa en base a los objetivos.</v>
      </c>
      <c r="K148" s="71">
        <f ca="1">IFERROR(__xludf.DUMMYFUNCTION("""COMPUTED_VALUE"""),90000000)</f>
        <v>90000000</v>
      </c>
      <c r="L148" s="27">
        <f ca="1">IFERROR(__xludf.DUMMYFUNCTION("""COMPUTED_VALUE"""),1)</f>
        <v>1</v>
      </c>
      <c r="M148" s="10" t="str">
        <f ca="1">IFERROR(__xludf.DUMMYFUNCTION("""COMPUTED_VALUE"""),"6685/2024")</f>
        <v>6685/2024</v>
      </c>
      <c r="N148" s="10" t="str">
        <f ca="1">IFERROR(__xludf.DUMMYFUNCTION("""COMPUTED_VALUE"""),"PMB")</f>
        <v>PMB</v>
      </c>
      <c r="O148" s="59"/>
      <c r="P148" s="1"/>
      <c r="Q148" s="1"/>
      <c r="R148" s="1"/>
      <c r="S148" s="1"/>
      <c r="T148" s="1"/>
      <c r="U148" s="1"/>
      <c r="V148" s="1"/>
      <c r="W148" s="1"/>
      <c r="X148" s="1"/>
      <c r="Y148" s="1"/>
      <c r="Z148" s="1"/>
      <c r="AA148" s="1"/>
    </row>
    <row r="149" spans="1:27" ht="12.75" customHeight="1">
      <c r="A149" s="1"/>
      <c r="B149" s="10" t="str">
        <f ca="1">IFERROR(__xludf.DUMMYFUNCTION("""COMPUTED_VALUE"""),"ASISTENCIA TÉCNICA PARA LA GESTIÓN, SUPERVISIÓN, OPTIMIZACIÓN DE LOS RSD Y TEMÁTICAS RELACIONADAS EN SAN ROSENDO")</f>
        <v>ASISTENCIA TÉCNICA PARA LA GESTIÓN, SUPERVISIÓN, OPTIMIZACIÓN DE LOS RSD Y TEMÁTICAS RELACIONADAS EN SAN ROSENDO</v>
      </c>
      <c r="C149" s="10" t="str">
        <f ca="1">IFERROR(__xludf.DUMMYFUNCTION("""COMPUTED_VALUE"""),"8310241001-C")</f>
        <v>8310241001-C</v>
      </c>
      <c r="D149" s="26" t="str">
        <f t="shared" ca="1" si="0"/>
        <v xml:space="preserve"> SAN ROSENDO</v>
      </c>
      <c r="E149" s="10" t="str">
        <f ca="1">IFERROR(__xludf.DUMMYFUNCTION("""COMPUTED_VALUE"""),"Guía Operativa")</f>
        <v>Guía Operativa</v>
      </c>
      <c r="F149" s="10" t="str">
        <f ca="1">IFERROR(__xludf.DUMMYFUNCTION("""COMPUTED_VALUE"""),"MUNICIPALIDAD DE SAN ROSENDO")</f>
        <v>MUNICIPALIDAD DE SAN ROSENDO</v>
      </c>
      <c r="G149" s="71">
        <f ca="1">IFERROR(__xludf.DUMMYFUNCTION("""COMPUTED_VALUE"""),47165760)</f>
        <v>47165760</v>
      </c>
      <c r="H149" s="10" t="str">
        <f ca="1">IFERROR(__xludf.DUMMYFUNCTION("""COMPUTED_VALUE"""),"Resolución")</f>
        <v>Resolución</v>
      </c>
      <c r="I149" s="10" t="str">
        <f ca="1">IFERROR(__xludf.DUMMYFUNCTION("""COMPUTED_VALUE"""),"Asistencia Técnica")</f>
        <v>Asistencia Técnica</v>
      </c>
      <c r="J149" s="10" t="str">
        <f ca="1">IFERROR(__xludf.DUMMYFUNCTION("""COMPUTED_VALUE"""),"Cumplir con normativa y reglamentos internos del programa en base a los objetivos.")</f>
        <v>Cumplir con normativa y reglamentos internos del programa en base a los objetivos.</v>
      </c>
      <c r="K149" s="71">
        <f ca="1">IFERROR(__xludf.DUMMYFUNCTION("""COMPUTED_VALUE"""),47165760)</f>
        <v>47165760</v>
      </c>
      <c r="L149" s="27">
        <f ca="1">IFERROR(__xludf.DUMMYFUNCTION("""COMPUTED_VALUE"""),1)</f>
        <v>1</v>
      </c>
      <c r="M149" s="10" t="str">
        <f ca="1">IFERROR(__xludf.DUMMYFUNCTION("""COMPUTED_VALUE"""),"6492/2024")</f>
        <v>6492/2024</v>
      </c>
      <c r="N149" s="10" t="str">
        <f ca="1">IFERROR(__xludf.DUMMYFUNCTION("""COMPUTED_VALUE"""),"PMB")</f>
        <v>PMB</v>
      </c>
      <c r="O149" s="59"/>
      <c r="P149" s="1"/>
      <c r="Q149" s="1"/>
      <c r="R149" s="1"/>
      <c r="S149" s="1"/>
      <c r="T149" s="1"/>
      <c r="U149" s="1"/>
      <c r="V149" s="1"/>
      <c r="W149" s="1"/>
      <c r="X149" s="1"/>
      <c r="Y149" s="1"/>
      <c r="Z149" s="1"/>
      <c r="AA149" s="1"/>
    </row>
    <row r="150" spans="1:27" ht="12.75" customHeight="1">
      <c r="A150" s="1"/>
      <c r="B150" s="10" t="str">
        <f ca="1">IFERROR(__xludf.DUMMYFUNCTION("""COMPUTED_VALUE"""),"ASISTENCIA TÉCNICA PARA GENERACIÓN DE PROYECTOS DE ENERGIZACIÓN EN ESPACIOS COMUNITARIOS, COMUNA DE NEGRETE.")</f>
        <v>ASISTENCIA TÉCNICA PARA GENERACIÓN DE PROYECTOS DE ENERGIZACIÓN EN ESPACIOS COMUNITARIOS, COMUNA DE NEGRETE.</v>
      </c>
      <c r="C150" s="10" t="str">
        <f ca="1">IFERROR(__xludf.DUMMYFUNCTION("""COMPUTED_VALUE"""),"8307241001-C")</f>
        <v>8307241001-C</v>
      </c>
      <c r="D150" s="26" t="str">
        <f t="shared" ca="1" si="0"/>
        <v xml:space="preserve"> NEGRETE</v>
      </c>
      <c r="E150" s="10" t="str">
        <f ca="1">IFERROR(__xludf.DUMMYFUNCTION("""COMPUTED_VALUE"""),"Guía Operativa")</f>
        <v>Guía Operativa</v>
      </c>
      <c r="F150" s="10" t="str">
        <f ca="1">IFERROR(__xludf.DUMMYFUNCTION("""COMPUTED_VALUE"""),"MUNICIPALIDAD DE NEGRETE")</f>
        <v>MUNICIPALIDAD DE NEGRETE</v>
      </c>
      <c r="G150" s="71">
        <f ca="1">IFERROR(__xludf.DUMMYFUNCTION("""COMPUTED_VALUE"""),73200000)</f>
        <v>73200000</v>
      </c>
      <c r="H150" s="10" t="str">
        <f ca="1">IFERROR(__xludf.DUMMYFUNCTION("""COMPUTED_VALUE"""),"Resolución")</f>
        <v>Resolución</v>
      </c>
      <c r="I150" s="10" t="str">
        <f ca="1">IFERROR(__xludf.DUMMYFUNCTION("""COMPUTED_VALUE"""),"Asistencia Técnica")</f>
        <v>Asistencia Técnica</v>
      </c>
      <c r="J150" s="10" t="str">
        <f ca="1">IFERROR(__xludf.DUMMYFUNCTION("""COMPUTED_VALUE"""),"Cumplir con normativa y reglamentos internos del programa en base a los objetivos.")</f>
        <v>Cumplir con normativa y reglamentos internos del programa en base a los objetivos.</v>
      </c>
      <c r="K150" s="71">
        <f ca="1">IFERROR(__xludf.DUMMYFUNCTION("""COMPUTED_VALUE"""),73200000)</f>
        <v>73200000</v>
      </c>
      <c r="L150" s="27">
        <f ca="1">IFERROR(__xludf.DUMMYFUNCTION("""COMPUTED_VALUE"""),1)</f>
        <v>1</v>
      </c>
      <c r="M150" s="10" t="str">
        <f ca="1">IFERROR(__xludf.DUMMYFUNCTION("""COMPUTED_VALUE"""),"6478/2024")</f>
        <v>6478/2024</v>
      </c>
      <c r="N150" s="10" t="str">
        <f ca="1">IFERROR(__xludf.DUMMYFUNCTION("""COMPUTED_VALUE"""),"PMB")</f>
        <v>PMB</v>
      </c>
      <c r="O150" s="59"/>
      <c r="P150" s="1"/>
      <c r="Q150" s="1"/>
      <c r="R150" s="1"/>
      <c r="S150" s="1"/>
      <c r="T150" s="1"/>
      <c r="U150" s="1"/>
      <c r="V150" s="1"/>
      <c r="W150" s="1"/>
      <c r="X150" s="1"/>
      <c r="Y150" s="1"/>
      <c r="Z150" s="1"/>
      <c r="AA150" s="1"/>
    </row>
    <row r="151" spans="1:27" ht="12.75" customHeight="1">
      <c r="A151" s="1"/>
      <c r="B151" s="10" t="str">
        <f ca="1">IFERROR(__xludf.DUMMYFUNCTION("""COMPUTED_VALUE"""),"[SATE] CONSTRUCCION RED DE AGUA POTABLE PARA LA LOCALIDAD DE CHAÑAR BLANCO, COMUNA DE PAIHUANO")</f>
        <v>[SATE] CONSTRUCCION RED DE AGUA POTABLE PARA LA LOCALIDAD DE CHAÑAR BLANCO, COMUNA DE PAIHUANO</v>
      </c>
      <c r="C151" s="10" t="str">
        <f ca="1">IFERROR(__xludf.DUMMYFUNCTION("""COMPUTED_VALUE"""),"4105230703-C")</f>
        <v>4105230703-C</v>
      </c>
      <c r="D151" s="26" t="str">
        <f t="shared" ca="1" si="0"/>
        <v xml:space="preserve"> PAIGUANO</v>
      </c>
      <c r="E151" s="10" t="str">
        <f ca="1">IFERROR(__xludf.DUMMYFUNCTION("""COMPUTED_VALUE"""),"Guía Operativa")</f>
        <v>Guía Operativa</v>
      </c>
      <c r="F151" s="10" t="str">
        <f ca="1">IFERROR(__xludf.DUMMYFUNCTION("""COMPUTED_VALUE"""),"MUNICIPALIDAD DE PAIGUANO")</f>
        <v>MUNICIPALIDAD DE PAIGUANO</v>
      </c>
      <c r="G151" s="71">
        <f ca="1">IFERROR(__xludf.DUMMYFUNCTION("""COMPUTED_VALUE"""),302540916)</f>
        <v>302540916</v>
      </c>
      <c r="H151" s="10" t="str">
        <f ca="1">IFERROR(__xludf.DUMMYFUNCTION("""COMPUTED_VALUE"""),"Resolución")</f>
        <v>Resolución</v>
      </c>
      <c r="I151" s="10" t="str">
        <f ca="1">IFERROR(__xludf.DUMMYFUNCTION("""COMPUTED_VALUE"""),"Obra")</f>
        <v>Obra</v>
      </c>
      <c r="J151" s="10" t="str">
        <f ca="1">IFERROR(__xludf.DUMMYFUNCTION("""COMPUTED_VALUE"""),"Cumplir con normativa y reglamentos internos del programa en base a los objetivos.")</f>
        <v>Cumplir con normativa y reglamentos internos del programa en base a los objetivos.</v>
      </c>
      <c r="K151" s="71">
        <f ca="1">IFERROR(__xludf.DUMMYFUNCTION("""COMPUTED_VALUE"""),302540916)</f>
        <v>302540916</v>
      </c>
      <c r="L151" s="27">
        <f ca="1">IFERROR(__xludf.DUMMYFUNCTION("""COMPUTED_VALUE"""),1)</f>
        <v>1</v>
      </c>
      <c r="M151" s="10" t="str">
        <f ca="1">IFERROR(__xludf.DUMMYFUNCTION("""COMPUTED_VALUE"""),"6698/2024")</f>
        <v>6698/2024</v>
      </c>
      <c r="N151" s="10" t="str">
        <f ca="1">IFERROR(__xludf.DUMMYFUNCTION("""COMPUTED_VALUE"""),"PMB")</f>
        <v>PMB</v>
      </c>
      <c r="O151" s="59"/>
      <c r="P151" s="1"/>
      <c r="Q151" s="1"/>
      <c r="R151" s="1"/>
      <c r="S151" s="1"/>
      <c r="T151" s="1"/>
      <c r="U151" s="1"/>
      <c r="V151" s="1"/>
      <c r="W151" s="1"/>
      <c r="X151" s="1"/>
      <c r="Y151" s="1"/>
      <c r="Z151" s="1"/>
      <c r="AA151" s="1"/>
    </row>
    <row r="152" spans="1:27" ht="12.75" customHeight="1">
      <c r="A152" s="1"/>
      <c r="B152" s="10" t="str">
        <f ca="1">IFERROR(__xludf.DUMMYFUNCTION("""COMPUTED_VALUE"""),"ASISTENCIA TECNICA PARA PROYECTOS DE SANEAMIENTO SANITARIO COMUNA DE TALCA")</f>
        <v>ASISTENCIA TECNICA PARA PROYECTOS DE SANEAMIENTO SANITARIO COMUNA DE TALCA</v>
      </c>
      <c r="C152" s="10" t="str">
        <f ca="1">IFERROR(__xludf.DUMMYFUNCTION("""COMPUTED_VALUE"""),"7101221001-C")</f>
        <v>7101221001-C</v>
      </c>
      <c r="D152" s="26" t="str">
        <f t="shared" ca="1" si="0"/>
        <v xml:space="preserve"> TALCA</v>
      </c>
      <c r="E152" s="10" t="str">
        <f ca="1">IFERROR(__xludf.DUMMYFUNCTION("""COMPUTED_VALUE"""),"Guía Operativa")</f>
        <v>Guía Operativa</v>
      </c>
      <c r="F152" s="10" t="str">
        <f ca="1">IFERROR(__xludf.DUMMYFUNCTION("""COMPUTED_VALUE"""),"MUNICIPALIDAD DE TALCA")</f>
        <v>MUNICIPALIDAD DE TALCA</v>
      </c>
      <c r="G152" s="71">
        <f ca="1">IFERROR(__xludf.DUMMYFUNCTION("""COMPUTED_VALUE"""),70800000)</f>
        <v>70800000</v>
      </c>
      <c r="H152" s="10" t="str">
        <f ca="1">IFERROR(__xludf.DUMMYFUNCTION("""COMPUTED_VALUE"""),"Resolución")</f>
        <v>Resolución</v>
      </c>
      <c r="I152" s="10" t="str">
        <f ca="1">IFERROR(__xludf.DUMMYFUNCTION("""COMPUTED_VALUE"""),"Asistencia Técnica")</f>
        <v>Asistencia Técnica</v>
      </c>
      <c r="J152" s="10" t="str">
        <f ca="1">IFERROR(__xludf.DUMMYFUNCTION("""COMPUTED_VALUE"""),"Cumplir con normativa y reglamentos internos del programa en base a los objetivos.")</f>
        <v>Cumplir con normativa y reglamentos internos del programa en base a los objetivos.</v>
      </c>
      <c r="K152" s="71">
        <f ca="1">IFERROR(__xludf.DUMMYFUNCTION("""COMPUTED_VALUE"""),13680000)</f>
        <v>13680000</v>
      </c>
      <c r="L152" s="27">
        <f ca="1">IFERROR(__xludf.DUMMYFUNCTION("""COMPUTED_VALUE"""),0.59322033898305)</f>
        <v>0.59322033898305004</v>
      </c>
      <c r="M152" s="10" t="str">
        <f ca="1">IFERROR(__xludf.DUMMYFUNCTION("""COMPUTED_VALUE"""),"1154/2022")</f>
        <v>1154/2022</v>
      </c>
      <c r="N152" s="10" t="str">
        <f ca="1">IFERROR(__xludf.DUMMYFUNCTION("""COMPUTED_VALUE"""),"PMB")</f>
        <v>PMB</v>
      </c>
      <c r="O152" s="59"/>
      <c r="P152" s="1"/>
      <c r="Q152" s="1"/>
      <c r="R152" s="1"/>
      <c r="S152" s="1"/>
      <c r="T152" s="1"/>
      <c r="U152" s="1"/>
      <c r="V152" s="1"/>
      <c r="W152" s="1"/>
      <c r="X152" s="1"/>
      <c r="Y152" s="1"/>
      <c r="Z152" s="1"/>
      <c r="AA152" s="1"/>
    </row>
    <row r="153" spans="1:27" ht="12.75" customHeight="1">
      <c r="A153" s="1"/>
      <c r="B153" s="10" t="str">
        <f ca="1">IFERROR(__xludf.DUMMYFUNCTION("""COMPUTED_VALUE"""),"CONTRATACIÓN ASISTENCIA TÉCNICA ÁREA SANEAMIENTO SANITARIO DIVERSOS SECTORES DE COMUNA DE EMPEDRADO")</f>
        <v>CONTRATACIÓN ASISTENCIA TÉCNICA ÁREA SANEAMIENTO SANITARIO DIVERSOS SECTORES DE COMUNA DE EMPEDRADO</v>
      </c>
      <c r="C153" s="10" t="str">
        <f ca="1">IFERROR(__xludf.DUMMYFUNCTION("""COMPUTED_VALUE"""),"7104221001-C")</f>
        <v>7104221001-C</v>
      </c>
      <c r="D153" s="26" t="str">
        <f t="shared" ca="1" si="0"/>
        <v xml:space="preserve"> EMPEDRADO</v>
      </c>
      <c r="E153" s="10" t="str">
        <f ca="1">IFERROR(__xludf.DUMMYFUNCTION("""COMPUTED_VALUE"""),"Guía Operativa")</f>
        <v>Guía Operativa</v>
      </c>
      <c r="F153" s="10" t="str">
        <f ca="1">IFERROR(__xludf.DUMMYFUNCTION("""COMPUTED_VALUE"""),"MUNICIPALIDAD DE EMPEDRADO")</f>
        <v>MUNICIPALIDAD DE EMPEDRADO</v>
      </c>
      <c r="G153" s="71">
        <f ca="1">IFERROR(__xludf.DUMMYFUNCTION("""COMPUTED_VALUE"""),72490608)</f>
        <v>72490608</v>
      </c>
      <c r="H153" s="10" t="str">
        <f ca="1">IFERROR(__xludf.DUMMYFUNCTION("""COMPUTED_VALUE"""),"Resolución")</f>
        <v>Resolución</v>
      </c>
      <c r="I153" s="10" t="str">
        <f ca="1">IFERROR(__xludf.DUMMYFUNCTION("""COMPUTED_VALUE"""),"Asistencia Técnica")</f>
        <v>Asistencia Técnica</v>
      </c>
      <c r="J153" s="10" t="str">
        <f ca="1">IFERROR(__xludf.DUMMYFUNCTION("""COMPUTED_VALUE"""),"Cumplir con normativa y reglamentos internos del programa en base a los objetivos.")</f>
        <v>Cumplir con normativa y reglamentos internos del programa en base a los objetivos.</v>
      </c>
      <c r="K153" s="71">
        <f ca="1">IFERROR(__xludf.DUMMYFUNCTION("""COMPUTED_VALUE"""),1549061)</f>
        <v>1549061</v>
      </c>
      <c r="L153" s="27">
        <f ca="1">IFERROR(__xludf.DUMMYFUNCTION("""COMPUTED_VALUE"""),0.421369124121568)</f>
        <v>0.42136912412156802</v>
      </c>
      <c r="M153" s="10" t="str">
        <f ca="1">IFERROR(__xludf.DUMMYFUNCTION("""COMPUTED_VALUE"""),"10297/2022")</f>
        <v>10297/2022</v>
      </c>
      <c r="N153" s="10" t="str">
        <f ca="1">IFERROR(__xludf.DUMMYFUNCTION("""COMPUTED_VALUE"""),"PMB")</f>
        <v>PMB</v>
      </c>
      <c r="O153" s="59"/>
      <c r="P153" s="1"/>
      <c r="Q153" s="1"/>
      <c r="R153" s="1"/>
      <c r="S153" s="1"/>
      <c r="T153" s="1"/>
      <c r="U153" s="1"/>
      <c r="V153" s="1"/>
      <c r="W153" s="1"/>
      <c r="X153" s="1"/>
      <c r="Y153" s="1"/>
      <c r="Z153" s="1"/>
      <c r="AA153" s="1"/>
    </row>
    <row r="154" spans="1:27" ht="12.75" customHeight="1">
      <c r="A154" s="1"/>
      <c r="B154" s="10" t="str">
        <f ca="1">IFERROR(__xludf.DUMMYFUNCTION("""COMPUTED_VALUE"""),"ABASTO DE AGUA POTABLE SECTOR REÑICO EL AVELLANO")</f>
        <v>ABASTO DE AGUA POTABLE SECTOR REÑICO EL AVELLANO</v>
      </c>
      <c r="C154" s="10" t="str">
        <f ca="1">IFERROR(__xludf.DUMMYFUNCTION("""COMPUTED_VALUE"""),"9210160710-C")</f>
        <v>9210160710-C</v>
      </c>
      <c r="D154" s="26" t="str">
        <f t="shared" ca="1" si="0"/>
        <v xml:space="preserve"> TRAIGUÉN</v>
      </c>
      <c r="E154" s="10" t="str">
        <f ca="1">IFERROR(__xludf.DUMMYFUNCTION("""COMPUTED_VALUE"""),"Guía Operativa")</f>
        <v>Guía Operativa</v>
      </c>
      <c r="F154" s="10" t="str">
        <f ca="1">IFERROR(__xludf.DUMMYFUNCTION("""COMPUTED_VALUE"""),"MUNICIPALIDAD DE TRAIGUÉN")</f>
        <v>MUNICIPALIDAD DE TRAIGUÉN</v>
      </c>
      <c r="G154" s="71">
        <f ca="1">IFERROR(__xludf.DUMMYFUNCTION("""COMPUTED_VALUE"""),88261436)</f>
        <v>88261436</v>
      </c>
      <c r="H154" s="10" t="str">
        <f ca="1">IFERROR(__xludf.DUMMYFUNCTION("""COMPUTED_VALUE"""),"Resolución")</f>
        <v>Resolución</v>
      </c>
      <c r="I154" s="10" t="str">
        <f ca="1">IFERROR(__xludf.DUMMYFUNCTION("""COMPUTED_VALUE"""),"Obra")</f>
        <v>Obra</v>
      </c>
      <c r="J154" s="10" t="str">
        <f ca="1">IFERROR(__xludf.DUMMYFUNCTION("""COMPUTED_VALUE"""),"Cumplir con normativa y reglamentos internos del programa en base a los objetivos.")</f>
        <v>Cumplir con normativa y reglamentos internos del programa en base a los objetivos.</v>
      </c>
      <c r="K154" s="71">
        <f ca="1">IFERROR(__xludf.DUMMYFUNCTION("""COMPUTED_VALUE"""),5080436)</f>
        <v>5080436</v>
      </c>
      <c r="L154" s="27">
        <f ca="1">IFERROR(__xludf.DUMMYFUNCTION("""COMPUTED_VALUE"""),0.576214735504643)</f>
        <v>0.57621473550464297</v>
      </c>
      <c r="M154" s="10" t="str">
        <f ca="1">IFERROR(__xludf.DUMMYFUNCTION("""COMPUTED_VALUE"""),"15202/2018")</f>
        <v>15202/2018</v>
      </c>
      <c r="N154" s="10" t="str">
        <f ca="1">IFERROR(__xludf.DUMMYFUNCTION("""COMPUTED_VALUE"""),"PMB")</f>
        <v>PMB</v>
      </c>
      <c r="O154" s="59"/>
      <c r="P154" s="1"/>
      <c r="Q154" s="1"/>
      <c r="R154" s="1"/>
      <c r="S154" s="1"/>
      <c r="T154" s="1"/>
      <c r="U154" s="1"/>
      <c r="V154" s="1"/>
      <c r="W154" s="1"/>
      <c r="X154" s="1"/>
      <c r="Y154" s="1"/>
      <c r="Z154" s="1"/>
      <c r="AA154" s="1"/>
    </row>
    <row r="155" spans="1:27" ht="12.75" customHeight="1">
      <c r="A155" s="1"/>
      <c r="B155" s="10" t="str">
        <f ca="1">IFERROR(__xludf.DUMMYFUNCTION("""COMPUTED_VALUE"""),"CONSTRUCCIÓN EXTENSIÓN DE RED AP Y AS CALLE ESMERALDA,")</f>
        <v>CONSTRUCCIÓN EXTENSIÓN DE RED AP Y AS CALLE ESMERALDA,</v>
      </c>
      <c r="C155" s="10" t="str">
        <f ca="1">IFERROR(__xludf.DUMMYFUNCTION("""COMPUTED_VALUE"""),"9207190705-C")</f>
        <v>9207190705-C</v>
      </c>
      <c r="D155" s="26" t="str">
        <f t="shared" ca="1" si="0"/>
        <v xml:space="preserve"> LUMACO</v>
      </c>
      <c r="E155" s="10" t="str">
        <f ca="1">IFERROR(__xludf.DUMMYFUNCTION("""COMPUTED_VALUE"""),"Guía Operativa")</f>
        <v>Guía Operativa</v>
      </c>
      <c r="F155" s="10" t="str">
        <f ca="1">IFERROR(__xludf.DUMMYFUNCTION("""COMPUTED_VALUE"""),"MUNICIPALIDAD DE LUMACO")</f>
        <v>MUNICIPALIDAD DE LUMACO</v>
      </c>
      <c r="G155" s="71">
        <f ca="1">IFERROR(__xludf.DUMMYFUNCTION("""COMPUTED_VALUE"""),41995338)</f>
        <v>41995338</v>
      </c>
      <c r="H155" s="10" t="str">
        <f ca="1">IFERROR(__xludf.DUMMYFUNCTION("""COMPUTED_VALUE"""),"Resolución")</f>
        <v>Resolución</v>
      </c>
      <c r="I155" s="10" t="str">
        <f ca="1">IFERROR(__xludf.DUMMYFUNCTION("""COMPUTED_VALUE"""),"Obra")</f>
        <v>Obra</v>
      </c>
      <c r="J155" s="10" t="str">
        <f ca="1">IFERROR(__xludf.DUMMYFUNCTION("""COMPUTED_VALUE"""),"Cumplir con normativa y reglamentos internos del programa en base a los objetivos.")</f>
        <v>Cumplir con normativa y reglamentos internos del programa en base a los objetivos.</v>
      </c>
      <c r="K155" s="71">
        <f ca="1">IFERROR(__xludf.DUMMYFUNCTION("""COMPUTED_VALUE"""),36015669)</f>
        <v>36015669</v>
      </c>
      <c r="L155" s="27">
        <f ca="1">IFERROR(__xludf.DUMMYFUNCTION("""COMPUTED_VALUE"""),0.857611123406126)</f>
        <v>0.857611123406126</v>
      </c>
      <c r="M155" s="10" t="str">
        <f ca="1">IFERROR(__xludf.DUMMYFUNCTION("""COMPUTED_VALUE"""),"9892/2020")</f>
        <v>9892/2020</v>
      </c>
      <c r="N155" s="10" t="str">
        <f ca="1">IFERROR(__xludf.DUMMYFUNCTION("""COMPUTED_VALUE"""),"PMB")</f>
        <v>PMB</v>
      </c>
      <c r="O155" s="59"/>
      <c r="P155" s="1"/>
      <c r="Q155" s="1"/>
      <c r="R155" s="1"/>
      <c r="S155" s="1"/>
      <c r="T155" s="1"/>
      <c r="U155" s="1"/>
      <c r="V155" s="1"/>
      <c r="W155" s="1"/>
      <c r="X155" s="1"/>
      <c r="Y155" s="1"/>
      <c r="Z155" s="1"/>
      <c r="AA155" s="1"/>
    </row>
    <row r="156" spans="1:27" ht="12.75" customHeight="1">
      <c r="A156" s="1"/>
      <c r="B156" s="10" t="str">
        <f ca="1">IFERROR(__xludf.DUMMYFUNCTION("""COMPUTED_VALUE"""),"DISEÑO DE SOLUCIONES DE SANEAMIENTO SANITARIO PARA LOS SECTORES DE VILLA LOS ÁNGELES, VILLA 2000 Y OTROS")</f>
        <v>DISEÑO DE SOLUCIONES DE SANEAMIENTO SANITARIO PARA LOS SECTORES DE VILLA LOS ÁNGELES, VILLA 2000 Y OTROS</v>
      </c>
      <c r="C156" s="10" t="str">
        <f ca="1">IFERROR(__xludf.DUMMYFUNCTION("""COMPUTED_VALUE"""),"7401221004-C")</f>
        <v>7401221004-C</v>
      </c>
      <c r="D156" s="26" t="str">
        <f t="shared" ca="1" si="0"/>
        <v xml:space="preserve"> LINARES</v>
      </c>
      <c r="E156" s="10" t="str">
        <f ca="1">IFERROR(__xludf.DUMMYFUNCTION("""COMPUTED_VALUE"""),"Guía Operativa")</f>
        <v>Guía Operativa</v>
      </c>
      <c r="F156" s="10" t="str">
        <f ca="1">IFERROR(__xludf.DUMMYFUNCTION("""COMPUTED_VALUE"""),"MUNICIPALIDAD DE LINARES")</f>
        <v>MUNICIPALIDAD DE LINARES</v>
      </c>
      <c r="G156" s="71">
        <f ca="1">IFERROR(__xludf.DUMMYFUNCTION("""COMPUTED_VALUE"""),46800000)</f>
        <v>46800000</v>
      </c>
      <c r="H156" s="10" t="str">
        <f ca="1">IFERROR(__xludf.DUMMYFUNCTION("""COMPUTED_VALUE"""),"Resolución")</f>
        <v>Resolución</v>
      </c>
      <c r="I156" s="10" t="str">
        <f ca="1">IFERROR(__xludf.DUMMYFUNCTION("""COMPUTED_VALUE"""),"Asistencia Técnica")</f>
        <v>Asistencia Técnica</v>
      </c>
      <c r="J156" s="10" t="str">
        <f ca="1">IFERROR(__xludf.DUMMYFUNCTION("""COMPUTED_VALUE"""),"Cumplir con normativa y reglamentos internos del programa en base a los objetivos.")</f>
        <v>Cumplir con normativa y reglamentos internos del programa en base a los objetivos.</v>
      </c>
      <c r="K156" s="71">
        <f ca="1">IFERROR(__xludf.DUMMYFUNCTION("""COMPUTED_VALUE"""),15600000)</f>
        <v>15600000</v>
      </c>
      <c r="L156" s="27">
        <f ca="1">IFERROR(__xludf.DUMMYFUNCTION("""COMPUTED_VALUE"""),0.5)</f>
        <v>0.5</v>
      </c>
      <c r="M156" s="10" t="str">
        <f ca="1">IFERROR(__xludf.DUMMYFUNCTION("""COMPUTED_VALUE"""),"6441/2023")</f>
        <v>6441/2023</v>
      </c>
      <c r="N156" s="10" t="str">
        <f ca="1">IFERROR(__xludf.DUMMYFUNCTION("""COMPUTED_VALUE"""),"PMB")</f>
        <v>PMB</v>
      </c>
      <c r="O156" s="59"/>
      <c r="P156" s="1"/>
      <c r="Q156" s="1"/>
      <c r="R156" s="1"/>
      <c r="S156" s="1"/>
      <c r="T156" s="1"/>
      <c r="U156" s="1"/>
      <c r="V156" s="1"/>
      <c r="W156" s="1"/>
      <c r="X156" s="1"/>
      <c r="Y156" s="1"/>
      <c r="Z156" s="1"/>
      <c r="AA156" s="1"/>
    </row>
    <row r="157" spans="1:27" ht="12.75" customHeight="1">
      <c r="A157" s="1"/>
      <c r="B157" s="10" t="str">
        <f ca="1">IFERROR(__xludf.DUMMYFUNCTION("""COMPUTED_VALUE"""),"ASISTENCIA TECNICA COMUNA DE YERBAS BUENAS")</f>
        <v>ASISTENCIA TECNICA COMUNA DE YERBAS BUENAS</v>
      </c>
      <c r="C157" s="10" t="str">
        <f ca="1">IFERROR(__xludf.DUMMYFUNCTION("""COMPUTED_VALUE"""),"7408231001-C")</f>
        <v>7408231001-C</v>
      </c>
      <c r="D157" s="26" t="str">
        <f t="shared" ca="1" si="0"/>
        <v xml:space="preserve"> YERBAS BUENAS</v>
      </c>
      <c r="E157" s="10" t="str">
        <f ca="1">IFERROR(__xludf.DUMMYFUNCTION("""COMPUTED_VALUE"""),"Guía Operativa")</f>
        <v>Guía Operativa</v>
      </c>
      <c r="F157" s="10" t="str">
        <f ca="1">IFERROR(__xludf.DUMMYFUNCTION("""COMPUTED_VALUE"""),"MUNICIPALIDAD DE YERBAS BUENAS")</f>
        <v>MUNICIPALIDAD DE YERBAS BUENAS</v>
      </c>
      <c r="G157" s="71">
        <f ca="1">IFERROR(__xludf.DUMMYFUNCTION("""COMPUTED_VALUE"""),97800000)</f>
        <v>97800000</v>
      </c>
      <c r="H157" s="10" t="str">
        <f ca="1">IFERROR(__xludf.DUMMYFUNCTION("""COMPUTED_VALUE"""),"Resolución")</f>
        <v>Resolución</v>
      </c>
      <c r="I157" s="10" t="str">
        <f ca="1">IFERROR(__xludf.DUMMYFUNCTION("""COMPUTED_VALUE"""),"Asistencia Técnica")</f>
        <v>Asistencia Técnica</v>
      </c>
      <c r="J157" s="10" t="str">
        <f ca="1">IFERROR(__xludf.DUMMYFUNCTION("""COMPUTED_VALUE"""),"Cumplir con normativa y reglamentos internos del programa en base a los objetivos.")</f>
        <v>Cumplir con normativa y reglamentos internos del programa en base a los objetivos.</v>
      </c>
      <c r="K157" s="71">
        <f ca="1">IFERROR(__xludf.DUMMYFUNCTION("""COMPUTED_VALUE"""),24450000)</f>
        <v>24450000</v>
      </c>
      <c r="L157" s="27">
        <f ca="1">IFERROR(__xludf.DUMMYFUNCTION("""COMPUTED_VALUE"""),0.75)</f>
        <v>0.75</v>
      </c>
      <c r="M157" s="10" t="str">
        <f ca="1">IFERROR(__xludf.DUMMYFUNCTION("""COMPUTED_VALUE"""),"8999/2023")</f>
        <v>8999/2023</v>
      </c>
      <c r="N157" s="10" t="str">
        <f ca="1">IFERROR(__xludf.DUMMYFUNCTION("""COMPUTED_VALUE"""),"PMB")</f>
        <v>PMB</v>
      </c>
      <c r="O157" s="59"/>
      <c r="P157" s="1"/>
      <c r="Q157" s="1"/>
      <c r="R157" s="1"/>
      <c r="S157" s="1"/>
      <c r="T157" s="1"/>
      <c r="U157" s="1"/>
      <c r="V157" s="1"/>
      <c r="W157" s="1"/>
      <c r="X157" s="1"/>
      <c r="Y157" s="1"/>
      <c r="Z157" s="1"/>
      <c r="AA157" s="1"/>
    </row>
    <row r="158" spans="1:27" ht="12.75" customHeight="1">
      <c r="A158" s="1"/>
      <c r="B158" s="10" t="str">
        <f ca="1">IFERROR(__xludf.DUMMYFUNCTION("""COMPUTED_VALUE"""),"ASISTENCIA TÉCNICA EVALUACIÓN Y PROPUESTA DE SOLUCIÓN PLANTAS DE TRATAMIENTOS DE AGUAS SERVIDAS")</f>
        <v>ASISTENCIA TÉCNICA EVALUACIÓN Y PROPUESTA DE SOLUCIÓN PLANTAS DE TRATAMIENTOS DE AGUAS SERVIDAS</v>
      </c>
      <c r="C158" s="10" t="str">
        <f ca="1">IFERROR(__xludf.DUMMYFUNCTION("""COMPUTED_VALUE"""),"7105221001-C")</f>
        <v>7105221001-C</v>
      </c>
      <c r="D158" s="26" t="str">
        <f t="shared" ca="1" si="0"/>
        <v xml:space="preserve"> MAULE</v>
      </c>
      <c r="E158" s="10" t="str">
        <f ca="1">IFERROR(__xludf.DUMMYFUNCTION("""COMPUTED_VALUE"""),"Guía Operativa")</f>
        <v>Guía Operativa</v>
      </c>
      <c r="F158" s="10" t="str">
        <f ca="1">IFERROR(__xludf.DUMMYFUNCTION("""COMPUTED_VALUE"""),"MUNICIPALIDAD DE MAULE")</f>
        <v>MUNICIPALIDAD DE MAULE</v>
      </c>
      <c r="G158" s="71">
        <f ca="1">IFERROR(__xludf.DUMMYFUNCTION("""COMPUTED_VALUE"""),66600000)</f>
        <v>66600000</v>
      </c>
      <c r="H158" s="10" t="str">
        <f ca="1">IFERROR(__xludf.DUMMYFUNCTION("""COMPUTED_VALUE"""),"Resolución")</f>
        <v>Resolución</v>
      </c>
      <c r="I158" s="10" t="str">
        <f ca="1">IFERROR(__xludf.DUMMYFUNCTION("""COMPUTED_VALUE"""),"Asistencia Técnica")</f>
        <v>Asistencia Técnica</v>
      </c>
      <c r="J158" s="10" t="str">
        <f ca="1">IFERROR(__xludf.DUMMYFUNCTION("""COMPUTED_VALUE"""),"Cumplir con normativa y reglamentos internos del programa en base a los objetivos.")</f>
        <v>Cumplir con normativa y reglamentos internos del programa en base a los objetivos.</v>
      </c>
      <c r="K158" s="71">
        <f ca="1">IFERROR(__xludf.DUMMYFUNCTION("""COMPUTED_VALUE"""),26640000)</f>
        <v>26640000</v>
      </c>
      <c r="L158" s="27">
        <f ca="1">IFERROR(__xludf.DUMMYFUNCTION("""COMPUTED_VALUE"""),0.7)</f>
        <v>0.7</v>
      </c>
      <c r="M158" s="10" t="str">
        <f ca="1">IFERROR(__xludf.DUMMYFUNCTION("""COMPUTED_VALUE"""),"11223/2023")</f>
        <v>11223/2023</v>
      </c>
      <c r="N158" s="10" t="str">
        <f ca="1">IFERROR(__xludf.DUMMYFUNCTION("""COMPUTED_VALUE"""),"PMB")</f>
        <v>PMB</v>
      </c>
      <c r="O158" s="59"/>
      <c r="P158" s="1"/>
      <c r="Q158" s="1"/>
      <c r="R158" s="1"/>
      <c r="S158" s="1"/>
      <c r="T158" s="1"/>
      <c r="U158" s="1"/>
      <c r="V158" s="1"/>
      <c r="W158" s="1"/>
      <c r="X158" s="1"/>
      <c r="Y158" s="1"/>
      <c r="Z158" s="1"/>
      <c r="AA158" s="1"/>
    </row>
    <row r="159" spans="1:27" ht="12.75" customHeight="1">
      <c r="A159" s="1"/>
      <c r="B159" s="10" t="str">
        <f ca="1">IFERROR(__xludf.DUMMYFUNCTION("""COMPUTED_VALUE"""),"ASISTENCIA TÉCNICA PARA PROYECTOS PMB Y PMU EN LA COMUNA DE SAGRADA FAMILIA")</f>
        <v>ASISTENCIA TÉCNICA PARA PROYECTOS PMB Y PMU EN LA COMUNA DE SAGRADA FAMILIA</v>
      </c>
      <c r="C159" s="10" t="str">
        <f ca="1">IFERROR(__xludf.DUMMYFUNCTION("""COMPUTED_VALUE"""),"7307231001-C")</f>
        <v>7307231001-C</v>
      </c>
      <c r="D159" s="26" t="str">
        <f t="shared" ca="1" si="0"/>
        <v xml:space="preserve"> SAGRADA FAMILIA</v>
      </c>
      <c r="E159" s="10" t="str">
        <f ca="1">IFERROR(__xludf.DUMMYFUNCTION("""COMPUTED_VALUE"""),"Guía Operativa")</f>
        <v>Guía Operativa</v>
      </c>
      <c r="F159" s="10" t="str">
        <f ca="1">IFERROR(__xludf.DUMMYFUNCTION("""COMPUTED_VALUE"""),"MUNICIPALIDAD DE SAGRADA FAMILIA")</f>
        <v>MUNICIPALIDAD DE SAGRADA FAMILIA</v>
      </c>
      <c r="G159" s="71">
        <f ca="1">IFERROR(__xludf.DUMMYFUNCTION("""COMPUTED_VALUE"""),63600000)</f>
        <v>63600000</v>
      </c>
      <c r="H159" s="10" t="str">
        <f ca="1">IFERROR(__xludf.DUMMYFUNCTION("""COMPUTED_VALUE"""),"Resolución")</f>
        <v>Resolución</v>
      </c>
      <c r="I159" s="10" t="str">
        <f ca="1">IFERROR(__xludf.DUMMYFUNCTION("""COMPUTED_VALUE"""),"Asistencia Técnica")</f>
        <v>Asistencia Técnica</v>
      </c>
      <c r="J159" s="10" t="str">
        <f ca="1">IFERROR(__xludf.DUMMYFUNCTION("""COMPUTED_VALUE"""),"Cumplir con normativa y reglamentos internos del programa en base a los objetivos.")</f>
        <v>Cumplir con normativa y reglamentos internos del programa en base a los objetivos.</v>
      </c>
      <c r="K159" s="71">
        <f ca="1">IFERROR(__xludf.DUMMYFUNCTION("""COMPUTED_VALUE"""),15900000)</f>
        <v>15900000</v>
      </c>
      <c r="L159" s="27">
        <f ca="1">IFERROR(__xludf.DUMMYFUNCTION("""COMPUTED_VALUE"""),0.5)</f>
        <v>0.5</v>
      </c>
      <c r="M159" s="10" t="str">
        <f ca="1">IFERROR(__xludf.DUMMYFUNCTION("""COMPUTED_VALUE"""),"11633/2023")</f>
        <v>11633/2023</v>
      </c>
      <c r="N159" s="10" t="str">
        <f ca="1">IFERROR(__xludf.DUMMYFUNCTION("""COMPUTED_VALUE"""),"PMB")</f>
        <v>PMB</v>
      </c>
      <c r="O159" s="59"/>
      <c r="P159" s="1"/>
      <c r="Q159" s="1"/>
      <c r="R159" s="1"/>
      <c r="S159" s="1"/>
      <c r="T159" s="1"/>
      <c r="U159" s="1"/>
      <c r="V159" s="1"/>
      <c r="W159" s="1"/>
      <c r="X159" s="1"/>
      <c r="Y159" s="1"/>
      <c r="Z159" s="1"/>
      <c r="AA159" s="1"/>
    </row>
    <row r="160" spans="1:27" ht="12.75" customHeight="1">
      <c r="A160" s="1"/>
      <c r="B160" s="10" t="str">
        <f ca="1">IFERROR(__xludf.DUMMYFUNCTION("""COMPUTED_VALUE"""),"ASISTENCIA TECNICA PARA GENERACION DE PROYECTOS DE SANEAMIENTO SANITARIO")</f>
        <v>ASISTENCIA TECNICA PARA GENERACION DE PROYECTOS DE SANEAMIENTO SANITARIO</v>
      </c>
      <c r="C160" s="10" t="str">
        <f ca="1">IFERROR(__xludf.DUMMYFUNCTION("""COMPUTED_VALUE"""),"7309231002-C")</f>
        <v>7309231002-C</v>
      </c>
      <c r="D160" s="26" t="str">
        <f t="shared" ca="1" si="0"/>
        <v xml:space="preserve"> VICHUQUÉN</v>
      </c>
      <c r="E160" s="10" t="str">
        <f ca="1">IFERROR(__xludf.DUMMYFUNCTION("""COMPUTED_VALUE"""),"Guía Operativa")</f>
        <v>Guía Operativa</v>
      </c>
      <c r="F160" s="10" t="str">
        <f ca="1">IFERROR(__xludf.DUMMYFUNCTION("""COMPUTED_VALUE"""),"MUNICIPALIDAD DE VICHUQUÉN")</f>
        <v>MUNICIPALIDAD DE VICHUQUÉN</v>
      </c>
      <c r="G160" s="71">
        <f ca="1">IFERROR(__xludf.DUMMYFUNCTION("""COMPUTED_VALUE"""),64800000)</f>
        <v>64800000</v>
      </c>
      <c r="H160" s="10" t="str">
        <f ca="1">IFERROR(__xludf.DUMMYFUNCTION("""COMPUTED_VALUE"""),"Resolución")</f>
        <v>Resolución</v>
      </c>
      <c r="I160" s="10" t="str">
        <f ca="1">IFERROR(__xludf.DUMMYFUNCTION("""COMPUTED_VALUE"""),"Asistencia Técnica")</f>
        <v>Asistencia Técnica</v>
      </c>
      <c r="J160" s="10" t="str">
        <f ca="1">IFERROR(__xludf.DUMMYFUNCTION("""COMPUTED_VALUE"""),"Cumplir con normativa y reglamentos internos del programa en base a los objetivos.")</f>
        <v>Cumplir con normativa y reglamentos internos del programa en base a los objetivos.</v>
      </c>
      <c r="K160" s="71">
        <f ca="1">IFERROR(__xludf.DUMMYFUNCTION("""COMPUTED_VALUE"""),22680000)</f>
        <v>22680000</v>
      </c>
      <c r="L160" s="27">
        <f ca="1">IFERROR(__xludf.DUMMYFUNCTION("""COMPUTED_VALUE"""),0.65)</f>
        <v>0.65</v>
      </c>
      <c r="M160" s="10" t="str">
        <f ca="1">IFERROR(__xludf.DUMMYFUNCTION("""COMPUTED_VALUE"""),"11624/2023")</f>
        <v>11624/2023</v>
      </c>
      <c r="N160" s="10" t="str">
        <f ca="1">IFERROR(__xludf.DUMMYFUNCTION("""COMPUTED_VALUE"""),"PMB")</f>
        <v>PMB</v>
      </c>
      <c r="O160" s="59"/>
      <c r="P160" s="1"/>
      <c r="Q160" s="1"/>
      <c r="R160" s="1"/>
      <c r="S160" s="1"/>
      <c r="T160" s="1"/>
      <c r="U160" s="1"/>
      <c r="V160" s="1"/>
      <c r="W160" s="1"/>
      <c r="X160" s="1"/>
      <c r="Y160" s="1"/>
      <c r="Z160" s="1"/>
      <c r="AA160" s="1"/>
    </row>
    <row r="161" spans="1:27" ht="12.75" customHeight="1">
      <c r="A161" s="1"/>
      <c r="B161" s="10" t="str">
        <f ca="1">IFERROR(__xludf.DUMMYFUNCTION("""COMPUTED_VALUE"""),"ASISTENCIA TECNICA DE PROYECTOS ENMARCADO EN SANEAMIENTO SANITARIO, COMUNA DE FUTALEUFU")</f>
        <v>ASISTENCIA TECNICA DE PROYECTOS ENMARCADO EN SANEAMIENTO SANITARIO, COMUNA DE FUTALEUFU</v>
      </c>
      <c r="C161" s="10" t="str">
        <f ca="1">IFERROR(__xludf.DUMMYFUNCTION("""COMPUTED_VALUE"""),"10402231003-C")</f>
        <v>10402231003-C</v>
      </c>
      <c r="D161" s="26" t="str">
        <f t="shared" ca="1" si="0"/>
        <v xml:space="preserve"> FUTALEUFÚ</v>
      </c>
      <c r="E161" s="10" t="str">
        <f ca="1">IFERROR(__xludf.DUMMYFUNCTION("""COMPUTED_VALUE"""),"Guía Operativa")</f>
        <v>Guía Operativa</v>
      </c>
      <c r="F161" s="10" t="str">
        <f ca="1">IFERROR(__xludf.DUMMYFUNCTION("""COMPUTED_VALUE"""),"MUNICIPALIDAD DE FUTALEUFÚ")</f>
        <v>MUNICIPALIDAD DE FUTALEUFÚ</v>
      </c>
      <c r="G161" s="71">
        <f ca="1">IFERROR(__xludf.DUMMYFUNCTION("""COMPUTED_VALUE"""),86400000)</f>
        <v>86400000</v>
      </c>
      <c r="H161" s="10" t="str">
        <f ca="1">IFERROR(__xludf.DUMMYFUNCTION("""COMPUTED_VALUE"""),"Resolución")</f>
        <v>Resolución</v>
      </c>
      <c r="I161" s="10" t="str">
        <f ca="1">IFERROR(__xludf.DUMMYFUNCTION("""COMPUTED_VALUE"""),"Asistencia Técnica")</f>
        <v>Asistencia Técnica</v>
      </c>
      <c r="J161" s="10" t="str">
        <f ca="1">IFERROR(__xludf.DUMMYFUNCTION("""COMPUTED_VALUE"""),"Cumplir con normativa y reglamentos internos del programa en base a los objetivos.")</f>
        <v>Cumplir con normativa y reglamentos internos del programa en base a los objetivos.</v>
      </c>
      <c r="K161" s="71">
        <f ca="1">IFERROR(__xludf.DUMMYFUNCTION("""COMPUTED_VALUE"""),35424000)</f>
        <v>35424000</v>
      </c>
      <c r="L161" s="27">
        <f ca="1">IFERROR(__xludf.DUMMYFUNCTION("""COMPUTED_VALUE"""),1)</f>
        <v>1</v>
      </c>
      <c r="M161" s="10" t="str">
        <f ca="1">IFERROR(__xludf.DUMMYFUNCTION("""COMPUTED_VALUE"""),"15045/2023")</f>
        <v>15045/2023</v>
      </c>
      <c r="N161" s="10" t="str">
        <f ca="1">IFERROR(__xludf.DUMMYFUNCTION("""COMPUTED_VALUE"""),"PMB")</f>
        <v>PMB</v>
      </c>
      <c r="O161" s="59"/>
      <c r="P161" s="1"/>
      <c r="Q161" s="1"/>
      <c r="R161" s="1"/>
      <c r="S161" s="1"/>
      <c r="T161" s="1"/>
      <c r="U161" s="1"/>
      <c r="V161" s="1"/>
      <c r="W161" s="1"/>
      <c r="X161" s="1"/>
      <c r="Y161" s="1"/>
      <c r="Z161" s="1"/>
      <c r="AA161" s="1"/>
    </row>
    <row r="162" spans="1:27" ht="12.75" customHeight="1">
      <c r="A162" s="1"/>
      <c r="B162" s="10" t="str">
        <f ca="1">IFERROR(__xludf.DUMMYFUNCTION("""COMPUTED_VALUE"""),"MEJORAMIENTO DE ABASTOS DE AGUA POTABLE, SECTOR RIO DE LA PLATA, POZOS DEL 1 AL 12, COMUNA DE PURRANQUE")</f>
        <v>MEJORAMIENTO DE ABASTOS DE AGUA POTABLE, SECTOR RIO DE LA PLATA, POZOS DEL 1 AL 12, COMUNA DE PURRANQUE</v>
      </c>
      <c r="C162" s="10" t="str">
        <f ca="1">IFERROR(__xludf.DUMMYFUNCTION("""COMPUTED_VALUE"""),"10303230702-C")</f>
        <v>10303230702-C</v>
      </c>
      <c r="D162" s="26" t="str">
        <f t="shared" ca="1" si="0"/>
        <v xml:space="preserve"> PURRANQUE</v>
      </c>
      <c r="E162" s="10" t="str">
        <f ca="1">IFERROR(__xludf.DUMMYFUNCTION("""COMPUTED_VALUE"""),"Guía Operativa")</f>
        <v>Guía Operativa</v>
      </c>
      <c r="F162" s="10" t="str">
        <f ca="1">IFERROR(__xludf.DUMMYFUNCTION("""COMPUTED_VALUE"""),"MUNICIPALIDAD DE PURRANQUE")</f>
        <v>MUNICIPALIDAD DE PURRANQUE</v>
      </c>
      <c r="G162" s="71">
        <f ca="1">IFERROR(__xludf.DUMMYFUNCTION("""COMPUTED_VALUE"""),296913955)</f>
        <v>296913955</v>
      </c>
      <c r="H162" s="10" t="str">
        <f ca="1">IFERROR(__xludf.DUMMYFUNCTION("""COMPUTED_VALUE"""),"Resolución")</f>
        <v>Resolución</v>
      </c>
      <c r="I162" s="10" t="str">
        <f ca="1">IFERROR(__xludf.DUMMYFUNCTION("""COMPUTED_VALUE"""),"Obra")</f>
        <v>Obra</v>
      </c>
      <c r="J162" s="10" t="str">
        <f ca="1">IFERROR(__xludf.DUMMYFUNCTION("""COMPUTED_VALUE"""),"Cumplir con normativa y reglamentos internos del programa en base a los objetivos.")</f>
        <v>Cumplir con normativa y reglamentos internos del programa en base a los objetivos.</v>
      </c>
      <c r="K162" s="71">
        <f ca="1">IFERROR(__xludf.DUMMYFUNCTION("""COMPUTED_VALUE"""),296913955)</f>
        <v>296913955</v>
      </c>
      <c r="L162" s="27">
        <f ca="1">IFERROR(__xludf.DUMMYFUNCTION("""COMPUTED_VALUE"""),1)</f>
        <v>1</v>
      </c>
      <c r="M162" s="10" t="str">
        <f ca="1">IFERROR(__xludf.DUMMYFUNCTION("""COMPUTED_VALUE"""),"7715/2024")</f>
        <v>7715/2024</v>
      </c>
      <c r="N162" s="10" t="str">
        <f ca="1">IFERROR(__xludf.DUMMYFUNCTION("""COMPUTED_VALUE"""),"PMB")</f>
        <v>PMB</v>
      </c>
      <c r="O162" s="59"/>
      <c r="P162" s="1"/>
      <c r="Q162" s="1"/>
      <c r="R162" s="1"/>
      <c r="S162" s="1"/>
      <c r="T162" s="1"/>
      <c r="U162" s="1"/>
      <c r="V162" s="1"/>
      <c r="W162" s="1"/>
      <c r="X162" s="1"/>
      <c r="Y162" s="1"/>
      <c r="Z162" s="1"/>
      <c r="AA162" s="1"/>
    </row>
    <row r="163" spans="1:27" ht="12.75" customHeight="1">
      <c r="A163" s="1"/>
      <c r="B163" s="10" t="str">
        <f ca="1">IFERROR(__xludf.DUMMYFUNCTION("""COMPUTED_VALUE"""),"CONSTRUCCIÓN PUNTO LIMPIO COMUNA DE MÁFIL")</f>
        <v>CONSTRUCCIÓN PUNTO LIMPIO COMUNA DE MÁFIL</v>
      </c>
      <c r="C163" s="10" t="str">
        <f ca="1">IFERROR(__xludf.DUMMYFUNCTION("""COMPUTED_VALUE"""),"14105240701-C")</f>
        <v>14105240701-C</v>
      </c>
      <c r="D163" s="26" t="str">
        <f t="shared" ca="1" si="0"/>
        <v xml:space="preserve"> MÁFIL</v>
      </c>
      <c r="E163" s="10" t="str">
        <f ca="1">IFERROR(__xludf.DUMMYFUNCTION("""COMPUTED_VALUE"""),"Guía Operativa")</f>
        <v>Guía Operativa</v>
      </c>
      <c r="F163" s="10" t="str">
        <f ca="1">IFERROR(__xludf.DUMMYFUNCTION("""COMPUTED_VALUE"""),"MUNICIPALIDAD DE MÁFIL")</f>
        <v>MUNICIPALIDAD DE MÁFIL</v>
      </c>
      <c r="G163" s="71">
        <f ca="1">IFERROR(__xludf.DUMMYFUNCTION("""COMPUTED_VALUE"""),234896837)</f>
        <v>234896837</v>
      </c>
      <c r="H163" s="10" t="str">
        <f ca="1">IFERROR(__xludf.DUMMYFUNCTION("""COMPUTED_VALUE"""),"Resolución")</f>
        <v>Resolución</v>
      </c>
      <c r="I163" s="10" t="str">
        <f ca="1">IFERROR(__xludf.DUMMYFUNCTION("""COMPUTED_VALUE"""),"Obra")</f>
        <v>Obra</v>
      </c>
      <c r="J163" s="10" t="str">
        <f ca="1">IFERROR(__xludf.DUMMYFUNCTION("""COMPUTED_VALUE"""),"Cumplir con normativa y reglamentos internos del programa en base a los objetivos.")</f>
        <v>Cumplir con normativa y reglamentos internos del programa en base a los objetivos.</v>
      </c>
      <c r="K163" s="71">
        <f ca="1">IFERROR(__xludf.DUMMYFUNCTION("""COMPUTED_VALUE"""),234896837)</f>
        <v>234896837</v>
      </c>
      <c r="L163" s="27">
        <f ca="1">IFERROR(__xludf.DUMMYFUNCTION("""COMPUTED_VALUE"""),1)</f>
        <v>1</v>
      </c>
      <c r="M163" s="10" t="str">
        <f ca="1">IFERROR(__xludf.DUMMYFUNCTION("""COMPUTED_VALUE"""),"7711/2024")</f>
        <v>7711/2024</v>
      </c>
      <c r="N163" s="10" t="str">
        <f ca="1">IFERROR(__xludf.DUMMYFUNCTION("""COMPUTED_VALUE"""),"PMB")</f>
        <v>PMB</v>
      </c>
      <c r="O163" s="59"/>
      <c r="P163" s="1"/>
      <c r="Q163" s="1"/>
      <c r="R163" s="1"/>
      <c r="S163" s="1"/>
      <c r="T163" s="1"/>
      <c r="U163" s="1"/>
      <c r="V163" s="1"/>
      <c r="W163" s="1"/>
      <c r="X163" s="1"/>
      <c r="Y163" s="1"/>
      <c r="Z163" s="1"/>
      <c r="AA163" s="1"/>
    </row>
    <row r="164" spans="1:27" ht="12.75" customHeight="1">
      <c r="A164" s="1"/>
      <c r="B164" s="10" t="str">
        <f ca="1">IFERROR(__xludf.DUMMYFUNCTION("""COMPUTED_VALUE"""),"AMPLIACION DE LA RED DE ALCANTARILLADO DE CHÉPICA A CALLE JAVIERA CARRERA, COMUNA DE CHÉPICA")</f>
        <v>AMPLIACION DE LA RED DE ALCANTARILLADO DE CHÉPICA A CALLE JAVIERA CARRERA, COMUNA DE CHÉPICA</v>
      </c>
      <c r="C164" s="10" t="str">
        <f ca="1">IFERROR(__xludf.DUMMYFUNCTION("""COMPUTED_VALUE"""),"6302220702-C")</f>
        <v>6302220702-C</v>
      </c>
      <c r="D164" s="26" t="str">
        <f t="shared" ca="1" si="0"/>
        <v xml:space="preserve"> CHÉPICA</v>
      </c>
      <c r="E164" s="10" t="str">
        <f ca="1">IFERROR(__xludf.DUMMYFUNCTION("""COMPUTED_VALUE"""),"Guía Operativa")</f>
        <v>Guía Operativa</v>
      </c>
      <c r="F164" s="10" t="str">
        <f ca="1">IFERROR(__xludf.DUMMYFUNCTION("""COMPUTED_VALUE"""),"MUNICIPALIDAD DE CHÉPICA")</f>
        <v>MUNICIPALIDAD DE CHÉPICA</v>
      </c>
      <c r="G164" s="71">
        <f ca="1">IFERROR(__xludf.DUMMYFUNCTION("""COMPUTED_VALUE"""),477037900)</f>
        <v>477037900</v>
      </c>
      <c r="H164" s="10" t="str">
        <f ca="1">IFERROR(__xludf.DUMMYFUNCTION("""COMPUTED_VALUE"""),"Resolución")</f>
        <v>Resolución</v>
      </c>
      <c r="I164" s="10" t="str">
        <f ca="1">IFERROR(__xludf.DUMMYFUNCTION("""COMPUTED_VALUE"""),"Obra")</f>
        <v>Obra</v>
      </c>
      <c r="J164" s="10" t="str">
        <f ca="1">IFERROR(__xludf.DUMMYFUNCTION("""COMPUTED_VALUE"""),"Cumplir con normativa y reglamentos internos del programa en base a los objetivos.")</f>
        <v>Cumplir con normativa y reglamentos internos del programa en base a los objetivos.</v>
      </c>
      <c r="K164" s="71">
        <f ca="1">IFERROR(__xludf.DUMMYFUNCTION("""COMPUTED_VALUE"""),477037900)</f>
        <v>477037900</v>
      </c>
      <c r="L164" s="27">
        <f ca="1">IFERROR(__xludf.DUMMYFUNCTION("""COMPUTED_VALUE"""),1)</f>
        <v>1</v>
      </c>
      <c r="M164" s="10" t="str">
        <f ca="1">IFERROR(__xludf.DUMMYFUNCTION("""COMPUTED_VALUE"""),"6684/2024")</f>
        <v>6684/2024</v>
      </c>
      <c r="N164" s="10" t="str">
        <f ca="1">IFERROR(__xludf.DUMMYFUNCTION("""COMPUTED_VALUE"""),"PMB")</f>
        <v>PMB</v>
      </c>
      <c r="O164" s="59"/>
      <c r="P164" s="1"/>
      <c r="Q164" s="1"/>
      <c r="R164" s="1"/>
      <c r="S164" s="1"/>
      <c r="T164" s="1"/>
      <c r="U164" s="1"/>
      <c r="V164" s="1"/>
      <c r="W164" s="1"/>
      <c r="X164" s="1"/>
      <c r="Y164" s="1"/>
      <c r="Z164" s="1"/>
      <c r="AA164" s="1"/>
    </row>
    <row r="165" spans="1:27" ht="12.75" customHeight="1">
      <c r="A165" s="1"/>
      <c r="B165" s="10" t="str">
        <f ca="1">IFERROR(__xludf.DUMMYFUNCTION("""COMPUTED_VALUE"""),"AMPLIACIÓN Y NORMALIZACIÓN SANITARIA, COMPLEJO MUNICIPAL BAHÍA AZUL, COMUNA DE PRIMAVERA")</f>
        <v>AMPLIACIÓN Y NORMALIZACIÓN SANITARIA, COMPLEJO MUNICIPAL BAHÍA AZUL, COMUNA DE PRIMAVERA</v>
      </c>
      <c r="C165" s="10" t="str">
        <f ca="1">IFERROR(__xludf.DUMMYFUNCTION("""COMPUTED_VALUE"""),"12302230701-C")</f>
        <v>12302230701-C</v>
      </c>
      <c r="D165" s="26" t="str">
        <f t="shared" ca="1" si="0"/>
        <v xml:space="preserve"> PRIMAVERA</v>
      </c>
      <c r="E165" s="10" t="str">
        <f ca="1">IFERROR(__xludf.DUMMYFUNCTION("""COMPUTED_VALUE"""),"Guía Operativa")</f>
        <v>Guía Operativa</v>
      </c>
      <c r="F165" s="10" t="str">
        <f ca="1">IFERROR(__xludf.DUMMYFUNCTION("""COMPUTED_VALUE"""),"MUNICIPALIDAD DE PRIMAVERA")</f>
        <v>MUNICIPALIDAD DE PRIMAVERA</v>
      </c>
      <c r="G165" s="71">
        <f ca="1">IFERROR(__xludf.DUMMYFUNCTION("""COMPUTED_VALUE"""),243571392)</f>
        <v>243571392</v>
      </c>
      <c r="H165" s="10" t="str">
        <f ca="1">IFERROR(__xludf.DUMMYFUNCTION("""COMPUTED_VALUE"""),"Resolución")</f>
        <v>Resolución</v>
      </c>
      <c r="I165" s="10" t="str">
        <f ca="1">IFERROR(__xludf.DUMMYFUNCTION("""COMPUTED_VALUE"""),"Obra")</f>
        <v>Obra</v>
      </c>
      <c r="J165" s="10" t="str">
        <f ca="1">IFERROR(__xludf.DUMMYFUNCTION("""COMPUTED_VALUE"""),"Cumplir con normativa y reglamentos internos del programa en base a los objetivos.")</f>
        <v>Cumplir con normativa y reglamentos internos del programa en base a los objetivos.</v>
      </c>
      <c r="K165" s="71">
        <f ca="1">IFERROR(__xludf.DUMMYFUNCTION("""COMPUTED_VALUE"""),243571392)</f>
        <v>243571392</v>
      </c>
      <c r="L165" s="27">
        <f ca="1">IFERROR(__xludf.DUMMYFUNCTION("""COMPUTED_VALUE"""),1)</f>
        <v>1</v>
      </c>
      <c r="M165" s="10" t="str">
        <f ca="1">IFERROR(__xludf.DUMMYFUNCTION("""COMPUTED_VALUE"""),"7610/2024")</f>
        <v>7610/2024</v>
      </c>
      <c r="N165" s="10" t="str">
        <f ca="1">IFERROR(__xludf.DUMMYFUNCTION("""COMPUTED_VALUE"""),"PMB")</f>
        <v>PMB</v>
      </c>
      <c r="O165" s="59"/>
      <c r="P165" s="1"/>
      <c r="Q165" s="1"/>
      <c r="R165" s="1"/>
      <c r="S165" s="1"/>
      <c r="T165" s="1"/>
      <c r="U165" s="1"/>
      <c r="V165" s="1"/>
      <c r="W165" s="1"/>
      <c r="X165" s="1"/>
      <c r="Y165" s="1"/>
      <c r="Z165" s="1"/>
      <c r="AA165" s="1"/>
    </row>
    <row r="166" spans="1:27" ht="12.75" customHeight="1">
      <c r="A166" s="1"/>
      <c r="B166" s="10" t="str">
        <f ca="1">IFERROR(__xludf.DUMMYFUNCTION("""COMPUTED_VALUE"""),"ASISTENCIA TECNICA GENERACION PROYECTOS SANITARIOS R. DE ALCONES Y MARCHIGUE URBANO, MARCHIGUE")</f>
        <v>ASISTENCIA TECNICA GENERACION PROYECTOS SANITARIOS R. DE ALCONES Y MARCHIGUE URBANO, MARCHIGUE</v>
      </c>
      <c r="C166" s="10" t="str">
        <f ca="1">IFERROR(__xludf.DUMMYFUNCTION("""COMPUTED_VALUE"""),"6204231001-C")</f>
        <v>6204231001-C</v>
      </c>
      <c r="D166" s="26" t="str">
        <f t="shared" ca="1" si="0"/>
        <v xml:space="preserve"> MARCHIHUE</v>
      </c>
      <c r="E166" s="10" t="str">
        <f ca="1">IFERROR(__xludf.DUMMYFUNCTION("""COMPUTED_VALUE"""),"Guía Operativa")</f>
        <v>Guía Operativa</v>
      </c>
      <c r="F166" s="10" t="str">
        <f ca="1">IFERROR(__xludf.DUMMYFUNCTION("""COMPUTED_VALUE"""),"MUNICIPALIDAD DE MARCHIHUE")</f>
        <v>MUNICIPALIDAD DE MARCHIHUE</v>
      </c>
      <c r="G166" s="71">
        <f ca="1">IFERROR(__xludf.DUMMYFUNCTION("""COMPUTED_VALUE"""),24000000)</f>
        <v>24000000</v>
      </c>
      <c r="H166" s="10" t="str">
        <f ca="1">IFERROR(__xludf.DUMMYFUNCTION("""COMPUTED_VALUE"""),"Resolución")</f>
        <v>Resolución</v>
      </c>
      <c r="I166" s="10" t="str">
        <f ca="1">IFERROR(__xludf.DUMMYFUNCTION("""COMPUTED_VALUE"""),"Asistencia Técnica")</f>
        <v>Asistencia Técnica</v>
      </c>
      <c r="J166" s="10" t="str">
        <f ca="1">IFERROR(__xludf.DUMMYFUNCTION("""COMPUTED_VALUE"""),"Cumplir con normativa y reglamentos internos del programa en base a los objetivos.")</f>
        <v>Cumplir con normativa y reglamentos internos del programa en base a los objetivos.</v>
      </c>
      <c r="K166" s="71">
        <f ca="1">IFERROR(__xludf.DUMMYFUNCTION("""COMPUTED_VALUE"""),24000000)</f>
        <v>24000000</v>
      </c>
      <c r="L166" s="27">
        <f ca="1">IFERROR(__xludf.DUMMYFUNCTION("""COMPUTED_VALUE"""),1)</f>
        <v>1</v>
      </c>
      <c r="M166" s="10" t="str">
        <f ca="1">IFERROR(__xludf.DUMMYFUNCTION("""COMPUTED_VALUE"""),"7479/2024")</f>
        <v>7479/2024</v>
      </c>
      <c r="N166" s="10" t="str">
        <f ca="1">IFERROR(__xludf.DUMMYFUNCTION("""COMPUTED_VALUE"""),"PMB")</f>
        <v>PMB</v>
      </c>
      <c r="O166" s="59"/>
      <c r="P166" s="1"/>
      <c r="Q166" s="1"/>
      <c r="R166" s="1"/>
      <c r="S166" s="1"/>
      <c r="T166" s="1"/>
      <c r="U166" s="1"/>
      <c r="V166" s="1"/>
      <c r="W166" s="1"/>
      <c r="X166" s="1"/>
      <c r="Y166" s="1"/>
      <c r="Z166" s="1"/>
      <c r="AA166" s="1"/>
    </row>
    <row r="167" spans="1:27" ht="12.75" customHeight="1">
      <c r="A167" s="1"/>
      <c r="B167" s="10" t="str">
        <f ca="1">IFERROR(__xludf.DUMMYFUNCTION("""COMPUTED_VALUE"""),"ASISTENCIA TECNICA PARA GENERACION DE INICIATIVAS DE INVERSION DEL PMB, MARCHIGUE")</f>
        <v>ASISTENCIA TECNICA PARA GENERACION DE INICIATIVAS DE INVERSION DEL PMB, MARCHIGUE</v>
      </c>
      <c r="C167" s="10" t="str">
        <f ca="1">IFERROR(__xludf.DUMMYFUNCTION("""COMPUTED_VALUE"""),"6204231002-C")</f>
        <v>6204231002-C</v>
      </c>
      <c r="D167" s="26" t="str">
        <f t="shared" ca="1" si="0"/>
        <v xml:space="preserve"> MARCHIHUE</v>
      </c>
      <c r="E167" s="10" t="str">
        <f ca="1">IFERROR(__xludf.DUMMYFUNCTION("""COMPUTED_VALUE"""),"Guía Operativa")</f>
        <v>Guía Operativa</v>
      </c>
      <c r="F167" s="10" t="str">
        <f ca="1">IFERROR(__xludf.DUMMYFUNCTION("""COMPUTED_VALUE"""),"MUNICIPALIDAD DE MARCHIHUE")</f>
        <v>MUNICIPALIDAD DE MARCHIHUE</v>
      </c>
      <c r="G167" s="71">
        <f ca="1">IFERROR(__xludf.DUMMYFUNCTION("""COMPUTED_VALUE"""),15600000)</f>
        <v>15600000</v>
      </c>
      <c r="H167" s="10" t="str">
        <f ca="1">IFERROR(__xludf.DUMMYFUNCTION("""COMPUTED_VALUE"""),"Resolución")</f>
        <v>Resolución</v>
      </c>
      <c r="I167" s="10" t="str">
        <f ca="1">IFERROR(__xludf.DUMMYFUNCTION("""COMPUTED_VALUE"""),"Asistencia Técnica")</f>
        <v>Asistencia Técnica</v>
      </c>
      <c r="J167" s="10" t="str">
        <f ca="1">IFERROR(__xludf.DUMMYFUNCTION("""COMPUTED_VALUE"""),"Cumplir con normativa y reglamentos internos del programa en base a los objetivos.")</f>
        <v>Cumplir con normativa y reglamentos internos del programa en base a los objetivos.</v>
      </c>
      <c r="K167" s="71">
        <f ca="1">IFERROR(__xludf.DUMMYFUNCTION("""COMPUTED_VALUE"""),15600000)</f>
        <v>15600000</v>
      </c>
      <c r="L167" s="27">
        <f ca="1">IFERROR(__xludf.DUMMYFUNCTION("""COMPUTED_VALUE"""),1)</f>
        <v>1</v>
      </c>
      <c r="M167" s="10" t="str">
        <f ca="1">IFERROR(__xludf.DUMMYFUNCTION("""COMPUTED_VALUE"""),"7479/2024")</f>
        <v>7479/2024</v>
      </c>
      <c r="N167" s="10" t="str">
        <f ca="1">IFERROR(__xludf.DUMMYFUNCTION("""COMPUTED_VALUE"""),"PMB")</f>
        <v>PMB</v>
      </c>
      <c r="O167" s="59"/>
      <c r="P167" s="1"/>
      <c r="Q167" s="1"/>
      <c r="R167" s="1"/>
      <c r="S167" s="1"/>
      <c r="T167" s="1"/>
      <c r="U167" s="1"/>
      <c r="V167" s="1"/>
      <c r="W167" s="1"/>
      <c r="X167" s="1"/>
      <c r="Y167" s="1"/>
      <c r="Z167" s="1"/>
      <c r="AA167" s="1"/>
    </row>
    <row r="168" spans="1:27" ht="12.75" customHeight="1">
      <c r="A168" s="1"/>
      <c r="B168" s="10" t="str">
        <f ca="1">IFERROR(__xludf.DUMMYFUNCTION("""COMPUTED_VALUE"""),"PROGRAMA DE MINIMIZACION DE RESIDUOS ORGANICOS Y GESTION DE RESIDUOS SOLIDOS DOMICILIARIOS COMUNA DE TIMAUKEL")</f>
        <v>PROGRAMA DE MINIMIZACION DE RESIDUOS ORGANICOS Y GESTION DE RESIDUOS SOLIDOS DOMICILIARIOS COMUNA DE TIMAUKEL</v>
      </c>
      <c r="C168" s="10" t="str">
        <f ca="1">IFERROR(__xludf.DUMMYFUNCTION("""COMPUTED_VALUE"""),"12303231501-C")</f>
        <v>12303231501-C</v>
      </c>
      <c r="D168" s="26" t="str">
        <f t="shared" ca="1" si="0"/>
        <v xml:space="preserve"> TIMAUKEL</v>
      </c>
      <c r="E168" s="10" t="str">
        <f ca="1">IFERROR(__xludf.DUMMYFUNCTION("""COMPUTED_VALUE"""),"Guía Operativa")</f>
        <v>Guía Operativa</v>
      </c>
      <c r="F168" s="10" t="str">
        <f ca="1">IFERROR(__xludf.DUMMYFUNCTION("""COMPUTED_VALUE"""),"MUNICIPALIDAD DE TIMAUKEL")</f>
        <v>MUNICIPALIDAD DE TIMAUKEL</v>
      </c>
      <c r="G168" s="71">
        <f ca="1">IFERROR(__xludf.DUMMYFUNCTION("""COMPUTED_VALUE"""),141000000)</f>
        <v>141000000</v>
      </c>
      <c r="H168" s="10" t="str">
        <f ca="1">IFERROR(__xludf.DUMMYFUNCTION("""COMPUTED_VALUE"""),"Resolución")</f>
        <v>Resolución</v>
      </c>
      <c r="I168" s="10" t="str">
        <f ca="1">IFERROR(__xludf.DUMMYFUNCTION("""COMPUTED_VALUE"""),"Valorización de Residuos")</f>
        <v>Valorización de Residuos</v>
      </c>
      <c r="J168" s="10" t="str">
        <f ca="1">IFERROR(__xludf.DUMMYFUNCTION("""COMPUTED_VALUE"""),"Cumplir con normativa y reglamentos internos del programa en base a los objetivos.")</f>
        <v>Cumplir con normativa y reglamentos internos del programa en base a los objetivos.</v>
      </c>
      <c r="K168" s="71">
        <f ca="1">IFERROR(__xludf.DUMMYFUNCTION("""COMPUTED_VALUE"""),141000000)</f>
        <v>141000000</v>
      </c>
      <c r="L168" s="27">
        <f ca="1">IFERROR(__xludf.DUMMYFUNCTION("""COMPUTED_VALUE"""),1)</f>
        <v>1</v>
      </c>
      <c r="M168" s="10" t="str">
        <f ca="1">IFERROR(__xludf.DUMMYFUNCTION("""COMPUTED_VALUE"""),"7612/2024")</f>
        <v>7612/2024</v>
      </c>
      <c r="N168" s="10" t="str">
        <f ca="1">IFERROR(__xludf.DUMMYFUNCTION("""COMPUTED_VALUE"""),"PMB")</f>
        <v>PMB</v>
      </c>
      <c r="O168" s="59"/>
      <c r="P168" s="1"/>
      <c r="Q168" s="1"/>
      <c r="R168" s="1"/>
      <c r="S168" s="1"/>
      <c r="T168" s="1"/>
      <c r="U168" s="1"/>
      <c r="V168" s="1"/>
      <c r="W168" s="1"/>
      <c r="X168" s="1"/>
      <c r="Y168" s="1"/>
      <c r="Z168" s="1"/>
      <c r="AA168" s="1"/>
    </row>
    <row r="169" spans="1:27" ht="12.75" customHeight="1">
      <c r="A169" s="1"/>
      <c r="B169" s="10" t="str">
        <f ca="1">IFERROR(__xludf.DUMMYFUNCTION("""COMPUTED_VALUE"""),"PROGRAMA PILOTO DE COMPOSTAJE Y VERMICOMPOSTAJE COMUNA DE PUERTO VARAS")</f>
        <v>PROGRAMA PILOTO DE COMPOSTAJE Y VERMICOMPOSTAJE COMUNA DE PUERTO VARAS</v>
      </c>
      <c r="C169" s="10" t="str">
        <f ca="1">IFERROR(__xludf.DUMMYFUNCTION("""COMPUTED_VALUE"""),"10109241501-C")</f>
        <v>10109241501-C</v>
      </c>
      <c r="D169" s="26" t="str">
        <f t="shared" ca="1" si="0"/>
        <v xml:space="preserve"> PUERTO VARAS</v>
      </c>
      <c r="E169" s="10" t="str">
        <f ca="1">IFERROR(__xludf.DUMMYFUNCTION("""COMPUTED_VALUE"""),"Guía Operativa")</f>
        <v>Guía Operativa</v>
      </c>
      <c r="F169" s="10" t="str">
        <f ca="1">IFERROR(__xludf.DUMMYFUNCTION("""COMPUTED_VALUE"""),"MUNICIPALIDAD DE PUERTO VARAS")</f>
        <v>MUNICIPALIDAD DE PUERTO VARAS</v>
      </c>
      <c r="G169" s="71">
        <f ca="1">IFERROR(__xludf.DUMMYFUNCTION("""COMPUTED_VALUE"""),228703125)</f>
        <v>228703125</v>
      </c>
      <c r="H169" s="10" t="str">
        <f ca="1">IFERROR(__xludf.DUMMYFUNCTION("""COMPUTED_VALUE"""),"Resolución")</f>
        <v>Resolución</v>
      </c>
      <c r="I169" s="10" t="str">
        <f ca="1">IFERROR(__xludf.DUMMYFUNCTION("""COMPUTED_VALUE"""),"Valorización de Residuos")</f>
        <v>Valorización de Residuos</v>
      </c>
      <c r="J169" s="10" t="str">
        <f ca="1">IFERROR(__xludf.DUMMYFUNCTION("""COMPUTED_VALUE"""),"Cumplir con normativa y reglamentos internos del programa en base a los objetivos.")</f>
        <v>Cumplir con normativa y reglamentos internos del programa en base a los objetivos.</v>
      </c>
      <c r="K169" s="71">
        <f ca="1">IFERROR(__xludf.DUMMYFUNCTION("""COMPUTED_VALUE"""),228703125)</f>
        <v>228703125</v>
      </c>
      <c r="L169" s="27">
        <f ca="1">IFERROR(__xludf.DUMMYFUNCTION("""COMPUTED_VALUE"""),1)</f>
        <v>1</v>
      </c>
      <c r="M169" s="10" t="str">
        <f ca="1">IFERROR(__xludf.DUMMYFUNCTION("""COMPUTED_VALUE"""),"7609/2024")</f>
        <v>7609/2024</v>
      </c>
      <c r="N169" s="10" t="str">
        <f ca="1">IFERROR(__xludf.DUMMYFUNCTION("""COMPUTED_VALUE"""),"PMB")</f>
        <v>PMB</v>
      </c>
      <c r="O169" s="59"/>
      <c r="P169" s="1"/>
      <c r="Q169" s="1"/>
      <c r="R169" s="1"/>
      <c r="S169" s="1"/>
      <c r="T169" s="1"/>
      <c r="U169" s="1"/>
      <c r="V169" s="1"/>
      <c r="W169" s="1"/>
      <c r="X169" s="1"/>
      <c r="Y169" s="1"/>
      <c r="Z169" s="1"/>
      <c r="AA169" s="1"/>
    </row>
    <row r="170" spans="1:27" ht="12.75" customHeight="1">
      <c r="A170" s="1"/>
      <c r="B170" s="10" t="str">
        <f ca="1">IFERROR(__xludf.DUMMYFUNCTION("""COMPUTED_VALUE"""),"IMPLEMENTACION DE SISTEMAS FOTOVOLTAICOS INDIVIDUALES PARA LA QUEBRADA DE SOGA Y BAJO SOGA")</f>
        <v>IMPLEMENTACION DE SISTEMAS FOTOVOLTAICOS INDIVIDUALES PARA LA QUEBRADA DE SOGA Y BAJO SOGA</v>
      </c>
      <c r="C170" s="10" t="str">
        <f ca="1">IFERROR(__xludf.DUMMYFUNCTION("""COMPUTED_VALUE"""),"1404240701-C")</f>
        <v>1404240701-C</v>
      </c>
      <c r="D170" s="26" t="str">
        <f t="shared" ca="1" si="0"/>
        <v xml:space="preserve"> HUARA</v>
      </c>
      <c r="E170" s="10" t="str">
        <f ca="1">IFERROR(__xludf.DUMMYFUNCTION("""COMPUTED_VALUE"""),"Guía Operativa")</f>
        <v>Guía Operativa</v>
      </c>
      <c r="F170" s="10" t="str">
        <f ca="1">IFERROR(__xludf.DUMMYFUNCTION("""COMPUTED_VALUE"""),"MUNICIPALIDAD DE HUARA")</f>
        <v>MUNICIPALIDAD DE HUARA</v>
      </c>
      <c r="G170" s="71">
        <f ca="1">IFERROR(__xludf.DUMMYFUNCTION("""COMPUTED_VALUE"""),323237100)</f>
        <v>323237100</v>
      </c>
      <c r="H170" s="10" t="str">
        <f ca="1">IFERROR(__xludf.DUMMYFUNCTION("""COMPUTED_VALUE"""),"Resolución")</f>
        <v>Resolución</v>
      </c>
      <c r="I170" s="10" t="str">
        <f ca="1">IFERROR(__xludf.DUMMYFUNCTION("""COMPUTED_VALUE"""),"Obra")</f>
        <v>Obra</v>
      </c>
      <c r="J170" s="10" t="str">
        <f ca="1">IFERROR(__xludf.DUMMYFUNCTION("""COMPUTED_VALUE"""),"Cumplir con normativa y reglamentos internos del programa en base a los objetivos.")</f>
        <v>Cumplir con normativa y reglamentos internos del programa en base a los objetivos.</v>
      </c>
      <c r="K170" s="71">
        <f ca="1">IFERROR(__xludf.DUMMYFUNCTION("""COMPUTED_VALUE"""),323237100)</f>
        <v>323237100</v>
      </c>
      <c r="L170" s="27">
        <f ca="1">IFERROR(__xludf.DUMMYFUNCTION("""COMPUTED_VALUE"""),1)</f>
        <v>1</v>
      </c>
      <c r="M170" s="10" t="str">
        <f ca="1">IFERROR(__xludf.DUMMYFUNCTION("""COMPUTED_VALUE"""),"7613/2024")</f>
        <v>7613/2024</v>
      </c>
      <c r="N170" s="10" t="str">
        <f ca="1">IFERROR(__xludf.DUMMYFUNCTION("""COMPUTED_VALUE"""),"PMB")</f>
        <v>PMB</v>
      </c>
      <c r="O170" s="59"/>
      <c r="P170" s="1"/>
      <c r="Q170" s="1"/>
      <c r="R170" s="1"/>
      <c r="S170" s="1"/>
      <c r="T170" s="1"/>
      <c r="U170" s="1"/>
      <c r="V170" s="1"/>
      <c r="W170" s="1"/>
      <c r="X170" s="1"/>
      <c r="Y170" s="1"/>
      <c r="Z170" s="1"/>
      <c r="AA170" s="1"/>
    </row>
    <row r="171" spans="1:27" ht="12.75" customHeight="1">
      <c r="A171" s="1"/>
      <c r="B171" s="10" t="str">
        <f ca="1">IFERROR(__xludf.DUMMYFUNCTION("""COMPUTED_VALUE"""),"MEJORAMIENTO SISTEMA DE TRATAMIENTO DE AGUAS SERVIDAS LOCALIDAD EL GUINDO, COMUNA DE OVALLE")</f>
        <v>MEJORAMIENTO SISTEMA DE TRATAMIENTO DE AGUAS SERVIDAS LOCALIDAD EL GUINDO, COMUNA DE OVALLE</v>
      </c>
      <c r="C171" s="10" t="str">
        <f ca="1">IFERROR(__xludf.DUMMYFUNCTION("""COMPUTED_VALUE"""),"4301210703-C")</f>
        <v>4301210703-C</v>
      </c>
      <c r="D171" s="26" t="str">
        <f t="shared" ca="1" si="0"/>
        <v xml:space="preserve"> OVALLE</v>
      </c>
      <c r="E171" s="10" t="str">
        <f ca="1">IFERROR(__xludf.DUMMYFUNCTION("""COMPUTED_VALUE"""),"Guía Operativa")</f>
        <v>Guía Operativa</v>
      </c>
      <c r="F171" s="10" t="str">
        <f ca="1">IFERROR(__xludf.DUMMYFUNCTION("""COMPUTED_VALUE"""),"MUNICIPALIDAD DE OVALLE")</f>
        <v>MUNICIPALIDAD DE OVALLE</v>
      </c>
      <c r="G171" s="71">
        <f ca="1">IFERROR(__xludf.DUMMYFUNCTION("""COMPUTED_VALUE"""),282714802)</f>
        <v>282714802</v>
      </c>
      <c r="H171" s="10" t="str">
        <f ca="1">IFERROR(__xludf.DUMMYFUNCTION("""COMPUTED_VALUE"""),"Resolución")</f>
        <v>Resolución</v>
      </c>
      <c r="I171" s="10" t="str">
        <f ca="1">IFERROR(__xludf.DUMMYFUNCTION("""COMPUTED_VALUE"""),"Obra")</f>
        <v>Obra</v>
      </c>
      <c r="J171" s="10" t="str">
        <f ca="1">IFERROR(__xludf.DUMMYFUNCTION("""COMPUTED_VALUE"""),"Cumplir con normativa y reglamentos internos del programa en base a los objetivos.")</f>
        <v>Cumplir con normativa y reglamentos internos del programa en base a los objetivos.</v>
      </c>
      <c r="K171" s="71">
        <f ca="1">IFERROR(__xludf.DUMMYFUNCTION("""COMPUTED_VALUE"""),282714802)</f>
        <v>282714802</v>
      </c>
      <c r="L171" s="27">
        <f ca="1">IFERROR(__xludf.DUMMYFUNCTION("""COMPUTED_VALUE"""),1)</f>
        <v>1</v>
      </c>
      <c r="M171" s="10" t="str">
        <f ca="1">IFERROR(__xludf.DUMMYFUNCTION("""COMPUTED_VALUE"""),"6683/2024")</f>
        <v>6683/2024</v>
      </c>
      <c r="N171" s="10" t="str">
        <f ca="1">IFERROR(__xludf.DUMMYFUNCTION("""COMPUTED_VALUE"""),"PMB")</f>
        <v>PMB</v>
      </c>
      <c r="O171" s="59"/>
      <c r="P171" s="1"/>
      <c r="Q171" s="1"/>
      <c r="R171" s="1"/>
      <c r="S171" s="1"/>
      <c r="T171" s="1"/>
      <c r="U171" s="1"/>
      <c r="V171" s="1"/>
      <c r="W171" s="1"/>
      <c r="X171" s="1"/>
      <c r="Y171" s="1"/>
      <c r="Z171" s="1"/>
      <c r="AA171" s="1"/>
    </row>
    <row r="172" spans="1:27" ht="12.75" customHeight="1">
      <c r="A172" s="1"/>
      <c r="B172" s="10" t="str">
        <f ca="1">IFERROR(__xludf.DUMMYFUNCTION("""COMPUTED_VALUE"""),"CONSTRUCCIÓN APR CALLEJÓN MONTONERA, COMUNA DE VILLA ALEGRE")</f>
        <v>CONSTRUCCIÓN APR CALLEJÓN MONTONERA, COMUNA DE VILLA ALEGRE</v>
      </c>
      <c r="C172" s="10" t="str">
        <f ca="1">IFERROR(__xludf.DUMMYFUNCTION("""COMPUTED_VALUE"""),"7407240701-B")</f>
        <v>7407240701-B</v>
      </c>
      <c r="D172" s="26" t="str">
        <f t="shared" ca="1" si="0"/>
        <v xml:space="preserve"> VILLA ALEGRE</v>
      </c>
      <c r="E172" s="10" t="str">
        <f ca="1">IFERROR(__xludf.DUMMYFUNCTION("""COMPUTED_VALUE"""),"Guía Operativa")</f>
        <v>Guía Operativa</v>
      </c>
      <c r="F172" s="10" t="str">
        <f ca="1">IFERROR(__xludf.DUMMYFUNCTION("""COMPUTED_VALUE"""),"MUNICIPALIDAD DE VILLA ALEGRE")</f>
        <v>MUNICIPALIDAD DE VILLA ALEGRE</v>
      </c>
      <c r="G172" s="71">
        <f ca="1">IFERROR(__xludf.DUMMYFUNCTION("""COMPUTED_VALUE"""),295393109)</f>
        <v>295393109</v>
      </c>
      <c r="H172" s="10" t="str">
        <f ca="1">IFERROR(__xludf.DUMMYFUNCTION("""COMPUTED_VALUE"""),"Resolución")</f>
        <v>Resolución</v>
      </c>
      <c r="I172" s="10" t="str">
        <f ca="1">IFERROR(__xludf.DUMMYFUNCTION("""COMPUTED_VALUE"""),"Obra")</f>
        <v>Obra</v>
      </c>
      <c r="J172" s="10" t="str">
        <f ca="1">IFERROR(__xludf.DUMMYFUNCTION("""COMPUTED_VALUE"""),"Cumplir con normativa y reglamentos internos del programa en base a los objetivos.")</f>
        <v>Cumplir con normativa y reglamentos internos del programa en base a los objetivos.</v>
      </c>
      <c r="K172" s="71">
        <f ca="1">IFERROR(__xludf.DUMMYFUNCTION("""COMPUTED_VALUE"""),295393109)</f>
        <v>295393109</v>
      </c>
      <c r="L172" s="27">
        <f ca="1">IFERROR(__xludf.DUMMYFUNCTION("""COMPUTED_VALUE"""),1)</f>
        <v>1</v>
      </c>
      <c r="M172" s="10" t="str">
        <f ca="1">IFERROR(__xludf.DUMMYFUNCTION("""COMPUTED_VALUE"""),"6686/2024")</f>
        <v>6686/2024</v>
      </c>
      <c r="N172" s="10" t="str">
        <f ca="1">IFERROR(__xludf.DUMMYFUNCTION("""COMPUTED_VALUE"""),"PMB")</f>
        <v>PMB</v>
      </c>
      <c r="O172" s="59"/>
      <c r="P172" s="1"/>
      <c r="Q172" s="1"/>
      <c r="R172" s="1"/>
      <c r="S172" s="1"/>
      <c r="T172" s="1"/>
      <c r="U172" s="1"/>
      <c r="V172" s="1"/>
      <c r="W172" s="1"/>
      <c r="X172" s="1"/>
      <c r="Y172" s="1"/>
      <c r="Z172" s="1"/>
      <c r="AA172" s="1"/>
    </row>
    <row r="173" spans="1:27" ht="12.75" customHeight="1">
      <c r="A173" s="1"/>
      <c r="B173" s="10" t="str">
        <f ca="1">IFERROR(__xludf.DUMMYFUNCTION("""COMPUTED_VALUE"""),"ASISTENCIA Y APOYO TECNICO EN NUEVOS PROYECTOS DE SANEAMIENTO SANITARIO, MEJORAMIENTO URBANO Y EQUIPAMIENTO COMUNAL, COMUNA DE FRUTILLAR")</f>
        <v>ASISTENCIA Y APOYO TECNICO EN NUEVOS PROYECTOS DE SANEAMIENTO SANITARIO, MEJORAMIENTO URBANO Y EQUIPAMIENTO COMUNAL, COMUNA DE FRUTILLAR</v>
      </c>
      <c r="C173" s="10" t="str">
        <f ca="1">IFERROR(__xludf.DUMMYFUNCTION("""COMPUTED_VALUE"""),"10105231001-C")</f>
        <v>10105231001-C</v>
      </c>
      <c r="D173" s="26" t="str">
        <f t="shared" ca="1" si="0"/>
        <v xml:space="preserve"> FRUTILLAR</v>
      </c>
      <c r="E173" s="10" t="str">
        <f ca="1">IFERROR(__xludf.DUMMYFUNCTION("""COMPUTED_VALUE"""),"Guía Operativa")</f>
        <v>Guía Operativa</v>
      </c>
      <c r="F173" s="10" t="str">
        <f ca="1">IFERROR(__xludf.DUMMYFUNCTION("""COMPUTED_VALUE"""),"MUNICIPALIDAD DE FRUTILLAR")</f>
        <v>MUNICIPALIDAD DE FRUTILLAR</v>
      </c>
      <c r="G173" s="71">
        <f ca="1">IFERROR(__xludf.DUMMYFUNCTION("""COMPUTED_VALUE"""),70200000)</f>
        <v>70200000</v>
      </c>
      <c r="H173" s="10" t="str">
        <f ca="1">IFERROR(__xludf.DUMMYFUNCTION("""COMPUTED_VALUE"""),"Resolución")</f>
        <v>Resolución</v>
      </c>
      <c r="I173" s="10" t="str">
        <f ca="1">IFERROR(__xludf.DUMMYFUNCTION("""COMPUTED_VALUE"""),"Asistencia Técnica")</f>
        <v>Asistencia Técnica</v>
      </c>
      <c r="J173" s="10" t="str">
        <f ca="1">IFERROR(__xludf.DUMMYFUNCTION("""COMPUTED_VALUE"""),"Cumplir con normativa y reglamentos internos del programa en base a los objetivos.")</f>
        <v>Cumplir con normativa y reglamentos internos del programa en base a los objetivos.</v>
      </c>
      <c r="K173" s="71">
        <f ca="1">IFERROR(__xludf.DUMMYFUNCTION("""COMPUTED_VALUE"""),70200000)</f>
        <v>70200000</v>
      </c>
      <c r="L173" s="27">
        <f ca="1">IFERROR(__xludf.DUMMYFUNCTION("""COMPUTED_VALUE"""),1)</f>
        <v>1</v>
      </c>
      <c r="M173" s="10" t="str">
        <f ca="1">IFERROR(__xludf.DUMMYFUNCTION("""COMPUTED_VALUE"""),"7481/2024")</f>
        <v>7481/2024</v>
      </c>
      <c r="N173" s="10" t="str">
        <f ca="1">IFERROR(__xludf.DUMMYFUNCTION("""COMPUTED_VALUE"""),"PMB")</f>
        <v>PMB</v>
      </c>
      <c r="O173" s="59"/>
      <c r="P173" s="1"/>
      <c r="Q173" s="1"/>
      <c r="R173" s="1"/>
      <c r="S173" s="1"/>
      <c r="T173" s="1"/>
      <c r="U173" s="1"/>
      <c r="V173" s="1"/>
      <c r="W173" s="1"/>
      <c r="X173" s="1"/>
      <c r="Y173" s="1"/>
      <c r="Z173" s="1"/>
      <c r="AA173" s="1"/>
    </row>
    <row r="174" spans="1:27" ht="12.75" customHeight="1">
      <c r="A174" s="1"/>
      <c r="B174" s="10" t="str">
        <f ca="1">IFERROR(__xludf.DUMMYFUNCTION("""COMPUTED_VALUE"""),"ASISTENCIA TÉCNICA PARA CONTRATACIÓN DE PROFESIONALES PARA GENERACIÓN DE PROYECTOS SUBDERE, LOS SAUCES")</f>
        <v>ASISTENCIA TÉCNICA PARA CONTRATACIÓN DE PROFESIONALES PARA GENERACIÓN DE PROYECTOS SUBDERE, LOS SAUCES</v>
      </c>
      <c r="C174" s="10" t="str">
        <f ca="1">IFERROR(__xludf.DUMMYFUNCTION("""COMPUTED_VALUE"""),"9206231001-C")</f>
        <v>9206231001-C</v>
      </c>
      <c r="D174" s="26" t="str">
        <f t="shared" ca="1" si="0"/>
        <v xml:space="preserve"> LOS SAUCES</v>
      </c>
      <c r="E174" s="10" t="str">
        <f ca="1">IFERROR(__xludf.DUMMYFUNCTION("""COMPUTED_VALUE"""),"Guía Operativa")</f>
        <v>Guía Operativa</v>
      </c>
      <c r="F174" s="10" t="str">
        <f ca="1">IFERROR(__xludf.DUMMYFUNCTION("""COMPUTED_VALUE"""),"MUNICIPALIDAD DE LOS SAUCES")</f>
        <v>MUNICIPALIDAD DE LOS SAUCES</v>
      </c>
      <c r="G174" s="71">
        <f ca="1">IFERROR(__xludf.DUMMYFUNCTION("""COMPUTED_VALUE"""),86400000)</f>
        <v>86400000</v>
      </c>
      <c r="H174" s="10" t="str">
        <f ca="1">IFERROR(__xludf.DUMMYFUNCTION("""COMPUTED_VALUE"""),"Resolución")</f>
        <v>Resolución</v>
      </c>
      <c r="I174" s="10" t="str">
        <f ca="1">IFERROR(__xludf.DUMMYFUNCTION("""COMPUTED_VALUE"""),"Asistencia Técnica")</f>
        <v>Asistencia Técnica</v>
      </c>
      <c r="J174" s="10" t="str">
        <f ca="1">IFERROR(__xludf.DUMMYFUNCTION("""COMPUTED_VALUE"""),"Cumplir con normativa y reglamentos internos del programa en base a los objetivos.")</f>
        <v>Cumplir con normativa y reglamentos internos del programa en base a los objetivos.</v>
      </c>
      <c r="K174" s="71">
        <f ca="1">IFERROR(__xludf.DUMMYFUNCTION("""COMPUTED_VALUE"""),86400000)</f>
        <v>86400000</v>
      </c>
      <c r="L174" s="27">
        <f ca="1">IFERROR(__xludf.DUMMYFUNCTION("""COMPUTED_VALUE"""),1)</f>
        <v>1</v>
      </c>
      <c r="M174" s="10" t="str">
        <f ca="1">IFERROR(__xludf.DUMMYFUNCTION("""COMPUTED_VALUE"""),"7482/2024")</f>
        <v>7482/2024</v>
      </c>
      <c r="N174" s="10" t="str">
        <f ca="1">IFERROR(__xludf.DUMMYFUNCTION("""COMPUTED_VALUE"""),"PMB")</f>
        <v>PMB</v>
      </c>
      <c r="O174" s="59"/>
      <c r="P174" s="1"/>
      <c r="Q174" s="1"/>
      <c r="R174" s="1"/>
      <c r="S174" s="1"/>
      <c r="T174" s="1"/>
      <c r="U174" s="1"/>
      <c r="V174" s="1"/>
      <c r="W174" s="1"/>
      <c r="X174" s="1"/>
      <c r="Y174" s="1"/>
      <c r="Z174" s="1"/>
      <c r="AA174" s="1"/>
    </row>
    <row r="175" spans="1:27" ht="12.75" customHeight="1">
      <c r="A175" s="1"/>
      <c r="B175" s="10" t="str">
        <f ca="1">IFERROR(__xludf.DUMMYFUNCTION("""COMPUTED_VALUE"""),"ASISTENCIA TÉCNICA DIVERSOS PROYECTOS PMU COMUNA DE QUINCHAO")</f>
        <v>ASISTENCIA TÉCNICA DIVERSOS PROYECTOS PMU COMUNA DE QUINCHAO</v>
      </c>
      <c r="C175" s="10" t="str">
        <f ca="1">IFERROR(__xludf.DUMMYFUNCTION("""COMPUTED_VALUE"""),"10210241001-C")</f>
        <v>10210241001-C</v>
      </c>
      <c r="D175" s="26" t="str">
        <f t="shared" ca="1" si="0"/>
        <v xml:space="preserve"> QUINCHAO</v>
      </c>
      <c r="E175" s="10" t="str">
        <f ca="1">IFERROR(__xludf.DUMMYFUNCTION("""COMPUTED_VALUE"""),"Guía Operativa")</f>
        <v>Guía Operativa</v>
      </c>
      <c r="F175" s="10" t="str">
        <f ca="1">IFERROR(__xludf.DUMMYFUNCTION("""COMPUTED_VALUE"""),"MUNICIPALIDAD DE QUINCHAO")</f>
        <v>MUNICIPALIDAD DE QUINCHAO</v>
      </c>
      <c r="G175" s="71">
        <f ca="1">IFERROR(__xludf.DUMMYFUNCTION("""COMPUTED_VALUE"""),64800000)</f>
        <v>64800000</v>
      </c>
      <c r="H175" s="10" t="str">
        <f ca="1">IFERROR(__xludf.DUMMYFUNCTION("""COMPUTED_VALUE"""),"Resolución")</f>
        <v>Resolución</v>
      </c>
      <c r="I175" s="10" t="str">
        <f ca="1">IFERROR(__xludf.DUMMYFUNCTION("""COMPUTED_VALUE"""),"Asistencia Técnica")</f>
        <v>Asistencia Técnica</v>
      </c>
      <c r="J175" s="10" t="str">
        <f ca="1">IFERROR(__xludf.DUMMYFUNCTION("""COMPUTED_VALUE"""),"Cumplir con normativa y reglamentos internos del programa en base a los objetivos.")</f>
        <v>Cumplir con normativa y reglamentos internos del programa en base a los objetivos.</v>
      </c>
      <c r="K175" s="71">
        <f ca="1">IFERROR(__xludf.DUMMYFUNCTION("""COMPUTED_VALUE"""),64800000)</f>
        <v>64800000</v>
      </c>
      <c r="L175" s="27">
        <f ca="1">IFERROR(__xludf.DUMMYFUNCTION("""COMPUTED_VALUE"""),1)</f>
        <v>1</v>
      </c>
      <c r="M175" s="10" t="str">
        <f ca="1">IFERROR(__xludf.DUMMYFUNCTION("""COMPUTED_VALUE"""),"7611/2024")</f>
        <v>7611/2024</v>
      </c>
      <c r="N175" s="10" t="str">
        <f ca="1">IFERROR(__xludf.DUMMYFUNCTION("""COMPUTED_VALUE"""),"PMB")</f>
        <v>PMB</v>
      </c>
      <c r="O175" s="59"/>
      <c r="P175" s="1"/>
      <c r="Q175" s="1"/>
      <c r="R175" s="1"/>
      <c r="S175" s="1"/>
      <c r="T175" s="1"/>
      <c r="U175" s="1"/>
      <c r="V175" s="1"/>
      <c r="W175" s="1"/>
      <c r="X175" s="1"/>
      <c r="Y175" s="1"/>
      <c r="Z175" s="1"/>
      <c r="AA175" s="1"/>
    </row>
    <row r="176" spans="1:27" ht="12.75" customHeight="1">
      <c r="A176" s="1"/>
      <c r="B176" s="10" t="str">
        <f ca="1">IFERROR(__xludf.DUMMYFUNCTION("""COMPUTED_VALUE"""),"AMPLIACIÓN LUMINARIAS CICLOVIA BALMACEDA, ENTRE LA ISLITA E ISLA CENTRO, COMUNA ISLA DE MAIPO")</f>
        <v>AMPLIACIÓN LUMINARIAS CICLOVIA BALMACEDA, ENTRE LA ISLITA E ISLA CENTRO, COMUNA ISLA DE MAIPO</v>
      </c>
      <c r="C176" s="10" t="str">
        <f ca="1">IFERROR(__xludf.DUMMYFUNCTION("""COMPUTED_VALUE"""),"13603210701-C")</f>
        <v>13603210701-C</v>
      </c>
      <c r="D176" s="26" t="str">
        <f t="shared" ca="1" si="0"/>
        <v xml:space="preserve"> ISLA DE MAIPO</v>
      </c>
      <c r="E176" s="10" t="str">
        <f ca="1">IFERROR(__xludf.DUMMYFUNCTION("""COMPUTED_VALUE"""),"Guía Operativa")</f>
        <v>Guía Operativa</v>
      </c>
      <c r="F176" s="10" t="str">
        <f ca="1">IFERROR(__xludf.DUMMYFUNCTION("""COMPUTED_VALUE"""),"MUNICIPALIDAD DE ISLA DE MAIPO")</f>
        <v>MUNICIPALIDAD DE ISLA DE MAIPO</v>
      </c>
      <c r="G176" s="71">
        <f ca="1">IFERROR(__xludf.DUMMYFUNCTION("""COMPUTED_VALUE"""),163032890)</f>
        <v>163032890</v>
      </c>
      <c r="H176" s="10" t="str">
        <f ca="1">IFERROR(__xludf.DUMMYFUNCTION("""COMPUTED_VALUE"""),"Resolución")</f>
        <v>Resolución</v>
      </c>
      <c r="I176" s="10" t="str">
        <f ca="1">IFERROR(__xludf.DUMMYFUNCTION("""COMPUTED_VALUE"""),"Obra")</f>
        <v>Obra</v>
      </c>
      <c r="J176" s="10" t="str">
        <f ca="1">IFERROR(__xludf.DUMMYFUNCTION("""COMPUTED_VALUE"""),"Cumplir con normativa y reglamentos internos del programa en base a los objetivos.")</f>
        <v>Cumplir con normativa y reglamentos internos del programa en base a los objetivos.</v>
      </c>
      <c r="K176" s="71">
        <f ca="1">IFERROR(__xludf.DUMMYFUNCTION("""COMPUTED_VALUE"""),36902648)</f>
        <v>36902648</v>
      </c>
      <c r="L176" s="27">
        <f ca="1">IFERROR(__xludf.DUMMYFUNCTION("""COMPUTED_VALUE"""),0.52635094059855)</f>
        <v>0.52635094059855003</v>
      </c>
      <c r="M176" s="10" t="str">
        <f ca="1">IFERROR(__xludf.DUMMYFUNCTION("""COMPUTED_VALUE"""),"8294/2021")</f>
        <v>8294/2021</v>
      </c>
      <c r="N176" s="10" t="str">
        <f ca="1">IFERROR(__xludf.DUMMYFUNCTION("""COMPUTED_VALUE"""),"PMB")</f>
        <v>PMB</v>
      </c>
      <c r="O176" s="59"/>
      <c r="P176" s="1"/>
      <c r="Q176" s="1"/>
      <c r="R176" s="1"/>
      <c r="S176" s="1"/>
      <c r="T176" s="1"/>
      <c r="U176" s="1"/>
      <c r="V176" s="1"/>
      <c r="W176" s="1"/>
      <c r="X176" s="1"/>
      <c r="Y176" s="1"/>
      <c r="Z176" s="1"/>
      <c r="AA176" s="1"/>
    </row>
    <row r="177" spans="1:27" ht="12.75" customHeight="1">
      <c r="A177" s="1"/>
      <c r="B177" s="10" t="str">
        <f ca="1">IFERROR(__xludf.DUMMYFUNCTION("""COMPUTED_VALUE"""),"EXTENSION SISTEMA DE AGUA POTABLE RURAL CALLE LA CRUZ, COMUNA DE OLMUE")</f>
        <v>EXTENSION SISTEMA DE AGUA POTABLE RURAL CALLE LA CRUZ, COMUNA DE OLMUE</v>
      </c>
      <c r="C177" s="10" t="str">
        <f ca="1">IFERROR(__xludf.DUMMYFUNCTION("""COMPUTED_VALUE"""),"5803190701-C")</f>
        <v>5803190701-C</v>
      </c>
      <c r="D177" s="26" t="str">
        <f t="shared" ca="1" si="0"/>
        <v xml:space="preserve"> OLMUÉ</v>
      </c>
      <c r="E177" s="10" t="str">
        <f ca="1">IFERROR(__xludf.DUMMYFUNCTION("""COMPUTED_VALUE"""),"Guía Operativa")</f>
        <v>Guía Operativa</v>
      </c>
      <c r="F177" s="10" t="str">
        <f ca="1">IFERROR(__xludf.DUMMYFUNCTION("""COMPUTED_VALUE"""),"MUNICIPALIDAD DE OLMUÉ")</f>
        <v>MUNICIPALIDAD DE OLMUÉ</v>
      </c>
      <c r="G177" s="71">
        <f ca="1">IFERROR(__xludf.DUMMYFUNCTION("""COMPUTED_VALUE"""),31548654)</f>
        <v>31548654</v>
      </c>
      <c r="H177" s="10" t="str">
        <f ca="1">IFERROR(__xludf.DUMMYFUNCTION("""COMPUTED_VALUE"""),"Resolución")</f>
        <v>Resolución</v>
      </c>
      <c r="I177" s="10" t="str">
        <f ca="1">IFERROR(__xludf.DUMMYFUNCTION("""COMPUTED_VALUE"""),"Obra")</f>
        <v>Obra</v>
      </c>
      <c r="J177" s="10" t="str">
        <f ca="1">IFERROR(__xludf.DUMMYFUNCTION("""COMPUTED_VALUE"""),"Cumplir con normativa y reglamentos internos del programa en base a los objetivos.")</f>
        <v>Cumplir con normativa y reglamentos internos del programa en base a los objetivos.</v>
      </c>
      <c r="K177" s="71">
        <f ca="1">IFERROR(__xludf.DUMMYFUNCTION("""COMPUTED_VALUE"""),31548654)</f>
        <v>31548654</v>
      </c>
      <c r="L177" s="27">
        <f ca="1">IFERROR(__xludf.DUMMYFUNCTION("""COMPUTED_VALUE"""),1)</f>
        <v>1</v>
      </c>
      <c r="M177" s="10" t="str">
        <f ca="1">IFERROR(__xludf.DUMMYFUNCTION("""COMPUTED_VALUE"""),"3627/2020")</f>
        <v>3627/2020</v>
      </c>
      <c r="N177" s="10" t="str">
        <f ca="1">IFERROR(__xludf.DUMMYFUNCTION("""COMPUTED_VALUE"""),"PMB")</f>
        <v>PMB</v>
      </c>
      <c r="O177" s="59"/>
      <c r="P177" s="1"/>
      <c r="Q177" s="1"/>
      <c r="R177" s="1"/>
      <c r="S177" s="1"/>
      <c r="T177" s="1"/>
      <c r="U177" s="1"/>
      <c r="V177" s="1"/>
      <c r="W177" s="1"/>
      <c r="X177" s="1"/>
      <c r="Y177" s="1"/>
      <c r="Z177" s="1"/>
      <c r="AA177" s="1"/>
    </row>
    <row r="178" spans="1:27" ht="12.75" customHeight="1">
      <c r="A178" s="1"/>
      <c r="B178" s="10" t="str">
        <f ca="1">IFERROR(__xludf.DUMMYFUNCTION("""COMPUTED_VALUE"""),"ASISTENCIA TECNICA, COMUNA DE CUREPTO")</f>
        <v>ASISTENCIA TECNICA, COMUNA DE CUREPTO</v>
      </c>
      <c r="C178" s="10" t="str">
        <f ca="1">IFERROR(__xludf.DUMMYFUNCTION("""COMPUTED_VALUE"""),"7103231001-C")</f>
        <v>7103231001-C</v>
      </c>
      <c r="D178" s="26" t="str">
        <f t="shared" ca="1" si="0"/>
        <v xml:space="preserve"> CUREPTO</v>
      </c>
      <c r="E178" s="10" t="str">
        <f ca="1">IFERROR(__xludf.DUMMYFUNCTION("""COMPUTED_VALUE"""),"Guía Operativa")</f>
        <v>Guía Operativa</v>
      </c>
      <c r="F178" s="10" t="str">
        <f ca="1">IFERROR(__xludf.DUMMYFUNCTION("""COMPUTED_VALUE"""),"MUNICIPALIDAD DE CUREPTO")</f>
        <v>MUNICIPALIDAD DE CUREPTO</v>
      </c>
      <c r="G178" s="71">
        <f ca="1">IFERROR(__xludf.DUMMYFUNCTION("""COMPUTED_VALUE"""),40515444)</f>
        <v>40515444</v>
      </c>
      <c r="H178" s="10" t="str">
        <f ca="1">IFERROR(__xludf.DUMMYFUNCTION("""COMPUTED_VALUE"""),"Resolución")</f>
        <v>Resolución</v>
      </c>
      <c r="I178" s="10" t="str">
        <f ca="1">IFERROR(__xludf.DUMMYFUNCTION("""COMPUTED_VALUE"""),"Asistencia Técnica")</f>
        <v>Asistencia Técnica</v>
      </c>
      <c r="J178" s="10" t="str">
        <f ca="1">IFERROR(__xludf.DUMMYFUNCTION("""COMPUTED_VALUE"""),"Cumplir con normativa y reglamentos internos del programa en base a los objetivos.")</f>
        <v>Cumplir con normativa y reglamentos internos del programa en base a los objetivos.</v>
      </c>
      <c r="K178" s="71">
        <f ca="1">IFERROR(__xludf.DUMMYFUNCTION("""COMPUTED_VALUE"""),10128861)</f>
        <v>10128861</v>
      </c>
      <c r="L178" s="27">
        <f ca="1">IFERROR(__xludf.DUMMYFUNCTION("""COMPUTED_VALUE"""),0.5)</f>
        <v>0.5</v>
      </c>
      <c r="M178" s="10" t="str">
        <f ca="1">IFERROR(__xludf.DUMMYFUNCTION("""COMPUTED_VALUE"""),"11952/2023")</f>
        <v>11952/2023</v>
      </c>
      <c r="N178" s="10" t="str">
        <f ca="1">IFERROR(__xludf.DUMMYFUNCTION("""COMPUTED_VALUE"""),"PMB")</f>
        <v>PMB</v>
      </c>
      <c r="O178" s="59"/>
      <c r="P178" s="1"/>
      <c r="Q178" s="1"/>
      <c r="R178" s="1"/>
      <c r="S178" s="1"/>
      <c r="T178" s="1"/>
      <c r="U178" s="1"/>
      <c r="V178" s="1"/>
      <c r="W178" s="1"/>
      <c r="X178" s="1"/>
      <c r="Y178" s="1"/>
      <c r="Z178" s="1"/>
      <c r="AA178" s="1"/>
    </row>
    <row r="179" spans="1:27" ht="12.75" customHeight="1">
      <c r="A179" s="1"/>
      <c r="B179" s="10" t="str">
        <f ca="1">IFERROR(__xludf.DUMMYFUNCTION("""COMPUTED_VALUE"""),"HABILITACIÓN SUMINISTRO E.E. SISTEMAS FOTOVOLTAICOS INDIVIDUALES SECTOR PUERTO CARMEN, COMUNA DE QUELLÓN")</f>
        <v>HABILITACIÓN SUMINISTRO E.E. SISTEMAS FOTOVOLTAICOS INDIVIDUALES SECTOR PUERTO CARMEN, COMUNA DE QUELLÓN</v>
      </c>
      <c r="C179" s="10" t="str">
        <f ca="1">IFERROR(__xludf.DUMMYFUNCTION("""COMPUTED_VALUE"""),"10208240701-C")</f>
        <v>10208240701-C</v>
      </c>
      <c r="D179" s="26" t="str">
        <f t="shared" ca="1" si="0"/>
        <v xml:space="preserve"> QUELLÓN</v>
      </c>
      <c r="E179" s="10" t="str">
        <f ca="1">IFERROR(__xludf.DUMMYFUNCTION("""COMPUTED_VALUE"""),"Guía Operativa")</f>
        <v>Guía Operativa</v>
      </c>
      <c r="F179" s="10" t="str">
        <f ca="1">IFERROR(__xludf.DUMMYFUNCTION("""COMPUTED_VALUE"""),"MUNICIPALIDAD DE QUELLÓN")</f>
        <v>MUNICIPALIDAD DE QUELLÓN</v>
      </c>
      <c r="G179" s="71">
        <f ca="1">IFERROR(__xludf.DUMMYFUNCTION("""COMPUTED_VALUE"""),229332052)</f>
        <v>229332052</v>
      </c>
      <c r="H179" s="10" t="str">
        <f ca="1">IFERROR(__xludf.DUMMYFUNCTION("""COMPUTED_VALUE"""),"Resolución")</f>
        <v>Resolución</v>
      </c>
      <c r="I179" s="10" t="str">
        <f ca="1">IFERROR(__xludf.DUMMYFUNCTION("""COMPUTED_VALUE"""),"Obra")</f>
        <v>Obra</v>
      </c>
      <c r="J179" s="10" t="str">
        <f ca="1">IFERROR(__xludf.DUMMYFUNCTION("""COMPUTED_VALUE"""),"Cumplir con normativa y reglamentos internos del programa en base a los objetivos.")</f>
        <v>Cumplir con normativa y reglamentos internos del programa en base a los objetivos.</v>
      </c>
      <c r="K179" s="71">
        <f ca="1">IFERROR(__xludf.DUMMYFUNCTION("""COMPUTED_VALUE"""),229332052)</f>
        <v>229332052</v>
      </c>
      <c r="L179" s="27">
        <f ca="1">IFERROR(__xludf.DUMMYFUNCTION("""COMPUTED_VALUE"""),1)</f>
        <v>1</v>
      </c>
      <c r="M179" s="10" t="str">
        <f ca="1">IFERROR(__xludf.DUMMYFUNCTION("""COMPUTED_VALUE"""),"8346/2024")</f>
        <v>8346/2024</v>
      </c>
      <c r="N179" s="10" t="str">
        <f ca="1">IFERROR(__xludf.DUMMYFUNCTION("""COMPUTED_VALUE"""),"PMB")</f>
        <v>PMB</v>
      </c>
      <c r="O179" s="59"/>
      <c r="P179" s="1"/>
      <c r="Q179" s="1"/>
      <c r="R179" s="1"/>
      <c r="S179" s="1"/>
      <c r="T179" s="1"/>
      <c r="U179" s="1"/>
      <c r="V179" s="1"/>
      <c r="W179" s="1"/>
      <c r="X179" s="1"/>
      <c r="Y179" s="1"/>
      <c r="Z179" s="1"/>
      <c r="AA179" s="1"/>
    </row>
    <row r="180" spans="1:27" ht="12.75" customHeight="1">
      <c r="A180" s="1"/>
      <c r="B180" s="10" t="str">
        <f ca="1">IFERROR(__xludf.DUMMYFUNCTION("""COMPUTED_VALUE"""),"CONSTRUCCIÓN DE ALUMBRADO PEATONAL UNIDAD VECINAL N°46 , SAN MIGUEL")</f>
        <v>CONSTRUCCIÓN DE ALUMBRADO PEATONAL UNIDAD VECINAL N°46 , SAN MIGUEL</v>
      </c>
      <c r="C180" s="10" t="str">
        <f ca="1">IFERROR(__xludf.DUMMYFUNCTION("""COMPUTED_VALUE"""),"13130230703-C")</f>
        <v>13130230703-C</v>
      </c>
      <c r="D180" s="26" t="str">
        <f t="shared" ca="1" si="0"/>
        <v xml:space="preserve"> SAN MIGUEL</v>
      </c>
      <c r="E180" s="10" t="str">
        <f ca="1">IFERROR(__xludf.DUMMYFUNCTION("""COMPUTED_VALUE"""),"Guía Operativa")</f>
        <v>Guía Operativa</v>
      </c>
      <c r="F180" s="10" t="str">
        <f ca="1">IFERROR(__xludf.DUMMYFUNCTION("""COMPUTED_VALUE"""),"MUNICIPALIDAD DE SAN MIGUEL")</f>
        <v>MUNICIPALIDAD DE SAN MIGUEL</v>
      </c>
      <c r="G180" s="71">
        <f ca="1">IFERROR(__xludf.DUMMYFUNCTION("""COMPUTED_VALUE"""),286991152)</f>
        <v>286991152</v>
      </c>
      <c r="H180" s="10" t="str">
        <f ca="1">IFERROR(__xludf.DUMMYFUNCTION("""COMPUTED_VALUE"""),"Resolución")</f>
        <v>Resolución</v>
      </c>
      <c r="I180" s="10" t="str">
        <f ca="1">IFERROR(__xludf.DUMMYFUNCTION("""COMPUTED_VALUE"""),"Obra")</f>
        <v>Obra</v>
      </c>
      <c r="J180" s="10" t="str">
        <f ca="1">IFERROR(__xludf.DUMMYFUNCTION("""COMPUTED_VALUE"""),"Cumplir con normativa y reglamentos internos del programa en base a los objetivos.")</f>
        <v>Cumplir con normativa y reglamentos internos del programa en base a los objetivos.</v>
      </c>
      <c r="K180" s="71">
        <f ca="1">IFERROR(__xludf.DUMMYFUNCTION("""COMPUTED_VALUE"""),286991152)</f>
        <v>286991152</v>
      </c>
      <c r="L180" s="27">
        <f ca="1">IFERROR(__xludf.DUMMYFUNCTION("""COMPUTED_VALUE"""),1)</f>
        <v>1</v>
      </c>
      <c r="M180" s="10" t="str">
        <f ca="1">IFERROR(__xludf.DUMMYFUNCTION("""COMPUTED_VALUE"""),"8754/2024")</f>
        <v>8754/2024</v>
      </c>
      <c r="N180" s="10" t="str">
        <f ca="1">IFERROR(__xludf.DUMMYFUNCTION("""COMPUTED_VALUE"""),"PMB")</f>
        <v>PMB</v>
      </c>
      <c r="O180" s="59"/>
      <c r="P180" s="1"/>
      <c r="Q180" s="1"/>
      <c r="R180" s="1"/>
      <c r="S180" s="1"/>
      <c r="T180" s="1"/>
      <c r="U180" s="1"/>
      <c r="V180" s="1"/>
      <c r="W180" s="1"/>
      <c r="X180" s="1"/>
      <c r="Y180" s="1"/>
      <c r="Z180" s="1"/>
      <c r="AA180" s="1"/>
    </row>
    <row r="181" spans="1:27" ht="12.75" customHeight="1">
      <c r="A181" s="1"/>
      <c r="B181" s="10" t="str">
        <f ca="1">IFERROR(__xludf.DUMMYFUNCTION("""COMPUTED_VALUE"""),"PROGRAMA DE COMPOSTAJE DOMICILIARIO DE LAS ISLAS COMUNA DE QUINCHAO")</f>
        <v>PROGRAMA DE COMPOSTAJE DOMICILIARIO DE LAS ISLAS COMUNA DE QUINCHAO</v>
      </c>
      <c r="C181" s="10" t="str">
        <f ca="1">IFERROR(__xludf.DUMMYFUNCTION("""COMPUTED_VALUE"""),"10210241502-C")</f>
        <v>10210241502-C</v>
      </c>
      <c r="D181" s="26" t="str">
        <f t="shared" ca="1" si="0"/>
        <v xml:space="preserve"> QUINCHAO</v>
      </c>
      <c r="E181" s="10" t="str">
        <f ca="1">IFERROR(__xludf.DUMMYFUNCTION("""COMPUTED_VALUE"""),"Guía Operativa")</f>
        <v>Guía Operativa</v>
      </c>
      <c r="F181" s="10" t="str">
        <f ca="1">IFERROR(__xludf.DUMMYFUNCTION("""COMPUTED_VALUE"""),"MUNICIPALIDAD DE QUINCHAO")</f>
        <v>MUNICIPALIDAD DE QUINCHAO</v>
      </c>
      <c r="G181" s="71">
        <f ca="1">IFERROR(__xludf.DUMMYFUNCTION("""COMPUTED_VALUE"""),323144500)</f>
        <v>323144500</v>
      </c>
      <c r="H181" s="10" t="str">
        <f ca="1">IFERROR(__xludf.DUMMYFUNCTION("""COMPUTED_VALUE"""),"Resolución")</f>
        <v>Resolución</v>
      </c>
      <c r="I181" s="10" t="str">
        <f ca="1">IFERROR(__xludf.DUMMYFUNCTION("""COMPUTED_VALUE"""),"Valorización de Residuos")</f>
        <v>Valorización de Residuos</v>
      </c>
      <c r="J181" s="10" t="str">
        <f ca="1">IFERROR(__xludf.DUMMYFUNCTION("""COMPUTED_VALUE"""),"Cumplir con normativa y reglamentos internos del programa en base a los objetivos.")</f>
        <v>Cumplir con normativa y reglamentos internos del programa en base a los objetivos.</v>
      </c>
      <c r="K181" s="71">
        <f ca="1">IFERROR(__xludf.DUMMYFUNCTION("""COMPUTED_VALUE"""),323144500)</f>
        <v>323144500</v>
      </c>
      <c r="L181" s="27">
        <f ca="1">IFERROR(__xludf.DUMMYFUNCTION("""COMPUTED_VALUE"""),1)</f>
        <v>1</v>
      </c>
      <c r="M181" s="10" t="str">
        <f ca="1">IFERROR(__xludf.DUMMYFUNCTION("""COMPUTED_VALUE"""),"8469/2024")</f>
        <v>8469/2024</v>
      </c>
      <c r="N181" s="10" t="str">
        <f ca="1">IFERROR(__xludf.DUMMYFUNCTION("""COMPUTED_VALUE"""),"PMB")</f>
        <v>PMB</v>
      </c>
      <c r="O181" s="59"/>
      <c r="P181" s="1"/>
      <c r="Q181" s="1"/>
      <c r="R181" s="1"/>
      <c r="S181" s="1"/>
      <c r="T181" s="1"/>
      <c r="U181" s="1"/>
      <c r="V181" s="1"/>
      <c r="W181" s="1"/>
      <c r="X181" s="1"/>
      <c r="Y181" s="1"/>
      <c r="Z181" s="1"/>
      <c r="AA181" s="1"/>
    </row>
    <row r="182" spans="1:27" ht="12.75" customHeight="1">
      <c r="A182" s="1"/>
      <c r="B182" s="10" t="str">
        <f ca="1">IFERROR(__xludf.DUMMYFUNCTION("""COMPUTED_VALUE"""),"MEJORAMIENTO ESTERO CHUMAY DIVERSOS SECTORES URBANOS, TRAIGUÉN")</f>
        <v>MEJORAMIENTO ESTERO CHUMAY DIVERSOS SECTORES URBANOS, TRAIGUÉN</v>
      </c>
      <c r="C182" s="10" t="str">
        <f ca="1">IFERROR(__xludf.DUMMYFUNCTION("""COMPUTED_VALUE"""),"9210230711-C")</f>
        <v>9210230711-C</v>
      </c>
      <c r="D182" s="26" t="str">
        <f t="shared" ca="1" si="0"/>
        <v xml:space="preserve"> TRAIGUÉN</v>
      </c>
      <c r="E182" s="10" t="str">
        <f ca="1">IFERROR(__xludf.DUMMYFUNCTION("""COMPUTED_VALUE"""),"Guía Operativa")</f>
        <v>Guía Operativa</v>
      </c>
      <c r="F182" s="10" t="str">
        <f ca="1">IFERROR(__xludf.DUMMYFUNCTION("""COMPUTED_VALUE"""),"MUNICIPALIDAD DE TRAIGUÉN")</f>
        <v>MUNICIPALIDAD DE TRAIGUÉN</v>
      </c>
      <c r="G182" s="71">
        <f ca="1">IFERROR(__xludf.DUMMYFUNCTION("""COMPUTED_VALUE"""),287786876)</f>
        <v>287786876</v>
      </c>
      <c r="H182" s="10" t="str">
        <f ca="1">IFERROR(__xludf.DUMMYFUNCTION("""COMPUTED_VALUE"""),"Resolución")</f>
        <v>Resolución</v>
      </c>
      <c r="I182" s="10" t="str">
        <f ca="1">IFERROR(__xludf.DUMMYFUNCTION("""COMPUTED_VALUE"""),"Obra")</f>
        <v>Obra</v>
      </c>
      <c r="J182" s="10" t="str">
        <f ca="1">IFERROR(__xludf.DUMMYFUNCTION("""COMPUTED_VALUE"""),"Cumplir con normativa y reglamentos internos del programa en base a los objetivos.")</f>
        <v>Cumplir con normativa y reglamentos internos del programa en base a los objetivos.</v>
      </c>
      <c r="K182" s="71">
        <f ca="1">IFERROR(__xludf.DUMMYFUNCTION("""COMPUTED_VALUE"""),287786876)</f>
        <v>287786876</v>
      </c>
      <c r="L182" s="27">
        <f ca="1">IFERROR(__xludf.DUMMYFUNCTION("""COMPUTED_VALUE"""),1)</f>
        <v>1</v>
      </c>
      <c r="M182" s="10" t="str">
        <f ca="1">IFERROR(__xludf.DUMMYFUNCTION("""COMPUTED_VALUE"""),"8347/2024")</f>
        <v>8347/2024</v>
      </c>
      <c r="N182" s="10" t="str">
        <f ca="1">IFERROR(__xludf.DUMMYFUNCTION("""COMPUTED_VALUE"""),"PMB")</f>
        <v>PMB</v>
      </c>
      <c r="O182" s="59"/>
      <c r="P182" s="1"/>
      <c r="Q182" s="1"/>
      <c r="R182" s="1"/>
      <c r="S182" s="1"/>
      <c r="T182" s="1"/>
      <c r="U182" s="1"/>
      <c r="V182" s="1"/>
      <c r="W182" s="1"/>
      <c r="X182" s="1"/>
      <c r="Y182" s="1"/>
      <c r="Z182" s="1"/>
      <c r="AA182" s="1"/>
    </row>
    <row r="183" spans="1:27" ht="12.75" customHeight="1">
      <c r="A183" s="1"/>
      <c r="B183" s="10" t="str">
        <f ca="1">IFERROR(__xludf.DUMMYFUNCTION("""COMPUTED_VALUE"""),"NORMALIZACIÓN SISTEMA ELÉCTRICO SECTOR SERVITECA COMUNA DE CHONCHI")</f>
        <v>NORMALIZACIÓN SISTEMA ELÉCTRICO SECTOR SERVITECA COMUNA DE CHONCHI</v>
      </c>
      <c r="C183" s="10" t="str">
        <f ca="1">IFERROR(__xludf.DUMMYFUNCTION("""COMPUTED_VALUE"""),"10203230705-C")</f>
        <v>10203230705-C</v>
      </c>
      <c r="D183" s="26" t="str">
        <f t="shared" ca="1" si="0"/>
        <v xml:space="preserve"> CHONCHI</v>
      </c>
      <c r="E183" s="10" t="str">
        <f ca="1">IFERROR(__xludf.DUMMYFUNCTION("""COMPUTED_VALUE"""),"Guía Operativa")</f>
        <v>Guía Operativa</v>
      </c>
      <c r="F183" s="10" t="str">
        <f ca="1">IFERROR(__xludf.DUMMYFUNCTION("""COMPUTED_VALUE"""),"MUNICIPALIDAD DE CHONCHI")</f>
        <v>MUNICIPALIDAD DE CHONCHI</v>
      </c>
      <c r="G183" s="71">
        <f ca="1">IFERROR(__xludf.DUMMYFUNCTION("""COMPUTED_VALUE"""),52443300)</f>
        <v>52443300</v>
      </c>
      <c r="H183" s="10" t="str">
        <f ca="1">IFERROR(__xludf.DUMMYFUNCTION("""COMPUTED_VALUE"""),"Resolución")</f>
        <v>Resolución</v>
      </c>
      <c r="I183" s="10" t="str">
        <f ca="1">IFERROR(__xludf.DUMMYFUNCTION("""COMPUTED_VALUE"""),"Obra")</f>
        <v>Obra</v>
      </c>
      <c r="J183" s="10" t="str">
        <f ca="1">IFERROR(__xludf.DUMMYFUNCTION("""COMPUTED_VALUE"""),"Cumplir con normativa y reglamentos internos del programa en base a los objetivos.")</f>
        <v>Cumplir con normativa y reglamentos internos del programa en base a los objetivos.</v>
      </c>
      <c r="K183" s="71">
        <f ca="1">IFERROR(__xludf.DUMMYFUNCTION("""COMPUTED_VALUE"""),52443300)</f>
        <v>52443300</v>
      </c>
      <c r="L183" s="27">
        <f ca="1">IFERROR(__xludf.DUMMYFUNCTION("""COMPUTED_VALUE"""),1)</f>
        <v>1</v>
      </c>
      <c r="M183" s="10" t="str">
        <f ca="1">IFERROR(__xludf.DUMMYFUNCTION("""COMPUTED_VALUE"""),"8892/2024")</f>
        <v>8892/2024</v>
      </c>
      <c r="N183" s="10" t="str">
        <f ca="1">IFERROR(__xludf.DUMMYFUNCTION("""COMPUTED_VALUE"""),"PMB")</f>
        <v>PMB</v>
      </c>
      <c r="O183" s="59"/>
      <c r="P183" s="1"/>
      <c r="Q183" s="1"/>
      <c r="R183" s="1"/>
      <c r="S183" s="1"/>
      <c r="T183" s="1"/>
      <c r="U183" s="1"/>
      <c r="V183" s="1"/>
      <c r="W183" s="1"/>
      <c r="X183" s="1"/>
      <c r="Y183" s="1"/>
      <c r="Z183" s="1"/>
      <c r="AA183" s="1"/>
    </row>
    <row r="184" spans="1:27" ht="12.75" customHeight="1">
      <c r="A184" s="1"/>
      <c r="B184" s="10" t="str">
        <f ca="1">IFERROR(__xludf.DUMMYFUNCTION("""COMPUTED_VALUE"""),"CONSTRUCCIÓN SOLUCIONES INDIVIDUALES AGUA POTABLE, SECTORES RURALES PALENA")</f>
        <v>CONSTRUCCIÓN SOLUCIONES INDIVIDUALES AGUA POTABLE, SECTORES RURALES PALENA</v>
      </c>
      <c r="C184" s="10" t="str">
        <f ca="1">IFERROR(__xludf.DUMMYFUNCTION("""COMPUTED_VALUE"""),"10404230703-C")</f>
        <v>10404230703-C</v>
      </c>
      <c r="D184" s="26" t="str">
        <f t="shared" ca="1" si="0"/>
        <v xml:space="preserve"> PALENA</v>
      </c>
      <c r="E184" s="10" t="str">
        <f ca="1">IFERROR(__xludf.DUMMYFUNCTION("""COMPUTED_VALUE"""),"Guía Operativa")</f>
        <v>Guía Operativa</v>
      </c>
      <c r="F184" s="10" t="str">
        <f ca="1">IFERROR(__xludf.DUMMYFUNCTION("""COMPUTED_VALUE"""),"MUNICIPALIDAD DE PALENA")</f>
        <v>MUNICIPALIDAD DE PALENA</v>
      </c>
      <c r="G184" s="71">
        <f ca="1">IFERROR(__xludf.DUMMYFUNCTION("""COMPUTED_VALUE"""),135473800)</f>
        <v>135473800</v>
      </c>
      <c r="H184" s="10" t="str">
        <f ca="1">IFERROR(__xludf.DUMMYFUNCTION("""COMPUTED_VALUE"""),"Resolución")</f>
        <v>Resolución</v>
      </c>
      <c r="I184" s="10" t="str">
        <f ca="1">IFERROR(__xludf.DUMMYFUNCTION("""COMPUTED_VALUE"""),"Obra")</f>
        <v>Obra</v>
      </c>
      <c r="J184" s="10" t="str">
        <f ca="1">IFERROR(__xludf.DUMMYFUNCTION("""COMPUTED_VALUE"""),"Cumplir con normativa y reglamentos internos del programa en base a los objetivos.")</f>
        <v>Cumplir con normativa y reglamentos internos del programa en base a los objetivos.</v>
      </c>
      <c r="K184" s="71">
        <f ca="1">IFERROR(__xludf.DUMMYFUNCTION("""COMPUTED_VALUE"""),135473800)</f>
        <v>135473800</v>
      </c>
      <c r="L184" s="27">
        <f ca="1">IFERROR(__xludf.DUMMYFUNCTION("""COMPUTED_VALUE"""),1)</f>
        <v>1</v>
      </c>
      <c r="M184" s="10" t="str">
        <f ca="1">IFERROR(__xludf.DUMMYFUNCTION("""COMPUTED_VALUE"""),"8470/2024")</f>
        <v>8470/2024</v>
      </c>
      <c r="N184" s="10" t="str">
        <f ca="1">IFERROR(__xludf.DUMMYFUNCTION("""COMPUTED_VALUE"""),"PMB")</f>
        <v>PMB</v>
      </c>
      <c r="O184" s="59"/>
      <c r="P184" s="1"/>
      <c r="Q184" s="1"/>
      <c r="R184" s="1"/>
      <c r="S184" s="1"/>
      <c r="T184" s="1"/>
      <c r="U184" s="1"/>
      <c r="V184" s="1"/>
      <c r="W184" s="1"/>
      <c r="X184" s="1"/>
      <c r="Y184" s="1"/>
      <c r="Z184" s="1"/>
      <c r="AA184" s="1"/>
    </row>
    <row r="185" spans="1:27" ht="12.75" customHeight="1">
      <c r="A185" s="1"/>
      <c r="B185" s="10" t="str">
        <f ca="1">IFERROR(__xludf.DUMMYFUNCTION("""COMPUTED_VALUE"""),"ILUMINACION PEATONAL ACCESO NORTE DE LA COMUNA Y CALLE CAUPOLICAN COMUNA DE LA CALERA")</f>
        <v>ILUMINACION PEATONAL ACCESO NORTE DE LA COMUNA Y CALLE CAUPOLICAN COMUNA DE LA CALERA</v>
      </c>
      <c r="C185" s="10" t="str">
        <f ca="1">IFERROR(__xludf.DUMMYFUNCTION("""COMPUTED_VALUE"""),"5502230704-C")</f>
        <v>5502230704-C</v>
      </c>
      <c r="D185" s="26" t="str">
        <f t="shared" ca="1" si="0"/>
        <v xml:space="preserve"> CALERA</v>
      </c>
      <c r="E185" s="10" t="str">
        <f ca="1">IFERROR(__xludf.DUMMYFUNCTION("""COMPUTED_VALUE"""),"Guía Operativa")</f>
        <v>Guía Operativa</v>
      </c>
      <c r="F185" s="10" t="str">
        <f ca="1">IFERROR(__xludf.DUMMYFUNCTION("""COMPUTED_VALUE"""),"MUNICIPALIDAD DE CALERA")</f>
        <v>MUNICIPALIDAD DE CALERA</v>
      </c>
      <c r="G185" s="71">
        <f ca="1">IFERROR(__xludf.DUMMYFUNCTION("""COMPUTED_VALUE"""),253764525)</f>
        <v>253764525</v>
      </c>
      <c r="H185" s="10" t="str">
        <f ca="1">IFERROR(__xludf.DUMMYFUNCTION("""COMPUTED_VALUE"""),"Resolución")</f>
        <v>Resolución</v>
      </c>
      <c r="I185" s="10" t="str">
        <f ca="1">IFERROR(__xludf.DUMMYFUNCTION("""COMPUTED_VALUE"""),"Obra")</f>
        <v>Obra</v>
      </c>
      <c r="J185" s="10" t="str">
        <f ca="1">IFERROR(__xludf.DUMMYFUNCTION("""COMPUTED_VALUE"""),"Cumplir con normativa y reglamentos internos del programa en base a los objetivos.")</f>
        <v>Cumplir con normativa y reglamentos internos del programa en base a los objetivos.</v>
      </c>
      <c r="K185" s="71">
        <f ca="1">IFERROR(__xludf.DUMMYFUNCTION("""COMPUTED_VALUE"""),253764525)</f>
        <v>253764525</v>
      </c>
      <c r="L185" s="27">
        <f ca="1">IFERROR(__xludf.DUMMYFUNCTION("""COMPUTED_VALUE"""),1)</f>
        <v>1</v>
      </c>
      <c r="M185" s="10" t="str">
        <f ca="1">IFERROR(__xludf.DUMMYFUNCTION("""COMPUTED_VALUE"""),"8471/2024")</f>
        <v>8471/2024</v>
      </c>
      <c r="N185" s="10" t="str">
        <f ca="1">IFERROR(__xludf.DUMMYFUNCTION("""COMPUTED_VALUE"""),"PMB")</f>
        <v>PMB</v>
      </c>
      <c r="O185" s="59"/>
      <c r="P185" s="1"/>
      <c r="Q185" s="1"/>
      <c r="R185" s="1"/>
      <c r="S185" s="1"/>
      <c r="T185" s="1"/>
      <c r="U185" s="1"/>
      <c r="V185" s="1"/>
      <c r="W185" s="1"/>
      <c r="X185" s="1"/>
      <c r="Y185" s="1"/>
      <c r="Z185" s="1"/>
      <c r="AA185" s="1"/>
    </row>
    <row r="186" spans="1:27" ht="12.75" customHeight="1">
      <c r="A186" s="1"/>
      <c r="B186" s="10" t="str">
        <f ca="1">IFERROR(__xludf.DUMMYFUNCTION("""COMPUTED_VALUE"""),"MEJORAMIENTO DE REDES DE DISTRIBUCIÓN DE AGUA COMUNAL, COMUNA DE JUAN FERNÁNDEZ")</f>
        <v>MEJORAMIENTO DE REDES DE DISTRIBUCIÓN DE AGUA COMUNAL, COMUNA DE JUAN FERNÁNDEZ</v>
      </c>
      <c r="C186" s="10" t="str">
        <f ca="1">IFERROR(__xludf.DUMMYFUNCTION("""COMPUTED_VALUE"""),"5104230702-C")</f>
        <v>5104230702-C</v>
      </c>
      <c r="D186" s="26" t="str">
        <f t="shared" ca="1" si="0"/>
        <v xml:space="preserve"> JUAN FERNÁNDEZ</v>
      </c>
      <c r="E186" s="10" t="str">
        <f ca="1">IFERROR(__xludf.DUMMYFUNCTION("""COMPUTED_VALUE"""),"Guía Operativa")</f>
        <v>Guía Operativa</v>
      </c>
      <c r="F186" s="10" t="str">
        <f ca="1">IFERROR(__xludf.DUMMYFUNCTION("""COMPUTED_VALUE"""),"MUNICIPALIDAD DE JUAN FERNÁNDEZ")</f>
        <v>MUNICIPALIDAD DE JUAN FERNÁNDEZ</v>
      </c>
      <c r="G186" s="71">
        <f ca="1">IFERROR(__xludf.DUMMYFUNCTION("""COMPUTED_VALUE"""),190346608)</f>
        <v>190346608</v>
      </c>
      <c r="H186" s="10" t="str">
        <f ca="1">IFERROR(__xludf.DUMMYFUNCTION("""COMPUTED_VALUE"""),"Resolución")</f>
        <v>Resolución</v>
      </c>
      <c r="I186" s="10" t="str">
        <f ca="1">IFERROR(__xludf.DUMMYFUNCTION("""COMPUTED_VALUE"""),"Obra")</f>
        <v>Obra</v>
      </c>
      <c r="J186" s="10" t="str">
        <f ca="1">IFERROR(__xludf.DUMMYFUNCTION("""COMPUTED_VALUE"""),"Cumplir con normativa y reglamentos internos del programa en base a los objetivos.")</f>
        <v>Cumplir con normativa y reglamentos internos del programa en base a los objetivos.</v>
      </c>
      <c r="K186" s="71">
        <f ca="1">IFERROR(__xludf.DUMMYFUNCTION("""COMPUTED_VALUE"""),190346608)</f>
        <v>190346608</v>
      </c>
      <c r="L186" s="27">
        <f ca="1">IFERROR(__xludf.DUMMYFUNCTION("""COMPUTED_VALUE"""),1)</f>
        <v>1</v>
      </c>
      <c r="M186" s="10" t="str">
        <f ca="1">IFERROR(__xludf.DUMMYFUNCTION("""COMPUTED_VALUE"""),"8763/2024")</f>
        <v>8763/2024</v>
      </c>
      <c r="N186" s="10" t="str">
        <f ca="1">IFERROR(__xludf.DUMMYFUNCTION("""COMPUTED_VALUE"""),"PMB")</f>
        <v>PMB</v>
      </c>
      <c r="O186" s="59"/>
      <c r="P186" s="1"/>
      <c r="Q186" s="1"/>
      <c r="R186" s="1"/>
      <c r="S186" s="1"/>
      <c r="T186" s="1"/>
      <c r="U186" s="1"/>
      <c r="V186" s="1"/>
      <c r="W186" s="1"/>
      <c r="X186" s="1"/>
      <c r="Y186" s="1"/>
      <c r="Z186" s="1"/>
      <c r="AA186" s="1"/>
    </row>
    <row r="187" spans="1:27" ht="12.75" customHeight="1">
      <c r="A187" s="1"/>
      <c r="B187" s="10" t="str">
        <f ca="1">IFERROR(__xludf.DUMMYFUNCTION("""COMPUTED_VALUE"""),"ALUMBRADO PÚBLICO RUTA E-755, COMUNA DE SAN ESTEBAN")</f>
        <v>ALUMBRADO PÚBLICO RUTA E-755, COMUNA DE SAN ESTEBAN</v>
      </c>
      <c r="C187" s="10" t="str">
        <f ca="1">IFERROR(__xludf.DUMMYFUNCTION("""COMPUTED_VALUE"""),"5304230705-C")</f>
        <v>5304230705-C</v>
      </c>
      <c r="D187" s="26" t="str">
        <f t="shared" ca="1" si="0"/>
        <v xml:space="preserve"> SAN ESTEBAN</v>
      </c>
      <c r="E187" s="10" t="str">
        <f ca="1">IFERROR(__xludf.DUMMYFUNCTION("""COMPUTED_VALUE"""),"Guía Operativa")</f>
        <v>Guía Operativa</v>
      </c>
      <c r="F187" s="10" t="str">
        <f ca="1">IFERROR(__xludf.DUMMYFUNCTION("""COMPUTED_VALUE"""),"MUNICIPALIDAD DE SAN ESTEBAN")</f>
        <v>MUNICIPALIDAD DE SAN ESTEBAN</v>
      </c>
      <c r="G187" s="71">
        <f ca="1">IFERROR(__xludf.DUMMYFUNCTION("""COMPUTED_VALUE"""),222602114)</f>
        <v>222602114</v>
      </c>
      <c r="H187" s="10" t="str">
        <f ca="1">IFERROR(__xludf.DUMMYFUNCTION("""COMPUTED_VALUE"""),"Resolución")</f>
        <v>Resolución</v>
      </c>
      <c r="I187" s="10" t="str">
        <f ca="1">IFERROR(__xludf.DUMMYFUNCTION("""COMPUTED_VALUE"""),"Obra")</f>
        <v>Obra</v>
      </c>
      <c r="J187" s="10" t="str">
        <f ca="1">IFERROR(__xludf.DUMMYFUNCTION("""COMPUTED_VALUE"""),"Cumplir con normativa y reglamentos internos del programa en base a los objetivos.")</f>
        <v>Cumplir con normativa y reglamentos internos del programa en base a los objetivos.</v>
      </c>
      <c r="K187" s="71">
        <f ca="1">IFERROR(__xludf.DUMMYFUNCTION("""COMPUTED_VALUE"""),222602114)</f>
        <v>222602114</v>
      </c>
      <c r="L187" s="27">
        <f ca="1">IFERROR(__xludf.DUMMYFUNCTION("""COMPUTED_VALUE"""),1)</f>
        <v>1</v>
      </c>
      <c r="M187" s="10" t="str">
        <f ca="1">IFERROR(__xludf.DUMMYFUNCTION("""COMPUTED_VALUE"""),"8462/2024")</f>
        <v>8462/2024</v>
      </c>
      <c r="N187" s="10" t="str">
        <f ca="1">IFERROR(__xludf.DUMMYFUNCTION("""COMPUTED_VALUE"""),"PMB")</f>
        <v>PMB</v>
      </c>
      <c r="O187" s="59"/>
      <c r="P187" s="1"/>
      <c r="Q187" s="1"/>
      <c r="R187" s="1"/>
      <c r="S187" s="1"/>
      <c r="T187" s="1"/>
      <c r="U187" s="1"/>
      <c r="V187" s="1"/>
      <c r="W187" s="1"/>
      <c r="X187" s="1"/>
      <c r="Y187" s="1"/>
      <c r="Z187" s="1"/>
      <c r="AA187" s="1"/>
    </row>
    <row r="188" spans="1:27" ht="12.75" customHeight="1">
      <c r="A188" s="1"/>
      <c r="B188" s="10" t="str">
        <f ca="1">IFERROR(__xludf.DUMMYFUNCTION("""COMPUTED_VALUE"""),"IMPLEMENTACIÓN DE SISTEMA DE TELEMETRÍA Y CONTROL PARA SSR LA ESPERANZA Y SSR ROSARIO CODAO, COMUNA DE PEUMO, REGIÓN DE O’HIGGINS")</f>
        <v>IMPLEMENTACIÓN DE SISTEMA DE TELEMETRÍA Y CONTROL PARA SSR LA ESPERANZA Y SSR ROSARIO CODAO, COMUNA DE PEUMO, REGIÓN DE O’HIGGINS</v>
      </c>
      <c r="C188" s="10" t="str">
        <f ca="1">IFERROR(__xludf.DUMMYFUNCTION("""COMPUTED_VALUE"""),"6112230701-C")</f>
        <v>6112230701-C</v>
      </c>
      <c r="D188" s="26" t="str">
        <f t="shared" ca="1" si="0"/>
        <v xml:space="preserve"> PEUMO</v>
      </c>
      <c r="E188" s="10" t="str">
        <f ca="1">IFERROR(__xludf.DUMMYFUNCTION("""COMPUTED_VALUE"""),"Guía Operativa")</f>
        <v>Guía Operativa</v>
      </c>
      <c r="F188" s="10" t="str">
        <f ca="1">IFERROR(__xludf.DUMMYFUNCTION("""COMPUTED_VALUE"""),"MUNICIPALIDAD DE PEUMO")</f>
        <v>MUNICIPALIDAD DE PEUMO</v>
      </c>
      <c r="G188" s="71">
        <f ca="1">IFERROR(__xludf.DUMMYFUNCTION("""COMPUTED_VALUE"""),166070093)</f>
        <v>166070093</v>
      </c>
      <c r="H188" s="10" t="str">
        <f ca="1">IFERROR(__xludf.DUMMYFUNCTION("""COMPUTED_VALUE"""),"Resolución")</f>
        <v>Resolución</v>
      </c>
      <c r="I188" s="10" t="str">
        <f ca="1">IFERROR(__xludf.DUMMYFUNCTION("""COMPUTED_VALUE"""),"Obra")</f>
        <v>Obra</v>
      </c>
      <c r="J188" s="10" t="str">
        <f ca="1">IFERROR(__xludf.DUMMYFUNCTION("""COMPUTED_VALUE"""),"Cumplir con normativa y reglamentos internos del programa en base a los objetivos.")</f>
        <v>Cumplir con normativa y reglamentos internos del programa en base a los objetivos.</v>
      </c>
      <c r="K188" s="71">
        <f ca="1">IFERROR(__xludf.DUMMYFUNCTION("""COMPUTED_VALUE"""),166070093)</f>
        <v>166070093</v>
      </c>
      <c r="L188" s="27">
        <f ca="1">IFERROR(__xludf.DUMMYFUNCTION("""COMPUTED_VALUE"""),1)</f>
        <v>1</v>
      </c>
      <c r="M188" s="10" t="str">
        <f ca="1">IFERROR(__xludf.DUMMYFUNCTION("""COMPUTED_VALUE"""),"7721/2024")</f>
        <v>7721/2024</v>
      </c>
      <c r="N188" s="10" t="str">
        <f ca="1">IFERROR(__xludf.DUMMYFUNCTION("""COMPUTED_VALUE"""),"PMB")</f>
        <v>PMB</v>
      </c>
      <c r="O188" s="59"/>
      <c r="P188" s="1"/>
      <c r="Q188" s="1"/>
      <c r="R188" s="1"/>
      <c r="S188" s="1"/>
      <c r="T188" s="1"/>
      <c r="U188" s="1"/>
      <c r="V188" s="1"/>
      <c r="W188" s="1"/>
      <c r="X188" s="1"/>
      <c r="Y188" s="1"/>
      <c r="Z188" s="1"/>
      <c r="AA188" s="1"/>
    </row>
    <row r="189" spans="1:27" ht="12.75" customHeight="1">
      <c r="A189" s="1"/>
      <c r="B189" s="10" t="str">
        <f ca="1">IFERROR(__xludf.DUMMYFUNCTION("""COMPUTED_VALUE"""),"ASISTENCIA TECNICA PARA LA GESTION DE RESIDUOS SOLIDOS COMUNA DE QUELLÓN")</f>
        <v>ASISTENCIA TECNICA PARA LA GESTION DE RESIDUOS SOLIDOS COMUNA DE QUELLÓN</v>
      </c>
      <c r="C189" s="10" t="str">
        <f ca="1">IFERROR(__xludf.DUMMYFUNCTION("""COMPUTED_VALUE"""),"10208221003-C")</f>
        <v>10208221003-C</v>
      </c>
      <c r="D189" s="26" t="str">
        <f t="shared" ca="1" si="0"/>
        <v xml:space="preserve"> QUELLÓN</v>
      </c>
      <c r="E189" s="10" t="str">
        <f ca="1">IFERROR(__xludf.DUMMYFUNCTION("""COMPUTED_VALUE"""),"Guía Operativa")</f>
        <v>Guía Operativa</v>
      </c>
      <c r="F189" s="10" t="str">
        <f ca="1">IFERROR(__xludf.DUMMYFUNCTION("""COMPUTED_VALUE"""),"MUNICIPALIDAD DE QUELLÓN")</f>
        <v>MUNICIPALIDAD DE QUELLÓN</v>
      </c>
      <c r="G189" s="71">
        <f ca="1">IFERROR(__xludf.DUMMYFUNCTION("""COMPUTED_VALUE"""),30000000)</f>
        <v>30000000</v>
      </c>
      <c r="H189" s="10" t="str">
        <f ca="1">IFERROR(__xludf.DUMMYFUNCTION("""COMPUTED_VALUE"""),"Resolución")</f>
        <v>Resolución</v>
      </c>
      <c r="I189" s="10" t="str">
        <f ca="1">IFERROR(__xludf.DUMMYFUNCTION("""COMPUTED_VALUE"""),"Asistencia Técnica")</f>
        <v>Asistencia Técnica</v>
      </c>
      <c r="J189" s="10" t="str">
        <f ca="1">IFERROR(__xludf.DUMMYFUNCTION("""COMPUTED_VALUE"""),"Cumplir con normativa y reglamentos internos del programa en base a los objetivos.")</f>
        <v>Cumplir con normativa y reglamentos internos del programa en base a los objetivos.</v>
      </c>
      <c r="K189" s="71">
        <f ca="1">IFERROR(__xludf.DUMMYFUNCTION("""COMPUTED_VALUE"""),30000000)</f>
        <v>30000000</v>
      </c>
      <c r="L189" s="27">
        <f ca="1">IFERROR(__xludf.DUMMYFUNCTION("""COMPUTED_VALUE"""),1)</f>
        <v>1</v>
      </c>
      <c r="M189" s="10" t="str">
        <f ca="1">IFERROR(__xludf.DUMMYFUNCTION("""COMPUTED_VALUE"""),"8728/2024")</f>
        <v>8728/2024</v>
      </c>
      <c r="N189" s="10" t="str">
        <f ca="1">IFERROR(__xludf.DUMMYFUNCTION("""COMPUTED_VALUE"""),"PMB")</f>
        <v>PMB</v>
      </c>
      <c r="O189" s="59"/>
      <c r="P189" s="1"/>
      <c r="Q189" s="1"/>
      <c r="R189" s="1"/>
      <c r="S189" s="1"/>
      <c r="T189" s="1"/>
      <c r="U189" s="1"/>
      <c r="V189" s="1"/>
      <c r="W189" s="1"/>
      <c r="X189" s="1"/>
      <c r="Y189" s="1"/>
      <c r="Z189" s="1"/>
      <c r="AA189" s="1"/>
    </row>
    <row r="190" spans="1:27" ht="12.75" customHeight="1">
      <c r="A190" s="1"/>
      <c r="B190" s="10" t="str">
        <f ca="1">IFERROR(__xludf.DUMMYFUNCTION("""COMPUTED_VALUE"""),"CONSTRUCCION ABASTOS DE AGUA SECTOR ALTO QUILACO")</f>
        <v>CONSTRUCCION ABASTOS DE AGUA SECTOR ALTO QUILACO</v>
      </c>
      <c r="C190" s="10" t="str">
        <f ca="1">IFERROR(__xludf.DUMMYFUNCTION("""COMPUTED_VALUE"""),"14201230701-C")</f>
        <v>14201230701-C</v>
      </c>
      <c r="D190" s="26" t="str">
        <f t="shared" ca="1" si="0"/>
        <v xml:space="preserve"> LA UNIÓN</v>
      </c>
      <c r="E190" s="10" t="str">
        <f ca="1">IFERROR(__xludf.DUMMYFUNCTION("""COMPUTED_VALUE"""),"Guía Operativa")</f>
        <v>Guía Operativa</v>
      </c>
      <c r="F190" s="10" t="str">
        <f ca="1">IFERROR(__xludf.DUMMYFUNCTION("""COMPUTED_VALUE"""),"MUNICIPALIDAD DE LA UNIÓN")</f>
        <v>MUNICIPALIDAD DE LA UNIÓN</v>
      </c>
      <c r="G190" s="71">
        <f ca="1">IFERROR(__xludf.DUMMYFUNCTION("""COMPUTED_VALUE"""),287709281)</f>
        <v>287709281</v>
      </c>
      <c r="H190" s="10" t="str">
        <f ca="1">IFERROR(__xludf.DUMMYFUNCTION("""COMPUTED_VALUE"""),"Resolución")</f>
        <v>Resolución</v>
      </c>
      <c r="I190" s="10" t="str">
        <f ca="1">IFERROR(__xludf.DUMMYFUNCTION("""COMPUTED_VALUE"""),"Obra")</f>
        <v>Obra</v>
      </c>
      <c r="J190" s="10" t="str">
        <f ca="1">IFERROR(__xludf.DUMMYFUNCTION("""COMPUTED_VALUE"""),"Cumplir con normativa y reglamentos internos del programa en base a los objetivos.")</f>
        <v>Cumplir con normativa y reglamentos internos del programa en base a los objetivos.</v>
      </c>
      <c r="K190" s="71">
        <f ca="1">IFERROR(__xludf.DUMMYFUNCTION("""COMPUTED_VALUE"""),287709281)</f>
        <v>287709281</v>
      </c>
      <c r="L190" s="27">
        <f ca="1">IFERROR(__xludf.DUMMYFUNCTION("""COMPUTED_VALUE"""),1)</f>
        <v>1</v>
      </c>
      <c r="M190" s="10" t="str">
        <f ca="1">IFERROR(__xludf.DUMMYFUNCTION("""COMPUTED_VALUE"""),"8345/2024")</f>
        <v>8345/2024</v>
      </c>
      <c r="N190" s="10" t="str">
        <f ca="1">IFERROR(__xludf.DUMMYFUNCTION("""COMPUTED_VALUE"""),"PMB")</f>
        <v>PMB</v>
      </c>
      <c r="O190" s="59"/>
      <c r="P190" s="1"/>
      <c r="Q190" s="1"/>
      <c r="R190" s="1"/>
      <c r="S190" s="1"/>
      <c r="T190" s="1"/>
      <c r="U190" s="1"/>
      <c r="V190" s="1"/>
      <c r="W190" s="1"/>
      <c r="X190" s="1"/>
      <c r="Y190" s="1"/>
      <c r="Z190" s="1"/>
      <c r="AA190" s="1"/>
    </row>
    <row r="191" spans="1:27" ht="12.75" customHeight="1">
      <c r="A191" s="1"/>
      <c r="B191" s="10" t="str">
        <f ca="1">IFERROR(__xludf.DUMMYFUNCTION("""COMPUTED_VALUE"""),"ABASTECIMIENTO DE AGUA INDIVIDUAL CUINCO - HUACAMAPU, COMUNA DE SAN JUAN DE LA COSTA")</f>
        <v>ABASTECIMIENTO DE AGUA INDIVIDUAL CUINCO - HUACAMAPU, COMUNA DE SAN JUAN DE LA COSTA</v>
      </c>
      <c r="C191" s="10" t="str">
        <f ca="1">IFERROR(__xludf.DUMMYFUNCTION("""COMPUTED_VALUE"""),"10306230701-C")</f>
        <v>10306230701-C</v>
      </c>
      <c r="D191" s="26" t="str">
        <f t="shared" ca="1" si="0"/>
        <v xml:space="preserve"> SAN JUAN DE LA COSTA</v>
      </c>
      <c r="E191" s="10" t="str">
        <f ca="1">IFERROR(__xludf.DUMMYFUNCTION("""COMPUTED_VALUE"""),"Guía Operativa")</f>
        <v>Guía Operativa</v>
      </c>
      <c r="F191" s="10" t="str">
        <f ca="1">IFERROR(__xludf.DUMMYFUNCTION("""COMPUTED_VALUE"""),"MUNICIPALIDAD DE SAN JUAN DE LA COSTA")</f>
        <v>MUNICIPALIDAD DE SAN JUAN DE LA COSTA</v>
      </c>
      <c r="G191" s="71">
        <f ca="1">IFERROR(__xludf.DUMMYFUNCTION("""COMPUTED_VALUE"""),148565269)</f>
        <v>148565269</v>
      </c>
      <c r="H191" s="10" t="str">
        <f ca="1">IFERROR(__xludf.DUMMYFUNCTION("""COMPUTED_VALUE"""),"Resolución")</f>
        <v>Resolución</v>
      </c>
      <c r="I191" s="10" t="str">
        <f ca="1">IFERROR(__xludf.DUMMYFUNCTION("""COMPUTED_VALUE"""),"Obra")</f>
        <v>Obra</v>
      </c>
      <c r="J191" s="10" t="str">
        <f ca="1">IFERROR(__xludf.DUMMYFUNCTION("""COMPUTED_VALUE"""),"Cumplir con normativa y reglamentos internos del programa en base a los objetivos.")</f>
        <v>Cumplir con normativa y reglamentos internos del programa en base a los objetivos.</v>
      </c>
      <c r="K191" s="71">
        <f ca="1">IFERROR(__xludf.DUMMYFUNCTION("""COMPUTED_VALUE"""),148565269)</f>
        <v>148565269</v>
      </c>
      <c r="L191" s="27">
        <f ca="1">IFERROR(__xludf.DUMMYFUNCTION("""COMPUTED_VALUE"""),1)</f>
        <v>1</v>
      </c>
      <c r="M191" s="10" t="str">
        <f ca="1">IFERROR(__xludf.DUMMYFUNCTION("""COMPUTED_VALUE"""),"8445/2024")</f>
        <v>8445/2024</v>
      </c>
      <c r="N191" s="10" t="str">
        <f ca="1">IFERROR(__xludf.DUMMYFUNCTION("""COMPUTED_VALUE"""),"PMB")</f>
        <v>PMB</v>
      </c>
      <c r="O191" s="59"/>
      <c r="P191" s="1"/>
      <c r="Q191" s="1"/>
      <c r="R191" s="1"/>
      <c r="S191" s="1"/>
      <c r="T191" s="1"/>
      <c r="U191" s="1"/>
      <c r="V191" s="1"/>
      <c r="W191" s="1"/>
      <c r="X191" s="1"/>
      <c r="Y191" s="1"/>
      <c r="Z191" s="1"/>
      <c r="AA191" s="1"/>
    </row>
    <row r="192" spans="1:27" ht="12.75" customHeight="1">
      <c r="A192" s="1"/>
      <c r="B192" s="10" t="str">
        <f ca="1">IFERROR(__xludf.DUMMYFUNCTION("""COMPUTED_VALUE"""),"ABASTECIMIENTO DE AGUA INDIVIDUAL PURREHUIN BAJO-COMUIMO, COMUNA DE SAN JUAN DE LA COSTA")</f>
        <v>ABASTECIMIENTO DE AGUA INDIVIDUAL PURREHUIN BAJO-COMUIMO, COMUNA DE SAN JUAN DE LA COSTA</v>
      </c>
      <c r="C192" s="10" t="str">
        <f ca="1">IFERROR(__xludf.DUMMYFUNCTION("""COMPUTED_VALUE"""),"10306230702-C")</f>
        <v>10306230702-C</v>
      </c>
      <c r="D192" s="26" t="str">
        <f t="shared" ca="1" si="0"/>
        <v xml:space="preserve"> SAN JUAN DE LA COSTA</v>
      </c>
      <c r="E192" s="10" t="str">
        <f ca="1">IFERROR(__xludf.DUMMYFUNCTION("""COMPUTED_VALUE"""),"Guía Operativa")</f>
        <v>Guía Operativa</v>
      </c>
      <c r="F192" s="10" t="str">
        <f ca="1">IFERROR(__xludf.DUMMYFUNCTION("""COMPUTED_VALUE"""),"MUNICIPALIDAD DE SAN JUAN DE LA COSTA")</f>
        <v>MUNICIPALIDAD DE SAN JUAN DE LA COSTA</v>
      </c>
      <c r="G192" s="71">
        <f ca="1">IFERROR(__xludf.DUMMYFUNCTION("""COMPUTED_VALUE"""),213260211)</f>
        <v>213260211</v>
      </c>
      <c r="H192" s="10" t="str">
        <f ca="1">IFERROR(__xludf.DUMMYFUNCTION("""COMPUTED_VALUE"""),"Resolución")</f>
        <v>Resolución</v>
      </c>
      <c r="I192" s="10" t="str">
        <f ca="1">IFERROR(__xludf.DUMMYFUNCTION("""COMPUTED_VALUE"""),"Obra")</f>
        <v>Obra</v>
      </c>
      <c r="J192" s="10" t="str">
        <f ca="1">IFERROR(__xludf.DUMMYFUNCTION("""COMPUTED_VALUE"""),"Cumplir con normativa y reglamentos internos del programa en base a los objetivos.")</f>
        <v>Cumplir con normativa y reglamentos internos del programa en base a los objetivos.</v>
      </c>
      <c r="K192" s="71">
        <f ca="1">IFERROR(__xludf.DUMMYFUNCTION("""COMPUTED_VALUE"""),213260211)</f>
        <v>213260211</v>
      </c>
      <c r="L192" s="27">
        <f ca="1">IFERROR(__xludf.DUMMYFUNCTION("""COMPUTED_VALUE"""),1)</f>
        <v>1</v>
      </c>
      <c r="M192" s="10" t="str">
        <f ca="1">IFERROR(__xludf.DUMMYFUNCTION("""COMPUTED_VALUE"""),"8445/2024")</f>
        <v>8445/2024</v>
      </c>
      <c r="N192" s="10" t="str">
        <f ca="1">IFERROR(__xludf.DUMMYFUNCTION("""COMPUTED_VALUE"""),"PMB")</f>
        <v>PMB</v>
      </c>
      <c r="O192" s="59"/>
      <c r="P192" s="1"/>
      <c r="Q192" s="1"/>
      <c r="R192" s="1"/>
      <c r="S192" s="1"/>
      <c r="T192" s="1"/>
      <c r="U192" s="1"/>
      <c r="V192" s="1"/>
      <c r="W192" s="1"/>
      <c r="X192" s="1"/>
      <c r="Y192" s="1"/>
      <c r="Z192" s="1"/>
      <c r="AA192" s="1"/>
    </row>
    <row r="193" spans="1:27" ht="12.75" customHeight="1">
      <c r="A193" s="1"/>
      <c r="B193" s="10" t="str">
        <f ca="1">IFERROR(__xludf.DUMMYFUNCTION("""COMPUTED_VALUE"""),"ESTUDIO HIDROGEOLOGICO Y DE MECANICA DE SUELOS, COMUNA DE JUAN FERNANDEZ")</f>
        <v>ESTUDIO HIDROGEOLOGICO Y DE MECANICA DE SUELOS, COMUNA DE JUAN FERNANDEZ</v>
      </c>
      <c r="C193" s="10" t="str">
        <f ca="1">IFERROR(__xludf.DUMMYFUNCTION("""COMPUTED_VALUE"""),"5104230402-C")</f>
        <v>5104230402-C</v>
      </c>
      <c r="D193" s="26" t="str">
        <f t="shared" ca="1" si="0"/>
        <v xml:space="preserve"> JUAN FERNÁNDEZ</v>
      </c>
      <c r="E193" s="10" t="str">
        <f ca="1">IFERROR(__xludf.DUMMYFUNCTION("""COMPUTED_VALUE"""),"Guía Operativa")</f>
        <v>Guía Operativa</v>
      </c>
      <c r="F193" s="10" t="str">
        <f ca="1">IFERROR(__xludf.DUMMYFUNCTION("""COMPUTED_VALUE"""),"MUNICIPALIDAD DE JUAN FERNÁNDEZ")</f>
        <v>MUNICIPALIDAD DE JUAN FERNÁNDEZ</v>
      </c>
      <c r="G193" s="71">
        <f ca="1">IFERROR(__xludf.DUMMYFUNCTION("""COMPUTED_VALUE"""),47900000)</f>
        <v>47900000</v>
      </c>
      <c r="H193" s="10" t="str">
        <f ca="1">IFERROR(__xludf.DUMMYFUNCTION("""COMPUTED_VALUE"""),"Resolución")</f>
        <v>Resolución</v>
      </c>
      <c r="I193" s="10" t="str">
        <f ca="1">IFERROR(__xludf.DUMMYFUNCTION("""COMPUTED_VALUE"""),"Estudio")</f>
        <v>Estudio</v>
      </c>
      <c r="J193" s="10" t="str">
        <f ca="1">IFERROR(__xludf.DUMMYFUNCTION("""COMPUTED_VALUE"""),"Cumplir con normativa y reglamentos internos del programa en base a los objetivos.")</f>
        <v>Cumplir con normativa y reglamentos internos del programa en base a los objetivos.</v>
      </c>
      <c r="K193" s="71">
        <f ca="1">IFERROR(__xludf.DUMMYFUNCTION("""COMPUTED_VALUE"""),47900000)</f>
        <v>47900000</v>
      </c>
      <c r="L193" s="27">
        <f ca="1">IFERROR(__xludf.DUMMYFUNCTION("""COMPUTED_VALUE"""),1)</f>
        <v>1</v>
      </c>
      <c r="M193" s="10" t="str">
        <f ca="1">IFERROR(__xludf.DUMMYFUNCTION("""COMPUTED_VALUE"""),"8930/2024")</f>
        <v>8930/2024</v>
      </c>
      <c r="N193" s="10" t="str">
        <f ca="1">IFERROR(__xludf.DUMMYFUNCTION("""COMPUTED_VALUE"""),"PMB")</f>
        <v>PMB</v>
      </c>
      <c r="O193" s="59"/>
      <c r="P193" s="1"/>
      <c r="Q193" s="1"/>
      <c r="R193" s="1"/>
      <c r="S193" s="1"/>
      <c r="T193" s="1"/>
      <c r="U193" s="1"/>
      <c r="V193" s="1"/>
      <c r="W193" s="1"/>
      <c r="X193" s="1"/>
      <c r="Y193" s="1"/>
      <c r="Z193" s="1"/>
      <c r="AA193" s="1"/>
    </row>
    <row r="194" spans="1:27" ht="12.75" customHeight="1">
      <c r="A194" s="1"/>
      <c r="B194" s="10" t="str">
        <f ca="1">IFERROR(__xludf.DUMMYFUNCTION("""COMPUTED_VALUE"""),"SATE - PROGRAMA PILOTO COMPOSTAJE DOMICILIARIO COMUNA DE QUEILEN")</f>
        <v>SATE - PROGRAMA PILOTO COMPOSTAJE DOMICILIARIO COMUNA DE QUEILEN</v>
      </c>
      <c r="C194" s="10" t="str">
        <f ca="1">IFERROR(__xludf.DUMMYFUNCTION("""COMPUTED_VALUE"""),"10207231501-C")</f>
        <v>10207231501-C</v>
      </c>
      <c r="D194" s="26" t="str">
        <f t="shared" ca="1" si="0"/>
        <v xml:space="preserve"> QUEILÉN</v>
      </c>
      <c r="E194" s="10" t="str">
        <f ca="1">IFERROR(__xludf.DUMMYFUNCTION("""COMPUTED_VALUE"""),"Guía Operativa")</f>
        <v>Guía Operativa</v>
      </c>
      <c r="F194" s="10" t="str">
        <f ca="1">IFERROR(__xludf.DUMMYFUNCTION("""COMPUTED_VALUE"""),"MUNICIPALIDAD DE QUEILÉN")</f>
        <v>MUNICIPALIDAD DE QUEILÉN</v>
      </c>
      <c r="G194" s="71">
        <f ca="1">IFERROR(__xludf.DUMMYFUNCTION("""COMPUTED_VALUE"""),191292500)</f>
        <v>191292500</v>
      </c>
      <c r="H194" s="10" t="str">
        <f ca="1">IFERROR(__xludf.DUMMYFUNCTION("""COMPUTED_VALUE"""),"Resolución")</f>
        <v>Resolución</v>
      </c>
      <c r="I194" s="10" t="str">
        <f ca="1">IFERROR(__xludf.DUMMYFUNCTION("""COMPUTED_VALUE"""),"Valorización de Residuos")</f>
        <v>Valorización de Residuos</v>
      </c>
      <c r="J194" s="10" t="str">
        <f ca="1">IFERROR(__xludf.DUMMYFUNCTION("""COMPUTED_VALUE"""),"Cumplir con normativa y reglamentos internos del programa en base a los objetivos.")</f>
        <v>Cumplir con normativa y reglamentos internos del programa en base a los objetivos.</v>
      </c>
      <c r="K194" s="71">
        <f ca="1">IFERROR(__xludf.DUMMYFUNCTION("""COMPUTED_VALUE"""),191292500)</f>
        <v>191292500</v>
      </c>
      <c r="L194" s="27">
        <f ca="1">IFERROR(__xludf.DUMMYFUNCTION("""COMPUTED_VALUE"""),1)</f>
        <v>1</v>
      </c>
      <c r="M194" s="10" t="str">
        <f ca="1">IFERROR(__xludf.DUMMYFUNCTION("""COMPUTED_VALUE"""),"8724/2024")</f>
        <v>8724/2024</v>
      </c>
      <c r="N194" s="10" t="str">
        <f ca="1">IFERROR(__xludf.DUMMYFUNCTION("""COMPUTED_VALUE"""),"PMB")</f>
        <v>PMB</v>
      </c>
      <c r="O194" s="59"/>
      <c r="P194" s="1"/>
      <c r="Q194" s="1"/>
      <c r="R194" s="1"/>
      <c r="S194" s="1"/>
      <c r="T194" s="1"/>
      <c r="U194" s="1"/>
      <c r="V194" s="1"/>
      <c r="W194" s="1"/>
      <c r="X194" s="1"/>
      <c r="Y194" s="1"/>
      <c r="Z194" s="1"/>
      <c r="AA194" s="1"/>
    </row>
    <row r="195" spans="1:27" ht="12.75" customHeight="1">
      <c r="A195" s="1"/>
      <c r="B195" s="10" t="str">
        <f ca="1">IFERROR(__xludf.DUMMYFUNCTION("""COMPUTED_VALUE"""),"MEJORAMIENTO SISTEMA DE IMPULSION ALCANTARILLADO LOTEO 98 VIVIENDAS SOCIALES")</f>
        <v>MEJORAMIENTO SISTEMA DE IMPULSION ALCANTARILLADO LOTEO 98 VIVIENDAS SOCIALES</v>
      </c>
      <c r="C195" s="10" t="str">
        <f ca="1">IFERROR(__xludf.DUMMYFUNCTION("""COMPUTED_VALUE"""),"10203240701-C")</f>
        <v>10203240701-C</v>
      </c>
      <c r="D195" s="26" t="str">
        <f t="shared" ca="1" si="0"/>
        <v xml:space="preserve"> CHONCHI</v>
      </c>
      <c r="E195" s="10" t="str">
        <f ca="1">IFERROR(__xludf.DUMMYFUNCTION("""COMPUTED_VALUE"""),"Guía Operativa")</f>
        <v>Guía Operativa</v>
      </c>
      <c r="F195" s="10" t="str">
        <f ca="1">IFERROR(__xludf.DUMMYFUNCTION("""COMPUTED_VALUE"""),"MUNICIPALIDAD DE CHONCHI")</f>
        <v>MUNICIPALIDAD DE CHONCHI</v>
      </c>
      <c r="G195" s="71">
        <f ca="1">IFERROR(__xludf.DUMMYFUNCTION("""COMPUTED_VALUE"""),54550147)</f>
        <v>54550147</v>
      </c>
      <c r="H195" s="10" t="str">
        <f ca="1">IFERROR(__xludf.DUMMYFUNCTION("""COMPUTED_VALUE"""),"Resolución")</f>
        <v>Resolución</v>
      </c>
      <c r="I195" s="10" t="str">
        <f ca="1">IFERROR(__xludf.DUMMYFUNCTION("""COMPUTED_VALUE"""),"Obra")</f>
        <v>Obra</v>
      </c>
      <c r="J195" s="10" t="str">
        <f ca="1">IFERROR(__xludf.DUMMYFUNCTION("""COMPUTED_VALUE"""),"Cumplir con normativa y reglamentos internos del programa en base a los objetivos.")</f>
        <v>Cumplir con normativa y reglamentos internos del programa en base a los objetivos.</v>
      </c>
      <c r="K195" s="71">
        <f ca="1">IFERROR(__xludf.DUMMYFUNCTION("""COMPUTED_VALUE"""),54550147)</f>
        <v>54550147</v>
      </c>
      <c r="L195" s="27">
        <f ca="1">IFERROR(__xludf.DUMMYFUNCTION("""COMPUTED_VALUE"""),1)</f>
        <v>1</v>
      </c>
      <c r="M195" s="10" t="str">
        <f ca="1">IFERROR(__xludf.DUMMYFUNCTION("""COMPUTED_VALUE"""),"8912/2024")</f>
        <v>8912/2024</v>
      </c>
      <c r="N195" s="10" t="str">
        <f ca="1">IFERROR(__xludf.DUMMYFUNCTION("""COMPUTED_VALUE"""),"PMB")</f>
        <v>PMB</v>
      </c>
      <c r="O195" s="59"/>
      <c r="P195" s="1"/>
      <c r="Q195" s="1"/>
      <c r="R195" s="1"/>
      <c r="S195" s="1"/>
      <c r="T195" s="1"/>
      <c r="U195" s="1"/>
      <c r="V195" s="1"/>
      <c r="W195" s="1"/>
      <c r="X195" s="1"/>
      <c r="Y195" s="1"/>
      <c r="Z195" s="1"/>
      <c r="AA195" s="1"/>
    </row>
    <row r="196" spans="1:27" ht="12.75" customHeight="1">
      <c r="A196" s="1"/>
      <c r="B196" s="10" t="str">
        <f ca="1">IFERROR(__xludf.DUMMYFUNCTION("""COMPUTED_VALUE"""),"CONSTRUCCION DE LA ILUMINACION PEATONAL COSTANERA SUR")</f>
        <v>CONSTRUCCION DE LA ILUMINACION PEATONAL COSTANERA SUR</v>
      </c>
      <c r="C196" s="10" t="str">
        <f ca="1">IFERROR(__xludf.DUMMYFUNCTION("""COMPUTED_VALUE"""),"13126240702-C")</f>
        <v>13126240702-C</v>
      </c>
      <c r="D196" s="26" t="str">
        <f t="shared" ca="1" si="0"/>
        <v xml:space="preserve"> QUINTA NORMAL</v>
      </c>
      <c r="E196" s="10" t="str">
        <f ca="1">IFERROR(__xludf.DUMMYFUNCTION("""COMPUTED_VALUE"""),"Guía Operativa")</f>
        <v>Guía Operativa</v>
      </c>
      <c r="F196" s="10" t="str">
        <f ca="1">IFERROR(__xludf.DUMMYFUNCTION("""COMPUTED_VALUE"""),"MUNICIPALIDAD DE QUINTA NORMAL")</f>
        <v>MUNICIPALIDAD DE QUINTA NORMAL</v>
      </c>
      <c r="G196" s="71">
        <f ca="1">IFERROR(__xludf.DUMMYFUNCTION("""COMPUTED_VALUE"""),316989714)</f>
        <v>316989714</v>
      </c>
      <c r="H196" s="10" t="str">
        <f ca="1">IFERROR(__xludf.DUMMYFUNCTION("""COMPUTED_VALUE"""),"Resolución")</f>
        <v>Resolución</v>
      </c>
      <c r="I196" s="10" t="str">
        <f ca="1">IFERROR(__xludf.DUMMYFUNCTION("""COMPUTED_VALUE"""),"Obra")</f>
        <v>Obra</v>
      </c>
      <c r="J196" s="10" t="str">
        <f ca="1">IFERROR(__xludf.DUMMYFUNCTION("""COMPUTED_VALUE"""),"Cumplir con normativa y reglamentos internos del programa en base a los objetivos.")</f>
        <v>Cumplir con normativa y reglamentos internos del programa en base a los objetivos.</v>
      </c>
      <c r="K196" s="71">
        <f ca="1">IFERROR(__xludf.DUMMYFUNCTION("""COMPUTED_VALUE"""),316989714)</f>
        <v>316989714</v>
      </c>
      <c r="L196" s="27">
        <f ca="1">IFERROR(__xludf.DUMMYFUNCTION("""COMPUTED_VALUE"""),1)</f>
        <v>1</v>
      </c>
      <c r="M196" s="10" t="str">
        <f ca="1">IFERROR(__xludf.DUMMYFUNCTION("""COMPUTED_VALUE"""),"8767/2024")</f>
        <v>8767/2024</v>
      </c>
      <c r="N196" s="10" t="str">
        <f ca="1">IFERROR(__xludf.DUMMYFUNCTION("""COMPUTED_VALUE"""),"PMB")</f>
        <v>PMB</v>
      </c>
      <c r="O196" s="59"/>
      <c r="P196" s="1"/>
      <c r="Q196" s="1"/>
      <c r="R196" s="1"/>
      <c r="S196" s="1"/>
      <c r="T196" s="1"/>
      <c r="U196" s="1"/>
      <c r="V196" s="1"/>
      <c r="W196" s="1"/>
      <c r="X196" s="1"/>
      <c r="Y196" s="1"/>
      <c r="Z196" s="1"/>
      <c r="AA196" s="1"/>
    </row>
    <row r="197" spans="1:27" ht="12.75" customHeight="1">
      <c r="A197" s="1"/>
      <c r="B197" s="10" t="str">
        <f ca="1">IFERROR(__xludf.DUMMYFUNCTION("""COMPUTED_VALUE"""),"INSPECCIÓN TÉCNICA PARA PROYECTO DE SANEAMIENTO SANITARIO EN EL SECTOR URBANO DE LA COMUNA DE PUERTO OCTAY")</f>
        <v>INSPECCIÓN TÉCNICA PARA PROYECTO DE SANEAMIENTO SANITARIO EN EL SECTOR URBANO DE LA COMUNA DE PUERTO OCTAY</v>
      </c>
      <c r="C197" s="10" t="str">
        <f ca="1">IFERROR(__xludf.DUMMYFUNCTION("""COMPUTED_VALUE"""),"10302230501-C")</f>
        <v>10302230501-C</v>
      </c>
      <c r="D197" s="26" t="str">
        <f t="shared" ca="1" si="0"/>
        <v xml:space="preserve"> PUERTO OCTAY</v>
      </c>
      <c r="E197" s="10" t="str">
        <f ca="1">IFERROR(__xludf.DUMMYFUNCTION("""COMPUTED_VALUE"""),"Guía Operativa")</f>
        <v>Guía Operativa</v>
      </c>
      <c r="F197" s="10" t="str">
        <f ca="1">IFERROR(__xludf.DUMMYFUNCTION("""COMPUTED_VALUE"""),"MUNICIPALIDAD DE PUERTO OCTAY")</f>
        <v>MUNICIPALIDAD DE PUERTO OCTAY</v>
      </c>
      <c r="G197" s="71">
        <f ca="1">IFERROR(__xludf.DUMMYFUNCTION("""COMPUTED_VALUE"""),15750000)</f>
        <v>15750000</v>
      </c>
      <c r="H197" s="10" t="str">
        <f ca="1">IFERROR(__xludf.DUMMYFUNCTION("""COMPUTED_VALUE"""),"Resolución")</f>
        <v>Resolución</v>
      </c>
      <c r="I197" s="10" t="str">
        <f ca="1">IFERROR(__xludf.DUMMYFUNCTION("""COMPUTED_VALUE"""),"Inspección Técnica")</f>
        <v>Inspección Técnica</v>
      </c>
      <c r="J197" s="10" t="str">
        <f ca="1">IFERROR(__xludf.DUMMYFUNCTION("""COMPUTED_VALUE"""),"Cumplir con normativa y reglamentos internos del programa en base a los objetivos.")</f>
        <v>Cumplir con normativa y reglamentos internos del programa en base a los objetivos.</v>
      </c>
      <c r="K197" s="71">
        <f ca="1">IFERROR(__xludf.DUMMYFUNCTION("""COMPUTED_VALUE"""),15750000)</f>
        <v>15750000</v>
      </c>
      <c r="L197" s="27">
        <f ca="1">IFERROR(__xludf.DUMMYFUNCTION("""COMPUTED_VALUE"""),1)</f>
        <v>1</v>
      </c>
      <c r="M197" s="10" t="str">
        <f ca="1">IFERROR(__xludf.DUMMYFUNCTION("""COMPUTED_VALUE"""),"8453/2024")</f>
        <v>8453/2024</v>
      </c>
      <c r="N197" s="10" t="str">
        <f ca="1">IFERROR(__xludf.DUMMYFUNCTION("""COMPUTED_VALUE"""),"PMB")</f>
        <v>PMB</v>
      </c>
      <c r="O197" s="59"/>
      <c r="P197" s="1"/>
      <c r="Q197" s="1"/>
      <c r="R197" s="1"/>
      <c r="S197" s="1"/>
      <c r="T197" s="1"/>
      <c r="U197" s="1"/>
      <c r="V197" s="1"/>
      <c r="W197" s="1"/>
      <c r="X197" s="1"/>
      <c r="Y197" s="1"/>
      <c r="Z197" s="1"/>
      <c r="AA197" s="1"/>
    </row>
    <row r="198" spans="1:27" ht="12.75" customHeight="1">
      <c r="A198" s="1"/>
      <c r="B198" s="10" t="str">
        <f ca="1">IFERROR(__xludf.DUMMYFUNCTION("""COMPUTED_VALUE"""),"MEJORAMIENTO Y REPOSICIÓN DE COLECTORES DE AS Y UD, CALLE GERMÁN WULF, ENTRE CALLE AMUNÁTEGUI E INDEPENDENCIA")</f>
        <v>MEJORAMIENTO Y REPOSICIÓN DE COLECTORES DE AS Y UD, CALLE GERMÁN WULF, ENTRE CALLE AMUNÁTEGUI E INDEPENDENCIA</v>
      </c>
      <c r="C198" s="10" t="str">
        <f ca="1">IFERROR(__xludf.DUMMYFUNCTION("""COMPUTED_VALUE"""),"10302240701-C")</f>
        <v>10302240701-C</v>
      </c>
      <c r="D198" s="26" t="str">
        <f t="shared" ca="1" si="0"/>
        <v xml:space="preserve"> PUERTO OCTAY</v>
      </c>
      <c r="E198" s="10" t="str">
        <f ca="1">IFERROR(__xludf.DUMMYFUNCTION("""COMPUTED_VALUE"""),"Guía Operativa")</f>
        <v>Guía Operativa</v>
      </c>
      <c r="F198" s="10" t="str">
        <f ca="1">IFERROR(__xludf.DUMMYFUNCTION("""COMPUTED_VALUE"""),"MUNICIPALIDAD DE PUERTO OCTAY")</f>
        <v>MUNICIPALIDAD DE PUERTO OCTAY</v>
      </c>
      <c r="G198" s="71">
        <f ca="1">IFERROR(__xludf.DUMMYFUNCTION("""COMPUTED_VALUE"""),323206050)</f>
        <v>323206050</v>
      </c>
      <c r="H198" s="10" t="str">
        <f ca="1">IFERROR(__xludf.DUMMYFUNCTION("""COMPUTED_VALUE"""),"Resolución")</f>
        <v>Resolución</v>
      </c>
      <c r="I198" s="10" t="str">
        <f ca="1">IFERROR(__xludf.DUMMYFUNCTION("""COMPUTED_VALUE"""),"Obra")</f>
        <v>Obra</v>
      </c>
      <c r="J198" s="10" t="str">
        <f ca="1">IFERROR(__xludf.DUMMYFUNCTION("""COMPUTED_VALUE"""),"Cumplir con normativa y reglamentos internos del programa en base a los objetivos.")</f>
        <v>Cumplir con normativa y reglamentos internos del programa en base a los objetivos.</v>
      </c>
      <c r="K198" s="71">
        <f ca="1">IFERROR(__xludf.DUMMYFUNCTION("""COMPUTED_VALUE"""),323206050)</f>
        <v>323206050</v>
      </c>
      <c r="L198" s="27">
        <f ca="1">IFERROR(__xludf.DUMMYFUNCTION("""COMPUTED_VALUE"""),1)</f>
        <v>1</v>
      </c>
      <c r="M198" s="10" t="str">
        <f ca="1">IFERROR(__xludf.DUMMYFUNCTION("""COMPUTED_VALUE"""),"8450/2024")</f>
        <v>8450/2024</v>
      </c>
      <c r="N198" s="10" t="str">
        <f ca="1">IFERROR(__xludf.DUMMYFUNCTION("""COMPUTED_VALUE"""),"PMB")</f>
        <v>PMB</v>
      </c>
      <c r="O198" s="59"/>
      <c r="P198" s="1"/>
      <c r="Q198" s="1"/>
      <c r="R198" s="1"/>
      <c r="S198" s="1"/>
      <c r="T198" s="1"/>
      <c r="U198" s="1"/>
      <c r="V198" s="1"/>
      <c r="W198" s="1"/>
      <c r="X198" s="1"/>
      <c r="Y198" s="1"/>
      <c r="Z198" s="1"/>
      <c r="AA198" s="1"/>
    </row>
    <row r="199" spans="1:27" ht="12.75" customHeight="1">
      <c r="A199" s="1"/>
      <c r="B199" s="10" t="str">
        <f ca="1">IFERROR(__xludf.DUMMYFUNCTION("""COMPUTED_VALUE"""),"ESTUDIO PARA LA OBTENCIÓN DE RCA CONFORME A ICSARA N° 2 DEL EIA DEL PROYECTO CTIR DE LA COMUNA DE ARICA")</f>
        <v>ESTUDIO PARA LA OBTENCIÓN DE RCA CONFORME A ICSARA N° 2 DEL EIA DEL PROYECTO CTIR DE LA COMUNA DE ARICA</v>
      </c>
      <c r="C199" s="10" t="str">
        <f ca="1">IFERROR(__xludf.DUMMYFUNCTION("""COMPUTED_VALUE"""),"15101240401-C")</f>
        <v>15101240401-C</v>
      </c>
      <c r="D199" s="26" t="str">
        <f t="shared" ca="1" si="0"/>
        <v xml:space="preserve"> ARICA</v>
      </c>
      <c r="E199" s="10" t="str">
        <f ca="1">IFERROR(__xludf.DUMMYFUNCTION("""COMPUTED_VALUE"""),"Guía Operativa")</f>
        <v>Guía Operativa</v>
      </c>
      <c r="F199" s="10" t="str">
        <f ca="1">IFERROR(__xludf.DUMMYFUNCTION("""COMPUTED_VALUE"""),"MUNICIPALIDAD DE ARICA")</f>
        <v>MUNICIPALIDAD DE ARICA</v>
      </c>
      <c r="G199" s="71">
        <f ca="1">IFERROR(__xludf.DUMMYFUNCTION("""COMPUTED_VALUE"""),323300000)</f>
        <v>323300000</v>
      </c>
      <c r="H199" s="10" t="str">
        <f ca="1">IFERROR(__xludf.DUMMYFUNCTION("""COMPUTED_VALUE"""),"Resolución")</f>
        <v>Resolución</v>
      </c>
      <c r="I199" s="10" t="str">
        <f ca="1">IFERROR(__xludf.DUMMYFUNCTION("""COMPUTED_VALUE"""),"Estudio")</f>
        <v>Estudio</v>
      </c>
      <c r="J199" s="10" t="str">
        <f ca="1">IFERROR(__xludf.DUMMYFUNCTION("""COMPUTED_VALUE"""),"Cumplir con normativa y reglamentos internos del programa en base a los objetivos.")</f>
        <v>Cumplir con normativa y reglamentos internos del programa en base a los objetivos.</v>
      </c>
      <c r="K199" s="71">
        <f ca="1">IFERROR(__xludf.DUMMYFUNCTION("""COMPUTED_VALUE"""),323300000)</f>
        <v>323300000</v>
      </c>
      <c r="L199" s="27">
        <f ca="1">IFERROR(__xludf.DUMMYFUNCTION("""COMPUTED_VALUE"""),1)</f>
        <v>1</v>
      </c>
      <c r="M199" s="10" t="str">
        <f ca="1">IFERROR(__xludf.DUMMYFUNCTION("""COMPUTED_VALUE"""),"8002/2024")</f>
        <v>8002/2024</v>
      </c>
      <c r="N199" s="10" t="str">
        <f ca="1">IFERROR(__xludf.DUMMYFUNCTION("""COMPUTED_VALUE"""),"PMB")</f>
        <v>PMB</v>
      </c>
      <c r="O199" s="59"/>
      <c r="P199" s="1"/>
      <c r="Q199" s="1"/>
      <c r="R199" s="1"/>
      <c r="S199" s="1"/>
      <c r="T199" s="1"/>
      <c r="U199" s="1"/>
      <c r="V199" s="1"/>
      <c r="W199" s="1"/>
      <c r="X199" s="1"/>
      <c r="Y199" s="1"/>
      <c r="Z199" s="1"/>
      <c r="AA199" s="1"/>
    </row>
    <row r="200" spans="1:27" ht="12.75" customHeight="1">
      <c r="A200" s="1"/>
      <c r="B200" s="10" t="str">
        <f ca="1">IFERROR(__xludf.DUMMYFUNCTION("""COMPUTED_VALUE"""),"ESTUDIO HIDROGEOLOGICO BELLAVISTA - QUILMER - ALTO CHELLE - EL PAJAL- LLOLLINCO - HUILIO- MOLCO- MOTROLHUE")</f>
        <v>ESTUDIO HIDROGEOLOGICO BELLAVISTA - QUILMER - ALTO CHELLE - EL PAJAL- LLOLLINCO - HUILIO- MOLCO- MOTROLHUE</v>
      </c>
      <c r="C200" s="10" t="str">
        <f ca="1">IFERROR(__xludf.DUMMYFUNCTION("""COMPUTED_VALUE"""),"9117230401-C")</f>
        <v>9117230401-C</v>
      </c>
      <c r="D200" s="26" t="str">
        <f t="shared" ca="1" si="0"/>
        <v xml:space="preserve"> TEODORO SCHMIDT</v>
      </c>
      <c r="E200" s="10" t="str">
        <f ca="1">IFERROR(__xludf.DUMMYFUNCTION("""COMPUTED_VALUE"""),"Guía Operativa")</f>
        <v>Guía Operativa</v>
      </c>
      <c r="F200" s="10" t="str">
        <f ca="1">IFERROR(__xludf.DUMMYFUNCTION("""COMPUTED_VALUE"""),"MUNICIPALIDAD DE TEODORO SCHMIDT")</f>
        <v>MUNICIPALIDAD DE TEODORO SCHMIDT</v>
      </c>
      <c r="G200" s="71">
        <f ca="1">IFERROR(__xludf.DUMMYFUNCTION("""COMPUTED_VALUE"""),63434125)</f>
        <v>63434125</v>
      </c>
      <c r="H200" s="10" t="str">
        <f ca="1">IFERROR(__xludf.DUMMYFUNCTION("""COMPUTED_VALUE"""),"Resolución")</f>
        <v>Resolución</v>
      </c>
      <c r="I200" s="10" t="str">
        <f ca="1">IFERROR(__xludf.DUMMYFUNCTION("""COMPUTED_VALUE"""),"Estudio")</f>
        <v>Estudio</v>
      </c>
      <c r="J200" s="10" t="str">
        <f ca="1">IFERROR(__xludf.DUMMYFUNCTION("""COMPUTED_VALUE"""),"Cumplir con normativa y reglamentos internos del programa en base a los objetivos.")</f>
        <v>Cumplir con normativa y reglamentos internos del programa en base a los objetivos.</v>
      </c>
      <c r="K200" s="71">
        <f ca="1">IFERROR(__xludf.DUMMYFUNCTION("""COMPUTED_VALUE"""),63434125)</f>
        <v>63434125</v>
      </c>
      <c r="L200" s="27">
        <f ca="1">IFERROR(__xludf.DUMMYFUNCTION("""COMPUTED_VALUE"""),1)</f>
        <v>1</v>
      </c>
      <c r="M200" s="10" t="str">
        <f ca="1">IFERROR(__xludf.DUMMYFUNCTION("""COMPUTED_VALUE"""),"8472/2024")</f>
        <v>8472/2024</v>
      </c>
      <c r="N200" s="10" t="str">
        <f ca="1">IFERROR(__xludf.DUMMYFUNCTION("""COMPUTED_VALUE"""),"PMB")</f>
        <v>PMB</v>
      </c>
      <c r="O200" s="59"/>
      <c r="P200" s="1"/>
      <c r="Q200" s="1"/>
      <c r="R200" s="1"/>
      <c r="S200" s="1"/>
      <c r="T200" s="1"/>
      <c r="U200" s="1"/>
      <c r="V200" s="1"/>
      <c r="W200" s="1"/>
      <c r="X200" s="1"/>
      <c r="Y200" s="1"/>
      <c r="Z200" s="1"/>
      <c r="AA200" s="1"/>
    </row>
    <row r="201" spans="1:27" ht="12.75" customHeight="1">
      <c r="A201" s="1"/>
      <c r="B201" s="10" t="str">
        <f ca="1">IFERROR(__xludf.DUMMYFUNCTION("""COMPUTED_VALUE"""),"CONSTRUCCIÓN CASETAS SANITARIAS SECTOR SUR URBANO, NATALES")</f>
        <v>CONSTRUCCIÓN CASETAS SANITARIAS SECTOR SUR URBANO, NATALES</v>
      </c>
      <c r="C201" s="10" t="str">
        <f ca="1">IFERROR(__xludf.DUMMYFUNCTION("""COMPUTED_VALUE"""),"12401230701-C")</f>
        <v>12401230701-C</v>
      </c>
      <c r="D201" s="26" t="str">
        <f t="shared" ca="1" si="0"/>
        <v xml:space="preserve"> NATALES</v>
      </c>
      <c r="E201" s="10" t="str">
        <f ca="1">IFERROR(__xludf.DUMMYFUNCTION("""COMPUTED_VALUE"""),"Guía Operativa")</f>
        <v>Guía Operativa</v>
      </c>
      <c r="F201" s="10" t="str">
        <f ca="1">IFERROR(__xludf.DUMMYFUNCTION("""COMPUTED_VALUE"""),"MUNICIPALIDAD DE NATALES")</f>
        <v>MUNICIPALIDAD DE NATALES</v>
      </c>
      <c r="G201" s="71">
        <f ca="1">IFERROR(__xludf.DUMMYFUNCTION("""COMPUTED_VALUE"""),89310179)</f>
        <v>89310179</v>
      </c>
      <c r="H201" s="10" t="str">
        <f ca="1">IFERROR(__xludf.DUMMYFUNCTION("""COMPUTED_VALUE"""),"Resolución")</f>
        <v>Resolución</v>
      </c>
      <c r="I201" s="10" t="str">
        <f ca="1">IFERROR(__xludf.DUMMYFUNCTION("""COMPUTED_VALUE"""),"Obra")</f>
        <v>Obra</v>
      </c>
      <c r="J201" s="10" t="str">
        <f ca="1">IFERROR(__xludf.DUMMYFUNCTION("""COMPUTED_VALUE"""),"Cumplir con normativa y reglamentos internos del programa en base a los objetivos.")</f>
        <v>Cumplir con normativa y reglamentos internos del programa en base a los objetivos.</v>
      </c>
      <c r="K201" s="71">
        <f ca="1">IFERROR(__xludf.DUMMYFUNCTION("""COMPUTED_VALUE"""),89310179)</f>
        <v>89310179</v>
      </c>
      <c r="L201" s="27">
        <f ca="1">IFERROR(__xludf.DUMMYFUNCTION("""COMPUTED_VALUE"""),1)</f>
        <v>1</v>
      </c>
      <c r="M201" s="10" t="str">
        <f ca="1">IFERROR(__xludf.DUMMYFUNCTION("""COMPUTED_VALUE"""),"8932/2024")</f>
        <v>8932/2024</v>
      </c>
      <c r="N201" s="10" t="str">
        <f ca="1">IFERROR(__xludf.DUMMYFUNCTION("""COMPUTED_VALUE"""),"PMB")</f>
        <v>PMB</v>
      </c>
      <c r="O201" s="59"/>
      <c r="P201" s="1"/>
      <c r="Q201" s="1"/>
      <c r="R201" s="1"/>
      <c r="S201" s="1"/>
      <c r="T201" s="1"/>
      <c r="U201" s="1"/>
      <c r="V201" s="1"/>
      <c r="W201" s="1"/>
      <c r="X201" s="1"/>
      <c r="Y201" s="1"/>
      <c r="Z201" s="1"/>
      <c r="AA201" s="1"/>
    </row>
    <row r="202" spans="1:27" ht="12.75" customHeight="1">
      <c r="A202" s="1"/>
      <c r="B202" s="10" t="str">
        <f ca="1">IFERROR(__xludf.DUMMYFUNCTION("""COMPUTED_VALUE"""),"MEJORAMIENTO DE ILUMINACIÓN CICLOVÍA DUBLE ALMEYDA ENTRE FERNÁNDEZ CONCHA Y LAS GARDENIAS COMUNA DE ÑUÑOA")</f>
        <v>MEJORAMIENTO DE ILUMINACIÓN CICLOVÍA DUBLE ALMEYDA ENTRE FERNÁNDEZ CONCHA Y LAS GARDENIAS COMUNA DE ÑUÑOA</v>
      </c>
      <c r="C202" s="10" t="str">
        <f ca="1">IFERROR(__xludf.DUMMYFUNCTION("""COMPUTED_VALUE"""),"13120230701-C")</f>
        <v>13120230701-C</v>
      </c>
      <c r="D202" s="26" t="str">
        <f t="shared" ca="1" si="0"/>
        <v xml:space="preserve"> ÑUÑOA</v>
      </c>
      <c r="E202" s="10" t="str">
        <f ca="1">IFERROR(__xludf.DUMMYFUNCTION("""COMPUTED_VALUE"""),"Guía Operativa")</f>
        <v>Guía Operativa</v>
      </c>
      <c r="F202" s="10" t="str">
        <f ca="1">IFERROR(__xludf.DUMMYFUNCTION("""COMPUTED_VALUE"""),"MUNICIPALIDAD DE ÑUÑOA")</f>
        <v>MUNICIPALIDAD DE ÑUÑOA</v>
      </c>
      <c r="G202" s="71">
        <f ca="1">IFERROR(__xludf.DUMMYFUNCTION("""COMPUTED_VALUE"""),195786740)</f>
        <v>195786740</v>
      </c>
      <c r="H202" s="10" t="str">
        <f ca="1">IFERROR(__xludf.DUMMYFUNCTION("""COMPUTED_VALUE"""),"Resolución")</f>
        <v>Resolución</v>
      </c>
      <c r="I202" s="10" t="str">
        <f ca="1">IFERROR(__xludf.DUMMYFUNCTION("""COMPUTED_VALUE"""),"Obra")</f>
        <v>Obra</v>
      </c>
      <c r="J202" s="10" t="str">
        <f ca="1">IFERROR(__xludf.DUMMYFUNCTION("""COMPUTED_VALUE"""),"Cumplir con normativa y reglamentos internos del programa en base a los objetivos.")</f>
        <v>Cumplir con normativa y reglamentos internos del programa en base a los objetivos.</v>
      </c>
      <c r="K202" s="71">
        <f ca="1">IFERROR(__xludf.DUMMYFUNCTION("""COMPUTED_VALUE"""),195786740)</f>
        <v>195786740</v>
      </c>
      <c r="L202" s="27">
        <f ca="1">IFERROR(__xludf.DUMMYFUNCTION("""COMPUTED_VALUE"""),1)</f>
        <v>1</v>
      </c>
      <c r="M202" s="10" t="str">
        <f ca="1">IFERROR(__xludf.DUMMYFUNCTION("""COMPUTED_VALUE"""),"8042/2024")</f>
        <v>8042/2024</v>
      </c>
      <c r="N202" s="10" t="str">
        <f ca="1">IFERROR(__xludf.DUMMYFUNCTION("""COMPUTED_VALUE"""),"PMB")</f>
        <v>PMB</v>
      </c>
      <c r="O202" s="59"/>
      <c r="P202" s="1"/>
      <c r="Q202" s="1"/>
      <c r="R202" s="1"/>
      <c r="S202" s="1"/>
      <c r="T202" s="1"/>
      <c r="U202" s="1"/>
      <c r="V202" s="1"/>
      <c r="W202" s="1"/>
      <c r="X202" s="1"/>
      <c r="Y202" s="1"/>
      <c r="Z202" s="1"/>
      <c r="AA202" s="1"/>
    </row>
    <row r="203" spans="1:27" ht="12.75" customHeight="1">
      <c r="A203" s="1"/>
      <c r="B203" s="10" t="str">
        <f ca="1">IFERROR(__xludf.DUMMYFUNCTION("""COMPUTED_VALUE"""),"CONSTRUCCIÓN EXTENSIÓN DE REDES DE AGUA POTABLE Y AGUAS SERVIDAS PASAJE VEGA, SECTOR PANTANOSA, COMUNA DE FRUTILLAR")</f>
        <v>CONSTRUCCIÓN EXTENSIÓN DE REDES DE AGUA POTABLE Y AGUAS SERVIDAS PASAJE VEGA, SECTOR PANTANOSA, COMUNA DE FRUTILLAR</v>
      </c>
      <c r="C203" s="10" t="str">
        <f ca="1">IFERROR(__xludf.DUMMYFUNCTION("""COMPUTED_VALUE"""),"10105240701-B")</f>
        <v>10105240701-B</v>
      </c>
      <c r="D203" s="26" t="str">
        <f t="shared" ca="1" si="0"/>
        <v xml:space="preserve"> FRUTILLAR</v>
      </c>
      <c r="E203" s="10" t="str">
        <f ca="1">IFERROR(__xludf.DUMMYFUNCTION("""COMPUTED_VALUE"""),"Guía Operativa")</f>
        <v>Guía Operativa</v>
      </c>
      <c r="F203" s="10" t="str">
        <f ca="1">IFERROR(__xludf.DUMMYFUNCTION("""COMPUTED_VALUE"""),"MUNICIPALIDAD DE FRUTILLAR")</f>
        <v>MUNICIPALIDAD DE FRUTILLAR</v>
      </c>
      <c r="G203" s="71">
        <f ca="1">IFERROR(__xludf.DUMMYFUNCTION("""COMPUTED_VALUE"""),87033113)</f>
        <v>87033113</v>
      </c>
      <c r="H203" s="10" t="str">
        <f ca="1">IFERROR(__xludf.DUMMYFUNCTION("""COMPUTED_VALUE"""),"Resolución")</f>
        <v>Resolución</v>
      </c>
      <c r="I203" s="10" t="str">
        <f ca="1">IFERROR(__xludf.DUMMYFUNCTION("""COMPUTED_VALUE"""),"Obra")</f>
        <v>Obra</v>
      </c>
      <c r="J203" s="10" t="str">
        <f ca="1">IFERROR(__xludf.DUMMYFUNCTION("""COMPUTED_VALUE"""),"Cumplir con normativa y reglamentos internos del programa en base a los objetivos.")</f>
        <v>Cumplir con normativa y reglamentos internos del programa en base a los objetivos.</v>
      </c>
      <c r="K203" s="71">
        <f ca="1">IFERROR(__xludf.DUMMYFUNCTION("""COMPUTED_VALUE"""),87033113)</f>
        <v>87033113</v>
      </c>
      <c r="L203" s="27">
        <f ca="1">IFERROR(__xludf.DUMMYFUNCTION("""COMPUTED_VALUE"""),1)</f>
        <v>1</v>
      </c>
      <c r="M203" s="10" t="str">
        <f ca="1">IFERROR(__xludf.DUMMYFUNCTION("""COMPUTED_VALUE"""),"8761/2024")</f>
        <v>8761/2024</v>
      </c>
      <c r="N203" s="10" t="str">
        <f ca="1">IFERROR(__xludf.DUMMYFUNCTION("""COMPUTED_VALUE"""),"PMB")</f>
        <v>PMB</v>
      </c>
      <c r="O203" s="59"/>
      <c r="P203" s="1"/>
      <c r="Q203" s="1"/>
      <c r="R203" s="1"/>
      <c r="S203" s="1"/>
      <c r="T203" s="1"/>
      <c r="U203" s="1"/>
      <c r="V203" s="1"/>
      <c r="W203" s="1"/>
      <c r="X203" s="1"/>
      <c r="Y203" s="1"/>
      <c r="Z203" s="1"/>
      <c r="AA203" s="1"/>
    </row>
    <row r="204" spans="1:27" ht="12.75" customHeight="1">
      <c r="A204" s="1"/>
      <c r="B204" s="10" t="str">
        <f ca="1">IFERROR(__xludf.DUMMYFUNCTION("""COMPUTED_VALUE"""),"REPOSICIÓN SISTEMA FLOCULACIÓN Y LODOS PLANTA DE TRATAMIENTO NUEVA BRAUNAU, COMUNA DE PUERTO VARAS")</f>
        <v>REPOSICIÓN SISTEMA FLOCULACIÓN Y LODOS PLANTA DE TRATAMIENTO NUEVA BRAUNAU, COMUNA DE PUERTO VARAS</v>
      </c>
      <c r="C204" s="10" t="str">
        <f ca="1">IFERROR(__xludf.DUMMYFUNCTION("""COMPUTED_VALUE"""),"10109240701-B")</f>
        <v>10109240701-B</v>
      </c>
      <c r="D204" s="26" t="str">
        <f t="shared" ca="1" si="0"/>
        <v xml:space="preserve"> PUERTO VARAS</v>
      </c>
      <c r="E204" s="10" t="str">
        <f ca="1">IFERROR(__xludf.DUMMYFUNCTION("""COMPUTED_VALUE"""),"Guía Operativa")</f>
        <v>Guía Operativa</v>
      </c>
      <c r="F204" s="10" t="str">
        <f ca="1">IFERROR(__xludf.DUMMYFUNCTION("""COMPUTED_VALUE"""),"MUNICIPALIDAD DE PUERTO VARAS")</f>
        <v>MUNICIPALIDAD DE PUERTO VARAS</v>
      </c>
      <c r="G204" s="71">
        <f ca="1">IFERROR(__xludf.DUMMYFUNCTION("""COMPUTED_VALUE"""),87033113)</f>
        <v>87033113</v>
      </c>
      <c r="H204" s="10" t="str">
        <f ca="1">IFERROR(__xludf.DUMMYFUNCTION("""COMPUTED_VALUE"""),"Resolución")</f>
        <v>Resolución</v>
      </c>
      <c r="I204" s="10" t="str">
        <f ca="1">IFERROR(__xludf.DUMMYFUNCTION("""COMPUTED_VALUE"""),"Obra")</f>
        <v>Obra</v>
      </c>
      <c r="J204" s="10" t="str">
        <f ca="1">IFERROR(__xludf.DUMMYFUNCTION("""COMPUTED_VALUE"""),"Cumplir con normativa y reglamentos internos del programa en base a los objetivos.")</f>
        <v>Cumplir con normativa y reglamentos internos del programa en base a los objetivos.</v>
      </c>
      <c r="K204" s="71">
        <f ca="1">IFERROR(__xludf.DUMMYFUNCTION("""COMPUTED_VALUE"""),87033113)</f>
        <v>87033113</v>
      </c>
      <c r="L204" s="27">
        <f ca="1">IFERROR(__xludf.DUMMYFUNCTION("""COMPUTED_VALUE"""),1)</f>
        <v>1</v>
      </c>
      <c r="M204" s="10" t="str">
        <f ca="1">IFERROR(__xludf.DUMMYFUNCTION("""COMPUTED_VALUE"""),"8758/2024")</f>
        <v>8758/2024</v>
      </c>
      <c r="N204" s="10" t="str">
        <f ca="1">IFERROR(__xludf.DUMMYFUNCTION("""COMPUTED_VALUE"""),"PMB")</f>
        <v>PMB</v>
      </c>
      <c r="O204" s="59"/>
      <c r="P204" s="1"/>
      <c r="Q204" s="1"/>
      <c r="R204" s="1"/>
      <c r="S204" s="1"/>
      <c r="T204" s="1"/>
      <c r="U204" s="1"/>
      <c r="V204" s="1"/>
      <c r="W204" s="1"/>
      <c r="X204" s="1"/>
      <c r="Y204" s="1"/>
      <c r="Z204" s="1"/>
      <c r="AA204" s="1"/>
    </row>
    <row r="205" spans="1:27" ht="12.75" customHeight="1">
      <c r="A205" s="1"/>
      <c r="B205" s="10" t="str">
        <f ca="1">IFERROR(__xludf.DUMMYFUNCTION("""COMPUTED_VALUE"""),"CONSERVACION INSTALACIONES SANITARIAS POSTA COIPOMO Y POSTA LINAO")</f>
        <v>CONSERVACION INSTALACIONES SANITARIAS POSTA COIPOMO Y POSTA LINAO</v>
      </c>
      <c r="C205" s="10" t="str">
        <f ca="1">IFERROR(__xludf.DUMMYFUNCTION("""COMPUTED_VALUE"""),"10202240701-B")</f>
        <v>10202240701-B</v>
      </c>
      <c r="D205" s="26" t="str">
        <f t="shared" ca="1" si="0"/>
        <v xml:space="preserve"> ANCUD</v>
      </c>
      <c r="E205" s="10" t="str">
        <f ca="1">IFERROR(__xludf.DUMMYFUNCTION("""COMPUTED_VALUE"""),"Guía Operativa")</f>
        <v>Guía Operativa</v>
      </c>
      <c r="F205" s="10" t="str">
        <f ca="1">IFERROR(__xludf.DUMMYFUNCTION("""COMPUTED_VALUE"""),"MUNICIPALIDAD DE ANCUD")</f>
        <v>MUNICIPALIDAD DE ANCUD</v>
      </c>
      <c r="G205" s="71">
        <f ca="1">IFERROR(__xludf.DUMMYFUNCTION("""COMPUTED_VALUE"""),87033113)</f>
        <v>87033113</v>
      </c>
      <c r="H205" s="10" t="str">
        <f ca="1">IFERROR(__xludf.DUMMYFUNCTION("""COMPUTED_VALUE"""),"Resolución")</f>
        <v>Resolución</v>
      </c>
      <c r="I205" s="10" t="str">
        <f ca="1">IFERROR(__xludf.DUMMYFUNCTION("""COMPUTED_VALUE"""),"Obra")</f>
        <v>Obra</v>
      </c>
      <c r="J205" s="10" t="str">
        <f ca="1">IFERROR(__xludf.DUMMYFUNCTION("""COMPUTED_VALUE"""),"Cumplir con normativa y reglamentos internos del programa en base a los objetivos.")</f>
        <v>Cumplir con normativa y reglamentos internos del programa en base a los objetivos.</v>
      </c>
      <c r="K205" s="71">
        <f ca="1">IFERROR(__xludf.DUMMYFUNCTION("""COMPUTED_VALUE"""),87033113)</f>
        <v>87033113</v>
      </c>
      <c r="L205" s="27">
        <f ca="1">IFERROR(__xludf.DUMMYFUNCTION("""COMPUTED_VALUE"""),1)</f>
        <v>1</v>
      </c>
      <c r="M205" s="10" t="str">
        <f ca="1">IFERROR(__xludf.DUMMYFUNCTION("""COMPUTED_VALUE"""),"8898/2024")</f>
        <v>8898/2024</v>
      </c>
      <c r="N205" s="10" t="str">
        <f ca="1">IFERROR(__xludf.DUMMYFUNCTION("""COMPUTED_VALUE"""),"PMB")</f>
        <v>PMB</v>
      </c>
      <c r="O205" s="59"/>
      <c r="P205" s="1"/>
      <c r="Q205" s="1"/>
      <c r="R205" s="1"/>
      <c r="S205" s="1"/>
      <c r="T205" s="1"/>
      <c r="U205" s="1"/>
      <c r="V205" s="1"/>
      <c r="W205" s="1"/>
      <c r="X205" s="1"/>
      <c r="Y205" s="1"/>
      <c r="Z205" s="1"/>
      <c r="AA205" s="1"/>
    </row>
    <row r="206" spans="1:27" ht="12.75" customHeight="1">
      <c r="A206" s="1"/>
      <c r="B206" s="10" t="str">
        <f ca="1">IFERROR(__xludf.DUMMYFUNCTION("""COMPUTED_VALUE"""),"MEJORAMIENTO SISTEMA DE SSR HUILLINCO Y SSR TARA, COMUNA DE CHONCHI")</f>
        <v>MEJORAMIENTO SISTEMA DE SSR HUILLINCO Y SSR TARA, COMUNA DE CHONCHI</v>
      </c>
      <c r="C206" s="10" t="str">
        <f ca="1">IFERROR(__xludf.DUMMYFUNCTION("""COMPUTED_VALUE"""),"10203240701-B")</f>
        <v>10203240701-B</v>
      </c>
      <c r="D206" s="26" t="str">
        <f t="shared" ca="1" si="0"/>
        <v xml:space="preserve"> CHONCHI</v>
      </c>
      <c r="E206" s="10" t="str">
        <f ca="1">IFERROR(__xludf.DUMMYFUNCTION("""COMPUTED_VALUE"""),"Guía Operativa")</f>
        <v>Guía Operativa</v>
      </c>
      <c r="F206" s="10" t="str">
        <f ca="1">IFERROR(__xludf.DUMMYFUNCTION("""COMPUTED_VALUE"""),"MUNICIPALIDAD DE CHONCHI")</f>
        <v>MUNICIPALIDAD DE CHONCHI</v>
      </c>
      <c r="G206" s="71">
        <f ca="1">IFERROR(__xludf.DUMMYFUNCTION("""COMPUTED_VALUE"""),90000000)</f>
        <v>90000000</v>
      </c>
      <c r="H206" s="10" t="str">
        <f ca="1">IFERROR(__xludf.DUMMYFUNCTION("""COMPUTED_VALUE"""),"Resolución")</f>
        <v>Resolución</v>
      </c>
      <c r="I206" s="10" t="str">
        <f ca="1">IFERROR(__xludf.DUMMYFUNCTION("""COMPUTED_VALUE"""),"Obra")</f>
        <v>Obra</v>
      </c>
      <c r="J206" s="10" t="str">
        <f ca="1">IFERROR(__xludf.DUMMYFUNCTION("""COMPUTED_VALUE"""),"Cumplir con normativa y reglamentos internos del programa en base a los objetivos.")</f>
        <v>Cumplir con normativa y reglamentos internos del programa en base a los objetivos.</v>
      </c>
      <c r="K206" s="71">
        <f ca="1">IFERROR(__xludf.DUMMYFUNCTION("""COMPUTED_VALUE"""),90000000)</f>
        <v>90000000</v>
      </c>
      <c r="L206" s="27">
        <f ca="1">IFERROR(__xludf.DUMMYFUNCTION("""COMPUTED_VALUE"""),1)</f>
        <v>1</v>
      </c>
      <c r="M206" s="10" t="str">
        <f ca="1">IFERROR(__xludf.DUMMYFUNCTION("""COMPUTED_VALUE"""),"8888/2024")</f>
        <v>8888/2024</v>
      </c>
      <c r="N206" s="10" t="str">
        <f ca="1">IFERROR(__xludf.DUMMYFUNCTION("""COMPUTED_VALUE"""),"PMB")</f>
        <v>PMB</v>
      </c>
      <c r="O206" s="59"/>
      <c r="P206" s="1"/>
      <c r="Q206" s="1"/>
      <c r="R206" s="1"/>
      <c r="S206" s="1"/>
      <c r="T206" s="1"/>
      <c r="U206" s="1"/>
      <c r="V206" s="1"/>
      <c r="W206" s="1"/>
      <c r="X206" s="1"/>
      <c r="Y206" s="1"/>
      <c r="Z206" s="1"/>
      <c r="AA206" s="1"/>
    </row>
    <row r="207" spans="1:27" ht="12.75" customHeight="1">
      <c r="A207" s="1"/>
      <c r="B207" s="10" t="str">
        <f ca="1">IFERROR(__xludf.DUMMYFUNCTION("""COMPUTED_VALUE"""),"MEJORAMIENTO PLANTA DE TRATAMIENTO DE AGUAS SERVIDAS, SECTOR HUEÑOCO - COMUNA DE PUQUELDON")</f>
        <v>MEJORAMIENTO PLANTA DE TRATAMIENTO DE AGUAS SERVIDAS, SECTOR HUEÑOCO - COMUNA DE PUQUELDON</v>
      </c>
      <c r="C207" s="10" t="str">
        <f ca="1">IFERROR(__xludf.DUMMYFUNCTION("""COMPUTED_VALUE"""),"10206240701-B")</f>
        <v>10206240701-B</v>
      </c>
      <c r="D207" s="26" t="str">
        <f t="shared" ca="1" si="0"/>
        <v xml:space="preserve"> PUQUELDÓN</v>
      </c>
      <c r="E207" s="10" t="str">
        <f ca="1">IFERROR(__xludf.DUMMYFUNCTION("""COMPUTED_VALUE"""),"Guía Operativa")</f>
        <v>Guía Operativa</v>
      </c>
      <c r="F207" s="10" t="str">
        <f ca="1">IFERROR(__xludf.DUMMYFUNCTION("""COMPUTED_VALUE"""),"MUNICIPALIDAD DE PUQUELDÓN")</f>
        <v>MUNICIPALIDAD DE PUQUELDÓN</v>
      </c>
      <c r="G207" s="71">
        <f ca="1">IFERROR(__xludf.DUMMYFUNCTION("""COMPUTED_VALUE"""),90000000)</f>
        <v>90000000</v>
      </c>
      <c r="H207" s="10" t="str">
        <f ca="1">IFERROR(__xludf.DUMMYFUNCTION("""COMPUTED_VALUE"""),"Resolución")</f>
        <v>Resolución</v>
      </c>
      <c r="I207" s="10" t="str">
        <f ca="1">IFERROR(__xludf.DUMMYFUNCTION("""COMPUTED_VALUE"""),"Obra")</f>
        <v>Obra</v>
      </c>
      <c r="J207" s="10" t="str">
        <f ca="1">IFERROR(__xludf.DUMMYFUNCTION("""COMPUTED_VALUE"""),"Cumplir con normativa y reglamentos internos del programa en base a los objetivos.")</f>
        <v>Cumplir con normativa y reglamentos internos del programa en base a los objetivos.</v>
      </c>
      <c r="K207" s="71">
        <f ca="1">IFERROR(__xludf.DUMMYFUNCTION("""COMPUTED_VALUE"""),90000000)</f>
        <v>90000000</v>
      </c>
      <c r="L207" s="27">
        <f ca="1">IFERROR(__xludf.DUMMYFUNCTION("""COMPUTED_VALUE"""),1)</f>
        <v>1</v>
      </c>
      <c r="M207" s="10" t="str">
        <f ca="1">IFERROR(__xludf.DUMMYFUNCTION("""COMPUTED_VALUE"""),"8925/2024")</f>
        <v>8925/2024</v>
      </c>
      <c r="N207" s="10" t="str">
        <f ca="1">IFERROR(__xludf.DUMMYFUNCTION("""COMPUTED_VALUE"""),"PMB")</f>
        <v>PMB</v>
      </c>
      <c r="O207" s="59"/>
      <c r="P207" s="1"/>
      <c r="Q207" s="1"/>
      <c r="R207" s="1"/>
      <c r="S207" s="1"/>
      <c r="T207" s="1"/>
      <c r="U207" s="1"/>
      <c r="V207" s="1"/>
      <c r="W207" s="1"/>
      <c r="X207" s="1"/>
      <c r="Y207" s="1"/>
      <c r="Z207" s="1"/>
      <c r="AA207" s="1"/>
    </row>
    <row r="208" spans="1:27" ht="12.75" customHeight="1">
      <c r="A208" s="1"/>
      <c r="B208" s="10" t="str">
        <f ca="1">IFERROR(__xludf.DUMMYFUNCTION("""COMPUTED_VALUE"""),"CONSTRUCCIÓN SISTEMAS APRI QUEBRADA DE ULLOA, COMUNA DE FLORIDA")</f>
        <v>CONSTRUCCIÓN SISTEMAS APRI QUEBRADA DE ULLOA, COMUNA DE FLORIDA</v>
      </c>
      <c r="C208" s="10" t="str">
        <f ca="1">IFERROR(__xludf.DUMMYFUNCTION("""COMPUTED_VALUE"""),"8104240701-B")</f>
        <v>8104240701-B</v>
      </c>
      <c r="D208" s="26" t="str">
        <f t="shared" ca="1" si="0"/>
        <v xml:space="preserve"> FLORIDA</v>
      </c>
      <c r="E208" s="10" t="str">
        <f ca="1">IFERROR(__xludf.DUMMYFUNCTION("""COMPUTED_VALUE"""),"Guía Operativa")</f>
        <v>Guía Operativa</v>
      </c>
      <c r="F208" s="10" t="str">
        <f ca="1">IFERROR(__xludf.DUMMYFUNCTION("""COMPUTED_VALUE"""),"MUNICIPALIDAD DE FLORIDA")</f>
        <v>MUNICIPALIDAD DE FLORIDA</v>
      </c>
      <c r="G208" s="71">
        <f ca="1">IFERROR(__xludf.DUMMYFUNCTION("""COMPUTED_VALUE"""),151912601)</f>
        <v>151912601</v>
      </c>
      <c r="H208" s="10" t="str">
        <f ca="1">IFERROR(__xludf.DUMMYFUNCTION("""COMPUTED_VALUE"""),"Resolución")</f>
        <v>Resolución</v>
      </c>
      <c r="I208" s="10" t="str">
        <f ca="1">IFERROR(__xludf.DUMMYFUNCTION("""COMPUTED_VALUE"""),"Obra")</f>
        <v>Obra</v>
      </c>
      <c r="J208" s="10" t="str">
        <f ca="1">IFERROR(__xludf.DUMMYFUNCTION("""COMPUTED_VALUE"""),"Cumplir con normativa y reglamentos internos del programa en base a los objetivos.")</f>
        <v>Cumplir con normativa y reglamentos internos del programa en base a los objetivos.</v>
      </c>
      <c r="K208" s="71">
        <f ca="1">IFERROR(__xludf.DUMMYFUNCTION("""COMPUTED_VALUE"""),151912601)</f>
        <v>151912601</v>
      </c>
      <c r="L208" s="27">
        <f ca="1">IFERROR(__xludf.DUMMYFUNCTION("""COMPUTED_VALUE"""),1)</f>
        <v>1</v>
      </c>
      <c r="M208" s="10" t="str">
        <f ca="1">IFERROR(__xludf.DUMMYFUNCTION("""COMPUTED_VALUE"""),"8927/2024")</f>
        <v>8927/2024</v>
      </c>
      <c r="N208" s="10" t="str">
        <f ca="1">IFERROR(__xludf.DUMMYFUNCTION("""COMPUTED_VALUE"""),"PMB")</f>
        <v>PMB</v>
      </c>
      <c r="O208" s="59"/>
      <c r="P208" s="1"/>
      <c r="Q208" s="1"/>
      <c r="R208" s="1"/>
      <c r="S208" s="1"/>
      <c r="T208" s="1"/>
      <c r="U208" s="1"/>
      <c r="V208" s="1"/>
      <c r="W208" s="1"/>
      <c r="X208" s="1"/>
      <c r="Y208" s="1"/>
      <c r="Z208" s="1"/>
      <c r="AA208" s="1"/>
    </row>
    <row r="209" spans="1:27" ht="12.75" customHeight="1">
      <c r="A209" s="1"/>
      <c r="B209" s="10" t="str">
        <f ca="1">IFERROR(__xludf.DUMMYFUNCTION("""COMPUTED_VALUE"""),"CONSTRUCCIÓN SISTEMAS APRI PANQUEHUA, COMUNA DE FLORIDA")</f>
        <v>CONSTRUCCIÓN SISTEMAS APRI PANQUEHUA, COMUNA DE FLORIDA</v>
      </c>
      <c r="C209" s="10" t="str">
        <f ca="1">IFERROR(__xludf.DUMMYFUNCTION("""COMPUTED_VALUE"""),"8104240702-B")</f>
        <v>8104240702-B</v>
      </c>
      <c r="D209" s="26" t="str">
        <f t="shared" ca="1" si="0"/>
        <v xml:space="preserve"> FLORIDA</v>
      </c>
      <c r="E209" s="10" t="str">
        <f ca="1">IFERROR(__xludf.DUMMYFUNCTION("""COMPUTED_VALUE"""),"Guía Operativa")</f>
        <v>Guía Operativa</v>
      </c>
      <c r="F209" s="10" t="str">
        <f ca="1">IFERROR(__xludf.DUMMYFUNCTION("""COMPUTED_VALUE"""),"MUNICIPALIDAD DE FLORIDA")</f>
        <v>MUNICIPALIDAD DE FLORIDA</v>
      </c>
      <c r="G209" s="71">
        <f ca="1">IFERROR(__xludf.DUMMYFUNCTION("""COMPUTED_VALUE"""),112051948)</f>
        <v>112051948</v>
      </c>
      <c r="H209" s="10" t="str">
        <f ca="1">IFERROR(__xludf.DUMMYFUNCTION("""COMPUTED_VALUE"""),"Resolución")</f>
        <v>Resolución</v>
      </c>
      <c r="I209" s="10" t="str">
        <f ca="1">IFERROR(__xludf.DUMMYFUNCTION("""COMPUTED_VALUE"""),"Obra")</f>
        <v>Obra</v>
      </c>
      <c r="J209" s="10" t="str">
        <f ca="1">IFERROR(__xludf.DUMMYFUNCTION("""COMPUTED_VALUE"""),"Cumplir con normativa y reglamentos internos del programa en base a los objetivos.")</f>
        <v>Cumplir con normativa y reglamentos internos del programa en base a los objetivos.</v>
      </c>
      <c r="K209" s="71">
        <f ca="1">IFERROR(__xludf.DUMMYFUNCTION("""COMPUTED_VALUE"""),112051948)</f>
        <v>112051948</v>
      </c>
      <c r="L209" s="27">
        <f ca="1">IFERROR(__xludf.DUMMYFUNCTION("""COMPUTED_VALUE"""),1)</f>
        <v>1</v>
      </c>
      <c r="M209" s="10" t="str">
        <f ca="1">IFERROR(__xludf.DUMMYFUNCTION("""COMPUTED_VALUE"""),"8762/2024")</f>
        <v>8762/2024</v>
      </c>
      <c r="N209" s="10" t="str">
        <f ca="1">IFERROR(__xludf.DUMMYFUNCTION("""COMPUTED_VALUE"""),"PMB")</f>
        <v>PMB</v>
      </c>
      <c r="O209" s="59"/>
      <c r="P209" s="1"/>
      <c r="Q209" s="1"/>
      <c r="R209" s="1"/>
      <c r="S209" s="1"/>
      <c r="T209" s="1"/>
      <c r="U209" s="1"/>
      <c r="V209" s="1"/>
      <c r="W209" s="1"/>
      <c r="X209" s="1"/>
      <c r="Y209" s="1"/>
      <c r="Z209" s="1"/>
      <c r="AA209" s="1"/>
    </row>
    <row r="210" spans="1:27" ht="12.75" customHeight="1">
      <c r="A210" s="1"/>
      <c r="B210" s="10" t="str">
        <f ca="1">IFERROR(__xludf.DUMMYFUNCTION("""COMPUTED_VALUE"""),"CONSTRUCCIÓN SISTEMAS APRI CRUCERO DE HUARO, COMUNA DE FLORIDA")</f>
        <v>CONSTRUCCIÓN SISTEMAS APRI CRUCERO DE HUARO, COMUNA DE FLORIDA</v>
      </c>
      <c r="C210" s="10" t="str">
        <f ca="1">IFERROR(__xludf.DUMMYFUNCTION("""COMPUTED_VALUE"""),"8104240703-B")</f>
        <v>8104240703-B</v>
      </c>
      <c r="D210" s="26" t="str">
        <f t="shared" ca="1" si="0"/>
        <v xml:space="preserve"> FLORIDA</v>
      </c>
      <c r="E210" s="10" t="str">
        <f ca="1">IFERROR(__xludf.DUMMYFUNCTION("""COMPUTED_VALUE"""),"Guía Operativa")</f>
        <v>Guía Operativa</v>
      </c>
      <c r="F210" s="10" t="str">
        <f ca="1">IFERROR(__xludf.DUMMYFUNCTION("""COMPUTED_VALUE"""),"MUNICIPALIDAD DE FLORIDA")</f>
        <v>MUNICIPALIDAD DE FLORIDA</v>
      </c>
      <c r="G210" s="71">
        <f ca="1">IFERROR(__xludf.DUMMYFUNCTION("""COMPUTED_VALUE"""),175662760)</f>
        <v>175662760</v>
      </c>
      <c r="H210" s="10" t="str">
        <f ca="1">IFERROR(__xludf.DUMMYFUNCTION("""COMPUTED_VALUE"""),"Resolución")</f>
        <v>Resolución</v>
      </c>
      <c r="I210" s="10" t="str">
        <f ca="1">IFERROR(__xludf.DUMMYFUNCTION("""COMPUTED_VALUE"""),"Obra")</f>
        <v>Obra</v>
      </c>
      <c r="J210" s="10" t="str">
        <f ca="1">IFERROR(__xludf.DUMMYFUNCTION("""COMPUTED_VALUE"""),"Cumplir con normativa y reglamentos internos del programa en base a los objetivos.")</f>
        <v>Cumplir con normativa y reglamentos internos del programa en base a los objetivos.</v>
      </c>
      <c r="K210" s="71">
        <f ca="1">IFERROR(__xludf.DUMMYFUNCTION("""COMPUTED_VALUE"""),175662760)</f>
        <v>175662760</v>
      </c>
      <c r="L210" s="27">
        <f ca="1">IFERROR(__xludf.DUMMYFUNCTION("""COMPUTED_VALUE"""),1)</f>
        <v>1</v>
      </c>
      <c r="M210" s="10" t="str">
        <f ca="1">IFERROR(__xludf.DUMMYFUNCTION("""COMPUTED_VALUE"""),"8765/2024")</f>
        <v>8765/2024</v>
      </c>
      <c r="N210" s="10" t="str">
        <f ca="1">IFERROR(__xludf.DUMMYFUNCTION("""COMPUTED_VALUE"""),"PMB")</f>
        <v>PMB</v>
      </c>
      <c r="O210" s="59"/>
      <c r="P210" s="1"/>
      <c r="Q210" s="1"/>
      <c r="R210" s="1"/>
      <c r="S210" s="1"/>
      <c r="T210" s="1"/>
      <c r="U210" s="1"/>
      <c r="V210" s="1"/>
      <c r="W210" s="1"/>
      <c r="X210" s="1"/>
      <c r="Y210" s="1"/>
      <c r="Z210" s="1"/>
      <c r="AA210" s="1"/>
    </row>
    <row r="211" spans="1:27" ht="12.75" customHeight="1">
      <c r="A211" s="1"/>
      <c r="B211" s="10" t="str">
        <f ca="1">IFERROR(__xludf.DUMMYFUNCTION("""COMPUTED_VALUE"""),"CONSTRUCCIÓN DE SISTEMA COLECTIVO DE AGUA POTABLE RURAL SECTOR PILGUÉN, COMUNA DE MULCHÉN")</f>
        <v>CONSTRUCCIÓN DE SISTEMA COLECTIVO DE AGUA POTABLE RURAL SECTOR PILGUÉN, COMUNA DE MULCHÉN</v>
      </c>
      <c r="C211" s="10" t="str">
        <f ca="1">IFERROR(__xludf.DUMMYFUNCTION("""COMPUTED_VALUE"""),"8305240701-B")</f>
        <v>8305240701-B</v>
      </c>
      <c r="D211" s="26" t="str">
        <f t="shared" ca="1" si="0"/>
        <v xml:space="preserve"> MULCHÉN</v>
      </c>
      <c r="E211" s="10" t="str">
        <f ca="1">IFERROR(__xludf.DUMMYFUNCTION("""COMPUTED_VALUE"""),"Guía Operativa")</f>
        <v>Guía Operativa</v>
      </c>
      <c r="F211" s="10" t="str">
        <f ca="1">IFERROR(__xludf.DUMMYFUNCTION("""COMPUTED_VALUE"""),"MUNICIPALIDAD DE MULCHÉN")</f>
        <v>MUNICIPALIDAD DE MULCHÉN</v>
      </c>
      <c r="G211" s="71">
        <f ca="1">IFERROR(__xludf.DUMMYFUNCTION("""COMPUTED_VALUE"""),307944730)</f>
        <v>307944730</v>
      </c>
      <c r="H211" s="10" t="str">
        <f ca="1">IFERROR(__xludf.DUMMYFUNCTION("""COMPUTED_VALUE"""),"Resolución")</f>
        <v>Resolución</v>
      </c>
      <c r="I211" s="10" t="str">
        <f ca="1">IFERROR(__xludf.DUMMYFUNCTION("""COMPUTED_VALUE"""),"Obra")</f>
        <v>Obra</v>
      </c>
      <c r="J211" s="10" t="str">
        <f ca="1">IFERROR(__xludf.DUMMYFUNCTION("""COMPUTED_VALUE"""),"Cumplir con normativa y reglamentos internos del programa en base a los objetivos.")</f>
        <v>Cumplir con normativa y reglamentos internos del programa en base a los objetivos.</v>
      </c>
      <c r="K211" s="71">
        <f ca="1">IFERROR(__xludf.DUMMYFUNCTION("""COMPUTED_VALUE"""),307944730)</f>
        <v>307944730</v>
      </c>
      <c r="L211" s="27">
        <f ca="1">IFERROR(__xludf.DUMMYFUNCTION("""COMPUTED_VALUE"""),1)</f>
        <v>1</v>
      </c>
      <c r="M211" s="10" t="str">
        <f ca="1">IFERROR(__xludf.DUMMYFUNCTION("""COMPUTED_VALUE"""),"8928/2024")</f>
        <v>8928/2024</v>
      </c>
      <c r="N211" s="10" t="str">
        <f ca="1">IFERROR(__xludf.DUMMYFUNCTION("""COMPUTED_VALUE"""),"PMB")</f>
        <v>PMB</v>
      </c>
      <c r="O211" s="59"/>
      <c r="P211" s="1"/>
      <c r="Q211" s="1"/>
      <c r="R211" s="1"/>
      <c r="S211" s="1"/>
      <c r="T211" s="1"/>
      <c r="U211" s="1"/>
      <c r="V211" s="1"/>
      <c r="W211" s="1"/>
      <c r="X211" s="1"/>
      <c r="Y211" s="1"/>
      <c r="Z211" s="1"/>
      <c r="AA211" s="1"/>
    </row>
    <row r="212" spans="1:27" ht="12.75" customHeight="1">
      <c r="A212" s="1"/>
      <c r="B212" s="10" t="str">
        <f ca="1">IFERROR(__xludf.DUMMYFUNCTION("""COMPUTED_VALUE"""),"ASISTENCIA LEGAL IMPLEMENTACIÓN LEY DE SERVICIOS SANITARIOS RURALES, SANEAMIENTO DE TÍTULOS DE DOMINIOS Y DERECHOS DE AGUAS, COMUNA DE YERBAS BUENAS")</f>
        <v>ASISTENCIA LEGAL IMPLEMENTACIÓN LEY DE SERVICIOS SANITARIOS RURALES, SANEAMIENTO DE TÍTULOS DE DOMINIOS Y DERECHOS DE AGUAS, COMUNA DE YERBAS BUENAS</v>
      </c>
      <c r="C212" s="10" t="str">
        <f ca="1">IFERROR(__xludf.DUMMYFUNCTION("""COMPUTED_VALUE"""),"7408240601-C")</f>
        <v>7408240601-C</v>
      </c>
      <c r="D212" s="26" t="str">
        <f t="shared" ca="1" si="0"/>
        <v xml:space="preserve"> YERBAS BUENAS</v>
      </c>
      <c r="E212" s="10" t="str">
        <f ca="1">IFERROR(__xludf.DUMMYFUNCTION("""COMPUTED_VALUE"""),"Guía Operativa")</f>
        <v>Guía Operativa</v>
      </c>
      <c r="F212" s="10" t="str">
        <f ca="1">IFERROR(__xludf.DUMMYFUNCTION("""COMPUTED_VALUE"""),"MUNICIPALIDAD DE YERBAS BUENAS")</f>
        <v>MUNICIPALIDAD DE YERBAS BUENAS</v>
      </c>
      <c r="G212" s="71">
        <f ca="1">IFERROR(__xludf.DUMMYFUNCTION("""COMPUTED_VALUE"""),39000000)</f>
        <v>39000000</v>
      </c>
      <c r="H212" s="10" t="str">
        <f ca="1">IFERROR(__xludf.DUMMYFUNCTION("""COMPUTED_VALUE"""),"Resolución")</f>
        <v>Resolución</v>
      </c>
      <c r="I212" s="10" t="str">
        <f ca="1">IFERROR(__xludf.DUMMYFUNCTION("""COMPUTED_VALUE"""),"Asistencia Legal")</f>
        <v>Asistencia Legal</v>
      </c>
      <c r="J212" s="10" t="str">
        <f ca="1">IFERROR(__xludf.DUMMYFUNCTION("""COMPUTED_VALUE"""),"Cumplir con normativa y reglamentos internos del programa en base a los objetivos.")</f>
        <v>Cumplir con normativa y reglamentos internos del programa en base a los objetivos.</v>
      </c>
      <c r="K212" s="71">
        <f ca="1">IFERROR(__xludf.DUMMYFUNCTION("""COMPUTED_VALUE"""),9750000)</f>
        <v>9750000</v>
      </c>
      <c r="L212" s="27">
        <f ca="1">IFERROR(__xludf.DUMMYFUNCTION("""COMPUTED_VALUE"""),0.25)</f>
        <v>0.25</v>
      </c>
      <c r="M212" s="10" t="str">
        <f ca="1">IFERROR(__xludf.DUMMYFUNCTION("""COMPUTED_VALUE"""),"8473/2024")</f>
        <v>8473/2024</v>
      </c>
      <c r="N212" s="10" t="str">
        <f ca="1">IFERROR(__xludf.DUMMYFUNCTION("""COMPUTED_VALUE"""),"PMB")</f>
        <v>PMB</v>
      </c>
      <c r="O212" s="59"/>
      <c r="P212" s="1"/>
      <c r="Q212" s="1"/>
      <c r="R212" s="1"/>
      <c r="S212" s="1"/>
      <c r="T212" s="1"/>
      <c r="U212" s="1"/>
      <c r="V212" s="1"/>
      <c r="W212" s="1"/>
      <c r="X212" s="1"/>
      <c r="Y212" s="1"/>
      <c r="Z212" s="1"/>
      <c r="AA212" s="1"/>
    </row>
    <row r="213" spans="1:27" ht="12.75" customHeight="1">
      <c r="A213" s="1"/>
      <c r="B213" s="10" t="str">
        <f ca="1">IFERROR(__xludf.DUMMYFUNCTION("""COMPUTED_VALUE"""),"ASISTENCIA LEGAL PARA REGULARIZACIÓN DE TERRENOS, COMUNA DE TALCA")</f>
        <v>ASISTENCIA LEGAL PARA REGULARIZACIÓN DE TERRENOS, COMUNA DE TALCA</v>
      </c>
      <c r="C213" s="10" t="str">
        <f ca="1">IFERROR(__xludf.DUMMYFUNCTION("""COMPUTED_VALUE"""),"7101220601-C")</f>
        <v>7101220601-C</v>
      </c>
      <c r="D213" s="26" t="str">
        <f t="shared" ca="1" si="0"/>
        <v xml:space="preserve"> TALCA</v>
      </c>
      <c r="E213" s="10" t="str">
        <f ca="1">IFERROR(__xludf.DUMMYFUNCTION("""COMPUTED_VALUE"""),"Guía Operativa")</f>
        <v>Guía Operativa</v>
      </c>
      <c r="F213" s="10" t="str">
        <f ca="1">IFERROR(__xludf.DUMMYFUNCTION("""COMPUTED_VALUE"""),"MUNICIPALIDAD DE TALCA")</f>
        <v>MUNICIPALIDAD DE TALCA</v>
      </c>
      <c r="G213" s="71">
        <f ca="1">IFERROR(__xludf.DUMMYFUNCTION("""COMPUTED_VALUE"""),63000000)</f>
        <v>63000000</v>
      </c>
      <c r="H213" s="10" t="str">
        <f ca="1">IFERROR(__xludf.DUMMYFUNCTION("""COMPUTED_VALUE"""),"Resolución")</f>
        <v>Resolución</v>
      </c>
      <c r="I213" s="10" t="str">
        <f ca="1">IFERROR(__xludf.DUMMYFUNCTION("""COMPUTED_VALUE"""),"Asistencia Legal")</f>
        <v>Asistencia Legal</v>
      </c>
      <c r="J213" s="10" t="str">
        <f ca="1">IFERROR(__xludf.DUMMYFUNCTION("""COMPUTED_VALUE"""),"Cumplir con normativa y reglamentos internos del programa en base a los objetivos.")</f>
        <v>Cumplir con normativa y reglamentos internos del programa en base a los objetivos.</v>
      </c>
      <c r="K213" s="71">
        <f ca="1">IFERROR(__xludf.DUMMYFUNCTION("""COMPUTED_VALUE"""),37800000)</f>
        <v>37800000</v>
      </c>
      <c r="L213" s="27">
        <f ca="1">IFERROR(__xludf.DUMMYFUNCTION("""COMPUTED_VALUE"""),1)</f>
        <v>1</v>
      </c>
      <c r="M213" s="10" t="str">
        <f ca="1">IFERROR(__xludf.DUMMYFUNCTION("""COMPUTED_VALUE"""),"2061/2022")</f>
        <v>2061/2022</v>
      </c>
      <c r="N213" s="10" t="str">
        <f ca="1">IFERROR(__xludf.DUMMYFUNCTION("""COMPUTED_VALUE"""),"PMB")</f>
        <v>PMB</v>
      </c>
      <c r="O213" s="59"/>
      <c r="P213" s="1"/>
      <c r="Q213" s="1"/>
      <c r="R213" s="1"/>
      <c r="S213" s="1"/>
      <c r="T213" s="1"/>
      <c r="U213" s="1"/>
      <c r="V213" s="1"/>
      <c r="W213" s="1"/>
      <c r="X213" s="1"/>
      <c r="Y213" s="1"/>
      <c r="Z213" s="1"/>
      <c r="AA213" s="1"/>
    </row>
    <row r="214" spans="1:27" ht="12.75" customHeight="1">
      <c r="A214" s="1"/>
      <c r="B214" s="10" t="str">
        <f ca="1">IFERROR(__xludf.DUMMYFUNCTION("""COMPUTED_VALUE"""),"ASISTENCIA TÉCNICA PROYECTOS SANITARIOS, CABRERO")</f>
        <v>ASISTENCIA TÉCNICA PROYECTOS SANITARIOS, CABRERO</v>
      </c>
      <c r="C214" s="10" t="str">
        <f ca="1">IFERROR(__xludf.DUMMYFUNCTION("""COMPUTED_VALUE"""),"8303211001-C")</f>
        <v>8303211001-C</v>
      </c>
      <c r="D214" s="26" t="str">
        <f t="shared" ca="1" si="0"/>
        <v xml:space="preserve"> CABRERO</v>
      </c>
      <c r="E214" s="10" t="str">
        <f ca="1">IFERROR(__xludf.DUMMYFUNCTION("""COMPUTED_VALUE"""),"Guía Operativa")</f>
        <v>Guía Operativa</v>
      </c>
      <c r="F214" s="10" t="str">
        <f ca="1">IFERROR(__xludf.DUMMYFUNCTION("""COMPUTED_VALUE"""),"MUNICIPALIDAD DE CABRERO")</f>
        <v>MUNICIPALIDAD DE CABRERO</v>
      </c>
      <c r="G214" s="71">
        <f ca="1">IFERROR(__xludf.DUMMYFUNCTION("""COMPUTED_VALUE"""),59700000)</f>
        <v>59700000</v>
      </c>
      <c r="H214" s="10" t="str">
        <f ca="1">IFERROR(__xludf.DUMMYFUNCTION("""COMPUTED_VALUE"""),"Resolución")</f>
        <v>Resolución</v>
      </c>
      <c r="I214" s="10" t="str">
        <f ca="1">IFERROR(__xludf.DUMMYFUNCTION("""COMPUTED_VALUE"""),"Asistencia Técnica")</f>
        <v>Asistencia Técnica</v>
      </c>
      <c r="J214" s="10" t="str">
        <f ca="1">IFERROR(__xludf.DUMMYFUNCTION("""COMPUTED_VALUE"""),"Cumplir con normativa y reglamentos internos del programa en base a los objetivos.")</f>
        <v>Cumplir con normativa y reglamentos internos del programa en base a los objetivos.</v>
      </c>
      <c r="K214" s="71">
        <f ca="1">IFERROR(__xludf.DUMMYFUNCTION("""COMPUTED_VALUE"""),7450000)</f>
        <v>7450000</v>
      </c>
      <c r="L214" s="27">
        <f ca="1">IFERROR(__xludf.DUMMYFUNCTION("""COMPUTED_VALUE"""),0.524790619765494)</f>
        <v>0.52479061976549402</v>
      </c>
      <c r="M214" s="10" t="str">
        <f ca="1">IFERROR(__xludf.DUMMYFUNCTION("""COMPUTED_VALUE"""),"10299/2022")</f>
        <v>10299/2022</v>
      </c>
      <c r="N214" s="10" t="str">
        <f ca="1">IFERROR(__xludf.DUMMYFUNCTION("""COMPUTED_VALUE"""),"PMB")</f>
        <v>PMB</v>
      </c>
      <c r="O214" s="59"/>
      <c r="P214" s="1"/>
      <c r="Q214" s="1"/>
      <c r="R214" s="1"/>
      <c r="S214" s="1"/>
      <c r="T214" s="1"/>
      <c r="U214" s="1"/>
      <c r="V214" s="1"/>
      <c r="W214" s="1"/>
      <c r="X214" s="1"/>
      <c r="Y214" s="1"/>
      <c r="Z214" s="1"/>
      <c r="AA214" s="1"/>
    </row>
    <row r="215" spans="1:27" ht="12.75" customHeight="1">
      <c r="A215" s="1"/>
      <c r="B215" s="10" t="str">
        <f ca="1">IFERROR(__xludf.DUMMYFUNCTION("""COMPUTED_VALUE"""),"CONTRATACIÓN ASISTENCIA TÉCNICA ÁREA SANEAMIENTO SANITARIO DIVERSOS SECTORES DE COMUNA DE EMPEDRADO")</f>
        <v>CONTRATACIÓN ASISTENCIA TÉCNICA ÁREA SANEAMIENTO SANITARIO DIVERSOS SECTORES DE COMUNA DE EMPEDRADO</v>
      </c>
      <c r="C215" s="10" t="str">
        <f ca="1">IFERROR(__xludf.DUMMYFUNCTION("""COMPUTED_VALUE"""),"7104221001-C")</f>
        <v>7104221001-C</v>
      </c>
      <c r="D215" s="26" t="str">
        <f t="shared" ca="1" si="0"/>
        <v xml:space="preserve"> EMPEDRADO</v>
      </c>
      <c r="E215" s="10" t="str">
        <f ca="1">IFERROR(__xludf.DUMMYFUNCTION("""COMPUTED_VALUE"""),"Guía Operativa")</f>
        <v>Guía Operativa</v>
      </c>
      <c r="F215" s="10" t="str">
        <f ca="1">IFERROR(__xludf.DUMMYFUNCTION("""COMPUTED_VALUE"""),"MUNICIPALIDAD DE EMPEDRADO")</f>
        <v>MUNICIPALIDAD DE EMPEDRADO</v>
      </c>
      <c r="G215" s="71">
        <f ca="1">IFERROR(__xludf.DUMMYFUNCTION("""COMPUTED_VALUE"""),72490608)</f>
        <v>72490608</v>
      </c>
      <c r="H215" s="10" t="str">
        <f ca="1">IFERROR(__xludf.DUMMYFUNCTION("""COMPUTED_VALUE"""),"Resolución")</f>
        <v>Resolución</v>
      </c>
      <c r="I215" s="10" t="str">
        <f ca="1">IFERROR(__xludf.DUMMYFUNCTION("""COMPUTED_VALUE"""),"Asistencia Técnica")</f>
        <v>Asistencia Técnica</v>
      </c>
      <c r="J215" s="10" t="str">
        <f ca="1">IFERROR(__xludf.DUMMYFUNCTION("""COMPUTED_VALUE"""),"Cumplir con normativa y reglamentos internos del programa en base a los objetivos.")</f>
        <v>Cumplir con normativa y reglamentos internos del programa en base a los objetivos.</v>
      </c>
      <c r="K215" s="71">
        <f ca="1">IFERROR(__xludf.DUMMYFUNCTION("""COMPUTED_VALUE"""),18122652)</f>
        <v>18122652</v>
      </c>
      <c r="L215" s="27">
        <f ca="1">IFERROR(__xludf.DUMMYFUNCTION("""COMPUTED_VALUE"""),0.649999997241021)</f>
        <v>0.64999999724102098</v>
      </c>
      <c r="M215" s="10" t="str">
        <f ca="1">IFERROR(__xludf.DUMMYFUNCTION("""COMPUTED_VALUE"""),"10297/2022")</f>
        <v>10297/2022</v>
      </c>
      <c r="N215" s="10" t="str">
        <f ca="1">IFERROR(__xludf.DUMMYFUNCTION("""COMPUTED_VALUE"""),"PMB")</f>
        <v>PMB</v>
      </c>
      <c r="O215" s="59"/>
      <c r="P215" s="1"/>
      <c r="Q215" s="1"/>
      <c r="R215" s="1"/>
      <c r="S215" s="1"/>
      <c r="T215" s="1"/>
      <c r="U215" s="1"/>
      <c r="V215" s="1"/>
      <c r="W215" s="1"/>
      <c r="X215" s="1"/>
      <c r="Y215" s="1"/>
      <c r="Z215" s="1"/>
      <c r="AA215" s="1"/>
    </row>
    <row r="216" spans="1:27" ht="12.75" customHeight="1">
      <c r="A216" s="1"/>
      <c r="B216" s="10" t="str">
        <f ca="1">IFERROR(__xludf.DUMMYFUNCTION("""COMPUTED_VALUE"""),"EXTENSIÓN RED AGUAS SERVIDAS CALLE USPALLATA, POBLACION BANNEN, LOTA")</f>
        <v>EXTENSIÓN RED AGUAS SERVIDAS CALLE USPALLATA, POBLACION BANNEN, LOTA</v>
      </c>
      <c r="C216" s="10" t="str">
        <f ca="1">IFERROR(__xludf.DUMMYFUNCTION("""COMPUTED_VALUE"""),"8106190701-C")</f>
        <v>8106190701-C</v>
      </c>
      <c r="D216" s="26" t="str">
        <f t="shared" ca="1" si="0"/>
        <v xml:space="preserve"> LOTA</v>
      </c>
      <c r="E216" s="10" t="str">
        <f ca="1">IFERROR(__xludf.DUMMYFUNCTION("""COMPUTED_VALUE"""),"Guía Operativa")</f>
        <v>Guía Operativa</v>
      </c>
      <c r="F216" s="10" t="str">
        <f ca="1">IFERROR(__xludf.DUMMYFUNCTION("""COMPUTED_VALUE"""),"MUNICIPALIDAD DE LOTA")</f>
        <v>MUNICIPALIDAD DE LOTA</v>
      </c>
      <c r="G216" s="71">
        <f ca="1">IFERROR(__xludf.DUMMYFUNCTION("""COMPUTED_VALUE"""),59998580)</f>
        <v>59998580</v>
      </c>
      <c r="H216" s="10" t="str">
        <f ca="1">IFERROR(__xludf.DUMMYFUNCTION("""COMPUTED_VALUE"""),"Resolución")</f>
        <v>Resolución</v>
      </c>
      <c r="I216" s="10" t="str">
        <f ca="1">IFERROR(__xludf.DUMMYFUNCTION("""COMPUTED_VALUE"""),"Obra")</f>
        <v>Obra</v>
      </c>
      <c r="J216" s="10" t="str">
        <f ca="1">IFERROR(__xludf.DUMMYFUNCTION("""COMPUTED_VALUE"""),"Cumplir con normativa y reglamentos internos del programa en base a los objetivos.")</f>
        <v>Cumplir con normativa y reglamentos internos del programa en base a los objetivos.</v>
      </c>
      <c r="K216" s="71">
        <f ca="1">IFERROR(__xludf.DUMMYFUNCTION("""COMPUTED_VALUE"""),32324255)</f>
        <v>32324255</v>
      </c>
      <c r="L216" s="27">
        <f ca="1">IFERROR(__xludf.DUMMYFUNCTION("""COMPUTED_VALUE"""),1)</f>
        <v>1</v>
      </c>
      <c r="M216" s="10" t="str">
        <f ca="1">IFERROR(__xludf.DUMMYFUNCTION("""COMPUTED_VALUE"""),"7025/2020")</f>
        <v>7025/2020</v>
      </c>
      <c r="N216" s="10" t="str">
        <f ca="1">IFERROR(__xludf.DUMMYFUNCTION("""COMPUTED_VALUE"""),"PMB")</f>
        <v>PMB</v>
      </c>
      <c r="O216" s="59"/>
      <c r="P216" s="1"/>
      <c r="Q216" s="1"/>
      <c r="R216" s="1"/>
      <c r="S216" s="1"/>
      <c r="T216" s="1"/>
      <c r="U216" s="1"/>
      <c r="V216" s="1"/>
      <c r="W216" s="1"/>
      <c r="X216" s="1"/>
      <c r="Y216" s="1"/>
      <c r="Z216" s="1"/>
      <c r="AA216" s="1"/>
    </row>
    <row r="217" spans="1:27" ht="12.75" customHeight="1">
      <c r="A217" s="1"/>
      <c r="B217" s="10" t="str">
        <f ca="1">IFERROR(__xludf.DUMMYFUNCTION("""COMPUTED_VALUE"""),"INSTALACIÓN SISTEMAS PANELES SOLARES FOTOVOLTAICOS 6 VIVIENDAS SECTOR RURAL, COMUNA DE SAN FABIÁN")</f>
        <v>INSTALACIÓN SISTEMAS PANELES SOLARES FOTOVOLTAICOS 6 VIVIENDAS SECTOR RURAL, COMUNA DE SAN FABIÁN</v>
      </c>
      <c r="C217" s="10" t="str">
        <f ca="1">IFERROR(__xludf.DUMMYFUNCTION("""COMPUTED_VALUE"""),"16304210702-C")</f>
        <v>16304210702-C</v>
      </c>
      <c r="D217" s="26" t="str">
        <f t="shared" ca="1" si="0"/>
        <v xml:space="preserve"> SAN FABIÁN</v>
      </c>
      <c r="E217" s="10" t="str">
        <f ca="1">IFERROR(__xludf.DUMMYFUNCTION("""COMPUTED_VALUE"""),"Guía Operativa")</f>
        <v>Guía Operativa</v>
      </c>
      <c r="F217" s="10" t="str">
        <f ca="1">IFERROR(__xludf.DUMMYFUNCTION("""COMPUTED_VALUE"""),"MUNICIPALIDAD DE SAN FABIÁN")</f>
        <v>MUNICIPALIDAD DE SAN FABIÁN</v>
      </c>
      <c r="G217" s="71">
        <f ca="1">IFERROR(__xludf.DUMMYFUNCTION("""COMPUTED_VALUE"""),97810843)</f>
        <v>97810843</v>
      </c>
      <c r="H217" s="10" t="str">
        <f ca="1">IFERROR(__xludf.DUMMYFUNCTION("""COMPUTED_VALUE"""),"Resolución")</f>
        <v>Resolución</v>
      </c>
      <c r="I217" s="10" t="str">
        <f ca="1">IFERROR(__xludf.DUMMYFUNCTION("""COMPUTED_VALUE"""),"Obra")</f>
        <v>Obra</v>
      </c>
      <c r="J217" s="10" t="str">
        <f ca="1">IFERROR(__xludf.DUMMYFUNCTION("""COMPUTED_VALUE"""),"Cumplir con normativa y reglamentos internos del programa en base a los objetivos.")</f>
        <v>Cumplir con normativa y reglamentos internos del programa en base a los objetivos.</v>
      </c>
      <c r="K217" s="71">
        <f ca="1">IFERROR(__xludf.DUMMYFUNCTION("""COMPUTED_VALUE"""),65467590)</f>
        <v>65467590</v>
      </c>
      <c r="L217" s="27">
        <f ca="1">IFERROR(__xludf.DUMMYFUNCTION("""COMPUTED_VALUE"""),0.969328553890492)</f>
        <v>0.969328553890492</v>
      </c>
      <c r="M217" s="10" t="str">
        <f ca="1">IFERROR(__xludf.DUMMYFUNCTION("""COMPUTED_VALUE"""),"10547/2021")</f>
        <v>10547/2021</v>
      </c>
      <c r="N217" s="10" t="str">
        <f ca="1">IFERROR(__xludf.DUMMYFUNCTION("""COMPUTED_VALUE"""),"PMB")</f>
        <v>PMB</v>
      </c>
      <c r="O217" s="59"/>
      <c r="P217" s="1"/>
      <c r="Q217" s="1"/>
      <c r="R217" s="1"/>
      <c r="S217" s="1"/>
      <c r="T217" s="1"/>
      <c r="U217" s="1"/>
      <c r="V217" s="1"/>
      <c r="W217" s="1"/>
      <c r="X217" s="1"/>
      <c r="Y217" s="1"/>
      <c r="Z217" s="1"/>
      <c r="AA217" s="1"/>
    </row>
    <row r="218" spans="1:27" ht="12.75" customHeight="1">
      <c r="A218" s="1"/>
      <c r="B218" s="10" t="str">
        <f ca="1">IFERROR(__xludf.DUMMYFUNCTION("""COMPUTED_VALUE"""),"CONSTRUCCIÓN EXTENSIÓN SISTEMA AGUA POTABLE RURAL SECTOR MONTEATRAVESADO PONIENTE")</f>
        <v>CONSTRUCCIÓN EXTENSIÓN SISTEMA AGUA POTABLE RURAL SECTOR MONTEATRAVESADO PONIENTE</v>
      </c>
      <c r="C218" s="10" t="str">
        <f ca="1">IFERROR(__xludf.DUMMYFUNCTION("""COMPUTED_VALUE"""),"16305190706-C [FET]")</f>
        <v>16305190706-C [FET]</v>
      </c>
      <c r="D218" s="26" t="str">
        <f t="shared" ca="1" si="0"/>
        <v xml:space="preserve"> SAN NICOLÁS</v>
      </c>
      <c r="E218" s="10" t="str">
        <f ca="1">IFERROR(__xludf.DUMMYFUNCTION("""COMPUTED_VALUE"""),"Guía Operativa")</f>
        <v>Guía Operativa</v>
      </c>
      <c r="F218" s="10" t="str">
        <f ca="1">IFERROR(__xludf.DUMMYFUNCTION("""COMPUTED_VALUE"""),"MUNICIPALIDAD DE SAN NICOLÁS")</f>
        <v>MUNICIPALIDAD DE SAN NICOLÁS</v>
      </c>
      <c r="G218" s="71">
        <f ca="1">IFERROR(__xludf.DUMMYFUNCTION("""COMPUTED_VALUE"""),68639209)</f>
        <v>68639209</v>
      </c>
      <c r="H218" s="10" t="str">
        <f ca="1">IFERROR(__xludf.DUMMYFUNCTION("""COMPUTED_VALUE"""),"Resolución")</f>
        <v>Resolución</v>
      </c>
      <c r="I218" s="10" t="str">
        <f ca="1">IFERROR(__xludf.DUMMYFUNCTION("""COMPUTED_VALUE"""),"Obra")</f>
        <v>Obra</v>
      </c>
      <c r="J218" s="10" t="str">
        <f ca="1">IFERROR(__xludf.DUMMYFUNCTION("""COMPUTED_VALUE"""),"Cumplir con normativa y reglamentos internos del programa en base a los objetivos.")</f>
        <v>Cumplir con normativa y reglamentos internos del programa en base a los objetivos.</v>
      </c>
      <c r="K218" s="71">
        <f ca="1">IFERROR(__xludf.DUMMYFUNCTION("""COMPUTED_VALUE"""),68639189)</f>
        <v>68639189</v>
      </c>
      <c r="L218" s="27">
        <f ca="1">IFERROR(__xludf.DUMMYFUNCTION("""COMPUTED_VALUE"""),0.99999970862135)</f>
        <v>0.99999970862135001</v>
      </c>
      <c r="M218" s="10" t="str">
        <f ca="1">IFERROR(__xludf.DUMMYFUNCTION("""COMPUTED_VALUE"""),"9735/2021")</f>
        <v>9735/2021</v>
      </c>
      <c r="N218" s="10" t="str">
        <f ca="1">IFERROR(__xludf.DUMMYFUNCTION("""COMPUTED_VALUE"""),"PMB")</f>
        <v>PMB</v>
      </c>
      <c r="O218" s="59"/>
      <c r="P218" s="1"/>
      <c r="Q218" s="1"/>
      <c r="R218" s="1"/>
      <c r="S218" s="1"/>
      <c r="T218" s="1"/>
      <c r="U218" s="1"/>
      <c r="V218" s="1"/>
      <c r="W218" s="1"/>
      <c r="X218" s="1"/>
      <c r="Y218" s="1"/>
      <c r="Z218" s="1"/>
      <c r="AA218" s="1"/>
    </row>
    <row r="219" spans="1:27" ht="12.75" customHeight="1">
      <c r="A219" s="1"/>
      <c r="B219" s="10" t="str">
        <f ca="1">IFERROR(__xludf.DUMMYFUNCTION("""COMPUTED_VALUE"""),"ASISTENCIA LEGAL, COMUNA DE PENCAHUE")</f>
        <v>ASISTENCIA LEGAL, COMUNA DE PENCAHUE</v>
      </c>
      <c r="C219" s="10" t="str">
        <f ca="1">IFERROR(__xludf.DUMMYFUNCTION("""COMPUTED_VALUE"""),"7107230601-C")</f>
        <v>7107230601-C</v>
      </c>
      <c r="D219" s="26" t="str">
        <f t="shared" ca="1" si="0"/>
        <v xml:space="preserve"> PENCAHUE</v>
      </c>
      <c r="E219" s="10" t="str">
        <f ca="1">IFERROR(__xludf.DUMMYFUNCTION("""COMPUTED_VALUE"""),"Guía Operativa")</f>
        <v>Guía Operativa</v>
      </c>
      <c r="F219" s="10" t="str">
        <f ca="1">IFERROR(__xludf.DUMMYFUNCTION("""COMPUTED_VALUE"""),"MUNICIPALIDAD DE PENCAHUE")</f>
        <v>MUNICIPALIDAD DE PENCAHUE</v>
      </c>
      <c r="G219" s="71">
        <f ca="1">IFERROR(__xludf.DUMMYFUNCTION("""COMPUTED_VALUE"""),44400000)</f>
        <v>44400000</v>
      </c>
      <c r="H219" s="10" t="str">
        <f ca="1">IFERROR(__xludf.DUMMYFUNCTION("""COMPUTED_VALUE"""),"Resolución")</f>
        <v>Resolución</v>
      </c>
      <c r="I219" s="10" t="str">
        <f ca="1">IFERROR(__xludf.DUMMYFUNCTION("""COMPUTED_VALUE"""),"Asistencia Legal")</f>
        <v>Asistencia Legal</v>
      </c>
      <c r="J219" s="10" t="str">
        <f ca="1">IFERROR(__xludf.DUMMYFUNCTION("""COMPUTED_VALUE"""),"Cumplir con normativa y reglamentos internos del programa en base a los objetivos.")</f>
        <v>Cumplir con normativa y reglamentos internos del programa en base a los objetivos.</v>
      </c>
      <c r="K219" s="71">
        <f ca="1">IFERROR(__xludf.DUMMYFUNCTION("""COMPUTED_VALUE"""),11100000)</f>
        <v>11100000</v>
      </c>
      <c r="L219" s="27">
        <f ca="1">IFERROR(__xludf.DUMMYFUNCTION("""COMPUTED_VALUE"""),0.75)</f>
        <v>0.75</v>
      </c>
      <c r="M219" s="10" t="str">
        <f ca="1">IFERROR(__xludf.DUMMYFUNCTION("""COMPUTED_VALUE"""),"5977/2023")</f>
        <v>5977/2023</v>
      </c>
      <c r="N219" s="10" t="str">
        <f ca="1">IFERROR(__xludf.DUMMYFUNCTION("""COMPUTED_VALUE"""),"PMB")</f>
        <v>PMB</v>
      </c>
      <c r="O219" s="59"/>
      <c r="P219" s="1"/>
      <c r="Q219" s="1"/>
      <c r="R219" s="1"/>
      <c r="S219" s="1"/>
      <c r="T219" s="1"/>
      <c r="U219" s="1"/>
      <c r="V219" s="1"/>
      <c r="W219" s="1"/>
      <c r="X219" s="1"/>
      <c r="Y219" s="1"/>
      <c r="Z219" s="1"/>
      <c r="AA219" s="1"/>
    </row>
    <row r="220" spans="1:27" ht="12.75" customHeight="1">
      <c r="A220" s="1"/>
      <c r="B220" s="10" t="str">
        <f ca="1">IFERROR(__xludf.DUMMYFUNCTION("""COMPUTED_VALUE"""),"MEJORAMIENTO Y AMPLIACION DE REDES DE ALUMBRADO PUBLICO Y DISEÑO DE PROYECTOS DE EFICIENCIA ENERGETICA EN EQUIPAMIENTO COMUNAL, COMUNA DE ROMERAL")</f>
        <v>MEJORAMIENTO Y AMPLIACION DE REDES DE ALUMBRADO PUBLICO Y DISEÑO DE PROYECTOS DE EFICIENCIA ENERGETICA EN EQUIPAMIENTO COMUNAL, COMUNA DE ROMERAL</v>
      </c>
      <c r="C220" s="10" t="str">
        <f ca="1">IFERROR(__xludf.DUMMYFUNCTION("""COMPUTED_VALUE"""),"7306231001-C")</f>
        <v>7306231001-C</v>
      </c>
      <c r="D220" s="26" t="str">
        <f t="shared" ca="1" si="0"/>
        <v xml:space="preserve"> ROMERAL</v>
      </c>
      <c r="E220" s="10" t="str">
        <f ca="1">IFERROR(__xludf.DUMMYFUNCTION("""COMPUTED_VALUE"""),"Guía Operativa")</f>
        <v>Guía Operativa</v>
      </c>
      <c r="F220" s="10" t="str">
        <f ca="1">IFERROR(__xludf.DUMMYFUNCTION("""COMPUTED_VALUE"""),"MUNICIPALIDAD DE ROMERAL")</f>
        <v>MUNICIPALIDAD DE ROMERAL</v>
      </c>
      <c r="G220" s="71">
        <f ca="1">IFERROR(__xludf.DUMMYFUNCTION("""COMPUTED_VALUE"""),52800000)</f>
        <v>52800000</v>
      </c>
      <c r="H220" s="10" t="str">
        <f ca="1">IFERROR(__xludf.DUMMYFUNCTION("""COMPUTED_VALUE"""),"Resolución")</f>
        <v>Resolución</v>
      </c>
      <c r="I220" s="10" t="str">
        <f ca="1">IFERROR(__xludf.DUMMYFUNCTION("""COMPUTED_VALUE"""),"Asistencia Técnica")</f>
        <v>Asistencia Técnica</v>
      </c>
      <c r="J220" s="10" t="str">
        <f ca="1">IFERROR(__xludf.DUMMYFUNCTION("""COMPUTED_VALUE"""),"Cumplir con normativa y reglamentos internos del programa en base a los objetivos.")</f>
        <v>Cumplir con normativa y reglamentos internos del programa en base a los objetivos.</v>
      </c>
      <c r="K220" s="71">
        <f ca="1">IFERROR(__xludf.DUMMYFUNCTION("""COMPUTED_VALUE"""),15000000)</f>
        <v>15000000</v>
      </c>
      <c r="L220" s="27">
        <f ca="1">IFERROR(__xludf.DUMMYFUNCTION("""COMPUTED_VALUE"""),0.534090909090909)</f>
        <v>0.53409090909090895</v>
      </c>
      <c r="M220" s="10" t="str">
        <f ca="1">IFERROR(__xludf.DUMMYFUNCTION("""COMPUTED_VALUE"""),"7417/2023")</f>
        <v>7417/2023</v>
      </c>
      <c r="N220" s="10" t="str">
        <f ca="1">IFERROR(__xludf.DUMMYFUNCTION("""COMPUTED_VALUE"""),"PMB")</f>
        <v>PMB</v>
      </c>
      <c r="O220" s="59"/>
      <c r="P220" s="1"/>
      <c r="Q220" s="1"/>
      <c r="R220" s="1"/>
      <c r="S220" s="1"/>
      <c r="T220" s="1"/>
      <c r="U220" s="1"/>
      <c r="V220" s="1"/>
      <c r="W220" s="1"/>
      <c r="X220" s="1"/>
      <c r="Y220" s="1"/>
      <c r="Z220" s="1"/>
      <c r="AA220" s="1"/>
    </row>
    <row r="221" spans="1:27" ht="12.75" customHeight="1">
      <c r="A221" s="1"/>
      <c r="B221" s="10" t="str">
        <f ca="1">IFERROR(__xludf.DUMMYFUNCTION("""COMPUTED_VALUE"""),"EXTENSIÓN REDES DE ALCANTARILLADO CALLE SARGENTO CANDELARIA PARTE I, COMUNA DE CHONCHI")</f>
        <v>EXTENSIÓN REDES DE ALCANTARILLADO CALLE SARGENTO CANDELARIA PARTE I, COMUNA DE CHONCHI</v>
      </c>
      <c r="C221" s="10" t="str">
        <f ca="1">IFERROR(__xludf.DUMMYFUNCTION("""COMPUTED_VALUE"""),"10203220703-C")</f>
        <v>10203220703-C</v>
      </c>
      <c r="D221" s="26" t="str">
        <f t="shared" ca="1" si="0"/>
        <v xml:space="preserve"> CHONCHI</v>
      </c>
      <c r="E221" s="10" t="str">
        <f ca="1">IFERROR(__xludf.DUMMYFUNCTION("""COMPUTED_VALUE"""),"Guía Operativa")</f>
        <v>Guía Operativa</v>
      </c>
      <c r="F221" s="10" t="str">
        <f ca="1">IFERROR(__xludf.DUMMYFUNCTION("""COMPUTED_VALUE"""),"MUNICIPALIDAD DE CHONCHI")</f>
        <v>MUNICIPALIDAD DE CHONCHI</v>
      </c>
      <c r="G221" s="71">
        <f ca="1">IFERROR(__xludf.DUMMYFUNCTION("""COMPUTED_VALUE"""),68258324)</f>
        <v>68258324</v>
      </c>
      <c r="H221" s="10" t="str">
        <f ca="1">IFERROR(__xludf.DUMMYFUNCTION("""COMPUTED_VALUE"""),"Resolución")</f>
        <v>Resolución</v>
      </c>
      <c r="I221" s="10" t="str">
        <f ca="1">IFERROR(__xludf.DUMMYFUNCTION("""COMPUTED_VALUE"""),"Obra")</f>
        <v>Obra</v>
      </c>
      <c r="J221" s="10" t="str">
        <f ca="1">IFERROR(__xludf.DUMMYFUNCTION("""COMPUTED_VALUE"""),"Cumplir con normativa y reglamentos internos del programa en base a los objetivos.")</f>
        <v>Cumplir con normativa y reglamentos internos del programa en base a los objetivos.</v>
      </c>
      <c r="K221" s="71">
        <f ca="1">IFERROR(__xludf.DUMMYFUNCTION("""COMPUTED_VALUE"""),54584966)</f>
        <v>54584966</v>
      </c>
      <c r="L221" s="27">
        <f ca="1">IFERROR(__xludf.DUMMYFUNCTION("""COMPUTED_VALUE"""),0.799682189676968)</f>
        <v>0.79968218967696802</v>
      </c>
      <c r="M221" s="10" t="str">
        <f ca="1">IFERROR(__xludf.DUMMYFUNCTION("""COMPUTED_VALUE"""),"13592/2022")</f>
        <v>13592/2022</v>
      </c>
      <c r="N221" s="10" t="str">
        <f ca="1">IFERROR(__xludf.DUMMYFUNCTION("""COMPUTED_VALUE"""),"PMB")</f>
        <v>PMB</v>
      </c>
      <c r="O221" s="59"/>
      <c r="P221" s="1"/>
      <c r="Q221" s="1"/>
      <c r="R221" s="1"/>
      <c r="S221" s="1"/>
      <c r="T221" s="1"/>
      <c r="U221" s="1"/>
      <c r="V221" s="1"/>
      <c r="W221" s="1"/>
      <c r="X221" s="1"/>
      <c r="Y221" s="1"/>
      <c r="Z221" s="1"/>
      <c r="AA221" s="1"/>
    </row>
    <row r="222" spans="1:27" ht="12.75" customHeight="1">
      <c r="A222" s="1"/>
      <c r="B222" s="10" t="str">
        <f ca="1">IFERROR(__xludf.DUMMYFUNCTION("""COMPUTED_VALUE"""),"ASISTENCIA TECNICA PROYECTOS SANITARIOS DE LA COMUNA DE CURICO")</f>
        <v>ASISTENCIA TECNICA PROYECTOS SANITARIOS DE LA COMUNA DE CURICO</v>
      </c>
      <c r="C222" s="10" t="str">
        <f ca="1">IFERROR(__xludf.DUMMYFUNCTION("""COMPUTED_VALUE"""),"7301221001-C")</f>
        <v>7301221001-C</v>
      </c>
      <c r="D222" s="26" t="str">
        <f t="shared" ca="1" si="0"/>
        <v xml:space="preserve"> CURICÓ</v>
      </c>
      <c r="E222" s="10" t="str">
        <f ca="1">IFERROR(__xludf.DUMMYFUNCTION("""COMPUTED_VALUE"""),"Guía Operativa")</f>
        <v>Guía Operativa</v>
      </c>
      <c r="F222" s="10" t="str">
        <f ca="1">IFERROR(__xludf.DUMMYFUNCTION("""COMPUTED_VALUE"""),"MUNICIPALIDAD DE CURICÓ")</f>
        <v>MUNICIPALIDAD DE CURICÓ</v>
      </c>
      <c r="G222" s="71">
        <f ca="1">IFERROR(__xludf.DUMMYFUNCTION("""COMPUTED_VALUE"""),39600000)</f>
        <v>39600000</v>
      </c>
      <c r="H222" s="10" t="str">
        <f ca="1">IFERROR(__xludf.DUMMYFUNCTION("""COMPUTED_VALUE"""),"Resolución")</f>
        <v>Resolución</v>
      </c>
      <c r="I222" s="10" t="str">
        <f ca="1">IFERROR(__xludf.DUMMYFUNCTION("""COMPUTED_VALUE"""),"Asistencia Técnica")</f>
        <v>Asistencia Técnica</v>
      </c>
      <c r="J222" s="10" t="str">
        <f ca="1">IFERROR(__xludf.DUMMYFUNCTION("""COMPUTED_VALUE"""),"Cumplir con normativa y reglamentos internos del programa en base a los objetivos.")</f>
        <v>Cumplir con normativa y reglamentos internos del programa en base a los objetivos.</v>
      </c>
      <c r="K222" s="71">
        <f ca="1">IFERROR(__xludf.DUMMYFUNCTION("""COMPUTED_VALUE"""),9900000)</f>
        <v>9900000</v>
      </c>
      <c r="L222" s="27">
        <f ca="1">IFERROR(__xludf.DUMMYFUNCTION("""COMPUTED_VALUE"""),0.5)</f>
        <v>0.5</v>
      </c>
      <c r="M222" s="10" t="str">
        <f ca="1">IFERROR(__xludf.DUMMYFUNCTION("""COMPUTED_VALUE"""),"11627/2023")</f>
        <v>11627/2023</v>
      </c>
      <c r="N222" s="10" t="str">
        <f ca="1">IFERROR(__xludf.DUMMYFUNCTION("""COMPUTED_VALUE"""),"PMB")</f>
        <v>PMB</v>
      </c>
      <c r="O222" s="59"/>
      <c r="P222" s="1"/>
      <c r="Q222" s="1"/>
      <c r="R222" s="1"/>
      <c r="S222" s="1"/>
      <c r="T222" s="1"/>
      <c r="U222" s="1"/>
      <c r="V222" s="1"/>
      <c r="W222" s="1"/>
      <c r="X222" s="1"/>
      <c r="Y222" s="1"/>
      <c r="Z222" s="1"/>
      <c r="AA222" s="1"/>
    </row>
    <row r="223" spans="1:27" ht="12.75" customHeight="1">
      <c r="A223" s="1"/>
      <c r="B223" s="10" t="str">
        <f ca="1">IFERROR(__xludf.DUMMYFUNCTION("""COMPUTED_VALUE"""),"PREAVS GENERACION DE PROYECTOS MEJORAMIENTO INTEGRAL PLAZA SOTOMAYOR Y LOCALES COMERCIALES, COMUNA DE ANTOFAGASTA")</f>
        <v>PREAVS GENERACION DE PROYECTOS MEJORAMIENTO INTEGRAL PLAZA SOTOMAYOR Y LOCALES COMERCIALES, COMUNA DE ANTOFAGASTA</v>
      </c>
      <c r="C223" s="10" t="str">
        <f ca="1">IFERROR(__xludf.DUMMYFUNCTION("""COMPUTED_VALUE"""),"2101231001-C")</f>
        <v>2101231001-C</v>
      </c>
      <c r="D223" s="26" t="str">
        <f t="shared" ca="1" si="0"/>
        <v xml:space="preserve"> ANTOFAGASTA</v>
      </c>
      <c r="E223" s="10" t="str">
        <f ca="1">IFERROR(__xludf.DUMMYFUNCTION("""COMPUTED_VALUE"""),"Guía Operativa")</f>
        <v>Guía Operativa</v>
      </c>
      <c r="F223" s="10" t="str">
        <f ca="1">IFERROR(__xludf.DUMMYFUNCTION("""COMPUTED_VALUE"""),"MUNICIPALIDAD DE ANTOFAGASTA")</f>
        <v>MUNICIPALIDAD DE ANTOFAGASTA</v>
      </c>
      <c r="G223" s="71">
        <f ca="1">IFERROR(__xludf.DUMMYFUNCTION("""COMPUTED_VALUE"""),16708000)</f>
        <v>16708000</v>
      </c>
      <c r="H223" s="10" t="str">
        <f ca="1">IFERROR(__xludf.DUMMYFUNCTION("""COMPUTED_VALUE"""),"Resolución")</f>
        <v>Resolución</v>
      </c>
      <c r="I223" s="10" t="str">
        <f ca="1">IFERROR(__xludf.DUMMYFUNCTION("""COMPUTED_VALUE"""),"Asistencia Técnica")</f>
        <v>Asistencia Técnica</v>
      </c>
      <c r="J223" s="10" t="str">
        <f ca="1">IFERROR(__xludf.DUMMYFUNCTION("""COMPUTED_VALUE"""),"Cumplir con normativa y reglamentos internos del programa en base a los objetivos.")</f>
        <v>Cumplir con normativa y reglamentos internos del programa en base a los objetivos.</v>
      </c>
      <c r="K223" s="71">
        <f ca="1">IFERROR(__xludf.DUMMYFUNCTION("""COMPUTED_VALUE"""),16708000)</f>
        <v>16708000</v>
      </c>
      <c r="L223" s="27">
        <f ca="1">IFERROR(__xludf.DUMMYFUNCTION("""COMPUTED_VALUE"""),1)</f>
        <v>1</v>
      </c>
      <c r="M223" s="10" t="str">
        <f ca="1">IFERROR(__xludf.DUMMYFUNCTION("""COMPUTED_VALUE"""),"3697/2024")</f>
        <v>3697/2024</v>
      </c>
      <c r="N223" s="10" t="str">
        <f ca="1">IFERROR(__xludf.DUMMYFUNCTION("""COMPUTED_VALUE"""),"PMB")</f>
        <v>PMB</v>
      </c>
      <c r="O223" s="59"/>
      <c r="P223" s="1"/>
      <c r="Q223" s="1"/>
      <c r="R223" s="1"/>
      <c r="S223" s="1"/>
      <c r="T223" s="1"/>
      <c r="U223" s="1"/>
      <c r="V223" s="1"/>
      <c r="W223" s="1"/>
      <c r="X223" s="1"/>
      <c r="Y223" s="1"/>
      <c r="Z223" s="1"/>
      <c r="AA223" s="1"/>
    </row>
    <row r="224" spans="1:27" ht="12.75" customHeight="1">
      <c r="A224" s="1"/>
      <c r="B224" s="10" t="str">
        <f ca="1">IFERROR(__xludf.DUMMYFUNCTION("""COMPUTED_VALUE"""),"INSTALACIÓN DE ALUMBRADO PÚBLICO EN POBLACIÓN SAN ANTONIO, LA CALERA")</f>
        <v>INSTALACIÓN DE ALUMBRADO PÚBLICO EN POBLACIÓN SAN ANTONIO, LA CALERA</v>
      </c>
      <c r="C224" s="10" t="str">
        <f ca="1">IFERROR(__xludf.DUMMYFUNCTION("""COMPUTED_VALUE"""),"5502230703-C")</f>
        <v>5502230703-C</v>
      </c>
      <c r="D224" s="26" t="str">
        <f t="shared" ca="1" si="0"/>
        <v xml:space="preserve"> CALERA</v>
      </c>
      <c r="E224" s="10" t="str">
        <f ca="1">IFERROR(__xludf.DUMMYFUNCTION("""COMPUTED_VALUE"""),"Guía Operativa")</f>
        <v>Guía Operativa</v>
      </c>
      <c r="F224" s="10" t="str">
        <f ca="1">IFERROR(__xludf.DUMMYFUNCTION("""COMPUTED_VALUE"""),"MUNICIPALIDAD DE CALERA")</f>
        <v>MUNICIPALIDAD DE CALERA</v>
      </c>
      <c r="G224" s="71">
        <f ca="1">IFERROR(__xludf.DUMMYFUNCTION("""COMPUTED_VALUE"""),213173625)</f>
        <v>213173625</v>
      </c>
      <c r="H224" s="10" t="str">
        <f ca="1">IFERROR(__xludf.DUMMYFUNCTION("""COMPUTED_VALUE"""),"Resolución")</f>
        <v>Resolución</v>
      </c>
      <c r="I224" s="10" t="str">
        <f ca="1">IFERROR(__xludf.DUMMYFUNCTION("""COMPUTED_VALUE"""),"Obra")</f>
        <v>Obra</v>
      </c>
      <c r="J224" s="10" t="str">
        <f ca="1">IFERROR(__xludf.DUMMYFUNCTION("""COMPUTED_VALUE"""),"Cumplir con normativa y reglamentos internos del programa en base a los objetivos.")</f>
        <v>Cumplir con normativa y reglamentos internos del programa en base a los objetivos.</v>
      </c>
      <c r="K224" s="71">
        <f ca="1">IFERROR(__xludf.DUMMYFUNCTION("""COMPUTED_VALUE"""),213173625)</f>
        <v>213173625</v>
      </c>
      <c r="L224" s="27">
        <f ca="1">IFERROR(__xludf.DUMMYFUNCTION("""COMPUTED_VALUE"""),1)</f>
        <v>1</v>
      </c>
      <c r="M224" s="10" t="str">
        <f ca="1">IFERROR(__xludf.DUMMYFUNCTION("""COMPUTED_VALUE"""),"9500/2024")</f>
        <v>9500/2024</v>
      </c>
      <c r="N224" s="10" t="str">
        <f ca="1">IFERROR(__xludf.DUMMYFUNCTION("""COMPUTED_VALUE"""),"PMB")</f>
        <v>PMB</v>
      </c>
      <c r="O224" s="59"/>
      <c r="P224" s="1"/>
      <c r="Q224" s="1"/>
      <c r="R224" s="1"/>
      <c r="S224" s="1"/>
      <c r="T224" s="1"/>
      <c r="U224" s="1"/>
      <c r="V224" s="1"/>
      <c r="W224" s="1"/>
      <c r="X224" s="1"/>
      <c r="Y224" s="1"/>
      <c r="Z224" s="1"/>
      <c r="AA224" s="1"/>
    </row>
    <row r="225" spans="1:27" ht="12.75" customHeight="1">
      <c r="A225" s="1"/>
      <c r="B225" s="10" t="str">
        <f ca="1">IFERROR(__xludf.DUMMYFUNCTION("""COMPUTED_VALUE"""),"CONTRUCCION PUNTO LIMPIO EL LIMITE, COMUNA DE FUTALEUFU")</f>
        <v>CONTRUCCION PUNTO LIMPIO EL LIMITE, COMUNA DE FUTALEUFU</v>
      </c>
      <c r="C225" s="10" t="str">
        <f ca="1">IFERROR(__xludf.DUMMYFUNCTION("""COMPUTED_VALUE"""),"10402230701-C")</f>
        <v>10402230701-C</v>
      </c>
      <c r="D225" s="26" t="str">
        <f t="shared" ca="1" si="0"/>
        <v xml:space="preserve"> FUTALEUFÚ</v>
      </c>
      <c r="E225" s="10" t="str">
        <f ca="1">IFERROR(__xludf.DUMMYFUNCTION("""COMPUTED_VALUE"""),"Guía Operativa")</f>
        <v>Guía Operativa</v>
      </c>
      <c r="F225" s="10" t="str">
        <f ca="1">IFERROR(__xludf.DUMMYFUNCTION("""COMPUTED_VALUE"""),"MUNICIPALIDAD DE FUTALEUFÚ")</f>
        <v>MUNICIPALIDAD DE FUTALEUFÚ</v>
      </c>
      <c r="G225" s="71">
        <f ca="1">IFERROR(__xludf.DUMMYFUNCTION("""COMPUTED_VALUE"""),119000000)</f>
        <v>119000000</v>
      </c>
      <c r="H225" s="10" t="str">
        <f ca="1">IFERROR(__xludf.DUMMYFUNCTION("""COMPUTED_VALUE"""),"Resolución")</f>
        <v>Resolución</v>
      </c>
      <c r="I225" s="10" t="str">
        <f ca="1">IFERROR(__xludf.DUMMYFUNCTION("""COMPUTED_VALUE"""),"Obra")</f>
        <v>Obra</v>
      </c>
      <c r="J225" s="10" t="str">
        <f ca="1">IFERROR(__xludf.DUMMYFUNCTION("""COMPUTED_VALUE"""),"Cumplir con normativa y reglamentos internos del programa en base a los objetivos.")</f>
        <v>Cumplir con normativa y reglamentos internos del programa en base a los objetivos.</v>
      </c>
      <c r="K225" s="71">
        <f ca="1">IFERROR(__xludf.DUMMYFUNCTION("""COMPUTED_VALUE"""),119000000)</f>
        <v>119000000</v>
      </c>
      <c r="L225" s="27">
        <f ca="1">IFERROR(__xludf.DUMMYFUNCTION("""COMPUTED_VALUE"""),1)</f>
        <v>1</v>
      </c>
      <c r="M225" s="10" t="str">
        <f ca="1">IFERROR(__xludf.DUMMYFUNCTION("""COMPUTED_VALUE"""),"9186/2024")</f>
        <v>9186/2024</v>
      </c>
      <c r="N225" s="10" t="str">
        <f ca="1">IFERROR(__xludf.DUMMYFUNCTION("""COMPUTED_VALUE"""),"PMB")</f>
        <v>PMB</v>
      </c>
      <c r="O225" s="59"/>
      <c r="P225" s="1"/>
      <c r="Q225" s="1"/>
      <c r="R225" s="1"/>
      <c r="S225" s="1"/>
      <c r="T225" s="1"/>
      <c r="U225" s="1"/>
      <c r="V225" s="1"/>
      <c r="W225" s="1"/>
      <c r="X225" s="1"/>
      <c r="Y225" s="1"/>
      <c r="Z225" s="1"/>
      <c r="AA225" s="1"/>
    </row>
    <row r="226" spans="1:27" ht="12.75" customHeight="1">
      <c r="A226" s="1"/>
      <c r="B226" s="10" t="str">
        <f ca="1">IFERROR(__xludf.DUMMYFUNCTION("""COMPUTED_VALUE"""),"NORMALIZACIÓN ALUMBRADO PUBLICO VILLA SOLOR LOCALIDAD DE SAN PEDRO DE ATACAMA, COMUNA DE SAN PEDRO DE ATACAMA.")</f>
        <v>NORMALIZACIÓN ALUMBRADO PUBLICO VILLA SOLOR LOCALIDAD DE SAN PEDRO DE ATACAMA, COMUNA DE SAN PEDRO DE ATACAMA.</v>
      </c>
      <c r="C226" s="10" t="str">
        <f ca="1">IFERROR(__xludf.DUMMYFUNCTION("""COMPUTED_VALUE"""),"2203230706-C")</f>
        <v>2203230706-C</v>
      </c>
      <c r="D226" s="26" t="str">
        <f t="shared" ca="1" si="0"/>
        <v xml:space="preserve"> SAN PEDRO DE ATACAMA</v>
      </c>
      <c r="E226" s="10" t="str">
        <f ca="1">IFERROR(__xludf.DUMMYFUNCTION("""COMPUTED_VALUE"""),"Guía Operativa")</f>
        <v>Guía Operativa</v>
      </c>
      <c r="F226" s="10" t="str">
        <f ca="1">IFERROR(__xludf.DUMMYFUNCTION("""COMPUTED_VALUE"""),"MUNICIPALIDAD DE SAN PEDRO DE ATACAMA")</f>
        <v>MUNICIPALIDAD DE SAN PEDRO DE ATACAMA</v>
      </c>
      <c r="G226" s="71">
        <f ca="1">IFERROR(__xludf.DUMMYFUNCTION("""COMPUTED_VALUE"""),323022994)</f>
        <v>323022994</v>
      </c>
      <c r="H226" s="10" t="str">
        <f ca="1">IFERROR(__xludf.DUMMYFUNCTION("""COMPUTED_VALUE"""),"Resolución")</f>
        <v>Resolución</v>
      </c>
      <c r="I226" s="10" t="str">
        <f ca="1">IFERROR(__xludf.DUMMYFUNCTION("""COMPUTED_VALUE"""),"Obra")</f>
        <v>Obra</v>
      </c>
      <c r="J226" s="10" t="str">
        <f ca="1">IFERROR(__xludf.DUMMYFUNCTION("""COMPUTED_VALUE"""),"Cumplir con normativa y reglamentos internos del programa en base a los objetivos.")</f>
        <v>Cumplir con normativa y reglamentos internos del programa en base a los objetivos.</v>
      </c>
      <c r="K226" s="71">
        <f ca="1">IFERROR(__xludf.DUMMYFUNCTION("""COMPUTED_VALUE"""),323022994)</f>
        <v>323022994</v>
      </c>
      <c r="L226" s="27">
        <f ca="1">IFERROR(__xludf.DUMMYFUNCTION("""COMPUTED_VALUE"""),1)</f>
        <v>1</v>
      </c>
      <c r="M226" s="10" t="str">
        <f ca="1">IFERROR(__xludf.DUMMYFUNCTION("""COMPUTED_VALUE"""),"8755/2024")</f>
        <v>8755/2024</v>
      </c>
      <c r="N226" s="10" t="str">
        <f ca="1">IFERROR(__xludf.DUMMYFUNCTION("""COMPUTED_VALUE"""),"PMB")</f>
        <v>PMB</v>
      </c>
      <c r="O226" s="59"/>
      <c r="P226" s="1"/>
      <c r="Q226" s="1"/>
      <c r="R226" s="1"/>
      <c r="S226" s="1"/>
      <c r="T226" s="1"/>
      <c r="U226" s="1"/>
      <c r="V226" s="1"/>
      <c r="W226" s="1"/>
      <c r="X226" s="1"/>
      <c r="Y226" s="1"/>
      <c r="Z226" s="1"/>
      <c r="AA226" s="1"/>
    </row>
    <row r="227" spans="1:27" ht="12.75" customHeight="1">
      <c r="A227" s="1"/>
      <c r="B227" s="10" t="str">
        <f ca="1">IFERROR(__xludf.DUMMYFUNCTION("""COMPUTED_VALUE"""),"CENTRO RECREACIONAL Y DEPORTIVO CERRO LA BANDERA")</f>
        <v>CENTRO RECREACIONAL Y DEPORTIVO CERRO LA BANDERA</v>
      </c>
      <c r="C227" s="10" t="str">
        <f ca="1">IFERROR(__xludf.DUMMYFUNCTION("""COMPUTED_VALUE"""),"10404200801-C")</f>
        <v>10404200801-C</v>
      </c>
      <c r="D227" s="26" t="str">
        <f t="shared" ca="1" si="0"/>
        <v xml:space="preserve"> PALENA</v>
      </c>
      <c r="E227" s="10" t="str">
        <f ca="1">IFERROR(__xludf.DUMMYFUNCTION("""COMPUTED_VALUE"""),"Guía Operativa")</f>
        <v>Guía Operativa</v>
      </c>
      <c r="F227" s="10" t="str">
        <f ca="1">IFERROR(__xludf.DUMMYFUNCTION("""COMPUTED_VALUE"""),"MUNICIPALIDAD DE PALENA")</f>
        <v>MUNICIPALIDAD DE PALENA</v>
      </c>
      <c r="G227" s="71">
        <f ca="1">IFERROR(__xludf.DUMMYFUNCTION("""COMPUTED_VALUE"""),70686000)</f>
        <v>70686000</v>
      </c>
      <c r="H227" s="10" t="str">
        <f ca="1">IFERROR(__xludf.DUMMYFUNCTION("""COMPUTED_VALUE"""),"Resolución")</f>
        <v>Resolución</v>
      </c>
      <c r="I227" s="10" t="str">
        <f ca="1">IFERROR(__xludf.DUMMYFUNCTION("""COMPUTED_VALUE"""),"Adquisición Terreno")</f>
        <v>Adquisición Terreno</v>
      </c>
      <c r="J227" s="10" t="str">
        <f ca="1">IFERROR(__xludf.DUMMYFUNCTION("""COMPUTED_VALUE"""),"Cumplir con normativa y reglamentos internos del programa en base a los objetivos.")</f>
        <v>Cumplir con normativa y reglamentos internos del programa en base a los objetivos.</v>
      </c>
      <c r="K227" s="71">
        <f ca="1">IFERROR(__xludf.DUMMYFUNCTION("""COMPUTED_VALUE"""),70686000)</f>
        <v>70686000</v>
      </c>
      <c r="L227" s="27">
        <f ca="1">IFERROR(__xludf.DUMMYFUNCTION("""COMPUTED_VALUE"""),1)</f>
        <v>1</v>
      </c>
      <c r="M227" s="10" t="str">
        <f ca="1">IFERROR(__xludf.DUMMYFUNCTION("""COMPUTED_VALUE"""),"9180/2024")</f>
        <v>9180/2024</v>
      </c>
      <c r="N227" s="10" t="str">
        <f ca="1">IFERROR(__xludf.DUMMYFUNCTION("""COMPUTED_VALUE"""),"PMB")</f>
        <v>PMB</v>
      </c>
      <c r="O227" s="59"/>
      <c r="P227" s="1"/>
      <c r="Q227" s="1"/>
      <c r="R227" s="1"/>
      <c r="S227" s="1"/>
      <c r="T227" s="1"/>
      <c r="U227" s="1"/>
      <c r="V227" s="1"/>
      <c r="W227" s="1"/>
      <c r="X227" s="1"/>
      <c r="Y227" s="1"/>
      <c r="Z227" s="1"/>
      <c r="AA227" s="1"/>
    </row>
    <row r="228" spans="1:27" ht="12.75" customHeight="1">
      <c r="A228" s="1"/>
      <c r="B228" s="10" t="str">
        <f ca="1">IFERROR(__xludf.DUMMYFUNCTION("""COMPUTED_VALUE"""),"CONSTRUCCIÓN SISTEMA FOTOVOLTAICA PLANTA DE ALCANTARILLADO DE CALETA TORTEL")</f>
        <v>CONSTRUCCIÓN SISTEMA FOTOVOLTAICA PLANTA DE ALCANTARILLADO DE CALETA TORTEL</v>
      </c>
      <c r="C228" s="10" t="str">
        <f ca="1">IFERROR(__xludf.DUMMYFUNCTION("""COMPUTED_VALUE"""),"11303230701-C")</f>
        <v>11303230701-C</v>
      </c>
      <c r="D228" s="26" t="str">
        <f t="shared" ca="1" si="0"/>
        <v xml:space="preserve"> TORTEL</v>
      </c>
      <c r="E228" s="10" t="str">
        <f ca="1">IFERROR(__xludf.DUMMYFUNCTION("""COMPUTED_VALUE"""),"Guía Operativa")</f>
        <v>Guía Operativa</v>
      </c>
      <c r="F228" s="10" t="str">
        <f ca="1">IFERROR(__xludf.DUMMYFUNCTION("""COMPUTED_VALUE"""),"MUNICIPALIDAD DE TORTEL")</f>
        <v>MUNICIPALIDAD DE TORTEL</v>
      </c>
      <c r="G228" s="71">
        <f ca="1">IFERROR(__xludf.DUMMYFUNCTION("""COMPUTED_VALUE"""),301462383)</f>
        <v>301462383</v>
      </c>
      <c r="H228" s="10" t="str">
        <f ca="1">IFERROR(__xludf.DUMMYFUNCTION("""COMPUTED_VALUE"""),"Resolución")</f>
        <v>Resolución</v>
      </c>
      <c r="I228" s="10" t="str">
        <f ca="1">IFERROR(__xludf.DUMMYFUNCTION("""COMPUTED_VALUE"""),"Obra")</f>
        <v>Obra</v>
      </c>
      <c r="J228" s="10" t="str">
        <f ca="1">IFERROR(__xludf.DUMMYFUNCTION("""COMPUTED_VALUE"""),"Cumplir con normativa y reglamentos internos del programa en base a los objetivos.")</f>
        <v>Cumplir con normativa y reglamentos internos del programa en base a los objetivos.</v>
      </c>
      <c r="K228" s="71">
        <f ca="1">IFERROR(__xludf.DUMMYFUNCTION("""COMPUTED_VALUE"""),120584953)</f>
        <v>120584953</v>
      </c>
      <c r="L228" s="27">
        <f ca="1">IFERROR(__xludf.DUMMYFUNCTION("""COMPUTED_VALUE"""),0.399999999336567)</f>
        <v>0.39999999933656699</v>
      </c>
      <c r="M228" s="10" t="str">
        <f ca="1">IFERROR(__xludf.DUMMYFUNCTION("""COMPUTED_VALUE"""),"8764/2024")</f>
        <v>8764/2024</v>
      </c>
      <c r="N228" s="10" t="str">
        <f ca="1">IFERROR(__xludf.DUMMYFUNCTION("""COMPUTED_VALUE"""),"PMB")</f>
        <v>PMB</v>
      </c>
      <c r="O228" s="59"/>
      <c r="P228" s="1"/>
      <c r="Q228" s="1"/>
      <c r="R228" s="1"/>
      <c r="S228" s="1"/>
      <c r="T228" s="1"/>
      <c r="U228" s="1"/>
      <c r="V228" s="1"/>
      <c r="W228" s="1"/>
      <c r="X228" s="1"/>
      <c r="Y228" s="1"/>
      <c r="Z228" s="1"/>
      <c r="AA228" s="1"/>
    </row>
    <row r="229" spans="1:27" ht="12.75" customHeight="1">
      <c r="A229" s="1"/>
      <c r="B229" s="10" t="str">
        <f ca="1">IFERROR(__xludf.DUMMYFUNCTION("""COMPUTED_VALUE"""),"OBRAS DE MEJORAMIENTO PLANTA RESIDUOS LIQUIDOS DOMICILIARIOS LOS PELLINES COMUNA DE LLANQUIHUE")</f>
        <v>OBRAS DE MEJORAMIENTO PLANTA RESIDUOS LIQUIDOS DOMICILIARIOS LOS PELLINES COMUNA DE LLANQUIHUE</v>
      </c>
      <c r="C229" s="10" t="str">
        <f ca="1">IFERROR(__xludf.DUMMYFUNCTION("""COMPUTED_VALUE"""),"10107240701-B")</f>
        <v>10107240701-B</v>
      </c>
      <c r="D229" s="26" t="str">
        <f t="shared" ca="1" si="0"/>
        <v xml:space="preserve"> LLANQUIHUE</v>
      </c>
      <c r="E229" s="10" t="str">
        <f ca="1">IFERROR(__xludf.DUMMYFUNCTION("""COMPUTED_VALUE"""),"Guía Operativa")</f>
        <v>Guía Operativa</v>
      </c>
      <c r="F229" s="10" t="str">
        <f ca="1">IFERROR(__xludf.DUMMYFUNCTION("""COMPUTED_VALUE"""),"MUNICIPALIDAD DE LLANQUIHUE")</f>
        <v>MUNICIPALIDAD DE LLANQUIHUE</v>
      </c>
      <c r="G229" s="71">
        <f ca="1">IFERROR(__xludf.DUMMYFUNCTION("""COMPUTED_VALUE"""),87033113)</f>
        <v>87033113</v>
      </c>
      <c r="H229" s="10" t="str">
        <f ca="1">IFERROR(__xludf.DUMMYFUNCTION("""COMPUTED_VALUE"""),"Resolución")</f>
        <v>Resolución</v>
      </c>
      <c r="I229" s="10" t="str">
        <f ca="1">IFERROR(__xludf.DUMMYFUNCTION("""COMPUTED_VALUE"""),"Obra")</f>
        <v>Obra</v>
      </c>
      <c r="J229" s="10" t="str">
        <f ca="1">IFERROR(__xludf.DUMMYFUNCTION("""COMPUTED_VALUE"""),"Cumplir con normativa y reglamentos internos del programa en base a los objetivos.")</f>
        <v>Cumplir con normativa y reglamentos internos del programa en base a los objetivos.</v>
      </c>
      <c r="K229" s="71">
        <f ca="1">IFERROR(__xludf.DUMMYFUNCTION("""COMPUTED_VALUE"""),87033113)</f>
        <v>87033113</v>
      </c>
      <c r="L229" s="27">
        <f ca="1">IFERROR(__xludf.DUMMYFUNCTION("""COMPUTED_VALUE"""),1)</f>
        <v>1</v>
      </c>
      <c r="M229" s="10" t="str">
        <f ca="1">IFERROR(__xludf.DUMMYFUNCTION("""COMPUTED_VALUE"""),"9623/2024")</f>
        <v>9623/2024</v>
      </c>
      <c r="N229" s="10" t="str">
        <f ca="1">IFERROR(__xludf.DUMMYFUNCTION("""COMPUTED_VALUE"""),"PMB")</f>
        <v>PMB</v>
      </c>
      <c r="O229" s="59"/>
      <c r="P229" s="1"/>
      <c r="Q229" s="1"/>
      <c r="R229" s="1"/>
      <c r="S229" s="1"/>
      <c r="T229" s="1"/>
      <c r="U229" s="1"/>
      <c r="V229" s="1"/>
      <c r="W229" s="1"/>
      <c r="X229" s="1"/>
      <c r="Y229" s="1"/>
      <c r="Z229" s="1"/>
      <c r="AA229" s="1"/>
    </row>
    <row r="230" spans="1:27" ht="12.75" customHeight="1">
      <c r="A230" s="1"/>
      <c r="B230" s="10" t="str">
        <f ca="1">IFERROR(__xludf.DUMMYFUNCTION("""COMPUTED_VALUE"""),"CONSTRUCCIÓN CASETAS SANITARIAS SECTOR NORTE URBANO, NATALES")</f>
        <v>CONSTRUCCIÓN CASETAS SANITARIAS SECTOR NORTE URBANO, NATALES</v>
      </c>
      <c r="C230" s="10" t="str">
        <f ca="1">IFERROR(__xludf.DUMMYFUNCTION("""COMPUTED_VALUE"""),"12401220707-C")</f>
        <v>12401220707-C</v>
      </c>
      <c r="D230" s="26" t="str">
        <f t="shared" ca="1" si="0"/>
        <v xml:space="preserve"> NATALES</v>
      </c>
      <c r="E230" s="10" t="str">
        <f ca="1">IFERROR(__xludf.DUMMYFUNCTION("""COMPUTED_VALUE"""),"Guía Operativa")</f>
        <v>Guía Operativa</v>
      </c>
      <c r="F230" s="10" t="str">
        <f ca="1">IFERROR(__xludf.DUMMYFUNCTION("""COMPUTED_VALUE"""),"MUNICIPALIDAD DE NATALES")</f>
        <v>MUNICIPALIDAD DE NATALES</v>
      </c>
      <c r="G230" s="71">
        <f ca="1">IFERROR(__xludf.DUMMYFUNCTION("""COMPUTED_VALUE"""),71582018)</f>
        <v>71582018</v>
      </c>
      <c r="H230" s="10" t="str">
        <f ca="1">IFERROR(__xludf.DUMMYFUNCTION("""COMPUTED_VALUE"""),"Resolución")</f>
        <v>Resolución</v>
      </c>
      <c r="I230" s="10" t="str">
        <f ca="1">IFERROR(__xludf.DUMMYFUNCTION("""COMPUTED_VALUE"""),"Obra")</f>
        <v>Obra</v>
      </c>
      <c r="J230" s="10" t="str">
        <f ca="1">IFERROR(__xludf.DUMMYFUNCTION("""COMPUTED_VALUE"""),"Cumplir con normativa y reglamentos internos del programa en base a los objetivos.")</f>
        <v>Cumplir con normativa y reglamentos internos del programa en base a los objetivos.</v>
      </c>
      <c r="K230" s="71">
        <f ca="1">IFERROR(__xludf.DUMMYFUNCTION("""COMPUTED_VALUE"""),71582018)</f>
        <v>71582018</v>
      </c>
      <c r="L230" s="27">
        <f ca="1">IFERROR(__xludf.DUMMYFUNCTION("""COMPUTED_VALUE"""),1)</f>
        <v>1</v>
      </c>
      <c r="M230" s="10" t="str">
        <f ca="1">IFERROR(__xludf.DUMMYFUNCTION("""COMPUTED_VALUE"""),"9631/2024")</f>
        <v>9631/2024</v>
      </c>
      <c r="N230" s="10" t="str">
        <f ca="1">IFERROR(__xludf.DUMMYFUNCTION("""COMPUTED_VALUE"""),"PMB")</f>
        <v>PMB</v>
      </c>
      <c r="O230" s="59"/>
      <c r="P230" s="1"/>
      <c r="Q230" s="1"/>
      <c r="R230" s="1"/>
      <c r="S230" s="1"/>
      <c r="T230" s="1"/>
      <c r="U230" s="1"/>
      <c r="V230" s="1"/>
      <c r="W230" s="1"/>
      <c r="X230" s="1"/>
      <c r="Y230" s="1"/>
      <c r="Z230" s="1"/>
      <c r="AA230" s="1"/>
    </row>
    <row r="231" spans="1:27" ht="12.75" customHeight="1">
      <c r="A231" s="1"/>
      <c r="B231" s="10" t="str">
        <f ca="1">IFERROR(__xludf.DUMMYFUNCTION("""COMPUTED_VALUE"""),"CONSTRUCCION INFRAESTRUCTURA SANITARIA SECTOR DUMESTRE, NATALES")</f>
        <v>CONSTRUCCION INFRAESTRUCTURA SANITARIA SECTOR DUMESTRE, NATALES</v>
      </c>
      <c r="C231" s="10" t="str">
        <f ca="1">IFERROR(__xludf.DUMMYFUNCTION("""COMPUTED_VALUE"""),"12401240701-C")</f>
        <v>12401240701-C</v>
      </c>
      <c r="D231" s="26" t="str">
        <f t="shared" ca="1" si="0"/>
        <v xml:space="preserve"> NATALES</v>
      </c>
      <c r="E231" s="10" t="str">
        <f ca="1">IFERROR(__xludf.DUMMYFUNCTION("""COMPUTED_VALUE"""),"Guía Operativa")</f>
        <v>Guía Operativa</v>
      </c>
      <c r="F231" s="10" t="str">
        <f ca="1">IFERROR(__xludf.DUMMYFUNCTION("""COMPUTED_VALUE"""),"MUNICIPALIDAD DE NATALES")</f>
        <v>MUNICIPALIDAD DE NATALES</v>
      </c>
      <c r="G231" s="71">
        <f ca="1">IFERROR(__xludf.DUMMYFUNCTION("""COMPUTED_VALUE"""),118643098)</f>
        <v>118643098</v>
      </c>
      <c r="H231" s="10" t="str">
        <f ca="1">IFERROR(__xludf.DUMMYFUNCTION("""COMPUTED_VALUE"""),"Resolución")</f>
        <v>Resolución</v>
      </c>
      <c r="I231" s="10" t="str">
        <f ca="1">IFERROR(__xludf.DUMMYFUNCTION("""COMPUTED_VALUE"""),"Obra")</f>
        <v>Obra</v>
      </c>
      <c r="J231" s="10" t="str">
        <f ca="1">IFERROR(__xludf.DUMMYFUNCTION("""COMPUTED_VALUE"""),"Cumplir con normativa y reglamentos internos del programa en base a los objetivos.")</f>
        <v>Cumplir con normativa y reglamentos internos del programa en base a los objetivos.</v>
      </c>
      <c r="K231" s="71">
        <f ca="1">IFERROR(__xludf.DUMMYFUNCTION("""COMPUTED_VALUE"""),118643098)</f>
        <v>118643098</v>
      </c>
      <c r="L231" s="27">
        <f ca="1">IFERROR(__xludf.DUMMYFUNCTION("""COMPUTED_VALUE"""),1)</f>
        <v>1</v>
      </c>
      <c r="M231" s="10" t="str">
        <f ca="1">IFERROR(__xludf.DUMMYFUNCTION("""COMPUTED_VALUE"""),"9634/2024")</f>
        <v>9634/2024</v>
      </c>
      <c r="N231" s="10" t="str">
        <f ca="1">IFERROR(__xludf.DUMMYFUNCTION("""COMPUTED_VALUE"""),"PMB")</f>
        <v>PMB</v>
      </c>
      <c r="O231" s="59"/>
      <c r="P231" s="1"/>
      <c r="Q231" s="1"/>
      <c r="R231" s="1"/>
      <c r="S231" s="1"/>
      <c r="T231" s="1"/>
      <c r="U231" s="1"/>
      <c r="V231" s="1"/>
      <c r="W231" s="1"/>
      <c r="X231" s="1"/>
      <c r="Y231" s="1"/>
      <c r="Z231" s="1"/>
      <c r="AA231" s="1"/>
    </row>
    <row r="232" spans="1:27" ht="12.75" customHeight="1">
      <c r="A232" s="1"/>
      <c r="B232" s="10" t="str">
        <f ca="1">IFERROR(__xludf.DUMMYFUNCTION("""COMPUTED_VALUE"""),"CAMBIO DE LUMINARIAS PUBLICAS A ILUMINACION LED, RUTAS INTERUBANAS, COMUNA DE PUNTA ARENAS")</f>
        <v>CAMBIO DE LUMINARIAS PUBLICAS A ILUMINACION LED, RUTAS INTERUBANAS, COMUNA DE PUNTA ARENAS</v>
      </c>
      <c r="C232" s="10" t="str">
        <f ca="1">IFERROR(__xludf.DUMMYFUNCTION("""COMPUTED_VALUE"""),"12101230708-C")</f>
        <v>12101230708-C</v>
      </c>
      <c r="D232" s="26" t="str">
        <f t="shared" ca="1" si="0"/>
        <v xml:space="preserve"> PUNTA ARENAS</v>
      </c>
      <c r="E232" s="10" t="str">
        <f ca="1">IFERROR(__xludf.DUMMYFUNCTION("""COMPUTED_VALUE"""),"Guía Operativa")</f>
        <v>Guía Operativa</v>
      </c>
      <c r="F232" s="10" t="str">
        <f ca="1">IFERROR(__xludf.DUMMYFUNCTION("""COMPUTED_VALUE"""),"MUNICIPALIDAD DE PUNTA ARENAS")</f>
        <v>MUNICIPALIDAD DE PUNTA ARENAS</v>
      </c>
      <c r="G232" s="71">
        <f ca="1">IFERROR(__xludf.DUMMYFUNCTION("""COMPUTED_VALUE"""),302961505)</f>
        <v>302961505</v>
      </c>
      <c r="H232" s="10" t="str">
        <f ca="1">IFERROR(__xludf.DUMMYFUNCTION("""COMPUTED_VALUE"""),"Resolución")</f>
        <v>Resolución</v>
      </c>
      <c r="I232" s="10" t="str">
        <f ca="1">IFERROR(__xludf.DUMMYFUNCTION("""COMPUTED_VALUE"""),"Obra")</f>
        <v>Obra</v>
      </c>
      <c r="J232" s="10" t="str">
        <f ca="1">IFERROR(__xludf.DUMMYFUNCTION("""COMPUTED_VALUE"""),"Cumplir con normativa y reglamentos internos del programa en base a los objetivos.")</f>
        <v>Cumplir con normativa y reglamentos internos del programa en base a los objetivos.</v>
      </c>
      <c r="K232" s="71">
        <f ca="1">IFERROR(__xludf.DUMMYFUNCTION("""COMPUTED_VALUE"""),302961505)</f>
        <v>302961505</v>
      </c>
      <c r="L232" s="27">
        <f ca="1">IFERROR(__xludf.DUMMYFUNCTION("""COMPUTED_VALUE"""),1)</f>
        <v>1</v>
      </c>
      <c r="M232" s="10" t="str">
        <f ca="1">IFERROR(__xludf.DUMMYFUNCTION("""COMPUTED_VALUE"""),"9664/2024")</f>
        <v>9664/2024</v>
      </c>
      <c r="N232" s="10" t="str">
        <f ca="1">IFERROR(__xludf.DUMMYFUNCTION("""COMPUTED_VALUE"""),"PMB")</f>
        <v>PMB</v>
      </c>
      <c r="O232" s="59"/>
      <c r="P232" s="1"/>
      <c r="Q232" s="1"/>
      <c r="R232" s="1"/>
      <c r="S232" s="1"/>
      <c r="T232" s="1"/>
      <c r="U232" s="1"/>
      <c r="V232" s="1"/>
      <c r="W232" s="1"/>
      <c r="X232" s="1"/>
      <c r="Y232" s="1"/>
      <c r="Z232" s="1"/>
      <c r="AA232" s="1"/>
    </row>
    <row r="233" spans="1:27" ht="12.75" customHeight="1">
      <c r="A233" s="1"/>
      <c r="B233" s="10" t="str">
        <f ca="1">IFERROR(__xludf.DUMMYFUNCTION("""COMPUTED_VALUE"""),"EXTENSIÓN DE RED DE ALCANTARILLADO - VILLA EL ROSARIO, COMUNA DE OVALLE")</f>
        <v>EXTENSIÓN DE RED DE ALCANTARILLADO - VILLA EL ROSARIO, COMUNA DE OVALLE</v>
      </c>
      <c r="C233" s="10" t="str">
        <f ca="1">IFERROR(__xludf.DUMMYFUNCTION("""COMPUTED_VALUE"""),"4301240701-B")</f>
        <v>4301240701-B</v>
      </c>
      <c r="D233" s="26" t="str">
        <f t="shared" ca="1" si="0"/>
        <v xml:space="preserve"> OVALLE</v>
      </c>
      <c r="E233" s="10" t="str">
        <f ca="1">IFERROR(__xludf.DUMMYFUNCTION("""COMPUTED_VALUE"""),"Guía Operativa")</f>
        <v>Guía Operativa</v>
      </c>
      <c r="F233" s="10" t="str">
        <f ca="1">IFERROR(__xludf.DUMMYFUNCTION("""COMPUTED_VALUE"""),"MUNICIPALIDAD DE OVALLE")</f>
        <v>MUNICIPALIDAD DE OVALLE</v>
      </c>
      <c r="G233" s="71">
        <f ca="1">IFERROR(__xludf.DUMMYFUNCTION("""COMPUTED_VALUE"""),112291437)</f>
        <v>112291437</v>
      </c>
      <c r="H233" s="10" t="str">
        <f ca="1">IFERROR(__xludf.DUMMYFUNCTION("""COMPUTED_VALUE"""),"Resolución")</f>
        <v>Resolución</v>
      </c>
      <c r="I233" s="10" t="str">
        <f ca="1">IFERROR(__xludf.DUMMYFUNCTION("""COMPUTED_VALUE"""),"Obra")</f>
        <v>Obra</v>
      </c>
      <c r="J233" s="10" t="str">
        <f ca="1">IFERROR(__xludf.DUMMYFUNCTION("""COMPUTED_VALUE"""),"Cumplir con normativa y reglamentos internos del programa en base a los objetivos.")</f>
        <v>Cumplir con normativa y reglamentos internos del programa en base a los objetivos.</v>
      </c>
      <c r="K233" s="71">
        <f ca="1">IFERROR(__xludf.DUMMYFUNCTION("""COMPUTED_VALUE"""),112291437)</f>
        <v>112291437</v>
      </c>
      <c r="L233" s="27">
        <f ca="1">IFERROR(__xludf.DUMMYFUNCTION("""COMPUTED_VALUE"""),1)</f>
        <v>1</v>
      </c>
      <c r="M233" s="10" t="str">
        <f ca="1">IFERROR(__xludf.DUMMYFUNCTION("""COMPUTED_VALUE"""),"8913/2024")</f>
        <v>8913/2024</v>
      </c>
      <c r="N233" s="10" t="str">
        <f ca="1">IFERROR(__xludf.DUMMYFUNCTION("""COMPUTED_VALUE"""),"PMB")</f>
        <v>PMB</v>
      </c>
      <c r="O233" s="59"/>
      <c r="P233" s="1"/>
      <c r="Q233" s="1"/>
      <c r="R233" s="1"/>
      <c r="S233" s="1"/>
      <c r="T233" s="1"/>
      <c r="U233" s="1"/>
      <c r="V233" s="1"/>
      <c r="W233" s="1"/>
      <c r="X233" s="1"/>
      <c r="Y233" s="1"/>
      <c r="Z233" s="1"/>
      <c r="AA233" s="1"/>
    </row>
    <row r="234" spans="1:27" ht="12.75" customHeight="1">
      <c r="A234" s="1"/>
      <c r="B234" s="10" t="str">
        <f ca="1">IFERROR(__xludf.DUMMYFUNCTION("""COMPUTED_VALUE"""),"HABILITACIÓN POZO PROFUNDO SECTOR RÍO YELCHO, CHAITÉN")</f>
        <v>HABILITACIÓN POZO PROFUNDO SECTOR RÍO YELCHO, CHAITÉN</v>
      </c>
      <c r="C234" s="10" t="str">
        <f ca="1">IFERROR(__xludf.DUMMYFUNCTION("""COMPUTED_VALUE"""),"10401240701-B")</f>
        <v>10401240701-B</v>
      </c>
      <c r="D234" s="26" t="str">
        <f t="shared" ca="1" si="0"/>
        <v xml:space="preserve"> CHAITÉN</v>
      </c>
      <c r="E234" s="10" t="str">
        <f ca="1">IFERROR(__xludf.DUMMYFUNCTION("""COMPUTED_VALUE"""),"Guía Operativa")</f>
        <v>Guía Operativa</v>
      </c>
      <c r="F234" s="10" t="str">
        <f ca="1">IFERROR(__xludf.DUMMYFUNCTION("""COMPUTED_VALUE"""),"MUNICIPALIDAD DE CHAITÉN")</f>
        <v>MUNICIPALIDAD DE CHAITÉN</v>
      </c>
      <c r="G234" s="71">
        <f ca="1">IFERROR(__xludf.DUMMYFUNCTION("""COMPUTED_VALUE"""),89598804)</f>
        <v>89598804</v>
      </c>
      <c r="H234" s="10" t="str">
        <f ca="1">IFERROR(__xludf.DUMMYFUNCTION("""COMPUTED_VALUE"""),"Resolución")</f>
        <v>Resolución</v>
      </c>
      <c r="I234" s="10" t="str">
        <f ca="1">IFERROR(__xludf.DUMMYFUNCTION("""COMPUTED_VALUE"""),"Obra")</f>
        <v>Obra</v>
      </c>
      <c r="J234" s="10" t="str">
        <f ca="1">IFERROR(__xludf.DUMMYFUNCTION("""COMPUTED_VALUE"""),"Cumplir con normativa y reglamentos internos del programa en base a los objetivos.")</f>
        <v>Cumplir con normativa y reglamentos internos del programa en base a los objetivos.</v>
      </c>
      <c r="K234" s="71">
        <f ca="1">IFERROR(__xludf.DUMMYFUNCTION("""COMPUTED_VALUE"""),89598804)</f>
        <v>89598804</v>
      </c>
      <c r="L234" s="27">
        <f ca="1">IFERROR(__xludf.DUMMYFUNCTION("""COMPUTED_VALUE"""),1)</f>
        <v>1</v>
      </c>
      <c r="M234" s="10" t="str">
        <f ca="1">IFERROR(__xludf.DUMMYFUNCTION("""COMPUTED_VALUE"""),"9621/2024")</f>
        <v>9621/2024</v>
      </c>
      <c r="N234" s="10" t="str">
        <f ca="1">IFERROR(__xludf.DUMMYFUNCTION("""COMPUTED_VALUE"""),"PMB")</f>
        <v>PMB</v>
      </c>
      <c r="O234" s="59"/>
      <c r="P234" s="1"/>
      <c r="Q234" s="1"/>
      <c r="R234" s="1"/>
      <c r="S234" s="1"/>
      <c r="T234" s="1"/>
      <c r="U234" s="1"/>
      <c r="V234" s="1"/>
      <c r="W234" s="1"/>
      <c r="X234" s="1"/>
      <c r="Y234" s="1"/>
      <c r="Z234" s="1"/>
      <c r="AA234" s="1"/>
    </row>
    <row r="235" spans="1:27" ht="12.75" customHeight="1">
      <c r="A235" s="1"/>
      <c r="B235" s="10" t="str">
        <f ca="1">IFERROR(__xludf.DUMMYFUNCTION("""COMPUTED_VALUE"""),"CONSTRUCCIÓN EXTENSION COLECTOR ALCANTARILLADO Y MODIFICACIÓN SERVICIO AGUA POTABLE COMUNIDAD EL TRIANGULO, COMUNA DE EL QUISCO")</f>
        <v>CONSTRUCCIÓN EXTENSION COLECTOR ALCANTARILLADO Y MODIFICACIÓN SERVICIO AGUA POTABLE COMUNIDAD EL TRIANGULO, COMUNA DE EL QUISCO</v>
      </c>
      <c r="C235" s="10" t="str">
        <f ca="1">IFERROR(__xludf.DUMMYFUNCTION("""COMPUTED_VALUE"""),"5604230706-C")</f>
        <v>5604230706-C</v>
      </c>
      <c r="D235" s="26" t="str">
        <f t="shared" ca="1" si="0"/>
        <v xml:space="preserve"> EL QUISCO</v>
      </c>
      <c r="E235" s="10" t="str">
        <f ca="1">IFERROR(__xludf.DUMMYFUNCTION("""COMPUTED_VALUE"""),"Guía Operativa")</f>
        <v>Guía Operativa</v>
      </c>
      <c r="F235" s="10" t="str">
        <f ca="1">IFERROR(__xludf.DUMMYFUNCTION("""COMPUTED_VALUE"""),"MUNICIPALIDAD DE EL QUISCO")</f>
        <v>MUNICIPALIDAD DE EL QUISCO</v>
      </c>
      <c r="G235" s="71">
        <f ca="1">IFERROR(__xludf.DUMMYFUNCTION("""COMPUTED_VALUE"""),302817295)</f>
        <v>302817295</v>
      </c>
      <c r="H235" s="10" t="str">
        <f ca="1">IFERROR(__xludf.DUMMYFUNCTION("""COMPUTED_VALUE"""),"Resolución")</f>
        <v>Resolución</v>
      </c>
      <c r="I235" s="10" t="str">
        <f ca="1">IFERROR(__xludf.DUMMYFUNCTION("""COMPUTED_VALUE"""),"Obra")</f>
        <v>Obra</v>
      </c>
      <c r="J235" s="10" t="str">
        <f ca="1">IFERROR(__xludf.DUMMYFUNCTION("""COMPUTED_VALUE"""),"Cumplir con normativa y reglamentos internos del programa en base a los objetivos.")</f>
        <v>Cumplir con normativa y reglamentos internos del programa en base a los objetivos.</v>
      </c>
      <c r="K235" s="71">
        <f ca="1">IFERROR(__xludf.DUMMYFUNCTION("""COMPUTED_VALUE"""),302817295)</f>
        <v>302817295</v>
      </c>
      <c r="L235" s="27">
        <f ca="1">IFERROR(__xludf.DUMMYFUNCTION("""COMPUTED_VALUE"""),1)</f>
        <v>1</v>
      </c>
      <c r="M235" s="10" t="str">
        <f ca="1">IFERROR(__xludf.DUMMYFUNCTION("""COMPUTED_VALUE"""),"9674/2024")</f>
        <v>9674/2024</v>
      </c>
      <c r="N235" s="10" t="str">
        <f ca="1">IFERROR(__xludf.DUMMYFUNCTION("""COMPUTED_VALUE"""),"PMB")</f>
        <v>PMB</v>
      </c>
      <c r="O235" s="59"/>
      <c r="P235" s="1"/>
      <c r="Q235" s="1"/>
      <c r="R235" s="1"/>
      <c r="S235" s="1"/>
      <c r="T235" s="1"/>
      <c r="U235" s="1"/>
      <c r="V235" s="1"/>
      <c r="W235" s="1"/>
      <c r="X235" s="1"/>
      <c r="Y235" s="1"/>
      <c r="Z235" s="1"/>
      <c r="AA235" s="1"/>
    </row>
    <row r="236" spans="1:27" ht="12.75" customHeight="1">
      <c r="A236" s="1"/>
      <c r="B236" s="10" t="str">
        <f ca="1">IFERROR(__xludf.DUMMYFUNCTION("""COMPUTED_VALUE"""),"ASISTENCIA TECNICA DE SOLUCIONES DE AGUA POTABLE PARA DISTINTOS APRS Y DISTINTOS SECTORES DE LA COMUNA DE TEODORO SCHMIDT")</f>
        <v>ASISTENCIA TECNICA DE SOLUCIONES DE AGUA POTABLE PARA DISTINTOS APRS Y DISTINTOS SECTORES DE LA COMUNA DE TEODORO SCHMIDT</v>
      </c>
      <c r="C236" s="10" t="str">
        <f ca="1">IFERROR(__xludf.DUMMYFUNCTION("""COMPUTED_VALUE"""),"9117231002-C")</f>
        <v>9117231002-C</v>
      </c>
      <c r="D236" s="26" t="str">
        <f t="shared" ca="1" si="0"/>
        <v xml:space="preserve"> TEODORO SCHMIDT</v>
      </c>
      <c r="E236" s="10" t="str">
        <f ca="1">IFERROR(__xludf.DUMMYFUNCTION("""COMPUTED_VALUE"""),"Guía Operativa")</f>
        <v>Guía Operativa</v>
      </c>
      <c r="F236" s="10" t="str">
        <f ca="1">IFERROR(__xludf.DUMMYFUNCTION("""COMPUTED_VALUE"""),"MUNICIPALIDAD DE TEODORO SCHMIDT")</f>
        <v>MUNICIPALIDAD DE TEODORO SCHMIDT</v>
      </c>
      <c r="G236" s="71">
        <f ca="1">IFERROR(__xludf.DUMMYFUNCTION("""COMPUTED_VALUE"""),75720000)</f>
        <v>75720000</v>
      </c>
      <c r="H236" s="10" t="str">
        <f ca="1">IFERROR(__xludf.DUMMYFUNCTION("""COMPUTED_VALUE"""),"Resolución")</f>
        <v>Resolución</v>
      </c>
      <c r="I236" s="10" t="str">
        <f ca="1">IFERROR(__xludf.DUMMYFUNCTION("""COMPUTED_VALUE"""),"Asistencia Técnica")</f>
        <v>Asistencia Técnica</v>
      </c>
      <c r="J236" s="10" t="str">
        <f ca="1">IFERROR(__xludf.DUMMYFUNCTION("""COMPUTED_VALUE"""),"Cumplir con normativa y reglamentos internos del programa en base a los objetivos.")</f>
        <v>Cumplir con normativa y reglamentos internos del programa en base a los objetivos.</v>
      </c>
      <c r="K236" s="71">
        <f ca="1">IFERROR(__xludf.DUMMYFUNCTION("""COMPUTED_VALUE"""),75720000)</f>
        <v>75720000</v>
      </c>
      <c r="L236" s="27">
        <f ca="1">IFERROR(__xludf.DUMMYFUNCTION("""COMPUTED_VALUE"""),1)</f>
        <v>1</v>
      </c>
      <c r="M236" s="10" t="str">
        <f ca="1">IFERROR(__xludf.DUMMYFUNCTION("""COMPUTED_VALUE"""),"8884/2024")</f>
        <v>8884/2024</v>
      </c>
      <c r="N236" s="10" t="str">
        <f ca="1">IFERROR(__xludf.DUMMYFUNCTION("""COMPUTED_VALUE"""),"PMB")</f>
        <v>PMB</v>
      </c>
      <c r="O236" s="59"/>
      <c r="P236" s="1"/>
      <c r="Q236" s="1"/>
      <c r="R236" s="1"/>
      <c r="S236" s="1"/>
      <c r="T236" s="1"/>
      <c r="U236" s="1"/>
      <c r="V236" s="1"/>
      <c r="W236" s="1"/>
      <c r="X236" s="1"/>
      <c r="Y236" s="1"/>
      <c r="Z236" s="1"/>
      <c r="AA236" s="1"/>
    </row>
    <row r="237" spans="1:27" ht="12.75" customHeight="1">
      <c r="A237" s="1"/>
      <c r="B237" s="10" t="str">
        <f ca="1">IFERROR(__xludf.DUMMYFUNCTION("""COMPUTED_VALUE"""),"SANEAMIENTO DE TITULOS DE PROPIEDAD CON ASISTENCIA LEGAL PARA LA COMUNA DE T.SCHMIDT")</f>
        <v>SANEAMIENTO DE TITULOS DE PROPIEDAD CON ASISTENCIA LEGAL PARA LA COMUNA DE T.SCHMIDT</v>
      </c>
      <c r="C237" s="10" t="str">
        <f ca="1">IFERROR(__xludf.DUMMYFUNCTION("""COMPUTED_VALUE"""),"9117230601-C")</f>
        <v>9117230601-C</v>
      </c>
      <c r="D237" s="26" t="str">
        <f t="shared" ca="1" si="0"/>
        <v xml:space="preserve"> TEODORO SCHMIDT</v>
      </c>
      <c r="E237" s="10" t="str">
        <f ca="1">IFERROR(__xludf.DUMMYFUNCTION("""COMPUTED_VALUE"""),"Guía Operativa")</f>
        <v>Guía Operativa</v>
      </c>
      <c r="F237" s="10" t="str">
        <f ca="1">IFERROR(__xludf.DUMMYFUNCTION("""COMPUTED_VALUE"""),"MUNICIPALIDAD DE TEODORO SCHMIDT")</f>
        <v>MUNICIPALIDAD DE TEODORO SCHMIDT</v>
      </c>
      <c r="G237" s="71">
        <f ca="1">IFERROR(__xludf.DUMMYFUNCTION("""COMPUTED_VALUE"""),46800000)</f>
        <v>46800000</v>
      </c>
      <c r="H237" s="10" t="str">
        <f ca="1">IFERROR(__xludf.DUMMYFUNCTION("""COMPUTED_VALUE"""),"Resolución")</f>
        <v>Resolución</v>
      </c>
      <c r="I237" s="10" t="str">
        <f ca="1">IFERROR(__xludf.DUMMYFUNCTION("""COMPUTED_VALUE"""),"Asistencia Legal")</f>
        <v>Asistencia Legal</v>
      </c>
      <c r="J237" s="10" t="str">
        <f ca="1">IFERROR(__xludf.DUMMYFUNCTION("""COMPUTED_VALUE"""),"Cumplir con normativa y reglamentos internos del programa en base a los objetivos.")</f>
        <v>Cumplir con normativa y reglamentos internos del programa en base a los objetivos.</v>
      </c>
      <c r="K237" s="71">
        <f ca="1">IFERROR(__xludf.DUMMYFUNCTION("""COMPUTED_VALUE"""),46800000)</f>
        <v>46800000</v>
      </c>
      <c r="L237" s="27">
        <f ca="1">IFERROR(__xludf.DUMMYFUNCTION("""COMPUTED_VALUE"""),1)</f>
        <v>1</v>
      </c>
      <c r="M237" s="10" t="str">
        <f ca="1">IFERROR(__xludf.DUMMYFUNCTION("""COMPUTED_VALUE"""),"8887/2024")</f>
        <v>8887/2024</v>
      </c>
      <c r="N237" s="10" t="str">
        <f ca="1">IFERROR(__xludf.DUMMYFUNCTION("""COMPUTED_VALUE"""),"PMB")</f>
        <v>PMB</v>
      </c>
      <c r="O237" s="59"/>
      <c r="P237" s="1"/>
      <c r="Q237" s="1"/>
      <c r="R237" s="1"/>
      <c r="S237" s="1"/>
      <c r="T237" s="1"/>
      <c r="U237" s="1"/>
      <c r="V237" s="1"/>
      <c r="W237" s="1"/>
      <c r="X237" s="1"/>
      <c r="Y237" s="1"/>
      <c r="Z237" s="1"/>
      <c r="AA237" s="1"/>
    </row>
    <row r="238" spans="1:27" ht="12.75" customHeight="1">
      <c r="A238" s="1"/>
      <c r="B238" s="10" t="str">
        <f ca="1">IFERROR(__xludf.DUMMYFUNCTION("""COMPUTED_VALUE"""),"CONTRATACIÓN PROFESIONALES ASISTENCIA LEGAL REGULARIZACIÓN PEQUEÑA PROPIEDAD RAIZ, NUEVA IMPERIAL")</f>
        <v>CONTRATACIÓN PROFESIONALES ASISTENCIA LEGAL REGULARIZACIÓN PEQUEÑA PROPIEDAD RAIZ, NUEVA IMPERIAL</v>
      </c>
      <c r="C238" s="10" t="str">
        <f ca="1">IFERROR(__xludf.DUMMYFUNCTION("""COMPUTED_VALUE"""),"9111240601-C")</f>
        <v>9111240601-C</v>
      </c>
      <c r="D238" s="26" t="str">
        <f t="shared" ca="1" si="0"/>
        <v xml:space="preserve"> NUEVA IMPERIAL</v>
      </c>
      <c r="E238" s="10" t="str">
        <f ca="1">IFERROR(__xludf.DUMMYFUNCTION("""COMPUTED_VALUE"""),"Guía Operativa")</f>
        <v>Guía Operativa</v>
      </c>
      <c r="F238" s="10" t="str">
        <f ca="1">IFERROR(__xludf.DUMMYFUNCTION("""COMPUTED_VALUE"""),"MUNICIPALIDAD DE NUEVA IMPERIAL")</f>
        <v>MUNICIPALIDAD DE NUEVA IMPERIAL</v>
      </c>
      <c r="G238" s="71">
        <f ca="1">IFERROR(__xludf.DUMMYFUNCTION("""COMPUTED_VALUE"""),69120000)</f>
        <v>69120000</v>
      </c>
      <c r="H238" s="10" t="str">
        <f ca="1">IFERROR(__xludf.DUMMYFUNCTION("""COMPUTED_VALUE"""),"Resolución")</f>
        <v>Resolución</v>
      </c>
      <c r="I238" s="10" t="str">
        <f ca="1">IFERROR(__xludf.DUMMYFUNCTION("""COMPUTED_VALUE"""),"Asistencia Legal")</f>
        <v>Asistencia Legal</v>
      </c>
      <c r="J238" s="10" t="str">
        <f ca="1">IFERROR(__xludf.DUMMYFUNCTION("""COMPUTED_VALUE"""),"Cumplir con normativa y reglamentos internos del programa en base a los objetivos.")</f>
        <v>Cumplir con normativa y reglamentos internos del programa en base a los objetivos.</v>
      </c>
      <c r="K238" s="71">
        <f ca="1">IFERROR(__xludf.DUMMYFUNCTION("""COMPUTED_VALUE"""),69120000)</f>
        <v>69120000</v>
      </c>
      <c r="L238" s="27">
        <f ca="1">IFERROR(__xludf.DUMMYFUNCTION("""COMPUTED_VALUE"""),1)</f>
        <v>1</v>
      </c>
      <c r="M238" s="10" t="str">
        <f ca="1">IFERROR(__xludf.DUMMYFUNCTION("""COMPUTED_VALUE"""),"9628/2024")</f>
        <v>9628/2024</v>
      </c>
      <c r="N238" s="10" t="str">
        <f ca="1">IFERROR(__xludf.DUMMYFUNCTION("""COMPUTED_VALUE"""),"PMB")</f>
        <v>PMB</v>
      </c>
      <c r="O238" s="59"/>
      <c r="P238" s="1"/>
      <c r="Q238" s="1"/>
      <c r="R238" s="1"/>
      <c r="S238" s="1"/>
      <c r="T238" s="1"/>
      <c r="U238" s="1"/>
      <c r="V238" s="1"/>
      <c r="W238" s="1"/>
      <c r="X238" s="1"/>
      <c r="Y238" s="1"/>
      <c r="Z238" s="1"/>
      <c r="AA238" s="1"/>
    </row>
    <row r="239" spans="1:27" ht="12.75" customHeight="1">
      <c r="A239" s="1"/>
      <c r="B239" s="10" t="str">
        <f ca="1">IFERROR(__xludf.DUMMYFUNCTION("""COMPUTED_VALUE"""),"REPOSICIÓN SISTEMA DE GENERACIÓN MICRO CENTRAL LLANADA GRANDE")</f>
        <v>REPOSICIÓN SISTEMA DE GENERACIÓN MICRO CENTRAL LLANADA GRANDE</v>
      </c>
      <c r="C239" s="10" t="str">
        <f ca="1">IFERROR(__xludf.DUMMYFUNCTION("""COMPUTED_VALUE"""),"10103240701-C")</f>
        <v>10103240701-C</v>
      </c>
      <c r="D239" s="26" t="str">
        <f t="shared" ca="1" si="0"/>
        <v xml:space="preserve"> COCHAMÓ</v>
      </c>
      <c r="E239" s="10" t="str">
        <f ca="1">IFERROR(__xludf.DUMMYFUNCTION("""COMPUTED_VALUE"""),"Guía Operativa")</f>
        <v>Guía Operativa</v>
      </c>
      <c r="F239" s="10" t="str">
        <f ca="1">IFERROR(__xludf.DUMMYFUNCTION("""COMPUTED_VALUE"""),"MUNICIPALIDAD DE COCHAMÓ")</f>
        <v>MUNICIPALIDAD DE COCHAMÓ</v>
      </c>
      <c r="G239" s="71">
        <f ca="1">IFERROR(__xludf.DUMMYFUNCTION("""COMPUTED_VALUE"""),317618225)</f>
        <v>317618225</v>
      </c>
      <c r="H239" s="10" t="str">
        <f ca="1">IFERROR(__xludf.DUMMYFUNCTION("""COMPUTED_VALUE"""),"Resolución")</f>
        <v>Resolución</v>
      </c>
      <c r="I239" s="10" t="str">
        <f ca="1">IFERROR(__xludf.DUMMYFUNCTION("""COMPUTED_VALUE"""),"Obra")</f>
        <v>Obra</v>
      </c>
      <c r="J239" s="10" t="str">
        <f ca="1">IFERROR(__xludf.DUMMYFUNCTION("""COMPUTED_VALUE"""),"Cumplir con normativa y reglamentos internos del programa en base a los objetivos.")</f>
        <v>Cumplir con normativa y reglamentos internos del programa en base a los objetivos.</v>
      </c>
      <c r="K239" s="71">
        <f ca="1">IFERROR(__xludf.DUMMYFUNCTION("""COMPUTED_VALUE"""),31761822)</f>
        <v>31761822</v>
      </c>
      <c r="L239" s="27">
        <f ca="1">IFERROR(__xludf.DUMMYFUNCTION("""COMPUTED_VALUE"""),0.099999998425783)</f>
        <v>9.9999998425782999E-2</v>
      </c>
      <c r="M239" s="10" t="str">
        <f ca="1">IFERROR(__xludf.DUMMYFUNCTION("""COMPUTED_VALUE"""),"9078/2024")</f>
        <v>9078/2024</v>
      </c>
      <c r="N239" s="10" t="str">
        <f ca="1">IFERROR(__xludf.DUMMYFUNCTION("""COMPUTED_VALUE"""),"PMB")</f>
        <v>PMB</v>
      </c>
      <c r="O239" s="59"/>
      <c r="P239" s="1"/>
      <c r="Q239" s="1"/>
      <c r="R239" s="1"/>
      <c r="S239" s="1"/>
      <c r="T239" s="1"/>
      <c r="U239" s="1"/>
      <c r="V239" s="1"/>
      <c r="W239" s="1"/>
      <c r="X239" s="1"/>
      <c r="Y239" s="1"/>
      <c r="Z239" s="1"/>
      <c r="AA239" s="1"/>
    </row>
    <row r="240" spans="1:27" ht="12.75" customHeight="1">
      <c r="A240" s="1"/>
      <c r="B240" s="10" t="str">
        <f ca="1">IFERROR(__xludf.DUMMYFUNCTION("""COMPUTED_VALUE"""),"REPOSICIÓN PLANTA DE TRATAMIENTO DE AGUAS SERVIDAS LOCALIDAD DE OLLAGÜE, COMUNA DE OLLAGÜE")</f>
        <v>REPOSICIÓN PLANTA DE TRATAMIENTO DE AGUAS SERVIDAS LOCALIDAD DE OLLAGÜE, COMUNA DE OLLAGÜE</v>
      </c>
      <c r="C240" s="10" t="str">
        <f ca="1">IFERROR(__xludf.DUMMYFUNCTION("""COMPUTED_VALUE"""),"2202240701-B")</f>
        <v>2202240701-B</v>
      </c>
      <c r="D240" s="26" t="str">
        <f t="shared" ca="1" si="0"/>
        <v xml:space="preserve"> OLLAGÜE</v>
      </c>
      <c r="E240" s="10" t="str">
        <f ca="1">IFERROR(__xludf.DUMMYFUNCTION("""COMPUTED_VALUE"""),"Guía Operativa")</f>
        <v>Guía Operativa</v>
      </c>
      <c r="F240" s="10" t="str">
        <f ca="1">IFERROR(__xludf.DUMMYFUNCTION("""COMPUTED_VALUE"""),"MUNICIPALIDAD DE OLLAGÜE")</f>
        <v>MUNICIPALIDAD DE OLLAGÜE</v>
      </c>
      <c r="G240" s="71">
        <f ca="1">IFERROR(__xludf.DUMMYFUNCTION("""COMPUTED_VALUE"""),320005253)</f>
        <v>320005253</v>
      </c>
      <c r="H240" s="10" t="str">
        <f ca="1">IFERROR(__xludf.DUMMYFUNCTION("""COMPUTED_VALUE"""),"Resolución")</f>
        <v>Resolución</v>
      </c>
      <c r="I240" s="10" t="str">
        <f ca="1">IFERROR(__xludf.DUMMYFUNCTION("""COMPUTED_VALUE"""),"Obra")</f>
        <v>Obra</v>
      </c>
      <c r="J240" s="10" t="str">
        <f ca="1">IFERROR(__xludf.DUMMYFUNCTION("""COMPUTED_VALUE"""),"Cumplir con normativa y reglamentos internos del programa en base a los objetivos.")</f>
        <v>Cumplir con normativa y reglamentos internos del programa en base a los objetivos.</v>
      </c>
      <c r="K240" s="71">
        <f ca="1">IFERROR(__xludf.DUMMYFUNCTION("""COMPUTED_VALUE"""),320005253)</f>
        <v>320005253</v>
      </c>
      <c r="L240" s="27">
        <f ca="1">IFERROR(__xludf.DUMMYFUNCTION("""COMPUTED_VALUE"""),1)</f>
        <v>1</v>
      </c>
      <c r="M240" s="10" t="str">
        <f ca="1">IFERROR(__xludf.DUMMYFUNCTION("""COMPUTED_VALUE"""),"9767/2024")</f>
        <v>9767/2024</v>
      </c>
      <c r="N240" s="10" t="str">
        <f ca="1">IFERROR(__xludf.DUMMYFUNCTION("""COMPUTED_VALUE"""),"PMB")</f>
        <v>PMB</v>
      </c>
      <c r="O240" s="59"/>
      <c r="P240" s="1"/>
      <c r="Q240" s="1"/>
      <c r="R240" s="1"/>
      <c r="S240" s="1"/>
      <c r="T240" s="1"/>
      <c r="U240" s="1"/>
      <c r="V240" s="1"/>
      <c r="W240" s="1"/>
      <c r="X240" s="1"/>
      <c r="Y240" s="1"/>
      <c r="Z240" s="1"/>
      <c r="AA240" s="1"/>
    </row>
    <row r="241" spans="1:27" ht="12.75" customHeight="1">
      <c r="A241" s="1"/>
      <c r="B241" s="10" t="str">
        <f ca="1">IFERROR(__xludf.DUMMYFUNCTION("""COMPUTED_VALUE"""),"OBRAS COMPLEMENTARIAS Y HABILITACION POZOS DE CHOEN Y MONTEMAR, COMUNA DE QUEMCHI.")</f>
        <v>OBRAS COMPLEMENTARIAS Y HABILITACION POZOS DE CHOEN Y MONTEMAR, COMUNA DE QUEMCHI.</v>
      </c>
      <c r="C241" s="10" t="str">
        <f ca="1">IFERROR(__xludf.DUMMYFUNCTION("""COMPUTED_VALUE"""),"10209240701-B")</f>
        <v>10209240701-B</v>
      </c>
      <c r="D241" s="26" t="str">
        <f t="shared" ca="1" si="0"/>
        <v xml:space="preserve"> QUEMCHI</v>
      </c>
      <c r="E241" s="10" t="str">
        <f ca="1">IFERROR(__xludf.DUMMYFUNCTION("""COMPUTED_VALUE"""),"Guía Operativa")</f>
        <v>Guía Operativa</v>
      </c>
      <c r="F241" s="10" t="str">
        <f ca="1">IFERROR(__xludf.DUMMYFUNCTION("""COMPUTED_VALUE"""),"MUNICIPALIDAD DE QUEMCHI")</f>
        <v>MUNICIPALIDAD DE QUEMCHI</v>
      </c>
      <c r="G241" s="71">
        <f ca="1">IFERROR(__xludf.DUMMYFUNCTION("""COMPUTED_VALUE"""),90000000)</f>
        <v>90000000</v>
      </c>
      <c r="H241" s="10" t="str">
        <f ca="1">IFERROR(__xludf.DUMMYFUNCTION("""COMPUTED_VALUE"""),"Resolución")</f>
        <v>Resolución</v>
      </c>
      <c r="I241" s="10" t="str">
        <f ca="1">IFERROR(__xludf.DUMMYFUNCTION("""COMPUTED_VALUE"""),"Obra")</f>
        <v>Obra</v>
      </c>
      <c r="J241" s="10" t="str">
        <f ca="1">IFERROR(__xludf.DUMMYFUNCTION("""COMPUTED_VALUE"""),"Cumplir con normativa y reglamentos internos del programa en base a los objetivos.")</f>
        <v>Cumplir con normativa y reglamentos internos del programa en base a los objetivos.</v>
      </c>
      <c r="K241" s="71">
        <f ca="1">IFERROR(__xludf.DUMMYFUNCTION("""COMPUTED_VALUE"""),90000000)</f>
        <v>90000000</v>
      </c>
      <c r="L241" s="27">
        <f ca="1">IFERROR(__xludf.DUMMYFUNCTION("""COMPUTED_VALUE"""),1)</f>
        <v>1</v>
      </c>
      <c r="M241" s="10" t="str">
        <f ca="1">IFERROR(__xludf.DUMMYFUNCTION("""COMPUTED_VALUE"""),"9629/2024")</f>
        <v>9629/2024</v>
      </c>
      <c r="N241" s="10" t="str">
        <f ca="1">IFERROR(__xludf.DUMMYFUNCTION("""COMPUTED_VALUE"""),"PMB")</f>
        <v>PMB</v>
      </c>
      <c r="O241" s="59"/>
      <c r="P241" s="1"/>
      <c r="Q241" s="1"/>
      <c r="R241" s="1"/>
      <c r="S241" s="1"/>
      <c r="T241" s="1"/>
      <c r="U241" s="1"/>
      <c r="V241" s="1"/>
      <c r="W241" s="1"/>
      <c r="X241" s="1"/>
      <c r="Y241" s="1"/>
      <c r="Z241" s="1"/>
      <c r="AA241" s="1"/>
    </row>
    <row r="242" spans="1:27" ht="12.75" customHeight="1">
      <c r="A242" s="1"/>
      <c r="B242" s="10" t="str">
        <f ca="1">IFERROR(__xludf.DUMMYFUNCTION("""COMPUTED_VALUE"""),"MEJORAMIENTO ABASTOS 4 FAMILIAS SECTOR RÍO BLANCO, COMUNA DE PURRANQUE")</f>
        <v>MEJORAMIENTO ABASTOS 4 FAMILIAS SECTOR RÍO BLANCO, COMUNA DE PURRANQUE</v>
      </c>
      <c r="C242" s="10" t="str">
        <f ca="1">IFERROR(__xludf.DUMMYFUNCTION("""COMPUTED_VALUE"""),"10303240701-B")</f>
        <v>10303240701-B</v>
      </c>
      <c r="D242" s="26" t="str">
        <f t="shared" ca="1" si="0"/>
        <v xml:space="preserve"> PURRANQUE</v>
      </c>
      <c r="E242" s="10" t="str">
        <f ca="1">IFERROR(__xludf.DUMMYFUNCTION("""COMPUTED_VALUE"""),"Guía Operativa")</f>
        <v>Guía Operativa</v>
      </c>
      <c r="F242" s="10" t="str">
        <f ca="1">IFERROR(__xludf.DUMMYFUNCTION("""COMPUTED_VALUE"""),"MUNICIPALIDAD DE PURRANQUE")</f>
        <v>MUNICIPALIDAD DE PURRANQUE</v>
      </c>
      <c r="G242" s="71">
        <f ca="1">IFERROR(__xludf.DUMMYFUNCTION("""COMPUTED_VALUE"""),87020743)</f>
        <v>87020743</v>
      </c>
      <c r="H242" s="10" t="str">
        <f ca="1">IFERROR(__xludf.DUMMYFUNCTION("""COMPUTED_VALUE"""),"Resolución")</f>
        <v>Resolución</v>
      </c>
      <c r="I242" s="10" t="str">
        <f ca="1">IFERROR(__xludf.DUMMYFUNCTION("""COMPUTED_VALUE"""),"Obra")</f>
        <v>Obra</v>
      </c>
      <c r="J242" s="10" t="str">
        <f ca="1">IFERROR(__xludf.DUMMYFUNCTION("""COMPUTED_VALUE"""),"Cumplir con normativa y reglamentos internos del programa en base a los objetivos.")</f>
        <v>Cumplir con normativa y reglamentos internos del programa en base a los objetivos.</v>
      </c>
      <c r="K242" s="71">
        <f ca="1">IFERROR(__xludf.DUMMYFUNCTION("""COMPUTED_VALUE"""),87020743)</f>
        <v>87020743</v>
      </c>
      <c r="L242" s="27">
        <f ca="1">IFERROR(__xludf.DUMMYFUNCTION("""COMPUTED_VALUE"""),1)</f>
        <v>1</v>
      </c>
      <c r="M242" s="10" t="str">
        <f ca="1">IFERROR(__xludf.DUMMYFUNCTION("""COMPUTED_VALUE"""),"9630/2024")</f>
        <v>9630/2024</v>
      </c>
      <c r="N242" s="10" t="str">
        <f ca="1">IFERROR(__xludf.DUMMYFUNCTION("""COMPUTED_VALUE"""),"PMB")</f>
        <v>PMB</v>
      </c>
      <c r="O242" s="59"/>
      <c r="P242" s="1"/>
      <c r="Q242" s="1"/>
      <c r="R242" s="1"/>
      <c r="S242" s="1"/>
      <c r="T242" s="1"/>
      <c r="U242" s="1"/>
      <c r="V242" s="1"/>
      <c r="W242" s="1"/>
      <c r="X242" s="1"/>
      <c r="Y242" s="1"/>
      <c r="Z242" s="1"/>
      <c r="AA242" s="1"/>
    </row>
    <row r="243" spans="1:27" ht="12.75" customHeight="1">
      <c r="A243" s="1"/>
      <c r="B243" s="10" t="str">
        <f ca="1">IFERROR(__xludf.DUMMYFUNCTION("""COMPUTED_VALUE"""),"CONSERVACION APR Y SISTEMA AGUAS SERVIDAS QUENUIR, COMUNA DE MAULLIN")</f>
        <v>CONSERVACION APR Y SISTEMA AGUAS SERVIDAS QUENUIR, COMUNA DE MAULLIN</v>
      </c>
      <c r="C243" s="10" t="str">
        <f ca="1">IFERROR(__xludf.DUMMYFUNCTION("""COMPUTED_VALUE"""),"10108240701-B")</f>
        <v>10108240701-B</v>
      </c>
      <c r="D243" s="26" t="str">
        <f t="shared" ca="1" si="0"/>
        <v xml:space="preserve"> MAULLÍN</v>
      </c>
      <c r="E243" s="10" t="str">
        <f ca="1">IFERROR(__xludf.DUMMYFUNCTION("""COMPUTED_VALUE"""),"Guía Operativa")</f>
        <v>Guía Operativa</v>
      </c>
      <c r="F243" s="10" t="str">
        <f ca="1">IFERROR(__xludf.DUMMYFUNCTION("""COMPUTED_VALUE"""),"MUNICIPALIDAD DE MAULLÍN")</f>
        <v>MUNICIPALIDAD DE MAULLÍN</v>
      </c>
      <c r="G243" s="71">
        <f ca="1">IFERROR(__xludf.DUMMYFUNCTION("""COMPUTED_VALUE"""),90000000)</f>
        <v>90000000</v>
      </c>
      <c r="H243" s="10" t="str">
        <f ca="1">IFERROR(__xludf.DUMMYFUNCTION("""COMPUTED_VALUE"""),"Resolución")</f>
        <v>Resolución</v>
      </c>
      <c r="I243" s="10" t="str">
        <f ca="1">IFERROR(__xludf.DUMMYFUNCTION("""COMPUTED_VALUE"""),"Obra")</f>
        <v>Obra</v>
      </c>
      <c r="J243" s="10" t="str">
        <f ca="1">IFERROR(__xludf.DUMMYFUNCTION("""COMPUTED_VALUE"""),"Cumplir con normativa y reglamentos internos del programa en base a los objetivos.")</f>
        <v>Cumplir con normativa y reglamentos internos del programa en base a los objetivos.</v>
      </c>
      <c r="K243" s="71">
        <f ca="1">IFERROR(__xludf.DUMMYFUNCTION("""COMPUTED_VALUE"""),90000000)</f>
        <v>90000000</v>
      </c>
      <c r="L243" s="27">
        <f ca="1">IFERROR(__xludf.DUMMYFUNCTION("""COMPUTED_VALUE"""),1)</f>
        <v>1</v>
      </c>
      <c r="M243" s="10" t="str">
        <f ca="1">IFERROR(__xludf.DUMMYFUNCTION("""COMPUTED_VALUE"""),"9766/2024")</f>
        <v>9766/2024</v>
      </c>
      <c r="N243" s="10" t="str">
        <f ca="1">IFERROR(__xludf.DUMMYFUNCTION("""COMPUTED_VALUE"""),"PMB")</f>
        <v>PMB</v>
      </c>
      <c r="O243" s="59"/>
      <c r="P243" s="1"/>
      <c r="Q243" s="1"/>
      <c r="R243" s="1"/>
      <c r="S243" s="1"/>
      <c r="T243" s="1"/>
      <c r="U243" s="1"/>
      <c r="V243" s="1"/>
      <c r="W243" s="1"/>
      <c r="X243" s="1"/>
      <c r="Y243" s="1"/>
      <c r="Z243" s="1"/>
      <c r="AA243" s="1"/>
    </row>
    <row r="244" spans="1:27" ht="12.75" customHeight="1">
      <c r="A244" s="1"/>
      <c r="B244" s="10" t="str">
        <f ca="1">IFERROR(__xludf.DUMMYFUNCTION("""COMPUTED_VALUE"""),"CONSTRUCCIÓN OBRA COMPLEMENTARIA APR LOS ÁLAMOS, LOS MUERMOS")</f>
        <v>CONSTRUCCIÓN OBRA COMPLEMENTARIA APR LOS ÁLAMOS, LOS MUERMOS</v>
      </c>
      <c r="C244" s="10" t="str">
        <f ca="1">IFERROR(__xludf.DUMMYFUNCTION("""COMPUTED_VALUE"""),"10106240701-B")</f>
        <v>10106240701-B</v>
      </c>
      <c r="D244" s="26" t="str">
        <f t="shared" ca="1" si="0"/>
        <v xml:space="preserve"> LOS MUERMOS</v>
      </c>
      <c r="E244" s="10" t="str">
        <f ca="1">IFERROR(__xludf.DUMMYFUNCTION("""COMPUTED_VALUE"""),"Guía Operativa")</f>
        <v>Guía Operativa</v>
      </c>
      <c r="F244" s="10" t="str">
        <f ca="1">IFERROR(__xludf.DUMMYFUNCTION("""COMPUTED_VALUE"""),"MUNICIPALIDAD DE LOS MUERMOS")</f>
        <v>MUNICIPALIDAD DE LOS MUERMOS</v>
      </c>
      <c r="G244" s="71">
        <f ca="1">IFERROR(__xludf.DUMMYFUNCTION("""COMPUTED_VALUE"""),90000000)</f>
        <v>90000000</v>
      </c>
      <c r="H244" s="10" t="str">
        <f ca="1">IFERROR(__xludf.DUMMYFUNCTION("""COMPUTED_VALUE"""),"Resolución")</f>
        <v>Resolución</v>
      </c>
      <c r="I244" s="10" t="str">
        <f ca="1">IFERROR(__xludf.DUMMYFUNCTION("""COMPUTED_VALUE"""),"Obra")</f>
        <v>Obra</v>
      </c>
      <c r="J244" s="10" t="str">
        <f ca="1">IFERROR(__xludf.DUMMYFUNCTION("""COMPUTED_VALUE"""),"Cumplir con normativa y reglamentos internos del programa en base a los objetivos.")</f>
        <v>Cumplir con normativa y reglamentos internos del programa en base a los objetivos.</v>
      </c>
      <c r="K244" s="71">
        <f ca="1">IFERROR(__xludf.DUMMYFUNCTION("""COMPUTED_VALUE"""),90000000)</f>
        <v>90000000</v>
      </c>
      <c r="L244" s="27">
        <f ca="1">IFERROR(__xludf.DUMMYFUNCTION("""COMPUTED_VALUE"""),1)</f>
        <v>1</v>
      </c>
      <c r="M244" s="10" t="str">
        <f ca="1">IFERROR(__xludf.DUMMYFUNCTION("""COMPUTED_VALUE"""),"9626/2024")</f>
        <v>9626/2024</v>
      </c>
      <c r="N244" s="10" t="str">
        <f ca="1">IFERROR(__xludf.DUMMYFUNCTION("""COMPUTED_VALUE"""),"PMB")</f>
        <v>PMB</v>
      </c>
      <c r="O244" s="59"/>
      <c r="P244" s="1"/>
      <c r="Q244" s="1"/>
      <c r="R244" s="1"/>
      <c r="S244" s="1"/>
      <c r="T244" s="1"/>
      <c r="U244" s="1"/>
      <c r="V244" s="1"/>
      <c r="W244" s="1"/>
      <c r="X244" s="1"/>
      <c r="Y244" s="1"/>
      <c r="Z244" s="1"/>
      <c r="AA244" s="1"/>
    </row>
    <row r="245" spans="1:27" ht="12.75" customHeight="1">
      <c r="A245" s="1"/>
      <c r="B245" s="10" t="str">
        <f ca="1">IFERROR(__xludf.DUMMYFUNCTION("""COMPUTED_VALUE"""),"REPARACIÓN PLANTA TRATAMIENTOS DE AGUAS SERVIDAS, PALENA")</f>
        <v>REPARACIÓN PLANTA TRATAMIENTOS DE AGUAS SERVIDAS, PALENA</v>
      </c>
      <c r="C245" s="10" t="str">
        <f ca="1">IFERROR(__xludf.DUMMYFUNCTION("""COMPUTED_VALUE"""),"10404240701-B")</f>
        <v>10404240701-B</v>
      </c>
      <c r="D245" s="26" t="str">
        <f t="shared" ca="1" si="0"/>
        <v xml:space="preserve"> PALENA</v>
      </c>
      <c r="E245" s="10" t="str">
        <f ca="1">IFERROR(__xludf.DUMMYFUNCTION("""COMPUTED_VALUE"""),"Guía Operativa")</f>
        <v>Guía Operativa</v>
      </c>
      <c r="F245" s="10" t="str">
        <f ca="1">IFERROR(__xludf.DUMMYFUNCTION("""COMPUTED_VALUE"""),"MUNICIPALIDAD DE PALENA")</f>
        <v>MUNICIPALIDAD DE PALENA</v>
      </c>
      <c r="G245" s="71">
        <f ca="1">IFERROR(__xludf.DUMMYFUNCTION("""COMPUTED_VALUE"""),87033113)</f>
        <v>87033113</v>
      </c>
      <c r="H245" s="10" t="str">
        <f ca="1">IFERROR(__xludf.DUMMYFUNCTION("""COMPUTED_VALUE"""),"Resolución")</f>
        <v>Resolución</v>
      </c>
      <c r="I245" s="10" t="str">
        <f ca="1">IFERROR(__xludf.DUMMYFUNCTION("""COMPUTED_VALUE"""),"Obra")</f>
        <v>Obra</v>
      </c>
      <c r="J245" s="10" t="str">
        <f ca="1">IFERROR(__xludf.DUMMYFUNCTION("""COMPUTED_VALUE"""),"Cumplir con normativa y reglamentos internos del programa en base a los objetivos.")</f>
        <v>Cumplir con normativa y reglamentos internos del programa en base a los objetivos.</v>
      </c>
      <c r="K245" s="71">
        <f ca="1">IFERROR(__xludf.DUMMYFUNCTION("""COMPUTED_VALUE"""),87033113)</f>
        <v>87033113</v>
      </c>
      <c r="L245" s="27">
        <f ca="1">IFERROR(__xludf.DUMMYFUNCTION("""COMPUTED_VALUE"""),1)</f>
        <v>1</v>
      </c>
      <c r="M245" s="10" t="str">
        <f ca="1">IFERROR(__xludf.DUMMYFUNCTION("""COMPUTED_VALUE"""),"9624/2024")</f>
        <v>9624/2024</v>
      </c>
      <c r="N245" s="10" t="str">
        <f ca="1">IFERROR(__xludf.DUMMYFUNCTION("""COMPUTED_VALUE"""),"PMB")</f>
        <v>PMB</v>
      </c>
      <c r="O245" s="59"/>
      <c r="P245" s="1"/>
      <c r="Q245" s="1"/>
      <c r="R245" s="1"/>
      <c r="S245" s="1"/>
      <c r="T245" s="1"/>
      <c r="U245" s="1"/>
      <c r="V245" s="1"/>
      <c r="W245" s="1"/>
      <c r="X245" s="1"/>
      <c r="Y245" s="1"/>
      <c r="Z245" s="1"/>
      <c r="AA245" s="1"/>
    </row>
    <row r="246" spans="1:27" ht="12.75" customHeight="1">
      <c r="A246" s="1"/>
      <c r="B246" s="10" t="str">
        <f ca="1">IFERROR(__xludf.DUMMYFUNCTION("""COMPUTED_VALUE"""),"ASISTENCIA TÉCNICA PARA EL DESARROLLO DE INICIATIVAS DE RECUPERACIÓN DE ESPACIOS DE ALTO VALOR SOCIAL, COMUNA DE LA SERENA")</f>
        <v>ASISTENCIA TÉCNICA PARA EL DESARROLLO DE INICIATIVAS DE RECUPERACIÓN DE ESPACIOS DE ALTO VALOR SOCIAL, COMUNA DE LA SERENA</v>
      </c>
      <c r="C246" s="10" t="str">
        <f ca="1">IFERROR(__xludf.DUMMYFUNCTION("""COMPUTED_VALUE"""),"4101241001-C")</f>
        <v>4101241001-C</v>
      </c>
      <c r="D246" s="26" t="str">
        <f t="shared" ca="1" si="0"/>
        <v xml:space="preserve"> LA SERENA</v>
      </c>
      <c r="E246" s="10" t="str">
        <f ca="1">IFERROR(__xludf.DUMMYFUNCTION("""COMPUTED_VALUE"""),"Guía Operativa")</f>
        <v>Guía Operativa</v>
      </c>
      <c r="F246" s="10" t="str">
        <f ca="1">IFERROR(__xludf.DUMMYFUNCTION("""COMPUTED_VALUE"""),"MUNICIPALIDAD DE LA SERENA")</f>
        <v>MUNICIPALIDAD DE LA SERENA</v>
      </c>
      <c r="G246" s="71">
        <f ca="1">IFERROR(__xludf.DUMMYFUNCTION("""COMPUTED_VALUE"""),34998000)</f>
        <v>34998000</v>
      </c>
      <c r="H246" s="10" t="str">
        <f ca="1">IFERROR(__xludf.DUMMYFUNCTION("""COMPUTED_VALUE"""),"Resolución")</f>
        <v>Resolución</v>
      </c>
      <c r="I246" s="10" t="str">
        <f ca="1">IFERROR(__xludf.DUMMYFUNCTION("""COMPUTED_VALUE"""),"Asistencia Técnica")</f>
        <v>Asistencia Técnica</v>
      </c>
      <c r="J246" s="10" t="str">
        <f ca="1">IFERROR(__xludf.DUMMYFUNCTION("""COMPUTED_VALUE"""),"Cumplir con normativa y reglamentos internos del programa en base a los objetivos.")</f>
        <v>Cumplir con normativa y reglamentos internos del programa en base a los objetivos.</v>
      </c>
      <c r="K246" s="71">
        <f ca="1">IFERROR(__xludf.DUMMYFUNCTION("""COMPUTED_VALUE"""),34998000)</f>
        <v>34998000</v>
      </c>
      <c r="L246" s="27">
        <f ca="1">IFERROR(__xludf.DUMMYFUNCTION("""COMPUTED_VALUE"""),1)</f>
        <v>1</v>
      </c>
      <c r="M246" s="10" t="str">
        <f ca="1">IFERROR(__xludf.DUMMYFUNCTION("""COMPUTED_VALUE"""),"9499/2024")</f>
        <v>9499/2024</v>
      </c>
      <c r="N246" s="10" t="str">
        <f ca="1">IFERROR(__xludf.DUMMYFUNCTION("""COMPUTED_VALUE"""),"PMB")</f>
        <v>PMB</v>
      </c>
      <c r="O246" s="59"/>
      <c r="P246" s="1"/>
      <c r="Q246" s="1"/>
      <c r="R246" s="1"/>
      <c r="S246" s="1"/>
      <c r="T246" s="1"/>
      <c r="U246" s="1"/>
      <c r="V246" s="1"/>
      <c r="W246" s="1"/>
      <c r="X246" s="1"/>
      <c r="Y246" s="1"/>
      <c r="Z246" s="1"/>
      <c r="AA246" s="1"/>
    </row>
    <row r="247" spans="1:27" ht="12.75" customHeight="1">
      <c r="A247" s="1"/>
      <c r="B247" s="10" t="str">
        <f ca="1">IFERROR(__xludf.DUMMYFUNCTION("""COMPUTED_VALUE"""),"ASISTENCIA TÉCNICA PARA CATASTRO DE SISTEMAS ELECTRICOS Y DISEÑO DE ALUMBRADO PUBLICO, CURACO DE VELEZ")</f>
        <v>ASISTENCIA TÉCNICA PARA CATASTRO DE SISTEMAS ELECTRICOS Y DISEÑO DE ALUMBRADO PUBLICO, CURACO DE VELEZ</v>
      </c>
      <c r="C247" s="10" t="str">
        <f ca="1">IFERROR(__xludf.DUMMYFUNCTION("""COMPUTED_VALUE"""),"10204241002-C")</f>
        <v>10204241002-C</v>
      </c>
      <c r="D247" s="26" t="str">
        <f t="shared" ca="1" si="0"/>
        <v xml:space="preserve"> CURACO DE VÉLEZ</v>
      </c>
      <c r="E247" s="10" t="str">
        <f ca="1">IFERROR(__xludf.DUMMYFUNCTION("""COMPUTED_VALUE"""),"Guía Operativa")</f>
        <v>Guía Operativa</v>
      </c>
      <c r="F247" s="10" t="str">
        <f ca="1">IFERROR(__xludf.DUMMYFUNCTION("""COMPUTED_VALUE"""),"MUNICIPALIDAD DE CURACO DE VÉLEZ")</f>
        <v>MUNICIPALIDAD DE CURACO DE VÉLEZ</v>
      </c>
      <c r="G247" s="71">
        <f ca="1">IFERROR(__xludf.DUMMYFUNCTION("""COMPUTED_VALUE"""),35400000)</f>
        <v>35400000</v>
      </c>
      <c r="H247" s="10" t="str">
        <f ca="1">IFERROR(__xludf.DUMMYFUNCTION("""COMPUTED_VALUE"""),"Resolución")</f>
        <v>Resolución</v>
      </c>
      <c r="I247" s="10" t="str">
        <f ca="1">IFERROR(__xludf.DUMMYFUNCTION("""COMPUTED_VALUE"""),"Asistencia Técnica")</f>
        <v>Asistencia Técnica</v>
      </c>
      <c r="J247" s="10" t="str">
        <f ca="1">IFERROR(__xludf.DUMMYFUNCTION("""COMPUTED_VALUE"""),"Cumplir con normativa y reglamentos internos del programa en base a los objetivos.")</f>
        <v>Cumplir con normativa y reglamentos internos del programa en base a los objetivos.</v>
      </c>
      <c r="K247" s="71">
        <f ca="1">IFERROR(__xludf.DUMMYFUNCTION("""COMPUTED_VALUE"""),35400000)</f>
        <v>35400000</v>
      </c>
      <c r="L247" s="27">
        <f ca="1">IFERROR(__xludf.DUMMYFUNCTION("""COMPUTED_VALUE"""),1)</f>
        <v>1</v>
      </c>
      <c r="M247" s="10" t="str">
        <f ca="1">IFERROR(__xludf.DUMMYFUNCTION("""COMPUTED_VALUE"""),"9074/2024")</f>
        <v>9074/2024</v>
      </c>
      <c r="N247" s="10" t="str">
        <f ca="1">IFERROR(__xludf.DUMMYFUNCTION("""COMPUTED_VALUE"""),"PMB")</f>
        <v>PMB</v>
      </c>
      <c r="O247" s="59"/>
      <c r="P247" s="1"/>
      <c r="Q247" s="1"/>
      <c r="R247" s="1"/>
      <c r="S247" s="1"/>
      <c r="T247" s="1"/>
      <c r="U247" s="1"/>
      <c r="V247" s="1"/>
      <c r="W247" s="1"/>
      <c r="X247" s="1"/>
      <c r="Y247" s="1"/>
      <c r="Z247" s="1"/>
      <c r="AA247" s="1"/>
    </row>
    <row r="248" spans="1:27" ht="12.75" customHeight="1">
      <c r="A248" s="1"/>
      <c r="B248" s="10" t="str">
        <f ca="1">IFERROR(__xludf.DUMMYFUNCTION("""COMPUTED_VALUE"""),"ASISTENCIA TÉCNICA PROFESIONAL DE RSD, COMUNA DE LAGO RANCO.")</f>
        <v>ASISTENCIA TÉCNICA PROFESIONAL DE RSD, COMUNA DE LAGO RANCO.</v>
      </c>
      <c r="C248" s="10" t="str">
        <f ca="1">IFERROR(__xludf.DUMMYFUNCTION("""COMPUTED_VALUE"""),"14203241001-C")</f>
        <v>14203241001-C</v>
      </c>
      <c r="D248" s="26" t="str">
        <f t="shared" ca="1" si="0"/>
        <v xml:space="preserve"> LAGO RANCO</v>
      </c>
      <c r="E248" s="10" t="str">
        <f ca="1">IFERROR(__xludf.DUMMYFUNCTION("""COMPUTED_VALUE"""),"Guía Operativa")</f>
        <v>Guía Operativa</v>
      </c>
      <c r="F248" s="10" t="str">
        <f ca="1">IFERROR(__xludf.DUMMYFUNCTION("""COMPUTED_VALUE"""),"MUNICIPALIDAD DE LAGO RANCO")</f>
        <v>MUNICIPALIDAD DE LAGO RANCO</v>
      </c>
      <c r="G248" s="71">
        <f ca="1">IFERROR(__xludf.DUMMYFUNCTION("""COMPUTED_VALUE"""),24600000)</f>
        <v>24600000</v>
      </c>
      <c r="H248" s="10" t="str">
        <f ca="1">IFERROR(__xludf.DUMMYFUNCTION("""COMPUTED_VALUE"""),"Resolución")</f>
        <v>Resolución</v>
      </c>
      <c r="I248" s="10" t="str">
        <f ca="1">IFERROR(__xludf.DUMMYFUNCTION("""COMPUTED_VALUE"""),"Asistencia Técnica")</f>
        <v>Asistencia Técnica</v>
      </c>
      <c r="J248" s="10" t="str">
        <f ca="1">IFERROR(__xludf.DUMMYFUNCTION("""COMPUTED_VALUE"""),"Cumplir con normativa y reglamentos internos del programa en base a los objetivos.")</f>
        <v>Cumplir con normativa y reglamentos internos del programa en base a los objetivos.</v>
      </c>
      <c r="K248" s="71">
        <f ca="1">IFERROR(__xludf.DUMMYFUNCTION("""COMPUTED_VALUE"""),24600000)</f>
        <v>24600000</v>
      </c>
      <c r="L248" s="27">
        <f ca="1">IFERROR(__xludf.DUMMYFUNCTION("""COMPUTED_VALUE"""),1)</f>
        <v>1</v>
      </c>
      <c r="M248" s="10" t="str">
        <f ca="1">IFERROR(__xludf.DUMMYFUNCTION("""COMPUTED_VALUE"""),"9632/2024")</f>
        <v>9632/2024</v>
      </c>
      <c r="N248" s="10" t="str">
        <f ca="1">IFERROR(__xludf.DUMMYFUNCTION("""COMPUTED_VALUE"""),"PMB")</f>
        <v>PMB</v>
      </c>
      <c r="O248" s="59"/>
      <c r="P248" s="1"/>
      <c r="Q248" s="1"/>
      <c r="R248" s="1"/>
      <c r="S248" s="1"/>
      <c r="T248" s="1"/>
      <c r="U248" s="1"/>
      <c r="V248" s="1"/>
      <c r="W248" s="1"/>
      <c r="X248" s="1"/>
      <c r="Y248" s="1"/>
      <c r="Z248" s="1"/>
      <c r="AA248" s="1"/>
    </row>
    <row r="249" spans="1:27" ht="12.75" customHeight="1">
      <c r="A249" s="1"/>
      <c r="B249" s="10" t="str">
        <f ca="1">IFERROR(__xludf.DUMMYFUNCTION("""COMPUTED_VALUE"""),"“HABILITACIÓN Y NORMALIZACIÓN ALUMBRADO PÚBLICO, LOCALIDAD DE COSKA, COMUNA DE OLLAGUE”")</f>
        <v>“HABILITACIÓN Y NORMALIZACIÓN ALUMBRADO PÚBLICO, LOCALIDAD DE COSKA, COMUNA DE OLLAGUE”</v>
      </c>
      <c r="C249" s="10" t="str">
        <f ca="1">IFERROR(__xludf.DUMMYFUNCTION("""COMPUTED_VALUE"""),"2202230701-C")</f>
        <v>2202230701-C</v>
      </c>
      <c r="D249" s="26" t="str">
        <f t="shared" ca="1" si="0"/>
        <v xml:space="preserve"> OLLAGÜE</v>
      </c>
      <c r="E249" s="10" t="str">
        <f ca="1">IFERROR(__xludf.DUMMYFUNCTION("""COMPUTED_VALUE"""),"Guía Operativa")</f>
        <v>Guía Operativa</v>
      </c>
      <c r="F249" s="10" t="str">
        <f ca="1">IFERROR(__xludf.DUMMYFUNCTION("""COMPUTED_VALUE"""),"MUNICIPALIDAD DE OLLAGÜE")</f>
        <v>MUNICIPALIDAD DE OLLAGÜE</v>
      </c>
      <c r="G249" s="71">
        <f ca="1">IFERROR(__xludf.DUMMYFUNCTION("""COMPUTED_VALUE"""),308105824)</f>
        <v>308105824</v>
      </c>
      <c r="H249" s="10" t="str">
        <f ca="1">IFERROR(__xludf.DUMMYFUNCTION("""COMPUTED_VALUE"""),"Resolución")</f>
        <v>Resolución</v>
      </c>
      <c r="I249" s="10" t="str">
        <f ca="1">IFERROR(__xludf.DUMMYFUNCTION("""COMPUTED_VALUE"""),"Obra")</f>
        <v>Obra</v>
      </c>
      <c r="J249" s="10" t="str">
        <f ca="1">IFERROR(__xludf.DUMMYFUNCTION("""COMPUTED_VALUE"""),"Cumplir con normativa y reglamentos internos del programa en base a los objetivos.")</f>
        <v>Cumplir con normativa y reglamentos internos del programa en base a los objetivos.</v>
      </c>
      <c r="K249" s="71">
        <f ca="1">IFERROR(__xludf.DUMMYFUNCTION("""COMPUTED_VALUE"""),308105824)</f>
        <v>308105824</v>
      </c>
      <c r="L249" s="27">
        <f ca="1">IFERROR(__xludf.DUMMYFUNCTION("""COMPUTED_VALUE"""),1)</f>
        <v>1</v>
      </c>
      <c r="M249" s="10" t="str">
        <f ca="1">IFERROR(__xludf.DUMMYFUNCTION("""COMPUTED_VALUE"""),"9670/2024")</f>
        <v>9670/2024</v>
      </c>
      <c r="N249" s="10" t="str">
        <f ca="1">IFERROR(__xludf.DUMMYFUNCTION("""COMPUTED_VALUE"""),"PMB")</f>
        <v>PMB</v>
      </c>
      <c r="O249" s="59"/>
      <c r="P249" s="1"/>
      <c r="Q249" s="1"/>
      <c r="R249" s="1"/>
      <c r="S249" s="1"/>
      <c r="T249" s="1"/>
      <c r="U249" s="1"/>
      <c r="V249" s="1"/>
      <c r="W249" s="1"/>
      <c r="X249" s="1"/>
      <c r="Y249" s="1"/>
      <c r="Z249" s="1"/>
      <c r="AA249" s="1"/>
    </row>
    <row r="250" spans="1:27" ht="12.75" customHeight="1">
      <c r="A250" s="1"/>
      <c r="B250" s="10" t="str">
        <f ca="1">IFERROR(__xludf.DUMMYFUNCTION("""COMPUTED_VALUE"""),"HABILITACION Y MEJORAMIENTO DE ALUMBRADO PUBLICO EN BORDE COSTERO DE LA LOCALIDAD DE TALTAL”")</f>
        <v>HABILITACION Y MEJORAMIENTO DE ALUMBRADO PUBLICO EN BORDE COSTERO DE LA LOCALIDAD DE TALTAL”</v>
      </c>
      <c r="C250" s="10" t="str">
        <f ca="1">IFERROR(__xludf.DUMMYFUNCTION("""COMPUTED_VALUE"""),"2104230701-C")</f>
        <v>2104230701-C</v>
      </c>
      <c r="D250" s="26" t="str">
        <f t="shared" ca="1" si="0"/>
        <v xml:space="preserve"> TALTAL</v>
      </c>
      <c r="E250" s="10" t="str">
        <f ca="1">IFERROR(__xludf.DUMMYFUNCTION("""COMPUTED_VALUE"""),"Guía Operativa")</f>
        <v>Guía Operativa</v>
      </c>
      <c r="F250" s="10" t="str">
        <f ca="1">IFERROR(__xludf.DUMMYFUNCTION("""COMPUTED_VALUE"""),"MUNICIPALIDAD DE TALTAL")</f>
        <v>MUNICIPALIDAD DE TALTAL</v>
      </c>
      <c r="G250" s="71">
        <f ca="1">IFERROR(__xludf.DUMMYFUNCTION("""COMPUTED_VALUE"""),300958745)</f>
        <v>300958745</v>
      </c>
      <c r="H250" s="10" t="str">
        <f ca="1">IFERROR(__xludf.DUMMYFUNCTION("""COMPUTED_VALUE"""),"Resolución")</f>
        <v>Resolución</v>
      </c>
      <c r="I250" s="10" t="str">
        <f ca="1">IFERROR(__xludf.DUMMYFUNCTION("""COMPUTED_VALUE"""),"Obra")</f>
        <v>Obra</v>
      </c>
      <c r="J250" s="10" t="str">
        <f ca="1">IFERROR(__xludf.DUMMYFUNCTION("""COMPUTED_VALUE"""),"Cumplir con normativa y reglamentos internos del programa en base a los objetivos.")</f>
        <v>Cumplir con normativa y reglamentos internos del programa en base a los objetivos.</v>
      </c>
      <c r="K250" s="71">
        <f ca="1">IFERROR(__xludf.DUMMYFUNCTION("""COMPUTED_VALUE"""),300958745)</f>
        <v>300958745</v>
      </c>
      <c r="L250" s="27">
        <f ca="1">IFERROR(__xludf.DUMMYFUNCTION("""COMPUTED_VALUE"""),1)</f>
        <v>1</v>
      </c>
      <c r="M250" s="10" t="str">
        <f ca="1">IFERROR(__xludf.DUMMYFUNCTION("""COMPUTED_VALUE"""),"9672/2024")</f>
        <v>9672/2024</v>
      </c>
      <c r="N250" s="10" t="str">
        <f ca="1">IFERROR(__xludf.DUMMYFUNCTION("""COMPUTED_VALUE"""),"PMB")</f>
        <v>PMB</v>
      </c>
      <c r="O250" s="59"/>
      <c r="P250" s="1"/>
      <c r="Q250" s="1"/>
      <c r="R250" s="1"/>
      <c r="S250" s="1"/>
      <c r="T250" s="1"/>
      <c r="U250" s="1"/>
      <c r="V250" s="1"/>
      <c r="W250" s="1"/>
      <c r="X250" s="1"/>
      <c r="Y250" s="1"/>
      <c r="Z250" s="1"/>
      <c r="AA250" s="1"/>
    </row>
    <row r="251" spans="1:27" ht="12.75" customHeight="1">
      <c r="A251" s="1"/>
      <c r="B251" s="10" t="str">
        <f ca="1">IFERROR(__xludf.DUMMYFUNCTION("""COMPUTED_VALUE"""),"“MEJORAMIENTO ALUMBRADO PÚBLICO, VÍAS PRINCIPALES VARIOS SECTORES, COMUNA DE TALTAL, LOCALIDAD DE TALTAL”.")</f>
        <v>“MEJORAMIENTO ALUMBRADO PÚBLICO, VÍAS PRINCIPALES VARIOS SECTORES, COMUNA DE TALTAL, LOCALIDAD DE TALTAL”.</v>
      </c>
      <c r="C251" s="10" t="str">
        <f ca="1">IFERROR(__xludf.DUMMYFUNCTION("""COMPUTED_VALUE"""),"2104230702-C")</f>
        <v>2104230702-C</v>
      </c>
      <c r="D251" s="26" t="str">
        <f t="shared" ca="1" si="0"/>
        <v xml:space="preserve"> TALTAL</v>
      </c>
      <c r="E251" s="10" t="str">
        <f ca="1">IFERROR(__xludf.DUMMYFUNCTION("""COMPUTED_VALUE"""),"Guía Operativa")</f>
        <v>Guía Operativa</v>
      </c>
      <c r="F251" s="10" t="str">
        <f ca="1">IFERROR(__xludf.DUMMYFUNCTION("""COMPUTED_VALUE"""),"MUNICIPALIDAD DE TALTAL")</f>
        <v>MUNICIPALIDAD DE TALTAL</v>
      </c>
      <c r="G251" s="71">
        <f ca="1">IFERROR(__xludf.DUMMYFUNCTION("""COMPUTED_VALUE"""),308681946)</f>
        <v>308681946</v>
      </c>
      <c r="H251" s="10" t="str">
        <f ca="1">IFERROR(__xludf.DUMMYFUNCTION("""COMPUTED_VALUE"""),"Resolución")</f>
        <v>Resolución</v>
      </c>
      <c r="I251" s="10" t="str">
        <f ca="1">IFERROR(__xludf.DUMMYFUNCTION("""COMPUTED_VALUE"""),"Obra")</f>
        <v>Obra</v>
      </c>
      <c r="J251" s="10" t="str">
        <f ca="1">IFERROR(__xludf.DUMMYFUNCTION("""COMPUTED_VALUE"""),"Cumplir con normativa y reglamentos internos del programa en base a los objetivos.")</f>
        <v>Cumplir con normativa y reglamentos internos del programa en base a los objetivos.</v>
      </c>
      <c r="K251" s="71">
        <f ca="1">IFERROR(__xludf.DUMMYFUNCTION("""COMPUTED_VALUE"""),308681946)</f>
        <v>308681946</v>
      </c>
      <c r="L251" s="27">
        <f ca="1">IFERROR(__xludf.DUMMYFUNCTION("""COMPUTED_VALUE"""),1)</f>
        <v>1</v>
      </c>
      <c r="M251" s="10" t="str">
        <f ca="1">IFERROR(__xludf.DUMMYFUNCTION("""COMPUTED_VALUE"""),"9673/2024")</f>
        <v>9673/2024</v>
      </c>
      <c r="N251" s="10" t="str">
        <f ca="1">IFERROR(__xludf.DUMMYFUNCTION("""COMPUTED_VALUE"""),"PMB")</f>
        <v>PMB</v>
      </c>
      <c r="O251" s="59"/>
      <c r="P251" s="1"/>
      <c r="Q251" s="1"/>
      <c r="R251" s="1"/>
      <c r="S251" s="1"/>
      <c r="T251" s="1"/>
      <c r="U251" s="1"/>
      <c r="V251" s="1"/>
      <c r="W251" s="1"/>
      <c r="X251" s="1"/>
      <c r="Y251" s="1"/>
      <c r="Z251" s="1"/>
      <c r="AA251" s="1"/>
    </row>
    <row r="252" spans="1:27" ht="12.75" customHeight="1">
      <c r="A252" s="1"/>
      <c r="B252" s="10" t="str">
        <f ca="1">IFERROR(__xludf.DUMMYFUNCTION("""COMPUTED_VALUE"""),"REGULARIZACION SANITARIA ESCUELA E-3 PABLO NERUDA")</f>
        <v>REGULARIZACION SANITARIA ESCUELA E-3 PABLO NERUDA</v>
      </c>
      <c r="C252" s="10" t="str">
        <f ca="1">IFERROR(__xludf.DUMMYFUNCTION("""COMPUTED_VALUE"""),"2301220708-C")</f>
        <v>2301220708-C</v>
      </c>
      <c r="D252" s="26" t="str">
        <f t="shared" ca="1" si="0"/>
        <v xml:space="preserve"> TOCOPILLA</v>
      </c>
      <c r="E252" s="10" t="str">
        <f ca="1">IFERROR(__xludf.DUMMYFUNCTION("""COMPUTED_VALUE"""),"Guía Operativa")</f>
        <v>Guía Operativa</v>
      </c>
      <c r="F252" s="10" t="str">
        <f ca="1">IFERROR(__xludf.DUMMYFUNCTION("""COMPUTED_VALUE"""),"MUNICIPALIDAD DE TOCOPILLA")</f>
        <v>MUNICIPALIDAD DE TOCOPILLA</v>
      </c>
      <c r="G252" s="71">
        <f ca="1">IFERROR(__xludf.DUMMYFUNCTION("""COMPUTED_VALUE"""),264060707)</f>
        <v>264060707</v>
      </c>
      <c r="H252" s="10" t="str">
        <f ca="1">IFERROR(__xludf.DUMMYFUNCTION("""COMPUTED_VALUE"""),"Resolución")</f>
        <v>Resolución</v>
      </c>
      <c r="I252" s="10" t="str">
        <f ca="1">IFERROR(__xludf.DUMMYFUNCTION("""COMPUTED_VALUE"""),"Obra")</f>
        <v>Obra</v>
      </c>
      <c r="J252" s="10" t="str">
        <f ca="1">IFERROR(__xludf.DUMMYFUNCTION("""COMPUTED_VALUE"""),"Cumplir con normativa y reglamentos internos del programa en base a los objetivos.")</f>
        <v>Cumplir con normativa y reglamentos internos del programa en base a los objetivos.</v>
      </c>
      <c r="K252" s="71">
        <f ca="1">IFERROR(__xludf.DUMMYFUNCTION("""COMPUTED_VALUE"""),264060707)</f>
        <v>264060707</v>
      </c>
      <c r="L252" s="27">
        <f ca="1">IFERROR(__xludf.DUMMYFUNCTION("""COMPUTED_VALUE"""),1)</f>
        <v>1</v>
      </c>
      <c r="M252" s="10" t="str">
        <f ca="1">IFERROR(__xludf.DUMMYFUNCTION("""COMPUTED_VALUE"""),"9669/2024")</f>
        <v>9669/2024</v>
      </c>
      <c r="N252" s="10" t="str">
        <f ca="1">IFERROR(__xludf.DUMMYFUNCTION("""COMPUTED_VALUE"""),"PMB")</f>
        <v>PMB</v>
      </c>
      <c r="O252" s="59"/>
      <c r="P252" s="1"/>
      <c r="Q252" s="1"/>
      <c r="R252" s="1"/>
      <c r="S252" s="1"/>
      <c r="T252" s="1"/>
      <c r="U252" s="1"/>
      <c r="V252" s="1"/>
      <c r="W252" s="1"/>
      <c r="X252" s="1"/>
      <c r="Y252" s="1"/>
      <c r="Z252" s="1"/>
      <c r="AA252" s="1"/>
    </row>
    <row r="253" spans="1:27" ht="12.75" customHeight="1">
      <c r="A253" s="1"/>
      <c r="B253" s="10" t="str">
        <f ca="1">IFERROR(__xludf.DUMMYFUNCTION("""COMPUTED_VALUE"""),"ASISTENCIA TECNICA EN SANEAMIENTO SANITARIO COMUNA DE PENCAHUE")</f>
        <v>ASISTENCIA TECNICA EN SANEAMIENTO SANITARIO COMUNA DE PENCAHUE</v>
      </c>
      <c r="C253" s="10" t="str">
        <f ca="1">IFERROR(__xludf.DUMMYFUNCTION("""COMPUTED_VALUE"""),"7107231001-C")</f>
        <v>7107231001-C</v>
      </c>
      <c r="D253" s="26" t="str">
        <f t="shared" ca="1" si="0"/>
        <v xml:space="preserve"> PENCAHUE</v>
      </c>
      <c r="E253" s="10" t="str">
        <f ca="1">IFERROR(__xludf.DUMMYFUNCTION("""COMPUTED_VALUE"""),"Guía Operativa")</f>
        <v>Guía Operativa</v>
      </c>
      <c r="F253" s="10" t="str">
        <f ca="1">IFERROR(__xludf.DUMMYFUNCTION("""COMPUTED_VALUE"""),"MUNICIPALIDAD DE PENCAHUE")</f>
        <v>MUNICIPALIDAD DE PENCAHUE</v>
      </c>
      <c r="G253" s="71">
        <f ca="1">IFERROR(__xludf.DUMMYFUNCTION("""COMPUTED_VALUE"""),70800000)</f>
        <v>70800000</v>
      </c>
      <c r="H253" s="10" t="str">
        <f ca="1">IFERROR(__xludf.DUMMYFUNCTION("""COMPUTED_VALUE"""),"Resolución")</f>
        <v>Resolución</v>
      </c>
      <c r="I253" s="10" t="str">
        <f ca="1">IFERROR(__xludf.DUMMYFUNCTION("""COMPUTED_VALUE"""),"Asistencia Técnica")</f>
        <v>Asistencia Técnica</v>
      </c>
      <c r="J253" s="10" t="str">
        <f ca="1">IFERROR(__xludf.DUMMYFUNCTION("""COMPUTED_VALUE"""),"Cumplir con normativa y reglamentos internos del programa en base a los objetivos.")</f>
        <v>Cumplir con normativa y reglamentos internos del programa en base a los objetivos.</v>
      </c>
      <c r="K253" s="71">
        <f ca="1">IFERROR(__xludf.DUMMYFUNCTION("""COMPUTED_VALUE"""),1140000)</f>
        <v>1140000</v>
      </c>
      <c r="L253" s="27">
        <f ca="1">IFERROR(__xludf.DUMMYFUNCTION("""COMPUTED_VALUE"""),0.516101694915254)</f>
        <v>0.51610169491525404</v>
      </c>
      <c r="M253" s="10" t="str">
        <f ca="1">IFERROR(__xludf.DUMMYFUNCTION("""COMPUTED_VALUE"""),"4974/2023")</f>
        <v>4974/2023</v>
      </c>
      <c r="N253" s="10" t="str">
        <f ca="1">IFERROR(__xludf.DUMMYFUNCTION("""COMPUTED_VALUE"""),"PMB")</f>
        <v>PMB</v>
      </c>
      <c r="O253" s="59"/>
      <c r="P253" s="1"/>
      <c r="Q253" s="1"/>
      <c r="R253" s="1"/>
      <c r="S253" s="1"/>
      <c r="T253" s="1"/>
      <c r="U253" s="1"/>
      <c r="V253" s="1"/>
      <c r="W253" s="1"/>
      <c r="X253" s="1"/>
      <c r="Y253" s="1"/>
      <c r="Z253" s="1"/>
      <c r="AA253" s="1"/>
    </row>
    <row r="254" spans="1:27" ht="12.75" customHeight="1">
      <c r="A254" s="1"/>
      <c r="B254" s="10" t="str">
        <f ca="1">IFERROR(__xludf.DUMMYFUNCTION("""COMPUTED_VALUE"""),"EXTENSIÓN REDES DE ALCANTARILLADO CALLE SARGENTO CANDELARIA PARTE I, COMUNA DE CHONCHI")</f>
        <v>EXTENSIÓN REDES DE ALCANTARILLADO CALLE SARGENTO CANDELARIA PARTE I, COMUNA DE CHONCHI</v>
      </c>
      <c r="C254" s="10" t="str">
        <f ca="1">IFERROR(__xludf.DUMMYFUNCTION("""COMPUTED_VALUE"""),"10203220703-C")</f>
        <v>10203220703-C</v>
      </c>
      <c r="D254" s="26" t="str">
        <f t="shared" ca="1" si="0"/>
        <v xml:space="preserve"> CHONCHI</v>
      </c>
      <c r="E254" s="10" t="str">
        <f ca="1">IFERROR(__xludf.DUMMYFUNCTION("""COMPUTED_VALUE"""),"Guía Operativa")</f>
        <v>Guía Operativa</v>
      </c>
      <c r="F254" s="10" t="str">
        <f ca="1">IFERROR(__xludf.DUMMYFUNCTION("""COMPUTED_VALUE"""),"MUNICIPALIDAD DE CHONCHI")</f>
        <v>MUNICIPALIDAD DE CHONCHI</v>
      </c>
      <c r="G254" s="71">
        <f ca="1">IFERROR(__xludf.DUMMYFUNCTION("""COMPUTED_VALUE"""),68258324)</f>
        <v>68258324</v>
      </c>
      <c r="H254" s="10" t="str">
        <f ca="1">IFERROR(__xludf.DUMMYFUNCTION("""COMPUTED_VALUE"""),"Resolución")</f>
        <v>Resolución</v>
      </c>
      <c r="I254" s="10" t="str">
        <f ca="1">IFERROR(__xludf.DUMMYFUNCTION("""COMPUTED_VALUE"""),"Obra")</f>
        <v>Obra</v>
      </c>
      <c r="J254" s="10" t="str">
        <f ca="1">IFERROR(__xludf.DUMMYFUNCTION("""COMPUTED_VALUE"""),"Cumplir con normativa y reglamentos internos del programa en base a los objetivos.")</f>
        <v>Cumplir con normativa y reglamentos internos del programa en base a los objetivos.</v>
      </c>
      <c r="K254" s="71">
        <f ca="1">IFERROR(__xludf.DUMMYFUNCTION("""COMPUTED_VALUE"""),13646241)</f>
        <v>13646241</v>
      </c>
      <c r="L254" s="27">
        <f ca="1">IFERROR(__xludf.DUMMYFUNCTION("""COMPUTED_VALUE"""),0.199920540094128)</f>
        <v>0.19992054009412799</v>
      </c>
      <c r="M254" s="10" t="str">
        <f ca="1">IFERROR(__xludf.DUMMYFUNCTION("""COMPUTED_VALUE"""),"8929/2023")</f>
        <v>8929/2023</v>
      </c>
      <c r="N254" s="10" t="str">
        <f ca="1">IFERROR(__xludf.DUMMYFUNCTION("""COMPUTED_VALUE"""),"PMB")</f>
        <v>PMB</v>
      </c>
      <c r="O254" s="59"/>
      <c r="P254" s="1"/>
      <c r="Q254" s="1"/>
      <c r="R254" s="1"/>
      <c r="S254" s="1"/>
      <c r="T254" s="1"/>
      <c r="U254" s="1"/>
      <c r="V254" s="1"/>
      <c r="W254" s="1"/>
      <c r="X254" s="1"/>
      <c r="Y254" s="1"/>
      <c r="Z254" s="1"/>
      <c r="AA254" s="1"/>
    </row>
    <row r="255" spans="1:27" ht="12.75" customHeight="1">
      <c r="A255" s="1"/>
      <c r="B255" s="10" t="str">
        <f ca="1">IFERROR(__xludf.DUMMYFUNCTION("""COMPUTED_VALUE"""),"REPOSICION DE ALUMBRADO PUBLICO DE PUERTO CISNES")</f>
        <v>REPOSICION DE ALUMBRADO PUBLICO DE PUERTO CISNES</v>
      </c>
      <c r="C255" s="10" t="str">
        <f ca="1">IFERROR(__xludf.DUMMYFUNCTION("""COMPUTED_VALUE"""),"11202220702-C")</f>
        <v>11202220702-C</v>
      </c>
      <c r="D255" s="26" t="str">
        <f t="shared" ca="1" si="0"/>
        <v xml:space="preserve"> CISNES</v>
      </c>
      <c r="E255" s="10" t="str">
        <f ca="1">IFERROR(__xludf.DUMMYFUNCTION("""COMPUTED_VALUE"""),"Guía Operativa")</f>
        <v>Guía Operativa</v>
      </c>
      <c r="F255" s="10" t="str">
        <f ca="1">IFERROR(__xludf.DUMMYFUNCTION("""COMPUTED_VALUE"""),"MUNICIPALIDAD DE CISNES")</f>
        <v>MUNICIPALIDAD DE CISNES</v>
      </c>
      <c r="G255" s="71">
        <f ca="1">IFERROR(__xludf.DUMMYFUNCTION("""COMPUTED_VALUE"""),43549871)</f>
        <v>43549871</v>
      </c>
      <c r="H255" s="10" t="str">
        <f ca="1">IFERROR(__xludf.DUMMYFUNCTION("""COMPUTED_VALUE"""),"Resolución")</f>
        <v>Resolución</v>
      </c>
      <c r="I255" s="10" t="str">
        <f ca="1">IFERROR(__xludf.DUMMYFUNCTION("""COMPUTED_VALUE"""),"Obra")</f>
        <v>Obra</v>
      </c>
      <c r="J255" s="10" t="str">
        <f ca="1">IFERROR(__xludf.DUMMYFUNCTION("""COMPUTED_VALUE"""),"Cumplir con normativa y reglamentos internos del programa en base a los objetivos.")</f>
        <v>Cumplir con normativa y reglamentos internos del programa en base a los objetivos.</v>
      </c>
      <c r="K255" s="71">
        <f ca="1">IFERROR(__xludf.DUMMYFUNCTION("""COMPUTED_VALUE"""),43549871)</f>
        <v>43549871</v>
      </c>
      <c r="L255" s="27">
        <f ca="1">IFERROR(__xludf.DUMMYFUNCTION("""COMPUTED_VALUE"""),1)</f>
        <v>1</v>
      </c>
      <c r="M255" s="10" t="str">
        <f ca="1">IFERROR(__xludf.DUMMYFUNCTION("""COMPUTED_VALUE"""),"5768/2024")</f>
        <v>5768/2024</v>
      </c>
      <c r="N255" s="10" t="str">
        <f ca="1">IFERROR(__xludf.DUMMYFUNCTION("""COMPUTED_VALUE"""),"PMB")</f>
        <v>PMB</v>
      </c>
      <c r="O255" s="59"/>
      <c r="P255" s="1"/>
      <c r="Q255" s="1"/>
      <c r="R255" s="1"/>
      <c r="S255" s="1"/>
      <c r="T255" s="1"/>
      <c r="U255" s="1"/>
      <c r="V255" s="1"/>
      <c r="W255" s="1"/>
      <c r="X255" s="1"/>
      <c r="Y255" s="1"/>
      <c r="Z255" s="1"/>
      <c r="AA255" s="1"/>
    </row>
    <row r="256" spans="1:27" ht="12.75" customHeight="1">
      <c r="A256" s="1"/>
      <c r="B256" s="10" t="str">
        <f ca="1">IFERROR(__xludf.DUMMYFUNCTION("""COMPUTED_VALUE"""),"ADQUISICION DE TERRENO MEGAPROYECTO LA HACIENDA, COMUNA DE LONCOCHE")</f>
        <v>ADQUISICION DE TERRENO MEGAPROYECTO LA HACIENDA, COMUNA DE LONCOCHE</v>
      </c>
      <c r="C256" s="10" t="str">
        <f ca="1">IFERROR(__xludf.DUMMYFUNCTION("""COMPUTED_VALUE"""),"9109230801-C")</f>
        <v>9109230801-C</v>
      </c>
      <c r="D256" s="26" t="str">
        <f t="shared" ca="1" si="0"/>
        <v xml:space="preserve"> LONCOCHE</v>
      </c>
      <c r="E256" s="10" t="str">
        <f ca="1">IFERROR(__xludf.DUMMYFUNCTION("""COMPUTED_VALUE"""),"Guía Operativa")</f>
        <v>Guía Operativa</v>
      </c>
      <c r="F256" s="10" t="str">
        <f ca="1">IFERROR(__xludf.DUMMYFUNCTION("""COMPUTED_VALUE"""),"MUNICIPALIDAD DE LONCOCHE")</f>
        <v>MUNICIPALIDAD DE LONCOCHE</v>
      </c>
      <c r="G256" s="71">
        <f ca="1">IFERROR(__xludf.DUMMYFUNCTION("""COMPUTED_VALUE"""),1504264212)</f>
        <v>1504264212</v>
      </c>
      <c r="H256" s="10" t="str">
        <f ca="1">IFERROR(__xludf.DUMMYFUNCTION("""COMPUTED_VALUE"""),"Resolución")</f>
        <v>Resolución</v>
      </c>
      <c r="I256" s="10" t="str">
        <f ca="1">IFERROR(__xludf.DUMMYFUNCTION("""COMPUTED_VALUE"""),"Adquisición Terreno")</f>
        <v>Adquisición Terreno</v>
      </c>
      <c r="J256" s="10" t="str">
        <f ca="1">IFERROR(__xludf.DUMMYFUNCTION("""COMPUTED_VALUE"""),"Cumplir con normativa y reglamentos internos del programa en base a los objetivos.")</f>
        <v>Cumplir con normativa y reglamentos internos del programa en base a los objetivos.</v>
      </c>
      <c r="K256" s="71">
        <f ca="1">IFERROR(__xludf.DUMMYFUNCTION("""COMPUTED_VALUE"""),1504264212)</f>
        <v>1504264212</v>
      </c>
      <c r="L256" s="27">
        <f ca="1">IFERROR(__xludf.DUMMYFUNCTION("""COMPUTED_VALUE"""),1)</f>
        <v>1</v>
      </c>
      <c r="M256" s="10" t="str">
        <f ca="1">IFERROR(__xludf.DUMMYFUNCTION("""COMPUTED_VALUE"""),"32/2024")</f>
        <v>32/2024</v>
      </c>
      <c r="N256" s="10" t="str">
        <f ca="1">IFERROR(__xludf.DUMMYFUNCTION("""COMPUTED_VALUE"""),"PMB")</f>
        <v>PMB</v>
      </c>
      <c r="O256" s="59"/>
      <c r="P256" s="1"/>
      <c r="Q256" s="1"/>
      <c r="R256" s="1"/>
      <c r="S256" s="1"/>
      <c r="T256" s="1"/>
      <c r="U256" s="1"/>
      <c r="V256" s="1"/>
      <c r="W256" s="1"/>
      <c r="X256" s="1"/>
      <c r="Y256" s="1"/>
      <c r="Z256" s="1"/>
      <c r="AA256" s="1"/>
    </row>
    <row r="257" spans="1:27" ht="12.75" customHeight="1">
      <c r="A257" s="1"/>
      <c r="B257" s="10" t="str">
        <f ca="1">IFERROR(__xludf.DUMMYFUNCTION("""COMPUTED_VALUE"""),"PROYECTO ALCANTARILLADO DE A.S LADO SUR CALLE B. O’HIGGINS, COSTADO ORIENTE COMUNA DE GORBEA – REGIÓN DE LA ARAUCANÍA")</f>
        <v>PROYECTO ALCANTARILLADO DE A.S LADO SUR CALLE B. O’HIGGINS, COSTADO ORIENTE COMUNA DE GORBEA – REGIÓN DE LA ARAUCANÍA</v>
      </c>
      <c r="C257" s="10" t="str">
        <f ca="1">IFERROR(__xludf.DUMMYFUNCTION("""COMPUTED_VALUE"""),"9107200703-C")</f>
        <v>9107200703-C</v>
      </c>
      <c r="D257" s="26" t="str">
        <f t="shared" ca="1" si="0"/>
        <v xml:space="preserve"> GORBEA</v>
      </c>
      <c r="E257" s="10" t="str">
        <f ca="1">IFERROR(__xludf.DUMMYFUNCTION("""COMPUTED_VALUE"""),"Guía Operativa")</f>
        <v>Guía Operativa</v>
      </c>
      <c r="F257" s="10" t="str">
        <f ca="1">IFERROR(__xludf.DUMMYFUNCTION("""COMPUTED_VALUE"""),"MUNICIPALIDAD DE GORBEA")</f>
        <v>MUNICIPALIDAD DE GORBEA</v>
      </c>
      <c r="G257" s="71">
        <f ca="1">IFERROR(__xludf.DUMMYFUNCTION("""COMPUTED_VALUE"""),192452805)</f>
        <v>192452805</v>
      </c>
      <c r="H257" s="10" t="str">
        <f ca="1">IFERROR(__xludf.DUMMYFUNCTION("""COMPUTED_VALUE"""),"Resolución")</f>
        <v>Resolución</v>
      </c>
      <c r="I257" s="10" t="str">
        <f ca="1">IFERROR(__xludf.DUMMYFUNCTION("""COMPUTED_VALUE"""),"Obra")</f>
        <v>Obra</v>
      </c>
      <c r="J257" s="10" t="str">
        <f ca="1">IFERROR(__xludf.DUMMYFUNCTION("""COMPUTED_VALUE"""),"Cumplir con normativa y reglamentos internos del programa en base a los objetivos.")</f>
        <v>Cumplir con normativa y reglamentos internos del programa en base a los objetivos.</v>
      </c>
      <c r="K257" s="71">
        <f ca="1">IFERROR(__xludf.DUMMYFUNCTION("""COMPUTED_VALUE"""),192452805)</f>
        <v>192452805</v>
      </c>
      <c r="L257" s="27">
        <f ca="1">IFERROR(__xludf.DUMMYFUNCTION("""COMPUTED_VALUE"""),1)</f>
        <v>1</v>
      </c>
      <c r="M257" s="10" t="str">
        <f ca="1">IFERROR(__xludf.DUMMYFUNCTION("""COMPUTED_VALUE"""),"10004/2024")</f>
        <v>10004/2024</v>
      </c>
      <c r="N257" s="10" t="str">
        <f ca="1">IFERROR(__xludf.DUMMYFUNCTION("""COMPUTED_VALUE"""),"PMB")</f>
        <v>PMB</v>
      </c>
      <c r="O257" s="59"/>
      <c r="P257" s="1"/>
      <c r="Q257" s="1"/>
      <c r="R257" s="1"/>
      <c r="S257" s="1"/>
      <c r="T257" s="1"/>
      <c r="U257" s="1"/>
      <c r="V257" s="1"/>
      <c r="W257" s="1"/>
      <c r="X257" s="1"/>
      <c r="Y257" s="1"/>
      <c r="Z257" s="1"/>
      <c r="AA257" s="1"/>
    </row>
    <row r="258" spans="1:27" ht="12.75" customHeight="1">
      <c r="A258" s="1"/>
      <c r="B258" s="10" t="str">
        <f ca="1">IFERROR(__xludf.DUMMYFUNCTION("""COMPUTED_VALUE"""),"PROGRAMA DE COMPOSTAJE DOMICILIARIO DE RESIDUOS ORGANICOS I.MUNICIPALIDAD DE QUINTA DE TILCOCO")</f>
        <v>PROGRAMA DE COMPOSTAJE DOMICILIARIO DE RESIDUOS ORGANICOS I.MUNICIPALIDAD DE QUINTA DE TILCOCO</v>
      </c>
      <c r="C258" s="10" t="str">
        <f ca="1">IFERROR(__xludf.DUMMYFUNCTION("""COMPUTED_VALUE"""),"6114231501-C")</f>
        <v>6114231501-C</v>
      </c>
      <c r="D258" s="26" t="str">
        <f t="shared" ca="1" si="0"/>
        <v xml:space="preserve"> QUINTA DE TILCOCO</v>
      </c>
      <c r="E258" s="10" t="str">
        <f ca="1">IFERROR(__xludf.DUMMYFUNCTION("""COMPUTED_VALUE"""),"Guía Operativa")</f>
        <v>Guía Operativa</v>
      </c>
      <c r="F258" s="10" t="str">
        <f ca="1">IFERROR(__xludf.DUMMYFUNCTION("""COMPUTED_VALUE"""),"MUNICIPALIDAD DE QUINTA DE TILCOCO")</f>
        <v>MUNICIPALIDAD DE QUINTA DE TILCOCO</v>
      </c>
      <c r="G258" s="71">
        <f ca="1">IFERROR(__xludf.DUMMYFUNCTION("""COMPUTED_VALUE"""),49073220)</f>
        <v>49073220</v>
      </c>
      <c r="H258" s="10" t="str">
        <f ca="1">IFERROR(__xludf.DUMMYFUNCTION("""COMPUTED_VALUE"""),"Resolución")</f>
        <v>Resolución</v>
      </c>
      <c r="I258" s="10" t="str">
        <f ca="1">IFERROR(__xludf.DUMMYFUNCTION("""COMPUTED_VALUE"""),"Valorización de Residuos")</f>
        <v>Valorización de Residuos</v>
      </c>
      <c r="J258" s="10" t="str">
        <f ca="1">IFERROR(__xludf.DUMMYFUNCTION("""COMPUTED_VALUE"""),"Cumplir con normativa y reglamentos internos del programa en base a los objetivos.")</f>
        <v>Cumplir con normativa y reglamentos internos del programa en base a los objetivos.</v>
      </c>
      <c r="K258" s="71">
        <f ca="1">IFERROR(__xludf.DUMMYFUNCTION("""COMPUTED_VALUE"""),49073220)</f>
        <v>49073220</v>
      </c>
      <c r="L258" s="27">
        <f ca="1">IFERROR(__xludf.DUMMYFUNCTION("""COMPUTED_VALUE"""),1)</f>
        <v>1</v>
      </c>
      <c r="M258" s="10" t="str">
        <f ca="1">IFERROR(__xludf.DUMMYFUNCTION("""COMPUTED_VALUE"""),"10402/2024")</f>
        <v>10402/2024</v>
      </c>
      <c r="N258" s="10" t="str">
        <f ca="1">IFERROR(__xludf.DUMMYFUNCTION("""COMPUTED_VALUE"""),"PMB")</f>
        <v>PMB</v>
      </c>
      <c r="O258" s="59"/>
      <c r="P258" s="1"/>
      <c r="Q258" s="1"/>
      <c r="R258" s="1"/>
      <c r="S258" s="1"/>
      <c r="T258" s="1"/>
      <c r="U258" s="1"/>
      <c r="V258" s="1"/>
      <c r="W258" s="1"/>
      <c r="X258" s="1"/>
      <c r="Y258" s="1"/>
      <c r="Z258" s="1"/>
      <c r="AA258" s="1"/>
    </row>
    <row r="259" spans="1:27" ht="12.75" customHeight="1">
      <c r="A259" s="1"/>
      <c r="B259" s="10" t="str">
        <f ca="1">IFERROR(__xludf.DUMMYFUNCTION("""COMPUTED_VALUE"""),"CONSTRUCCIÓN E ILUMINACIÓN SENDEROS Y PLAZOLETAS COCHRANE")</f>
        <v>CONSTRUCCIÓN E ILUMINACIÓN SENDEROS Y PLAZOLETAS COCHRANE</v>
      </c>
      <c r="C259" s="10" t="str">
        <f ca="1">IFERROR(__xludf.DUMMYFUNCTION("""COMPUTED_VALUE"""),"11301230703-C")</f>
        <v>11301230703-C</v>
      </c>
      <c r="D259" s="26" t="str">
        <f t="shared" ca="1" si="0"/>
        <v xml:space="preserve"> COCHRANE</v>
      </c>
      <c r="E259" s="10" t="str">
        <f ca="1">IFERROR(__xludf.DUMMYFUNCTION("""COMPUTED_VALUE"""),"Guía Operativa")</f>
        <v>Guía Operativa</v>
      </c>
      <c r="F259" s="10" t="str">
        <f ca="1">IFERROR(__xludf.DUMMYFUNCTION("""COMPUTED_VALUE"""),"MUNICIPALIDAD DE COCHRANE")</f>
        <v>MUNICIPALIDAD DE COCHRANE</v>
      </c>
      <c r="G259" s="71">
        <f ca="1">IFERROR(__xludf.DUMMYFUNCTION("""COMPUTED_VALUE"""),295305266)</f>
        <v>295305266</v>
      </c>
      <c r="H259" s="10" t="str">
        <f ca="1">IFERROR(__xludf.DUMMYFUNCTION("""COMPUTED_VALUE"""),"Resolución")</f>
        <v>Resolución</v>
      </c>
      <c r="I259" s="10" t="str">
        <f ca="1">IFERROR(__xludf.DUMMYFUNCTION("""COMPUTED_VALUE"""),"Obra")</f>
        <v>Obra</v>
      </c>
      <c r="J259" s="10" t="str">
        <f ca="1">IFERROR(__xludf.DUMMYFUNCTION("""COMPUTED_VALUE"""),"Cumplir con normativa y reglamentos internos del programa en base a los objetivos.")</f>
        <v>Cumplir con normativa y reglamentos internos del programa en base a los objetivos.</v>
      </c>
      <c r="K259" s="71">
        <f ca="1">IFERROR(__xludf.DUMMYFUNCTION("""COMPUTED_VALUE"""),118122106)</f>
        <v>118122106</v>
      </c>
      <c r="L259" s="27">
        <f ca="1">IFERROR(__xludf.DUMMYFUNCTION("""COMPUTED_VALUE"""),0.399999998645469)</f>
        <v>0.39999999864546898</v>
      </c>
      <c r="M259" s="10" t="str">
        <f ca="1">IFERROR(__xludf.DUMMYFUNCTION("""COMPUTED_VALUE"""),"9667/2024")</f>
        <v>9667/2024</v>
      </c>
      <c r="N259" s="10" t="str">
        <f ca="1">IFERROR(__xludf.DUMMYFUNCTION("""COMPUTED_VALUE"""),"PMB")</f>
        <v>PMB</v>
      </c>
      <c r="O259" s="59"/>
      <c r="P259" s="1"/>
      <c r="Q259" s="1"/>
      <c r="R259" s="1"/>
      <c r="S259" s="1"/>
      <c r="T259" s="1"/>
      <c r="U259" s="1"/>
      <c r="V259" s="1"/>
      <c r="W259" s="1"/>
      <c r="X259" s="1"/>
      <c r="Y259" s="1"/>
      <c r="Z259" s="1"/>
      <c r="AA259" s="1"/>
    </row>
    <row r="260" spans="1:27" ht="12.75" customHeight="1">
      <c r="A260" s="1"/>
      <c r="B260" s="10" t="str">
        <f ca="1">IFERROR(__xludf.DUMMYFUNCTION("""COMPUTED_VALUE"""),"CONSTRUCCIÓN Y HABILITACION POZO PROFUNDO LOCALIDAD DE DIAZ LIRA, QUEILEN")</f>
        <v>CONSTRUCCIÓN Y HABILITACION POZO PROFUNDO LOCALIDAD DE DIAZ LIRA, QUEILEN</v>
      </c>
      <c r="C260" s="10" t="str">
        <f ca="1">IFERROR(__xludf.DUMMYFUNCTION("""COMPUTED_VALUE"""),"10207220702-C [CHA]")</f>
        <v>10207220702-C [CHA]</v>
      </c>
      <c r="D260" s="26" t="str">
        <f t="shared" ca="1" si="0"/>
        <v xml:space="preserve"> QUEILÉN</v>
      </c>
      <c r="E260" s="10" t="str">
        <f ca="1">IFERROR(__xludf.DUMMYFUNCTION("""COMPUTED_VALUE"""),"Guía Operativa")</f>
        <v>Guía Operativa</v>
      </c>
      <c r="F260" s="10" t="str">
        <f ca="1">IFERROR(__xludf.DUMMYFUNCTION("""COMPUTED_VALUE"""),"MUNICIPALIDAD DE QUEILÉN")</f>
        <v>MUNICIPALIDAD DE QUEILÉN</v>
      </c>
      <c r="G260" s="71">
        <f ca="1">IFERROR(__xludf.DUMMYFUNCTION("""COMPUTED_VALUE"""),33326039)</f>
        <v>33326039</v>
      </c>
      <c r="H260" s="10" t="str">
        <f ca="1">IFERROR(__xludf.DUMMYFUNCTION("""COMPUTED_VALUE"""),"Resolución")</f>
        <v>Resolución</v>
      </c>
      <c r="I260" s="10" t="str">
        <f ca="1">IFERROR(__xludf.DUMMYFUNCTION("""COMPUTED_VALUE"""),"Obra")</f>
        <v>Obra</v>
      </c>
      <c r="J260" s="10" t="str">
        <f ca="1">IFERROR(__xludf.DUMMYFUNCTION("""COMPUTED_VALUE"""),"Cumplir con normativa y reglamentos internos del programa en base a los objetivos.")</f>
        <v>Cumplir con normativa y reglamentos internos del programa en base a los objetivos.</v>
      </c>
      <c r="K260" s="71">
        <f ca="1">IFERROR(__xludf.DUMMYFUNCTION("""COMPUTED_VALUE"""),33326039)</f>
        <v>33326039</v>
      </c>
      <c r="L260" s="27">
        <f ca="1">IFERROR(__xludf.DUMMYFUNCTION("""COMPUTED_VALUE"""),1)</f>
        <v>1</v>
      </c>
      <c r="M260" s="10" t="str">
        <f ca="1">IFERROR(__xludf.DUMMYFUNCTION("""COMPUTED_VALUE"""),"8757/2024")</f>
        <v>8757/2024</v>
      </c>
      <c r="N260" s="10" t="str">
        <f ca="1">IFERROR(__xludf.DUMMYFUNCTION("""COMPUTED_VALUE"""),"PMB")</f>
        <v>PMB</v>
      </c>
      <c r="O260" s="59"/>
      <c r="P260" s="1"/>
      <c r="Q260" s="1"/>
      <c r="R260" s="1"/>
      <c r="S260" s="1"/>
      <c r="T260" s="1"/>
      <c r="U260" s="1"/>
      <c r="V260" s="1"/>
      <c r="W260" s="1"/>
      <c r="X260" s="1"/>
      <c r="Y260" s="1"/>
      <c r="Z260" s="1"/>
      <c r="AA260" s="1"/>
    </row>
    <row r="261" spans="1:27" ht="12.75" customHeight="1">
      <c r="A261" s="1"/>
      <c r="B261" s="10" t="str">
        <f ca="1">IFERROR(__xludf.DUMMYFUNCTION("""COMPUTED_VALUE"""),"CONSTRUCCIÓN Y HABILITACION POZO PROFUNDO LOCALIDAD DE APECHE Y APECHE ALTO, QUEILEN")</f>
        <v>CONSTRUCCIÓN Y HABILITACION POZO PROFUNDO LOCALIDAD DE APECHE Y APECHE ALTO, QUEILEN</v>
      </c>
      <c r="C261" s="10" t="str">
        <f ca="1">IFERROR(__xludf.DUMMYFUNCTION("""COMPUTED_VALUE"""),"10207230701-C")</f>
        <v>10207230701-C</v>
      </c>
      <c r="D261" s="26" t="str">
        <f t="shared" ca="1" si="0"/>
        <v xml:space="preserve"> QUEILÉN</v>
      </c>
      <c r="E261" s="10" t="str">
        <f ca="1">IFERROR(__xludf.DUMMYFUNCTION("""COMPUTED_VALUE"""),"Guía Operativa")</f>
        <v>Guía Operativa</v>
      </c>
      <c r="F261" s="10" t="str">
        <f ca="1">IFERROR(__xludf.DUMMYFUNCTION("""COMPUTED_VALUE"""),"MUNICIPALIDAD DE QUEILÉN")</f>
        <v>MUNICIPALIDAD DE QUEILÉN</v>
      </c>
      <c r="G261" s="71">
        <f ca="1">IFERROR(__xludf.DUMMYFUNCTION("""COMPUTED_VALUE"""),43290882)</f>
        <v>43290882</v>
      </c>
      <c r="H261" s="10" t="str">
        <f ca="1">IFERROR(__xludf.DUMMYFUNCTION("""COMPUTED_VALUE"""),"Resolución")</f>
        <v>Resolución</v>
      </c>
      <c r="I261" s="10" t="str">
        <f ca="1">IFERROR(__xludf.DUMMYFUNCTION("""COMPUTED_VALUE"""),"Obra")</f>
        <v>Obra</v>
      </c>
      <c r="J261" s="10" t="str">
        <f ca="1">IFERROR(__xludf.DUMMYFUNCTION("""COMPUTED_VALUE"""),"Cumplir con normativa y reglamentos internos del programa en base a los objetivos.")</f>
        <v>Cumplir con normativa y reglamentos internos del programa en base a los objetivos.</v>
      </c>
      <c r="K261" s="71">
        <f ca="1">IFERROR(__xludf.DUMMYFUNCTION("""COMPUTED_VALUE"""),43290882)</f>
        <v>43290882</v>
      </c>
      <c r="L261" s="27">
        <f ca="1">IFERROR(__xludf.DUMMYFUNCTION("""COMPUTED_VALUE"""),1)</f>
        <v>1</v>
      </c>
      <c r="M261" s="10" t="str">
        <f ca="1">IFERROR(__xludf.DUMMYFUNCTION("""COMPUTED_VALUE"""),"8726/2024")</f>
        <v>8726/2024</v>
      </c>
      <c r="N261" s="10" t="str">
        <f ca="1">IFERROR(__xludf.DUMMYFUNCTION("""COMPUTED_VALUE"""),"PMB")</f>
        <v>PMB</v>
      </c>
      <c r="O261" s="59"/>
      <c r="P261" s="1"/>
      <c r="Q261" s="1"/>
      <c r="R261" s="1"/>
      <c r="S261" s="1"/>
      <c r="T261" s="1"/>
      <c r="U261" s="1"/>
      <c r="V261" s="1"/>
      <c r="W261" s="1"/>
      <c r="X261" s="1"/>
      <c r="Y261" s="1"/>
      <c r="Z261" s="1"/>
      <c r="AA261" s="1"/>
    </row>
    <row r="262" spans="1:27" ht="12.75" customHeight="1">
      <c r="A262" s="1"/>
      <c r="B262" s="10" t="str">
        <f ca="1">IFERROR(__xludf.DUMMYFUNCTION("""COMPUTED_VALUE"""),"CIERRE PERIMETRAL EX VERTEDERO QUITALUTO, CORRAL")</f>
        <v>CIERRE PERIMETRAL EX VERTEDERO QUITALUTO, CORRAL</v>
      </c>
      <c r="C262" s="10" t="str">
        <f ca="1">IFERROR(__xludf.DUMMYFUNCTION("""COMPUTED_VALUE"""),"14102230703-C")</f>
        <v>14102230703-C</v>
      </c>
      <c r="D262" s="26" t="str">
        <f t="shared" ca="1" si="0"/>
        <v xml:space="preserve"> CORRAL</v>
      </c>
      <c r="E262" s="10" t="str">
        <f ca="1">IFERROR(__xludf.DUMMYFUNCTION("""COMPUTED_VALUE"""),"Guía Operativa")</f>
        <v>Guía Operativa</v>
      </c>
      <c r="F262" s="10" t="str">
        <f ca="1">IFERROR(__xludf.DUMMYFUNCTION("""COMPUTED_VALUE"""),"MUNICIPALIDAD DE CORRAL")</f>
        <v>MUNICIPALIDAD DE CORRAL</v>
      </c>
      <c r="G262" s="71">
        <f ca="1">IFERROR(__xludf.DUMMYFUNCTION("""COMPUTED_VALUE"""),90263194)</f>
        <v>90263194</v>
      </c>
      <c r="H262" s="10" t="str">
        <f ca="1">IFERROR(__xludf.DUMMYFUNCTION("""COMPUTED_VALUE"""),"Resolución")</f>
        <v>Resolución</v>
      </c>
      <c r="I262" s="10" t="str">
        <f ca="1">IFERROR(__xludf.DUMMYFUNCTION("""COMPUTED_VALUE"""),"Obra")</f>
        <v>Obra</v>
      </c>
      <c r="J262" s="10" t="str">
        <f ca="1">IFERROR(__xludf.DUMMYFUNCTION("""COMPUTED_VALUE"""),"Cumplir con normativa y reglamentos internos del programa en base a los objetivos.")</f>
        <v>Cumplir con normativa y reglamentos internos del programa en base a los objetivos.</v>
      </c>
      <c r="K262" s="71">
        <f ca="1">IFERROR(__xludf.DUMMYFUNCTION("""COMPUTED_VALUE"""),90263194)</f>
        <v>90263194</v>
      </c>
      <c r="L262" s="27">
        <f ca="1">IFERROR(__xludf.DUMMYFUNCTION("""COMPUTED_VALUE"""),1)</f>
        <v>1</v>
      </c>
      <c r="M262" s="10" t="str">
        <f ca="1">IFERROR(__xludf.DUMMYFUNCTION("""COMPUTED_VALUE"""),"10108/2024")</f>
        <v>10108/2024</v>
      </c>
      <c r="N262" s="10" t="str">
        <f ca="1">IFERROR(__xludf.DUMMYFUNCTION("""COMPUTED_VALUE"""),"PMB")</f>
        <v>PMB</v>
      </c>
      <c r="O262" s="59"/>
      <c r="P262" s="1"/>
      <c r="Q262" s="1"/>
      <c r="R262" s="1"/>
      <c r="S262" s="1"/>
      <c r="T262" s="1"/>
      <c r="U262" s="1"/>
      <c r="V262" s="1"/>
      <c r="W262" s="1"/>
      <c r="X262" s="1"/>
      <c r="Y262" s="1"/>
      <c r="Z262" s="1"/>
      <c r="AA262" s="1"/>
    </row>
    <row r="263" spans="1:27" ht="12.75" customHeight="1">
      <c r="A263" s="1"/>
      <c r="B263" s="10" t="str">
        <f ca="1">IFERROR(__xludf.DUMMYFUNCTION("""COMPUTED_VALUE"""),"CONSTRUCCIÓN Y HABILITACION POZO PROFUNDO LOCALIDAD DE PIO - PIO, QUEILEN")</f>
        <v>CONSTRUCCIÓN Y HABILITACION POZO PROFUNDO LOCALIDAD DE PIO - PIO, QUEILEN</v>
      </c>
      <c r="C263" s="10" t="str">
        <f ca="1">IFERROR(__xludf.DUMMYFUNCTION("""COMPUTED_VALUE"""),"10207220703-C [CHA]")</f>
        <v>10207220703-C [CHA]</v>
      </c>
      <c r="D263" s="26" t="str">
        <f t="shared" ca="1" si="0"/>
        <v xml:space="preserve"> QUEILÉN</v>
      </c>
      <c r="E263" s="10" t="str">
        <f ca="1">IFERROR(__xludf.DUMMYFUNCTION("""COMPUTED_VALUE"""),"Guía Operativa")</f>
        <v>Guía Operativa</v>
      </c>
      <c r="F263" s="10" t="str">
        <f ca="1">IFERROR(__xludf.DUMMYFUNCTION("""COMPUTED_VALUE"""),"MUNICIPALIDAD DE QUEILÉN")</f>
        <v>MUNICIPALIDAD DE QUEILÉN</v>
      </c>
      <c r="G263" s="71">
        <f ca="1">IFERROR(__xludf.DUMMYFUNCTION("""COMPUTED_VALUE"""),37543503)</f>
        <v>37543503</v>
      </c>
      <c r="H263" s="10" t="str">
        <f ca="1">IFERROR(__xludf.DUMMYFUNCTION("""COMPUTED_VALUE"""),"Resolución")</f>
        <v>Resolución</v>
      </c>
      <c r="I263" s="10" t="str">
        <f ca="1">IFERROR(__xludf.DUMMYFUNCTION("""COMPUTED_VALUE"""),"Obra")</f>
        <v>Obra</v>
      </c>
      <c r="J263" s="10" t="str">
        <f ca="1">IFERROR(__xludf.DUMMYFUNCTION("""COMPUTED_VALUE"""),"Cumplir con normativa y reglamentos internos del programa en base a los objetivos.")</f>
        <v>Cumplir con normativa y reglamentos internos del programa en base a los objetivos.</v>
      </c>
      <c r="K263" s="71">
        <f ca="1">IFERROR(__xludf.DUMMYFUNCTION("""COMPUTED_VALUE"""),37543503)</f>
        <v>37543503</v>
      </c>
      <c r="L263" s="27">
        <f ca="1">IFERROR(__xludf.DUMMYFUNCTION("""COMPUTED_VALUE"""),1)</f>
        <v>1</v>
      </c>
      <c r="M263" s="10" t="str">
        <f ca="1">IFERROR(__xludf.DUMMYFUNCTION("""COMPUTED_VALUE"""),"8047/2024")</f>
        <v>8047/2024</v>
      </c>
      <c r="N263" s="10" t="str">
        <f ca="1">IFERROR(__xludf.DUMMYFUNCTION("""COMPUTED_VALUE"""),"PMB")</f>
        <v>PMB</v>
      </c>
      <c r="O263" s="59"/>
      <c r="P263" s="1"/>
      <c r="Q263" s="1"/>
      <c r="R263" s="1"/>
      <c r="S263" s="1"/>
      <c r="T263" s="1"/>
      <c r="U263" s="1"/>
      <c r="V263" s="1"/>
      <c r="W263" s="1"/>
      <c r="X263" s="1"/>
      <c r="Y263" s="1"/>
      <c r="Z263" s="1"/>
      <c r="AA263" s="1"/>
    </row>
    <row r="264" spans="1:27" ht="12.75" customHeight="1">
      <c r="A264" s="1"/>
      <c r="B264" s="10" t="str">
        <f ca="1">IFERROR(__xludf.DUMMYFUNCTION("""COMPUTED_VALUE"""),"CONSTRUCCIÓN Y HABILITACIÓN POZO PROFUNDO LOCALIDADES DE AGONI Y AGONI ALTO, QUEILEN")</f>
        <v>CONSTRUCCIÓN Y HABILITACIÓN POZO PROFUNDO LOCALIDADES DE AGONI Y AGONI ALTO, QUEILEN</v>
      </c>
      <c r="C264" s="10" t="str">
        <f ca="1">IFERROR(__xludf.DUMMYFUNCTION("""COMPUTED_VALUE"""),"10207220701-C [CHA]")</f>
        <v>10207220701-C [CHA]</v>
      </c>
      <c r="D264" s="26" t="str">
        <f t="shared" ca="1" si="0"/>
        <v xml:space="preserve"> QUEILÉN</v>
      </c>
      <c r="E264" s="10" t="str">
        <f ca="1">IFERROR(__xludf.DUMMYFUNCTION("""COMPUTED_VALUE"""),"Guía Operativa")</f>
        <v>Guía Operativa</v>
      </c>
      <c r="F264" s="10" t="str">
        <f ca="1">IFERROR(__xludf.DUMMYFUNCTION("""COMPUTED_VALUE"""),"MUNICIPALIDAD DE QUEILÉN")</f>
        <v>MUNICIPALIDAD DE QUEILÉN</v>
      </c>
      <c r="G264" s="71">
        <f ca="1">IFERROR(__xludf.DUMMYFUNCTION("""COMPUTED_VALUE"""),45049475)</f>
        <v>45049475</v>
      </c>
      <c r="H264" s="10" t="str">
        <f ca="1">IFERROR(__xludf.DUMMYFUNCTION("""COMPUTED_VALUE"""),"Resolución")</f>
        <v>Resolución</v>
      </c>
      <c r="I264" s="10" t="str">
        <f ca="1">IFERROR(__xludf.DUMMYFUNCTION("""COMPUTED_VALUE"""),"Obra")</f>
        <v>Obra</v>
      </c>
      <c r="J264" s="10" t="str">
        <f ca="1">IFERROR(__xludf.DUMMYFUNCTION("""COMPUTED_VALUE"""),"Cumplir con normativa y reglamentos internos del programa en base a los objetivos.")</f>
        <v>Cumplir con normativa y reglamentos internos del programa en base a los objetivos.</v>
      </c>
      <c r="K264" s="71">
        <f ca="1">IFERROR(__xludf.DUMMYFUNCTION("""COMPUTED_VALUE"""),45049475)</f>
        <v>45049475</v>
      </c>
      <c r="L264" s="27">
        <f ca="1">IFERROR(__xludf.DUMMYFUNCTION("""COMPUTED_VALUE"""),1)</f>
        <v>1</v>
      </c>
      <c r="M264" s="10" t="str">
        <f ca="1">IFERROR(__xludf.DUMMYFUNCTION("""COMPUTED_VALUE"""),"8452/2024")</f>
        <v>8452/2024</v>
      </c>
      <c r="N264" s="10" t="str">
        <f ca="1">IFERROR(__xludf.DUMMYFUNCTION("""COMPUTED_VALUE"""),"PMB")</f>
        <v>PMB</v>
      </c>
      <c r="O264" s="59"/>
      <c r="P264" s="1"/>
      <c r="Q264" s="1"/>
      <c r="R264" s="1"/>
      <c r="S264" s="1"/>
      <c r="T264" s="1"/>
      <c r="U264" s="1"/>
      <c r="V264" s="1"/>
      <c r="W264" s="1"/>
      <c r="X264" s="1"/>
      <c r="Y264" s="1"/>
      <c r="Z264" s="1"/>
      <c r="AA264" s="1"/>
    </row>
    <row r="265" spans="1:27" ht="12.75" customHeight="1">
      <c r="A265" s="1"/>
      <c r="B265" s="10" t="str">
        <f ca="1">IFERROR(__xludf.DUMMYFUNCTION("""COMPUTED_VALUE"""),"CONSTRUCCIÓN Y HABILITACIÓN POZO PROFUNDO LOCALIDAD DE PAILDAD, QUEILEN")</f>
        <v>CONSTRUCCIÓN Y HABILITACIÓN POZO PROFUNDO LOCALIDAD DE PAILDAD, QUEILEN</v>
      </c>
      <c r="C265" s="10" t="str">
        <f ca="1">IFERROR(__xludf.DUMMYFUNCTION("""COMPUTED_VALUE"""),"10207220704-C [CHA]")</f>
        <v>10207220704-C [CHA]</v>
      </c>
      <c r="D265" s="26" t="str">
        <f t="shared" ca="1" si="0"/>
        <v xml:space="preserve"> QUEILÉN</v>
      </c>
      <c r="E265" s="10" t="str">
        <f ca="1">IFERROR(__xludf.DUMMYFUNCTION("""COMPUTED_VALUE"""),"Guía Operativa")</f>
        <v>Guía Operativa</v>
      </c>
      <c r="F265" s="10" t="str">
        <f ca="1">IFERROR(__xludf.DUMMYFUNCTION("""COMPUTED_VALUE"""),"MUNICIPALIDAD DE QUEILÉN")</f>
        <v>MUNICIPALIDAD DE QUEILÉN</v>
      </c>
      <c r="G265" s="71">
        <f ca="1">IFERROR(__xludf.DUMMYFUNCTION("""COMPUTED_VALUE"""),36053799)</f>
        <v>36053799</v>
      </c>
      <c r="H265" s="10" t="str">
        <f ca="1">IFERROR(__xludf.DUMMYFUNCTION("""COMPUTED_VALUE"""),"Resolución")</f>
        <v>Resolución</v>
      </c>
      <c r="I265" s="10" t="str">
        <f ca="1">IFERROR(__xludf.DUMMYFUNCTION("""COMPUTED_VALUE"""),"Obra")</f>
        <v>Obra</v>
      </c>
      <c r="J265" s="10" t="str">
        <f ca="1">IFERROR(__xludf.DUMMYFUNCTION("""COMPUTED_VALUE"""),"Cumplir con normativa y reglamentos internos del programa en base a los objetivos.")</f>
        <v>Cumplir con normativa y reglamentos internos del programa en base a los objetivos.</v>
      </c>
      <c r="K265" s="71">
        <f ca="1">IFERROR(__xludf.DUMMYFUNCTION("""COMPUTED_VALUE"""),36053799)</f>
        <v>36053799</v>
      </c>
      <c r="L265" s="27">
        <f ca="1">IFERROR(__xludf.DUMMYFUNCTION("""COMPUTED_VALUE"""),1)</f>
        <v>1</v>
      </c>
      <c r="M265" s="10" t="str">
        <f ca="1">IFERROR(__xludf.DUMMYFUNCTION("""COMPUTED_VALUE"""),"8447/2024")</f>
        <v>8447/2024</v>
      </c>
      <c r="N265" s="10" t="str">
        <f ca="1">IFERROR(__xludf.DUMMYFUNCTION("""COMPUTED_VALUE"""),"PMB")</f>
        <v>PMB</v>
      </c>
      <c r="O265" s="59"/>
      <c r="P265" s="1"/>
      <c r="Q265" s="1"/>
      <c r="R265" s="1"/>
      <c r="S265" s="1"/>
      <c r="T265" s="1"/>
      <c r="U265" s="1"/>
      <c r="V265" s="1"/>
      <c r="W265" s="1"/>
      <c r="X265" s="1"/>
      <c r="Y265" s="1"/>
      <c r="Z265" s="1"/>
      <c r="AA265" s="1"/>
    </row>
    <row r="266" spans="1:27" ht="12.75" customHeight="1">
      <c r="A266" s="1"/>
      <c r="B266" s="10" t="str">
        <f ca="1">IFERROR(__xludf.DUMMYFUNCTION("""COMPUTED_VALUE"""),"EXTENSIÓN RED DE AGUA POTABLE Y RED DE AGUAS SERVIDAS CALLE JUAN ANTONIO RÍOS, DIAGONAL Y ROBERTO GOMEZ, HUEPIL COMUNA TUCAPEL")</f>
        <v>EXTENSIÓN RED DE AGUA POTABLE Y RED DE AGUAS SERVIDAS CALLE JUAN ANTONIO RÍOS, DIAGONAL Y ROBERTO GOMEZ, HUEPIL COMUNA TUCAPEL</v>
      </c>
      <c r="C266" s="10" t="str">
        <f ca="1">IFERROR(__xludf.DUMMYFUNCTION("""COMPUTED_VALUE"""),"8312230701-C")</f>
        <v>8312230701-C</v>
      </c>
      <c r="D266" s="26" t="str">
        <f t="shared" ca="1" si="0"/>
        <v xml:space="preserve"> TUCAPEL</v>
      </c>
      <c r="E266" s="10" t="str">
        <f ca="1">IFERROR(__xludf.DUMMYFUNCTION("""COMPUTED_VALUE"""),"Guía Operativa")</f>
        <v>Guía Operativa</v>
      </c>
      <c r="F266" s="10" t="str">
        <f ca="1">IFERROR(__xludf.DUMMYFUNCTION("""COMPUTED_VALUE"""),"MUNICIPALIDAD DE TUCAPEL")</f>
        <v>MUNICIPALIDAD DE TUCAPEL</v>
      </c>
      <c r="G266" s="71">
        <f ca="1">IFERROR(__xludf.DUMMYFUNCTION("""COMPUTED_VALUE"""),7328653)</f>
        <v>7328653</v>
      </c>
      <c r="H266" s="10" t="str">
        <f ca="1">IFERROR(__xludf.DUMMYFUNCTION("""COMPUTED_VALUE"""),"Resolución")</f>
        <v>Resolución</v>
      </c>
      <c r="I266" s="10" t="str">
        <f ca="1">IFERROR(__xludf.DUMMYFUNCTION("""COMPUTED_VALUE"""),"Obra")</f>
        <v>Obra</v>
      </c>
      <c r="J266" s="10" t="str">
        <f ca="1">IFERROR(__xludf.DUMMYFUNCTION("""COMPUTED_VALUE"""),"Cumplir con normativa y reglamentos internos del programa en base a los objetivos.")</f>
        <v>Cumplir con normativa y reglamentos internos del programa en base a los objetivos.</v>
      </c>
      <c r="K266" s="71">
        <f ca="1">IFERROR(__xludf.DUMMYFUNCTION("""COMPUTED_VALUE"""),7169744)</f>
        <v>7169744</v>
      </c>
      <c r="L266" s="27">
        <f ca="1">IFERROR(__xludf.DUMMYFUNCTION("""COMPUTED_VALUE"""),0.9783167520689)</f>
        <v>0.97831675206890001</v>
      </c>
      <c r="M266" s="10" t="str">
        <f ca="1">IFERROR(__xludf.DUMMYFUNCTION("""COMPUTED_VALUE"""),"8461/2024")</f>
        <v>8461/2024</v>
      </c>
      <c r="N266" s="10" t="str">
        <f ca="1">IFERROR(__xludf.DUMMYFUNCTION("""COMPUTED_VALUE"""),"PMB")</f>
        <v>PMB</v>
      </c>
      <c r="O266" s="59"/>
      <c r="P266" s="1"/>
      <c r="Q266" s="1"/>
      <c r="R266" s="1"/>
      <c r="S266" s="1"/>
      <c r="T266" s="1"/>
      <c r="U266" s="1"/>
      <c r="V266" s="1"/>
      <c r="W266" s="1"/>
      <c r="X266" s="1"/>
      <c r="Y266" s="1"/>
      <c r="Z266" s="1"/>
      <c r="AA266" s="1"/>
    </row>
    <row r="267" spans="1:27" ht="12.75" customHeight="1">
      <c r="A267" s="1"/>
      <c r="B267" s="10" t="str">
        <f ca="1">IFERROR(__xludf.DUMMYFUNCTION("""COMPUTED_VALUE"""),"RESTAURACIÓN DE IGLESIA LOCALIDAD DE NAMA COMUNA DE CAMIÑA")</f>
        <v>RESTAURACIÓN DE IGLESIA LOCALIDAD DE NAMA COMUNA DE CAMIÑA</v>
      </c>
      <c r="C267" s="10" t="str">
        <f ca="1">IFERROR(__xludf.DUMMYFUNCTION("""COMPUTED_VALUE"""),"1402241001-C")</f>
        <v>1402241001-C</v>
      </c>
      <c r="D267" s="26" t="str">
        <f t="shared" ca="1" si="0"/>
        <v xml:space="preserve"> CAMIÑA</v>
      </c>
      <c r="E267" s="10" t="str">
        <f ca="1">IFERROR(__xludf.DUMMYFUNCTION("""COMPUTED_VALUE"""),"Guía Operativa")</f>
        <v>Guía Operativa</v>
      </c>
      <c r="F267" s="10" t="str">
        <f ca="1">IFERROR(__xludf.DUMMYFUNCTION("""COMPUTED_VALUE"""),"MUNICIPALIDAD DE CAMIÑA")</f>
        <v>MUNICIPALIDAD DE CAMIÑA</v>
      </c>
      <c r="G267" s="71">
        <f ca="1">IFERROR(__xludf.DUMMYFUNCTION("""COMPUTED_VALUE"""),7200000)</f>
        <v>7200000</v>
      </c>
      <c r="H267" s="10" t="str">
        <f ca="1">IFERROR(__xludf.DUMMYFUNCTION("""COMPUTED_VALUE"""),"Resolución")</f>
        <v>Resolución</v>
      </c>
      <c r="I267" s="10" t="str">
        <f ca="1">IFERROR(__xludf.DUMMYFUNCTION("""COMPUTED_VALUE"""),"Asistencia Técnica")</f>
        <v>Asistencia Técnica</v>
      </c>
      <c r="J267" s="10" t="str">
        <f ca="1">IFERROR(__xludf.DUMMYFUNCTION("""COMPUTED_VALUE"""),"Cumplir con normativa y reglamentos internos del programa en base a los objetivos.")</f>
        <v>Cumplir con normativa y reglamentos internos del programa en base a los objetivos.</v>
      </c>
      <c r="K267" s="71">
        <f ca="1">IFERROR(__xludf.DUMMYFUNCTION("""COMPUTED_VALUE"""),7200000)</f>
        <v>7200000</v>
      </c>
      <c r="L267" s="27">
        <f ca="1">IFERROR(__xludf.DUMMYFUNCTION("""COMPUTED_VALUE"""),1)</f>
        <v>1</v>
      </c>
      <c r="M267" s="10" t="str">
        <f ca="1">IFERROR(__xludf.DUMMYFUNCTION("""COMPUTED_VALUE"""),"10332/2024")</f>
        <v>10332/2024</v>
      </c>
      <c r="N267" s="10" t="str">
        <f ca="1">IFERROR(__xludf.DUMMYFUNCTION("""COMPUTED_VALUE"""),"PMB")</f>
        <v>PMB</v>
      </c>
      <c r="O267" s="59"/>
      <c r="P267" s="1"/>
      <c r="Q267" s="1"/>
      <c r="R267" s="1"/>
      <c r="S267" s="1"/>
      <c r="T267" s="1"/>
      <c r="U267" s="1"/>
      <c r="V267" s="1"/>
      <c r="W267" s="1"/>
      <c r="X267" s="1"/>
      <c r="Y267" s="1"/>
      <c r="Z267" s="1"/>
      <c r="AA267" s="1"/>
    </row>
    <row r="268" spans="1:27" ht="12.75" customHeight="1">
      <c r="A268" s="1"/>
      <c r="B268" s="10" t="str">
        <f ca="1">IFERROR(__xludf.DUMMYFUNCTION("""COMPUTED_VALUE"""),"SANEAMIENTO DE TITULOS MULTIPLES LOCALIDADES, COMUNA DE GALVARINO")</f>
        <v>SANEAMIENTO DE TITULOS MULTIPLES LOCALIDADES, COMUNA DE GALVARINO</v>
      </c>
      <c r="C268" s="10" t="str">
        <f ca="1">IFERROR(__xludf.DUMMYFUNCTION("""COMPUTED_VALUE"""),"9106230902-C")</f>
        <v>9106230902-C</v>
      </c>
      <c r="D268" s="26" t="str">
        <f t="shared" ca="1" si="0"/>
        <v xml:space="preserve"> GALVARINO</v>
      </c>
      <c r="E268" s="10" t="str">
        <f ca="1">IFERROR(__xludf.DUMMYFUNCTION("""COMPUTED_VALUE"""),"Guía Operativa")</f>
        <v>Guía Operativa</v>
      </c>
      <c r="F268" s="10" t="str">
        <f ca="1">IFERROR(__xludf.DUMMYFUNCTION("""COMPUTED_VALUE"""),"MUNICIPALIDAD DE GALVARINO")</f>
        <v>MUNICIPALIDAD DE GALVARINO</v>
      </c>
      <c r="G268" s="71">
        <f ca="1">IFERROR(__xludf.DUMMYFUNCTION("""COMPUTED_VALUE"""),64252612)</f>
        <v>64252612</v>
      </c>
      <c r="H268" s="10" t="str">
        <f ca="1">IFERROR(__xludf.DUMMYFUNCTION("""COMPUTED_VALUE"""),"Resolución")</f>
        <v>Resolución</v>
      </c>
      <c r="I268" s="10" t="str">
        <f ca="1">IFERROR(__xludf.DUMMYFUNCTION("""COMPUTED_VALUE"""),"Saneamiento de Títulos")</f>
        <v>Saneamiento de Títulos</v>
      </c>
      <c r="J268" s="10" t="str">
        <f ca="1">IFERROR(__xludf.DUMMYFUNCTION("""COMPUTED_VALUE"""),"Cumplir con normativa y reglamentos internos del programa en base a los objetivos.")</f>
        <v>Cumplir con normativa y reglamentos internos del programa en base a los objetivos.</v>
      </c>
      <c r="K268" s="71">
        <f ca="1">IFERROR(__xludf.DUMMYFUNCTION("""COMPUTED_VALUE"""),64252612)</f>
        <v>64252612</v>
      </c>
      <c r="L268" s="27">
        <f ca="1">IFERROR(__xludf.DUMMYFUNCTION("""COMPUTED_VALUE"""),1)</f>
        <v>1</v>
      </c>
      <c r="M268" s="10" t="str">
        <f ca="1">IFERROR(__xludf.DUMMYFUNCTION("""COMPUTED_VALUE"""),"10411/2024")</f>
        <v>10411/2024</v>
      </c>
      <c r="N268" s="10" t="str">
        <f ca="1">IFERROR(__xludf.DUMMYFUNCTION("""COMPUTED_VALUE"""),"PMB")</f>
        <v>PMB</v>
      </c>
      <c r="O268" s="59"/>
      <c r="P268" s="1"/>
      <c r="Q268" s="1"/>
      <c r="R268" s="1"/>
      <c r="S268" s="1"/>
      <c r="T268" s="1"/>
      <c r="U268" s="1"/>
      <c r="V268" s="1"/>
      <c r="W268" s="1"/>
      <c r="X268" s="1"/>
      <c r="Y268" s="1"/>
      <c r="Z268" s="1"/>
      <c r="AA268" s="1"/>
    </row>
    <row r="269" spans="1:27" ht="12.75" customHeight="1">
      <c r="A269" s="1"/>
      <c r="B269" s="10" t="str">
        <f ca="1">IFERROR(__xludf.DUMMYFUNCTION("""COMPUTED_VALUE"""),"MEJORAMIENTO PLANTA DE TRATAMIENTO Y SISTEMA SSR DE LA COMUNA DE CURACO DE VELEZ")</f>
        <v>MEJORAMIENTO PLANTA DE TRATAMIENTO Y SISTEMA SSR DE LA COMUNA DE CURACO DE VELEZ</v>
      </c>
      <c r="C269" s="10" t="str">
        <f ca="1">IFERROR(__xludf.DUMMYFUNCTION("""COMPUTED_VALUE"""),"10204240701-B")</f>
        <v>10204240701-B</v>
      </c>
      <c r="D269" s="26" t="str">
        <f t="shared" ca="1" si="0"/>
        <v xml:space="preserve"> CURACO DE VÉLEZ</v>
      </c>
      <c r="E269" s="10" t="str">
        <f ca="1">IFERROR(__xludf.DUMMYFUNCTION("""COMPUTED_VALUE"""),"Guía Operativa")</f>
        <v>Guía Operativa</v>
      </c>
      <c r="F269" s="10" t="str">
        <f ca="1">IFERROR(__xludf.DUMMYFUNCTION("""COMPUTED_VALUE"""),"MUNICIPALIDAD DE CURACO DE VÉLEZ")</f>
        <v>MUNICIPALIDAD DE CURACO DE VÉLEZ</v>
      </c>
      <c r="G269" s="71">
        <f ca="1">IFERROR(__xludf.DUMMYFUNCTION("""COMPUTED_VALUE"""),90000000)</f>
        <v>90000000</v>
      </c>
      <c r="H269" s="10" t="str">
        <f ca="1">IFERROR(__xludf.DUMMYFUNCTION("""COMPUTED_VALUE"""),"Resolución")</f>
        <v>Resolución</v>
      </c>
      <c r="I269" s="10" t="str">
        <f ca="1">IFERROR(__xludf.DUMMYFUNCTION("""COMPUTED_VALUE"""),"Obra")</f>
        <v>Obra</v>
      </c>
      <c r="J269" s="10" t="str">
        <f ca="1">IFERROR(__xludf.DUMMYFUNCTION("""COMPUTED_VALUE"""),"Cumplir con normativa y reglamentos internos del programa en base a los objetivos.")</f>
        <v>Cumplir con normativa y reglamentos internos del programa en base a los objetivos.</v>
      </c>
      <c r="K269" s="71">
        <f ca="1">IFERROR(__xludf.DUMMYFUNCTION("""COMPUTED_VALUE"""),90000000)</f>
        <v>90000000</v>
      </c>
      <c r="L269" s="27">
        <f ca="1">IFERROR(__xludf.DUMMYFUNCTION("""COMPUTED_VALUE"""),1)</f>
        <v>1</v>
      </c>
      <c r="M269" s="10" t="str">
        <f ca="1">IFERROR(__xludf.DUMMYFUNCTION("""COMPUTED_VALUE"""),"10005/2024")</f>
        <v>10005/2024</v>
      </c>
      <c r="N269" s="10" t="str">
        <f ca="1">IFERROR(__xludf.DUMMYFUNCTION("""COMPUTED_VALUE"""),"PMB")</f>
        <v>PMB</v>
      </c>
      <c r="O269" s="59"/>
      <c r="P269" s="1"/>
      <c r="Q269" s="1"/>
      <c r="R269" s="1"/>
      <c r="S269" s="1"/>
      <c r="T269" s="1"/>
      <c r="U269" s="1"/>
      <c r="V269" s="1"/>
      <c r="W269" s="1"/>
      <c r="X269" s="1"/>
      <c r="Y269" s="1"/>
      <c r="Z269" s="1"/>
      <c r="AA269" s="1"/>
    </row>
    <row r="270" spans="1:27" ht="12.75" customHeight="1">
      <c r="A270" s="1"/>
      <c r="B270" s="10" t="str">
        <f ca="1">IFERROR(__xludf.DUMMYFUNCTION("""COMPUTED_VALUE"""),"ASISTENCIA TÉCNICA PARA LA GENERACIÓN DE PROYECTOS SUBDERE, COMUNA DE LOS ÁLAMOS")</f>
        <v>ASISTENCIA TÉCNICA PARA LA GENERACIÓN DE PROYECTOS SUBDERE, COMUNA DE LOS ÁLAMOS</v>
      </c>
      <c r="C270" s="10" t="str">
        <f ca="1">IFERROR(__xludf.DUMMYFUNCTION("""COMPUTED_VALUE"""),"8206241001-C")</f>
        <v>8206241001-C</v>
      </c>
      <c r="D270" s="26" t="str">
        <f t="shared" ca="1" si="0"/>
        <v xml:space="preserve"> LOS ÁLAMOS</v>
      </c>
      <c r="E270" s="10" t="str">
        <f ca="1">IFERROR(__xludf.DUMMYFUNCTION("""COMPUTED_VALUE"""),"Guía Operativa")</f>
        <v>Guía Operativa</v>
      </c>
      <c r="F270" s="10" t="str">
        <f ca="1">IFERROR(__xludf.DUMMYFUNCTION("""COMPUTED_VALUE"""),"MUNICIPALIDAD DE LOS ÁLAMOS")</f>
        <v>MUNICIPALIDAD DE LOS ÁLAMOS</v>
      </c>
      <c r="G270" s="71">
        <f ca="1">IFERROR(__xludf.DUMMYFUNCTION("""COMPUTED_VALUE"""),69000000)</f>
        <v>69000000</v>
      </c>
      <c r="H270" s="10" t="str">
        <f ca="1">IFERROR(__xludf.DUMMYFUNCTION("""COMPUTED_VALUE"""),"Resolución")</f>
        <v>Resolución</v>
      </c>
      <c r="I270" s="10" t="str">
        <f ca="1">IFERROR(__xludf.DUMMYFUNCTION("""COMPUTED_VALUE"""),"Asistencia Técnica")</f>
        <v>Asistencia Técnica</v>
      </c>
      <c r="J270" s="10" t="str">
        <f ca="1">IFERROR(__xludf.DUMMYFUNCTION("""COMPUTED_VALUE"""),"Cumplir con normativa y reglamentos internos del programa en base a los objetivos.")</f>
        <v>Cumplir con normativa y reglamentos internos del programa en base a los objetivos.</v>
      </c>
      <c r="K270" s="71">
        <f ca="1">IFERROR(__xludf.DUMMYFUNCTION("""COMPUTED_VALUE"""),34500000)</f>
        <v>34500000</v>
      </c>
      <c r="L270" s="27">
        <f ca="1">IFERROR(__xludf.DUMMYFUNCTION("""COMPUTED_VALUE"""),0.5)</f>
        <v>0.5</v>
      </c>
      <c r="M270" s="10" t="str">
        <f ca="1">IFERROR(__xludf.DUMMYFUNCTION("""COMPUTED_VALUE"""),"8766/2024")</f>
        <v>8766/2024</v>
      </c>
      <c r="N270" s="10" t="str">
        <f ca="1">IFERROR(__xludf.DUMMYFUNCTION("""COMPUTED_VALUE"""),"PMB")</f>
        <v>PMB</v>
      </c>
      <c r="O270" s="59"/>
      <c r="P270" s="1"/>
      <c r="Q270" s="1"/>
      <c r="R270" s="1"/>
      <c r="S270" s="1"/>
      <c r="T270" s="1"/>
      <c r="U270" s="1"/>
      <c r="V270" s="1"/>
      <c r="W270" s="1"/>
      <c r="X270" s="1"/>
      <c r="Y270" s="1"/>
      <c r="Z270" s="1"/>
      <c r="AA270" s="1"/>
    </row>
    <row r="271" spans="1:27" ht="12.75" customHeight="1">
      <c r="A271" s="1"/>
      <c r="B271" s="10" t="str">
        <f ca="1">IFERROR(__xludf.DUMMYFUNCTION("""COMPUTED_VALUE"""),"MEJORAMIENTO INTEGRAL DE LA PLANTA DE TRATAMIENTO DE AGUAS SERVIDAS DE MATILLA")</f>
        <v>MEJORAMIENTO INTEGRAL DE LA PLANTA DE TRATAMIENTO DE AGUAS SERVIDAS DE MATILLA</v>
      </c>
      <c r="C271" s="10" t="str">
        <f ca="1">IFERROR(__xludf.DUMMYFUNCTION("""COMPUTED_VALUE"""),"1405240701-B")</f>
        <v>1405240701-B</v>
      </c>
      <c r="D271" s="26" t="str">
        <f t="shared" ca="1" si="0"/>
        <v xml:space="preserve"> PICA</v>
      </c>
      <c r="E271" s="10" t="str">
        <f ca="1">IFERROR(__xludf.DUMMYFUNCTION("""COMPUTED_VALUE"""),"Guía Operativa")</f>
        <v>Guía Operativa</v>
      </c>
      <c r="F271" s="10" t="str">
        <f ca="1">IFERROR(__xludf.DUMMYFUNCTION("""COMPUTED_VALUE"""),"MUNICIPALIDAD DE PICA")</f>
        <v>MUNICIPALIDAD DE PICA</v>
      </c>
      <c r="G271" s="71">
        <f ca="1">IFERROR(__xludf.DUMMYFUNCTION("""COMPUTED_VALUE"""),306852310)</f>
        <v>306852310</v>
      </c>
      <c r="H271" s="10" t="str">
        <f ca="1">IFERROR(__xludf.DUMMYFUNCTION("""COMPUTED_VALUE"""),"Resolución")</f>
        <v>Resolución</v>
      </c>
      <c r="I271" s="10" t="str">
        <f ca="1">IFERROR(__xludf.DUMMYFUNCTION("""COMPUTED_VALUE"""),"Obra")</f>
        <v>Obra</v>
      </c>
      <c r="J271" s="10" t="str">
        <f ca="1">IFERROR(__xludf.DUMMYFUNCTION("""COMPUTED_VALUE"""),"Cumplir con normativa y reglamentos internos del programa en base a los objetivos.")</f>
        <v>Cumplir con normativa y reglamentos internos del programa en base a los objetivos.</v>
      </c>
      <c r="K271" s="71">
        <f ca="1">IFERROR(__xludf.DUMMYFUNCTION("""COMPUTED_VALUE"""),306852310)</f>
        <v>306852310</v>
      </c>
      <c r="L271" s="27">
        <f ca="1">IFERROR(__xludf.DUMMYFUNCTION("""COMPUTED_VALUE"""),1)</f>
        <v>1</v>
      </c>
      <c r="M271" s="10" t="str">
        <f ca="1">IFERROR(__xludf.DUMMYFUNCTION("""COMPUTED_VALUE"""),"10016/2024")</f>
        <v>10016/2024</v>
      </c>
      <c r="N271" s="10" t="str">
        <f ca="1">IFERROR(__xludf.DUMMYFUNCTION("""COMPUTED_VALUE"""),"PMB")</f>
        <v>PMB</v>
      </c>
      <c r="O271" s="59"/>
      <c r="P271" s="1"/>
      <c r="Q271" s="1"/>
      <c r="R271" s="1"/>
      <c r="S271" s="1"/>
      <c r="T271" s="1"/>
      <c r="U271" s="1"/>
      <c r="V271" s="1"/>
      <c r="W271" s="1"/>
      <c r="X271" s="1"/>
      <c r="Y271" s="1"/>
      <c r="Z271" s="1"/>
      <c r="AA271" s="1"/>
    </row>
    <row r="272" spans="1:27" ht="12.75" customHeight="1">
      <c r="A272" s="1"/>
      <c r="B272" s="10" t="str">
        <f ca="1">IFERROR(__xludf.DUMMYFUNCTION("""COMPUTED_VALUE"""),"ADQUISICIÓN TERRENO PARA PROYECTO INMOBILIARIO SAN MATEO TEMUCO")</f>
        <v>ADQUISICIÓN TERRENO PARA PROYECTO INMOBILIARIO SAN MATEO TEMUCO</v>
      </c>
      <c r="C272" s="10" t="str">
        <f ca="1">IFERROR(__xludf.DUMMYFUNCTION("""COMPUTED_VALUE"""),"9101210801-C")</f>
        <v>9101210801-C</v>
      </c>
      <c r="D272" s="26" t="str">
        <f t="shared" ca="1" si="0"/>
        <v xml:space="preserve"> TEMUCO</v>
      </c>
      <c r="E272" s="10" t="str">
        <f ca="1">IFERROR(__xludf.DUMMYFUNCTION("""COMPUTED_VALUE"""),"Guía Operativa")</f>
        <v>Guía Operativa</v>
      </c>
      <c r="F272" s="10" t="str">
        <f ca="1">IFERROR(__xludf.DUMMYFUNCTION("""COMPUTED_VALUE"""),"MUNICIPALIDAD DE TEMUCO")</f>
        <v>MUNICIPALIDAD DE TEMUCO</v>
      </c>
      <c r="G272" s="71">
        <f ca="1">IFERROR(__xludf.DUMMYFUNCTION("""COMPUTED_VALUE"""),2932681925)</f>
        <v>2932681925</v>
      </c>
      <c r="H272" s="10" t="str">
        <f ca="1">IFERROR(__xludf.DUMMYFUNCTION("""COMPUTED_VALUE"""),"Resolución")</f>
        <v>Resolución</v>
      </c>
      <c r="I272" s="10" t="str">
        <f ca="1">IFERROR(__xludf.DUMMYFUNCTION("""COMPUTED_VALUE"""),"Adquisición Terreno")</f>
        <v>Adquisición Terreno</v>
      </c>
      <c r="J272" s="10" t="str">
        <f ca="1">IFERROR(__xludf.DUMMYFUNCTION("""COMPUTED_VALUE"""),"Cumplir con normativa y reglamentos internos del programa en base a los objetivos.")</f>
        <v>Cumplir con normativa y reglamentos internos del programa en base a los objetivos.</v>
      </c>
      <c r="K272" s="71">
        <f ca="1">IFERROR(__xludf.DUMMYFUNCTION("""COMPUTED_VALUE"""),2932681925)</f>
        <v>2932681925</v>
      </c>
      <c r="L272" s="27">
        <f ca="1">IFERROR(__xludf.DUMMYFUNCTION("""COMPUTED_VALUE"""),1)</f>
        <v>1</v>
      </c>
      <c r="M272" s="10" t="str">
        <f ca="1">IFERROR(__xludf.DUMMYFUNCTION("""COMPUTED_VALUE"""),"36/2024")</f>
        <v>36/2024</v>
      </c>
      <c r="N272" s="10" t="str">
        <f ca="1">IFERROR(__xludf.DUMMYFUNCTION("""COMPUTED_VALUE"""),"PMB")</f>
        <v>PMB</v>
      </c>
      <c r="O272" s="59"/>
      <c r="P272" s="1"/>
      <c r="Q272" s="1"/>
      <c r="R272" s="1"/>
      <c r="S272" s="1"/>
      <c r="T272" s="1"/>
      <c r="U272" s="1"/>
      <c r="V272" s="1"/>
      <c r="W272" s="1"/>
      <c r="X272" s="1"/>
      <c r="Y272" s="1"/>
      <c r="Z272" s="1"/>
      <c r="AA272" s="1"/>
    </row>
    <row r="273" spans="1:27" ht="12.75" customHeight="1">
      <c r="A273" s="1"/>
      <c r="B273" s="10" t="str">
        <f ca="1">IFERROR(__xludf.DUMMYFUNCTION("""COMPUTED_VALUE"""),"APOYO INSPECCION TECNICA PROYECTOS PMB COMUNA DE FUTRONO")</f>
        <v>APOYO INSPECCION TECNICA PROYECTOS PMB COMUNA DE FUTRONO</v>
      </c>
      <c r="C273" s="10" t="str">
        <f ca="1">IFERROR(__xludf.DUMMYFUNCTION("""COMPUTED_VALUE"""),"14202230501-C")</f>
        <v>14202230501-C</v>
      </c>
      <c r="D273" s="26" t="str">
        <f t="shared" ca="1" si="0"/>
        <v xml:space="preserve"> FUTRONO</v>
      </c>
      <c r="E273" s="10" t="str">
        <f ca="1">IFERROR(__xludf.DUMMYFUNCTION("""COMPUTED_VALUE"""),"Guía Operativa")</f>
        <v>Guía Operativa</v>
      </c>
      <c r="F273" s="10" t="str">
        <f ca="1">IFERROR(__xludf.DUMMYFUNCTION("""COMPUTED_VALUE"""),"MUNICIPALIDAD DE FUTRONO")</f>
        <v>MUNICIPALIDAD DE FUTRONO</v>
      </c>
      <c r="G273" s="71">
        <f ca="1">IFERROR(__xludf.DUMMYFUNCTION("""COMPUTED_VALUE"""),20869560)</f>
        <v>20869560</v>
      </c>
      <c r="H273" s="10" t="str">
        <f ca="1">IFERROR(__xludf.DUMMYFUNCTION("""COMPUTED_VALUE"""),"Resolución")</f>
        <v>Resolución</v>
      </c>
      <c r="I273" s="10" t="str">
        <f ca="1">IFERROR(__xludf.DUMMYFUNCTION("""COMPUTED_VALUE"""),"Inspección Técnica")</f>
        <v>Inspección Técnica</v>
      </c>
      <c r="J273" s="10" t="str">
        <f ca="1">IFERROR(__xludf.DUMMYFUNCTION("""COMPUTED_VALUE"""),"Cumplir con normativa y reglamentos internos del programa en base a los objetivos.")</f>
        <v>Cumplir con normativa y reglamentos internos del programa en base a los objetivos.</v>
      </c>
      <c r="K273" s="71">
        <f ca="1">IFERROR(__xludf.DUMMYFUNCTION("""COMPUTED_VALUE"""),20869560)</f>
        <v>20869560</v>
      </c>
      <c r="L273" s="27">
        <f ca="1">IFERROR(__xludf.DUMMYFUNCTION("""COMPUTED_VALUE"""),1)</f>
        <v>1</v>
      </c>
      <c r="M273" s="10" t="str">
        <f ca="1">IFERROR(__xludf.DUMMYFUNCTION("""COMPUTED_VALUE"""),"9627/2024")</f>
        <v>9627/2024</v>
      </c>
      <c r="N273" s="10" t="str">
        <f ca="1">IFERROR(__xludf.DUMMYFUNCTION("""COMPUTED_VALUE"""),"PMB")</f>
        <v>PMB</v>
      </c>
      <c r="O273" s="59"/>
      <c r="P273" s="1"/>
      <c r="Q273" s="1"/>
      <c r="R273" s="1"/>
      <c r="S273" s="1"/>
      <c r="T273" s="1"/>
      <c r="U273" s="1"/>
      <c r="V273" s="1"/>
      <c r="W273" s="1"/>
      <c r="X273" s="1"/>
      <c r="Y273" s="1"/>
      <c r="Z273" s="1"/>
      <c r="AA273" s="1"/>
    </row>
    <row r="274" spans="1:27" ht="12.75" customHeight="1">
      <c r="A274" s="1"/>
      <c r="B274" s="10" t="str">
        <f ca="1">IFERROR(__xludf.DUMMYFUNCTION("""COMPUTED_VALUE"""),"MEJORAMIENTO RED DE DISTRIBUCIÓN ELÉCTRICA POBLADO DE OLLAGUE, COMUNA DE OLLAGUE.")</f>
        <v>MEJORAMIENTO RED DE DISTRIBUCIÓN ELÉCTRICA POBLADO DE OLLAGUE, COMUNA DE OLLAGUE.</v>
      </c>
      <c r="C274" s="10" t="str">
        <f ca="1">IFERROR(__xludf.DUMMYFUNCTION("""COMPUTED_VALUE"""),"2202220702-C")</f>
        <v>2202220702-C</v>
      </c>
      <c r="D274" s="26" t="str">
        <f t="shared" ca="1" si="0"/>
        <v xml:space="preserve"> OLLAGÜE</v>
      </c>
      <c r="E274" s="10" t="str">
        <f ca="1">IFERROR(__xludf.DUMMYFUNCTION("""COMPUTED_VALUE"""),"Guía Operativa")</f>
        <v>Guía Operativa</v>
      </c>
      <c r="F274" s="10" t="str">
        <f ca="1">IFERROR(__xludf.DUMMYFUNCTION("""COMPUTED_VALUE"""),"MUNICIPALIDAD DE OLLAGÜE")</f>
        <v>MUNICIPALIDAD DE OLLAGÜE</v>
      </c>
      <c r="G274" s="71">
        <f ca="1">IFERROR(__xludf.DUMMYFUNCTION("""COMPUTED_VALUE"""),249572651)</f>
        <v>249572651</v>
      </c>
      <c r="H274" s="10" t="str">
        <f ca="1">IFERROR(__xludf.DUMMYFUNCTION("""COMPUTED_VALUE"""),"Resolución")</f>
        <v>Resolución</v>
      </c>
      <c r="I274" s="10" t="str">
        <f ca="1">IFERROR(__xludf.DUMMYFUNCTION("""COMPUTED_VALUE"""),"Obra")</f>
        <v>Obra</v>
      </c>
      <c r="J274" s="10" t="str">
        <f ca="1">IFERROR(__xludf.DUMMYFUNCTION("""COMPUTED_VALUE"""),"Cumplir con normativa y reglamentos internos del programa en base a los objetivos.")</f>
        <v>Cumplir con normativa y reglamentos internos del programa en base a los objetivos.</v>
      </c>
      <c r="K274" s="71">
        <f ca="1">IFERROR(__xludf.DUMMYFUNCTION("""COMPUTED_VALUE"""),249572651)</f>
        <v>249572651</v>
      </c>
      <c r="L274" s="27">
        <f ca="1">IFERROR(__xludf.DUMMYFUNCTION("""COMPUTED_VALUE"""),1)</f>
        <v>1</v>
      </c>
      <c r="M274" s="10" t="str">
        <f ca="1">IFERROR(__xludf.DUMMYFUNCTION("""COMPUTED_VALUE"""),"10031/2024")</f>
        <v>10031/2024</v>
      </c>
      <c r="N274" s="10" t="str">
        <f ca="1">IFERROR(__xludf.DUMMYFUNCTION("""COMPUTED_VALUE"""),"PMB")</f>
        <v>PMB</v>
      </c>
      <c r="O274" s="59"/>
      <c r="P274" s="1"/>
      <c r="Q274" s="1"/>
      <c r="R274" s="1"/>
      <c r="S274" s="1"/>
      <c r="T274" s="1"/>
      <c r="U274" s="1"/>
      <c r="V274" s="1"/>
      <c r="W274" s="1"/>
      <c r="X274" s="1"/>
      <c r="Y274" s="1"/>
      <c r="Z274" s="1"/>
      <c r="AA274" s="1"/>
    </row>
    <row r="275" spans="1:27" ht="12.75" customHeight="1">
      <c r="A275" s="1"/>
      <c r="B275" s="10" t="str">
        <f ca="1">IFERROR(__xludf.DUMMYFUNCTION("""COMPUTED_VALUE"""),"CONSTRUCCION PLANTA DE TRATAMIENTO DE AGUAS SERVIDAS Y CATASTRO SANITARIO SECTORES DE LA COMUNA DE LOLOL, NILAHUE ALTO Y RANGUIL")</f>
        <v>CONSTRUCCION PLANTA DE TRATAMIENTO DE AGUAS SERVIDAS Y CATASTRO SANITARIO SECTORES DE LA COMUNA DE LOLOL, NILAHUE ALTO Y RANGUIL</v>
      </c>
      <c r="C275" s="10" t="str">
        <f ca="1">IFERROR(__xludf.DUMMYFUNCTION("""COMPUTED_VALUE"""),"6304241002-C")</f>
        <v>6304241002-C</v>
      </c>
      <c r="D275" s="26" t="str">
        <f t="shared" ca="1" si="0"/>
        <v xml:space="preserve"> LOLOL</v>
      </c>
      <c r="E275" s="10" t="str">
        <f ca="1">IFERROR(__xludf.DUMMYFUNCTION("""COMPUTED_VALUE"""),"Guía Operativa")</f>
        <v>Guía Operativa</v>
      </c>
      <c r="F275" s="10" t="str">
        <f ca="1">IFERROR(__xludf.DUMMYFUNCTION("""COMPUTED_VALUE"""),"MUNICIPALIDAD DE LOLOL")</f>
        <v>MUNICIPALIDAD DE LOLOL</v>
      </c>
      <c r="G275" s="71">
        <f ca="1">IFERROR(__xludf.DUMMYFUNCTION("""COMPUTED_VALUE"""),44820000)</f>
        <v>44820000</v>
      </c>
      <c r="H275" s="10" t="str">
        <f ca="1">IFERROR(__xludf.DUMMYFUNCTION("""COMPUTED_VALUE"""),"Resolución")</f>
        <v>Resolución</v>
      </c>
      <c r="I275" s="10" t="str">
        <f ca="1">IFERROR(__xludf.DUMMYFUNCTION("""COMPUTED_VALUE"""),"Asistencia Técnica")</f>
        <v>Asistencia Técnica</v>
      </c>
      <c r="J275" s="10" t="str">
        <f ca="1">IFERROR(__xludf.DUMMYFUNCTION("""COMPUTED_VALUE"""),"Cumplir con normativa y reglamentos internos del programa en base a los objetivos.")</f>
        <v>Cumplir con normativa y reglamentos internos del programa en base a los objetivos.</v>
      </c>
      <c r="K275" s="71">
        <f ca="1">IFERROR(__xludf.DUMMYFUNCTION("""COMPUTED_VALUE"""),44820000)</f>
        <v>44820000</v>
      </c>
      <c r="L275" s="27">
        <f ca="1">IFERROR(__xludf.DUMMYFUNCTION("""COMPUTED_VALUE"""),1)</f>
        <v>1</v>
      </c>
      <c r="M275" s="10" t="str">
        <f ca="1">IFERROR(__xludf.DUMMYFUNCTION("""COMPUTED_VALUE"""),"9774/2024")</f>
        <v>9774/2024</v>
      </c>
      <c r="N275" s="10" t="str">
        <f ca="1">IFERROR(__xludf.DUMMYFUNCTION("""COMPUTED_VALUE"""),"PMB")</f>
        <v>PMB</v>
      </c>
      <c r="O275" s="59"/>
      <c r="P275" s="1"/>
      <c r="Q275" s="1"/>
      <c r="R275" s="1"/>
      <c r="S275" s="1"/>
      <c r="T275" s="1"/>
      <c r="U275" s="1"/>
      <c r="V275" s="1"/>
      <c r="W275" s="1"/>
      <c r="X275" s="1"/>
      <c r="Y275" s="1"/>
      <c r="Z275" s="1"/>
      <c r="AA275" s="1"/>
    </row>
    <row r="276" spans="1:27" ht="12.75" customHeight="1">
      <c r="A276" s="1"/>
      <c r="B276" s="10" t="str">
        <f ca="1">IFERROR(__xludf.DUMMYFUNCTION("""COMPUTED_VALUE"""),"CONSTRUCCIÓN SOLUCIONES PARTICULARES DE ALCANTARILLADO, SECTOR LAS TABLAS COMUNA DE FREIRINA")</f>
        <v>CONSTRUCCIÓN SOLUCIONES PARTICULARES DE ALCANTARILLADO, SECTOR LAS TABLAS COMUNA DE FREIRINA</v>
      </c>
      <c r="C276" s="10" t="str">
        <f ca="1">IFERROR(__xludf.DUMMYFUNCTION("""COMPUTED_VALUE"""),"3303240701-B")</f>
        <v>3303240701-B</v>
      </c>
      <c r="D276" s="26" t="str">
        <f t="shared" ca="1" si="0"/>
        <v xml:space="preserve"> FREIRINA</v>
      </c>
      <c r="E276" s="10" t="str">
        <f ca="1">IFERROR(__xludf.DUMMYFUNCTION("""COMPUTED_VALUE"""),"Guía Operativa")</f>
        <v>Guía Operativa</v>
      </c>
      <c r="F276" s="10" t="str">
        <f ca="1">IFERROR(__xludf.DUMMYFUNCTION("""COMPUTED_VALUE"""),"MUNICIPALIDAD DE FREIRINA")</f>
        <v>MUNICIPALIDAD DE FREIRINA</v>
      </c>
      <c r="G276" s="71">
        <f ca="1">IFERROR(__xludf.DUMMYFUNCTION("""COMPUTED_VALUE"""),100047640)</f>
        <v>100047640</v>
      </c>
      <c r="H276" s="10" t="str">
        <f ca="1">IFERROR(__xludf.DUMMYFUNCTION("""COMPUTED_VALUE"""),"Resolución")</f>
        <v>Resolución</v>
      </c>
      <c r="I276" s="10" t="str">
        <f ca="1">IFERROR(__xludf.DUMMYFUNCTION("""COMPUTED_VALUE"""),"Obra")</f>
        <v>Obra</v>
      </c>
      <c r="J276" s="10" t="str">
        <f ca="1">IFERROR(__xludf.DUMMYFUNCTION("""COMPUTED_VALUE"""),"Cumplir con normativa y reglamentos internos del programa en base a los objetivos.")</f>
        <v>Cumplir con normativa y reglamentos internos del programa en base a los objetivos.</v>
      </c>
      <c r="K276" s="71">
        <f ca="1">IFERROR(__xludf.DUMMYFUNCTION("""COMPUTED_VALUE"""),100047640)</f>
        <v>100047640</v>
      </c>
      <c r="L276" s="27">
        <f ca="1">IFERROR(__xludf.DUMMYFUNCTION("""COMPUTED_VALUE"""),1)</f>
        <v>1</v>
      </c>
      <c r="M276" s="10" t="str">
        <f ca="1">IFERROR(__xludf.DUMMYFUNCTION("""COMPUTED_VALUE"""),"10344/2024")</f>
        <v>10344/2024</v>
      </c>
      <c r="N276" s="10" t="str">
        <f ca="1">IFERROR(__xludf.DUMMYFUNCTION("""COMPUTED_VALUE"""),"PMB")</f>
        <v>PMB</v>
      </c>
      <c r="O276" s="59"/>
      <c r="P276" s="1"/>
      <c r="Q276" s="1"/>
      <c r="R276" s="1"/>
      <c r="S276" s="1"/>
      <c r="T276" s="1"/>
      <c r="U276" s="1"/>
      <c r="V276" s="1"/>
      <c r="W276" s="1"/>
      <c r="X276" s="1"/>
      <c r="Y276" s="1"/>
      <c r="Z276" s="1"/>
      <c r="AA276" s="1"/>
    </row>
    <row r="277" spans="1:27" ht="12.75" customHeight="1">
      <c r="A277" s="1"/>
      <c r="B277" s="10" t="str">
        <f ca="1">IFERROR(__xludf.DUMMYFUNCTION("""COMPUTED_VALUE"""),"NORMALIZACION SISTEMA SANITARIO POSTA RURAL JEREMIAS CORTES HUASCO BAJO, COMUNA DE HUASCO")</f>
        <v>NORMALIZACION SISTEMA SANITARIO POSTA RURAL JEREMIAS CORTES HUASCO BAJO, COMUNA DE HUASCO</v>
      </c>
      <c r="C277" s="10" t="str">
        <f ca="1">IFERROR(__xludf.DUMMYFUNCTION("""COMPUTED_VALUE"""),"3304240702-B")</f>
        <v>3304240702-B</v>
      </c>
      <c r="D277" s="26" t="str">
        <f t="shared" ca="1" si="0"/>
        <v xml:space="preserve"> HUASCO</v>
      </c>
      <c r="E277" s="10" t="str">
        <f ca="1">IFERROR(__xludf.DUMMYFUNCTION("""COMPUTED_VALUE"""),"Guía Operativa")</f>
        <v>Guía Operativa</v>
      </c>
      <c r="F277" s="10" t="str">
        <f ca="1">IFERROR(__xludf.DUMMYFUNCTION("""COMPUTED_VALUE"""),"MUNICIPALIDAD DE HUASCO")</f>
        <v>MUNICIPALIDAD DE HUASCO</v>
      </c>
      <c r="G277" s="71">
        <f ca="1">IFERROR(__xludf.DUMMYFUNCTION("""COMPUTED_VALUE"""),35851168)</f>
        <v>35851168</v>
      </c>
      <c r="H277" s="10" t="str">
        <f ca="1">IFERROR(__xludf.DUMMYFUNCTION("""COMPUTED_VALUE"""),"Resolución")</f>
        <v>Resolución</v>
      </c>
      <c r="I277" s="10" t="str">
        <f ca="1">IFERROR(__xludf.DUMMYFUNCTION("""COMPUTED_VALUE"""),"Obra")</f>
        <v>Obra</v>
      </c>
      <c r="J277" s="10" t="str">
        <f ca="1">IFERROR(__xludf.DUMMYFUNCTION("""COMPUTED_VALUE"""),"Cumplir con normativa y reglamentos internos del programa en base a los objetivos.")</f>
        <v>Cumplir con normativa y reglamentos internos del programa en base a los objetivos.</v>
      </c>
      <c r="K277" s="71">
        <f ca="1">IFERROR(__xludf.DUMMYFUNCTION("""COMPUTED_VALUE"""),35851168)</f>
        <v>35851168</v>
      </c>
      <c r="L277" s="27">
        <f ca="1">IFERROR(__xludf.DUMMYFUNCTION("""COMPUTED_VALUE"""),1)</f>
        <v>1</v>
      </c>
      <c r="M277" s="10" t="str">
        <f ca="1">IFERROR(__xludf.DUMMYFUNCTION("""COMPUTED_VALUE"""),"10044/2024")</f>
        <v>10044/2024</v>
      </c>
      <c r="N277" s="10" t="str">
        <f ca="1">IFERROR(__xludf.DUMMYFUNCTION("""COMPUTED_VALUE"""),"PMB")</f>
        <v>PMB</v>
      </c>
      <c r="O277" s="59"/>
      <c r="P277" s="1"/>
      <c r="Q277" s="1"/>
      <c r="R277" s="1"/>
      <c r="S277" s="1"/>
      <c r="T277" s="1"/>
      <c r="U277" s="1"/>
      <c r="V277" s="1"/>
      <c r="W277" s="1"/>
      <c r="X277" s="1"/>
      <c r="Y277" s="1"/>
      <c r="Z277" s="1"/>
      <c r="AA277" s="1"/>
    </row>
    <row r="278" spans="1:27" ht="12.75" customHeight="1">
      <c r="A278" s="1"/>
      <c r="B278" s="10" t="str">
        <f ca="1">IFERROR(__xludf.DUMMYFUNCTION("""COMPUTED_VALUE"""),"CONSTRUCCIÓN CASETAS SANITARIAS Y SOLUCIONES INDIVIDUALES, LOCALIDAD LLANOS DEL LAGARTO")</f>
        <v>CONSTRUCCIÓN CASETAS SANITARIAS Y SOLUCIONES INDIVIDUALES, LOCALIDAD LLANOS DEL LAGARTO</v>
      </c>
      <c r="C278" s="10" t="str">
        <f ca="1">IFERROR(__xludf.DUMMYFUNCTION("""COMPUTED_VALUE"""),"3304240703-B")</f>
        <v>3304240703-B</v>
      </c>
      <c r="D278" s="26" t="str">
        <f t="shared" ca="1" si="0"/>
        <v xml:space="preserve"> HUASCO</v>
      </c>
      <c r="E278" s="10" t="str">
        <f ca="1">IFERROR(__xludf.DUMMYFUNCTION("""COMPUTED_VALUE"""),"Guía Operativa")</f>
        <v>Guía Operativa</v>
      </c>
      <c r="F278" s="10" t="str">
        <f ca="1">IFERROR(__xludf.DUMMYFUNCTION("""COMPUTED_VALUE"""),"MUNICIPALIDAD DE HUASCO")</f>
        <v>MUNICIPALIDAD DE HUASCO</v>
      </c>
      <c r="G278" s="71">
        <f ca="1">IFERROR(__xludf.DUMMYFUNCTION("""COMPUTED_VALUE"""),56742834)</f>
        <v>56742834</v>
      </c>
      <c r="H278" s="10" t="str">
        <f ca="1">IFERROR(__xludf.DUMMYFUNCTION("""COMPUTED_VALUE"""),"Resolución")</f>
        <v>Resolución</v>
      </c>
      <c r="I278" s="10" t="str">
        <f ca="1">IFERROR(__xludf.DUMMYFUNCTION("""COMPUTED_VALUE"""),"Obra")</f>
        <v>Obra</v>
      </c>
      <c r="J278" s="10" t="str">
        <f ca="1">IFERROR(__xludf.DUMMYFUNCTION("""COMPUTED_VALUE"""),"Cumplir con normativa y reglamentos internos del programa en base a los objetivos.")</f>
        <v>Cumplir con normativa y reglamentos internos del programa en base a los objetivos.</v>
      </c>
      <c r="K278" s="71">
        <f ca="1">IFERROR(__xludf.DUMMYFUNCTION("""COMPUTED_VALUE"""),56742834)</f>
        <v>56742834</v>
      </c>
      <c r="L278" s="27">
        <f ca="1">IFERROR(__xludf.DUMMYFUNCTION("""COMPUTED_VALUE"""),1)</f>
        <v>1</v>
      </c>
      <c r="M278" s="10" t="str">
        <f ca="1">IFERROR(__xludf.DUMMYFUNCTION("""COMPUTED_VALUE"""),"10401/2024")</f>
        <v>10401/2024</v>
      </c>
      <c r="N278" s="10" t="str">
        <f ca="1">IFERROR(__xludf.DUMMYFUNCTION("""COMPUTED_VALUE"""),"PMB")</f>
        <v>PMB</v>
      </c>
      <c r="O278" s="59"/>
      <c r="P278" s="1"/>
      <c r="Q278" s="1"/>
      <c r="R278" s="1"/>
      <c r="S278" s="1"/>
      <c r="T278" s="1"/>
      <c r="U278" s="1"/>
      <c r="V278" s="1"/>
      <c r="W278" s="1"/>
      <c r="X278" s="1"/>
      <c r="Y278" s="1"/>
      <c r="Z278" s="1"/>
      <c r="AA278" s="1"/>
    </row>
    <row r="279" spans="1:27" ht="12.75" customHeight="1">
      <c r="A279" s="1"/>
      <c r="B279" s="10" t="str">
        <f ca="1">IFERROR(__xludf.DUMMYFUNCTION("""COMPUTED_VALUE"""),"HABILITACIÓN EQUIPOS DE RESPALDO ELECTRICO PARA SSR DE LA COMUNA")</f>
        <v>HABILITACIÓN EQUIPOS DE RESPALDO ELECTRICO PARA SSR DE LA COMUNA</v>
      </c>
      <c r="C279" s="10" t="str">
        <f ca="1">IFERROR(__xludf.DUMMYFUNCTION("""COMPUTED_VALUE"""),"4203240701-B")</f>
        <v>4203240701-B</v>
      </c>
      <c r="D279" s="26" t="str">
        <f t="shared" ca="1" si="0"/>
        <v xml:space="preserve"> LOS VILOS</v>
      </c>
      <c r="E279" s="10" t="str">
        <f ca="1">IFERROR(__xludf.DUMMYFUNCTION("""COMPUTED_VALUE"""),"Guía Operativa")</f>
        <v>Guía Operativa</v>
      </c>
      <c r="F279" s="10" t="str">
        <f ca="1">IFERROR(__xludf.DUMMYFUNCTION("""COMPUTED_VALUE"""),"MUNICIPALIDAD DE LOS VILOS")</f>
        <v>MUNICIPALIDAD DE LOS VILOS</v>
      </c>
      <c r="G279" s="71">
        <f ca="1">IFERROR(__xludf.DUMMYFUNCTION("""COMPUTED_VALUE"""),78535762)</f>
        <v>78535762</v>
      </c>
      <c r="H279" s="10" t="str">
        <f ca="1">IFERROR(__xludf.DUMMYFUNCTION("""COMPUTED_VALUE"""),"Resolución")</f>
        <v>Resolución</v>
      </c>
      <c r="I279" s="10" t="str">
        <f ca="1">IFERROR(__xludf.DUMMYFUNCTION("""COMPUTED_VALUE"""),"Obra")</f>
        <v>Obra</v>
      </c>
      <c r="J279" s="10" t="str">
        <f ca="1">IFERROR(__xludf.DUMMYFUNCTION("""COMPUTED_VALUE"""),"Cumplir con normativa y reglamentos internos del programa en base a los objetivos.")</f>
        <v>Cumplir con normativa y reglamentos internos del programa en base a los objetivos.</v>
      </c>
      <c r="K279" s="71">
        <f ca="1">IFERROR(__xludf.DUMMYFUNCTION("""COMPUTED_VALUE"""),78535762)</f>
        <v>78535762</v>
      </c>
      <c r="L279" s="27">
        <f ca="1">IFERROR(__xludf.DUMMYFUNCTION("""COMPUTED_VALUE"""),1)</f>
        <v>1</v>
      </c>
      <c r="M279" s="10" t="str">
        <f ca="1">IFERROR(__xludf.DUMMYFUNCTION("""COMPUTED_VALUE"""),"10040/2024")</f>
        <v>10040/2024</v>
      </c>
      <c r="N279" s="10" t="str">
        <f ca="1">IFERROR(__xludf.DUMMYFUNCTION("""COMPUTED_VALUE"""),"PMB")</f>
        <v>PMB</v>
      </c>
      <c r="O279" s="59"/>
      <c r="P279" s="1"/>
      <c r="Q279" s="1"/>
      <c r="R279" s="1"/>
      <c r="S279" s="1"/>
      <c r="T279" s="1"/>
      <c r="U279" s="1"/>
      <c r="V279" s="1"/>
      <c r="W279" s="1"/>
      <c r="X279" s="1"/>
      <c r="Y279" s="1"/>
      <c r="Z279" s="1"/>
      <c r="AA279" s="1"/>
    </row>
    <row r="280" spans="1:27" ht="12.75" customHeight="1">
      <c r="A280" s="1"/>
      <c r="B280" s="10" t="str">
        <f ca="1">IFERROR(__xludf.DUMMYFUNCTION("""COMPUTED_VALUE"""),"MEJORAMIENTO DE PTAS FUNDINA, COMUNA DE RÍO HURTADO")</f>
        <v>MEJORAMIENTO DE PTAS FUNDINA, COMUNA DE RÍO HURTADO</v>
      </c>
      <c r="C280" s="10" t="str">
        <f ca="1">IFERROR(__xludf.DUMMYFUNCTION("""COMPUTED_VALUE"""),"4305240701-B")</f>
        <v>4305240701-B</v>
      </c>
      <c r="D280" s="26" t="str">
        <f t="shared" ca="1" si="0"/>
        <v xml:space="preserve"> RÍO HURTADO</v>
      </c>
      <c r="E280" s="10" t="str">
        <f ca="1">IFERROR(__xludf.DUMMYFUNCTION("""COMPUTED_VALUE"""),"Guía Operativa")</f>
        <v>Guía Operativa</v>
      </c>
      <c r="F280" s="10" t="str">
        <f ca="1">IFERROR(__xludf.DUMMYFUNCTION("""COMPUTED_VALUE"""),"MUNICIPALIDAD DE RÍO HURTADO")</f>
        <v>MUNICIPALIDAD DE RÍO HURTADO</v>
      </c>
      <c r="G280" s="71">
        <f ca="1">IFERROR(__xludf.DUMMYFUNCTION("""COMPUTED_VALUE"""),86871686)</f>
        <v>86871686</v>
      </c>
      <c r="H280" s="10" t="str">
        <f ca="1">IFERROR(__xludf.DUMMYFUNCTION("""COMPUTED_VALUE"""),"Resolución")</f>
        <v>Resolución</v>
      </c>
      <c r="I280" s="10" t="str">
        <f ca="1">IFERROR(__xludf.DUMMYFUNCTION("""COMPUTED_VALUE"""),"Obra")</f>
        <v>Obra</v>
      </c>
      <c r="J280" s="10" t="str">
        <f ca="1">IFERROR(__xludf.DUMMYFUNCTION("""COMPUTED_VALUE"""),"Cumplir con normativa y reglamentos internos del programa en base a los objetivos.")</f>
        <v>Cumplir con normativa y reglamentos internos del programa en base a los objetivos.</v>
      </c>
      <c r="K280" s="71">
        <f ca="1">IFERROR(__xludf.DUMMYFUNCTION("""COMPUTED_VALUE"""),86871686)</f>
        <v>86871686</v>
      </c>
      <c r="L280" s="27">
        <f ca="1">IFERROR(__xludf.DUMMYFUNCTION("""COMPUTED_VALUE"""),1)</f>
        <v>1</v>
      </c>
      <c r="M280" s="10" t="str">
        <f ca="1">IFERROR(__xludf.DUMMYFUNCTION("""COMPUTED_VALUE"""),"10021/2024")</f>
        <v>10021/2024</v>
      </c>
      <c r="N280" s="10" t="str">
        <f ca="1">IFERROR(__xludf.DUMMYFUNCTION("""COMPUTED_VALUE"""),"PMB")</f>
        <v>PMB</v>
      </c>
      <c r="O280" s="59"/>
      <c r="P280" s="1"/>
      <c r="Q280" s="1"/>
      <c r="R280" s="1"/>
      <c r="S280" s="1"/>
      <c r="T280" s="1"/>
      <c r="U280" s="1"/>
      <c r="V280" s="1"/>
      <c r="W280" s="1"/>
      <c r="X280" s="1"/>
      <c r="Y280" s="1"/>
      <c r="Z280" s="1"/>
      <c r="AA280" s="1"/>
    </row>
    <row r="281" spans="1:27" ht="12.75" customHeight="1">
      <c r="A281" s="1"/>
      <c r="B281" s="10" t="str">
        <f ca="1">IFERROR(__xludf.DUMMYFUNCTION("""COMPUTED_VALUE"""),"HABILITACIÓN DE SISTEMAS DE ABASTECIMIENTO DE AGUA POTABLE DE EMERGENCIA PARA ESTABLECIMIENTOS EDUCATIVOS EN LA COMUNA DE VICUÑA")</f>
        <v>HABILITACIÓN DE SISTEMAS DE ABASTECIMIENTO DE AGUA POTABLE DE EMERGENCIA PARA ESTABLECIMIENTOS EDUCATIVOS EN LA COMUNA DE VICUÑA</v>
      </c>
      <c r="C281" s="10" t="str">
        <f ca="1">IFERROR(__xludf.DUMMYFUNCTION("""COMPUTED_VALUE"""),"4106240701-B")</f>
        <v>4106240701-B</v>
      </c>
      <c r="D281" s="26" t="str">
        <f t="shared" ca="1" si="0"/>
        <v xml:space="preserve"> VICUÑA</v>
      </c>
      <c r="E281" s="10" t="str">
        <f ca="1">IFERROR(__xludf.DUMMYFUNCTION("""COMPUTED_VALUE"""),"Guía Operativa")</f>
        <v>Guía Operativa</v>
      </c>
      <c r="F281" s="10" t="str">
        <f ca="1">IFERROR(__xludf.DUMMYFUNCTION("""COMPUTED_VALUE"""),"MUNICIPALIDAD DE VICUÑA")</f>
        <v>MUNICIPALIDAD DE VICUÑA</v>
      </c>
      <c r="G281" s="71">
        <f ca="1">IFERROR(__xludf.DUMMYFUNCTION("""COMPUTED_VALUE"""),75571218)</f>
        <v>75571218</v>
      </c>
      <c r="H281" s="10" t="str">
        <f ca="1">IFERROR(__xludf.DUMMYFUNCTION("""COMPUTED_VALUE"""),"Resolución")</f>
        <v>Resolución</v>
      </c>
      <c r="I281" s="10" t="str">
        <f ca="1">IFERROR(__xludf.DUMMYFUNCTION("""COMPUTED_VALUE"""),"Obra")</f>
        <v>Obra</v>
      </c>
      <c r="J281" s="10" t="str">
        <f ca="1">IFERROR(__xludf.DUMMYFUNCTION("""COMPUTED_VALUE"""),"Cumplir con normativa y reglamentos internos del programa en base a los objetivos.")</f>
        <v>Cumplir con normativa y reglamentos internos del programa en base a los objetivos.</v>
      </c>
      <c r="K281" s="71">
        <f ca="1">IFERROR(__xludf.DUMMYFUNCTION("""COMPUTED_VALUE"""),75571218)</f>
        <v>75571218</v>
      </c>
      <c r="L281" s="27">
        <f ca="1">IFERROR(__xludf.DUMMYFUNCTION("""COMPUTED_VALUE"""),1)</f>
        <v>1</v>
      </c>
      <c r="M281" s="10" t="str">
        <f ca="1">IFERROR(__xludf.DUMMYFUNCTION("""COMPUTED_VALUE"""),"10042/2024")</f>
        <v>10042/2024</v>
      </c>
      <c r="N281" s="10" t="str">
        <f ca="1">IFERROR(__xludf.DUMMYFUNCTION("""COMPUTED_VALUE"""),"PMB")</f>
        <v>PMB</v>
      </c>
      <c r="O281" s="59"/>
      <c r="P281" s="1"/>
      <c r="Q281" s="1"/>
      <c r="R281" s="1"/>
      <c r="S281" s="1"/>
      <c r="T281" s="1"/>
      <c r="U281" s="1"/>
      <c r="V281" s="1"/>
      <c r="W281" s="1"/>
      <c r="X281" s="1"/>
      <c r="Y281" s="1"/>
      <c r="Z281" s="1"/>
      <c r="AA281" s="1"/>
    </row>
    <row r="282" spans="1:27" ht="12.75" customHeight="1">
      <c r="A282" s="1"/>
      <c r="B282" s="10" t="str">
        <f ca="1">IFERROR(__xludf.DUMMYFUNCTION("""COMPUTED_VALUE"""),"CONSTRUCCION CASETAS SANITARIAS INDIVIDUALES ETAPA IV, VALLE DE CAMARONES")</f>
        <v>CONSTRUCCION CASETAS SANITARIAS INDIVIDUALES ETAPA IV, VALLE DE CAMARONES</v>
      </c>
      <c r="C282" s="10" t="str">
        <f ca="1">IFERROR(__xludf.DUMMYFUNCTION("""COMPUTED_VALUE"""),"15102240701-B")</f>
        <v>15102240701-B</v>
      </c>
      <c r="D282" s="26" t="str">
        <f t="shared" ca="1" si="0"/>
        <v xml:space="preserve"> CAMARONES</v>
      </c>
      <c r="E282" s="10" t="str">
        <f ca="1">IFERROR(__xludf.DUMMYFUNCTION("""COMPUTED_VALUE"""),"Guía Operativa")</f>
        <v>Guía Operativa</v>
      </c>
      <c r="F282" s="10" t="str">
        <f ca="1">IFERROR(__xludf.DUMMYFUNCTION("""COMPUTED_VALUE"""),"MUNICIPALIDAD DE CAMARONES")</f>
        <v>MUNICIPALIDAD DE CAMARONES</v>
      </c>
      <c r="G282" s="71">
        <f ca="1">IFERROR(__xludf.DUMMYFUNCTION("""COMPUTED_VALUE"""),87219241)</f>
        <v>87219241</v>
      </c>
      <c r="H282" s="10" t="str">
        <f ca="1">IFERROR(__xludf.DUMMYFUNCTION("""COMPUTED_VALUE"""),"Resolución")</f>
        <v>Resolución</v>
      </c>
      <c r="I282" s="10" t="str">
        <f ca="1">IFERROR(__xludf.DUMMYFUNCTION("""COMPUTED_VALUE"""),"Obra")</f>
        <v>Obra</v>
      </c>
      <c r="J282" s="10" t="str">
        <f ca="1">IFERROR(__xludf.DUMMYFUNCTION("""COMPUTED_VALUE"""),"Cumplir con normativa y reglamentos internos del programa en base a los objetivos.")</f>
        <v>Cumplir con normativa y reglamentos internos del programa en base a los objetivos.</v>
      </c>
      <c r="K282" s="71">
        <f ca="1">IFERROR(__xludf.DUMMYFUNCTION("""COMPUTED_VALUE"""),87219241)</f>
        <v>87219241</v>
      </c>
      <c r="L282" s="27">
        <f ca="1">IFERROR(__xludf.DUMMYFUNCTION("""COMPUTED_VALUE"""),1)</f>
        <v>1</v>
      </c>
      <c r="M282" s="10" t="str">
        <f ca="1">IFERROR(__xludf.DUMMYFUNCTION("""COMPUTED_VALUE"""),"10336/2024")</f>
        <v>10336/2024</v>
      </c>
      <c r="N282" s="10" t="str">
        <f ca="1">IFERROR(__xludf.DUMMYFUNCTION("""COMPUTED_VALUE"""),"PMB")</f>
        <v>PMB</v>
      </c>
      <c r="O282" s="59"/>
      <c r="P282" s="1"/>
      <c r="Q282" s="1"/>
      <c r="R282" s="1"/>
      <c r="S282" s="1"/>
      <c r="T282" s="1"/>
      <c r="U282" s="1"/>
      <c r="V282" s="1"/>
      <c r="W282" s="1"/>
      <c r="X282" s="1"/>
      <c r="Y282" s="1"/>
      <c r="Z282" s="1"/>
      <c r="AA282" s="1"/>
    </row>
    <row r="283" spans="1:27" ht="12.75" customHeight="1">
      <c r="A283" s="1"/>
      <c r="B283" s="10" t="str">
        <f ca="1">IFERROR(__xludf.DUMMYFUNCTION("""COMPUTED_VALUE"""),"CONSTRUCCIÓN DE CASETAS SANITARIAS DE DIFERENTES ESTANCIAS DE CAQUENA, COMUNA DE PUTRE")</f>
        <v>CONSTRUCCIÓN DE CASETAS SANITARIAS DE DIFERENTES ESTANCIAS DE CAQUENA, COMUNA DE PUTRE</v>
      </c>
      <c r="C283" s="10" t="str">
        <f ca="1">IFERROR(__xludf.DUMMYFUNCTION("""COMPUTED_VALUE"""),"15201240702-B")</f>
        <v>15201240702-B</v>
      </c>
      <c r="D283" s="26" t="str">
        <f t="shared" ca="1" si="0"/>
        <v xml:space="preserve"> PUTRE</v>
      </c>
      <c r="E283" s="10" t="str">
        <f ca="1">IFERROR(__xludf.DUMMYFUNCTION("""COMPUTED_VALUE"""),"Guía Operativa")</f>
        <v>Guía Operativa</v>
      </c>
      <c r="F283" s="10" t="str">
        <f ca="1">IFERROR(__xludf.DUMMYFUNCTION("""COMPUTED_VALUE"""),"MUNICIPALIDAD DE PUTRE")</f>
        <v>MUNICIPALIDAD DE PUTRE</v>
      </c>
      <c r="G283" s="71">
        <f ca="1">IFERROR(__xludf.DUMMYFUNCTION("""COMPUTED_VALUE"""),87219241)</f>
        <v>87219241</v>
      </c>
      <c r="H283" s="10" t="str">
        <f ca="1">IFERROR(__xludf.DUMMYFUNCTION("""COMPUTED_VALUE"""),"Resolución")</f>
        <v>Resolución</v>
      </c>
      <c r="I283" s="10" t="str">
        <f ca="1">IFERROR(__xludf.DUMMYFUNCTION("""COMPUTED_VALUE"""),"Obra")</f>
        <v>Obra</v>
      </c>
      <c r="J283" s="10" t="str">
        <f ca="1">IFERROR(__xludf.DUMMYFUNCTION("""COMPUTED_VALUE"""),"Cumplir con normativa y reglamentos internos del programa en base a los objetivos.")</f>
        <v>Cumplir con normativa y reglamentos internos del programa en base a los objetivos.</v>
      </c>
      <c r="K283" s="71">
        <f ca="1">IFERROR(__xludf.DUMMYFUNCTION("""COMPUTED_VALUE"""),87219241)</f>
        <v>87219241</v>
      </c>
      <c r="L283" s="27">
        <f ca="1">IFERROR(__xludf.DUMMYFUNCTION("""COMPUTED_VALUE"""),1)</f>
        <v>1</v>
      </c>
      <c r="M283" s="10" t="str">
        <f ca="1">IFERROR(__xludf.DUMMYFUNCTION("""COMPUTED_VALUE"""),"10333/2024")</f>
        <v>10333/2024</v>
      </c>
      <c r="N283" s="10" t="str">
        <f ca="1">IFERROR(__xludf.DUMMYFUNCTION("""COMPUTED_VALUE"""),"PMB")</f>
        <v>PMB</v>
      </c>
      <c r="O283" s="59"/>
      <c r="P283" s="1"/>
      <c r="Q283" s="1"/>
      <c r="R283" s="1"/>
      <c r="S283" s="1"/>
      <c r="T283" s="1"/>
      <c r="U283" s="1"/>
      <c r="V283" s="1"/>
      <c r="W283" s="1"/>
      <c r="X283" s="1"/>
      <c r="Y283" s="1"/>
      <c r="Z283" s="1"/>
      <c r="AA283" s="1"/>
    </row>
    <row r="284" spans="1:27" ht="12.75" customHeight="1">
      <c r="A284" s="1"/>
      <c r="B284" s="10" t="str">
        <f ca="1">IFERROR(__xludf.DUMMYFUNCTION("""COMPUTED_VALUE"""),"CONSTRUCCIÓN EXTENSIÓN RED AGUA POTABLE CALLE GABRIELA MISTRAL Y PEDRO DE VALDIVIA, HUASCO")</f>
        <v>CONSTRUCCIÓN EXTENSIÓN RED AGUA POTABLE CALLE GABRIELA MISTRAL Y PEDRO DE VALDIVIA, HUASCO</v>
      </c>
      <c r="C284" s="10" t="str">
        <f ca="1">IFERROR(__xludf.DUMMYFUNCTION("""COMPUTED_VALUE"""),"3304240701-B")</f>
        <v>3304240701-B</v>
      </c>
      <c r="D284" s="26" t="str">
        <f t="shared" ca="1" si="0"/>
        <v xml:space="preserve"> HUASCO</v>
      </c>
      <c r="E284" s="10" t="str">
        <f ca="1">IFERROR(__xludf.DUMMYFUNCTION("""COMPUTED_VALUE"""),"Guía Operativa")</f>
        <v>Guía Operativa</v>
      </c>
      <c r="F284" s="10" t="str">
        <f ca="1">IFERROR(__xludf.DUMMYFUNCTION("""COMPUTED_VALUE"""),"MUNICIPALIDAD DE HUASCO")</f>
        <v>MUNICIPALIDAD DE HUASCO</v>
      </c>
      <c r="G284" s="71">
        <f ca="1">IFERROR(__xludf.DUMMYFUNCTION("""COMPUTED_VALUE"""),93173779)</f>
        <v>93173779</v>
      </c>
      <c r="H284" s="10" t="str">
        <f ca="1">IFERROR(__xludf.DUMMYFUNCTION("""COMPUTED_VALUE"""),"Resolución")</f>
        <v>Resolución</v>
      </c>
      <c r="I284" s="10" t="str">
        <f ca="1">IFERROR(__xludf.DUMMYFUNCTION("""COMPUTED_VALUE"""),"Obra")</f>
        <v>Obra</v>
      </c>
      <c r="J284" s="10" t="str">
        <f ca="1">IFERROR(__xludf.DUMMYFUNCTION("""COMPUTED_VALUE"""),"Cumplir con normativa y reglamentos internos del programa en base a los objetivos.")</f>
        <v>Cumplir con normativa y reglamentos internos del programa en base a los objetivos.</v>
      </c>
      <c r="K284" s="71">
        <f ca="1">IFERROR(__xludf.DUMMYFUNCTION("""COMPUTED_VALUE"""),93173779)</f>
        <v>93173779</v>
      </c>
      <c r="L284" s="27">
        <f ca="1">IFERROR(__xludf.DUMMYFUNCTION("""COMPUTED_VALUE"""),1)</f>
        <v>1</v>
      </c>
      <c r="M284" s="10" t="str">
        <f ca="1">IFERROR(__xludf.DUMMYFUNCTION("""COMPUTED_VALUE"""),"10041/2024")</f>
        <v>10041/2024</v>
      </c>
      <c r="N284" s="10" t="str">
        <f ca="1">IFERROR(__xludf.DUMMYFUNCTION("""COMPUTED_VALUE"""),"PMB")</f>
        <v>PMB</v>
      </c>
      <c r="O284" s="59"/>
      <c r="P284" s="1"/>
      <c r="Q284" s="1"/>
      <c r="R284" s="1"/>
      <c r="S284" s="1"/>
      <c r="T284" s="1"/>
      <c r="U284" s="1"/>
      <c r="V284" s="1"/>
      <c r="W284" s="1"/>
      <c r="X284" s="1"/>
      <c r="Y284" s="1"/>
      <c r="Z284" s="1"/>
      <c r="AA284" s="1"/>
    </row>
    <row r="285" spans="1:27" ht="12.75" customHeight="1">
      <c r="A285" s="1"/>
      <c r="B285" s="10" t="str">
        <f ca="1">IFERROR(__xludf.DUMMYFUNCTION("""COMPUTED_VALUE"""),"MEJORAMIENTO PLANTA DE TRATAMIENTO DE AGUAS SERVIDAS, CHUCHIÑI, COMUNA DE SALAMANCA")</f>
        <v>MEJORAMIENTO PLANTA DE TRATAMIENTO DE AGUAS SERVIDAS, CHUCHIÑI, COMUNA DE SALAMANCA</v>
      </c>
      <c r="C285" s="10" t="str">
        <f ca="1">IFERROR(__xludf.DUMMYFUNCTION("""COMPUTED_VALUE"""),"4204240701-B")</f>
        <v>4204240701-B</v>
      </c>
      <c r="D285" s="26" t="str">
        <f t="shared" ca="1" si="0"/>
        <v xml:space="preserve"> SALAMANCA</v>
      </c>
      <c r="E285" s="10" t="str">
        <f ca="1">IFERROR(__xludf.DUMMYFUNCTION("""COMPUTED_VALUE"""),"Guía Operativa")</f>
        <v>Guía Operativa</v>
      </c>
      <c r="F285" s="10" t="str">
        <f ca="1">IFERROR(__xludf.DUMMYFUNCTION("""COMPUTED_VALUE"""),"MUNICIPALIDAD DE SALAMANCA")</f>
        <v>MUNICIPALIDAD DE SALAMANCA</v>
      </c>
      <c r="G285" s="71">
        <f ca="1">IFERROR(__xludf.DUMMYFUNCTION("""COMPUTED_VALUE"""),90640122)</f>
        <v>90640122</v>
      </c>
      <c r="H285" s="10" t="str">
        <f ca="1">IFERROR(__xludf.DUMMYFUNCTION("""COMPUTED_VALUE"""),"Resolución")</f>
        <v>Resolución</v>
      </c>
      <c r="I285" s="10" t="str">
        <f ca="1">IFERROR(__xludf.DUMMYFUNCTION("""COMPUTED_VALUE"""),"Obra")</f>
        <v>Obra</v>
      </c>
      <c r="J285" s="10" t="str">
        <f ca="1">IFERROR(__xludf.DUMMYFUNCTION("""COMPUTED_VALUE"""),"Cumplir con normativa y reglamentos internos del programa en base a los objetivos.")</f>
        <v>Cumplir con normativa y reglamentos internos del programa en base a los objetivos.</v>
      </c>
      <c r="K285" s="71">
        <f ca="1">IFERROR(__xludf.DUMMYFUNCTION("""COMPUTED_VALUE"""),90640122)</f>
        <v>90640122</v>
      </c>
      <c r="L285" s="27">
        <f ca="1">IFERROR(__xludf.DUMMYFUNCTION("""COMPUTED_VALUE"""),1)</f>
        <v>1</v>
      </c>
      <c r="M285" s="10" t="str">
        <f ca="1">IFERROR(__xludf.DUMMYFUNCTION("""COMPUTED_VALUE"""),"10379/2024")</f>
        <v>10379/2024</v>
      </c>
      <c r="N285" s="10" t="str">
        <f ca="1">IFERROR(__xludf.DUMMYFUNCTION("""COMPUTED_VALUE"""),"PMB")</f>
        <v>PMB</v>
      </c>
      <c r="O285" s="59"/>
      <c r="P285" s="1"/>
      <c r="Q285" s="1"/>
      <c r="R285" s="1"/>
      <c r="S285" s="1"/>
      <c r="T285" s="1"/>
      <c r="U285" s="1"/>
      <c r="V285" s="1"/>
      <c r="W285" s="1"/>
      <c r="X285" s="1"/>
      <c r="Y285" s="1"/>
      <c r="Z285" s="1"/>
      <c r="AA285" s="1"/>
    </row>
    <row r="286" spans="1:27" ht="12.75" customHeight="1">
      <c r="A286" s="1"/>
      <c r="B286" s="10" t="str">
        <f ca="1">IFERROR(__xludf.DUMMYFUNCTION("""COMPUTED_VALUE"""),"CONSTRUCCIÓN POZO PROFUNDO CHOVI SAN JUAN COMUNA DE DALCAHUE")</f>
        <v>CONSTRUCCIÓN POZO PROFUNDO CHOVI SAN JUAN COMUNA DE DALCAHUE</v>
      </c>
      <c r="C286" s="10" t="str">
        <f ca="1">IFERROR(__xludf.DUMMYFUNCTION("""COMPUTED_VALUE"""),"10205240701-B")</f>
        <v>10205240701-B</v>
      </c>
      <c r="D286" s="26" t="str">
        <f t="shared" ca="1" si="0"/>
        <v xml:space="preserve"> DALCAHUE</v>
      </c>
      <c r="E286" s="10" t="str">
        <f ca="1">IFERROR(__xludf.DUMMYFUNCTION("""COMPUTED_VALUE"""),"Guía Operativa")</f>
        <v>Guía Operativa</v>
      </c>
      <c r="F286" s="10" t="str">
        <f ca="1">IFERROR(__xludf.DUMMYFUNCTION("""COMPUTED_VALUE"""),"MUNICIPALIDAD DE DALCAHUE")</f>
        <v>MUNICIPALIDAD DE DALCAHUE</v>
      </c>
      <c r="G286" s="71">
        <f ca="1">IFERROR(__xludf.DUMMYFUNCTION("""COMPUTED_VALUE"""),87033113)</f>
        <v>87033113</v>
      </c>
      <c r="H286" s="10" t="str">
        <f ca="1">IFERROR(__xludf.DUMMYFUNCTION("""COMPUTED_VALUE"""),"Resolución")</f>
        <v>Resolución</v>
      </c>
      <c r="I286" s="10" t="str">
        <f ca="1">IFERROR(__xludf.DUMMYFUNCTION("""COMPUTED_VALUE"""),"Obra")</f>
        <v>Obra</v>
      </c>
      <c r="J286" s="10" t="str">
        <f ca="1">IFERROR(__xludf.DUMMYFUNCTION("""COMPUTED_VALUE"""),"Cumplir con normativa y reglamentos internos del programa en base a los objetivos.")</f>
        <v>Cumplir con normativa y reglamentos internos del programa en base a los objetivos.</v>
      </c>
      <c r="K286" s="71">
        <f ca="1">IFERROR(__xludf.DUMMYFUNCTION("""COMPUTED_VALUE"""),87033113)</f>
        <v>87033113</v>
      </c>
      <c r="L286" s="27">
        <f ca="1">IFERROR(__xludf.DUMMYFUNCTION("""COMPUTED_VALUE"""),1)</f>
        <v>1</v>
      </c>
      <c r="M286" s="10" t="str">
        <f ca="1">IFERROR(__xludf.DUMMYFUNCTION("""COMPUTED_VALUE"""),"10409/2024")</f>
        <v>10409/2024</v>
      </c>
      <c r="N286" s="10" t="str">
        <f ca="1">IFERROR(__xludf.DUMMYFUNCTION("""COMPUTED_VALUE"""),"PMB")</f>
        <v>PMB</v>
      </c>
      <c r="O286" s="59"/>
      <c r="P286" s="1"/>
      <c r="Q286" s="1"/>
      <c r="R286" s="1"/>
      <c r="S286" s="1"/>
      <c r="T286" s="1"/>
      <c r="U286" s="1"/>
      <c r="V286" s="1"/>
      <c r="W286" s="1"/>
      <c r="X286" s="1"/>
      <c r="Y286" s="1"/>
      <c r="Z286" s="1"/>
      <c r="AA286" s="1"/>
    </row>
    <row r="287" spans="1:27" ht="12.75" customHeight="1">
      <c r="A287" s="1"/>
      <c r="B287" s="10" t="str">
        <f ca="1">IFERROR(__xludf.DUMMYFUNCTION("""COMPUTED_VALUE"""),"CONSTRUCCIÓN MATRIZ DE AGUA POTABLE PASAJE BAEZA, FUTALEUFU")</f>
        <v>CONSTRUCCIÓN MATRIZ DE AGUA POTABLE PASAJE BAEZA, FUTALEUFU</v>
      </c>
      <c r="C287" s="10" t="str">
        <f ca="1">IFERROR(__xludf.DUMMYFUNCTION("""COMPUTED_VALUE"""),"10402240701-B")</f>
        <v>10402240701-B</v>
      </c>
      <c r="D287" s="26" t="str">
        <f t="shared" ca="1" si="0"/>
        <v xml:space="preserve"> FUTALEUFÚ</v>
      </c>
      <c r="E287" s="10" t="str">
        <f ca="1">IFERROR(__xludf.DUMMYFUNCTION("""COMPUTED_VALUE"""),"Guía Operativa")</f>
        <v>Guía Operativa</v>
      </c>
      <c r="F287" s="10" t="str">
        <f ca="1">IFERROR(__xludf.DUMMYFUNCTION("""COMPUTED_VALUE"""),"MUNICIPALIDAD DE FUTALEUFÚ")</f>
        <v>MUNICIPALIDAD DE FUTALEUFÚ</v>
      </c>
      <c r="G287" s="71">
        <f ca="1">IFERROR(__xludf.DUMMYFUNCTION("""COMPUTED_VALUE"""),87033113)</f>
        <v>87033113</v>
      </c>
      <c r="H287" s="10" t="str">
        <f ca="1">IFERROR(__xludf.DUMMYFUNCTION("""COMPUTED_VALUE"""),"Resolución")</f>
        <v>Resolución</v>
      </c>
      <c r="I287" s="10" t="str">
        <f ca="1">IFERROR(__xludf.DUMMYFUNCTION("""COMPUTED_VALUE"""),"Obra")</f>
        <v>Obra</v>
      </c>
      <c r="J287" s="10" t="str">
        <f ca="1">IFERROR(__xludf.DUMMYFUNCTION("""COMPUTED_VALUE"""),"Cumplir con normativa y reglamentos internos del programa en base a los objetivos.")</f>
        <v>Cumplir con normativa y reglamentos internos del programa en base a los objetivos.</v>
      </c>
      <c r="K287" s="71">
        <f ca="1">IFERROR(__xludf.DUMMYFUNCTION("""COMPUTED_VALUE"""),87033113)</f>
        <v>87033113</v>
      </c>
      <c r="L287" s="27">
        <f ca="1">IFERROR(__xludf.DUMMYFUNCTION("""COMPUTED_VALUE"""),1)</f>
        <v>1</v>
      </c>
      <c r="M287" s="10" t="str">
        <f ca="1">IFERROR(__xludf.DUMMYFUNCTION("""COMPUTED_VALUE"""),"10396/2024")</f>
        <v>10396/2024</v>
      </c>
      <c r="N287" s="10" t="str">
        <f ca="1">IFERROR(__xludf.DUMMYFUNCTION("""COMPUTED_VALUE"""),"PMB")</f>
        <v>PMB</v>
      </c>
      <c r="O287" s="59"/>
      <c r="P287" s="1"/>
      <c r="Q287" s="1"/>
      <c r="R287" s="1"/>
      <c r="S287" s="1"/>
      <c r="T287" s="1"/>
      <c r="U287" s="1"/>
      <c r="V287" s="1"/>
      <c r="W287" s="1"/>
      <c r="X287" s="1"/>
      <c r="Y287" s="1"/>
      <c r="Z287" s="1"/>
      <c r="AA287" s="1"/>
    </row>
    <row r="288" spans="1:27" ht="12.75" customHeight="1">
      <c r="A288" s="1"/>
      <c r="B288" s="10" t="str">
        <f ca="1">IFERROR(__xludf.DUMMYFUNCTION("""COMPUTED_VALUE"""),"MEJORAMIENTO INFRAESTRUCTURA SANITARIA SECTOR TRUMAO, COMUNA DE SAN PABLO")</f>
        <v>MEJORAMIENTO INFRAESTRUCTURA SANITARIA SECTOR TRUMAO, COMUNA DE SAN PABLO</v>
      </c>
      <c r="C288" s="10" t="str">
        <f ca="1">IFERROR(__xludf.DUMMYFUNCTION("""COMPUTED_VALUE"""),"10307240701-B")</f>
        <v>10307240701-B</v>
      </c>
      <c r="D288" s="26" t="str">
        <f t="shared" ca="1" si="0"/>
        <v xml:space="preserve"> SAN PABLO</v>
      </c>
      <c r="E288" s="10" t="str">
        <f ca="1">IFERROR(__xludf.DUMMYFUNCTION("""COMPUTED_VALUE"""),"Guía Operativa")</f>
        <v>Guía Operativa</v>
      </c>
      <c r="F288" s="10" t="str">
        <f ca="1">IFERROR(__xludf.DUMMYFUNCTION("""COMPUTED_VALUE"""),"MUNICIPALIDAD DE SAN PABLO")</f>
        <v>MUNICIPALIDAD DE SAN PABLO</v>
      </c>
      <c r="G288" s="71">
        <f ca="1">IFERROR(__xludf.DUMMYFUNCTION("""COMPUTED_VALUE"""),90000000)</f>
        <v>90000000</v>
      </c>
      <c r="H288" s="10" t="str">
        <f ca="1">IFERROR(__xludf.DUMMYFUNCTION("""COMPUTED_VALUE"""),"Resolución")</f>
        <v>Resolución</v>
      </c>
      <c r="I288" s="10" t="str">
        <f ca="1">IFERROR(__xludf.DUMMYFUNCTION("""COMPUTED_VALUE"""),"Obra")</f>
        <v>Obra</v>
      </c>
      <c r="J288" s="10" t="str">
        <f ca="1">IFERROR(__xludf.DUMMYFUNCTION("""COMPUTED_VALUE"""),"Cumplir con normativa y reglamentos internos del programa en base a los objetivos.")</f>
        <v>Cumplir con normativa y reglamentos internos del programa en base a los objetivos.</v>
      </c>
      <c r="K288" s="71">
        <f ca="1">IFERROR(__xludf.DUMMYFUNCTION("""COMPUTED_VALUE"""),90000000)</f>
        <v>90000000</v>
      </c>
      <c r="L288" s="27">
        <f ca="1">IFERROR(__xludf.DUMMYFUNCTION("""COMPUTED_VALUE"""),1)</f>
        <v>1</v>
      </c>
      <c r="M288" s="10" t="str">
        <f ca="1">IFERROR(__xludf.DUMMYFUNCTION("""COMPUTED_VALUE"""),"10374/2024")</f>
        <v>10374/2024</v>
      </c>
      <c r="N288" s="10" t="str">
        <f ca="1">IFERROR(__xludf.DUMMYFUNCTION("""COMPUTED_VALUE"""),"PMB")</f>
        <v>PMB</v>
      </c>
      <c r="O288" s="59"/>
      <c r="P288" s="1"/>
      <c r="Q288" s="1"/>
      <c r="R288" s="1"/>
      <c r="S288" s="1"/>
      <c r="T288" s="1"/>
      <c r="U288" s="1"/>
      <c r="V288" s="1"/>
      <c r="W288" s="1"/>
      <c r="X288" s="1"/>
      <c r="Y288" s="1"/>
      <c r="Z288" s="1"/>
      <c r="AA288" s="1"/>
    </row>
    <row r="289" spans="1:27" ht="12.75" customHeight="1">
      <c r="A289" s="1"/>
      <c r="B289" s="10" t="str">
        <f ca="1">IFERROR(__xludf.DUMMYFUNCTION("""COMPUTED_VALUE"""),"OBRAS DE CONSERVACIÓN DE LOS SERVICIOS SANITARIOS RURALES DE CONTUY, DETICO-QUECHU, ÑIDA, LELBUN-AITUY, COMUNA DE QUEILEN")</f>
        <v>OBRAS DE CONSERVACIÓN DE LOS SERVICIOS SANITARIOS RURALES DE CONTUY, DETICO-QUECHU, ÑIDA, LELBUN-AITUY, COMUNA DE QUEILEN</v>
      </c>
      <c r="C289" s="10" t="str">
        <f ca="1">IFERROR(__xludf.DUMMYFUNCTION("""COMPUTED_VALUE"""),"10207240701-B")</f>
        <v>10207240701-B</v>
      </c>
      <c r="D289" s="26" t="str">
        <f t="shared" ca="1" si="0"/>
        <v xml:space="preserve"> QUEILÉN</v>
      </c>
      <c r="E289" s="10" t="str">
        <f ca="1">IFERROR(__xludf.DUMMYFUNCTION("""COMPUTED_VALUE"""),"Guía Operativa")</f>
        <v>Guía Operativa</v>
      </c>
      <c r="F289" s="10" t="str">
        <f ca="1">IFERROR(__xludf.DUMMYFUNCTION("""COMPUTED_VALUE"""),"MUNICIPALIDAD DE QUEILÉN")</f>
        <v>MUNICIPALIDAD DE QUEILÉN</v>
      </c>
      <c r="G289" s="71">
        <f ca="1">IFERROR(__xludf.DUMMYFUNCTION("""COMPUTED_VALUE"""),90000000)</f>
        <v>90000000</v>
      </c>
      <c r="H289" s="10" t="str">
        <f ca="1">IFERROR(__xludf.DUMMYFUNCTION("""COMPUTED_VALUE"""),"Resolución")</f>
        <v>Resolución</v>
      </c>
      <c r="I289" s="10" t="str">
        <f ca="1">IFERROR(__xludf.DUMMYFUNCTION("""COMPUTED_VALUE"""),"Obra")</f>
        <v>Obra</v>
      </c>
      <c r="J289" s="10" t="str">
        <f ca="1">IFERROR(__xludf.DUMMYFUNCTION("""COMPUTED_VALUE"""),"Cumplir con normativa y reglamentos internos del programa en base a los objetivos.")</f>
        <v>Cumplir con normativa y reglamentos internos del programa en base a los objetivos.</v>
      </c>
      <c r="K289" s="71">
        <f ca="1">IFERROR(__xludf.DUMMYFUNCTION("""COMPUTED_VALUE"""),90000000)</f>
        <v>90000000</v>
      </c>
      <c r="L289" s="27">
        <f ca="1">IFERROR(__xludf.DUMMYFUNCTION("""COMPUTED_VALUE"""),1)</f>
        <v>1</v>
      </c>
      <c r="M289" s="10" t="str">
        <f ca="1">IFERROR(__xludf.DUMMYFUNCTION("""COMPUTED_VALUE"""),"10404/2024")</f>
        <v>10404/2024</v>
      </c>
      <c r="N289" s="10" t="str">
        <f ca="1">IFERROR(__xludf.DUMMYFUNCTION("""COMPUTED_VALUE"""),"PMB")</f>
        <v>PMB</v>
      </c>
      <c r="O289" s="59"/>
      <c r="P289" s="1"/>
      <c r="Q289" s="1"/>
      <c r="R289" s="1"/>
      <c r="S289" s="1"/>
      <c r="T289" s="1"/>
      <c r="U289" s="1"/>
      <c r="V289" s="1"/>
      <c r="W289" s="1"/>
      <c r="X289" s="1"/>
      <c r="Y289" s="1"/>
      <c r="Z289" s="1"/>
      <c r="AA289" s="1"/>
    </row>
    <row r="290" spans="1:27" ht="12.75" customHeight="1">
      <c r="A290" s="1"/>
      <c r="B290" s="10" t="str">
        <f ca="1">IFERROR(__xludf.DUMMYFUNCTION("""COMPUTED_VALUE"""),"HABILITACIÓN SISTEMA DE EMERGENCIAS PARA APR DE DIVERSOS SECTORES, COMUNA DE QUINCHAO")</f>
        <v>HABILITACIÓN SISTEMA DE EMERGENCIAS PARA APR DE DIVERSOS SECTORES, COMUNA DE QUINCHAO</v>
      </c>
      <c r="C290" s="10" t="str">
        <f ca="1">IFERROR(__xludf.DUMMYFUNCTION("""COMPUTED_VALUE"""),"10210240701-B")</f>
        <v>10210240701-B</v>
      </c>
      <c r="D290" s="26" t="str">
        <f t="shared" ca="1" si="0"/>
        <v xml:space="preserve"> QUINCHAO</v>
      </c>
      <c r="E290" s="10" t="str">
        <f ca="1">IFERROR(__xludf.DUMMYFUNCTION("""COMPUTED_VALUE"""),"Guía Operativa")</f>
        <v>Guía Operativa</v>
      </c>
      <c r="F290" s="10" t="str">
        <f ca="1">IFERROR(__xludf.DUMMYFUNCTION("""COMPUTED_VALUE"""),"MUNICIPALIDAD DE QUINCHAO")</f>
        <v>MUNICIPALIDAD DE QUINCHAO</v>
      </c>
      <c r="G290" s="71">
        <f ca="1">IFERROR(__xludf.DUMMYFUNCTION("""COMPUTED_VALUE"""),90000000)</f>
        <v>90000000</v>
      </c>
      <c r="H290" s="10" t="str">
        <f ca="1">IFERROR(__xludf.DUMMYFUNCTION("""COMPUTED_VALUE"""),"Resolución")</f>
        <v>Resolución</v>
      </c>
      <c r="I290" s="10" t="str">
        <f ca="1">IFERROR(__xludf.DUMMYFUNCTION("""COMPUTED_VALUE"""),"Obra")</f>
        <v>Obra</v>
      </c>
      <c r="J290" s="10" t="str">
        <f ca="1">IFERROR(__xludf.DUMMYFUNCTION("""COMPUTED_VALUE"""),"Cumplir con normativa y reglamentos internos del programa en base a los objetivos.")</f>
        <v>Cumplir con normativa y reglamentos internos del programa en base a los objetivos.</v>
      </c>
      <c r="K290" s="71">
        <f ca="1">IFERROR(__xludf.DUMMYFUNCTION("""COMPUTED_VALUE"""),90000000)</f>
        <v>90000000</v>
      </c>
      <c r="L290" s="27">
        <f ca="1">IFERROR(__xludf.DUMMYFUNCTION("""COMPUTED_VALUE"""),1)</f>
        <v>1</v>
      </c>
      <c r="M290" s="10" t="str">
        <f ca="1">IFERROR(__xludf.DUMMYFUNCTION("""COMPUTED_VALUE"""),"10324/2024")</f>
        <v>10324/2024</v>
      </c>
      <c r="N290" s="10" t="str">
        <f ca="1">IFERROR(__xludf.DUMMYFUNCTION("""COMPUTED_VALUE"""),"PMB")</f>
        <v>PMB</v>
      </c>
      <c r="O290" s="59"/>
      <c r="P290" s="1"/>
      <c r="Q290" s="1"/>
      <c r="R290" s="1"/>
      <c r="S290" s="1"/>
      <c r="T290" s="1"/>
      <c r="U290" s="1"/>
      <c r="V290" s="1"/>
      <c r="W290" s="1"/>
      <c r="X290" s="1"/>
      <c r="Y290" s="1"/>
      <c r="Z290" s="1"/>
      <c r="AA290" s="1"/>
    </row>
    <row r="291" spans="1:27" ht="12.75" customHeight="1">
      <c r="A291" s="1"/>
      <c r="B291" s="10" t="str">
        <f ca="1">IFERROR(__xludf.DUMMYFUNCTION("""COMPUTED_VALUE"""),"EXTENSIÓN DE MATRIZ DE AGUA POTABLE E INSTALACION DE ARRANQUES Y UNIONES DOMICILIARIAS, PASAJE SAN LUIS, ALTO JAHUEL, COMUNA DE BUIN")</f>
        <v>EXTENSIÓN DE MATRIZ DE AGUA POTABLE E INSTALACION DE ARRANQUES Y UNIONES DOMICILIARIAS, PASAJE SAN LUIS, ALTO JAHUEL, COMUNA DE BUIN</v>
      </c>
      <c r="C291" s="10" t="str">
        <f ca="1">IFERROR(__xludf.DUMMYFUNCTION("""COMPUTED_VALUE"""),"13402240701-B")</f>
        <v>13402240701-B</v>
      </c>
      <c r="D291" s="26" t="str">
        <f t="shared" ca="1" si="0"/>
        <v xml:space="preserve"> BUIN</v>
      </c>
      <c r="E291" s="10" t="str">
        <f ca="1">IFERROR(__xludf.DUMMYFUNCTION("""COMPUTED_VALUE"""),"Guía Operativa")</f>
        <v>Guía Operativa</v>
      </c>
      <c r="F291" s="10" t="str">
        <f ca="1">IFERROR(__xludf.DUMMYFUNCTION("""COMPUTED_VALUE"""),"MUNICIPALIDAD DE BUIN")</f>
        <v>MUNICIPALIDAD DE BUIN</v>
      </c>
      <c r="G291" s="71">
        <f ca="1">IFERROR(__xludf.DUMMYFUNCTION("""COMPUTED_VALUE"""),80071668)</f>
        <v>80071668</v>
      </c>
      <c r="H291" s="10" t="str">
        <f ca="1">IFERROR(__xludf.DUMMYFUNCTION("""COMPUTED_VALUE"""),"Resolución")</f>
        <v>Resolución</v>
      </c>
      <c r="I291" s="10" t="str">
        <f ca="1">IFERROR(__xludf.DUMMYFUNCTION("""COMPUTED_VALUE"""),"Obra")</f>
        <v>Obra</v>
      </c>
      <c r="J291" s="10" t="str">
        <f ca="1">IFERROR(__xludf.DUMMYFUNCTION("""COMPUTED_VALUE"""),"Cumplir con normativa y reglamentos internos del programa en base a los objetivos.")</f>
        <v>Cumplir con normativa y reglamentos internos del programa en base a los objetivos.</v>
      </c>
      <c r="K291" s="71">
        <f ca="1">IFERROR(__xludf.DUMMYFUNCTION("""COMPUTED_VALUE"""),80071668)</f>
        <v>80071668</v>
      </c>
      <c r="L291" s="27">
        <f ca="1">IFERROR(__xludf.DUMMYFUNCTION("""COMPUTED_VALUE"""),1)</f>
        <v>1</v>
      </c>
      <c r="M291" s="10" t="str">
        <f ca="1">IFERROR(__xludf.DUMMYFUNCTION("""COMPUTED_VALUE"""),"10334/2024")</f>
        <v>10334/2024</v>
      </c>
      <c r="N291" s="10" t="str">
        <f ca="1">IFERROR(__xludf.DUMMYFUNCTION("""COMPUTED_VALUE"""),"PMB")</f>
        <v>PMB</v>
      </c>
      <c r="O291" s="59"/>
      <c r="P291" s="1"/>
      <c r="Q291" s="1"/>
      <c r="R291" s="1"/>
      <c r="S291" s="1"/>
      <c r="T291" s="1"/>
      <c r="U291" s="1"/>
      <c r="V291" s="1"/>
      <c r="W291" s="1"/>
      <c r="X291" s="1"/>
      <c r="Y291" s="1"/>
      <c r="Z291" s="1"/>
      <c r="AA291" s="1"/>
    </row>
    <row r="292" spans="1:27" ht="12.75" customHeight="1">
      <c r="A292" s="1"/>
      <c r="B292" s="10" t="str">
        <f ca="1">IFERROR(__xludf.DUMMYFUNCTION("""COMPUTED_VALUE"""),"MEJORAMIENTO Y REPARACION PTAS - ESCUELA DE CORCOLEN")</f>
        <v>MEJORAMIENTO Y REPARACION PTAS - ESCUELA DE CORCOLEN</v>
      </c>
      <c r="C292" s="10" t="str">
        <f ca="1">IFERROR(__xludf.DUMMYFUNCTION("""COMPUTED_VALUE"""),"6109240701-B")</f>
        <v>6109240701-B</v>
      </c>
      <c r="D292" s="26" t="str">
        <f t="shared" ca="1" si="0"/>
        <v xml:space="preserve"> MALLOA</v>
      </c>
      <c r="E292" s="10" t="str">
        <f ca="1">IFERROR(__xludf.DUMMYFUNCTION("""COMPUTED_VALUE"""),"Guía Operativa")</f>
        <v>Guía Operativa</v>
      </c>
      <c r="F292" s="10" t="str">
        <f ca="1">IFERROR(__xludf.DUMMYFUNCTION("""COMPUTED_VALUE"""),"MUNICIPALIDAD DE MALLOA")</f>
        <v>MUNICIPALIDAD DE MALLOA</v>
      </c>
      <c r="G292" s="71">
        <f ca="1">IFERROR(__xludf.DUMMYFUNCTION("""COMPUTED_VALUE"""),193251410)</f>
        <v>193251410</v>
      </c>
      <c r="H292" s="10" t="str">
        <f ca="1">IFERROR(__xludf.DUMMYFUNCTION("""COMPUTED_VALUE"""),"Resolución")</f>
        <v>Resolución</v>
      </c>
      <c r="I292" s="10" t="str">
        <f ca="1">IFERROR(__xludf.DUMMYFUNCTION("""COMPUTED_VALUE"""),"Obra")</f>
        <v>Obra</v>
      </c>
      <c r="J292" s="10" t="str">
        <f ca="1">IFERROR(__xludf.DUMMYFUNCTION("""COMPUTED_VALUE"""),"Cumplir con normativa y reglamentos internos del programa en base a los objetivos.")</f>
        <v>Cumplir con normativa y reglamentos internos del programa en base a los objetivos.</v>
      </c>
      <c r="K292" s="71">
        <f ca="1">IFERROR(__xludf.DUMMYFUNCTION("""COMPUTED_VALUE"""),193251410)</f>
        <v>193251410</v>
      </c>
      <c r="L292" s="27">
        <f ca="1">IFERROR(__xludf.DUMMYFUNCTION("""COMPUTED_VALUE"""),1)</f>
        <v>1</v>
      </c>
      <c r="M292" s="10" t="str">
        <f ca="1">IFERROR(__xludf.DUMMYFUNCTION("""COMPUTED_VALUE"""),"10649/2024")</f>
        <v>10649/2024</v>
      </c>
      <c r="N292" s="10" t="str">
        <f ca="1">IFERROR(__xludf.DUMMYFUNCTION("""COMPUTED_VALUE"""),"PMB")</f>
        <v>PMB</v>
      </c>
      <c r="O292" s="59"/>
      <c r="P292" s="1"/>
      <c r="Q292" s="1"/>
      <c r="R292" s="1"/>
      <c r="S292" s="1"/>
      <c r="T292" s="1"/>
      <c r="U292" s="1"/>
      <c r="V292" s="1"/>
      <c r="W292" s="1"/>
      <c r="X292" s="1"/>
      <c r="Y292" s="1"/>
      <c r="Z292" s="1"/>
      <c r="AA292" s="1"/>
    </row>
    <row r="293" spans="1:27" ht="12.75" customHeight="1">
      <c r="A293" s="1"/>
      <c r="B293" s="10" t="str">
        <f ca="1">IFERROR(__xludf.DUMMYFUNCTION("""COMPUTED_VALUE"""),"MEJORAMIENTO PLANTA DE TRATAMIENTO AGUAS SERVIDAS LOS BRONCES, COLTAUCO")</f>
        <v>MEJORAMIENTO PLANTA DE TRATAMIENTO AGUAS SERVIDAS LOS BRONCES, COLTAUCO</v>
      </c>
      <c r="C293" s="10" t="str">
        <f ca="1">IFERROR(__xludf.DUMMYFUNCTION("""COMPUTED_VALUE"""),"6104240701-B")</f>
        <v>6104240701-B</v>
      </c>
      <c r="D293" s="26" t="str">
        <f t="shared" ca="1" si="0"/>
        <v xml:space="preserve"> COLTAUCO</v>
      </c>
      <c r="E293" s="10" t="str">
        <f ca="1">IFERROR(__xludf.DUMMYFUNCTION("""COMPUTED_VALUE"""),"Guía Operativa")</f>
        <v>Guía Operativa</v>
      </c>
      <c r="F293" s="10" t="str">
        <f ca="1">IFERROR(__xludf.DUMMYFUNCTION("""COMPUTED_VALUE"""),"MUNICIPALIDAD DE COLTAUCO")</f>
        <v>MUNICIPALIDAD DE COLTAUCO</v>
      </c>
      <c r="G293" s="71">
        <f ca="1">IFERROR(__xludf.DUMMYFUNCTION("""COMPUTED_VALUE"""),323300000)</f>
        <v>323300000</v>
      </c>
      <c r="H293" s="10" t="str">
        <f ca="1">IFERROR(__xludf.DUMMYFUNCTION("""COMPUTED_VALUE"""),"Resolución")</f>
        <v>Resolución</v>
      </c>
      <c r="I293" s="10" t="str">
        <f ca="1">IFERROR(__xludf.DUMMYFUNCTION("""COMPUTED_VALUE"""),"Obra")</f>
        <v>Obra</v>
      </c>
      <c r="J293" s="10" t="str">
        <f ca="1">IFERROR(__xludf.DUMMYFUNCTION("""COMPUTED_VALUE"""),"Cumplir con normativa y reglamentos internos del programa en base a los objetivos.")</f>
        <v>Cumplir con normativa y reglamentos internos del programa en base a los objetivos.</v>
      </c>
      <c r="K293" s="71">
        <f ca="1">IFERROR(__xludf.DUMMYFUNCTION("""COMPUTED_VALUE"""),323300000)</f>
        <v>323300000</v>
      </c>
      <c r="L293" s="27">
        <f ca="1">IFERROR(__xludf.DUMMYFUNCTION("""COMPUTED_VALUE"""),1)</f>
        <v>1</v>
      </c>
      <c r="M293" s="10" t="str">
        <f ca="1">IFERROR(__xludf.DUMMYFUNCTION("""COMPUTED_VALUE"""),"10648/2024")</f>
        <v>10648/2024</v>
      </c>
      <c r="N293" s="10" t="str">
        <f ca="1">IFERROR(__xludf.DUMMYFUNCTION("""COMPUTED_VALUE"""),"PMB")</f>
        <v>PMB</v>
      </c>
      <c r="O293" s="59"/>
      <c r="P293" s="1"/>
      <c r="Q293" s="1"/>
      <c r="R293" s="1"/>
      <c r="S293" s="1"/>
      <c r="T293" s="1"/>
      <c r="U293" s="1"/>
      <c r="V293" s="1"/>
      <c r="W293" s="1"/>
      <c r="X293" s="1"/>
      <c r="Y293" s="1"/>
      <c r="Z293" s="1"/>
      <c r="AA293" s="1"/>
    </row>
    <row r="294" spans="1:27" ht="12.75" customHeight="1">
      <c r="A294" s="1"/>
      <c r="B294" s="10" t="str">
        <f ca="1">IFERROR(__xludf.DUMMYFUNCTION("""COMPUTED_VALUE"""),"CONSTRUCCION CASETA GENERADOR Y EQUIPAMIENTO PTAS VILLA ARTURO PRAT")</f>
        <v>CONSTRUCCION CASETA GENERADOR Y EQUIPAMIENTO PTAS VILLA ARTURO PRAT</v>
      </c>
      <c r="C294" s="10" t="str">
        <f ca="1">IFERROR(__xludf.DUMMYFUNCTION("""COMPUTED_VALUE"""),"6117240701-B")</f>
        <v>6117240701-B</v>
      </c>
      <c r="D294" s="26" t="str">
        <f t="shared" ca="1" si="0"/>
        <v xml:space="preserve"> SAN VICENTE</v>
      </c>
      <c r="E294" s="10" t="str">
        <f ca="1">IFERROR(__xludf.DUMMYFUNCTION("""COMPUTED_VALUE"""),"Guía Operativa")</f>
        <v>Guía Operativa</v>
      </c>
      <c r="F294" s="10" t="str">
        <f ca="1">IFERROR(__xludf.DUMMYFUNCTION("""COMPUTED_VALUE"""),"MUNICIPALIDAD DE SAN VICENTE")</f>
        <v>MUNICIPALIDAD DE SAN VICENTE</v>
      </c>
      <c r="G294" s="71">
        <f ca="1">IFERROR(__xludf.DUMMYFUNCTION("""COMPUTED_VALUE"""),120000000)</f>
        <v>120000000</v>
      </c>
      <c r="H294" s="10" t="str">
        <f ca="1">IFERROR(__xludf.DUMMYFUNCTION("""COMPUTED_VALUE"""),"Resolución")</f>
        <v>Resolución</v>
      </c>
      <c r="I294" s="10" t="str">
        <f ca="1">IFERROR(__xludf.DUMMYFUNCTION("""COMPUTED_VALUE"""),"Obra")</f>
        <v>Obra</v>
      </c>
      <c r="J294" s="10" t="str">
        <f ca="1">IFERROR(__xludf.DUMMYFUNCTION("""COMPUTED_VALUE"""),"Cumplir con normativa y reglamentos internos del programa en base a los objetivos.")</f>
        <v>Cumplir con normativa y reglamentos internos del programa en base a los objetivos.</v>
      </c>
      <c r="K294" s="71">
        <f ca="1">IFERROR(__xludf.DUMMYFUNCTION("""COMPUTED_VALUE"""),120000000)</f>
        <v>120000000</v>
      </c>
      <c r="L294" s="27">
        <f ca="1">IFERROR(__xludf.DUMMYFUNCTION("""COMPUTED_VALUE"""),1)</f>
        <v>1</v>
      </c>
      <c r="M294" s="10" t="str">
        <f ca="1">IFERROR(__xludf.DUMMYFUNCTION("""COMPUTED_VALUE"""),"10406/2024")</f>
        <v>10406/2024</v>
      </c>
      <c r="N294" s="10" t="str">
        <f ca="1">IFERROR(__xludf.DUMMYFUNCTION("""COMPUTED_VALUE"""),"PMB")</f>
        <v>PMB</v>
      </c>
      <c r="O294" s="59"/>
      <c r="P294" s="1"/>
      <c r="Q294" s="1"/>
      <c r="R294" s="1"/>
      <c r="S294" s="1"/>
      <c r="T294" s="1"/>
      <c r="U294" s="1"/>
      <c r="V294" s="1"/>
      <c r="W294" s="1"/>
      <c r="X294" s="1"/>
      <c r="Y294" s="1"/>
      <c r="Z294" s="1"/>
      <c r="AA294" s="1"/>
    </row>
    <row r="295" spans="1:27" ht="12.75" customHeight="1">
      <c r="A295" s="1"/>
      <c r="B295" s="10" t="str">
        <f ca="1">IFERROR(__xludf.DUMMYFUNCTION("""COMPUTED_VALUE"""),"MEJORAMIENTO RED DE DISTRIBUCIÓN DE AGUA POTABLE APR LAS PALMAS, COMUNA DE LLAY LLAY")</f>
        <v>MEJORAMIENTO RED DE DISTRIBUCIÓN DE AGUA POTABLE APR LAS PALMAS, COMUNA DE LLAY LLAY</v>
      </c>
      <c r="C295" s="10" t="str">
        <f ca="1">IFERROR(__xludf.DUMMYFUNCTION("""COMPUTED_VALUE"""),"5703240701-B")</f>
        <v>5703240701-B</v>
      </c>
      <c r="D295" s="26" t="str">
        <f t="shared" ca="1" si="0"/>
        <v xml:space="preserve"> LLAILLAY</v>
      </c>
      <c r="E295" s="10" t="str">
        <f ca="1">IFERROR(__xludf.DUMMYFUNCTION("""COMPUTED_VALUE"""),"Guía Operativa")</f>
        <v>Guía Operativa</v>
      </c>
      <c r="F295" s="10" t="str">
        <f ca="1">IFERROR(__xludf.DUMMYFUNCTION("""COMPUTED_VALUE"""),"MUNICIPALIDAD DE LLAILLAY")</f>
        <v>MUNICIPALIDAD DE LLAILLAY</v>
      </c>
      <c r="G295" s="71">
        <f ca="1">IFERROR(__xludf.DUMMYFUNCTION("""COMPUTED_VALUE"""),137530992)</f>
        <v>137530992</v>
      </c>
      <c r="H295" s="10" t="str">
        <f ca="1">IFERROR(__xludf.DUMMYFUNCTION("""COMPUTED_VALUE"""),"Resolución")</f>
        <v>Resolución</v>
      </c>
      <c r="I295" s="10" t="str">
        <f ca="1">IFERROR(__xludf.DUMMYFUNCTION("""COMPUTED_VALUE"""),"Obra")</f>
        <v>Obra</v>
      </c>
      <c r="J295" s="10" t="str">
        <f ca="1">IFERROR(__xludf.DUMMYFUNCTION("""COMPUTED_VALUE"""),"Cumplir con normativa y reglamentos internos del programa en base a los objetivos.")</f>
        <v>Cumplir con normativa y reglamentos internos del programa en base a los objetivos.</v>
      </c>
      <c r="K295" s="71">
        <f ca="1">IFERROR(__xludf.DUMMYFUNCTION("""COMPUTED_VALUE"""),137530992)</f>
        <v>137530992</v>
      </c>
      <c r="L295" s="27">
        <f ca="1">IFERROR(__xludf.DUMMYFUNCTION("""COMPUTED_VALUE"""),1)</f>
        <v>1</v>
      </c>
      <c r="M295" s="10" t="str">
        <f ca="1">IFERROR(__xludf.DUMMYFUNCTION("""COMPUTED_VALUE"""),"10419/2024")</f>
        <v>10419/2024</v>
      </c>
      <c r="N295" s="10" t="str">
        <f ca="1">IFERROR(__xludf.DUMMYFUNCTION("""COMPUTED_VALUE"""),"PMB")</f>
        <v>PMB</v>
      </c>
      <c r="O295" s="59"/>
      <c r="P295" s="1"/>
      <c r="Q295" s="1"/>
      <c r="R295" s="1"/>
      <c r="S295" s="1"/>
      <c r="T295" s="1"/>
      <c r="U295" s="1"/>
      <c r="V295" s="1"/>
      <c r="W295" s="1"/>
      <c r="X295" s="1"/>
      <c r="Y295" s="1"/>
      <c r="Z295" s="1"/>
      <c r="AA295" s="1"/>
    </row>
    <row r="296" spans="1:27" ht="12.75" customHeight="1">
      <c r="A296" s="1"/>
      <c r="B296" s="10" t="str">
        <f ca="1">IFERROR(__xludf.DUMMYFUNCTION("""COMPUTED_VALUE"""),"MEJORAMIENTO DE INSTALACIONES DE SERVICIOS SANITARIOS RURALES (SSR) SAN JUAN, AGUA BUENA, MALVILLA Y LEYDA, COMUNA DE SAN ANTONIO")</f>
        <v>MEJORAMIENTO DE INSTALACIONES DE SERVICIOS SANITARIOS RURALES (SSR) SAN JUAN, AGUA BUENA, MALVILLA Y LEYDA, COMUNA DE SAN ANTONIO</v>
      </c>
      <c r="C296" s="10" t="str">
        <f ca="1">IFERROR(__xludf.DUMMYFUNCTION("""COMPUTED_VALUE"""),"5601240701-B")</f>
        <v>5601240701-B</v>
      </c>
      <c r="D296" s="26" t="str">
        <f t="shared" ca="1" si="0"/>
        <v xml:space="preserve"> SAN ANTONIO</v>
      </c>
      <c r="E296" s="10" t="str">
        <f ca="1">IFERROR(__xludf.DUMMYFUNCTION("""COMPUTED_VALUE"""),"Guía Operativa")</f>
        <v>Guía Operativa</v>
      </c>
      <c r="F296" s="10" t="str">
        <f ca="1">IFERROR(__xludf.DUMMYFUNCTION("""COMPUTED_VALUE"""),"MUNICIPALIDAD DE SAN ANTONIO")</f>
        <v>MUNICIPALIDAD DE SAN ANTONIO</v>
      </c>
      <c r="G296" s="71">
        <f ca="1">IFERROR(__xludf.DUMMYFUNCTION("""COMPUTED_VALUE"""),128338818)</f>
        <v>128338818</v>
      </c>
      <c r="H296" s="10" t="str">
        <f ca="1">IFERROR(__xludf.DUMMYFUNCTION("""COMPUTED_VALUE"""),"Resolución")</f>
        <v>Resolución</v>
      </c>
      <c r="I296" s="10" t="str">
        <f ca="1">IFERROR(__xludf.DUMMYFUNCTION("""COMPUTED_VALUE"""),"Obra")</f>
        <v>Obra</v>
      </c>
      <c r="J296" s="10" t="str">
        <f ca="1">IFERROR(__xludf.DUMMYFUNCTION("""COMPUTED_VALUE"""),"Cumplir con normativa y reglamentos internos del programa en base a los objetivos.")</f>
        <v>Cumplir con normativa y reglamentos internos del programa en base a los objetivos.</v>
      </c>
      <c r="K296" s="71">
        <f ca="1">IFERROR(__xludf.DUMMYFUNCTION("""COMPUTED_VALUE"""),128338818)</f>
        <v>128338818</v>
      </c>
      <c r="L296" s="27">
        <f ca="1">IFERROR(__xludf.DUMMYFUNCTION("""COMPUTED_VALUE"""),1)</f>
        <v>1</v>
      </c>
      <c r="M296" s="10" t="str">
        <f ca="1">IFERROR(__xludf.DUMMYFUNCTION("""COMPUTED_VALUE"""),"10403/2024")</f>
        <v>10403/2024</v>
      </c>
      <c r="N296" s="10" t="str">
        <f ca="1">IFERROR(__xludf.DUMMYFUNCTION("""COMPUTED_VALUE"""),"PMB")</f>
        <v>PMB</v>
      </c>
      <c r="O296" s="59"/>
      <c r="P296" s="1"/>
      <c r="Q296" s="1"/>
      <c r="R296" s="1"/>
      <c r="S296" s="1"/>
      <c r="T296" s="1"/>
      <c r="U296" s="1"/>
      <c r="V296" s="1"/>
      <c r="W296" s="1"/>
      <c r="X296" s="1"/>
      <c r="Y296" s="1"/>
      <c r="Z296" s="1"/>
      <c r="AA296" s="1"/>
    </row>
    <row r="297" spans="1:27" ht="12.75" customHeight="1">
      <c r="A297" s="1"/>
      <c r="B297" s="10" t="str">
        <f ca="1">IFERROR(__xludf.DUMMYFUNCTION("""COMPUTED_VALUE"""),"CONSTRUCCIÓN LUMINARIAS CON PANELES FOTOVOLTAICOS RUTA S-476, NUEVA IMPERIAL")</f>
        <v>CONSTRUCCIÓN LUMINARIAS CON PANELES FOTOVOLTAICOS RUTA S-476, NUEVA IMPERIAL</v>
      </c>
      <c r="C297" s="10" t="str">
        <f ca="1">IFERROR(__xludf.DUMMYFUNCTION("""COMPUTED_VALUE"""),"9111230702-C")</f>
        <v>9111230702-C</v>
      </c>
      <c r="D297" s="26" t="str">
        <f t="shared" ca="1" si="0"/>
        <v xml:space="preserve"> NUEVA IMPERIAL</v>
      </c>
      <c r="E297" s="10" t="str">
        <f ca="1">IFERROR(__xludf.DUMMYFUNCTION("""COMPUTED_VALUE"""),"Guía Operativa")</f>
        <v>Guía Operativa</v>
      </c>
      <c r="F297" s="10" t="str">
        <f ca="1">IFERROR(__xludf.DUMMYFUNCTION("""COMPUTED_VALUE"""),"MUNICIPALIDAD DE NUEVA IMPERIAL")</f>
        <v>MUNICIPALIDAD DE NUEVA IMPERIAL</v>
      </c>
      <c r="G297" s="71">
        <f ca="1">IFERROR(__xludf.DUMMYFUNCTION("""COMPUTED_VALUE"""),300200000)</f>
        <v>300200000</v>
      </c>
      <c r="H297" s="10" t="str">
        <f ca="1">IFERROR(__xludf.DUMMYFUNCTION("""COMPUTED_VALUE"""),"Resolución")</f>
        <v>Resolución</v>
      </c>
      <c r="I297" s="10" t="str">
        <f ca="1">IFERROR(__xludf.DUMMYFUNCTION("""COMPUTED_VALUE"""),"Obra")</f>
        <v>Obra</v>
      </c>
      <c r="J297" s="10" t="str">
        <f ca="1">IFERROR(__xludf.DUMMYFUNCTION("""COMPUTED_VALUE"""),"Cumplir con normativa y reglamentos internos del programa en base a los objetivos.")</f>
        <v>Cumplir con normativa y reglamentos internos del programa en base a los objetivos.</v>
      </c>
      <c r="K297" s="71">
        <f ca="1">IFERROR(__xludf.DUMMYFUNCTION("""COMPUTED_VALUE"""),300200000)</f>
        <v>300200000</v>
      </c>
      <c r="L297" s="27">
        <f ca="1">IFERROR(__xludf.DUMMYFUNCTION("""COMPUTED_VALUE"""),1)</f>
        <v>1</v>
      </c>
      <c r="M297" s="10" t="str">
        <f ca="1">IFERROR(__xludf.DUMMYFUNCTION("""COMPUTED_VALUE"""),"10410/2024")</f>
        <v>10410/2024</v>
      </c>
      <c r="N297" s="10" t="str">
        <f ca="1">IFERROR(__xludf.DUMMYFUNCTION("""COMPUTED_VALUE"""),"PMB")</f>
        <v>PMB</v>
      </c>
      <c r="O297" s="59"/>
      <c r="P297" s="1"/>
      <c r="Q297" s="1"/>
      <c r="R297" s="1"/>
      <c r="S297" s="1"/>
      <c r="T297" s="1"/>
      <c r="U297" s="1"/>
      <c r="V297" s="1"/>
      <c r="W297" s="1"/>
      <c r="X297" s="1"/>
      <c r="Y297" s="1"/>
      <c r="Z297" s="1"/>
      <c r="AA297" s="1"/>
    </row>
    <row r="298" spans="1:27" ht="12.75" customHeight="1">
      <c r="A298" s="1"/>
      <c r="B298" s="10" t="str">
        <f ca="1">IFERROR(__xludf.DUMMYFUNCTION("""COMPUTED_VALUE"""),"RECAMBIO LUMINARIA VIALES A LED SECTOR CENTRO N°1 , COMUNA DE TRAIGUEN")</f>
        <v>RECAMBIO LUMINARIA VIALES A LED SECTOR CENTRO N°1 , COMUNA DE TRAIGUEN</v>
      </c>
      <c r="C298" s="10" t="str">
        <f ca="1">IFERROR(__xludf.DUMMYFUNCTION("""COMPUTED_VALUE"""),"9210240709-C")</f>
        <v>9210240709-C</v>
      </c>
      <c r="D298" s="26" t="str">
        <f t="shared" ca="1" si="0"/>
        <v xml:space="preserve"> TRAIGUÉN</v>
      </c>
      <c r="E298" s="10" t="str">
        <f ca="1">IFERROR(__xludf.DUMMYFUNCTION("""COMPUTED_VALUE"""),"Guía Operativa")</f>
        <v>Guía Operativa</v>
      </c>
      <c r="F298" s="10" t="str">
        <f ca="1">IFERROR(__xludf.DUMMYFUNCTION("""COMPUTED_VALUE"""),"MUNICIPALIDAD DE TRAIGUÉN")</f>
        <v>MUNICIPALIDAD DE TRAIGUÉN</v>
      </c>
      <c r="G298" s="71">
        <f ca="1">IFERROR(__xludf.DUMMYFUNCTION("""COMPUTED_VALUE"""),235053417)</f>
        <v>235053417</v>
      </c>
      <c r="H298" s="10" t="str">
        <f ca="1">IFERROR(__xludf.DUMMYFUNCTION("""COMPUTED_VALUE"""),"Resolución")</f>
        <v>Resolución</v>
      </c>
      <c r="I298" s="10" t="str">
        <f ca="1">IFERROR(__xludf.DUMMYFUNCTION("""COMPUTED_VALUE"""),"Obra")</f>
        <v>Obra</v>
      </c>
      <c r="J298" s="10" t="str">
        <f ca="1">IFERROR(__xludf.DUMMYFUNCTION("""COMPUTED_VALUE"""),"Cumplir con normativa y reglamentos internos del programa en base a los objetivos.")</f>
        <v>Cumplir con normativa y reglamentos internos del programa en base a los objetivos.</v>
      </c>
      <c r="K298" s="71">
        <f ca="1">IFERROR(__xludf.DUMMYFUNCTION("""COMPUTED_VALUE"""),235053417)</f>
        <v>235053417</v>
      </c>
      <c r="L298" s="27">
        <f ca="1">IFERROR(__xludf.DUMMYFUNCTION("""COMPUTED_VALUE"""),1)</f>
        <v>1</v>
      </c>
      <c r="M298" s="10" t="str">
        <f ca="1">IFERROR(__xludf.DUMMYFUNCTION("""COMPUTED_VALUE"""),"10319/2024")</f>
        <v>10319/2024</v>
      </c>
      <c r="N298" s="10" t="str">
        <f ca="1">IFERROR(__xludf.DUMMYFUNCTION("""COMPUTED_VALUE"""),"PMB")</f>
        <v>PMB</v>
      </c>
      <c r="O298" s="59"/>
      <c r="P298" s="1"/>
      <c r="Q298" s="1"/>
      <c r="R298" s="1"/>
      <c r="S298" s="1"/>
      <c r="T298" s="1"/>
      <c r="U298" s="1"/>
      <c r="V298" s="1"/>
      <c r="W298" s="1"/>
      <c r="X298" s="1"/>
      <c r="Y298" s="1"/>
      <c r="Z298" s="1"/>
      <c r="AA298" s="1"/>
    </row>
    <row r="299" spans="1:27" ht="12.75" customHeight="1">
      <c r="A299" s="1"/>
      <c r="B299" s="10" t="str">
        <f ca="1">IFERROR(__xludf.DUMMYFUNCTION("""COMPUTED_VALUE"""),"CONTRATACION DE ASISTENCIA LEGAL PARA PROYECTOS DE ABASTOS DE AGUA POTABLE Y ALCANTARILLADO, COMUNA DE LONQUIMAY")</f>
        <v>CONTRATACION DE ASISTENCIA LEGAL PARA PROYECTOS DE ABASTOS DE AGUA POTABLE Y ALCANTARILLADO, COMUNA DE LONQUIMAY</v>
      </c>
      <c r="C299" s="10" t="str">
        <f ca="1">IFERROR(__xludf.DUMMYFUNCTION("""COMPUTED_VALUE"""),"9205240601-C")</f>
        <v>9205240601-C</v>
      </c>
      <c r="D299" s="26" t="str">
        <f t="shared" ca="1" si="0"/>
        <v xml:space="preserve"> LONQUIMAY</v>
      </c>
      <c r="E299" s="10" t="str">
        <f ca="1">IFERROR(__xludf.DUMMYFUNCTION("""COMPUTED_VALUE"""),"Guía Operativa")</f>
        <v>Guía Operativa</v>
      </c>
      <c r="F299" s="10" t="str">
        <f ca="1">IFERROR(__xludf.DUMMYFUNCTION("""COMPUTED_VALUE"""),"MUNICIPALIDAD DE LONQUIMAY")</f>
        <v>MUNICIPALIDAD DE LONQUIMAY</v>
      </c>
      <c r="G299" s="71">
        <f ca="1">IFERROR(__xludf.DUMMYFUNCTION("""COMPUTED_VALUE"""),51600000)</f>
        <v>51600000</v>
      </c>
      <c r="H299" s="10" t="str">
        <f ca="1">IFERROR(__xludf.DUMMYFUNCTION("""COMPUTED_VALUE"""),"Resolución")</f>
        <v>Resolución</v>
      </c>
      <c r="I299" s="10" t="str">
        <f ca="1">IFERROR(__xludf.DUMMYFUNCTION("""COMPUTED_VALUE"""),"Asistencia Legal")</f>
        <v>Asistencia Legal</v>
      </c>
      <c r="J299" s="10" t="str">
        <f ca="1">IFERROR(__xludf.DUMMYFUNCTION("""COMPUTED_VALUE"""),"Cumplir con normativa y reglamentos internos del programa en base a los objetivos.")</f>
        <v>Cumplir con normativa y reglamentos internos del programa en base a los objetivos.</v>
      </c>
      <c r="K299" s="71">
        <f ca="1">IFERROR(__xludf.DUMMYFUNCTION("""COMPUTED_VALUE"""),51600000)</f>
        <v>51600000</v>
      </c>
      <c r="L299" s="27">
        <f ca="1">IFERROR(__xludf.DUMMYFUNCTION("""COMPUTED_VALUE"""),1)</f>
        <v>1</v>
      </c>
      <c r="M299" s="10" t="str">
        <f ca="1">IFERROR(__xludf.DUMMYFUNCTION("""COMPUTED_VALUE"""),"10318/2024")</f>
        <v>10318/2024</v>
      </c>
      <c r="N299" s="10" t="str">
        <f ca="1">IFERROR(__xludf.DUMMYFUNCTION("""COMPUTED_VALUE"""),"PMB")</f>
        <v>PMB</v>
      </c>
      <c r="O299" s="59"/>
      <c r="P299" s="1"/>
      <c r="Q299" s="1"/>
      <c r="R299" s="1"/>
      <c r="S299" s="1"/>
      <c r="T299" s="1"/>
      <c r="U299" s="1"/>
      <c r="V299" s="1"/>
      <c r="W299" s="1"/>
      <c r="X299" s="1"/>
      <c r="Y299" s="1"/>
      <c r="Z299" s="1"/>
      <c r="AA299" s="1"/>
    </row>
    <row r="300" spans="1:27" ht="12.75" customHeight="1">
      <c r="A300" s="1"/>
      <c r="B300" s="10" t="str">
        <f ca="1">IFERROR(__xludf.DUMMYFUNCTION("""COMPUTED_VALUE"""),"ASISTENCIA LEGAL PARA EL SANEAMIENTO Y REGULARIZACIÓN DE TERRENOS EN SECTORES URBANOS Y RURALES DE LA COMUNA DE PURÉN")</f>
        <v>ASISTENCIA LEGAL PARA EL SANEAMIENTO Y REGULARIZACIÓN DE TERRENOS EN SECTORES URBANOS Y RURALES DE LA COMUNA DE PURÉN</v>
      </c>
      <c r="C300" s="10" t="str">
        <f ca="1">IFERROR(__xludf.DUMMYFUNCTION("""COMPUTED_VALUE"""),"9208240601-C")</f>
        <v>9208240601-C</v>
      </c>
      <c r="D300" s="26" t="str">
        <f t="shared" ca="1" si="0"/>
        <v xml:space="preserve"> PURÉN</v>
      </c>
      <c r="E300" s="10" t="str">
        <f ca="1">IFERROR(__xludf.DUMMYFUNCTION("""COMPUTED_VALUE"""),"Guía Operativa")</f>
        <v>Guía Operativa</v>
      </c>
      <c r="F300" s="10" t="str">
        <f ca="1">IFERROR(__xludf.DUMMYFUNCTION("""COMPUTED_VALUE"""),"MUNICIPALIDAD DE PURÉN")</f>
        <v>MUNICIPALIDAD DE PURÉN</v>
      </c>
      <c r="G300" s="71">
        <f ca="1">IFERROR(__xludf.DUMMYFUNCTION("""COMPUTED_VALUE"""),48720000)</f>
        <v>48720000</v>
      </c>
      <c r="H300" s="10" t="str">
        <f ca="1">IFERROR(__xludf.DUMMYFUNCTION("""COMPUTED_VALUE"""),"Resolución")</f>
        <v>Resolución</v>
      </c>
      <c r="I300" s="10" t="str">
        <f ca="1">IFERROR(__xludf.DUMMYFUNCTION("""COMPUTED_VALUE"""),"Obra")</f>
        <v>Obra</v>
      </c>
      <c r="J300" s="10" t="str">
        <f ca="1">IFERROR(__xludf.DUMMYFUNCTION("""COMPUTED_VALUE"""),"Cumplir con normativa y reglamentos internos del programa en base a los objetivos.")</f>
        <v>Cumplir con normativa y reglamentos internos del programa en base a los objetivos.</v>
      </c>
      <c r="K300" s="71">
        <f ca="1">IFERROR(__xludf.DUMMYFUNCTION("""COMPUTED_VALUE"""),48720000)</f>
        <v>48720000</v>
      </c>
      <c r="L300" s="27">
        <f ca="1">IFERROR(__xludf.DUMMYFUNCTION("""COMPUTED_VALUE"""),1)</f>
        <v>1</v>
      </c>
      <c r="M300" s="10" t="str">
        <f ca="1">IFERROR(__xludf.DUMMYFUNCTION("""COMPUTED_VALUE"""),"10321/2024")</f>
        <v>10321/2024</v>
      </c>
      <c r="N300" s="10" t="str">
        <f ca="1">IFERROR(__xludf.DUMMYFUNCTION("""COMPUTED_VALUE"""),"PMB")</f>
        <v>PMB</v>
      </c>
      <c r="O300" s="59"/>
      <c r="P300" s="1"/>
      <c r="Q300" s="1"/>
      <c r="R300" s="1"/>
      <c r="S300" s="1"/>
      <c r="T300" s="1"/>
      <c r="U300" s="1"/>
      <c r="V300" s="1"/>
      <c r="W300" s="1"/>
      <c r="X300" s="1"/>
      <c r="Y300" s="1"/>
      <c r="Z300" s="1"/>
      <c r="AA300" s="1"/>
    </row>
    <row r="301" spans="1:27" ht="12.75" customHeight="1">
      <c r="A301" s="1"/>
      <c r="B301" s="10" t="str">
        <f ca="1">IFERROR(__xludf.DUMMYFUNCTION("""COMPUTED_VALUE"""),"ASISTENCIA TÉCNICA, PARA LA AMPLIACIÓN DE COBERTURA Y DOTACIÓN DE AGUA POTABLE EN SECTORES RURALES DE LA COMUNA DE SAAVEDRA")</f>
        <v>ASISTENCIA TÉCNICA, PARA LA AMPLIACIÓN DE COBERTURA Y DOTACIÓN DE AGUA POTABLE EN SECTORES RURALES DE LA COMUNA DE SAAVEDRA</v>
      </c>
      <c r="C301" s="10" t="str">
        <f ca="1">IFERROR(__xludf.DUMMYFUNCTION("""COMPUTED_VALUE"""),"9116231003-C")</f>
        <v>9116231003-C</v>
      </c>
      <c r="D301" s="26" t="str">
        <f t="shared" ca="1" si="0"/>
        <v xml:space="preserve"> SAAVEDRA</v>
      </c>
      <c r="E301" s="10" t="str">
        <f ca="1">IFERROR(__xludf.DUMMYFUNCTION("""COMPUTED_VALUE"""),"Guía Operativa")</f>
        <v>Guía Operativa</v>
      </c>
      <c r="F301" s="10" t="str">
        <f ca="1">IFERROR(__xludf.DUMMYFUNCTION("""COMPUTED_VALUE"""),"MUNICIPALIDAD DE SAAVEDRA")</f>
        <v>MUNICIPALIDAD DE SAAVEDRA</v>
      </c>
      <c r="G301" s="71">
        <f ca="1">IFERROR(__xludf.DUMMYFUNCTION("""COMPUTED_VALUE"""),78000000)</f>
        <v>78000000</v>
      </c>
      <c r="H301" s="10" t="str">
        <f ca="1">IFERROR(__xludf.DUMMYFUNCTION("""COMPUTED_VALUE"""),"Resolución")</f>
        <v>Resolución</v>
      </c>
      <c r="I301" s="10" t="str">
        <f ca="1">IFERROR(__xludf.DUMMYFUNCTION("""COMPUTED_VALUE"""),"Asistencia Técnica")</f>
        <v>Asistencia Técnica</v>
      </c>
      <c r="J301" s="10" t="str">
        <f ca="1">IFERROR(__xludf.DUMMYFUNCTION("""COMPUTED_VALUE"""),"Cumplir con normativa y reglamentos internos del programa en base a los objetivos.")</f>
        <v>Cumplir con normativa y reglamentos internos del programa en base a los objetivos.</v>
      </c>
      <c r="K301" s="71">
        <f ca="1">IFERROR(__xludf.DUMMYFUNCTION("""COMPUTED_VALUE"""),78000000)</f>
        <v>78000000</v>
      </c>
      <c r="L301" s="27">
        <f ca="1">IFERROR(__xludf.DUMMYFUNCTION("""COMPUTED_VALUE"""),1)</f>
        <v>1</v>
      </c>
      <c r="M301" s="10" t="str">
        <f ca="1">IFERROR(__xludf.DUMMYFUNCTION("""COMPUTED_VALUE"""),"10323/2024")</f>
        <v>10323/2024</v>
      </c>
      <c r="N301" s="10" t="str">
        <f ca="1">IFERROR(__xludf.DUMMYFUNCTION("""COMPUTED_VALUE"""),"PMB")</f>
        <v>PMB</v>
      </c>
      <c r="O301" s="59"/>
      <c r="P301" s="1"/>
      <c r="Q301" s="1"/>
      <c r="R301" s="1"/>
      <c r="S301" s="1"/>
      <c r="T301" s="1"/>
      <c r="U301" s="1"/>
      <c r="V301" s="1"/>
      <c r="W301" s="1"/>
      <c r="X301" s="1"/>
      <c r="Y301" s="1"/>
      <c r="Z301" s="1"/>
      <c r="AA301" s="1"/>
    </row>
    <row r="302" spans="1:27" ht="12.75" customHeight="1">
      <c r="A302" s="1"/>
      <c r="B302" s="10" t="str">
        <f ca="1">IFERROR(__xludf.DUMMYFUNCTION("""COMPUTED_VALUE"""),"ESTUDIO HIDROGEOLOGICO VARIOS SECTORES RURALES , COMUNA DE PADRE LAS CASAS")</f>
        <v>ESTUDIO HIDROGEOLOGICO VARIOS SECTORES RURALES , COMUNA DE PADRE LAS CASAS</v>
      </c>
      <c r="C302" s="10" t="str">
        <f ca="1">IFERROR(__xludf.DUMMYFUNCTION("""COMPUTED_VALUE"""),"9112240401-C")</f>
        <v>9112240401-C</v>
      </c>
      <c r="D302" s="26" t="str">
        <f t="shared" ca="1" si="0"/>
        <v xml:space="preserve"> PADRE LAS CASAS</v>
      </c>
      <c r="E302" s="10" t="str">
        <f ca="1">IFERROR(__xludf.DUMMYFUNCTION("""COMPUTED_VALUE"""),"Guía Operativa")</f>
        <v>Guía Operativa</v>
      </c>
      <c r="F302" s="10" t="str">
        <f ca="1">IFERROR(__xludf.DUMMYFUNCTION("""COMPUTED_VALUE"""),"MUNICIPALIDAD DE PADRE LAS CASAS")</f>
        <v>MUNICIPALIDAD DE PADRE LAS CASAS</v>
      </c>
      <c r="G302" s="71">
        <f ca="1">IFERROR(__xludf.DUMMYFUNCTION("""COMPUTED_VALUE"""),99424500)</f>
        <v>99424500</v>
      </c>
      <c r="H302" s="10" t="str">
        <f ca="1">IFERROR(__xludf.DUMMYFUNCTION("""COMPUTED_VALUE"""),"Resolución")</f>
        <v>Resolución</v>
      </c>
      <c r="I302" s="10" t="str">
        <f ca="1">IFERROR(__xludf.DUMMYFUNCTION("""COMPUTED_VALUE"""),"Estudio")</f>
        <v>Estudio</v>
      </c>
      <c r="J302" s="10" t="str">
        <f ca="1">IFERROR(__xludf.DUMMYFUNCTION("""COMPUTED_VALUE"""),"Cumplir con normativa y reglamentos internos del programa en base a los objetivos.")</f>
        <v>Cumplir con normativa y reglamentos internos del programa en base a los objetivos.</v>
      </c>
      <c r="K302" s="71">
        <f ca="1">IFERROR(__xludf.DUMMYFUNCTION("""COMPUTED_VALUE"""),99424500)</f>
        <v>99424500</v>
      </c>
      <c r="L302" s="27">
        <f ca="1">IFERROR(__xludf.DUMMYFUNCTION("""COMPUTED_VALUE"""),1)</f>
        <v>1</v>
      </c>
      <c r="M302" s="10" t="str">
        <f ca="1">IFERROR(__xludf.DUMMYFUNCTION("""COMPUTED_VALUE"""),"10320/2024")</f>
        <v>10320/2024</v>
      </c>
      <c r="N302" s="10" t="str">
        <f ca="1">IFERROR(__xludf.DUMMYFUNCTION("""COMPUTED_VALUE"""),"PMB")</f>
        <v>PMB</v>
      </c>
      <c r="O302" s="59"/>
      <c r="P302" s="1"/>
      <c r="Q302" s="1"/>
      <c r="R302" s="1"/>
      <c r="S302" s="1"/>
      <c r="T302" s="1"/>
      <c r="U302" s="1"/>
      <c r="V302" s="1"/>
      <c r="W302" s="1"/>
      <c r="X302" s="1"/>
      <c r="Y302" s="1"/>
      <c r="Z302" s="1"/>
      <c r="AA302" s="1"/>
    </row>
    <row r="303" spans="1:27" ht="12.75" customHeight="1">
      <c r="A303" s="1"/>
      <c r="B303" s="10" t="str">
        <f ca="1">IFERROR(__xludf.DUMMYFUNCTION("""COMPUTED_VALUE"""),"CONTRATACIÓN DE PROFESIONAL PARA EDUCACIÓN AMBIENTAL Y MEJORA DEL SISTEMA INTEGRAL DE GESTIÓN DE RSDYA EN CURARREHUE")</f>
        <v>CONTRATACIÓN DE PROFESIONAL PARA EDUCACIÓN AMBIENTAL Y MEJORA DEL SISTEMA INTEGRAL DE GESTIÓN DE RSDYA EN CURARREHUE</v>
      </c>
      <c r="C303" s="10" t="str">
        <f ca="1">IFERROR(__xludf.DUMMYFUNCTION("""COMPUTED_VALUE"""),"9104231002-C")</f>
        <v>9104231002-C</v>
      </c>
      <c r="D303" s="26" t="str">
        <f t="shared" ca="1" si="0"/>
        <v xml:space="preserve"> CURARREHUE</v>
      </c>
      <c r="E303" s="10" t="str">
        <f ca="1">IFERROR(__xludf.DUMMYFUNCTION("""COMPUTED_VALUE"""),"Guía Operativa")</f>
        <v>Guía Operativa</v>
      </c>
      <c r="F303" s="10" t="str">
        <f ca="1">IFERROR(__xludf.DUMMYFUNCTION("""COMPUTED_VALUE"""),"MUNICIPALIDAD DE CURARREHUE")</f>
        <v>MUNICIPALIDAD DE CURARREHUE</v>
      </c>
      <c r="G303" s="71">
        <f ca="1">IFERROR(__xludf.DUMMYFUNCTION("""COMPUTED_VALUE"""),22800000)</f>
        <v>22800000</v>
      </c>
      <c r="H303" s="10" t="str">
        <f ca="1">IFERROR(__xludf.DUMMYFUNCTION("""COMPUTED_VALUE"""),"Resolución")</f>
        <v>Resolución</v>
      </c>
      <c r="I303" s="10" t="str">
        <f ca="1">IFERROR(__xludf.DUMMYFUNCTION("""COMPUTED_VALUE"""),"Asistencia Técnica")</f>
        <v>Asistencia Técnica</v>
      </c>
      <c r="J303" s="10" t="str">
        <f ca="1">IFERROR(__xludf.DUMMYFUNCTION("""COMPUTED_VALUE"""),"Cumplir con normativa y reglamentos internos del programa en base a los objetivos.")</f>
        <v>Cumplir con normativa y reglamentos internos del programa en base a los objetivos.</v>
      </c>
      <c r="K303" s="71">
        <f ca="1">IFERROR(__xludf.DUMMYFUNCTION("""COMPUTED_VALUE"""),22800000)</f>
        <v>22800000</v>
      </c>
      <c r="L303" s="27">
        <f ca="1">IFERROR(__xludf.DUMMYFUNCTION("""COMPUTED_VALUE"""),1)</f>
        <v>1</v>
      </c>
      <c r="M303" s="10" t="str">
        <f ca="1">IFERROR(__xludf.DUMMYFUNCTION("""COMPUTED_VALUE"""),"10322/2024")</f>
        <v>10322/2024</v>
      </c>
      <c r="N303" s="10" t="str">
        <f ca="1">IFERROR(__xludf.DUMMYFUNCTION("""COMPUTED_VALUE"""),"PMB")</f>
        <v>PMB</v>
      </c>
      <c r="O303" s="59"/>
      <c r="P303" s="1"/>
      <c r="Q303" s="1"/>
      <c r="R303" s="1"/>
      <c r="S303" s="1"/>
      <c r="T303" s="1"/>
      <c r="U303" s="1"/>
      <c r="V303" s="1"/>
      <c r="W303" s="1"/>
      <c r="X303" s="1"/>
      <c r="Y303" s="1"/>
      <c r="Z303" s="1"/>
      <c r="AA303" s="1"/>
    </row>
    <row r="304" spans="1:27" ht="12.75" customHeight="1">
      <c r="A304" s="1"/>
      <c r="B304" s="10" t="str">
        <f ca="1">IFERROR(__xludf.DUMMYFUNCTION("""COMPUTED_VALUE"""),"ASISTENCIA LEGAL PARA SANEAMIENTO DE TÍTULOS DE DOMINIO, COMUNA DE NACIMIENTO")</f>
        <v>ASISTENCIA LEGAL PARA SANEAMIENTO DE TÍTULOS DE DOMINIO, COMUNA DE NACIMIENTO</v>
      </c>
      <c r="C304" s="10" t="str">
        <f ca="1">IFERROR(__xludf.DUMMYFUNCTION("""COMPUTED_VALUE"""),"8306240601-C")</f>
        <v>8306240601-C</v>
      </c>
      <c r="D304" s="26" t="str">
        <f t="shared" ca="1" si="0"/>
        <v xml:space="preserve"> NACIMIENTO</v>
      </c>
      <c r="E304" s="10" t="str">
        <f ca="1">IFERROR(__xludf.DUMMYFUNCTION("""COMPUTED_VALUE"""),"Guía Operativa")</f>
        <v>Guía Operativa</v>
      </c>
      <c r="F304" s="10" t="str">
        <f ca="1">IFERROR(__xludf.DUMMYFUNCTION("""COMPUTED_VALUE"""),"MUNICIPALIDAD DE NACIMIENTO")</f>
        <v>MUNICIPALIDAD DE NACIMIENTO</v>
      </c>
      <c r="G304" s="71">
        <f ca="1">IFERROR(__xludf.DUMMYFUNCTION("""COMPUTED_VALUE"""),46560000)</f>
        <v>46560000</v>
      </c>
      <c r="H304" s="10" t="str">
        <f ca="1">IFERROR(__xludf.DUMMYFUNCTION("""COMPUTED_VALUE"""),"Resolución")</f>
        <v>Resolución</v>
      </c>
      <c r="I304" s="10" t="str">
        <f ca="1">IFERROR(__xludf.DUMMYFUNCTION("""COMPUTED_VALUE"""),"Asistencia Legal")</f>
        <v>Asistencia Legal</v>
      </c>
      <c r="J304" s="10" t="str">
        <f ca="1">IFERROR(__xludf.DUMMYFUNCTION("""COMPUTED_VALUE"""),"Cumplir con normativa y reglamentos internos del programa en base a los objetivos.")</f>
        <v>Cumplir con normativa y reglamentos internos del programa en base a los objetivos.</v>
      </c>
      <c r="K304" s="71">
        <f ca="1">IFERROR(__xludf.DUMMYFUNCTION("""COMPUTED_VALUE"""),46560000)</f>
        <v>46560000</v>
      </c>
      <c r="L304" s="27">
        <f ca="1">IFERROR(__xludf.DUMMYFUNCTION("""COMPUTED_VALUE"""),1)</f>
        <v>1</v>
      </c>
      <c r="M304" s="10" t="str">
        <f ca="1">IFERROR(__xludf.DUMMYFUNCTION("""COMPUTED_VALUE"""),"10414/2024")</f>
        <v>10414/2024</v>
      </c>
      <c r="N304" s="10" t="str">
        <f ca="1">IFERROR(__xludf.DUMMYFUNCTION("""COMPUTED_VALUE"""),"PMB")</f>
        <v>PMB</v>
      </c>
      <c r="O304" s="59"/>
      <c r="P304" s="1"/>
      <c r="Q304" s="1"/>
      <c r="R304" s="1"/>
      <c r="S304" s="1"/>
      <c r="T304" s="1"/>
      <c r="U304" s="1"/>
      <c r="V304" s="1"/>
      <c r="W304" s="1"/>
      <c r="X304" s="1"/>
      <c r="Y304" s="1"/>
      <c r="Z304" s="1"/>
      <c r="AA304" s="1"/>
    </row>
    <row r="305" spans="1:27" ht="12.75" customHeight="1">
      <c r="A305" s="1"/>
      <c r="B305" s="10" t="str">
        <f ca="1">IFERROR(__xludf.DUMMYFUNCTION("""COMPUTED_VALUE"""),"ASISTENCIA TECNICA PARA LA GESTION NTEGRAL DE RESIDUOS SOLIDOS DOMICILIARIOS Y DESARROLLO DE ESTRATEGIAS DE MINIMIZACION, COMUNA DE SAAVEDRA")</f>
        <v>ASISTENCIA TECNICA PARA LA GESTION NTEGRAL DE RESIDUOS SOLIDOS DOMICILIARIOS Y DESARROLLO DE ESTRATEGIAS DE MINIMIZACION, COMUNA DE SAAVEDRA</v>
      </c>
      <c r="C305" s="10" t="str">
        <f ca="1">IFERROR(__xludf.DUMMYFUNCTION("""COMPUTED_VALUE"""),"9116231004-C")</f>
        <v>9116231004-C</v>
      </c>
      <c r="D305" s="26" t="str">
        <f t="shared" ca="1" si="0"/>
        <v xml:space="preserve"> SAAVEDRA</v>
      </c>
      <c r="E305" s="10" t="str">
        <f ca="1">IFERROR(__xludf.DUMMYFUNCTION("""COMPUTED_VALUE"""),"Guía Operativa")</f>
        <v>Guía Operativa</v>
      </c>
      <c r="F305" s="10" t="str">
        <f ca="1">IFERROR(__xludf.DUMMYFUNCTION("""COMPUTED_VALUE"""),"MUNICIPALIDAD DE SAAVEDRA")</f>
        <v>MUNICIPALIDAD DE SAAVEDRA</v>
      </c>
      <c r="G305" s="71">
        <f ca="1">IFERROR(__xludf.DUMMYFUNCTION("""COMPUTED_VALUE"""),22800000)</f>
        <v>22800000</v>
      </c>
      <c r="H305" s="10" t="str">
        <f ca="1">IFERROR(__xludf.DUMMYFUNCTION("""COMPUTED_VALUE"""),"Resolución")</f>
        <v>Resolución</v>
      </c>
      <c r="I305" s="10" t="str">
        <f ca="1">IFERROR(__xludf.DUMMYFUNCTION("""COMPUTED_VALUE"""),"Asistencia Técnica")</f>
        <v>Asistencia Técnica</v>
      </c>
      <c r="J305" s="10" t="str">
        <f ca="1">IFERROR(__xludf.DUMMYFUNCTION("""COMPUTED_VALUE"""),"Cumplir con normativa y reglamentos internos del programa en base a los objetivos.")</f>
        <v>Cumplir con normativa y reglamentos internos del programa en base a los objetivos.</v>
      </c>
      <c r="K305" s="71">
        <f ca="1">IFERROR(__xludf.DUMMYFUNCTION("""COMPUTED_VALUE"""),22800000)</f>
        <v>22800000</v>
      </c>
      <c r="L305" s="27">
        <f ca="1">IFERROR(__xludf.DUMMYFUNCTION("""COMPUTED_VALUE"""),1)</f>
        <v>1</v>
      </c>
      <c r="M305" s="10" t="str">
        <f ca="1">IFERROR(__xludf.DUMMYFUNCTION("""COMPUTED_VALUE"""),"10417/2024")</f>
        <v>10417/2024</v>
      </c>
      <c r="N305" s="10" t="str">
        <f ca="1">IFERROR(__xludf.DUMMYFUNCTION("""COMPUTED_VALUE"""),"PMB")</f>
        <v>PMB</v>
      </c>
      <c r="O305" s="59"/>
      <c r="P305" s="1"/>
      <c r="Q305" s="1"/>
      <c r="R305" s="1"/>
      <c r="S305" s="1"/>
      <c r="T305" s="1"/>
      <c r="U305" s="1"/>
      <c r="V305" s="1"/>
      <c r="W305" s="1"/>
      <c r="X305" s="1"/>
      <c r="Y305" s="1"/>
      <c r="Z305" s="1"/>
      <c r="AA305" s="1"/>
    </row>
    <row r="306" spans="1:27" ht="12.75" customHeight="1">
      <c r="A306" s="1"/>
      <c r="B306" s="10" t="str">
        <f ca="1">IFERROR(__xludf.DUMMYFUNCTION("""COMPUTED_VALUE"""),"ASISTENCIA TÉCNICA PARA LA GESTIÓN INTEGRAL DE RESIDUOS SÓLIDOS DOMICILIARIOS EN LAS COMUNAS DE TEODORO SCHMIDT Y TOLTÉN")</f>
        <v>ASISTENCIA TÉCNICA PARA LA GESTIÓN INTEGRAL DE RESIDUOS SÓLIDOS DOMICILIARIOS EN LAS COMUNAS DE TEODORO SCHMIDT Y TOLTÉN</v>
      </c>
      <c r="C306" s="10" t="str">
        <f ca="1">IFERROR(__xludf.DUMMYFUNCTION("""COMPUTED_VALUE"""),"9117231004-C")</f>
        <v>9117231004-C</v>
      </c>
      <c r="D306" s="26" t="str">
        <f t="shared" ca="1" si="0"/>
        <v xml:space="preserve"> TEODORO SCHMIDT</v>
      </c>
      <c r="E306" s="10" t="str">
        <f ca="1">IFERROR(__xludf.DUMMYFUNCTION("""COMPUTED_VALUE"""),"Guía Operativa")</f>
        <v>Guía Operativa</v>
      </c>
      <c r="F306" s="10" t="str">
        <f ca="1">IFERROR(__xludf.DUMMYFUNCTION("""COMPUTED_VALUE"""),"MUNICIPALIDAD DE TEODORO SCHMIDT")</f>
        <v>MUNICIPALIDAD DE TEODORO SCHMIDT</v>
      </c>
      <c r="G306" s="71">
        <f ca="1">IFERROR(__xludf.DUMMYFUNCTION("""COMPUTED_VALUE"""),44400000)</f>
        <v>44400000</v>
      </c>
      <c r="H306" s="10" t="str">
        <f ca="1">IFERROR(__xludf.DUMMYFUNCTION("""COMPUTED_VALUE"""),"Resolución")</f>
        <v>Resolución</v>
      </c>
      <c r="I306" s="10" t="str">
        <f ca="1">IFERROR(__xludf.DUMMYFUNCTION("""COMPUTED_VALUE"""),"Asistencia Técnica")</f>
        <v>Asistencia Técnica</v>
      </c>
      <c r="J306" s="10" t="str">
        <f ca="1">IFERROR(__xludf.DUMMYFUNCTION("""COMPUTED_VALUE"""),"Cumplir con normativa y reglamentos internos del programa en base a los objetivos.")</f>
        <v>Cumplir con normativa y reglamentos internos del programa en base a los objetivos.</v>
      </c>
      <c r="K306" s="71">
        <f ca="1">IFERROR(__xludf.DUMMYFUNCTION("""COMPUTED_VALUE"""),44400000)</f>
        <v>44400000</v>
      </c>
      <c r="L306" s="27">
        <f ca="1">IFERROR(__xludf.DUMMYFUNCTION("""COMPUTED_VALUE"""),1)</f>
        <v>1</v>
      </c>
      <c r="M306" s="10" t="str">
        <f ca="1">IFERROR(__xludf.DUMMYFUNCTION("""COMPUTED_VALUE"""),"10416/2024")</f>
        <v>10416/2024</v>
      </c>
      <c r="N306" s="10" t="str">
        <f ca="1">IFERROR(__xludf.DUMMYFUNCTION("""COMPUTED_VALUE"""),"PMB")</f>
        <v>PMB</v>
      </c>
      <c r="O306" s="59"/>
      <c r="P306" s="1"/>
      <c r="Q306" s="1"/>
      <c r="R306" s="1"/>
      <c r="S306" s="1"/>
      <c r="T306" s="1"/>
      <c r="U306" s="1"/>
      <c r="V306" s="1"/>
      <c r="W306" s="1"/>
      <c r="X306" s="1"/>
      <c r="Y306" s="1"/>
      <c r="Z306" s="1"/>
      <c r="AA306" s="1"/>
    </row>
    <row r="307" spans="1:27" ht="12.75" customHeight="1">
      <c r="A307" s="1"/>
      <c r="B307" s="10" t="str">
        <f ca="1">IFERROR(__xludf.DUMMYFUNCTION("""COMPUTED_VALUE"""),"ASISTENCIA TECNICA EN RSD PARA LA COMUNA DE LOS SAUCES Y SUS COMUNIDADES INDIGENAS")</f>
        <v>ASISTENCIA TECNICA EN RSD PARA LA COMUNA DE LOS SAUCES Y SUS COMUNIDADES INDIGENAS</v>
      </c>
      <c r="C307" s="10" t="str">
        <f ca="1">IFERROR(__xludf.DUMMYFUNCTION("""COMPUTED_VALUE"""),"9206231002-C")</f>
        <v>9206231002-C</v>
      </c>
      <c r="D307" s="26" t="str">
        <f t="shared" ca="1" si="0"/>
        <v xml:space="preserve"> LOS SAUCES</v>
      </c>
      <c r="E307" s="10" t="str">
        <f ca="1">IFERROR(__xludf.DUMMYFUNCTION("""COMPUTED_VALUE"""),"Guía Operativa")</f>
        <v>Guía Operativa</v>
      </c>
      <c r="F307" s="10" t="str">
        <f ca="1">IFERROR(__xludf.DUMMYFUNCTION("""COMPUTED_VALUE"""),"MUNICIPALIDAD DE LOS SAUCES")</f>
        <v>MUNICIPALIDAD DE LOS SAUCES</v>
      </c>
      <c r="G307" s="71">
        <f ca="1">IFERROR(__xludf.DUMMYFUNCTION("""COMPUTED_VALUE"""),36000000)</f>
        <v>36000000</v>
      </c>
      <c r="H307" s="10" t="str">
        <f ca="1">IFERROR(__xludf.DUMMYFUNCTION("""COMPUTED_VALUE"""),"Resolución")</f>
        <v>Resolución</v>
      </c>
      <c r="I307" s="10" t="str">
        <f ca="1">IFERROR(__xludf.DUMMYFUNCTION("""COMPUTED_VALUE"""),"Asistencia Técnica")</f>
        <v>Asistencia Técnica</v>
      </c>
      <c r="J307" s="10" t="str">
        <f ca="1">IFERROR(__xludf.DUMMYFUNCTION("""COMPUTED_VALUE"""),"Cumplir con normativa y reglamentos internos del programa en base a los objetivos.")</f>
        <v>Cumplir con normativa y reglamentos internos del programa en base a los objetivos.</v>
      </c>
      <c r="K307" s="71">
        <f ca="1">IFERROR(__xludf.DUMMYFUNCTION("""COMPUTED_VALUE"""),36000000)</f>
        <v>36000000</v>
      </c>
      <c r="L307" s="27">
        <f ca="1">IFERROR(__xludf.DUMMYFUNCTION("""COMPUTED_VALUE"""),1)</f>
        <v>1</v>
      </c>
      <c r="M307" s="10" t="str">
        <f ca="1">IFERROR(__xludf.DUMMYFUNCTION("""COMPUTED_VALUE"""),"10421/2024")</f>
        <v>10421/2024</v>
      </c>
      <c r="N307" s="10" t="str">
        <f ca="1">IFERROR(__xludf.DUMMYFUNCTION("""COMPUTED_VALUE"""),"PMB")</f>
        <v>PMB</v>
      </c>
      <c r="O307" s="59"/>
      <c r="P307" s="1"/>
      <c r="Q307" s="1"/>
      <c r="R307" s="1"/>
      <c r="S307" s="1"/>
      <c r="T307" s="1"/>
      <c r="U307" s="1"/>
      <c r="V307" s="1"/>
      <c r="W307" s="1"/>
      <c r="X307" s="1"/>
      <c r="Y307" s="1"/>
      <c r="Z307" s="1"/>
      <c r="AA307" s="1"/>
    </row>
    <row r="308" spans="1:27" ht="12.75" customHeight="1">
      <c r="A308" s="1"/>
      <c r="B308" s="10" t="str">
        <f ca="1">IFERROR(__xludf.DUMMYFUNCTION("""COMPUTED_VALUE"""),"ASESORIA PROFESIONAL PARA LA ELABORACION DE PROYECTOS DE ALUMBRADO PÚBLICO, AREAS VERDES Y SANEAMIENTO, GORBEA, PMU-PMB")</f>
        <v>ASESORIA PROFESIONAL PARA LA ELABORACION DE PROYECTOS DE ALUMBRADO PÚBLICO, AREAS VERDES Y SANEAMIENTO, GORBEA, PMU-PMB</v>
      </c>
      <c r="C308" s="10" t="str">
        <f ca="1">IFERROR(__xludf.DUMMYFUNCTION("""COMPUTED_VALUE"""),"9107231002-C")</f>
        <v>9107231002-C</v>
      </c>
      <c r="D308" s="26" t="str">
        <f t="shared" ca="1" si="0"/>
        <v xml:space="preserve"> GORBEA</v>
      </c>
      <c r="E308" s="10" t="str">
        <f ca="1">IFERROR(__xludf.DUMMYFUNCTION("""COMPUTED_VALUE"""),"Guía Operativa")</f>
        <v>Guía Operativa</v>
      </c>
      <c r="F308" s="10" t="str">
        <f ca="1">IFERROR(__xludf.DUMMYFUNCTION("""COMPUTED_VALUE"""),"MUNICIPALIDAD DE GORBEA")</f>
        <v>MUNICIPALIDAD DE GORBEA</v>
      </c>
      <c r="G308" s="71">
        <f ca="1">IFERROR(__xludf.DUMMYFUNCTION("""COMPUTED_VALUE"""),91200000)</f>
        <v>91200000</v>
      </c>
      <c r="H308" s="10" t="str">
        <f ca="1">IFERROR(__xludf.DUMMYFUNCTION("""COMPUTED_VALUE"""),"Resolución")</f>
        <v>Resolución</v>
      </c>
      <c r="I308" s="10" t="str">
        <f ca="1">IFERROR(__xludf.DUMMYFUNCTION("""COMPUTED_VALUE"""),"Asistencia Técnica")</f>
        <v>Asistencia Técnica</v>
      </c>
      <c r="J308" s="10" t="str">
        <f ca="1">IFERROR(__xludf.DUMMYFUNCTION("""COMPUTED_VALUE"""),"Cumplir con normativa y reglamentos internos del programa en base a los objetivos.")</f>
        <v>Cumplir con normativa y reglamentos internos del programa en base a los objetivos.</v>
      </c>
      <c r="K308" s="71">
        <f ca="1">IFERROR(__xludf.DUMMYFUNCTION("""COMPUTED_VALUE"""),91200000)</f>
        <v>91200000</v>
      </c>
      <c r="L308" s="27">
        <f ca="1">IFERROR(__xludf.DUMMYFUNCTION("""COMPUTED_VALUE"""),1)</f>
        <v>1</v>
      </c>
      <c r="M308" s="10" t="str">
        <f ca="1">IFERROR(__xludf.DUMMYFUNCTION("""COMPUTED_VALUE"""),"10407/2024")</f>
        <v>10407/2024</v>
      </c>
      <c r="N308" s="10" t="str">
        <f ca="1">IFERROR(__xludf.DUMMYFUNCTION("""COMPUTED_VALUE"""),"PMB")</f>
        <v>PMB</v>
      </c>
      <c r="O308" s="59"/>
      <c r="P308" s="1"/>
      <c r="Q308" s="1"/>
      <c r="R308" s="1"/>
      <c r="S308" s="1"/>
      <c r="T308" s="1"/>
      <c r="U308" s="1"/>
      <c r="V308" s="1"/>
      <c r="W308" s="1"/>
      <c r="X308" s="1"/>
      <c r="Y308" s="1"/>
      <c r="Z308" s="1"/>
      <c r="AA308" s="1"/>
    </row>
    <row r="309" spans="1:27" ht="12.75" customHeight="1">
      <c r="A309" s="1"/>
      <c r="B309" s="10" t="str">
        <f ca="1">IFERROR(__xludf.DUMMYFUNCTION("""COMPUTED_VALUE"""),"CONSULTORÍA PARA LA ELABORACIÓN DE LA ESTRATEGIA ENERGÉTICA LOCAL DE LA COMUNA DE JUAN FERNÁNDEZ")</f>
        <v>CONSULTORÍA PARA LA ELABORACIÓN DE LA ESTRATEGIA ENERGÉTICA LOCAL DE LA COMUNA DE JUAN FERNÁNDEZ</v>
      </c>
      <c r="C309" s="10" t="str">
        <f ca="1">IFERROR(__xludf.DUMMYFUNCTION("""COMPUTED_VALUE"""),"5104230401-C")</f>
        <v>5104230401-C</v>
      </c>
      <c r="D309" s="26" t="str">
        <f t="shared" ca="1" si="0"/>
        <v xml:space="preserve"> JUAN FERNÁNDEZ</v>
      </c>
      <c r="E309" s="10" t="str">
        <f ca="1">IFERROR(__xludf.DUMMYFUNCTION("""COMPUTED_VALUE"""),"Guía Operativa")</f>
        <v>Guía Operativa</v>
      </c>
      <c r="F309" s="10" t="str">
        <f ca="1">IFERROR(__xludf.DUMMYFUNCTION("""COMPUTED_VALUE"""),"MUNICIPALIDAD DE JUAN FERNÁNDEZ")</f>
        <v>MUNICIPALIDAD DE JUAN FERNÁNDEZ</v>
      </c>
      <c r="G309" s="71">
        <f ca="1">IFERROR(__xludf.DUMMYFUNCTION("""COMPUTED_VALUE"""),59992000)</f>
        <v>59992000</v>
      </c>
      <c r="H309" s="10" t="str">
        <f ca="1">IFERROR(__xludf.DUMMYFUNCTION("""COMPUTED_VALUE"""),"Resolución")</f>
        <v>Resolución</v>
      </c>
      <c r="I309" s="10" t="str">
        <f ca="1">IFERROR(__xludf.DUMMYFUNCTION("""COMPUTED_VALUE"""),"Estudio")</f>
        <v>Estudio</v>
      </c>
      <c r="J309" s="10" t="str">
        <f ca="1">IFERROR(__xludf.DUMMYFUNCTION("""COMPUTED_VALUE"""),"Cumplir con normativa y reglamentos internos del programa en base a los objetivos.")</f>
        <v>Cumplir con normativa y reglamentos internos del programa en base a los objetivos.</v>
      </c>
      <c r="K309" s="71">
        <f ca="1">IFERROR(__xludf.DUMMYFUNCTION("""COMPUTED_VALUE"""),59992000)</f>
        <v>59992000</v>
      </c>
      <c r="L309" s="27">
        <f ca="1">IFERROR(__xludf.DUMMYFUNCTION("""COMPUTED_VALUE"""),1)</f>
        <v>1</v>
      </c>
      <c r="M309" s="10" t="str">
        <f ca="1">IFERROR(__xludf.DUMMYFUNCTION("""COMPUTED_VALUE"""),"10405/2024")</f>
        <v>10405/2024</v>
      </c>
      <c r="N309" s="10" t="str">
        <f ca="1">IFERROR(__xludf.DUMMYFUNCTION("""COMPUTED_VALUE"""),"PMB")</f>
        <v>PMB</v>
      </c>
      <c r="O309" s="59"/>
      <c r="P309" s="1"/>
      <c r="Q309" s="1"/>
      <c r="R309" s="1"/>
      <c r="S309" s="1"/>
      <c r="T309" s="1"/>
      <c r="U309" s="1"/>
      <c r="V309" s="1"/>
      <c r="W309" s="1"/>
      <c r="X309" s="1"/>
      <c r="Y309" s="1"/>
      <c r="Z309" s="1"/>
      <c r="AA309" s="1"/>
    </row>
    <row r="310" spans="1:27" ht="12.75" customHeight="1">
      <c r="A310" s="1"/>
      <c r="B310" s="10" t="str">
        <f ca="1">IFERROR(__xludf.DUMMYFUNCTION("""COMPUTED_VALUE"""),"ESTUDIO DE CALIDAD DE AGUA Y TRATAMIENTO, COMUNA DE JUAN FERNANDEZ")</f>
        <v>ESTUDIO DE CALIDAD DE AGUA Y TRATAMIENTO, COMUNA DE JUAN FERNANDEZ</v>
      </c>
      <c r="C310" s="10" t="str">
        <f ca="1">IFERROR(__xludf.DUMMYFUNCTION("""COMPUTED_VALUE"""),"5104230403-C")</f>
        <v>5104230403-C</v>
      </c>
      <c r="D310" s="26" t="str">
        <f t="shared" ca="1" si="0"/>
        <v xml:space="preserve"> JUAN FERNÁNDEZ</v>
      </c>
      <c r="E310" s="10" t="str">
        <f ca="1">IFERROR(__xludf.DUMMYFUNCTION("""COMPUTED_VALUE"""),"Guía Operativa")</f>
        <v>Guía Operativa</v>
      </c>
      <c r="F310" s="10" t="str">
        <f ca="1">IFERROR(__xludf.DUMMYFUNCTION("""COMPUTED_VALUE"""),"MUNICIPALIDAD DE JUAN FERNÁNDEZ")</f>
        <v>MUNICIPALIDAD DE JUAN FERNÁNDEZ</v>
      </c>
      <c r="G310" s="71">
        <f ca="1">IFERROR(__xludf.DUMMYFUNCTION("""COMPUTED_VALUE"""),18500000)</f>
        <v>18500000</v>
      </c>
      <c r="H310" s="10" t="str">
        <f ca="1">IFERROR(__xludf.DUMMYFUNCTION("""COMPUTED_VALUE"""),"Resolución")</f>
        <v>Resolución</v>
      </c>
      <c r="I310" s="10" t="str">
        <f ca="1">IFERROR(__xludf.DUMMYFUNCTION("""COMPUTED_VALUE"""),"Estudio")</f>
        <v>Estudio</v>
      </c>
      <c r="J310" s="10" t="str">
        <f ca="1">IFERROR(__xludf.DUMMYFUNCTION("""COMPUTED_VALUE"""),"Cumplir con normativa y reglamentos internos del programa en base a los objetivos.")</f>
        <v>Cumplir con normativa y reglamentos internos del programa en base a los objetivos.</v>
      </c>
      <c r="K310" s="71">
        <f ca="1">IFERROR(__xludf.DUMMYFUNCTION("""COMPUTED_VALUE"""),18500000)</f>
        <v>18500000</v>
      </c>
      <c r="L310" s="27">
        <f ca="1">IFERROR(__xludf.DUMMYFUNCTION("""COMPUTED_VALUE"""),1)</f>
        <v>1</v>
      </c>
      <c r="M310" s="10" t="str">
        <f ca="1">IFERROR(__xludf.DUMMYFUNCTION("""COMPUTED_VALUE"""),"10418/2024")</f>
        <v>10418/2024</v>
      </c>
      <c r="N310" s="10" t="str">
        <f ca="1">IFERROR(__xludf.DUMMYFUNCTION("""COMPUTED_VALUE"""),"PMB")</f>
        <v>PMB</v>
      </c>
      <c r="O310" s="59"/>
      <c r="P310" s="1"/>
      <c r="Q310" s="1"/>
      <c r="R310" s="1"/>
      <c r="S310" s="1"/>
      <c r="T310" s="1"/>
      <c r="U310" s="1"/>
      <c r="V310" s="1"/>
      <c r="W310" s="1"/>
      <c r="X310" s="1"/>
      <c r="Y310" s="1"/>
      <c r="Z310" s="1"/>
      <c r="AA310" s="1"/>
    </row>
    <row r="311" spans="1:27" ht="12.75" customHeight="1">
      <c r="A311" s="1"/>
      <c r="B311" s="10" t="str">
        <f ca="1">IFERROR(__xludf.DUMMYFUNCTION("""COMPUTED_VALUE"""),"APOYO TÉCNICO PROFESIONAL PARA LA GENERACIÓN DE PROYECTOS PMB 2023 PAVIMENTOS, COMUNA DE COLCHANE")</f>
        <v>APOYO TÉCNICO PROFESIONAL PARA LA GENERACIÓN DE PROYECTOS PMB 2023 PAVIMENTOS, COMUNA DE COLCHANE</v>
      </c>
      <c r="C311" s="10" t="str">
        <f ca="1">IFERROR(__xludf.DUMMYFUNCTION("""COMPUTED_VALUE"""),"1403231003-C")</f>
        <v>1403231003-C</v>
      </c>
      <c r="D311" s="26" t="str">
        <f t="shared" ca="1" si="0"/>
        <v xml:space="preserve"> COLCHANE</v>
      </c>
      <c r="E311" s="10" t="str">
        <f ca="1">IFERROR(__xludf.DUMMYFUNCTION("""COMPUTED_VALUE"""),"Guía Operativa")</f>
        <v>Guía Operativa</v>
      </c>
      <c r="F311" s="10" t="str">
        <f ca="1">IFERROR(__xludf.DUMMYFUNCTION("""COMPUTED_VALUE"""),"MUNICIPALIDAD DE COLCHANE")</f>
        <v>MUNICIPALIDAD DE COLCHANE</v>
      </c>
      <c r="G311" s="71">
        <f ca="1">IFERROR(__xludf.DUMMYFUNCTION("""COMPUTED_VALUE"""),92400000)</f>
        <v>92400000</v>
      </c>
      <c r="H311" s="10" t="str">
        <f ca="1">IFERROR(__xludf.DUMMYFUNCTION("""COMPUTED_VALUE"""),"Resolución")</f>
        <v>Resolución</v>
      </c>
      <c r="I311" s="10" t="str">
        <f ca="1">IFERROR(__xludf.DUMMYFUNCTION("""COMPUTED_VALUE"""),"Asistencia Técnica")</f>
        <v>Asistencia Técnica</v>
      </c>
      <c r="J311" s="10" t="str">
        <f ca="1">IFERROR(__xludf.DUMMYFUNCTION("""COMPUTED_VALUE"""),"Cumplir con normativa y reglamentos internos del programa en base a los objetivos.")</f>
        <v>Cumplir con normativa y reglamentos internos del programa en base a los objetivos.</v>
      </c>
      <c r="K311" s="71">
        <f ca="1">IFERROR(__xludf.DUMMYFUNCTION("""COMPUTED_VALUE"""),92400000)</f>
        <v>92400000</v>
      </c>
      <c r="L311" s="27">
        <f ca="1">IFERROR(__xludf.DUMMYFUNCTION("""COMPUTED_VALUE"""),1)</f>
        <v>1</v>
      </c>
      <c r="M311" s="10" t="str">
        <f ca="1">IFERROR(__xludf.DUMMYFUNCTION("""COMPUTED_VALUE"""),"10415/2024")</f>
        <v>10415/2024</v>
      </c>
      <c r="N311" s="10" t="str">
        <f ca="1">IFERROR(__xludf.DUMMYFUNCTION("""COMPUTED_VALUE"""),"PMB")</f>
        <v>PMB</v>
      </c>
      <c r="O311" s="59"/>
      <c r="P311" s="1"/>
      <c r="Q311" s="1"/>
      <c r="R311" s="1"/>
      <c r="S311" s="1"/>
      <c r="T311" s="1"/>
      <c r="U311" s="1"/>
      <c r="V311" s="1"/>
      <c r="W311" s="1"/>
      <c r="X311" s="1"/>
      <c r="Y311" s="1"/>
      <c r="Z311" s="1"/>
      <c r="AA311" s="1"/>
    </row>
    <row r="312" spans="1:27" ht="12.75" customHeight="1">
      <c r="A312" s="1"/>
      <c r="B312" s="10" t="str">
        <f ca="1">IFERROR(__xludf.DUMMYFUNCTION("""COMPUTED_VALUE"""),"CONSTRUCCIÓN ALUMBRADO PUBLICO CONVENCIONAL Y SOLAR MAS RECAMBIO DE LUMINARIAS, LOCALIDADES CRUCECITA ALTA Y BAJA, ALTO DEL CARMEN.")</f>
        <v>CONSTRUCCIÓN ALUMBRADO PUBLICO CONVENCIONAL Y SOLAR MAS RECAMBIO DE LUMINARIAS, LOCALIDADES CRUCECITA ALTA Y BAJA, ALTO DEL CARMEN.</v>
      </c>
      <c r="C312" s="10" t="str">
        <f ca="1">IFERROR(__xludf.DUMMYFUNCTION("""COMPUTED_VALUE"""),"3302240703-C")</f>
        <v>3302240703-C</v>
      </c>
      <c r="D312" s="26" t="str">
        <f t="shared" ca="1" si="0"/>
        <v xml:space="preserve"> ALTO DEL CARMEN</v>
      </c>
      <c r="E312" s="10" t="str">
        <f ca="1">IFERROR(__xludf.DUMMYFUNCTION("""COMPUTED_VALUE"""),"Guía Operativa")</f>
        <v>Guía Operativa</v>
      </c>
      <c r="F312" s="10" t="str">
        <f ca="1">IFERROR(__xludf.DUMMYFUNCTION("""COMPUTED_VALUE"""),"MUNICIPALIDAD DE ALTO DEL CARMEN")</f>
        <v>MUNICIPALIDAD DE ALTO DEL CARMEN</v>
      </c>
      <c r="G312" s="71">
        <f ca="1">IFERROR(__xludf.DUMMYFUNCTION("""COMPUTED_VALUE"""),164193687)</f>
        <v>164193687</v>
      </c>
      <c r="H312" s="10" t="str">
        <f ca="1">IFERROR(__xludf.DUMMYFUNCTION("""COMPUTED_VALUE"""),"Resolución")</f>
        <v>Resolución</v>
      </c>
      <c r="I312" s="10" t="str">
        <f ca="1">IFERROR(__xludf.DUMMYFUNCTION("""COMPUTED_VALUE"""),"Obra")</f>
        <v>Obra</v>
      </c>
      <c r="J312" s="10" t="str">
        <f ca="1">IFERROR(__xludf.DUMMYFUNCTION("""COMPUTED_VALUE"""),"Cumplir con normativa y reglamentos internos del programa en base a los objetivos.")</f>
        <v>Cumplir con normativa y reglamentos internos del programa en base a los objetivos.</v>
      </c>
      <c r="K312" s="71">
        <f ca="1">IFERROR(__xludf.DUMMYFUNCTION("""COMPUTED_VALUE"""),164193687)</f>
        <v>164193687</v>
      </c>
      <c r="L312" s="27">
        <f ca="1">IFERROR(__xludf.DUMMYFUNCTION("""COMPUTED_VALUE"""),1)</f>
        <v>1</v>
      </c>
      <c r="M312" s="10" t="str">
        <f ca="1">IFERROR(__xludf.DUMMYFUNCTION("""COMPUTED_VALUE"""),"10422/2024")</f>
        <v>10422/2024</v>
      </c>
      <c r="N312" s="10" t="str">
        <f ca="1">IFERROR(__xludf.DUMMYFUNCTION("""COMPUTED_VALUE"""),"PMB")</f>
        <v>PMB</v>
      </c>
      <c r="O312" s="59"/>
      <c r="P312" s="1"/>
      <c r="Q312" s="1"/>
      <c r="R312" s="1"/>
      <c r="S312" s="1"/>
      <c r="T312" s="1"/>
      <c r="U312" s="1"/>
      <c r="V312" s="1"/>
      <c r="W312" s="1"/>
      <c r="X312" s="1"/>
      <c r="Y312" s="1"/>
      <c r="Z312" s="1"/>
      <c r="AA312" s="1"/>
    </row>
    <row r="313" spans="1:27" ht="12.75" customHeight="1">
      <c r="A313" s="1"/>
      <c r="B313" s="10" t="str">
        <f ca="1">IFERROR(__xludf.DUMMYFUNCTION("""COMPUTED_VALUE"""),"ASISTENCIA LEGAL, CATASTRO Y SANEAMIENTO DE TÍTULOS DE DOMINIO PARA SOLUCIONES SANITARIAS EN SECTORES RURALES Y URBANOS, COMUNA DE MAULLÍN 2024")</f>
        <v>ASISTENCIA LEGAL, CATASTRO Y SANEAMIENTO DE TÍTULOS DE DOMINIO PARA SOLUCIONES SANITARIAS EN SECTORES RURALES Y URBANOS, COMUNA DE MAULLÍN 2024</v>
      </c>
      <c r="C313" s="10" t="str">
        <f ca="1">IFERROR(__xludf.DUMMYFUNCTION("""COMPUTED_VALUE"""),"10108230601-C")</f>
        <v>10108230601-C</v>
      </c>
      <c r="D313" s="26" t="str">
        <f t="shared" ca="1" si="0"/>
        <v xml:space="preserve"> MAULLÍN</v>
      </c>
      <c r="E313" s="10" t="str">
        <f ca="1">IFERROR(__xludf.DUMMYFUNCTION("""COMPUTED_VALUE"""),"Guía Operativa")</f>
        <v>Guía Operativa</v>
      </c>
      <c r="F313" s="10" t="str">
        <f ca="1">IFERROR(__xludf.DUMMYFUNCTION("""COMPUTED_VALUE"""),"MUNICIPALIDAD DE MAULLÍN")</f>
        <v>MUNICIPALIDAD DE MAULLÍN</v>
      </c>
      <c r="G313" s="71">
        <f ca="1">IFERROR(__xludf.DUMMYFUNCTION("""COMPUTED_VALUE"""),53520000)</f>
        <v>53520000</v>
      </c>
      <c r="H313" s="10" t="str">
        <f ca="1">IFERROR(__xludf.DUMMYFUNCTION("""COMPUTED_VALUE"""),"Resolución")</f>
        <v>Resolución</v>
      </c>
      <c r="I313" s="10" t="str">
        <f ca="1">IFERROR(__xludf.DUMMYFUNCTION("""COMPUTED_VALUE"""),"Asistencia Legal")</f>
        <v>Asistencia Legal</v>
      </c>
      <c r="J313" s="10" t="str">
        <f ca="1">IFERROR(__xludf.DUMMYFUNCTION("""COMPUTED_VALUE"""),"Cumplir con normativa y reglamentos internos del programa en base a los objetivos.")</f>
        <v>Cumplir con normativa y reglamentos internos del programa en base a los objetivos.</v>
      </c>
      <c r="K313" s="71">
        <f ca="1">IFERROR(__xludf.DUMMYFUNCTION("""COMPUTED_VALUE"""),53520000)</f>
        <v>53520000</v>
      </c>
      <c r="L313" s="27">
        <f ca="1">IFERROR(__xludf.DUMMYFUNCTION("""COMPUTED_VALUE"""),1)</f>
        <v>1</v>
      </c>
      <c r="M313" s="10" t="str">
        <f ca="1">IFERROR(__xludf.DUMMYFUNCTION("""COMPUTED_VALUE"""),"10327/2024")</f>
        <v>10327/2024</v>
      </c>
      <c r="N313" s="10" t="str">
        <f ca="1">IFERROR(__xludf.DUMMYFUNCTION("""COMPUTED_VALUE"""),"PMB")</f>
        <v>PMB</v>
      </c>
      <c r="O313" s="59"/>
      <c r="P313" s="1"/>
      <c r="Q313" s="1"/>
      <c r="R313" s="1"/>
      <c r="S313" s="1"/>
      <c r="T313" s="1"/>
      <c r="U313" s="1"/>
      <c r="V313" s="1"/>
      <c r="W313" s="1"/>
      <c r="X313" s="1"/>
      <c r="Y313" s="1"/>
      <c r="Z313" s="1"/>
      <c r="AA313" s="1"/>
    </row>
    <row r="314" spans="1:27" ht="12.75" customHeight="1">
      <c r="A314" s="1"/>
      <c r="B314" s="10" t="str">
        <f ca="1">IFERROR(__xludf.DUMMYFUNCTION("""COMPUTED_VALUE"""),"REPOSICIÓN DE FOSAS SÉPTICA, VILLA CAMERON, COMUNA DE TIMAUKEL, PMB 2023")</f>
        <v>REPOSICIÓN DE FOSAS SÉPTICA, VILLA CAMERON, COMUNA DE TIMAUKEL, PMB 2023</v>
      </c>
      <c r="C314" s="10" t="str">
        <f ca="1">IFERROR(__xludf.DUMMYFUNCTION("""COMPUTED_VALUE"""),"12303230703-C")</f>
        <v>12303230703-C</v>
      </c>
      <c r="D314" s="26" t="str">
        <f t="shared" ca="1" si="0"/>
        <v xml:space="preserve"> TIMAUKEL</v>
      </c>
      <c r="E314" s="10" t="str">
        <f ca="1">IFERROR(__xludf.DUMMYFUNCTION("""COMPUTED_VALUE"""),"Guía Operativa")</f>
        <v>Guía Operativa</v>
      </c>
      <c r="F314" s="10" t="str">
        <f ca="1">IFERROR(__xludf.DUMMYFUNCTION("""COMPUTED_VALUE"""),"MUNICIPALIDAD DE TIMAUKEL")</f>
        <v>MUNICIPALIDAD DE TIMAUKEL</v>
      </c>
      <c r="G314" s="71">
        <f ca="1">IFERROR(__xludf.DUMMYFUNCTION("""COMPUTED_VALUE"""),284805646)</f>
        <v>284805646</v>
      </c>
      <c r="H314" s="10" t="str">
        <f ca="1">IFERROR(__xludf.DUMMYFUNCTION("""COMPUTED_VALUE"""),"Resolución")</f>
        <v>Resolución</v>
      </c>
      <c r="I314" s="10" t="str">
        <f ca="1">IFERROR(__xludf.DUMMYFUNCTION("""COMPUTED_VALUE"""),"Obra")</f>
        <v>Obra</v>
      </c>
      <c r="J314" s="10" t="str">
        <f ca="1">IFERROR(__xludf.DUMMYFUNCTION("""COMPUTED_VALUE"""),"Cumplir con normativa y reglamentos internos del programa en base a los objetivos.")</f>
        <v>Cumplir con normativa y reglamentos internos del programa en base a los objetivos.</v>
      </c>
      <c r="K314" s="71">
        <f ca="1">IFERROR(__xludf.DUMMYFUNCTION("""COMPUTED_VALUE"""),284805646)</f>
        <v>284805646</v>
      </c>
      <c r="L314" s="27">
        <f ca="1">IFERROR(__xludf.DUMMYFUNCTION("""COMPUTED_VALUE"""),1)</f>
        <v>1</v>
      </c>
      <c r="M314" s="10" t="str">
        <f ca="1">IFERROR(__xludf.DUMMYFUNCTION("""COMPUTED_VALUE"""),"10425/2024")</f>
        <v>10425/2024</v>
      </c>
      <c r="N314" s="10" t="str">
        <f ca="1">IFERROR(__xludf.DUMMYFUNCTION("""COMPUTED_VALUE"""),"PMB")</f>
        <v>PMB</v>
      </c>
      <c r="O314" s="59"/>
      <c r="P314" s="1"/>
      <c r="Q314" s="1"/>
      <c r="R314" s="1"/>
      <c r="S314" s="1"/>
      <c r="T314" s="1"/>
      <c r="U314" s="1"/>
      <c r="V314" s="1"/>
      <c r="W314" s="1"/>
      <c r="X314" s="1"/>
      <c r="Y314" s="1"/>
      <c r="Z314" s="1"/>
      <c r="AA314" s="1"/>
    </row>
    <row r="315" spans="1:27" ht="12.75" customHeight="1">
      <c r="A315" s="1"/>
      <c r="B315" s="10" t="str">
        <f ca="1">IFERROR(__xludf.DUMMYFUNCTION("""COMPUTED_VALUE"""),"CONSTRUCCION POZO PROFUNDO ALTO DEL PUERTO")</f>
        <v>CONSTRUCCION POZO PROFUNDO ALTO DEL PUERTO</v>
      </c>
      <c r="C315" s="10" t="str">
        <f ca="1">IFERROR(__xludf.DUMMYFUNCTION("""COMPUTED_VALUE"""),"7309230702-C")</f>
        <v>7309230702-C</v>
      </c>
      <c r="D315" s="26" t="str">
        <f t="shared" ca="1" si="0"/>
        <v xml:space="preserve"> VICHUQUÉN</v>
      </c>
      <c r="E315" s="10" t="str">
        <f ca="1">IFERROR(__xludf.DUMMYFUNCTION("""COMPUTED_VALUE"""),"Guía Operativa")</f>
        <v>Guía Operativa</v>
      </c>
      <c r="F315" s="10" t="str">
        <f ca="1">IFERROR(__xludf.DUMMYFUNCTION("""COMPUTED_VALUE"""),"MUNICIPALIDAD DE VICHUQUÉN")</f>
        <v>MUNICIPALIDAD DE VICHUQUÉN</v>
      </c>
      <c r="G315" s="71">
        <f ca="1">IFERROR(__xludf.DUMMYFUNCTION("""COMPUTED_VALUE"""),64228394)</f>
        <v>64228394</v>
      </c>
      <c r="H315" s="10" t="str">
        <f ca="1">IFERROR(__xludf.DUMMYFUNCTION("""COMPUTED_VALUE"""),"Resolución")</f>
        <v>Resolución</v>
      </c>
      <c r="I315" s="10" t="str">
        <f ca="1">IFERROR(__xludf.DUMMYFUNCTION("""COMPUTED_VALUE"""),"Obra")</f>
        <v>Obra</v>
      </c>
      <c r="J315" s="10" t="str">
        <f ca="1">IFERROR(__xludf.DUMMYFUNCTION("""COMPUTED_VALUE"""),"Cumplir con normativa y reglamentos internos del programa en base a los objetivos.")</f>
        <v>Cumplir con normativa y reglamentos internos del programa en base a los objetivos.</v>
      </c>
      <c r="K315" s="71">
        <f ca="1">IFERROR(__xludf.DUMMYFUNCTION("""COMPUTED_VALUE"""),64228394)</f>
        <v>64228394</v>
      </c>
      <c r="L315" s="27">
        <f ca="1">IFERROR(__xludf.DUMMYFUNCTION("""COMPUTED_VALUE"""),1)</f>
        <v>1</v>
      </c>
      <c r="M315" s="10" t="str">
        <f ca="1">IFERROR(__xludf.DUMMYFUNCTION("""COMPUTED_VALUE"""),"10345/2024")</f>
        <v>10345/2024</v>
      </c>
      <c r="N315" s="10" t="str">
        <f ca="1">IFERROR(__xludf.DUMMYFUNCTION("""COMPUTED_VALUE"""),"PMB")</f>
        <v>PMB</v>
      </c>
      <c r="O315" s="59"/>
      <c r="P315" s="1"/>
      <c r="Q315" s="1"/>
      <c r="R315" s="1"/>
      <c r="S315" s="1"/>
      <c r="T315" s="1"/>
      <c r="U315" s="1"/>
      <c r="V315" s="1"/>
      <c r="W315" s="1"/>
      <c r="X315" s="1"/>
      <c r="Y315" s="1"/>
      <c r="Z315" s="1"/>
      <c r="AA315" s="1"/>
    </row>
    <row r="316" spans="1:27" ht="12.75" customHeight="1">
      <c r="A316" s="1"/>
      <c r="B316" s="10" t="str">
        <f ca="1">IFERROR(__xludf.DUMMYFUNCTION("""COMPUTED_VALUE"""),"HABILITACION POZO SECTOR SEPULTURA, COMUNA DE SAN JAVIER")</f>
        <v>HABILITACION POZO SECTOR SEPULTURA, COMUNA DE SAN JAVIER</v>
      </c>
      <c r="C316" s="10" t="str">
        <f ca="1">IFERROR(__xludf.DUMMYFUNCTION("""COMPUTED_VALUE"""),"7406230703-C")</f>
        <v>7406230703-C</v>
      </c>
      <c r="D316" s="26" t="str">
        <f t="shared" ca="1" si="0"/>
        <v xml:space="preserve"> SAN JAVIER</v>
      </c>
      <c r="E316" s="10" t="str">
        <f ca="1">IFERROR(__xludf.DUMMYFUNCTION("""COMPUTED_VALUE"""),"Guía Operativa")</f>
        <v>Guía Operativa</v>
      </c>
      <c r="F316" s="10" t="str">
        <f ca="1">IFERROR(__xludf.DUMMYFUNCTION("""COMPUTED_VALUE"""),"MUNICIPALIDAD DE SAN JAVIER")</f>
        <v>MUNICIPALIDAD DE SAN JAVIER</v>
      </c>
      <c r="G316" s="71">
        <f ca="1">IFERROR(__xludf.DUMMYFUNCTION("""COMPUTED_VALUE"""),86891944)</f>
        <v>86891944</v>
      </c>
      <c r="H316" s="10" t="str">
        <f ca="1">IFERROR(__xludf.DUMMYFUNCTION("""COMPUTED_VALUE"""),"Resolución")</f>
        <v>Resolución</v>
      </c>
      <c r="I316" s="10" t="str">
        <f ca="1">IFERROR(__xludf.DUMMYFUNCTION("""COMPUTED_VALUE"""),"Obra")</f>
        <v>Obra</v>
      </c>
      <c r="J316" s="10" t="str">
        <f ca="1">IFERROR(__xludf.DUMMYFUNCTION("""COMPUTED_VALUE"""),"Cumplir con normativa y reglamentos internos del programa en base a los objetivos.")</f>
        <v>Cumplir con normativa y reglamentos internos del programa en base a los objetivos.</v>
      </c>
      <c r="K316" s="71">
        <f ca="1">IFERROR(__xludf.DUMMYFUNCTION("""COMPUTED_VALUE"""),86891944)</f>
        <v>86891944</v>
      </c>
      <c r="L316" s="27">
        <f ca="1">IFERROR(__xludf.DUMMYFUNCTION("""COMPUTED_VALUE"""),1)</f>
        <v>1</v>
      </c>
      <c r="M316" s="10" t="str">
        <f ca="1">IFERROR(__xludf.DUMMYFUNCTION("""COMPUTED_VALUE"""),"10343/2024")</f>
        <v>10343/2024</v>
      </c>
      <c r="N316" s="10" t="str">
        <f ca="1">IFERROR(__xludf.DUMMYFUNCTION("""COMPUTED_VALUE"""),"PMB")</f>
        <v>PMB</v>
      </c>
      <c r="O316" s="59"/>
      <c r="P316" s="1"/>
      <c r="Q316" s="1"/>
      <c r="R316" s="1"/>
      <c r="S316" s="1"/>
      <c r="T316" s="1"/>
      <c r="U316" s="1"/>
      <c r="V316" s="1"/>
      <c r="W316" s="1"/>
      <c r="X316" s="1"/>
      <c r="Y316" s="1"/>
      <c r="Z316" s="1"/>
      <c r="AA316" s="1"/>
    </row>
    <row r="317" spans="1:27" ht="12.75" customHeight="1">
      <c r="A317" s="1"/>
      <c r="B317" s="10" t="str">
        <f ca="1">IFERROR(__xludf.DUMMYFUNCTION("""COMPUTED_VALUE"""),"INSTALACIÓN DE ALUMBRADO PÚBLICO EN CABRERIA Y CALLEJÓN LA FORTUNA, COMUNA DE SAN JAVIER")</f>
        <v>INSTALACIÓN DE ALUMBRADO PÚBLICO EN CABRERIA Y CALLEJÓN LA FORTUNA, COMUNA DE SAN JAVIER</v>
      </c>
      <c r="C317" s="10" t="str">
        <f ca="1">IFERROR(__xludf.DUMMYFUNCTION("""COMPUTED_VALUE"""),"7406230705-C")</f>
        <v>7406230705-C</v>
      </c>
      <c r="D317" s="26" t="str">
        <f t="shared" ca="1" si="0"/>
        <v xml:space="preserve"> SAN JAVIER</v>
      </c>
      <c r="E317" s="10" t="str">
        <f ca="1">IFERROR(__xludf.DUMMYFUNCTION("""COMPUTED_VALUE"""),"Guía Operativa")</f>
        <v>Guía Operativa</v>
      </c>
      <c r="F317" s="10" t="str">
        <f ca="1">IFERROR(__xludf.DUMMYFUNCTION("""COMPUTED_VALUE"""),"MUNICIPALIDAD DE SAN JAVIER")</f>
        <v>MUNICIPALIDAD DE SAN JAVIER</v>
      </c>
      <c r="G317" s="71">
        <f ca="1">IFERROR(__xludf.DUMMYFUNCTION("""COMPUTED_VALUE"""),156512267)</f>
        <v>156512267</v>
      </c>
      <c r="H317" s="10" t="str">
        <f ca="1">IFERROR(__xludf.DUMMYFUNCTION("""COMPUTED_VALUE"""),"Resolución")</f>
        <v>Resolución</v>
      </c>
      <c r="I317" s="10" t="str">
        <f ca="1">IFERROR(__xludf.DUMMYFUNCTION("""COMPUTED_VALUE"""),"Obra")</f>
        <v>Obra</v>
      </c>
      <c r="J317" s="10" t="str">
        <f ca="1">IFERROR(__xludf.DUMMYFUNCTION("""COMPUTED_VALUE"""),"Cumplir con normativa y reglamentos internos del programa en base a los objetivos.")</f>
        <v>Cumplir con normativa y reglamentos internos del programa en base a los objetivos.</v>
      </c>
      <c r="K317" s="71">
        <f ca="1">IFERROR(__xludf.DUMMYFUNCTION("""COMPUTED_VALUE"""),156512267)</f>
        <v>156512267</v>
      </c>
      <c r="L317" s="27">
        <f ca="1">IFERROR(__xludf.DUMMYFUNCTION("""COMPUTED_VALUE"""),1)</f>
        <v>1</v>
      </c>
      <c r="M317" s="10" t="str">
        <f ca="1">IFERROR(__xludf.DUMMYFUNCTION("""COMPUTED_VALUE"""),"10412/2024")</f>
        <v>10412/2024</v>
      </c>
      <c r="N317" s="10" t="str">
        <f ca="1">IFERROR(__xludf.DUMMYFUNCTION("""COMPUTED_VALUE"""),"PMB")</f>
        <v>PMB</v>
      </c>
      <c r="O317" s="59"/>
      <c r="P317" s="1"/>
      <c r="Q317" s="1"/>
      <c r="R317" s="1"/>
      <c r="S317" s="1"/>
      <c r="T317" s="1"/>
      <c r="U317" s="1"/>
      <c r="V317" s="1"/>
      <c r="W317" s="1"/>
      <c r="X317" s="1"/>
      <c r="Y317" s="1"/>
      <c r="Z317" s="1"/>
      <c r="AA317" s="1"/>
    </row>
    <row r="318" spans="1:27" ht="12.75" customHeight="1">
      <c r="A318" s="1"/>
      <c r="B318" s="10" t="str">
        <f ca="1">IFERROR(__xludf.DUMMYFUNCTION("""COMPUTED_VALUE"""),"ASISTENCIA TÉCNICA PARA ELABORACION DE PROYECTOS SANITARIOS, ELECTRIFICACION Y PROYECTOS PMU, COMUNA DE ERCILLA")</f>
        <v>ASISTENCIA TÉCNICA PARA ELABORACION DE PROYECTOS SANITARIOS, ELECTRIFICACION Y PROYECTOS PMU, COMUNA DE ERCILLA</v>
      </c>
      <c r="C318" s="10" t="str">
        <f ca="1">IFERROR(__xludf.DUMMYFUNCTION("""COMPUTED_VALUE"""),"9204231004-C")</f>
        <v>9204231004-C</v>
      </c>
      <c r="D318" s="26" t="str">
        <f t="shared" ca="1" si="0"/>
        <v xml:space="preserve"> ERCILLA</v>
      </c>
      <c r="E318" s="10" t="str">
        <f ca="1">IFERROR(__xludf.DUMMYFUNCTION("""COMPUTED_VALUE"""),"Guía Operativa")</f>
        <v>Guía Operativa</v>
      </c>
      <c r="F318" s="10" t="str">
        <f ca="1">IFERROR(__xludf.DUMMYFUNCTION("""COMPUTED_VALUE"""),"MUNICIPALIDAD DE ERCILLA")</f>
        <v>MUNICIPALIDAD DE ERCILLA</v>
      </c>
      <c r="G318" s="71">
        <f ca="1">IFERROR(__xludf.DUMMYFUNCTION("""COMPUTED_VALUE"""),115200000)</f>
        <v>115200000</v>
      </c>
      <c r="H318" s="10" t="str">
        <f ca="1">IFERROR(__xludf.DUMMYFUNCTION("""COMPUTED_VALUE"""),"Resolución")</f>
        <v>Resolución</v>
      </c>
      <c r="I318" s="10" t="str">
        <f ca="1">IFERROR(__xludf.DUMMYFUNCTION("""COMPUTED_VALUE"""),"Asistencia Técnica")</f>
        <v>Asistencia Técnica</v>
      </c>
      <c r="J318" s="10" t="str">
        <f ca="1">IFERROR(__xludf.DUMMYFUNCTION("""COMPUTED_VALUE"""),"Cumplir con normativa y reglamentos internos del programa en base a los objetivos.")</f>
        <v>Cumplir con normativa y reglamentos internos del programa en base a los objetivos.</v>
      </c>
      <c r="K318" s="71">
        <f ca="1">IFERROR(__xludf.DUMMYFUNCTION("""COMPUTED_VALUE"""),115200000)</f>
        <v>115200000</v>
      </c>
      <c r="L318" s="27">
        <f ca="1">IFERROR(__xludf.DUMMYFUNCTION("""COMPUTED_VALUE"""),1)</f>
        <v>1</v>
      </c>
      <c r="M318" s="10" t="str">
        <f ca="1">IFERROR(__xludf.DUMMYFUNCTION("""COMPUTED_VALUE"""),"10346/2024")</f>
        <v>10346/2024</v>
      </c>
      <c r="N318" s="10" t="str">
        <f ca="1">IFERROR(__xludf.DUMMYFUNCTION("""COMPUTED_VALUE"""),"PMB")</f>
        <v>PMB</v>
      </c>
      <c r="O318" s="59"/>
      <c r="P318" s="1"/>
      <c r="Q318" s="1"/>
      <c r="R318" s="1"/>
      <c r="S318" s="1"/>
      <c r="T318" s="1"/>
      <c r="U318" s="1"/>
      <c r="V318" s="1"/>
      <c r="W318" s="1"/>
      <c r="X318" s="1"/>
      <c r="Y318" s="1"/>
      <c r="Z318" s="1"/>
      <c r="AA318" s="1"/>
    </row>
    <row r="319" spans="1:27" ht="12.75" customHeight="1">
      <c r="A319" s="1"/>
      <c r="B319" s="10" t="str">
        <f ca="1">IFERROR(__xludf.DUMMYFUNCTION("""COMPUTED_VALUE"""),"ASISTENCIA TÉCNICA SOLUCIONES SANITARIAS, COMUNA DE SAN IGNACIO")</f>
        <v>ASISTENCIA TÉCNICA SOLUCIONES SANITARIAS, COMUNA DE SAN IGNACIO</v>
      </c>
      <c r="C319" s="10" t="str">
        <f ca="1">IFERROR(__xludf.DUMMYFUNCTION("""COMPUTED_VALUE"""),"16108241001-C")</f>
        <v>16108241001-C</v>
      </c>
      <c r="D319" s="26" t="str">
        <f t="shared" ca="1" si="0"/>
        <v xml:space="preserve"> SAN IGNACIO</v>
      </c>
      <c r="E319" s="10" t="str">
        <f ca="1">IFERROR(__xludf.DUMMYFUNCTION("""COMPUTED_VALUE"""),"Guía Operativa")</f>
        <v>Guía Operativa</v>
      </c>
      <c r="F319" s="10" t="str">
        <f ca="1">IFERROR(__xludf.DUMMYFUNCTION("""COMPUTED_VALUE"""),"MUNICIPALIDAD DE SAN IGNACIO")</f>
        <v>MUNICIPALIDAD DE SAN IGNACIO</v>
      </c>
      <c r="G319" s="71">
        <f ca="1">IFERROR(__xludf.DUMMYFUNCTION("""COMPUTED_VALUE"""),73134540)</f>
        <v>73134540</v>
      </c>
      <c r="H319" s="10" t="str">
        <f ca="1">IFERROR(__xludf.DUMMYFUNCTION("""COMPUTED_VALUE"""),"Resolución")</f>
        <v>Resolución</v>
      </c>
      <c r="I319" s="10" t="str">
        <f ca="1">IFERROR(__xludf.DUMMYFUNCTION("""COMPUTED_VALUE"""),"Asistencia Técnica")</f>
        <v>Asistencia Técnica</v>
      </c>
      <c r="J319" s="10" t="str">
        <f ca="1">IFERROR(__xludf.DUMMYFUNCTION("""COMPUTED_VALUE"""),"Cumplir con normativa y reglamentos internos del programa en base a los objetivos.")</f>
        <v>Cumplir con normativa y reglamentos internos del programa en base a los objetivos.</v>
      </c>
      <c r="K319" s="71">
        <f ca="1">IFERROR(__xludf.DUMMYFUNCTION("""COMPUTED_VALUE"""),73134540)</f>
        <v>73134540</v>
      </c>
      <c r="L319" s="27">
        <f ca="1">IFERROR(__xludf.DUMMYFUNCTION("""COMPUTED_VALUE"""),1)</f>
        <v>1</v>
      </c>
      <c r="M319" s="10" t="str">
        <f ca="1">IFERROR(__xludf.DUMMYFUNCTION("""COMPUTED_VALUE"""),"10487/2024")</f>
        <v>10487/2024</v>
      </c>
      <c r="N319" s="10" t="str">
        <f ca="1">IFERROR(__xludf.DUMMYFUNCTION("""COMPUTED_VALUE"""),"PMB")</f>
        <v>PMB</v>
      </c>
      <c r="O319" s="59"/>
      <c r="P319" s="1"/>
      <c r="Q319" s="1"/>
      <c r="R319" s="1"/>
      <c r="S319" s="1"/>
      <c r="T319" s="1"/>
      <c r="U319" s="1"/>
      <c r="V319" s="1"/>
      <c r="W319" s="1"/>
      <c r="X319" s="1"/>
      <c r="Y319" s="1"/>
      <c r="Z319" s="1"/>
      <c r="AA319" s="1"/>
    </row>
    <row r="320" spans="1:27" ht="12.75" customHeight="1">
      <c r="A320" s="1"/>
      <c r="B320" s="10" t="str">
        <f ca="1">IFERROR(__xludf.DUMMYFUNCTION("""COMPUTED_VALUE"""),"RECAMBIO LUMINARIAS Y EXTENSIÓN DE ALUMBRADO PÚBLICO A TECNOLOGÍA LED EN LOS SECTORES DE LA INVERNADA Y LAS TRANCAS, COMUNA DE PINTO")</f>
        <v>RECAMBIO LUMINARIAS Y EXTENSIÓN DE ALUMBRADO PÚBLICO A TECNOLOGÍA LED EN LOS SECTORES DE LA INVERNADA Y LAS TRANCAS, COMUNA DE PINTO</v>
      </c>
      <c r="C320" s="10" t="str">
        <f ca="1">IFERROR(__xludf.DUMMYFUNCTION("""COMPUTED_VALUE"""),"16106240701-C")</f>
        <v>16106240701-C</v>
      </c>
      <c r="D320" s="26" t="str">
        <f t="shared" ca="1" si="0"/>
        <v xml:space="preserve"> PINTO</v>
      </c>
      <c r="E320" s="10" t="str">
        <f ca="1">IFERROR(__xludf.DUMMYFUNCTION("""COMPUTED_VALUE"""),"Guía Operativa")</f>
        <v>Guía Operativa</v>
      </c>
      <c r="F320" s="10" t="str">
        <f ca="1">IFERROR(__xludf.DUMMYFUNCTION("""COMPUTED_VALUE"""),"MUNICIPALIDAD DE PINTO")</f>
        <v>MUNICIPALIDAD DE PINTO</v>
      </c>
      <c r="G320" s="71">
        <f ca="1">IFERROR(__xludf.DUMMYFUNCTION("""COMPUTED_VALUE"""),229733290)</f>
        <v>229733290</v>
      </c>
      <c r="H320" s="10" t="str">
        <f ca="1">IFERROR(__xludf.DUMMYFUNCTION("""COMPUTED_VALUE"""),"Resolución")</f>
        <v>Resolución</v>
      </c>
      <c r="I320" s="10" t="str">
        <f ca="1">IFERROR(__xludf.DUMMYFUNCTION("""COMPUTED_VALUE"""),"Obra")</f>
        <v>Obra</v>
      </c>
      <c r="J320" s="10" t="str">
        <f ca="1">IFERROR(__xludf.DUMMYFUNCTION("""COMPUTED_VALUE"""),"Cumplir con normativa y reglamentos internos del programa en base a los objetivos.")</f>
        <v>Cumplir con normativa y reglamentos internos del programa en base a los objetivos.</v>
      </c>
      <c r="K320" s="71">
        <f ca="1">IFERROR(__xludf.DUMMYFUNCTION("""COMPUTED_VALUE"""),229733290)</f>
        <v>229733290</v>
      </c>
      <c r="L320" s="27">
        <f ca="1">IFERROR(__xludf.DUMMYFUNCTION("""COMPUTED_VALUE"""),1)</f>
        <v>1</v>
      </c>
      <c r="M320" s="10" t="str">
        <f ca="1">IFERROR(__xludf.DUMMYFUNCTION("""COMPUTED_VALUE"""),"10645/2024")</f>
        <v>10645/2024</v>
      </c>
      <c r="N320" s="10" t="str">
        <f ca="1">IFERROR(__xludf.DUMMYFUNCTION("""COMPUTED_VALUE"""),"PMB")</f>
        <v>PMB</v>
      </c>
      <c r="O320" s="59"/>
      <c r="P320" s="1"/>
      <c r="Q320" s="1"/>
      <c r="R320" s="1"/>
      <c r="S320" s="1"/>
      <c r="T320" s="1"/>
      <c r="U320" s="1"/>
      <c r="V320" s="1"/>
      <c r="W320" s="1"/>
      <c r="X320" s="1"/>
      <c r="Y320" s="1"/>
      <c r="Z320" s="1"/>
      <c r="AA320" s="1"/>
    </row>
    <row r="321" spans="1:27" ht="12.75" customHeight="1">
      <c r="A321" s="1"/>
      <c r="B321" s="10" t="str">
        <f ca="1">IFERROR(__xludf.DUMMYFUNCTION("""COMPUTED_VALUE"""),"ASISTENCIA LEGAL PARA LA REGULARIZACIÓN DE TERRENOS Y CONSTITUCION DE SERVIDUMBRES DE TRANSITO EN DIVERSOS SECTORES, COMUNA DE PINTO")</f>
        <v>ASISTENCIA LEGAL PARA LA REGULARIZACIÓN DE TERRENOS Y CONSTITUCION DE SERVIDUMBRES DE TRANSITO EN DIVERSOS SECTORES, COMUNA DE PINTO</v>
      </c>
      <c r="C321" s="10" t="str">
        <f ca="1">IFERROR(__xludf.DUMMYFUNCTION("""COMPUTED_VALUE"""),"16106240601-C")</f>
        <v>16106240601-C</v>
      </c>
      <c r="D321" s="26" t="str">
        <f t="shared" ca="1" si="0"/>
        <v xml:space="preserve"> PINTO</v>
      </c>
      <c r="E321" s="10" t="str">
        <f ca="1">IFERROR(__xludf.DUMMYFUNCTION("""COMPUTED_VALUE"""),"Guía Operativa")</f>
        <v>Guía Operativa</v>
      </c>
      <c r="F321" s="10" t="str">
        <f ca="1">IFERROR(__xludf.DUMMYFUNCTION("""COMPUTED_VALUE"""),"MUNICIPALIDAD DE PINTO")</f>
        <v>MUNICIPALIDAD DE PINTO</v>
      </c>
      <c r="G321" s="71">
        <f ca="1">IFERROR(__xludf.DUMMYFUNCTION("""COMPUTED_VALUE"""),65400000)</f>
        <v>65400000</v>
      </c>
      <c r="H321" s="10" t="str">
        <f ca="1">IFERROR(__xludf.DUMMYFUNCTION("""COMPUTED_VALUE"""),"Resolución")</f>
        <v>Resolución</v>
      </c>
      <c r="I321" s="10" t="str">
        <f ca="1">IFERROR(__xludf.DUMMYFUNCTION("""COMPUTED_VALUE"""),"Asistencia Legal")</f>
        <v>Asistencia Legal</v>
      </c>
      <c r="J321" s="10" t="str">
        <f ca="1">IFERROR(__xludf.DUMMYFUNCTION("""COMPUTED_VALUE"""),"Cumplir con normativa y reglamentos internos del programa en base a los objetivos.")</f>
        <v>Cumplir con normativa y reglamentos internos del programa en base a los objetivos.</v>
      </c>
      <c r="K321" s="71">
        <f ca="1">IFERROR(__xludf.DUMMYFUNCTION("""COMPUTED_VALUE"""),65400000)</f>
        <v>65400000</v>
      </c>
      <c r="L321" s="27">
        <f ca="1">IFERROR(__xludf.DUMMYFUNCTION("""COMPUTED_VALUE"""),1)</f>
        <v>1</v>
      </c>
      <c r="M321" s="10" t="str">
        <f ca="1">IFERROR(__xludf.DUMMYFUNCTION("""COMPUTED_VALUE"""),"10595/2024")</f>
        <v>10595/2024</v>
      </c>
      <c r="N321" s="10" t="str">
        <f ca="1">IFERROR(__xludf.DUMMYFUNCTION("""COMPUTED_VALUE"""),"PMB")</f>
        <v>PMB</v>
      </c>
      <c r="O321" s="59"/>
      <c r="P321" s="1"/>
      <c r="Q321" s="1"/>
      <c r="R321" s="1"/>
      <c r="S321" s="1"/>
      <c r="T321" s="1"/>
      <c r="U321" s="1"/>
      <c r="V321" s="1"/>
      <c r="W321" s="1"/>
      <c r="X321" s="1"/>
      <c r="Y321" s="1"/>
      <c r="Z321" s="1"/>
      <c r="AA321" s="1"/>
    </row>
    <row r="322" spans="1:27" ht="12.75" customHeight="1">
      <c r="A322" s="1"/>
      <c r="B322" s="10" t="str">
        <f ca="1">IFERROR(__xludf.DUMMYFUNCTION("""COMPUTED_VALUE"""),"CONSTRUCCIÓN DE ABASTOS DE AGUA POTABLE RURAL SECTOR HUALLERUPE 1, COMUNA DE MELIPEUCO")</f>
        <v>CONSTRUCCIÓN DE ABASTOS DE AGUA POTABLE RURAL SECTOR HUALLERUPE 1, COMUNA DE MELIPEUCO</v>
      </c>
      <c r="C322" s="10" t="str">
        <f ca="1">IFERROR(__xludf.DUMMYFUNCTION("""COMPUTED_VALUE"""),"9110200701-C")</f>
        <v>9110200701-C</v>
      </c>
      <c r="D322" s="26" t="str">
        <f t="shared" ca="1" si="0"/>
        <v xml:space="preserve"> MELIPEUCO</v>
      </c>
      <c r="E322" s="10" t="str">
        <f ca="1">IFERROR(__xludf.DUMMYFUNCTION("""COMPUTED_VALUE"""),"Guía Operativa")</f>
        <v>Guía Operativa</v>
      </c>
      <c r="F322" s="10" t="str">
        <f ca="1">IFERROR(__xludf.DUMMYFUNCTION("""COMPUTED_VALUE"""),"MUNICIPALIDAD DE MELIPEUCO")</f>
        <v>MUNICIPALIDAD DE MELIPEUCO</v>
      </c>
      <c r="G322" s="71">
        <f ca="1">IFERROR(__xludf.DUMMYFUNCTION("""COMPUTED_VALUE"""),149861956)</f>
        <v>149861956</v>
      </c>
      <c r="H322" s="10" t="str">
        <f ca="1">IFERROR(__xludf.DUMMYFUNCTION("""COMPUTED_VALUE"""),"Resolución")</f>
        <v>Resolución</v>
      </c>
      <c r="I322" s="10" t="str">
        <f ca="1">IFERROR(__xludf.DUMMYFUNCTION("""COMPUTED_VALUE"""),"Obra")</f>
        <v>Obra</v>
      </c>
      <c r="J322" s="10" t="str">
        <f ca="1">IFERROR(__xludf.DUMMYFUNCTION("""COMPUTED_VALUE"""),"Cumplir con normativa y reglamentos internos del programa en base a los objetivos.")</f>
        <v>Cumplir con normativa y reglamentos internos del programa en base a los objetivos.</v>
      </c>
      <c r="K322" s="71">
        <f ca="1">IFERROR(__xludf.DUMMYFUNCTION("""COMPUTED_VALUE"""),7708912)</f>
        <v>7708912</v>
      </c>
      <c r="L322" s="27">
        <f ca="1">IFERROR(__xludf.DUMMYFUNCTION("""COMPUTED_VALUE"""),0.977947064830783)</f>
        <v>0.97794706483078297</v>
      </c>
      <c r="M322" s="10" t="str">
        <f ca="1">IFERROR(__xludf.DUMMYFUNCTION("""COMPUTED_VALUE"""),"12621/2022")</f>
        <v>12621/2022</v>
      </c>
      <c r="N322" s="10" t="str">
        <f ca="1">IFERROR(__xludf.DUMMYFUNCTION("""COMPUTED_VALUE"""),"PMB")</f>
        <v>PMB</v>
      </c>
      <c r="O322" s="59"/>
      <c r="P322" s="1"/>
      <c r="Q322" s="1"/>
      <c r="R322" s="1"/>
      <c r="S322" s="1"/>
      <c r="T322" s="1"/>
      <c r="U322" s="1"/>
      <c r="V322" s="1"/>
      <c r="W322" s="1"/>
      <c r="X322" s="1"/>
      <c r="Y322" s="1"/>
      <c r="Z322" s="1"/>
      <c r="AA322" s="1"/>
    </row>
    <row r="323" spans="1:27" ht="12.75" customHeight="1">
      <c r="A323" s="1"/>
      <c r="B323" s="10" t="str">
        <f ca="1">IFERROR(__xludf.DUMMYFUNCTION("""COMPUTED_VALUE"""),"ABASTO AGUA POTABLE SECTOR NANCAHUE")</f>
        <v>ABASTO AGUA POTABLE SECTOR NANCAHUE</v>
      </c>
      <c r="C323" s="10" t="str">
        <f ca="1">IFERROR(__xludf.DUMMYFUNCTION("""COMPUTED_VALUE"""),"9210160707-C")</f>
        <v>9210160707-C</v>
      </c>
      <c r="D323" s="26" t="str">
        <f t="shared" ca="1" si="0"/>
        <v xml:space="preserve"> TRAIGUÉN</v>
      </c>
      <c r="E323" s="10" t="str">
        <f ca="1">IFERROR(__xludf.DUMMYFUNCTION("""COMPUTED_VALUE"""),"Guía Operativa")</f>
        <v>Guía Operativa</v>
      </c>
      <c r="F323" s="10" t="str">
        <f ca="1">IFERROR(__xludf.DUMMYFUNCTION("""COMPUTED_VALUE"""),"MUNICIPALIDAD DE TRAIGUÉN")</f>
        <v>MUNICIPALIDAD DE TRAIGUÉN</v>
      </c>
      <c r="G323" s="71">
        <f ca="1">IFERROR(__xludf.DUMMYFUNCTION("""COMPUTED_VALUE"""),71679260)</f>
        <v>71679260</v>
      </c>
      <c r="H323" s="10" t="str">
        <f ca="1">IFERROR(__xludf.DUMMYFUNCTION("""COMPUTED_VALUE"""),"Resolución")</f>
        <v>Resolución</v>
      </c>
      <c r="I323" s="10" t="str">
        <f ca="1">IFERROR(__xludf.DUMMYFUNCTION("""COMPUTED_VALUE"""),"Obra")</f>
        <v>Obra</v>
      </c>
      <c r="J323" s="10" t="str">
        <f ca="1">IFERROR(__xludf.DUMMYFUNCTION("""COMPUTED_VALUE"""),"Cumplir con normativa y reglamentos internos del programa en base a los objetivos.")</f>
        <v>Cumplir con normativa y reglamentos internos del programa en base a los objetivos.</v>
      </c>
      <c r="K323" s="71">
        <f ca="1">IFERROR(__xludf.DUMMYFUNCTION("""COMPUTED_VALUE"""),41179514)</f>
        <v>41179514</v>
      </c>
      <c r="L323" s="27">
        <f ca="1">IFERROR(__xludf.DUMMYFUNCTION("""COMPUTED_VALUE"""),1)</f>
        <v>1</v>
      </c>
      <c r="M323" s="10" t="str">
        <f ca="1">IFERROR(__xludf.DUMMYFUNCTION("""COMPUTED_VALUE"""),"12197/2022")</f>
        <v>12197/2022</v>
      </c>
      <c r="N323" s="10" t="str">
        <f ca="1">IFERROR(__xludf.DUMMYFUNCTION("""COMPUTED_VALUE"""),"PMB")</f>
        <v>PMB</v>
      </c>
      <c r="O323" s="59"/>
      <c r="P323" s="1"/>
      <c r="Q323" s="1"/>
      <c r="R323" s="1"/>
      <c r="S323" s="1"/>
      <c r="T323" s="1"/>
      <c r="U323" s="1"/>
      <c r="V323" s="1"/>
      <c r="W323" s="1"/>
      <c r="X323" s="1"/>
      <c r="Y323" s="1"/>
      <c r="Z323" s="1"/>
      <c r="AA323" s="1"/>
    </row>
    <row r="324" spans="1:27" ht="12.75" customHeight="1">
      <c r="A324" s="1"/>
      <c r="B324" s="10" t="str">
        <f ca="1">IFERROR(__xludf.DUMMYFUNCTION("""COMPUTED_VALUE"""),"CONSTRUCCIÓN DE SISTEMAS FOTOVOLTAICOS INDIVIDUALES EN VIVIENDAS 30 GANCHOS Y OTROS SECTORES")</f>
        <v>CONSTRUCCIÓN DE SISTEMAS FOTOVOLTAICOS INDIVIDUALES EN VIVIENDAS 30 GANCHOS Y OTROS SECTORES</v>
      </c>
      <c r="C324" s="10" t="str">
        <f ca="1">IFERROR(__xludf.DUMMYFUNCTION("""COMPUTED_VALUE"""),"9207180712-C [FET]")</f>
        <v>9207180712-C [FET]</v>
      </c>
      <c r="D324" s="26" t="str">
        <f t="shared" ca="1" si="0"/>
        <v xml:space="preserve"> LUMACO</v>
      </c>
      <c r="E324" s="10" t="str">
        <f ca="1">IFERROR(__xludf.DUMMYFUNCTION("""COMPUTED_VALUE"""),"Guía Operativa")</f>
        <v>Guía Operativa</v>
      </c>
      <c r="F324" s="10" t="str">
        <f ca="1">IFERROR(__xludf.DUMMYFUNCTION("""COMPUTED_VALUE"""),"MUNICIPALIDAD DE LUMACO")</f>
        <v>MUNICIPALIDAD DE LUMACO</v>
      </c>
      <c r="G324" s="71">
        <f ca="1">IFERROR(__xludf.DUMMYFUNCTION("""COMPUTED_VALUE"""),59369686)</f>
        <v>59369686</v>
      </c>
      <c r="H324" s="10" t="str">
        <f ca="1">IFERROR(__xludf.DUMMYFUNCTION("""COMPUTED_VALUE"""),"Resolución")</f>
        <v>Resolución</v>
      </c>
      <c r="I324" s="10" t="str">
        <f ca="1">IFERROR(__xludf.DUMMYFUNCTION("""COMPUTED_VALUE"""),"Obra")</f>
        <v>Obra</v>
      </c>
      <c r="J324" s="10" t="str">
        <f ca="1">IFERROR(__xludf.DUMMYFUNCTION("""COMPUTED_VALUE"""),"Cumplir con normativa y reglamentos internos del programa en base a los objetivos.")</f>
        <v>Cumplir con normativa y reglamentos internos del programa en base a los objetivos.</v>
      </c>
      <c r="K324" s="71">
        <f ca="1">IFERROR(__xludf.DUMMYFUNCTION("""COMPUTED_VALUE"""),59356473)</f>
        <v>59356473</v>
      </c>
      <c r="L324" s="27">
        <f ca="1">IFERROR(__xludf.DUMMYFUNCTION("""COMPUTED_VALUE"""),0.99977744534475)</f>
        <v>0.99977744534474999</v>
      </c>
      <c r="M324" s="10" t="str">
        <f ca="1">IFERROR(__xludf.DUMMYFUNCTION("""COMPUTED_VALUE"""),"1214/2023")</f>
        <v>1214/2023</v>
      </c>
      <c r="N324" s="10" t="str">
        <f ca="1">IFERROR(__xludf.DUMMYFUNCTION("""COMPUTED_VALUE"""),"PMB")</f>
        <v>PMB</v>
      </c>
      <c r="O324" s="59"/>
      <c r="P324" s="1"/>
      <c r="Q324" s="1"/>
      <c r="R324" s="1"/>
      <c r="S324" s="1"/>
      <c r="T324" s="1"/>
      <c r="U324" s="1"/>
      <c r="V324" s="1"/>
      <c r="W324" s="1"/>
      <c r="X324" s="1"/>
      <c r="Y324" s="1"/>
      <c r="Z324" s="1"/>
      <c r="AA324" s="1"/>
    </row>
    <row r="325" spans="1:27" ht="12.75" customHeight="1">
      <c r="A325" s="1"/>
      <c r="B325" s="10" t="str">
        <f ca="1">IFERROR(__xludf.DUMMYFUNCTION("""COMPUTED_VALUE"""),"CONSTRUCCION DE SISTEMAS FOTOVOLTAICOS INDIVIDUALES EN VIVIENDAS LAS CARPAS NORTE Y OTROS SECTORES")</f>
        <v>CONSTRUCCION DE SISTEMAS FOTOVOLTAICOS INDIVIDUALES EN VIVIENDAS LAS CARPAS NORTE Y OTROS SECTORES</v>
      </c>
      <c r="C325" s="10" t="str">
        <f ca="1">IFERROR(__xludf.DUMMYFUNCTION("""COMPUTED_VALUE"""),"9207200702-C")</f>
        <v>9207200702-C</v>
      </c>
      <c r="D325" s="26" t="str">
        <f t="shared" ca="1" si="0"/>
        <v xml:space="preserve"> LUMACO</v>
      </c>
      <c r="E325" s="10" t="str">
        <f ca="1">IFERROR(__xludf.DUMMYFUNCTION("""COMPUTED_VALUE"""),"Guía Operativa")</f>
        <v>Guía Operativa</v>
      </c>
      <c r="F325" s="10" t="str">
        <f ca="1">IFERROR(__xludf.DUMMYFUNCTION("""COMPUTED_VALUE"""),"MUNICIPALIDAD DE LUMACO")</f>
        <v>MUNICIPALIDAD DE LUMACO</v>
      </c>
      <c r="G325" s="71">
        <f ca="1">IFERROR(__xludf.DUMMYFUNCTION("""COMPUTED_VALUE"""),45657050)</f>
        <v>45657050</v>
      </c>
      <c r="H325" s="10" t="str">
        <f ca="1">IFERROR(__xludf.DUMMYFUNCTION("""COMPUTED_VALUE"""),"Resolución")</f>
        <v>Resolución</v>
      </c>
      <c r="I325" s="10" t="str">
        <f ca="1">IFERROR(__xludf.DUMMYFUNCTION("""COMPUTED_VALUE"""),"Obra")</f>
        <v>Obra</v>
      </c>
      <c r="J325" s="10" t="str">
        <f ca="1">IFERROR(__xludf.DUMMYFUNCTION("""COMPUTED_VALUE"""),"Cumplir con normativa y reglamentos internos del programa en base a los objetivos.")</f>
        <v>Cumplir con normativa y reglamentos internos del programa en base a los objetivos.</v>
      </c>
      <c r="K325" s="71">
        <f ca="1">IFERROR(__xludf.DUMMYFUNCTION("""COMPUTED_VALUE"""),45652628)</f>
        <v>45652628</v>
      </c>
      <c r="L325" s="27">
        <f ca="1">IFERROR(__xludf.DUMMYFUNCTION("""COMPUTED_VALUE"""),0.999903147487627)</f>
        <v>0.99990314748762699</v>
      </c>
      <c r="M325" s="10" t="str">
        <f ca="1">IFERROR(__xludf.DUMMYFUNCTION("""COMPUTED_VALUE"""),"1152/2023")</f>
        <v>1152/2023</v>
      </c>
      <c r="N325" s="10" t="str">
        <f ca="1">IFERROR(__xludf.DUMMYFUNCTION("""COMPUTED_VALUE"""),"PMB")</f>
        <v>PMB</v>
      </c>
      <c r="O325" s="59"/>
      <c r="P325" s="1"/>
      <c r="Q325" s="1"/>
      <c r="R325" s="1"/>
      <c r="S325" s="1"/>
      <c r="T325" s="1"/>
      <c r="U325" s="1"/>
      <c r="V325" s="1"/>
      <c r="W325" s="1"/>
      <c r="X325" s="1"/>
      <c r="Y325" s="1"/>
      <c r="Z325" s="1"/>
      <c r="AA325" s="1"/>
    </row>
    <row r="326" spans="1:27" ht="12.75" customHeight="1">
      <c r="A326" s="1"/>
      <c r="B326" s="10" t="str">
        <f ca="1">IFERROR(__xludf.DUMMYFUNCTION("""COMPUTED_VALUE"""),"CONSTRUCCIÓN DE SISTEMAS FOTOVOLTAICOS INDIVIDUALES EN VIVIENDAS SECTOR LAS CARPAS")</f>
        <v>CONSTRUCCIÓN DE SISTEMAS FOTOVOLTAICOS INDIVIDUALES EN VIVIENDAS SECTOR LAS CARPAS</v>
      </c>
      <c r="C326" s="10" t="str">
        <f ca="1">IFERROR(__xludf.DUMMYFUNCTION("""COMPUTED_VALUE"""),"9207180711-C [FET]")</f>
        <v>9207180711-C [FET]</v>
      </c>
      <c r="D326" s="26" t="str">
        <f t="shared" ca="1" si="0"/>
        <v xml:space="preserve"> LUMACO</v>
      </c>
      <c r="E326" s="10" t="str">
        <f ca="1">IFERROR(__xludf.DUMMYFUNCTION("""COMPUTED_VALUE"""),"Guía Operativa")</f>
        <v>Guía Operativa</v>
      </c>
      <c r="F326" s="10" t="str">
        <f ca="1">IFERROR(__xludf.DUMMYFUNCTION("""COMPUTED_VALUE"""),"MUNICIPALIDAD DE LUMACO")</f>
        <v>MUNICIPALIDAD DE LUMACO</v>
      </c>
      <c r="G326" s="71">
        <f ca="1">IFERROR(__xludf.DUMMYFUNCTION("""COMPUTED_VALUE"""),49113435)</f>
        <v>49113435</v>
      </c>
      <c r="H326" s="10" t="str">
        <f ca="1">IFERROR(__xludf.DUMMYFUNCTION("""COMPUTED_VALUE"""),"Resolución")</f>
        <v>Resolución</v>
      </c>
      <c r="I326" s="10" t="str">
        <f ca="1">IFERROR(__xludf.DUMMYFUNCTION("""COMPUTED_VALUE"""),"Obra")</f>
        <v>Obra</v>
      </c>
      <c r="J326" s="10" t="str">
        <f ca="1">IFERROR(__xludf.DUMMYFUNCTION("""COMPUTED_VALUE"""),"Cumplir con normativa y reglamentos internos del programa en base a los objetivos.")</f>
        <v>Cumplir con normativa y reglamentos internos del programa en base a los objetivos.</v>
      </c>
      <c r="K326" s="71">
        <f ca="1">IFERROR(__xludf.DUMMYFUNCTION("""COMPUTED_VALUE"""),49098332)</f>
        <v>49098332</v>
      </c>
      <c r="L326" s="27">
        <f ca="1">IFERROR(__xludf.DUMMYFUNCTION("""COMPUTED_VALUE"""),0.999692487401868)</f>
        <v>0.999692487401868</v>
      </c>
      <c r="M326" s="10" t="str">
        <f ca="1">IFERROR(__xludf.DUMMYFUNCTION("""COMPUTED_VALUE"""),"1222/2023")</f>
        <v>1222/2023</v>
      </c>
      <c r="N326" s="10" t="str">
        <f ca="1">IFERROR(__xludf.DUMMYFUNCTION("""COMPUTED_VALUE"""),"PMB")</f>
        <v>PMB</v>
      </c>
      <c r="O326" s="59"/>
      <c r="P326" s="1"/>
      <c r="Q326" s="1"/>
      <c r="R326" s="1"/>
      <c r="S326" s="1"/>
      <c r="T326" s="1"/>
      <c r="U326" s="1"/>
      <c r="V326" s="1"/>
      <c r="W326" s="1"/>
      <c r="X326" s="1"/>
      <c r="Y326" s="1"/>
      <c r="Z326" s="1"/>
      <c r="AA326" s="1"/>
    </row>
    <row r="327" spans="1:27" ht="12.75" customHeight="1">
      <c r="A327" s="1"/>
      <c r="B327" s="10" t="str">
        <f ca="1">IFERROR(__xludf.DUMMYFUNCTION("""COMPUTED_VALUE"""),"ABASTO DE AGUA POTABLE COMUNIDAD CACIQUE BARTOLO PITRIHUEN DE BOYECO, COMUNA DE TRAIGUÉN")</f>
        <v>ABASTO DE AGUA POTABLE COMUNIDAD CACIQUE BARTOLO PITRIHUEN DE BOYECO, COMUNA DE TRAIGUÉN</v>
      </c>
      <c r="C327" s="10" t="str">
        <f ca="1">IFERROR(__xludf.DUMMYFUNCTION("""COMPUTED_VALUE"""),"9210190704-C [FET]")</f>
        <v>9210190704-C [FET]</v>
      </c>
      <c r="D327" s="26" t="str">
        <f t="shared" ca="1" si="0"/>
        <v xml:space="preserve"> TRAIGUÉN</v>
      </c>
      <c r="E327" s="10" t="str">
        <f ca="1">IFERROR(__xludf.DUMMYFUNCTION("""COMPUTED_VALUE"""),"Guía Operativa")</f>
        <v>Guía Operativa</v>
      </c>
      <c r="F327" s="10" t="str">
        <f ca="1">IFERROR(__xludf.DUMMYFUNCTION("""COMPUTED_VALUE"""),"MUNICIPALIDAD DE TRAIGUÉN")</f>
        <v>MUNICIPALIDAD DE TRAIGUÉN</v>
      </c>
      <c r="G327" s="71">
        <f ca="1">IFERROR(__xludf.DUMMYFUNCTION("""COMPUTED_VALUE"""),91070226)</f>
        <v>91070226</v>
      </c>
      <c r="H327" s="10" t="str">
        <f ca="1">IFERROR(__xludf.DUMMYFUNCTION("""COMPUTED_VALUE"""),"Resolución")</f>
        <v>Resolución</v>
      </c>
      <c r="I327" s="10" t="str">
        <f ca="1">IFERROR(__xludf.DUMMYFUNCTION("""COMPUTED_VALUE"""),"Obra")</f>
        <v>Obra</v>
      </c>
      <c r="J327" s="10" t="str">
        <f ca="1">IFERROR(__xludf.DUMMYFUNCTION("""COMPUTED_VALUE"""),"Cumplir con normativa y reglamentos internos del programa en base a los objetivos.")</f>
        <v>Cumplir con normativa y reglamentos internos del programa en base a los objetivos.</v>
      </c>
      <c r="K327" s="71">
        <f ca="1">IFERROR(__xludf.DUMMYFUNCTION("""COMPUTED_VALUE"""),91062270)</f>
        <v>91062270</v>
      </c>
      <c r="L327" s="27">
        <f ca="1">IFERROR(__xludf.DUMMYFUNCTION("""COMPUTED_VALUE"""),0.999912638846421)</f>
        <v>0.99991263884642101</v>
      </c>
      <c r="M327" s="10" t="str">
        <f ca="1">IFERROR(__xludf.DUMMYFUNCTION("""COMPUTED_VALUE"""),"1215/2023")</f>
        <v>1215/2023</v>
      </c>
      <c r="N327" s="10" t="str">
        <f ca="1">IFERROR(__xludf.DUMMYFUNCTION("""COMPUTED_VALUE"""),"PMB")</f>
        <v>PMB</v>
      </c>
      <c r="O327" s="59"/>
      <c r="P327" s="1"/>
      <c r="Q327" s="1"/>
      <c r="R327" s="1"/>
      <c r="S327" s="1"/>
      <c r="T327" s="1"/>
      <c r="U327" s="1"/>
      <c r="V327" s="1"/>
      <c r="W327" s="1"/>
      <c r="X327" s="1"/>
      <c r="Y327" s="1"/>
      <c r="Z327" s="1"/>
      <c r="AA327" s="1"/>
    </row>
    <row r="328" spans="1:27" ht="12.75" customHeight="1">
      <c r="A328" s="1"/>
      <c r="B328" s="10" t="str">
        <f ca="1">IFERROR(__xludf.DUMMYFUNCTION("""COMPUTED_VALUE"""),"MEJORAMIENTO Y AMPLIACION DE REDES DE ALUMBRADO PUBLICO Y DISEÑO DE PROYECTOS DE EFICIENCIA ENERGETICA EN EQUIPAMIENTO COMUNAL, COMUNA DE ROMERAL")</f>
        <v>MEJORAMIENTO Y AMPLIACION DE REDES DE ALUMBRADO PUBLICO Y DISEÑO DE PROYECTOS DE EFICIENCIA ENERGETICA EN EQUIPAMIENTO COMUNAL, COMUNA DE ROMERAL</v>
      </c>
      <c r="C328" s="10" t="str">
        <f ca="1">IFERROR(__xludf.DUMMYFUNCTION("""COMPUTED_VALUE"""),"7306231001-C")</f>
        <v>7306231001-C</v>
      </c>
      <c r="D328" s="26" t="str">
        <f t="shared" ca="1" si="0"/>
        <v xml:space="preserve"> ROMERAL</v>
      </c>
      <c r="E328" s="10" t="str">
        <f ca="1">IFERROR(__xludf.DUMMYFUNCTION("""COMPUTED_VALUE"""),"Guía Operativa")</f>
        <v>Guía Operativa</v>
      </c>
      <c r="F328" s="10" t="str">
        <f ca="1">IFERROR(__xludf.DUMMYFUNCTION("""COMPUTED_VALUE"""),"MUNICIPALIDAD DE ROMERAL")</f>
        <v>MUNICIPALIDAD DE ROMERAL</v>
      </c>
      <c r="G328" s="71">
        <f ca="1">IFERROR(__xludf.DUMMYFUNCTION("""COMPUTED_VALUE"""),52800000)</f>
        <v>52800000</v>
      </c>
      <c r="H328" s="10" t="str">
        <f ca="1">IFERROR(__xludf.DUMMYFUNCTION("""COMPUTED_VALUE"""),"Resolución")</f>
        <v>Resolución</v>
      </c>
      <c r="I328" s="10" t="str">
        <f ca="1">IFERROR(__xludf.DUMMYFUNCTION("""COMPUTED_VALUE"""),"Asistencia Técnica")</f>
        <v>Asistencia Técnica</v>
      </c>
      <c r="J328" s="10" t="str">
        <f ca="1">IFERROR(__xludf.DUMMYFUNCTION("""COMPUTED_VALUE"""),"Cumplir con normativa y reglamentos internos del programa en base a los objetivos.")</f>
        <v>Cumplir con normativa y reglamentos internos del programa en base a los objetivos.</v>
      </c>
      <c r="K328" s="71">
        <f ca="1">IFERROR(__xludf.DUMMYFUNCTION("""COMPUTED_VALUE"""),11400000)</f>
        <v>11400000</v>
      </c>
      <c r="L328" s="27">
        <f ca="1">IFERROR(__xludf.DUMMYFUNCTION("""COMPUTED_VALUE"""),0.46590909090909)</f>
        <v>0.46590909090909</v>
      </c>
      <c r="M328" s="10" t="str">
        <f ca="1">IFERROR(__xludf.DUMMYFUNCTION("""COMPUTED_VALUE"""),"7417/2023")</f>
        <v>7417/2023</v>
      </c>
      <c r="N328" s="10" t="str">
        <f ca="1">IFERROR(__xludf.DUMMYFUNCTION("""COMPUTED_VALUE"""),"PMB")</f>
        <v>PMB</v>
      </c>
      <c r="O328" s="59"/>
      <c r="P328" s="1"/>
      <c r="Q328" s="1"/>
      <c r="R328" s="1"/>
      <c r="S328" s="1"/>
      <c r="T328" s="1"/>
      <c r="U328" s="1"/>
      <c r="V328" s="1"/>
      <c r="W328" s="1"/>
      <c r="X328" s="1"/>
      <c r="Y328" s="1"/>
      <c r="Z328" s="1"/>
      <c r="AA328" s="1"/>
    </row>
    <row r="329" spans="1:27" ht="12.75" customHeight="1">
      <c r="A329" s="1"/>
      <c r="B329" s="10" t="str">
        <f ca="1">IFERROR(__xludf.DUMMYFUNCTION("""COMPUTED_VALUE"""),"ASISTENCIA TECNICA PROYECTOS SANITARIOS DE LA COMUNA DE CURICO")</f>
        <v>ASISTENCIA TECNICA PROYECTOS SANITARIOS DE LA COMUNA DE CURICO</v>
      </c>
      <c r="C329" s="10" t="str">
        <f ca="1">IFERROR(__xludf.DUMMYFUNCTION("""COMPUTED_VALUE"""),"7301221001-C")</f>
        <v>7301221001-C</v>
      </c>
      <c r="D329" s="26" t="str">
        <f t="shared" ca="1" si="0"/>
        <v xml:space="preserve"> CURICÓ</v>
      </c>
      <c r="E329" s="10" t="str">
        <f ca="1">IFERROR(__xludf.DUMMYFUNCTION("""COMPUTED_VALUE"""),"Guía Operativa")</f>
        <v>Guía Operativa</v>
      </c>
      <c r="F329" s="10" t="str">
        <f ca="1">IFERROR(__xludf.DUMMYFUNCTION("""COMPUTED_VALUE"""),"MUNICIPALIDAD DE CURICÓ")</f>
        <v>MUNICIPALIDAD DE CURICÓ</v>
      </c>
      <c r="G329" s="71">
        <f ca="1">IFERROR(__xludf.DUMMYFUNCTION("""COMPUTED_VALUE"""),39600000)</f>
        <v>39600000</v>
      </c>
      <c r="H329" s="10" t="str">
        <f ca="1">IFERROR(__xludf.DUMMYFUNCTION("""COMPUTED_VALUE"""),"Resolución")</f>
        <v>Resolución</v>
      </c>
      <c r="I329" s="10" t="str">
        <f ca="1">IFERROR(__xludf.DUMMYFUNCTION("""COMPUTED_VALUE"""),"Asistencia Técnica")</f>
        <v>Asistencia Técnica</v>
      </c>
      <c r="J329" s="10" t="str">
        <f ca="1">IFERROR(__xludf.DUMMYFUNCTION("""COMPUTED_VALUE"""),"Cumplir con normativa y reglamentos internos del programa en base a los objetivos.")</f>
        <v>Cumplir con normativa y reglamentos internos del programa en base a los objetivos.</v>
      </c>
      <c r="K329" s="71">
        <f ca="1">IFERROR(__xludf.DUMMYFUNCTION("""COMPUTED_VALUE"""),9900000)</f>
        <v>9900000</v>
      </c>
      <c r="L329" s="27">
        <f ca="1">IFERROR(__xludf.DUMMYFUNCTION("""COMPUTED_VALUE"""),0.5)</f>
        <v>0.5</v>
      </c>
      <c r="M329" s="10" t="str">
        <f ca="1">IFERROR(__xludf.DUMMYFUNCTION("""COMPUTED_VALUE"""),"11627/2023")</f>
        <v>11627/2023</v>
      </c>
      <c r="N329" s="10" t="str">
        <f ca="1">IFERROR(__xludf.DUMMYFUNCTION("""COMPUTED_VALUE"""),"PMB")</f>
        <v>PMB</v>
      </c>
      <c r="O329" s="59"/>
      <c r="P329" s="1"/>
      <c r="Q329" s="1"/>
      <c r="R329" s="1"/>
      <c r="S329" s="1"/>
      <c r="T329" s="1"/>
      <c r="U329" s="1"/>
      <c r="V329" s="1"/>
      <c r="W329" s="1"/>
      <c r="X329" s="1"/>
      <c r="Y329" s="1"/>
      <c r="Z329" s="1"/>
      <c r="AA329" s="1"/>
    </row>
    <row r="330" spans="1:27" ht="12.75" customHeight="1">
      <c r="A330" s="1"/>
      <c r="B330" s="10" t="str">
        <f ca="1">IFERROR(__xludf.DUMMYFUNCTION("""COMPUTED_VALUE"""),"ASISTENCIA TÉCNICA PARA PROYECTOS PMB Y PMU EN LA COMUNA DE SAGRADA FAMILIA")</f>
        <v>ASISTENCIA TÉCNICA PARA PROYECTOS PMB Y PMU EN LA COMUNA DE SAGRADA FAMILIA</v>
      </c>
      <c r="C330" s="10" t="str">
        <f ca="1">IFERROR(__xludf.DUMMYFUNCTION("""COMPUTED_VALUE"""),"7307231001-C")</f>
        <v>7307231001-C</v>
      </c>
      <c r="D330" s="26" t="str">
        <f t="shared" ca="1" si="0"/>
        <v xml:space="preserve"> SAGRADA FAMILIA</v>
      </c>
      <c r="E330" s="10" t="str">
        <f ca="1">IFERROR(__xludf.DUMMYFUNCTION("""COMPUTED_VALUE"""),"Guía Operativa")</f>
        <v>Guía Operativa</v>
      </c>
      <c r="F330" s="10" t="str">
        <f ca="1">IFERROR(__xludf.DUMMYFUNCTION("""COMPUTED_VALUE"""),"MUNICIPALIDAD DE SAGRADA FAMILIA")</f>
        <v>MUNICIPALIDAD DE SAGRADA FAMILIA</v>
      </c>
      <c r="G330" s="71">
        <f ca="1">IFERROR(__xludf.DUMMYFUNCTION("""COMPUTED_VALUE"""),63600000)</f>
        <v>63600000</v>
      </c>
      <c r="H330" s="10" t="str">
        <f ca="1">IFERROR(__xludf.DUMMYFUNCTION("""COMPUTED_VALUE"""),"Resolución")</f>
        <v>Resolución</v>
      </c>
      <c r="I330" s="10" t="str">
        <f ca="1">IFERROR(__xludf.DUMMYFUNCTION("""COMPUTED_VALUE"""),"Asistencia Técnica")</f>
        <v>Asistencia Técnica</v>
      </c>
      <c r="J330" s="10" t="str">
        <f ca="1">IFERROR(__xludf.DUMMYFUNCTION("""COMPUTED_VALUE"""),"Cumplir con normativa y reglamentos internos del programa en base a los objetivos.")</f>
        <v>Cumplir con normativa y reglamentos internos del programa en base a los objetivos.</v>
      </c>
      <c r="K330" s="71">
        <f ca="1">IFERROR(__xludf.DUMMYFUNCTION("""COMPUTED_VALUE"""),15900000)</f>
        <v>15900000</v>
      </c>
      <c r="L330" s="27">
        <f ca="1">IFERROR(__xludf.DUMMYFUNCTION("""COMPUTED_VALUE"""),0.5)</f>
        <v>0.5</v>
      </c>
      <c r="M330" s="10" t="str">
        <f ca="1">IFERROR(__xludf.DUMMYFUNCTION("""COMPUTED_VALUE"""),"11633/2023")</f>
        <v>11633/2023</v>
      </c>
      <c r="N330" s="10" t="str">
        <f ca="1">IFERROR(__xludf.DUMMYFUNCTION("""COMPUTED_VALUE"""),"PMB")</f>
        <v>PMB</v>
      </c>
      <c r="O330" s="59"/>
      <c r="P330" s="1"/>
      <c r="Q330" s="1"/>
      <c r="R330" s="1"/>
      <c r="S330" s="1"/>
      <c r="T330" s="1"/>
      <c r="U330" s="1"/>
      <c r="V330" s="1"/>
      <c r="W330" s="1"/>
      <c r="X330" s="1"/>
      <c r="Y330" s="1"/>
      <c r="Z330" s="1"/>
      <c r="AA330" s="1"/>
    </row>
    <row r="331" spans="1:27" ht="12.75" customHeight="1">
      <c r="A331" s="1"/>
      <c r="B331" s="10" t="str">
        <f ca="1">IFERROR(__xludf.DUMMYFUNCTION("""COMPUTED_VALUE"""),"ASISTENCIA TECNICA, COMUNA DE CUREPTO")</f>
        <v>ASISTENCIA TECNICA, COMUNA DE CUREPTO</v>
      </c>
      <c r="C331" s="10" t="str">
        <f ca="1">IFERROR(__xludf.DUMMYFUNCTION("""COMPUTED_VALUE"""),"7103231001-C")</f>
        <v>7103231001-C</v>
      </c>
      <c r="D331" s="26" t="str">
        <f t="shared" ca="1" si="0"/>
        <v xml:space="preserve"> CUREPTO</v>
      </c>
      <c r="E331" s="10" t="str">
        <f ca="1">IFERROR(__xludf.DUMMYFUNCTION("""COMPUTED_VALUE"""),"Guía Operativa")</f>
        <v>Guía Operativa</v>
      </c>
      <c r="F331" s="10" t="str">
        <f ca="1">IFERROR(__xludf.DUMMYFUNCTION("""COMPUTED_VALUE"""),"MUNICIPALIDAD DE CUREPTO")</f>
        <v>MUNICIPALIDAD DE CUREPTO</v>
      </c>
      <c r="G331" s="71">
        <f ca="1">IFERROR(__xludf.DUMMYFUNCTION("""COMPUTED_VALUE"""),40515444)</f>
        <v>40515444</v>
      </c>
      <c r="H331" s="10" t="str">
        <f ca="1">IFERROR(__xludf.DUMMYFUNCTION("""COMPUTED_VALUE"""),"Resolución")</f>
        <v>Resolución</v>
      </c>
      <c r="I331" s="10" t="str">
        <f ca="1">IFERROR(__xludf.DUMMYFUNCTION("""COMPUTED_VALUE"""),"Asistencia Técnica")</f>
        <v>Asistencia Técnica</v>
      </c>
      <c r="J331" s="10" t="str">
        <f ca="1">IFERROR(__xludf.DUMMYFUNCTION("""COMPUTED_VALUE"""),"Cumplir con normativa y reglamentos internos del programa en base a los objetivos.")</f>
        <v>Cumplir con normativa y reglamentos internos del programa en base a los objetivos.</v>
      </c>
      <c r="K331" s="71">
        <f ca="1">IFERROR(__xludf.DUMMYFUNCTION("""COMPUTED_VALUE"""),10128861)</f>
        <v>10128861</v>
      </c>
      <c r="L331" s="27">
        <f ca="1">IFERROR(__xludf.DUMMYFUNCTION("""COMPUTED_VALUE"""),0.5)</f>
        <v>0.5</v>
      </c>
      <c r="M331" s="10" t="str">
        <f ca="1">IFERROR(__xludf.DUMMYFUNCTION("""COMPUTED_VALUE"""),"11952/2023")</f>
        <v>11952/2023</v>
      </c>
      <c r="N331" s="10" t="str">
        <f ca="1">IFERROR(__xludf.DUMMYFUNCTION("""COMPUTED_VALUE"""),"PMB")</f>
        <v>PMB</v>
      </c>
      <c r="O331" s="59"/>
      <c r="P331" s="1"/>
      <c r="Q331" s="1"/>
      <c r="R331" s="1"/>
      <c r="S331" s="1"/>
      <c r="T331" s="1"/>
      <c r="U331" s="1"/>
      <c r="V331" s="1"/>
      <c r="W331" s="1"/>
      <c r="X331" s="1"/>
      <c r="Y331" s="1"/>
      <c r="Z331" s="1"/>
      <c r="AA331" s="1"/>
    </row>
    <row r="332" spans="1:27" ht="12.75" customHeight="1">
      <c r="A332" s="1"/>
      <c r="B332" s="10" t="str">
        <f ca="1">IFERROR(__xludf.DUMMYFUNCTION("""COMPUTED_VALUE"""),"CONSTRUCCION 7 SOLUCIONES SANITARIAS PARA POBLADORES DE LA COMUNA DE GENERAL LAGOS")</f>
        <v>CONSTRUCCION 7 SOLUCIONES SANITARIAS PARA POBLADORES DE LA COMUNA DE GENERAL LAGOS</v>
      </c>
      <c r="C332" s="10" t="str">
        <f ca="1">IFERROR(__xludf.DUMMYFUNCTION("""COMPUTED_VALUE"""),"15202240701-B")</f>
        <v>15202240701-B</v>
      </c>
      <c r="D332" s="26" t="str">
        <f t="shared" ca="1" si="0"/>
        <v xml:space="preserve"> SAN PABLO</v>
      </c>
      <c r="E332" s="10" t="str">
        <f ca="1">IFERROR(__xludf.DUMMYFUNCTION("""COMPUTED_VALUE"""),"Guía Operativa")</f>
        <v>Guía Operativa</v>
      </c>
      <c r="F332" s="10" t="str">
        <f ca="1">IFERROR(__xludf.DUMMYFUNCTION("""COMPUTED_VALUE"""),"MUNICIPALIDAD DE SAN PABLO")</f>
        <v>MUNICIPALIDAD DE SAN PABLO</v>
      </c>
      <c r="G332" s="71">
        <f ca="1">IFERROR(__xludf.DUMMYFUNCTION("""COMPUTED_VALUE"""),50481492)</f>
        <v>50481492</v>
      </c>
      <c r="H332" s="10" t="str">
        <f ca="1">IFERROR(__xludf.DUMMYFUNCTION("""COMPUTED_VALUE"""),"Resolución")</f>
        <v>Resolución</v>
      </c>
      <c r="I332" s="10" t="str">
        <f ca="1">IFERROR(__xludf.DUMMYFUNCTION("""COMPUTED_VALUE"""),"Obra")</f>
        <v>Obra</v>
      </c>
      <c r="J332" s="10" t="str">
        <f ca="1">IFERROR(__xludf.DUMMYFUNCTION("""COMPUTED_VALUE"""),"Cumplir con normativa y reglamentos internos del programa en base a los objetivos.")</f>
        <v>Cumplir con normativa y reglamentos internos del programa en base a los objetivos.</v>
      </c>
      <c r="K332" s="71">
        <f ca="1">IFERROR(__xludf.DUMMYFUNCTION("""COMPUTED_VALUE"""),49730047)</f>
        <v>49730047</v>
      </c>
      <c r="L332" s="27">
        <f ca="1">IFERROR(__xludf.DUMMYFUNCTION("""COMPUTED_VALUE"""),0.985114445508068)</f>
        <v>0.98511444550806804</v>
      </c>
      <c r="M332" s="10" t="str">
        <f ca="1">IFERROR(__xludf.DUMMYFUNCTION("""COMPUTED_VALUE"""),"2772/2024")</f>
        <v>2772/2024</v>
      </c>
      <c r="N332" s="10" t="str">
        <f ca="1">IFERROR(__xludf.DUMMYFUNCTION("""COMPUTED_VALUE"""),"PMB")</f>
        <v>PMB</v>
      </c>
      <c r="O332" s="59"/>
      <c r="P332" s="1"/>
      <c r="Q332" s="1"/>
      <c r="R332" s="1"/>
      <c r="S332" s="1"/>
      <c r="T332" s="1"/>
      <c r="U332" s="1"/>
      <c r="V332" s="1"/>
      <c r="W332" s="1"/>
      <c r="X332" s="1"/>
      <c r="Y332" s="1"/>
      <c r="Z332" s="1"/>
      <c r="AA332" s="1"/>
    </row>
    <row r="333" spans="1:27" ht="12.75" customHeight="1">
      <c r="A333" s="1"/>
      <c r="B333" s="10" t="str">
        <f ca="1">IFERROR(__xludf.DUMMYFUNCTION("""COMPUTED_VALUE"""),"MANTENCIÓN INTEGRAL SISTEMA ALCANTARILLADO HORNOPIREN, COMUNA DE HUALAIHUE")</f>
        <v>MANTENCIÓN INTEGRAL SISTEMA ALCANTARILLADO HORNOPIREN, COMUNA DE HUALAIHUE</v>
      </c>
      <c r="C333" s="10" t="str">
        <f ca="1">IFERROR(__xludf.DUMMYFUNCTION("""COMPUTED_VALUE"""),"10403240702-B")</f>
        <v>10403240702-B</v>
      </c>
      <c r="D333" s="26" t="s">
        <v>35</v>
      </c>
      <c r="E333" s="10" t="str">
        <f ca="1">IFERROR(__xludf.DUMMYFUNCTION("""COMPUTED_VALUE"""),"Guía Operativa")</f>
        <v>Guía Operativa</v>
      </c>
      <c r="F333" s="10" t="str">
        <f ca="1">IFERROR(__xludf.DUMMYFUNCTION("""COMPUTED_VALUE"""),"ASOCIACIÓN DE MUNICIPALIDADES DE LA REGIÓN DE VALPARAÍSO - ASOMUNISV")</f>
        <v>ASOCIACIÓN DE MUNICIPALIDADES DE LA REGIÓN DE VALPARAÍSO - ASOMUNISV</v>
      </c>
      <c r="G333" s="71">
        <f ca="1">IFERROR(__xludf.DUMMYFUNCTION("""COMPUTED_VALUE"""),59460000)</f>
        <v>59460000</v>
      </c>
      <c r="H333" s="10" t="str">
        <f ca="1">IFERROR(__xludf.DUMMYFUNCTION("""COMPUTED_VALUE"""),"Resolución")</f>
        <v>Resolución</v>
      </c>
      <c r="I333" s="10" t="str">
        <f ca="1">IFERROR(__xludf.DUMMYFUNCTION("""COMPUTED_VALUE"""),"Estudio")</f>
        <v>Estudio</v>
      </c>
      <c r="J333" s="10" t="str">
        <f ca="1">IFERROR(__xludf.DUMMYFUNCTION("""COMPUTED_VALUE"""),"Cumplir con normativa y reglamentos internos del programa en base a los objetivos.")</f>
        <v>Cumplir con normativa y reglamentos internos del programa en base a los objetivos.</v>
      </c>
      <c r="K333" s="71">
        <f ca="1">IFERROR(__xludf.DUMMYFUNCTION("""COMPUTED_VALUE"""),59460000)</f>
        <v>59460000</v>
      </c>
      <c r="L333" s="27">
        <f ca="1">IFERROR(__xludf.DUMMYFUNCTION("""COMPUTED_VALUE"""),1)</f>
        <v>1</v>
      </c>
      <c r="M333" s="10" t="str">
        <f ca="1">IFERROR(__xludf.DUMMYFUNCTION("""COMPUTED_VALUE"""),"8449/2024")</f>
        <v>8449/2024</v>
      </c>
      <c r="N333" s="10" t="str">
        <f ca="1">IFERROR(__xludf.DUMMYFUNCTION("""COMPUTED_VALUE"""),"PMB")</f>
        <v>PMB</v>
      </c>
      <c r="O333" s="59"/>
      <c r="P333" s="1"/>
      <c r="Q333" s="1"/>
      <c r="R333" s="1"/>
      <c r="S333" s="1"/>
      <c r="T333" s="1"/>
      <c r="U333" s="1"/>
      <c r="V333" s="1"/>
      <c r="W333" s="1"/>
      <c r="X333" s="1"/>
      <c r="Y333" s="1"/>
      <c r="Z333" s="1"/>
      <c r="AA333" s="1"/>
    </row>
    <row r="334" spans="1:27" ht="12.75" customHeight="1">
      <c r="A334" s="1"/>
      <c r="B334" s="10" t="str">
        <f ca="1">IFERROR(__xludf.DUMMYFUNCTION("""COMPUTED_VALUE"""),"REPOSICIÓN Y REEMPLAZO EQUIPOS OPERATIVOS PLANTA AGUA POTABLE APR SAN JOSÉ OBRERO, COMUNA DE PIRQUE")</f>
        <v>REPOSICIÓN Y REEMPLAZO EQUIPOS OPERATIVOS PLANTA AGUA POTABLE APR SAN JOSÉ OBRERO, COMUNA DE PIRQUE</v>
      </c>
      <c r="C334" s="10" t="str">
        <f ca="1">IFERROR(__xludf.DUMMYFUNCTION("""COMPUTED_VALUE"""),"13202240702-B")</f>
        <v>13202240702-B</v>
      </c>
      <c r="D334" s="26" t="str">
        <f t="shared" ref="D334:D362" ca="1" si="1">MID(F334,17,30)</f>
        <v xml:space="preserve"> RÍO NEGRO</v>
      </c>
      <c r="E334" s="10" t="str">
        <f ca="1">IFERROR(__xludf.DUMMYFUNCTION("""COMPUTED_VALUE"""),"Guía Operativa")</f>
        <v>Guía Operativa</v>
      </c>
      <c r="F334" s="10" t="str">
        <f ca="1">IFERROR(__xludf.DUMMYFUNCTION("""COMPUTED_VALUE"""),"MUNICIPALIDAD DE RÍO NEGRO")</f>
        <v>MUNICIPALIDAD DE RÍO NEGRO</v>
      </c>
      <c r="G334" s="71">
        <f ca="1">IFERROR(__xludf.DUMMYFUNCTION("""COMPUTED_VALUE"""),18384610)</f>
        <v>18384610</v>
      </c>
      <c r="H334" s="10" t="str">
        <f ca="1">IFERROR(__xludf.DUMMYFUNCTION("""COMPUTED_VALUE"""),"Resolución")</f>
        <v>Resolución</v>
      </c>
      <c r="I334" s="10" t="str">
        <f ca="1">IFERROR(__xludf.DUMMYFUNCTION("""COMPUTED_VALUE"""),"Obra")</f>
        <v>Obra</v>
      </c>
      <c r="J334" s="10" t="str">
        <f ca="1">IFERROR(__xludf.DUMMYFUNCTION("""COMPUTED_VALUE"""),"Cumplir con normativa y reglamentos internos del programa en base a los objetivos.")</f>
        <v>Cumplir con normativa y reglamentos internos del programa en base a los objetivos.</v>
      </c>
      <c r="K334" s="71">
        <f ca="1">IFERROR(__xludf.DUMMYFUNCTION("""COMPUTED_VALUE"""),18384610)</f>
        <v>18384610</v>
      </c>
      <c r="L334" s="27">
        <f ca="1">IFERROR(__xludf.DUMMYFUNCTION("""COMPUTED_VALUE"""),1)</f>
        <v>1</v>
      </c>
      <c r="M334" s="10" t="str">
        <f ca="1">IFERROR(__xludf.DUMMYFUNCTION("""COMPUTED_VALUE"""),"7480/2024")</f>
        <v>7480/2024</v>
      </c>
      <c r="N334" s="10" t="str">
        <f ca="1">IFERROR(__xludf.DUMMYFUNCTION("""COMPUTED_VALUE"""),"PMB")</f>
        <v>PMB</v>
      </c>
      <c r="O334" s="59"/>
      <c r="P334" s="1"/>
      <c r="Q334" s="1"/>
      <c r="R334" s="1"/>
      <c r="S334" s="1"/>
      <c r="T334" s="1"/>
      <c r="U334" s="1"/>
      <c r="V334" s="1"/>
      <c r="W334" s="1"/>
      <c r="X334" s="1"/>
      <c r="Y334" s="1"/>
      <c r="Z334" s="1"/>
      <c r="AA334" s="1"/>
    </row>
    <row r="335" spans="1:27" ht="12.75" customHeight="1">
      <c r="A335" s="1"/>
      <c r="B335" s="10" t="str">
        <f ca="1">IFERROR(__xludf.DUMMYFUNCTION("""COMPUTED_VALUE"""),"AMPLIACIÓN DEL APR GABRIELA MISTRAL PARA EL SECTOR SATURNO")</f>
        <v>AMPLIACIÓN DEL APR GABRIELA MISTRAL PARA EL SECTOR SATURNO</v>
      </c>
      <c r="C335" s="10" t="str">
        <f ca="1">IFERROR(__xludf.DUMMYFUNCTION("""COMPUTED_VALUE"""),"4101200701-C [FET]")</f>
        <v>4101200701-C [FET]</v>
      </c>
      <c r="D335" s="26" t="str">
        <f t="shared" ca="1" si="1"/>
        <v xml:space="preserve"> YERBAS BUENAS</v>
      </c>
      <c r="E335" s="10" t="str">
        <f ca="1">IFERROR(__xludf.DUMMYFUNCTION("""COMPUTED_VALUE"""),"Guía Operativa")</f>
        <v>Guía Operativa</v>
      </c>
      <c r="F335" s="10" t="str">
        <f ca="1">IFERROR(__xludf.DUMMYFUNCTION("""COMPUTED_VALUE"""),"MUNICIPALIDAD DE YERBAS BUENAS")</f>
        <v>MUNICIPALIDAD DE YERBAS BUENAS</v>
      </c>
      <c r="G335" s="71">
        <f ca="1">IFERROR(__xludf.DUMMYFUNCTION("""COMPUTED_VALUE"""),39000000)</f>
        <v>39000000</v>
      </c>
      <c r="H335" s="10" t="str">
        <f ca="1">IFERROR(__xludf.DUMMYFUNCTION("""COMPUTED_VALUE"""),"Resolución")</f>
        <v>Resolución</v>
      </c>
      <c r="I335" s="10" t="str">
        <f ca="1">IFERROR(__xludf.DUMMYFUNCTION("""COMPUTED_VALUE"""),"Asistencia Legal")</f>
        <v>Asistencia Legal</v>
      </c>
      <c r="J335" s="10" t="str">
        <f ca="1">IFERROR(__xludf.DUMMYFUNCTION("""COMPUTED_VALUE"""),"Cumplir con normativa y reglamentos internos del programa en base a los objetivos.")</f>
        <v>Cumplir con normativa y reglamentos internos del programa en base a los objetivos.</v>
      </c>
      <c r="K335" s="71">
        <f ca="1">IFERROR(__xludf.DUMMYFUNCTION("""COMPUTED_VALUE"""),9500000)</f>
        <v>9500000</v>
      </c>
      <c r="L335" s="27">
        <f ca="1">IFERROR(__xludf.DUMMYFUNCTION("""COMPUTED_VALUE"""),0.243589743589743)</f>
        <v>0.243589743589743</v>
      </c>
      <c r="M335" s="10" t="str">
        <f ca="1">IFERROR(__xludf.DUMMYFUNCTION("""COMPUTED_VALUE"""),"8473/2024")</f>
        <v>8473/2024</v>
      </c>
      <c r="N335" s="10" t="str">
        <f ca="1">IFERROR(__xludf.DUMMYFUNCTION("""COMPUTED_VALUE"""),"PMB")</f>
        <v>PMB</v>
      </c>
      <c r="O335" s="59"/>
      <c r="P335" s="1"/>
      <c r="Q335" s="1"/>
      <c r="R335" s="1"/>
      <c r="S335" s="1"/>
      <c r="T335" s="1"/>
      <c r="U335" s="1"/>
      <c r="V335" s="1"/>
      <c r="W335" s="1"/>
      <c r="X335" s="1"/>
      <c r="Y335" s="1"/>
      <c r="Z335" s="1"/>
      <c r="AA335" s="1"/>
    </row>
    <row r="336" spans="1:27" ht="12.75" customHeight="1">
      <c r="A336" s="1"/>
      <c r="B336" s="10" t="str">
        <f ca="1">IFERROR(__xludf.DUMMYFUNCTION("""COMPUTED_VALUE"""),"CONSTRUCCION SISTEMA DE AGUA POTABLE RURAL  DE PALMILLA, COMUNA DE NACIMIENTO")</f>
        <v>CONSTRUCCION SISTEMA DE AGUA POTABLE RURAL  DE PALMILLA, COMUNA DE NACIMIENTO</v>
      </c>
      <c r="C336" s="10" t="str">
        <f ca="1">IFERROR(__xludf.DUMMYFUNCTION("""COMPUTED_VALUE"""),"8306190701-C")</f>
        <v>8306190701-C</v>
      </c>
      <c r="D336" s="26" t="str">
        <f t="shared" ca="1" si="1"/>
        <v xml:space="preserve"> CISNES</v>
      </c>
      <c r="E336" s="10" t="str">
        <f ca="1">IFERROR(__xludf.DUMMYFUNCTION("""COMPUTED_VALUE"""),"Guía Operativa")</f>
        <v>Guía Operativa</v>
      </c>
      <c r="F336" s="10" t="str">
        <f ca="1">IFERROR(__xludf.DUMMYFUNCTION("""COMPUTED_VALUE"""),"MUNICIPALIDAD DE CISNES")</f>
        <v>MUNICIPALIDAD DE CISNES</v>
      </c>
      <c r="G336" s="71">
        <f ca="1">IFERROR(__xludf.DUMMYFUNCTION("""COMPUTED_VALUE"""),270403764)</f>
        <v>270403764</v>
      </c>
      <c r="H336" s="10" t="str">
        <f ca="1">IFERROR(__xludf.DUMMYFUNCTION("""COMPUTED_VALUE"""),"Resolución")</f>
        <v>Resolución</v>
      </c>
      <c r="I336" s="10" t="str">
        <f ca="1">IFERROR(__xludf.DUMMYFUNCTION("""COMPUTED_VALUE"""),"Obra")</f>
        <v>Obra</v>
      </c>
      <c r="J336" s="10" t="str">
        <f ca="1">IFERROR(__xludf.DUMMYFUNCTION("""COMPUTED_VALUE"""),"Cumplir con normativa y reglamentos internos del programa en base a los objetivos.")</f>
        <v>Cumplir con normativa y reglamentos internos del programa en base a los objetivos.</v>
      </c>
      <c r="K336" s="71">
        <f ca="1">IFERROR(__xludf.DUMMYFUNCTION("""COMPUTED_VALUE"""),270403764)</f>
        <v>270403764</v>
      </c>
      <c r="L336" s="27">
        <f ca="1">IFERROR(__xludf.DUMMYFUNCTION("""COMPUTED_VALUE"""),1)</f>
        <v>1</v>
      </c>
      <c r="M336" s="10" t="str">
        <f ca="1">IFERROR(__xludf.DUMMYFUNCTION("""COMPUTED_VALUE"""),"9888/2024")</f>
        <v>9888/2024</v>
      </c>
      <c r="N336" s="10" t="str">
        <f ca="1">IFERROR(__xludf.DUMMYFUNCTION("""COMPUTED_VALUE"""),"PMB")</f>
        <v>PMB</v>
      </c>
      <c r="O336" s="59"/>
      <c r="P336" s="1"/>
      <c r="Q336" s="1"/>
      <c r="R336" s="1"/>
      <c r="S336" s="1"/>
      <c r="T336" s="1"/>
      <c r="U336" s="1"/>
      <c r="V336" s="1"/>
      <c r="W336" s="1"/>
      <c r="X336" s="1"/>
      <c r="Y336" s="1"/>
      <c r="Z336" s="1"/>
      <c r="AA336" s="1"/>
    </row>
    <row r="337" spans="1:27" ht="12.75" customHeight="1">
      <c r="A337" s="1"/>
      <c r="B337" s="10" t="str">
        <f ca="1">IFERROR(__xludf.DUMMYFUNCTION("""COMPUTED_VALUE"""),"CONSTRUCCIÓN ALUMBRADO PÚBLICO AVENIDA OGANA")</f>
        <v>CONSTRUCCIÓN ALUMBRADO PÚBLICO AVENIDA OGANA</v>
      </c>
      <c r="C337" s="10" t="str">
        <f ca="1">IFERROR(__xludf.DUMMYFUNCTION("""COMPUTED_VALUE"""),"11101220704-C")</f>
        <v>11101220704-C</v>
      </c>
      <c r="D337" s="26" t="str">
        <f t="shared" ca="1" si="1"/>
        <v xml:space="preserve"> COYHAIQUE</v>
      </c>
      <c r="E337" s="10" t="str">
        <f ca="1">IFERROR(__xludf.DUMMYFUNCTION("""COMPUTED_VALUE"""),"Guía Operativa")</f>
        <v>Guía Operativa</v>
      </c>
      <c r="F337" s="10" t="str">
        <f ca="1">IFERROR(__xludf.DUMMYFUNCTION("""COMPUTED_VALUE"""),"MUNICIPALIDAD DE COYHAIQUE")</f>
        <v>MUNICIPALIDAD DE COYHAIQUE</v>
      </c>
      <c r="G337" s="71">
        <f ca="1">IFERROR(__xludf.DUMMYFUNCTION("""COMPUTED_VALUE"""),152398864)</f>
        <v>152398864</v>
      </c>
      <c r="H337" s="10" t="str">
        <f ca="1">IFERROR(__xludf.DUMMYFUNCTION("""COMPUTED_VALUE"""),"Resolución")</f>
        <v>Resolución</v>
      </c>
      <c r="I337" s="10" t="str">
        <f ca="1">IFERROR(__xludf.DUMMYFUNCTION("""COMPUTED_VALUE"""),"Obra")</f>
        <v>Obra</v>
      </c>
      <c r="J337" s="10" t="str">
        <f ca="1">IFERROR(__xludf.DUMMYFUNCTION("""COMPUTED_VALUE"""),"Cumplir con normativa y reglamentos internos del programa en base a los objetivos.")</f>
        <v>Cumplir con normativa y reglamentos internos del programa en base a los objetivos.</v>
      </c>
      <c r="K337" s="71">
        <f ca="1">IFERROR(__xludf.DUMMYFUNCTION("""COMPUTED_VALUE"""),152398864)</f>
        <v>152398864</v>
      </c>
      <c r="L337" s="27">
        <f ca="1">IFERROR(__xludf.DUMMYFUNCTION("""COMPUTED_VALUE"""),1)</f>
        <v>1</v>
      </c>
      <c r="M337" s="10" t="str">
        <f ca="1">IFERROR(__xludf.DUMMYFUNCTION("""COMPUTED_VALUE"""),"9633/2024")</f>
        <v>9633/2024</v>
      </c>
      <c r="N337" s="10" t="str">
        <f ca="1">IFERROR(__xludf.DUMMYFUNCTION("""COMPUTED_VALUE"""),"PMB")</f>
        <v>PMB</v>
      </c>
      <c r="O337" s="59"/>
      <c r="P337" s="1"/>
      <c r="Q337" s="1"/>
      <c r="R337" s="1"/>
      <c r="S337" s="1"/>
      <c r="T337" s="1"/>
      <c r="U337" s="1"/>
      <c r="V337" s="1"/>
      <c r="W337" s="1"/>
      <c r="X337" s="1"/>
      <c r="Y337" s="1"/>
      <c r="Z337" s="1"/>
      <c r="AA337" s="1"/>
    </row>
    <row r="338" spans="1:27" ht="12.75" customHeight="1">
      <c r="A338" s="1"/>
      <c r="B338" s="10" t="str">
        <f ca="1">IFERROR(__xludf.DUMMYFUNCTION("""COMPUTED_VALUE"""),"CONSTRUCCIÓN ALUMBRADO PÚBLICO BY PASS")</f>
        <v>CONSTRUCCIÓN ALUMBRADO PÚBLICO BY PASS</v>
      </c>
      <c r="C338" s="10" t="str">
        <f ca="1">IFERROR(__xludf.DUMMYFUNCTION("""COMPUTED_VALUE"""),"11101220705-C")</f>
        <v>11101220705-C</v>
      </c>
      <c r="D338" s="26" t="str">
        <f t="shared" ca="1" si="1"/>
        <v xml:space="preserve"> COYHAIQUE</v>
      </c>
      <c r="E338" s="10" t="str">
        <f ca="1">IFERROR(__xludf.DUMMYFUNCTION("""COMPUTED_VALUE"""),"Guía Operativa")</f>
        <v>Guía Operativa</v>
      </c>
      <c r="F338" s="10" t="str">
        <f ca="1">IFERROR(__xludf.DUMMYFUNCTION("""COMPUTED_VALUE"""),"MUNICIPALIDAD DE COYHAIQUE")</f>
        <v>MUNICIPALIDAD DE COYHAIQUE</v>
      </c>
      <c r="G338" s="71">
        <f ca="1">IFERROR(__xludf.DUMMYFUNCTION("""COMPUTED_VALUE"""),291190538)</f>
        <v>291190538</v>
      </c>
      <c r="H338" s="10" t="str">
        <f ca="1">IFERROR(__xludf.DUMMYFUNCTION("""COMPUTED_VALUE"""),"Resolución")</f>
        <v>Resolución</v>
      </c>
      <c r="I338" s="10" t="str">
        <f ca="1">IFERROR(__xludf.DUMMYFUNCTION("""COMPUTED_VALUE"""),"Obra")</f>
        <v>Obra</v>
      </c>
      <c r="J338" s="10" t="str">
        <f ca="1">IFERROR(__xludf.DUMMYFUNCTION("""COMPUTED_VALUE"""),"Cumplir con normativa y reglamentos internos del programa en base a los objetivos.")</f>
        <v>Cumplir con normativa y reglamentos internos del programa en base a los objetivos.</v>
      </c>
      <c r="K338" s="71">
        <f ca="1">IFERROR(__xludf.DUMMYFUNCTION("""COMPUTED_VALUE"""),291190538)</f>
        <v>291190538</v>
      </c>
      <c r="L338" s="27">
        <f ca="1">IFERROR(__xludf.DUMMYFUNCTION("""COMPUTED_VALUE"""),1)</f>
        <v>1</v>
      </c>
      <c r="M338" s="10" t="str">
        <f ca="1">IFERROR(__xludf.DUMMYFUNCTION("""COMPUTED_VALUE"""),"9671/2024")</f>
        <v>9671/2024</v>
      </c>
      <c r="N338" s="10" t="str">
        <f ca="1">IFERROR(__xludf.DUMMYFUNCTION("""COMPUTED_VALUE"""),"PMB")</f>
        <v>PMB</v>
      </c>
      <c r="O338" s="59"/>
      <c r="P338" s="1"/>
      <c r="Q338" s="1"/>
      <c r="R338" s="1"/>
      <c r="S338" s="1"/>
      <c r="T338" s="1"/>
      <c r="U338" s="1"/>
      <c r="V338" s="1"/>
      <c r="W338" s="1"/>
      <c r="X338" s="1"/>
      <c r="Y338" s="1"/>
      <c r="Z338" s="1"/>
      <c r="AA338" s="1"/>
    </row>
    <row r="339" spans="1:27" ht="12.75" customHeight="1">
      <c r="A339" s="1"/>
      <c r="B339" s="10" t="str">
        <f ca="1">IFERROR(__xludf.DUMMYFUNCTION("""COMPUTED_VALUE"""),"CONSTRUCCIÓN ALUMBRADO PÚBLICO RECTA FOITZICK")</f>
        <v>CONSTRUCCIÓN ALUMBRADO PÚBLICO RECTA FOITZICK</v>
      </c>
      <c r="C339" s="10" t="str">
        <f ca="1">IFERROR(__xludf.DUMMYFUNCTION("""COMPUTED_VALUE"""),"11101220703-C")</f>
        <v>11101220703-C</v>
      </c>
      <c r="D339" s="26" t="str">
        <f t="shared" ca="1" si="1"/>
        <v xml:space="preserve"> COYHAIQUE</v>
      </c>
      <c r="E339" s="10" t="str">
        <f ca="1">IFERROR(__xludf.DUMMYFUNCTION("""COMPUTED_VALUE"""),"Guía Operativa")</f>
        <v>Guía Operativa</v>
      </c>
      <c r="F339" s="10" t="str">
        <f ca="1">IFERROR(__xludf.DUMMYFUNCTION("""COMPUTED_VALUE"""),"MUNICIPALIDAD DE COYHAIQUE")</f>
        <v>MUNICIPALIDAD DE COYHAIQUE</v>
      </c>
      <c r="G339" s="71">
        <f ca="1">IFERROR(__xludf.DUMMYFUNCTION("""COMPUTED_VALUE"""),101971562)</f>
        <v>101971562</v>
      </c>
      <c r="H339" s="10" t="str">
        <f ca="1">IFERROR(__xludf.DUMMYFUNCTION("""COMPUTED_VALUE"""),"Resolución")</f>
        <v>Resolución</v>
      </c>
      <c r="I339" s="10" t="str">
        <f ca="1">IFERROR(__xludf.DUMMYFUNCTION("""COMPUTED_VALUE"""),"Obra")</f>
        <v>Obra</v>
      </c>
      <c r="J339" s="10" t="str">
        <f ca="1">IFERROR(__xludf.DUMMYFUNCTION("""COMPUTED_VALUE"""),"Cumplir con normativa y reglamentos internos del programa en base a los objetivos.")</f>
        <v>Cumplir con normativa y reglamentos internos del programa en base a los objetivos.</v>
      </c>
      <c r="K339" s="71">
        <f ca="1">IFERROR(__xludf.DUMMYFUNCTION("""COMPUTED_VALUE"""),101971562)</f>
        <v>101971562</v>
      </c>
      <c r="L339" s="27">
        <f ca="1">IFERROR(__xludf.DUMMYFUNCTION("""COMPUTED_VALUE"""),1)</f>
        <v>1</v>
      </c>
      <c r="M339" s="10" t="str">
        <f ca="1">IFERROR(__xludf.DUMMYFUNCTION("""COMPUTED_VALUE"""),"9625/2024")</f>
        <v>9625/2024</v>
      </c>
      <c r="N339" s="10" t="str">
        <f ca="1">IFERROR(__xludf.DUMMYFUNCTION("""COMPUTED_VALUE"""),"PMB")</f>
        <v>PMB</v>
      </c>
      <c r="O339" s="59"/>
      <c r="P339" s="1"/>
      <c r="Q339" s="1"/>
      <c r="R339" s="1"/>
      <c r="S339" s="1"/>
      <c r="T339" s="1"/>
      <c r="U339" s="1"/>
      <c r="V339" s="1"/>
      <c r="W339" s="1"/>
      <c r="X339" s="1"/>
      <c r="Y339" s="1"/>
      <c r="Z339" s="1"/>
      <c r="AA339" s="1"/>
    </row>
    <row r="340" spans="1:27" ht="12.75" customHeight="1">
      <c r="A340" s="1"/>
      <c r="B340" s="10" t="str">
        <f ca="1">IFERROR(__xludf.DUMMYFUNCTION("""COMPUTED_VALUE"""),"AMPLIACION SERVICIO APR QUILACAHUIN - BELLAVISTA , COMUNA SAN PABLO")</f>
        <v>AMPLIACION SERVICIO APR QUILACAHUIN - BELLAVISTA , COMUNA SAN PABLO</v>
      </c>
      <c r="C340" s="10" t="str">
        <f ca="1">IFERROR(__xludf.DUMMYFUNCTION("""COMPUTED_VALUE"""),"10307220702-C")</f>
        <v>10307220702-C</v>
      </c>
      <c r="D340" s="26" t="str">
        <f t="shared" ca="1" si="1"/>
        <v xml:space="preserve"> MULCHÉN</v>
      </c>
      <c r="E340" s="10" t="str">
        <f ca="1">IFERROR(__xludf.DUMMYFUNCTION("""COMPUTED_VALUE"""),"Guía Operativa")</f>
        <v>Guía Operativa</v>
      </c>
      <c r="F340" s="10" t="str">
        <f ca="1">IFERROR(__xludf.DUMMYFUNCTION("""COMPUTED_VALUE"""),"MUNICIPALIDAD DE MULCHÉN")</f>
        <v>MUNICIPALIDAD DE MULCHÉN</v>
      </c>
      <c r="G340" s="71">
        <f ca="1">IFERROR(__xludf.DUMMYFUNCTION("""COMPUTED_VALUE"""),76308168)</f>
        <v>76308168</v>
      </c>
      <c r="H340" s="10" t="str">
        <f ca="1">IFERROR(__xludf.DUMMYFUNCTION("""COMPUTED_VALUE"""),"Resolución")</f>
        <v>Resolución</v>
      </c>
      <c r="I340" s="10" t="str">
        <f ca="1">IFERROR(__xludf.DUMMYFUNCTION("""COMPUTED_VALUE"""),"Asistencia Técnica")</f>
        <v>Asistencia Técnica</v>
      </c>
      <c r="J340" s="10" t="str">
        <f ca="1">IFERROR(__xludf.DUMMYFUNCTION("""COMPUTED_VALUE"""),"Cumplir con normativa y reglamentos internos del programa en base a los objetivos.")</f>
        <v>Cumplir con normativa y reglamentos internos del programa en base a los objetivos.</v>
      </c>
      <c r="K340" s="71">
        <f ca="1">IFERROR(__xludf.DUMMYFUNCTION("""COMPUTED_VALUE"""),76308168)</f>
        <v>76308168</v>
      </c>
      <c r="L340" s="27">
        <f ca="1">IFERROR(__xludf.DUMMYFUNCTION("""COMPUTED_VALUE"""),1)</f>
        <v>1</v>
      </c>
      <c r="M340" s="10" t="str">
        <f ca="1">IFERROR(__xludf.DUMMYFUNCTION("""COMPUTED_VALUE"""),"10001/2024")</f>
        <v>10001/2024</v>
      </c>
      <c r="N340" s="10" t="str">
        <f ca="1">IFERROR(__xludf.DUMMYFUNCTION("""COMPUTED_VALUE"""),"PMB")</f>
        <v>PMB</v>
      </c>
      <c r="O340" s="59"/>
      <c r="P340" s="1"/>
      <c r="Q340" s="1"/>
      <c r="R340" s="1"/>
      <c r="S340" s="1"/>
      <c r="T340" s="1"/>
      <c r="U340" s="1"/>
      <c r="V340" s="1"/>
      <c r="W340" s="1"/>
      <c r="X340" s="1"/>
      <c r="Y340" s="1"/>
      <c r="Z340" s="1"/>
      <c r="AA340" s="1"/>
    </row>
    <row r="341" spans="1:27" ht="12.75" customHeight="1">
      <c r="A341" s="1"/>
      <c r="B341" s="10" t="str">
        <f ca="1">IFERROR(__xludf.DUMMYFUNCTION("""COMPUTED_VALUE"""),"MEJORAMIENTO CAPTACIÓN Y DISTRIBUCIÓN APR MILLANTUE, COMUNA DE RÍO NEGRO REGIÓN DE LOS LAGOS")</f>
        <v>MEJORAMIENTO CAPTACIÓN Y DISTRIBUCIÓN APR MILLANTUE, COMUNA DE RÍO NEGRO REGIÓN DE LOS LAGOS</v>
      </c>
      <c r="C341" s="10" t="str">
        <f ca="1">IFERROR(__xludf.DUMMYFUNCTION("""COMPUTED_VALUE"""),"10305230701-C")</f>
        <v>10305230701-C</v>
      </c>
      <c r="D341" s="26" t="str">
        <f t="shared" ca="1" si="1"/>
        <v xml:space="preserve"> GENERAL LAGOS</v>
      </c>
      <c r="E341" s="10" t="str">
        <f ca="1">IFERROR(__xludf.DUMMYFUNCTION("""COMPUTED_VALUE"""),"Guía Operativa")</f>
        <v>Guía Operativa</v>
      </c>
      <c r="F341" s="10" t="str">
        <f ca="1">IFERROR(__xludf.DUMMYFUNCTION("""COMPUTED_VALUE"""),"MUNICIPALIDAD DE GENERAL LAGOS")</f>
        <v>MUNICIPALIDAD DE GENERAL LAGOS</v>
      </c>
      <c r="G341" s="71">
        <f ca="1">IFERROR(__xludf.DUMMYFUNCTION("""COMPUTED_VALUE"""),87219241)</f>
        <v>87219241</v>
      </c>
      <c r="H341" s="10" t="str">
        <f ca="1">IFERROR(__xludf.DUMMYFUNCTION("""COMPUTED_VALUE"""),"Resolución")</f>
        <v>Resolución</v>
      </c>
      <c r="I341" s="10" t="str">
        <f ca="1">IFERROR(__xludf.DUMMYFUNCTION("""COMPUTED_VALUE"""),"Obra")</f>
        <v>Obra</v>
      </c>
      <c r="J341" s="10" t="str">
        <f ca="1">IFERROR(__xludf.DUMMYFUNCTION("""COMPUTED_VALUE"""),"Cumplir con normativa y reglamentos internos del programa en base a los objetivos.")</f>
        <v>Cumplir con normativa y reglamentos internos del programa en base a los objetivos.</v>
      </c>
      <c r="K341" s="71">
        <f ca="1">IFERROR(__xludf.DUMMYFUNCTION("""COMPUTED_VALUE"""),87219241)</f>
        <v>87219241</v>
      </c>
      <c r="L341" s="27">
        <f ca="1">IFERROR(__xludf.DUMMYFUNCTION("""COMPUTED_VALUE"""),1)</f>
        <v>1</v>
      </c>
      <c r="M341" s="10" t="str">
        <f ca="1">IFERROR(__xludf.DUMMYFUNCTION("""COMPUTED_VALUE"""),"10795/2024")</f>
        <v>10795/2024</v>
      </c>
      <c r="N341" s="10" t="str">
        <f ca="1">IFERROR(__xludf.DUMMYFUNCTION("""COMPUTED_VALUE"""),"PMB")</f>
        <v>PMB</v>
      </c>
      <c r="O341" s="59"/>
      <c r="P341" s="1"/>
      <c r="Q341" s="1"/>
      <c r="R341" s="1"/>
      <c r="S341" s="1"/>
      <c r="T341" s="1"/>
      <c r="U341" s="1"/>
      <c r="V341" s="1"/>
      <c r="W341" s="1"/>
      <c r="X341" s="1"/>
      <c r="Y341" s="1"/>
      <c r="Z341" s="1"/>
      <c r="AA341" s="1"/>
    </row>
    <row r="342" spans="1:27" ht="12.75" customHeight="1">
      <c r="A342" s="1"/>
      <c r="B342" s="10" t="str">
        <f ca="1">IFERROR(__xludf.DUMMYFUNCTION("""COMPUTED_VALUE"""),"CONSTRUCCION Y MEJORAMIENTO DE RED ELECTRICA DE CALETA PUERTO MONTT Y CALETA PUYUHUAPI")</f>
        <v>CONSTRUCCION Y MEJORAMIENTO DE RED ELECTRICA DE CALETA PUERTO MONTT Y CALETA PUYUHUAPI</v>
      </c>
      <c r="C342" s="10" t="str">
        <f ca="1">IFERROR(__xludf.DUMMYFUNCTION("""COMPUTED_VALUE"""),"11202240705-C")</f>
        <v>11202240705-C</v>
      </c>
      <c r="D342" s="26" t="str">
        <f t="shared" ca="1" si="1"/>
        <v xml:space="preserve"> RÍO NEGRO</v>
      </c>
      <c r="E342" s="10" t="str">
        <f ca="1">IFERROR(__xludf.DUMMYFUNCTION("""COMPUTED_VALUE"""),"Guía Operativa")</f>
        <v>Guía Operativa</v>
      </c>
      <c r="F342" s="10" t="str">
        <f ca="1">IFERROR(__xludf.DUMMYFUNCTION("""COMPUTED_VALUE"""),"MUNICIPALIDAD DE RÍO NEGRO")</f>
        <v>MUNICIPALIDAD DE RÍO NEGRO</v>
      </c>
      <c r="G342" s="71">
        <f ca="1">IFERROR(__xludf.DUMMYFUNCTION("""COMPUTED_VALUE"""),90000000)</f>
        <v>90000000</v>
      </c>
      <c r="H342" s="10" t="str">
        <f ca="1">IFERROR(__xludf.DUMMYFUNCTION("""COMPUTED_VALUE"""),"Resolución")</f>
        <v>Resolución</v>
      </c>
      <c r="I342" s="10" t="str">
        <f ca="1">IFERROR(__xludf.DUMMYFUNCTION("""COMPUTED_VALUE"""),"Obra")</f>
        <v>Obra</v>
      </c>
      <c r="J342" s="10" t="str">
        <f ca="1">IFERROR(__xludf.DUMMYFUNCTION("""COMPUTED_VALUE"""),"Cumplir con normativa y reglamentos internos del programa en base a los objetivos.")</f>
        <v>Cumplir con normativa y reglamentos internos del programa en base a los objetivos.</v>
      </c>
      <c r="K342" s="71">
        <f ca="1">IFERROR(__xludf.DUMMYFUNCTION("""COMPUTED_VALUE"""),90000000)</f>
        <v>90000000</v>
      </c>
      <c r="L342" s="27">
        <f ca="1">IFERROR(__xludf.DUMMYFUNCTION("""COMPUTED_VALUE"""),1)</f>
        <v>1</v>
      </c>
      <c r="M342" s="10" t="str">
        <f ca="1">IFERROR(__xludf.DUMMYFUNCTION("""COMPUTED_VALUE"""),"10964/2024")</f>
        <v>10964/2024</v>
      </c>
      <c r="N342" s="10" t="str">
        <f ca="1">IFERROR(__xludf.DUMMYFUNCTION("""COMPUTED_VALUE"""),"PMB")</f>
        <v>PMB</v>
      </c>
      <c r="O342" s="59"/>
      <c r="P342" s="1"/>
      <c r="Q342" s="1"/>
      <c r="R342" s="1"/>
      <c r="S342" s="1"/>
      <c r="T342" s="1"/>
      <c r="U342" s="1"/>
      <c r="V342" s="1"/>
      <c r="W342" s="1"/>
      <c r="X342" s="1"/>
      <c r="Y342" s="1"/>
      <c r="Z342" s="1"/>
      <c r="AA342" s="1"/>
    </row>
    <row r="343" spans="1:27" ht="12.75" customHeight="1">
      <c r="A343" s="1"/>
      <c r="B343" s="10" t="str">
        <f ca="1">IFERROR(__xludf.DUMMYFUNCTION("""COMPUTED_VALUE"""),"CONSTRUCCIÓN ALUMBRADO PEATONAL AV. DEPARTAMENTAL PONIENTE, COMUNA DE SAN MIGUEL")</f>
        <v>CONSTRUCCIÓN ALUMBRADO PEATONAL AV. DEPARTAMENTAL PONIENTE, COMUNA DE SAN MIGUEL</v>
      </c>
      <c r="C343" s="10" t="str">
        <f ca="1">IFERROR(__xludf.DUMMYFUNCTION("""COMPUTED_VALUE"""),"13130240703-C")</f>
        <v>13130240703-C</v>
      </c>
      <c r="D343" s="26" t="str">
        <f t="shared" ca="1" si="1"/>
        <v xml:space="preserve"> HUALAIHUÉ</v>
      </c>
      <c r="E343" s="10" t="str">
        <f ca="1">IFERROR(__xludf.DUMMYFUNCTION("""COMPUTED_VALUE"""),"Guía Operativa")</f>
        <v>Guía Operativa</v>
      </c>
      <c r="F343" s="10" t="str">
        <f ca="1">IFERROR(__xludf.DUMMYFUNCTION("""COMPUTED_VALUE"""),"MUNICIPALIDAD DE HUALAIHUÉ")</f>
        <v>MUNICIPALIDAD DE HUALAIHUÉ</v>
      </c>
      <c r="G343" s="71">
        <f ca="1">IFERROR(__xludf.DUMMYFUNCTION("""COMPUTED_VALUE"""),90000000)</f>
        <v>90000000</v>
      </c>
      <c r="H343" s="10" t="str">
        <f ca="1">IFERROR(__xludf.DUMMYFUNCTION("""COMPUTED_VALUE"""),"Resolución")</f>
        <v>Resolución</v>
      </c>
      <c r="I343" s="10" t="str">
        <f ca="1">IFERROR(__xludf.DUMMYFUNCTION("""COMPUTED_VALUE"""),"Obra")</f>
        <v>Obra</v>
      </c>
      <c r="J343" s="10" t="str">
        <f ca="1">IFERROR(__xludf.DUMMYFUNCTION("""COMPUTED_VALUE"""),"Cumplir con normativa y reglamentos internos del programa en base a los objetivos.")</f>
        <v>Cumplir con normativa y reglamentos internos del programa en base a los objetivos.</v>
      </c>
      <c r="K343" s="71">
        <f ca="1">IFERROR(__xludf.DUMMYFUNCTION("""COMPUTED_VALUE"""),90000000)</f>
        <v>90000000</v>
      </c>
      <c r="L343" s="27">
        <f ca="1">IFERROR(__xludf.DUMMYFUNCTION("""COMPUTED_VALUE"""),1)</f>
        <v>1</v>
      </c>
      <c r="M343" s="10" t="str">
        <f ca="1">IFERROR(__xludf.DUMMYFUNCTION("""COMPUTED_VALUE"""),"10794/2024")</f>
        <v>10794/2024</v>
      </c>
      <c r="N343" s="10" t="str">
        <f ca="1">IFERROR(__xludf.DUMMYFUNCTION("""COMPUTED_VALUE"""),"PMB")</f>
        <v>PMB</v>
      </c>
      <c r="O343" s="59"/>
      <c r="P343" s="1"/>
      <c r="Q343" s="1"/>
      <c r="R343" s="1"/>
      <c r="S343" s="1"/>
      <c r="T343" s="1"/>
      <c r="U343" s="1"/>
      <c r="V343" s="1"/>
      <c r="W343" s="1"/>
      <c r="X343" s="1"/>
      <c r="Y343" s="1"/>
      <c r="Z343" s="1"/>
      <c r="AA343" s="1"/>
    </row>
    <row r="344" spans="1:27" ht="12.75" customHeight="1">
      <c r="A344" s="1"/>
      <c r="B344" s="10" t="str">
        <f ca="1">IFERROR(__xludf.DUMMYFUNCTION("""COMPUTED_VALUE"""),"ASISTENCIA TECNICA PARA LA FORMULACION Y POSTULACION DE INICIATIVAS EN LA COMUNA DE MULCHEN")</f>
        <v>ASISTENCIA TECNICA PARA LA FORMULACION Y POSTULACION DE INICIATIVAS EN LA COMUNA DE MULCHEN</v>
      </c>
      <c r="C344" s="10" t="str">
        <f ca="1">IFERROR(__xludf.DUMMYFUNCTION("""COMPUTED_VALUE"""),"8305241001-C")</f>
        <v>8305241001-C</v>
      </c>
      <c r="D344" s="26" t="str">
        <f t="shared" ca="1" si="1"/>
        <v xml:space="preserve"> LOS ÁNGELES</v>
      </c>
      <c r="E344" s="10" t="str">
        <f ca="1">IFERROR(__xludf.DUMMYFUNCTION("""COMPUTED_VALUE"""),"Guía Operativa")</f>
        <v>Guía Operativa</v>
      </c>
      <c r="F344" s="10" t="str">
        <f ca="1">IFERROR(__xludf.DUMMYFUNCTION("""COMPUTED_VALUE"""),"MUNICIPALIDAD DE LOS ÁNGELES")</f>
        <v>MUNICIPALIDAD DE LOS ÁNGELES</v>
      </c>
      <c r="G344" s="71">
        <f ca="1">IFERROR(__xludf.DUMMYFUNCTION("""COMPUTED_VALUE"""),71137740)</f>
        <v>71137740</v>
      </c>
      <c r="H344" s="10" t="str">
        <f ca="1">IFERROR(__xludf.DUMMYFUNCTION("""COMPUTED_VALUE"""),"Resolución")</f>
        <v>Resolución</v>
      </c>
      <c r="I344" s="10" t="str">
        <f ca="1">IFERROR(__xludf.DUMMYFUNCTION("""COMPUTED_VALUE"""),"Obra")</f>
        <v>Obra</v>
      </c>
      <c r="J344" s="10" t="str">
        <f ca="1">IFERROR(__xludf.DUMMYFUNCTION("""COMPUTED_VALUE"""),"Cumplir con normativa y reglamentos internos del programa en base a los objetivos.")</f>
        <v>Cumplir con normativa y reglamentos internos del programa en base a los objetivos.</v>
      </c>
      <c r="K344" s="71">
        <f ca="1">IFERROR(__xludf.DUMMYFUNCTION("""COMPUTED_VALUE"""),71137740)</f>
        <v>71137740</v>
      </c>
      <c r="L344" s="27">
        <f ca="1">IFERROR(__xludf.DUMMYFUNCTION("""COMPUTED_VALUE"""),1)</f>
        <v>1</v>
      </c>
      <c r="M344" s="10" t="str">
        <f ca="1">IFERROR(__xludf.DUMMYFUNCTION("""COMPUTED_VALUE"""),"10797/2024")</f>
        <v>10797/2024</v>
      </c>
      <c r="N344" s="10" t="str">
        <f ca="1">IFERROR(__xludf.DUMMYFUNCTION("""COMPUTED_VALUE"""),"PMB")</f>
        <v>PMB</v>
      </c>
      <c r="O344" s="59"/>
      <c r="P344" s="1"/>
      <c r="Q344" s="1"/>
      <c r="R344" s="1"/>
      <c r="S344" s="1"/>
      <c r="T344" s="1"/>
      <c r="U344" s="1"/>
      <c r="V344" s="1"/>
      <c r="W344" s="1"/>
      <c r="X344" s="1"/>
      <c r="Y344" s="1"/>
      <c r="Z344" s="1"/>
      <c r="AA344" s="1"/>
    </row>
    <row r="345" spans="1:27" ht="12.75" customHeight="1">
      <c r="A345" s="1"/>
      <c r="B345" s="10" t="str">
        <f ca="1">IFERROR(__xludf.DUMMYFUNCTION("""COMPUTED_VALUE"""),"CONSTRUCCION OBRAS DE URBANIZACIÓN QUINTAS COCHOLGUE, TOMÉ")</f>
        <v>CONSTRUCCION OBRAS DE URBANIZACIÓN QUINTAS COCHOLGUE, TOMÉ</v>
      </c>
      <c r="C345" s="10" t="str">
        <f ca="1">IFERROR(__xludf.DUMMYFUNCTION("""COMPUTED_VALUE"""),"8111210701-C")</f>
        <v>8111210701-C</v>
      </c>
      <c r="D345" s="26" t="str">
        <f t="shared" ca="1" si="1"/>
        <v xml:space="preserve"> PIRQUE</v>
      </c>
      <c r="E345" s="10" t="str">
        <f ca="1">IFERROR(__xludf.DUMMYFUNCTION("""COMPUTED_VALUE"""),"Guía Operativa")</f>
        <v>Guía Operativa</v>
      </c>
      <c r="F345" s="10" t="str">
        <f ca="1">IFERROR(__xludf.DUMMYFUNCTION("""COMPUTED_VALUE"""),"MUNICIPALIDAD DE PIRQUE")</f>
        <v>MUNICIPALIDAD DE PIRQUE</v>
      </c>
      <c r="G345" s="71">
        <f ca="1">IFERROR(__xludf.DUMMYFUNCTION("""COMPUTED_VALUE"""),118894366)</f>
        <v>118894366</v>
      </c>
      <c r="H345" s="10" t="str">
        <f ca="1">IFERROR(__xludf.DUMMYFUNCTION("""COMPUTED_VALUE"""),"Resolución")</f>
        <v>Resolución</v>
      </c>
      <c r="I345" s="10" t="str">
        <f ca="1">IFERROR(__xludf.DUMMYFUNCTION("""COMPUTED_VALUE"""),"Obra")</f>
        <v>Obra</v>
      </c>
      <c r="J345" s="10" t="str">
        <f ca="1">IFERROR(__xludf.DUMMYFUNCTION("""COMPUTED_VALUE"""),"Cumplir con normativa y reglamentos internos del programa en base a los objetivos.")</f>
        <v>Cumplir con normativa y reglamentos internos del programa en base a los objetivos.</v>
      </c>
      <c r="K345" s="71">
        <f ca="1">IFERROR(__xludf.DUMMYFUNCTION("""COMPUTED_VALUE"""),118894366)</f>
        <v>118894366</v>
      </c>
      <c r="L345" s="27">
        <f ca="1">IFERROR(__xludf.DUMMYFUNCTION("""COMPUTED_VALUE"""),1)</f>
        <v>1</v>
      </c>
      <c r="M345" s="10" t="str">
        <f ca="1">IFERROR(__xludf.DUMMYFUNCTION("""COMPUTED_VALUE"""),"10796/2024")</f>
        <v>10796/2024</v>
      </c>
      <c r="N345" s="10" t="str">
        <f ca="1">IFERROR(__xludf.DUMMYFUNCTION("""COMPUTED_VALUE"""),"PMB")</f>
        <v>PMB</v>
      </c>
      <c r="O345" s="59"/>
      <c r="P345" s="1"/>
      <c r="Q345" s="1"/>
      <c r="R345" s="1"/>
      <c r="S345" s="1"/>
      <c r="T345" s="1"/>
      <c r="U345" s="1"/>
      <c r="V345" s="1"/>
      <c r="W345" s="1"/>
      <c r="X345" s="1"/>
      <c r="Y345" s="1"/>
      <c r="Z345" s="1"/>
      <c r="AA345" s="1"/>
    </row>
    <row r="346" spans="1:27" ht="12.75" customHeight="1">
      <c r="A346" s="1"/>
      <c r="B346" s="10" t="str">
        <f ca="1">IFERROR(__xludf.DUMMYFUNCTION("""COMPUTED_VALUE"""),"SANEAMIENTO SANITARIO, SECTOR SAN GERMÁN, COMUNA DE TOMÉ")</f>
        <v>SANEAMIENTO SANITARIO, SECTOR SAN GERMÁN, COMUNA DE TOMÉ</v>
      </c>
      <c r="C346" s="10" t="str">
        <f ca="1">IFERROR(__xludf.DUMMYFUNCTION("""COMPUTED_VALUE"""),"8111140707-1")</f>
        <v>8111140707-1</v>
      </c>
      <c r="D346" s="26" t="str">
        <f t="shared" ca="1" si="1"/>
        <v xml:space="preserve"> HUALAÑÉ</v>
      </c>
      <c r="E346" s="10" t="str">
        <f ca="1">IFERROR(__xludf.DUMMYFUNCTION("""COMPUTED_VALUE"""),"Guía Operativa")</f>
        <v>Guía Operativa</v>
      </c>
      <c r="F346" s="10" t="str">
        <f ca="1">IFERROR(__xludf.DUMMYFUNCTION("""COMPUTED_VALUE"""),"MUNICIPALIDAD DE HUALAÑÉ")</f>
        <v>MUNICIPALIDAD DE HUALAÑÉ</v>
      </c>
      <c r="G346" s="71">
        <f ca="1">IFERROR(__xludf.DUMMYFUNCTION("""COMPUTED_VALUE"""),303562181)</f>
        <v>303562181</v>
      </c>
      <c r="H346" s="10" t="str">
        <f ca="1">IFERROR(__xludf.DUMMYFUNCTION("""COMPUTED_VALUE"""),"Resolución")</f>
        <v>Resolución</v>
      </c>
      <c r="I346" s="10" t="str">
        <f ca="1">IFERROR(__xludf.DUMMYFUNCTION("""COMPUTED_VALUE"""),"Obra")</f>
        <v>Obra</v>
      </c>
      <c r="J346" s="10" t="str">
        <f ca="1">IFERROR(__xludf.DUMMYFUNCTION("""COMPUTED_VALUE"""),"Cumplir con normativa y reglamentos internos del programa en base a los objetivos.")</f>
        <v>Cumplir con normativa y reglamentos internos del programa en base a los objetivos.</v>
      </c>
      <c r="K346" s="71">
        <f ca="1">IFERROR(__xludf.DUMMYFUNCTION("""COMPUTED_VALUE"""),303562181)</f>
        <v>303562181</v>
      </c>
      <c r="L346" s="27">
        <f ca="1">IFERROR(__xludf.DUMMYFUNCTION("""COMPUTED_VALUE"""),1)</f>
        <v>1</v>
      </c>
      <c r="M346" s="10" t="str">
        <f ca="1">IFERROR(__xludf.DUMMYFUNCTION("""COMPUTED_VALUE"""),"10639/2024")</f>
        <v>10639/2024</v>
      </c>
      <c r="N346" s="10" t="str">
        <f ca="1">IFERROR(__xludf.DUMMYFUNCTION("""COMPUTED_VALUE"""),"PMB")</f>
        <v>PMB</v>
      </c>
      <c r="O346" s="59"/>
      <c r="P346" s="1"/>
      <c r="Q346" s="1"/>
      <c r="R346" s="1"/>
      <c r="S346" s="1"/>
      <c r="T346" s="1"/>
      <c r="U346" s="1"/>
      <c r="V346" s="1"/>
      <c r="W346" s="1"/>
      <c r="X346" s="1"/>
      <c r="Y346" s="1"/>
      <c r="Z346" s="1"/>
      <c r="AA346" s="1"/>
    </row>
    <row r="347" spans="1:27" ht="12.75" customHeight="1">
      <c r="A347" s="1"/>
      <c r="B347" s="10" t="str">
        <f ca="1">IFERROR(__xludf.DUMMYFUNCTION("""COMPUTED_VALUE"""),"“NORMALIZACIÓN DE ALUMBRADO PÚBLICO ENTRE MUELLE DE PIEDRA Y PLAYA LOBO, COMUNA DE TALTAL”")</f>
        <v>“NORMALIZACIÓN DE ALUMBRADO PÚBLICO ENTRE MUELLE DE PIEDRA Y PLAYA LOBO, COMUNA DE TALTAL”</v>
      </c>
      <c r="C347" s="10" t="str">
        <f ca="1">IFERROR(__xludf.DUMMYFUNCTION("""COMPUTED_VALUE"""),"2104240701-C")</f>
        <v>2104240701-C</v>
      </c>
      <c r="D347" s="26" t="str">
        <f t="shared" ca="1" si="1"/>
        <v xml:space="preserve"> TALTAL</v>
      </c>
      <c r="E347" s="10" t="str">
        <f ca="1">IFERROR(__xludf.DUMMYFUNCTION("""COMPUTED_VALUE"""),"Guía Operativa")</f>
        <v>Guía Operativa</v>
      </c>
      <c r="F347" s="10" t="str">
        <f ca="1">IFERROR(__xludf.DUMMYFUNCTION("""COMPUTED_VALUE"""),"MUNICIPALIDAD DE TALTAL")</f>
        <v>MUNICIPALIDAD DE TALTAL</v>
      </c>
      <c r="G347" s="71">
        <f ca="1">IFERROR(__xludf.DUMMYFUNCTION("""COMPUTED_VALUE"""),299233556)</f>
        <v>299233556</v>
      </c>
      <c r="H347" s="10" t="str">
        <f ca="1">IFERROR(__xludf.DUMMYFUNCTION("""COMPUTED_VALUE"""),"Resolución")</f>
        <v>Resolución</v>
      </c>
      <c r="I347" s="10" t="str">
        <f ca="1">IFERROR(__xludf.DUMMYFUNCTION("""COMPUTED_VALUE"""),"Obra")</f>
        <v>Obra</v>
      </c>
      <c r="J347" s="10" t="str">
        <f ca="1">IFERROR(__xludf.DUMMYFUNCTION("""COMPUTED_VALUE"""),"Cumplir con normativa y reglamentos internos del programa en base a los objetivos.")</f>
        <v>Cumplir con normativa y reglamentos internos del programa en base a los objetivos.</v>
      </c>
      <c r="K347" s="71">
        <f ca="1">IFERROR(__xludf.DUMMYFUNCTION("""COMPUTED_VALUE"""),299233556)</f>
        <v>299233556</v>
      </c>
      <c r="L347" s="27">
        <f ca="1">IFERROR(__xludf.DUMMYFUNCTION("""COMPUTED_VALUE"""),1)</f>
        <v>1</v>
      </c>
      <c r="M347" s="10" t="str">
        <f ca="1">IFERROR(__xludf.DUMMYFUNCTION("""COMPUTED_VALUE"""),"10646/2024")</f>
        <v>10646/2024</v>
      </c>
      <c r="N347" s="10" t="str">
        <f ca="1">IFERROR(__xludf.DUMMYFUNCTION("""COMPUTED_VALUE"""),"PMB")</f>
        <v>PMB</v>
      </c>
      <c r="O347" s="59"/>
      <c r="P347" s="1"/>
      <c r="Q347" s="1"/>
      <c r="R347" s="1"/>
      <c r="S347" s="1"/>
      <c r="T347" s="1"/>
      <c r="U347" s="1"/>
      <c r="V347" s="1"/>
      <c r="W347" s="1"/>
      <c r="X347" s="1"/>
      <c r="Y347" s="1"/>
      <c r="Z347" s="1"/>
      <c r="AA347" s="1"/>
    </row>
    <row r="348" spans="1:27" ht="12.75" customHeight="1">
      <c r="A348" s="1"/>
      <c r="B348" s="10" t="str">
        <f ca="1">IFERROR(__xludf.DUMMYFUNCTION("""COMPUTED_VALUE"""),"NORMAS DE INTERVENCIÓN PARA 3 ZONAS TÍPICAS DE LA COMUNA DE PROVIDENCIA.")</f>
        <v>NORMAS DE INTERVENCIÓN PARA 3 ZONAS TÍPICAS DE LA COMUNA DE PROVIDENCIA.</v>
      </c>
      <c r="C348" s="10" t="str">
        <f ca="1">IFERROR(__xludf.DUMMYFUNCTION("""COMPUTED_VALUE"""),"13123201002-C")</f>
        <v>13123201002-C</v>
      </c>
      <c r="D348" s="26" t="str">
        <f t="shared" ca="1" si="1"/>
        <v xml:space="preserve"> SAN CLEMENTE</v>
      </c>
      <c r="E348" s="10" t="str">
        <f ca="1">IFERROR(__xludf.DUMMYFUNCTION("""COMPUTED_VALUE"""),"Guía Operativa")</f>
        <v>Guía Operativa</v>
      </c>
      <c r="F348" s="10" t="str">
        <f ca="1">IFERROR(__xludf.DUMMYFUNCTION("""COMPUTED_VALUE"""),"MUNICIPALIDAD DE SAN CLEMENTE")</f>
        <v>MUNICIPALIDAD DE SAN CLEMENTE</v>
      </c>
      <c r="G348" s="71">
        <f ca="1">IFERROR(__xludf.DUMMYFUNCTION("""COMPUTED_VALUE"""),217660572)</f>
        <v>217660572</v>
      </c>
      <c r="H348" s="10" t="str">
        <f ca="1">IFERROR(__xludf.DUMMYFUNCTION("""COMPUTED_VALUE"""),"Resolución")</f>
        <v>Resolución</v>
      </c>
      <c r="I348" s="10" t="str">
        <f ca="1">IFERROR(__xludf.DUMMYFUNCTION("""COMPUTED_VALUE"""),"Obra")</f>
        <v>Obra</v>
      </c>
      <c r="J348" s="10" t="str">
        <f ca="1">IFERROR(__xludf.DUMMYFUNCTION("""COMPUTED_VALUE"""),"Cumplir con normativa y reglamentos internos del programa en base a los objetivos.")</f>
        <v>Cumplir con normativa y reglamentos internos del programa en base a los objetivos.</v>
      </c>
      <c r="K348" s="71">
        <f ca="1">IFERROR(__xludf.DUMMYFUNCTION("""COMPUTED_VALUE"""),217660572)</f>
        <v>217660572</v>
      </c>
      <c r="L348" s="27">
        <f ca="1">IFERROR(__xludf.DUMMYFUNCTION("""COMPUTED_VALUE"""),1)</f>
        <v>1</v>
      </c>
      <c r="M348" s="10" t="str">
        <f ca="1">IFERROR(__xludf.DUMMYFUNCTION("""COMPUTED_VALUE"""),"10640/2024")</f>
        <v>10640/2024</v>
      </c>
      <c r="N348" s="10" t="str">
        <f ca="1">IFERROR(__xludf.DUMMYFUNCTION("""COMPUTED_VALUE"""),"PMB")</f>
        <v>PMB</v>
      </c>
      <c r="O348" s="59"/>
      <c r="P348" s="1"/>
      <c r="Q348" s="1"/>
      <c r="R348" s="1"/>
      <c r="S348" s="1"/>
      <c r="T348" s="1"/>
      <c r="U348" s="1"/>
      <c r="V348" s="1"/>
      <c r="W348" s="1"/>
      <c r="X348" s="1"/>
      <c r="Y348" s="1"/>
      <c r="Z348" s="1"/>
      <c r="AA348" s="1"/>
    </row>
    <row r="349" spans="1:27" ht="12.75" customHeight="1">
      <c r="A349" s="1"/>
      <c r="B349" s="10" t="str">
        <f ca="1">IFERROR(__xludf.DUMMYFUNCTION("""COMPUTED_VALUE"""),"REPOSICION IMPULSION PEAS MARIPOSAS, COMUNA DE SAN CLEMENTE")</f>
        <v>REPOSICION IMPULSION PEAS MARIPOSAS, COMUNA DE SAN CLEMENTE</v>
      </c>
      <c r="C349" s="10" t="str">
        <f ca="1">IFERROR(__xludf.DUMMYFUNCTION("""COMPUTED_VALUE"""),"7109230702-C")</f>
        <v>7109230702-C</v>
      </c>
      <c r="D349" s="26" t="str">
        <f t="shared" ca="1" si="1"/>
        <v xml:space="preserve"> SAN MIGUEL</v>
      </c>
      <c r="E349" s="10" t="str">
        <f ca="1">IFERROR(__xludf.DUMMYFUNCTION("""COMPUTED_VALUE"""),"Guía Operativa")</f>
        <v>Guía Operativa</v>
      </c>
      <c r="F349" s="10" t="str">
        <f ca="1">IFERROR(__xludf.DUMMYFUNCTION("""COMPUTED_VALUE"""),"MUNICIPALIDAD DE SAN MIGUEL")</f>
        <v>MUNICIPALIDAD DE SAN MIGUEL</v>
      </c>
      <c r="G349" s="71">
        <f ca="1">IFERROR(__xludf.DUMMYFUNCTION("""COMPUTED_VALUE"""),307724867)</f>
        <v>307724867</v>
      </c>
      <c r="H349" s="10" t="str">
        <f ca="1">IFERROR(__xludf.DUMMYFUNCTION("""COMPUTED_VALUE"""),"Resolución")</f>
        <v>Resolución</v>
      </c>
      <c r="I349" s="10" t="str">
        <f ca="1">IFERROR(__xludf.DUMMYFUNCTION("""COMPUTED_VALUE"""),"Obra")</f>
        <v>Obra</v>
      </c>
      <c r="J349" s="10" t="str">
        <f ca="1">IFERROR(__xludf.DUMMYFUNCTION("""COMPUTED_VALUE"""),"Cumplir con normativa y reglamentos internos del programa en base a los objetivos.")</f>
        <v>Cumplir con normativa y reglamentos internos del programa en base a los objetivos.</v>
      </c>
      <c r="K349" s="71">
        <f ca="1">IFERROR(__xludf.DUMMYFUNCTION("""COMPUTED_VALUE"""),307724867)</f>
        <v>307724867</v>
      </c>
      <c r="L349" s="27">
        <f ca="1">IFERROR(__xludf.DUMMYFUNCTION("""COMPUTED_VALUE"""),1)</f>
        <v>1</v>
      </c>
      <c r="M349" s="10" t="str">
        <f ca="1">IFERROR(__xludf.DUMMYFUNCTION("""COMPUTED_VALUE"""),"10601/2024")</f>
        <v>10601/2024</v>
      </c>
      <c r="N349" s="10" t="str">
        <f ca="1">IFERROR(__xludf.DUMMYFUNCTION("""COMPUTED_VALUE"""),"PMB")</f>
        <v>PMB</v>
      </c>
      <c r="O349" s="59"/>
      <c r="P349" s="1"/>
      <c r="Q349" s="1"/>
      <c r="R349" s="1"/>
      <c r="S349" s="1"/>
      <c r="T349" s="1"/>
      <c r="U349" s="1"/>
      <c r="V349" s="1"/>
      <c r="W349" s="1"/>
      <c r="X349" s="1"/>
      <c r="Y349" s="1"/>
      <c r="Z349" s="1"/>
      <c r="AA349" s="1"/>
    </row>
    <row r="350" spans="1:27" ht="12.75" customHeight="1">
      <c r="A350" s="1"/>
      <c r="B350" s="10" t="str">
        <f ca="1">IFERROR(__xludf.DUMMYFUNCTION("""COMPUTED_VALUE"""),"HABILITACIÓN ZONA DE DISPOSICIÓN DE RSM EN RELLENO SANITARIO DE PUERTO IBÁÑEZ, COMUNA DE RÍO IBÁÑEZ")</f>
        <v>HABILITACIÓN ZONA DE DISPOSICIÓN DE RSM EN RELLENO SANITARIO DE PUERTO IBÁÑEZ, COMUNA DE RÍO IBÁÑEZ</v>
      </c>
      <c r="C350" s="10" t="str">
        <f ca="1">IFERROR(__xludf.DUMMYFUNCTION("""COMPUTED_VALUE"""),"11402200703-C [FET]")</f>
        <v>11402200703-C [FET]</v>
      </c>
      <c r="D350" s="26" t="str">
        <f t="shared" ca="1" si="1"/>
        <v xml:space="preserve"> PEDRO AGUIRRE CERDA</v>
      </c>
      <c r="E350" s="10" t="str">
        <f ca="1">IFERROR(__xludf.DUMMYFUNCTION("""COMPUTED_VALUE"""),"Guía Operativa")</f>
        <v>Guía Operativa</v>
      </c>
      <c r="F350" s="10" t="str">
        <f ca="1">IFERROR(__xludf.DUMMYFUNCTION("""COMPUTED_VALUE"""),"MUNICIPALIDAD DE PEDRO AGUIRRE CERDA")</f>
        <v>MUNICIPALIDAD DE PEDRO AGUIRRE CERDA</v>
      </c>
      <c r="G350" s="71">
        <f ca="1">IFERROR(__xludf.DUMMYFUNCTION("""COMPUTED_VALUE"""),68400000)</f>
        <v>68400000</v>
      </c>
      <c r="H350" s="10" t="str">
        <f ca="1">IFERROR(__xludf.DUMMYFUNCTION("""COMPUTED_VALUE"""),"Resolución")</f>
        <v>Resolución</v>
      </c>
      <c r="I350" s="10" t="str">
        <f ca="1">IFERROR(__xludf.DUMMYFUNCTION("""COMPUTED_VALUE"""),"Asistencia Técnica")</f>
        <v>Asistencia Técnica</v>
      </c>
      <c r="J350" s="10" t="str">
        <f ca="1">IFERROR(__xludf.DUMMYFUNCTION("""COMPUTED_VALUE"""),"Cumplir con normativa y reglamentos internos del programa en base a los objetivos.")</f>
        <v>Cumplir con normativa y reglamentos internos del programa en base a los objetivos.</v>
      </c>
      <c r="K350" s="71">
        <f ca="1">IFERROR(__xludf.DUMMYFUNCTION("""COMPUTED_VALUE"""),68400000)</f>
        <v>68400000</v>
      </c>
      <c r="L350" s="27">
        <f ca="1">IFERROR(__xludf.DUMMYFUNCTION("""COMPUTED_VALUE"""),1)</f>
        <v>1</v>
      </c>
      <c r="M350" s="10" t="str">
        <f ca="1">IFERROR(__xludf.DUMMYFUNCTION("""COMPUTED_VALUE"""),"10958/2024")</f>
        <v>10958/2024</v>
      </c>
      <c r="N350" s="10" t="str">
        <f ca="1">IFERROR(__xludf.DUMMYFUNCTION("""COMPUTED_VALUE"""),"PMB")</f>
        <v>PMB</v>
      </c>
      <c r="O350" s="59"/>
      <c r="P350" s="1"/>
      <c r="Q350" s="1"/>
      <c r="R350" s="1"/>
      <c r="S350" s="1"/>
      <c r="T350" s="1"/>
      <c r="U350" s="1"/>
      <c r="V350" s="1"/>
      <c r="W350" s="1"/>
      <c r="X350" s="1"/>
      <c r="Y350" s="1"/>
      <c r="Z350" s="1"/>
      <c r="AA350" s="1"/>
    </row>
    <row r="351" spans="1:27" ht="12.75" customHeight="1">
      <c r="A351" s="1"/>
      <c r="B351" s="10" t="str">
        <f ca="1">IFERROR(__xludf.DUMMYFUNCTION("""COMPUTED_VALUE"""),"CONTRATACIÓN ASISTENCIA TÉCNICA ÁREA SANEAMIENTO SANITARIO DIVERSOS SECTORES DE COMUNA DE EMPEDRADO")</f>
        <v>CONTRATACIÓN ASISTENCIA TÉCNICA ÁREA SANEAMIENTO SANITARIO DIVERSOS SECTORES DE COMUNA DE EMPEDRADO</v>
      </c>
      <c r="C351" s="10" t="str">
        <f ca="1">IFERROR(__xludf.DUMMYFUNCTION("""COMPUTED_VALUE"""),"7104221001-C")</f>
        <v>7104221001-C</v>
      </c>
      <c r="D351" s="26" t="str">
        <f t="shared" ca="1" si="1"/>
        <v xml:space="preserve"> PUERTO VARAS</v>
      </c>
      <c r="E351" s="10" t="str">
        <f ca="1">IFERROR(__xludf.DUMMYFUNCTION("""COMPUTED_VALUE"""),"Guía Operativa")</f>
        <v>Guía Operativa</v>
      </c>
      <c r="F351" s="10" t="str">
        <f ca="1">IFERROR(__xludf.DUMMYFUNCTION("""COMPUTED_VALUE"""),"MUNICIPALIDAD DE PUERTO VARAS")</f>
        <v>MUNICIPALIDAD DE PUERTO VARAS</v>
      </c>
      <c r="G351" s="71">
        <f ca="1">IFERROR(__xludf.DUMMYFUNCTION("""COMPUTED_VALUE"""),523219800)</f>
        <v>523219800</v>
      </c>
      <c r="H351" s="10" t="str">
        <f ca="1">IFERROR(__xludf.DUMMYFUNCTION("""COMPUTED_VALUE"""),"Resolución")</f>
        <v>Resolución</v>
      </c>
      <c r="I351" s="10" t="str">
        <f ca="1">IFERROR(__xludf.DUMMYFUNCTION("""COMPUTED_VALUE"""),"Adquisición Terreno")</f>
        <v>Adquisición Terreno</v>
      </c>
      <c r="J351" s="10" t="str">
        <f ca="1">IFERROR(__xludf.DUMMYFUNCTION("""COMPUTED_VALUE"""),"Cumplir con normativa y reglamentos internos del programa en base a los objetivos.")</f>
        <v>Cumplir con normativa y reglamentos internos del programa en base a los objetivos.</v>
      </c>
      <c r="K351" s="71">
        <f ca="1">IFERROR(__xludf.DUMMYFUNCTION("""COMPUTED_VALUE"""),523219800)</f>
        <v>523219800</v>
      </c>
      <c r="L351" s="27">
        <f ca="1">IFERROR(__xludf.DUMMYFUNCTION("""COMPUTED_VALUE"""),1)</f>
        <v>1</v>
      </c>
      <c r="M351" s="10" t="str">
        <f ca="1">IFERROR(__xludf.DUMMYFUNCTION("""COMPUTED_VALUE"""),"11372/2024")</f>
        <v>11372/2024</v>
      </c>
      <c r="N351" s="10" t="str">
        <f ca="1">IFERROR(__xludf.DUMMYFUNCTION("""COMPUTED_VALUE"""),"PMB")</f>
        <v>PMB</v>
      </c>
      <c r="O351" s="59"/>
      <c r="P351" s="1"/>
      <c r="Q351" s="1"/>
      <c r="R351" s="1"/>
      <c r="S351" s="1"/>
      <c r="T351" s="1"/>
      <c r="U351" s="1"/>
      <c r="V351" s="1"/>
      <c r="W351" s="1"/>
      <c r="X351" s="1"/>
      <c r="Y351" s="1"/>
      <c r="Z351" s="1"/>
      <c r="AA351" s="1"/>
    </row>
    <row r="352" spans="1:27" ht="12.75" customHeight="1">
      <c r="A352" s="1"/>
      <c r="B352" s="10" t="str">
        <f ca="1">IFERROR(__xludf.DUMMYFUNCTION("""COMPUTED_VALUE"""),"CONSTRUCCION SISTEMA DE AGUA POTABLE RURAL DE PALMILLA, COMUNA DE NACIMIENTO")</f>
        <v>CONSTRUCCION SISTEMA DE AGUA POTABLE RURAL DE PALMILLA, COMUNA DE NACIMIENTO</v>
      </c>
      <c r="C352" s="10" t="str">
        <f ca="1">IFERROR(__xludf.DUMMYFUNCTION("""COMPUTED_VALUE"""),"8306190701-C")</f>
        <v>8306190701-C</v>
      </c>
      <c r="D352" s="26" t="str">
        <f t="shared" ca="1" si="1"/>
        <v xml:space="preserve"> NACIMIENTO</v>
      </c>
      <c r="E352" s="10" t="str">
        <f ca="1">IFERROR(__xludf.DUMMYFUNCTION("""COMPUTED_VALUE"""),"Guía Operativa")</f>
        <v>Guía Operativa</v>
      </c>
      <c r="F352" s="10" t="str">
        <f ca="1">IFERROR(__xludf.DUMMYFUNCTION("""COMPUTED_VALUE"""),"MUNICIPALIDAD DE NACIMIENTO")</f>
        <v>MUNICIPALIDAD DE NACIMIENTO</v>
      </c>
      <c r="G352" s="71">
        <f ca="1">IFERROR(__xludf.DUMMYFUNCTION("""COMPUTED_VALUE"""),271990540)</f>
        <v>271990540</v>
      </c>
      <c r="H352" s="10" t="str">
        <f ca="1">IFERROR(__xludf.DUMMYFUNCTION("""COMPUTED_VALUE"""),"Resolución")</f>
        <v>Resolución</v>
      </c>
      <c r="I352" s="10" t="str">
        <f ca="1">IFERROR(__xludf.DUMMYFUNCTION("""COMPUTED_VALUE"""),"Obra")</f>
        <v>Obra</v>
      </c>
      <c r="J352" s="10" t="str">
        <f ca="1">IFERROR(__xludf.DUMMYFUNCTION("""COMPUTED_VALUE"""),"Cumplir con normativa y reglamentos internos del programa en base a los objetivos.")</f>
        <v>Cumplir con normativa y reglamentos internos del programa en base a los objetivos.</v>
      </c>
      <c r="K352" s="71">
        <f ca="1">IFERROR(__xludf.DUMMYFUNCTION("""COMPUTED_VALUE"""),30223744)</f>
        <v>30223744</v>
      </c>
      <c r="L352" s="27">
        <f ca="1">IFERROR(__xludf.DUMMYFUNCTION("""COMPUTED_VALUE"""),0.999971635042895)</f>
        <v>0.99997163504289499</v>
      </c>
      <c r="M352" s="10" t="str">
        <f ca="1">IFERROR(__xludf.DUMMYFUNCTION("""COMPUTED_VALUE"""),"2131/2022")</f>
        <v>2131/2022</v>
      </c>
      <c r="N352" s="10" t="str">
        <f ca="1">IFERROR(__xludf.DUMMYFUNCTION("""COMPUTED_VALUE"""),"PMB")</f>
        <v>PMB</v>
      </c>
      <c r="O352" s="59"/>
      <c r="P352" s="1"/>
      <c r="Q352" s="1"/>
      <c r="R352" s="1"/>
      <c r="S352" s="1"/>
      <c r="T352" s="1"/>
      <c r="U352" s="1"/>
      <c r="V352" s="1"/>
      <c r="W352" s="1"/>
      <c r="X352" s="1"/>
      <c r="Y352" s="1"/>
      <c r="Z352" s="1"/>
      <c r="AA352" s="1"/>
    </row>
    <row r="353" spans="1:27" ht="12.75" customHeight="1">
      <c r="A353" s="1"/>
      <c r="B353" s="10" t="str">
        <f ca="1">IFERROR(__xludf.DUMMYFUNCTION("""COMPUTED_VALUE"""),"CONTRATACIÓN ASISTENCIA TÉCNICA ÁREA SANEAMIENTO SANITARIO DIVERSOS SECTORES DE COMUNA DE EMPEDRADO")</f>
        <v>CONTRATACIÓN ASISTENCIA TÉCNICA ÁREA SANEAMIENTO SANITARIO DIVERSOS SECTORES DE COMUNA DE EMPEDRADO</v>
      </c>
      <c r="C353" s="10" t="str">
        <f ca="1">IFERROR(__xludf.DUMMYFUNCTION("""COMPUTED_VALUE"""),"7104221001-C")</f>
        <v>7104221001-C</v>
      </c>
      <c r="D353" s="26" t="str">
        <f t="shared" ca="1" si="1"/>
        <v xml:space="preserve"> EMPEDRADO</v>
      </c>
      <c r="E353" s="10" t="str">
        <f ca="1">IFERROR(__xludf.DUMMYFUNCTION("""COMPUTED_VALUE"""),"Guía Operativa")</f>
        <v>Guía Operativa</v>
      </c>
      <c r="F353" s="10" t="str">
        <f ca="1">IFERROR(__xludf.DUMMYFUNCTION("""COMPUTED_VALUE"""),"MUNICIPALIDAD DE EMPEDRADO")</f>
        <v>MUNICIPALIDAD DE EMPEDRADO</v>
      </c>
      <c r="G353" s="71">
        <f ca="1">IFERROR(__xludf.DUMMYFUNCTION("""COMPUTED_VALUE"""),72490608)</f>
        <v>72490608</v>
      </c>
      <c r="H353" s="10" t="str">
        <f ca="1">IFERROR(__xludf.DUMMYFUNCTION("""COMPUTED_VALUE"""),"Resolución")</f>
        <v>Resolución</v>
      </c>
      <c r="I353" s="10" t="str">
        <f ca="1">IFERROR(__xludf.DUMMYFUNCTION("""COMPUTED_VALUE"""),"Asistencia Técnica")</f>
        <v>Asistencia Técnica</v>
      </c>
      <c r="J353" s="10" t="str">
        <f ca="1">IFERROR(__xludf.DUMMYFUNCTION("""COMPUTED_VALUE"""),"Cumplir con normativa y reglamentos internos del programa en base a los objetivos.")</f>
        <v>Cumplir con normativa y reglamentos internos del programa en base a los objetivos.</v>
      </c>
      <c r="K353" s="71">
        <f ca="1">IFERROR(__xludf.DUMMYFUNCTION("""COMPUTED_VALUE"""),23822652)</f>
        <v>23822652</v>
      </c>
      <c r="L353" s="27">
        <f ca="1">IFERROR(__xludf.DUMMYFUNCTION("""COMPUTED_VALUE"""),0.728630873119453)</f>
        <v>0.72863087311945296</v>
      </c>
      <c r="M353" s="10" t="str">
        <f ca="1">IFERROR(__xludf.DUMMYFUNCTION("""COMPUTED_VALUE"""),"10297/2022")</f>
        <v>10297/2022</v>
      </c>
      <c r="N353" s="10" t="str">
        <f ca="1">IFERROR(__xludf.DUMMYFUNCTION("""COMPUTED_VALUE"""),"PMB")</f>
        <v>PMB</v>
      </c>
      <c r="O353" s="59"/>
      <c r="P353" s="1"/>
      <c r="Q353" s="1"/>
      <c r="R353" s="1"/>
      <c r="S353" s="1"/>
      <c r="T353" s="1"/>
      <c r="U353" s="1"/>
      <c r="V353" s="1"/>
      <c r="W353" s="1"/>
      <c r="X353" s="1"/>
      <c r="Y353" s="1"/>
      <c r="Z353" s="1"/>
      <c r="AA353" s="1"/>
    </row>
    <row r="354" spans="1:27" ht="12.75" customHeight="1">
      <c r="A354" s="1"/>
      <c r="B354" s="10" t="str">
        <f ca="1">IFERROR(__xludf.DUMMYFUNCTION("""COMPUTED_VALUE"""),"CONSTRUCCION OBRAS DE URBANIZACIÓN QUINTAS COCHOLGUE, TOMÉ")</f>
        <v>CONSTRUCCION OBRAS DE URBANIZACIÓN QUINTAS COCHOLGUE, TOMÉ</v>
      </c>
      <c r="C354" s="10" t="str">
        <f ca="1">IFERROR(__xludf.DUMMYFUNCTION("""COMPUTED_VALUE"""),"8111210701-C")</f>
        <v>8111210701-C</v>
      </c>
      <c r="D354" s="26" t="str">
        <f t="shared" ca="1" si="1"/>
        <v xml:space="preserve"> TOMÉ</v>
      </c>
      <c r="E354" s="10" t="str">
        <f ca="1">IFERROR(__xludf.DUMMYFUNCTION("""COMPUTED_VALUE"""),"Guía Operativa")</f>
        <v>Guía Operativa</v>
      </c>
      <c r="F354" s="10" t="str">
        <f ca="1">IFERROR(__xludf.DUMMYFUNCTION("""COMPUTED_VALUE"""),"MUNICIPALIDAD DE TOMÉ")</f>
        <v>MUNICIPALIDAD DE TOMÉ</v>
      </c>
      <c r="G354" s="71">
        <f ca="1">IFERROR(__xludf.DUMMYFUNCTION("""COMPUTED_VALUE"""),1313733102)</f>
        <v>1313733102</v>
      </c>
      <c r="H354" s="10" t="str">
        <f ca="1">IFERROR(__xludf.DUMMYFUNCTION("""COMPUTED_VALUE"""),"Resolución")</f>
        <v>Resolución</v>
      </c>
      <c r="I354" s="10" t="str">
        <f ca="1">IFERROR(__xludf.DUMMYFUNCTION("""COMPUTED_VALUE"""),"Obra")</f>
        <v>Obra</v>
      </c>
      <c r="J354" s="10" t="str">
        <f ca="1">IFERROR(__xludf.DUMMYFUNCTION("""COMPUTED_VALUE"""),"Cumplir con normativa y reglamentos internos del programa en base a los objetivos.")</f>
        <v>Cumplir con normativa y reglamentos internos del programa en base a los objetivos.</v>
      </c>
      <c r="K354" s="71">
        <f ca="1">IFERROR(__xludf.DUMMYFUNCTION("""COMPUTED_VALUE"""),62673618)</f>
        <v>62673618</v>
      </c>
      <c r="L354" s="27">
        <f ca="1">IFERROR(__xludf.DUMMYFUNCTION("""COMPUTED_VALUE"""),0.237518398162429)</f>
        <v>0.23751839816242901</v>
      </c>
      <c r="M354" s="10" t="str">
        <f ca="1">IFERROR(__xludf.DUMMYFUNCTION("""COMPUTED_VALUE"""),"153/2022")</f>
        <v>153/2022</v>
      </c>
      <c r="N354" s="10" t="str">
        <f ca="1">IFERROR(__xludf.DUMMYFUNCTION("""COMPUTED_VALUE"""),"PMB")</f>
        <v>PMB</v>
      </c>
      <c r="O354" s="59"/>
      <c r="P354" s="1"/>
      <c r="Q354" s="1"/>
      <c r="R354" s="1"/>
      <c r="S354" s="1"/>
      <c r="T354" s="1"/>
      <c r="U354" s="1"/>
      <c r="V354" s="1"/>
      <c r="W354" s="1"/>
      <c r="X354" s="1"/>
      <c r="Y354" s="1"/>
      <c r="Z354" s="1"/>
      <c r="AA354" s="1"/>
    </row>
    <row r="355" spans="1:27" ht="12.75" customHeight="1">
      <c r="A355" s="1"/>
      <c r="B355" s="10" t="str">
        <f ca="1">IFERROR(__xludf.DUMMYFUNCTION("""COMPUTED_VALUE"""),"NORMAS DE INTERVENCIÓN PARA 3 ZONAS TÍPICAS DE LA COMUNA DE PROVIDENCIA.")</f>
        <v>NORMAS DE INTERVENCIÓN PARA 3 ZONAS TÍPICAS DE LA COMUNA DE PROVIDENCIA.</v>
      </c>
      <c r="C355" s="10" t="str">
        <f ca="1">IFERROR(__xludf.DUMMYFUNCTION("""COMPUTED_VALUE"""),"13123201002-C")</f>
        <v>13123201002-C</v>
      </c>
      <c r="D355" s="26" t="str">
        <f t="shared" ca="1" si="1"/>
        <v xml:space="preserve"> PROVIDENCIA</v>
      </c>
      <c r="E355" s="10" t="str">
        <f ca="1">IFERROR(__xludf.DUMMYFUNCTION("""COMPUTED_VALUE"""),"Guía Operativa")</f>
        <v>Guía Operativa</v>
      </c>
      <c r="F355" s="10" t="str">
        <f ca="1">IFERROR(__xludf.DUMMYFUNCTION("""COMPUTED_VALUE"""),"MUNICIPALIDAD DE PROVIDENCIA")</f>
        <v>MUNICIPALIDAD DE PROVIDENCIA</v>
      </c>
      <c r="G355" s="71">
        <f ca="1">IFERROR(__xludf.DUMMYFUNCTION("""COMPUTED_VALUE"""),43200000)</f>
        <v>43200000</v>
      </c>
      <c r="H355" s="10" t="str">
        <f ca="1">IFERROR(__xludf.DUMMYFUNCTION("""COMPUTED_VALUE"""),"Resolución")</f>
        <v>Resolución</v>
      </c>
      <c r="I355" s="10"/>
      <c r="J355" s="10" t="str">
        <f ca="1">IFERROR(__xludf.DUMMYFUNCTION("""COMPUTED_VALUE"""),"Cumplir con normativa y reglamentos internos del programa en base a los objetivos.")</f>
        <v>Cumplir con normativa y reglamentos internos del programa en base a los objetivos.</v>
      </c>
      <c r="K355" s="71">
        <f ca="1">IFERROR(__xludf.DUMMYFUNCTION("""COMPUTED_VALUE"""),20028217)</f>
        <v>20028217</v>
      </c>
      <c r="L355" s="27">
        <f ca="1">IFERROR(__xludf.DUMMYFUNCTION("""COMPUTED_VALUE"""),0.963616134259259)</f>
        <v>0.96361613425925896</v>
      </c>
      <c r="M355" s="10" t="str">
        <f ca="1">IFERROR(__xludf.DUMMYFUNCTION("""COMPUTED_VALUE"""),"11245/2021")</f>
        <v>11245/2021</v>
      </c>
      <c r="N355" s="10" t="str">
        <f ca="1">IFERROR(__xludf.DUMMYFUNCTION("""COMPUTED_VALUE"""),"PMB")</f>
        <v>PMB</v>
      </c>
      <c r="O355" s="59"/>
      <c r="P355" s="1"/>
      <c r="Q355" s="1"/>
      <c r="R355" s="1"/>
      <c r="S355" s="1"/>
      <c r="T355" s="1"/>
      <c r="U355" s="1"/>
      <c r="V355" s="1"/>
      <c r="W355" s="1"/>
      <c r="X355" s="1"/>
      <c r="Y355" s="1"/>
      <c r="Z355" s="1"/>
      <c r="AA355" s="1"/>
    </row>
    <row r="356" spans="1:27" ht="12.75" customHeight="1">
      <c r="A356" s="1"/>
      <c r="B356" s="10" t="str">
        <f ca="1">IFERROR(__xludf.DUMMYFUNCTION("""COMPUTED_VALUE"""),"REPOSICIÓN E INSTALACIÓN DE PARARRAYOS EN CASERÍOS Y ESTANCIAS DE LOS SECTORES DE PARINACOTA, GUALLATIRE, PAQUIZA, SURIRE E ITIZA, COMUNA DE PUTRE")</f>
        <v>REPOSICIÓN E INSTALACIÓN DE PARARRAYOS EN CASERÍOS Y ESTANCIAS DE LOS SECTORES DE PARINACOTA, GUALLATIRE, PAQUIZA, SURIRE E ITIZA, COMUNA DE PUTRE</v>
      </c>
      <c r="C356" s="10" t="str">
        <f ca="1">IFERROR(__xludf.DUMMYFUNCTION("""COMPUTED_VALUE"""),"15201200702-C [FET]")</f>
        <v>15201200702-C [FET]</v>
      </c>
      <c r="D356" s="26" t="str">
        <f t="shared" ca="1" si="1"/>
        <v xml:space="preserve"> PUTRE</v>
      </c>
      <c r="E356" s="10" t="str">
        <f ca="1">IFERROR(__xludf.DUMMYFUNCTION("""COMPUTED_VALUE"""),"Guía Operativa")</f>
        <v>Guía Operativa</v>
      </c>
      <c r="F356" s="10" t="str">
        <f ca="1">IFERROR(__xludf.DUMMYFUNCTION("""COMPUTED_VALUE"""),"MUNICIPALIDAD DE PUTRE")</f>
        <v>MUNICIPALIDAD DE PUTRE</v>
      </c>
      <c r="G356" s="71">
        <f ca="1">IFERROR(__xludf.DUMMYFUNCTION("""COMPUTED_VALUE"""),37396265)</f>
        <v>37396265</v>
      </c>
      <c r="H356" s="10" t="str">
        <f ca="1">IFERROR(__xludf.DUMMYFUNCTION("""COMPUTED_VALUE"""),"Resolución")</f>
        <v>Resolución</v>
      </c>
      <c r="I356" s="10" t="str">
        <f ca="1">IFERROR(__xludf.DUMMYFUNCTION("""COMPUTED_VALUE"""),"Obra")</f>
        <v>Obra</v>
      </c>
      <c r="J356" s="10" t="str">
        <f ca="1">IFERROR(__xludf.DUMMYFUNCTION("""COMPUTED_VALUE"""),"Cumplir con normativa y reglamentos internos del programa en base a los objetivos.")</f>
        <v>Cumplir con normativa y reglamentos internos del programa en base a los objetivos.</v>
      </c>
      <c r="K356" s="71">
        <f ca="1">IFERROR(__xludf.DUMMYFUNCTION("""COMPUTED_VALUE"""),35813841)</f>
        <v>35813841</v>
      </c>
      <c r="L356" s="27">
        <f ca="1">IFERROR(__xludf.DUMMYFUNCTION("""COMPUTED_VALUE"""),0.957684972015253)</f>
        <v>0.95768497201525304</v>
      </c>
      <c r="M356" s="10" t="str">
        <f ca="1">IFERROR(__xludf.DUMMYFUNCTION("""COMPUTED_VALUE"""),"1150/2023")</f>
        <v>1150/2023</v>
      </c>
      <c r="N356" s="10" t="str">
        <f ca="1">IFERROR(__xludf.DUMMYFUNCTION("""COMPUTED_VALUE"""),"PMB")</f>
        <v>PMB</v>
      </c>
      <c r="O356" s="59"/>
      <c r="P356" s="1"/>
      <c r="Q356" s="1"/>
      <c r="R356" s="1"/>
      <c r="S356" s="1"/>
      <c r="T356" s="1"/>
      <c r="U356" s="1"/>
      <c r="V356" s="1"/>
      <c r="W356" s="1"/>
      <c r="X356" s="1"/>
      <c r="Y356" s="1"/>
      <c r="Z356" s="1"/>
      <c r="AA356" s="1"/>
    </row>
    <row r="357" spans="1:27" ht="12.75" customHeight="1">
      <c r="A357" s="1"/>
      <c r="B357" s="10" t="str">
        <f ca="1">IFERROR(__xludf.DUMMYFUNCTION("""COMPUTED_VALUE"""),"AMPLIACIÓN DEL APR GABRIELA MISTRAL PARA EL SECTOR SATURNO")</f>
        <v>AMPLIACIÓN DEL APR GABRIELA MISTRAL PARA EL SECTOR SATURNO</v>
      </c>
      <c r="C357" s="10" t="str">
        <f ca="1">IFERROR(__xludf.DUMMYFUNCTION("""COMPUTED_VALUE"""),"4101200701-C [FET]")</f>
        <v>4101200701-C [FET]</v>
      </c>
      <c r="D357" s="26" t="str">
        <f t="shared" ca="1" si="1"/>
        <v xml:space="preserve"> LA SERENA</v>
      </c>
      <c r="E357" s="10" t="str">
        <f ca="1">IFERROR(__xludf.DUMMYFUNCTION("""COMPUTED_VALUE"""),"Guía Operativa")</f>
        <v>Guía Operativa</v>
      </c>
      <c r="F357" s="10" t="str">
        <f ca="1">IFERROR(__xludf.DUMMYFUNCTION("""COMPUTED_VALUE"""),"MUNICIPALIDAD DE LA SERENA")</f>
        <v>MUNICIPALIDAD DE LA SERENA</v>
      </c>
      <c r="G357" s="71">
        <f ca="1">IFERROR(__xludf.DUMMYFUNCTION("""COMPUTED_VALUE"""),129197069)</f>
        <v>129197069</v>
      </c>
      <c r="H357" s="10" t="str">
        <f ca="1">IFERROR(__xludf.DUMMYFUNCTION("""COMPUTED_VALUE"""),"Resolución")</f>
        <v>Resolución</v>
      </c>
      <c r="I357" s="10" t="str">
        <f ca="1">IFERROR(__xludf.DUMMYFUNCTION("""COMPUTED_VALUE"""),"Obra")</f>
        <v>Obra</v>
      </c>
      <c r="J357" s="10" t="str">
        <f ca="1">IFERROR(__xludf.DUMMYFUNCTION("""COMPUTED_VALUE"""),"Cumplir con normativa y reglamentos internos del programa en base a los objetivos.")</f>
        <v>Cumplir con normativa y reglamentos internos del programa en base a los objetivos.</v>
      </c>
      <c r="K357" s="71">
        <f ca="1">IFERROR(__xludf.DUMMYFUNCTION("""COMPUTED_VALUE"""),128840118)</f>
        <v>128840118</v>
      </c>
      <c r="L357" s="27">
        <f ca="1">IFERROR(__xludf.DUMMYFUNCTION("""COMPUTED_VALUE"""),0.997237158685078)</f>
        <v>0.99723715868507801</v>
      </c>
      <c r="M357" s="10" t="str">
        <f ca="1">IFERROR(__xludf.DUMMYFUNCTION("""COMPUTED_VALUE"""),"3946/2023")</f>
        <v>3946/2023</v>
      </c>
      <c r="N357" s="10" t="str">
        <f ca="1">IFERROR(__xludf.DUMMYFUNCTION("""COMPUTED_VALUE"""),"PMB")</f>
        <v>PMB</v>
      </c>
      <c r="O357" s="59"/>
      <c r="P357" s="1"/>
      <c r="Q357" s="1"/>
      <c r="R357" s="1"/>
      <c r="S357" s="1"/>
      <c r="T357" s="1"/>
      <c r="U357" s="1"/>
      <c r="V357" s="1"/>
      <c r="W357" s="1"/>
      <c r="X357" s="1"/>
      <c r="Y357" s="1"/>
      <c r="Z357" s="1"/>
      <c r="AA357" s="1"/>
    </row>
    <row r="358" spans="1:27" ht="12.75" customHeight="1">
      <c r="A358" s="1"/>
      <c r="B358" s="10" t="str">
        <f ca="1">IFERROR(__xludf.DUMMYFUNCTION("""COMPUTED_VALUE"""),"ILUMINACIÓN PLAZAS Y DIVERSOS SECTORES DE QUILPUÉ")</f>
        <v>ILUMINACIÓN PLAZAS Y DIVERSOS SECTORES DE QUILPUÉ</v>
      </c>
      <c r="C358" s="10" t="str">
        <f ca="1">IFERROR(__xludf.DUMMYFUNCTION("""COMPUTED_VALUE"""),"5801220704-C [CHA]")</f>
        <v>5801220704-C [CHA]</v>
      </c>
      <c r="D358" s="26" t="str">
        <f t="shared" ca="1" si="1"/>
        <v xml:space="preserve"> QUILPUÉ</v>
      </c>
      <c r="E358" s="10" t="str">
        <f ca="1">IFERROR(__xludf.DUMMYFUNCTION("""COMPUTED_VALUE"""),"Guía Operativa")</f>
        <v>Guía Operativa</v>
      </c>
      <c r="F358" s="10" t="str">
        <f ca="1">IFERROR(__xludf.DUMMYFUNCTION("""COMPUTED_VALUE"""),"MUNICIPALIDAD DE QUILPUÉ")</f>
        <v>MUNICIPALIDAD DE QUILPUÉ</v>
      </c>
      <c r="G358" s="71">
        <f ca="1">IFERROR(__xludf.DUMMYFUNCTION("""COMPUTED_VALUE"""),45025940)</f>
        <v>45025940</v>
      </c>
      <c r="H358" s="10" t="str">
        <f ca="1">IFERROR(__xludf.DUMMYFUNCTION("""COMPUTED_VALUE"""),"Resolución")</f>
        <v>Resolución</v>
      </c>
      <c r="I358" s="10" t="str">
        <f ca="1">IFERROR(__xludf.DUMMYFUNCTION("""COMPUTED_VALUE"""),"Obra")</f>
        <v>Obra</v>
      </c>
      <c r="J358" s="10" t="str">
        <f ca="1">IFERROR(__xludf.DUMMYFUNCTION("""COMPUTED_VALUE"""),"Cumplir con normativa y reglamentos internos del programa en base a los objetivos.")</f>
        <v>Cumplir con normativa y reglamentos internos del programa en base a los objetivos.</v>
      </c>
      <c r="K358" s="71">
        <f ca="1">IFERROR(__xludf.DUMMYFUNCTION("""COMPUTED_VALUE"""),38121195)</f>
        <v>38121195</v>
      </c>
      <c r="L358" s="27">
        <f ca="1">IFERROR(__xludf.DUMMYFUNCTION("""COMPUTED_VALUE"""),0.846649620196713)</f>
        <v>0.84664962019671297</v>
      </c>
      <c r="M358" s="10" t="str">
        <f ca="1">IFERROR(__xludf.DUMMYFUNCTION("""COMPUTED_VALUE"""),"3666/2023")</f>
        <v>3666/2023</v>
      </c>
      <c r="N358" s="10" t="str">
        <f ca="1">IFERROR(__xludf.DUMMYFUNCTION("""COMPUTED_VALUE"""),"PMB")</f>
        <v>PMB</v>
      </c>
      <c r="O358" s="59"/>
      <c r="P358" s="1"/>
      <c r="Q358" s="1"/>
      <c r="R358" s="1"/>
      <c r="S358" s="1"/>
      <c r="T358" s="1"/>
      <c r="U358" s="1"/>
      <c r="V358" s="1"/>
      <c r="W358" s="1"/>
      <c r="X358" s="1"/>
      <c r="Y358" s="1"/>
      <c r="Z358" s="1"/>
      <c r="AA358" s="1"/>
    </row>
    <row r="359" spans="1:27" ht="12.75" customHeight="1">
      <c r="A359" s="1"/>
      <c r="B359" s="10" t="str">
        <f ca="1">IFERROR(__xludf.DUMMYFUNCTION("""COMPUTED_VALUE"""),"HABILITACIÓN ZONA DE DISPOSICIÓN DE RSM EN RELLENO SANITARIO DE PUERTO IBÁÑEZ, COMUNA DE RÍO IBÁÑEZ")</f>
        <v>HABILITACIÓN ZONA DE DISPOSICIÓN DE RSM EN RELLENO SANITARIO DE PUERTO IBÁÑEZ, COMUNA DE RÍO IBÁÑEZ</v>
      </c>
      <c r="C359" s="10" t="str">
        <f ca="1">IFERROR(__xludf.DUMMYFUNCTION("""COMPUTED_VALUE"""),"11402200703-C [FET]")</f>
        <v>11402200703-C [FET]</v>
      </c>
      <c r="D359" s="26" t="str">
        <f t="shared" ca="1" si="1"/>
        <v xml:space="preserve"> RÍO IBÁÑEZ</v>
      </c>
      <c r="E359" s="10" t="str">
        <f ca="1">IFERROR(__xludf.DUMMYFUNCTION("""COMPUTED_VALUE"""),"Guía Operativa")</f>
        <v>Guía Operativa</v>
      </c>
      <c r="F359" s="10" t="str">
        <f ca="1">IFERROR(__xludf.DUMMYFUNCTION("""COMPUTED_VALUE"""),"MUNICIPALIDAD DE RÍO IBÁÑEZ")</f>
        <v>MUNICIPALIDAD DE RÍO IBÁÑEZ</v>
      </c>
      <c r="G359" s="71">
        <f ca="1">IFERROR(__xludf.DUMMYFUNCTION("""COMPUTED_VALUE"""),56788168)</f>
        <v>56788168</v>
      </c>
      <c r="H359" s="10" t="str">
        <f ca="1">IFERROR(__xludf.DUMMYFUNCTION("""COMPUTED_VALUE"""),"Resolución")</f>
        <v>Resolución</v>
      </c>
      <c r="I359" s="10" t="str">
        <f ca="1">IFERROR(__xludf.DUMMYFUNCTION("""COMPUTED_VALUE"""),"Obra")</f>
        <v>Obra</v>
      </c>
      <c r="J359" s="10" t="str">
        <f ca="1">IFERROR(__xludf.DUMMYFUNCTION("""COMPUTED_VALUE"""),"Cumplir con normativa y reglamentos internos del programa en base a los objetivos.")</f>
        <v>Cumplir con normativa y reglamentos internos del programa en base a los objetivos.</v>
      </c>
      <c r="K359" s="71">
        <f ca="1">IFERROR(__xludf.DUMMYFUNCTION("""COMPUTED_VALUE"""),53194158)</f>
        <v>53194158</v>
      </c>
      <c r="L359" s="27">
        <f ca="1">IFERROR(__xludf.DUMMYFUNCTION("""COMPUTED_VALUE"""),0.936711992540417)</f>
        <v>0.93671199254041704</v>
      </c>
      <c r="M359" s="10" t="str">
        <f ca="1">IFERROR(__xludf.DUMMYFUNCTION("""COMPUTED_VALUE"""),"6965/2023")</f>
        <v>6965/2023</v>
      </c>
      <c r="N359" s="10" t="str">
        <f ca="1">IFERROR(__xludf.DUMMYFUNCTION("""COMPUTED_VALUE"""),"PMB")</f>
        <v>PMB</v>
      </c>
      <c r="O359" s="59"/>
      <c r="P359" s="1"/>
      <c r="Q359" s="1"/>
      <c r="R359" s="1"/>
      <c r="S359" s="1"/>
      <c r="T359" s="1"/>
      <c r="U359" s="1"/>
      <c r="V359" s="1"/>
      <c r="W359" s="1"/>
      <c r="X359" s="1"/>
      <c r="Y359" s="1"/>
      <c r="Z359" s="1"/>
      <c r="AA359" s="1"/>
    </row>
    <row r="360" spans="1:27" ht="12.75" customHeight="1">
      <c r="A360" s="1"/>
      <c r="B360" s="10" t="str">
        <f ca="1">IFERROR(__xludf.DUMMYFUNCTION("""COMPUTED_VALUE"""),"ESTUDIO SOLUCIÓN SANITARIA CALLE NUEVA 3, NUEVA 4 Y PADRE RICARDO, COMUNA DE FUTRONO")</f>
        <v>ESTUDIO SOLUCIÓN SANITARIA CALLE NUEVA 3, NUEVA 4 Y PADRE RICARDO, COMUNA DE FUTRONO</v>
      </c>
      <c r="C360" s="10" t="str">
        <f ca="1">IFERROR(__xludf.DUMMYFUNCTION("""COMPUTED_VALUE"""),"14202200401-C")</f>
        <v>14202200401-C</v>
      </c>
      <c r="D360" s="26" t="str">
        <f t="shared" ca="1" si="1"/>
        <v xml:space="preserve"> FUTRONO</v>
      </c>
      <c r="E360" s="10" t="str">
        <f ca="1">IFERROR(__xludf.DUMMYFUNCTION("""COMPUTED_VALUE"""),"Guía Operativa")</f>
        <v>Guía Operativa</v>
      </c>
      <c r="F360" s="10" t="str">
        <f ca="1">IFERROR(__xludf.DUMMYFUNCTION("""COMPUTED_VALUE"""),"MUNICIPALIDAD DE FUTRONO")</f>
        <v>MUNICIPALIDAD DE FUTRONO</v>
      </c>
      <c r="G360" s="71">
        <f ca="1">IFERROR(__xludf.DUMMYFUNCTION("""COMPUTED_VALUE"""),18970855)</f>
        <v>18970855</v>
      </c>
      <c r="H360" s="10" t="str">
        <f ca="1">IFERROR(__xludf.DUMMYFUNCTION("""COMPUTED_VALUE"""),"Resolución")</f>
        <v>Resolución</v>
      </c>
      <c r="I360" s="10" t="str">
        <f ca="1">IFERROR(__xludf.DUMMYFUNCTION("""COMPUTED_VALUE"""),"Estudio")</f>
        <v>Estudio</v>
      </c>
      <c r="J360" s="10" t="str">
        <f ca="1">IFERROR(__xludf.DUMMYFUNCTION("""COMPUTED_VALUE"""),"Cumplir con normativa y reglamentos internos del programa en base a los objetivos.")</f>
        <v>Cumplir con normativa y reglamentos internos del programa en base a los objetivos.</v>
      </c>
      <c r="K360" s="71">
        <f ca="1">IFERROR(__xludf.DUMMYFUNCTION("""COMPUTED_VALUE"""),13070855)</f>
        <v>13070855</v>
      </c>
      <c r="L360" s="27">
        <f ca="1">IFERROR(__xludf.DUMMYFUNCTION("""COMPUTED_VALUE"""),0.688996621396347)</f>
        <v>0.68899662139634699</v>
      </c>
      <c r="M360" s="10" t="str">
        <f ca="1">IFERROR(__xludf.DUMMYFUNCTION("""COMPUTED_VALUE"""),"8225/2023")</f>
        <v>8225/2023</v>
      </c>
      <c r="N360" s="10" t="str">
        <f ca="1">IFERROR(__xludf.DUMMYFUNCTION("""COMPUTED_VALUE"""),"PMB")</f>
        <v>PMB</v>
      </c>
      <c r="O360" s="59"/>
      <c r="P360" s="1"/>
      <c r="Q360" s="1"/>
      <c r="R360" s="1"/>
      <c r="S360" s="1"/>
      <c r="T360" s="1"/>
      <c r="U360" s="1"/>
      <c r="V360" s="1"/>
      <c r="W360" s="1"/>
      <c r="X360" s="1"/>
      <c r="Y360" s="1"/>
      <c r="Z360" s="1"/>
      <c r="AA360" s="1"/>
    </row>
    <row r="361" spans="1:27" ht="12.75" customHeight="1">
      <c r="A361" s="1"/>
      <c r="B361" s="10" t="str">
        <f ca="1">IFERROR(__xludf.DUMMYFUNCTION("""COMPUTED_VALUE"""),"SATE- EXTENSIÓN RED ALCANTARILLADO DE AGUAS SERVIDAS CALLE JUAN ANTONIO RIOS, COMUNA DE LEBU")</f>
        <v>SATE- EXTENSIÓN RED ALCANTARILLADO DE AGUAS SERVIDAS CALLE JUAN ANTONIO RIOS, COMUNA DE LEBU</v>
      </c>
      <c r="C361" s="10" t="str">
        <f ca="1">IFERROR(__xludf.DUMMYFUNCTION("""COMPUTED_VALUE"""),"8201220702-C [CHA]")</f>
        <v>8201220702-C [CHA]</v>
      </c>
      <c r="D361" s="26" t="str">
        <f t="shared" ca="1" si="1"/>
        <v xml:space="preserve"> LEBU</v>
      </c>
      <c r="E361" s="10" t="str">
        <f ca="1">IFERROR(__xludf.DUMMYFUNCTION("""COMPUTED_VALUE"""),"Guía Operativa")</f>
        <v>Guía Operativa</v>
      </c>
      <c r="F361" s="10" t="str">
        <f ca="1">IFERROR(__xludf.DUMMYFUNCTION("""COMPUTED_VALUE"""),"MUNICIPALIDAD DE LEBU")</f>
        <v>MUNICIPALIDAD DE LEBU</v>
      </c>
      <c r="G361" s="71">
        <f ca="1">IFERROR(__xludf.DUMMYFUNCTION("""COMPUTED_VALUE"""),21335598)</f>
        <v>21335598</v>
      </c>
      <c r="H361" s="10" t="str">
        <f ca="1">IFERROR(__xludf.DUMMYFUNCTION("""COMPUTED_VALUE"""),"Resolución")</f>
        <v>Resolución</v>
      </c>
      <c r="I361" s="10" t="str">
        <f ca="1">IFERROR(__xludf.DUMMYFUNCTION("""COMPUTED_VALUE"""),"Obra")</f>
        <v>Obra</v>
      </c>
      <c r="J361" s="10" t="str">
        <f ca="1">IFERROR(__xludf.DUMMYFUNCTION("""COMPUTED_VALUE"""),"Cumplir con normativa y reglamentos internos del programa en base a los objetivos.")</f>
        <v>Cumplir con normativa y reglamentos internos del programa en base a los objetivos.</v>
      </c>
      <c r="K361" s="71">
        <f ca="1">IFERROR(__xludf.DUMMYFUNCTION("""COMPUTED_VALUE"""),21335598)</f>
        <v>21335598</v>
      </c>
      <c r="L361" s="27">
        <f ca="1">IFERROR(__xludf.DUMMYFUNCTION("""COMPUTED_VALUE"""),1)</f>
        <v>1</v>
      </c>
      <c r="M361" s="10" t="str">
        <f ca="1">IFERROR(__xludf.DUMMYFUNCTION("""COMPUTED_VALUE"""),"14414/2023")</f>
        <v>14414/2023</v>
      </c>
      <c r="N361" s="10" t="str">
        <f ca="1">IFERROR(__xludf.DUMMYFUNCTION("""COMPUTED_VALUE"""),"PMB")</f>
        <v>PMB</v>
      </c>
      <c r="O361" s="59"/>
      <c r="P361" s="1"/>
      <c r="Q361" s="1"/>
      <c r="R361" s="1"/>
      <c r="S361" s="1"/>
      <c r="T361" s="1"/>
      <c r="U361" s="1"/>
      <c r="V361" s="1"/>
      <c r="W361" s="1"/>
      <c r="X361" s="1"/>
      <c r="Y361" s="1"/>
      <c r="Z361" s="1"/>
      <c r="AA361" s="1"/>
    </row>
    <row r="362" spans="1:27" ht="12.75" customHeight="1">
      <c r="A362" s="1"/>
      <c r="B362" s="10" t="str">
        <f ca="1">IFERROR(__xludf.DUMMYFUNCTION("""COMPUTED_VALUE"""),"SANEAMIENTO SANITARIO, SECTOR SAN GERMÁN, COMUNA DE TOMÉ")</f>
        <v>SANEAMIENTO SANITARIO, SECTOR SAN GERMÁN, COMUNA DE TOMÉ</v>
      </c>
      <c r="C362" s="10">
        <f ca="1">IFERROR(__xludf.DUMMYFUNCTION("""COMPUTED_VALUE"""),8111140707)</f>
        <v>8111140707</v>
      </c>
      <c r="D362" s="26" t="str">
        <f t="shared" ca="1" si="1"/>
        <v xml:space="preserve"> TOMÉ</v>
      </c>
      <c r="E362" s="10" t="str">
        <f ca="1">IFERROR(__xludf.DUMMYFUNCTION("""COMPUTED_VALUE"""),"Guía Operativa")</f>
        <v>Guía Operativa</v>
      </c>
      <c r="F362" s="10" t="str">
        <f ca="1">IFERROR(__xludf.DUMMYFUNCTION("""COMPUTED_VALUE"""),"MUNICIPALIDAD DE TOMÉ")</f>
        <v>MUNICIPALIDAD DE TOMÉ</v>
      </c>
      <c r="G362" s="71">
        <f ca="1">IFERROR(__xludf.DUMMYFUNCTION("""COMPUTED_VALUE"""),48858273)</f>
        <v>48858273</v>
      </c>
      <c r="H362" s="10" t="str">
        <f ca="1">IFERROR(__xludf.DUMMYFUNCTION("""COMPUTED_VALUE"""),"Resolución")</f>
        <v>Resolución</v>
      </c>
      <c r="I362" s="10" t="str">
        <f ca="1">IFERROR(__xludf.DUMMYFUNCTION("""COMPUTED_VALUE"""),"Obra")</f>
        <v>Obra</v>
      </c>
      <c r="J362" s="10" t="str">
        <f ca="1">IFERROR(__xludf.DUMMYFUNCTION("""COMPUTED_VALUE"""),"Cumplir con normativa y reglamentos internos del programa en base a los objetivos.")</f>
        <v>Cumplir con normativa y reglamentos internos del programa en base a los objetivos.</v>
      </c>
      <c r="K362" s="71">
        <f ca="1">IFERROR(__xludf.DUMMYFUNCTION("""COMPUTED_VALUE"""),48858273)</f>
        <v>48858273</v>
      </c>
      <c r="L362" s="27">
        <f ca="1">IFERROR(__xludf.DUMMYFUNCTION("""COMPUTED_VALUE"""),1)</f>
        <v>1</v>
      </c>
      <c r="M362" s="10" t="str">
        <f ca="1">IFERROR(__xludf.DUMMYFUNCTION("""COMPUTED_VALUE"""),"9477/2023")</f>
        <v>9477/2023</v>
      </c>
      <c r="N362" s="10" t="str">
        <f ca="1">IFERROR(__xludf.DUMMYFUNCTION("""COMPUTED_VALUE"""),"PMB")</f>
        <v>PMB</v>
      </c>
      <c r="O362" s="59"/>
      <c r="P362" s="1"/>
      <c r="Q362" s="1"/>
      <c r="R362" s="1"/>
      <c r="S362" s="1"/>
      <c r="T362" s="1"/>
      <c r="U362" s="1"/>
      <c r="V362" s="1"/>
      <c r="W362" s="1"/>
      <c r="X362" s="1"/>
      <c r="Y362" s="1"/>
      <c r="Z362" s="1"/>
      <c r="AA362" s="1"/>
    </row>
    <row r="363" spans="1:27" ht="12.75" customHeight="1">
      <c r="A363" s="1"/>
      <c r="B363" s="10" t="str">
        <f ca="1">IFERROR(__xludf.DUMMYFUNCTION("""COMPUTED_VALUE"""),"ASIS.TEC. A EQUIPOS MUNICIPALES EN LA FORMULACIÓN DE PROYECTOS DE SERVICIOS SANITARIOS RURALES PARA ACORTAR BRECHA DE ACCESO A AGUA CONSUMO HUMANO")</f>
        <v>ASIS.TEC. A EQUIPOS MUNICIPALES EN LA FORMULACIÓN DE PROYECTOS DE SERVICIOS SANITARIOS RURALES PARA ACORTAR BRECHA DE ACCESO A AGUA CONSUMO HUMANO</v>
      </c>
      <c r="C363" s="10" t="str">
        <f ca="1">IFERROR(__xludf.DUMMYFUNCTION("""COMPUTED_VALUE"""),"8905231004-C")</f>
        <v>8905231004-C</v>
      </c>
      <c r="D363" s="26" t="s">
        <v>29</v>
      </c>
      <c r="E363" s="10" t="str">
        <f ca="1">IFERROR(__xludf.DUMMYFUNCTION("""COMPUTED_VALUE"""),"Guía Operativa")</f>
        <v>Guía Operativa</v>
      </c>
      <c r="F363" s="10" t="str">
        <f ca="1">IFERROR(__xludf.DUMMYFUNCTION("""COMPUTED_VALUE"""),"ASOCIACIÓN DE MUNICIPALIDADES DE LA REGIÓN DEL BIOBÍO - AMRBB")</f>
        <v>ASOCIACIÓN DE MUNICIPALIDADES DE LA REGIÓN DEL BIOBÍO - AMRBB</v>
      </c>
      <c r="G363" s="71">
        <f ca="1">IFERROR(__xludf.DUMMYFUNCTION("""COMPUTED_VALUE"""),86400000)</f>
        <v>86400000</v>
      </c>
      <c r="H363" s="10" t="str">
        <f ca="1">IFERROR(__xludf.DUMMYFUNCTION("""COMPUTED_VALUE"""),"Resolución")</f>
        <v>Resolución</v>
      </c>
      <c r="I363" s="10" t="str">
        <f ca="1">IFERROR(__xludf.DUMMYFUNCTION("""COMPUTED_VALUE"""),"Asistencia Técnica")</f>
        <v>Asistencia Técnica</v>
      </c>
      <c r="J363" s="10" t="str">
        <f ca="1">IFERROR(__xludf.DUMMYFUNCTION("""COMPUTED_VALUE"""),"Cumplir con normativa y reglamentos internos del programa en base a los objetivos.")</f>
        <v>Cumplir con normativa y reglamentos internos del programa en base a los objetivos.</v>
      </c>
      <c r="K363" s="71">
        <f ca="1">IFERROR(__xludf.DUMMYFUNCTION("""COMPUTED_VALUE"""),43200000)</f>
        <v>43200000</v>
      </c>
      <c r="L363" s="27">
        <f ca="1">IFERROR(__xludf.DUMMYFUNCTION("""COMPUTED_VALUE"""),0.5)</f>
        <v>0.5</v>
      </c>
      <c r="M363" s="10" t="str">
        <f ca="1">IFERROR(__xludf.DUMMYFUNCTION("""COMPUTED_VALUE"""),"10191/2024")</f>
        <v>10191/2024</v>
      </c>
      <c r="N363" s="10" t="str">
        <f ca="1">IFERROR(__xludf.DUMMYFUNCTION("""COMPUTED_VALUE"""),"PMB")</f>
        <v>PMB</v>
      </c>
      <c r="O363" s="59"/>
      <c r="P363" s="1"/>
      <c r="Q363" s="1"/>
      <c r="R363" s="1"/>
      <c r="S363" s="1"/>
      <c r="T363" s="1"/>
      <c r="U363" s="1"/>
      <c r="V363" s="1"/>
      <c r="W363" s="1"/>
      <c r="X363" s="1"/>
      <c r="Y363" s="1"/>
      <c r="Z363" s="1"/>
      <c r="AA363" s="1"/>
    </row>
    <row r="364" spans="1:27" ht="12.75" customHeight="1">
      <c r="A364" s="1"/>
      <c r="B364" s="10" t="str">
        <f ca="1">IFERROR(__xludf.DUMMYFUNCTION("""COMPUTED_VALUE"""),"SOLUCIONES INDIVIDUALES AGUA POTABLE RURAL DIVERSOS SECTORES, COMUNA DE COBQUECURA")</f>
        <v>SOLUCIONES INDIVIDUALES AGUA POTABLE RURAL DIVERSOS SECTORES, COMUNA DE COBQUECURA</v>
      </c>
      <c r="C364" s="10" t="str">
        <f ca="1">IFERROR(__xludf.DUMMYFUNCTION("""COMPUTED_VALUE"""),"16202220702-C")</f>
        <v>16202220702-C</v>
      </c>
      <c r="D364" s="26" t="str">
        <f t="shared" ref="D364:D554" ca="1" si="2">MID(F364,17,30)</f>
        <v xml:space="preserve"> COBQUECURA</v>
      </c>
      <c r="E364" s="10" t="str">
        <f ca="1">IFERROR(__xludf.DUMMYFUNCTION("""COMPUTED_VALUE"""),"Guía Operativa")</f>
        <v>Guía Operativa</v>
      </c>
      <c r="F364" s="10" t="str">
        <f ca="1">IFERROR(__xludf.DUMMYFUNCTION("""COMPUTED_VALUE"""),"MUNICIPALIDAD DE COBQUECURA")</f>
        <v>MUNICIPALIDAD DE COBQUECURA</v>
      </c>
      <c r="G364" s="71">
        <f ca="1">IFERROR(__xludf.DUMMYFUNCTION("""COMPUTED_VALUE"""),196691078)</f>
        <v>196691078</v>
      </c>
      <c r="H364" s="10" t="str">
        <f ca="1">IFERROR(__xludf.DUMMYFUNCTION("""COMPUTED_VALUE"""),"Resolución")</f>
        <v>Resolución</v>
      </c>
      <c r="I364" s="10" t="str">
        <f ca="1">IFERROR(__xludf.DUMMYFUNCTION("""COMPUTED_VALUE"""),"Obra")</f>
        <v>Obra</v>
      </c>
      <c r="J364" s="10" t="str">
        <f ca="1">IFERROR(__xludf.DUMMYFUNCTION("""COMPUTED_VALUE"""),"Cumplir con normativa y reglamentos internos del programa en base a los objetivos.")</f>
        <v>Cumplir con normativa y reglamentos internos del programa en base a los objetivos.</v>
      </c>
      <c r="K364" s="71">
        <f ca="1">IFERROR(__xludf.DUMMYFUNCTION("""COMPUTED_VALUE"""),196691078)</f>
        <v>196691078</v>
      </c>
      <c r="L364" s="27">
        <f ca="1">IFERROR(__xludf.DUMMYFUNCTION("""COMPUTED_VALUE"""),1)</f>
        <v>1</v>
      </c>
      <c r="M364" s="10" t="str">
        <f ca="1">IFERROR(__xludf.DUMMYFUNCTION("""COMPUTED_VALUE"""),"12116/2024")</f>
        <v>12116/2024</v>
      </c>
      <c r="N364" s="10" t="str">
        <f ca="1">IFERROR(__xludf.DUMMYFUNCTION("""COMPUTED_VALUE"""),"PMB")</f>
        <v>PMB</v>
      </c>
      <c r="O364" s="59"/>
      <c r="P364" s="1"/>
      <c r="Q364" s="1"/>
      <c r="R364" s="1"/>
      <c r="S364" s="1"/>
      <c r="T364" s="1"/>
      <c r="U364" s="1"/>
      <c r="V364" s="1"/>
      <c r="W364" s="1"/>
      <c r="X364" s="1"/>
      <c r="Y364" s="1"/>
      <c r="Z364" s="1"/>
      <c r="AA364" s="1"/>
    </row>
    <row r="365" spans="1:27" ht="12.75" customHeight="1">
      <c r="A365" s="1"/>
      <c r="B365" s="10" t="str">
        <f ca="1">IFERROR(__xludf.DUMMYFUNCTION("""COMPUTED_VALUE"""),"“NORMALIZACION ALUMBRADO PUBLICO PLAZA 23 DE MARZO Y PASEO RAMIREZ, LOCALIDAD DE CALAMA, COMUNA DE CALAMA”")</f>
        <v>“NORMALIZACION ALUMBRADO PUBLICO PLAZA 23 DE MARZO Y PASEO RAMIREZ, LOCALIDAD DE CALAMA, COMUNA DE CALAMA”</v>
      </c>
      <c r="C365" s="10" t="str">
        <f ca="1">IFERROR(__xludf.DUMMYFUNCTION("""COMPUTED_VALUE"""),"2201230702-C")</f>
        <v>2201230702-C</v>
      </c>
      <c r="D365" s="26" t="str">
        <f t="shared" ca="1" si="2"/>
        <v xml:space="preserve"> CALAMA</v>
      </c>
      <c r="E365" s="10" t="str">
        <f ca="1">IFERROR(__xludf.DUMMYFUNCTION("""COMPUTED_VALUE"""),"Guía Operativa")</f>
        <v>Guía Operativa</v>
      </c>
      <c r="F365" s="10" t="str">
        <f ca="1">IFERROR(__xludf.DUMMYFUNCTION("""COMPUTED_VALUE"""),"MUNICIPALIDAD DE CALAMA")</f>
        <v>MUNICIPALIDAD DE CALAMA</v>
      </c>
      <c r="G365" s="71">
        <f ca="1">IFERROR(__xludf.DUMMYFUNCTION("""COMPUTED_VALUE"""),117681222)</f>
        <v>117681222</v>
      </c>
      <c r="H365" s="10" t="str">
        <f ca="1">IFERROR(__xludf.DUMMYFUNCTION("""COMPUTED_VALUE"""),"Resolución")</f>
        <v>Resolución</v>
      </c>
      <c r="I365" s="10" t="str">
        <f ca="1">IFERROR(__xludf.DUMMYFUNCTION("""COMPUTED_VALUE"""),"Obra")</f>
        <v>Obra</v>
      </c>
      <c r="J365" s="10" t="str">
        <f ca="1">IFERROR(__xludf.DUMMYFUNCTION("""COMPUTED_VALUE"""),"Cumplir con normativa y reglamentos internos del programa en base a los objetivos.")</f>
        <v>Cumplir con normativa y reglamentos internos del programa en base a los objetivos.</v>
      </c>
      <c r="K365" s="71">
        <f ca="1">IFERROR(__xludf.DUMMYFUNCTION("""COMPUTED_VALUE"""),117681222)</f>
        <v>117681222</v>
      </c>
      <c r="L365" s="27">
        <f ca="1">IFERROR(__xludf.DUMMYFUNCTION("""COMPUTED_VALUE"""),1)</f>
        <v>1</v>
      </c>
      <c r="M365" s="10" t="str">
        <f ca="1">IFERROR(__xludf.DUMMYFUNCTION("""COMPUTED_VALUE"""),"11913/2024")</f>
        <v>11913/2024</v>
      </c>
      <c r="N365" s="10" t="str">
        <f ca="1">IFERROR(__xludf.DUMMYFUNCTION("""COMPUTED_VALUE"""),"PMB")</f>
        <v>PMB</v>
      </c>
      <c r="O365" s="59"/>
      <c r="P365" s="1"/>
      <c r="Q365" s="1"/>
      <c r="R365" s="1"/>
      <c r="S365" s="1"/>
      <c r="T365" s="1"/>
      <c r="U365" s="1"/>
      <c r="V365" s="1"/>
      <c r="W365" s="1"/>
      <c r="X365" s="1"/>
      <c r="Y365" s="1"/>
      <c r="Z365" s="1"/>
      <c r="AA365" s="1"/>
    </row>
    <row r="366" spans="1:27" ht="12.75" customHeight="1">
      <c r="A366" s="1"/>
      <c r="B366" s="10" t="str">
        <f ca="1">IFERROR(__xludf.DUMMYFUNCTION("""COMPUTED_VALUE"""),"SANEAMIENTO SANITARIO CALLE 18 DE SEPTIEMBRE COMUNA DE CHANCO")</f>
        <v>SANEAMIENTO SANITARIO CALLE 18 DE SEPTIEMBRE COMUNA DE CHANCO</v>
      </c>
      <c r="C366" s="10" t="str">
        <f ca="1">IFERROR(__xludf.DUMMYFUNCTION("""COMPUTED_VALUE"""),"7202240701-B")</f>
        <v>7202240701-B</v>
      </c>
      <c r="D366" s="26" t="str">
        <f t="shared" ca="1" si="2"/>
        <v xml:space="preserve"> CHANCO</v>
      </c>
      <c r="E366" s="10" t="str">
        <f ca="1">IFERROR(__xludf.DUMMYFUNCTION("""COMPUTED_VALUE"""),"Guía Operativa")</f>
        <v>Guía Operativa</v>
      </c>
      <c r="F366" s="10" t="str">
        <f ca="1">IFERROR(__xludf.DUMMYFUNCTION("""COMPUTED_VALUE"""),"MUNICIPALIDAD DE CHANCO")</f>
        <v>MUNICIPALIDAD DE CHANCO</v>
      </c>
      <c r="G366" s="71">
        <f ca="1">IFERROR(__xludf.DUMMYFUNCTION("""COMPUTED_VALUE"""),54611823)</f>
        <v>54611823</v>
      </c>
      <c r="H366" s="10" t="str">
        <f ca="1">IFERROR(__xludf.DUMMYFUNCTION("""COMPUTED_VALUE"""),"Resolución")</f>
        <v>Resolución</v>
      </c>
      <c r="I366" s="10" t="str">
        <f ca="1">IFERROR(__xludf.DUMMYFUNCTION("""COMPUTED_VALUE"""),"Obra")</f>
        <v>Obra</v>
      </c>
      <c r="J366" s="10" t="str">
        <f ca="1">IFERROR(__xludf.DUMMYFUNCTION("""COMPUTED_VALUE"""),"Cumplir con normativa y reglamentos internos del programa en base a los objetivos.")</f>
        <v>Cumplir con normativa y reglamentos internos del programa en base a los objetivos.</v>
      </c>
      <c r="K366" s="71">
        <f ca="1">IFERROR(__xludf.DUMMYFUNCTION("""COMPUTED_VALUE"""),54611823)</f>
        <v>54611823</v>
      </c>
      <c r="L366" s="27">
        <f ca="1">IFERROR(__xludf.DUMMYFUNCTION("""COMPUTED_VALUE"""),1)</f>
        <v>1</v>
      </c>
      <c r="M366" s="10" t="str">
        <f ca="1">IFERROR(__xludf.DUMMYFUNCTION("""COMPUTED_VALUE"""),"12502/2024")</f>
        <v>12502/2024</v>
      </c>
      <c r="N366" s="10" t="str">
        <f ca="1">IFERROR(__xludf.DUMMYFUNCTION("""COMPUTED_VALUE"""),"PMB")</f>
        <v>PMB</v>
      </c>
      <c r="O366" s="59"/>
      <c r="P366" s="1"/>
      <c r="Q366" s="1"/>
      <c r="R366" s="1"/>
      <c r="S366" s="1"/>
      <c r="T366" s="1"/>
      <c r="U366" s="1"/>
      <c r="V366" s="1"/>
      <c r="W366" s="1"/>
      <c r="X366" s="1"/>
      <c r="Y366" s="1"/>
      <c r="Z366" s="1"/>
      <c r="AA366" s="1"/>
    </row>
    <row r="367" spans="1:27" ht="12.75" customHeight="1">
      <c r="A367" s="1"/>
      <c r="B367" s="10" t="str">
        <f ca="1">IFERROR(__xludf.DUMMYFUNCTION("""COMPUTED_VALUE"""),"CONSTRUCCIÓN EXTENSIÓN RED AGUA POTABLE CALLE BERTA ZAMORANO Y OTRAS VÍAS DE LA COMUNA DE COLTAUCO")</f>
        <v>CONSTRUCCIÓN EXTENSIÓN RED AGUA POTABLE CALLE BERTA ZAMORANO Y OTRAS VÍAS DE LA COMUNA DE COLTAUCO</v>
      </c>
      <c r="C367" s="10" t="str">
        <f ca="1">IFERROR(__xludf.DUMMYFUNCTION("""COMPUTED_VALUE"""),"6104220702-C [FET]")</f>
        <v>6104220702-C [FET]</v>
      </c>
      <c r="D367" s="26" t="str">
        <f t="shared" ca="1" si="2"/>
        <v xml:space="preserve"> COLTAUCO</v>
      </c>
      <c r="E367" s="10" t="str">
        <f ca="1">IFERROR(__xludf.DUMMYFUNCTION("""COMPUTED_VALUE"""),"Guía Operativa")</f>
        <v>Guía Operativa</v>
      </c>
      <c r="F367" s="10" t="str">
        <f ca="1">IFERROR(__xludf.DUMMYFUNCTION("""COMPUTED_VALUE"""),"MUNICIPALIDAD DE COLTAUCO")</f>
        <v>MUNICIPALIDAD DE COLTAUCO</v>
      </c>
      <c r="G367" s="71">
        <f ca="1">IFERROR(__xludf.DUMMYFUNCTION("""COMPUTED_VALUE"""),19309900)</f>
        <v>19309900</v>
      </c>
      <c r="H367" s="10" t="str">
        <f ca="1">IFERROR(__xludf.DUMMYFUNCTION("""COMPUTED_VALUE"""),"Resolución")</f>
        <v>Resolución</v>
      </c>
      <c r="I367" s="10" t="str">
        <f ca="1">IFERROR(__xludf.DUMMYFUNCTION("""COMPUTED_VALUE"""),"Obra")</f>
        <v>Obra</v>
      </c>
      <c r="J367" s="10" t="str">
        <f ca="1">IFERROR(__xludf.DUMMYFUNCTION("""COMPUTED_VALUE"""),"Cumplir con normativa y reglamentos internos del programa en base a los objetivos.")</f>
        <v>Cumplir con normativa y reglamentos internos del programa en base a los objetivos.</v>
      </c>
      <c r="K367" s="71">
        <f ca="1">IFERROR(__xludf.DUMMYFUNCTION("""COMPUTED_VALUE"""),16595136)</f>
        <v>16595136</v>
      </c>
      <c r="L367" s="27">
        <f ca="1">IFERROR(__xludf.DUMMYFUNCTION("""COMPUTED_VALUE"""),0.85941076856949)</f>
        <v>0.85941076856948995</v>
      </c>
      <c r="M367" s="10" t="str">
        <f ca="1">IFERROR(__xludf.DUMMYFUNCTION("""COMPUTED_VALUE"""),"7478/2024")</f>
        <v>7478/2024</v>
      </c>
      <c r="N367" s="10" t="str">
        <f ca="1">IFERROR(__xludf.DUMMYFUNCTION("""COMPUTED_VALUE"""),"PMB")</f>
        <v>PMB</v>
      </c>
      <c r="O367" s="59"/>
      <c r="P367" s="1"/>
      <c r="Q367" s="1"/>
      <c r="R367" s="1"/>
      <c r="S367" s="1"/>
      <c r="T367" s="1"/>
      <c r="U367" s="1"/>
      <c r="V367" s="1"/>
      <c r="W367" s="1"/>
      <c r="X367" s="1"/>
      <c r="Y367" s="1"/>
      <c r="Z367" s="1"/>
      <c r="AA367" s="1"/>
    </row>
    <row r="368" spans="1:27" ht="12.75" customHeight="1">
      <c r="A368" s="1"/>
      <c r="B368" s="10" t="str">
        <f ca="1">IFERROR(__xludf.DUMMYFUNCTION("""COMPUTED_VALUE"""),"EXTENSIÓN DE RED DE AP PASAJE LO HERMÓGENES, COMUNA DE REQUÍNOA")</f>
        <v>EXTENSIÓN DE RED DE AP PASAJE LO HERMÓGENES, COMUNA DE REQUÍNOA</v>
      </c>
      <c r="C368" s="10" t="str">
        <f ca="1">IFERROR(__xludf.DUMMYFUNCTION("""COMPUTED_VALUE"""),"6116240701-B")</f>
        <v>6116240701-B</v>
      </c>
      <c r="D368" s="26" t="str">
        <f t="shared" ca="1" si="2"/>
        <v xml:space="preserve"> REQUÍNOA</v>
      </c>
      <c r="E368" s="10" t="str">
        <f ca="1">IFERROR(__xludf.DUMMYFUNCTION("""COMPUTED_VALUE"""),"Guía Operativa")</f>
        <v>Guía Operativa</v>
      </c>
      <c r="F368" s="10" t="str">
        <f ca="1">IFERROR(__xludf.DUMMYFUNCTION("""COMPUTED_VALUE"""),"MUNICIPALIDAD DE REQUÍNOA")</f>
        <v>MUNICIPALIDAD DE REQUÍNOA</v>
      </c>
      <c r="G368" s="71">
        <f ca="1">IFERROR(__xludf.DUMMYFUNCTION("""COMPUTED_VALUE"""),65000000)</f>
        <v>65000000</v>
      </c>
      <c r="H368" s="10" t="str">
        <f ca="1">IFERROR(__xludf.DUMMYFUNCTION("""COMPUTED_VALUE"""),"Resolución")</f>
        <v>Resolución</v>
      </c>
      <c r="I368" s="10" t="str">
        <f ca="1">IFERROR(__xludf.DUMMYFUNCTION("""COMPUTED_VALUE"""),"Obra")</f>
        <v>Obra</v>
      </c>
      <c r="J368" s="10" t="str">
        <f ca="1">IFERROR(__xludf.DUMMYFUNCTION("""COMPUTED_VALUE"""),"Cumplir con normativa y reglamentos internos del programa en base a los objetivos.")</f>
        <v>Cumplir con normativa y reglamentos internos del programa en base a los objetivos.</v>
      </c>
      <c r="K368" s="71">
        <f ca="1">IFERROR(__xludf.DUMMYFUNCTION("""COMPUTED_VALUE"""),65000000)</f>
        <v>65000000</v>
      </c>
      <c r="L368" s="27">
        <f ca="1">IFERROR(__xludf.DUMMYFUNCTION("""COMPUTED_VALUE"""),1)</f>
        <v>1</v>
      </c>
      <c r="M368" s="10" t="str">
        <f ca="1">IFERROR(__xludf.DUMMYFUNCTION("""COMPUTED_VALUE"""),"11908/2024")</f>
        <v>11908/2024</v>
      </c>
      <c r="N368" s="10" t="str">
        <f ca="1">IFERROR(__xludf.DUMMYFUNCTION("""COMPUTED_VALUE"""),"PMB")</f>
        <v>PMB</v>
      </c>
      <c r="O368" s="59"/>
      <c r="P368" s="1"/>
      <c r="Q368" s="1"/>
      <c r="R368" s="1"/>
      <c r="S368" s="1"/>
      <c r="T368" s="1"/>
      <c r="U368" s="1"/>
      <c r="V368" s="1"/>
      <c r="W368" s="1"/>
      <c r="X368" s="1"/>
      <c r="Y368" s="1"/>
      <c r="Z368" s="1"/>
      <c r="AA368" s="1"/>
    </row>
    <row r="369" spans="1:27" ht="12.75" customHeight="1">
      <c r="A369" s="1"/>
      <c r="B369" s="10" t="str">
        <f ca="1">IFERROR(__xludf.DUMMYFUNCTION("""COMPUTED_VALUE"""),"CONSTRUCCIÓN SISTEMA FOTOVOLTAICO HIBRIDO, LOCALIDAD DE POROMA")</f>
        <v>CONSTRUCCIÓN SISTEMA FOTOVOLTAICO HIBRIDO, LOCALIDAD DE POROMA</v>
      </c>
      <c r="C369" s="10" t="str">
        <f ca="1">IFERROR(__xludf.DUMMYFUNCTION("""COMPUTED_VALUE"""),"1404240702-C")</f>
        <v>1404240702-C</v>
      </c>
      <c r="D369" s="26" t="str">
        <f t="shared" ca="1" si="2"/>
        <v xml:space="preserve"> HUARA</v>
      </c>
      <c r="E369" s="10" t="str">
        <f ca="1">IFERROR(__xludf.DUMMYFUNCTION("""COMPUTED_VALUE"""),"Guía Operativa")</f>
        <v>Guía Operativa</v>
      </c>
      <c r="F369" s="10" t="str">
        <f ca="1">IFERROR(__xludf.DUMMYFUNCTION("""COMPUTED_VALUE"""),"MUNICIPALIDAD DE HUARA")</f>
        <v>MUNICIPALIDAD DE HUARA</v>
      </c>
      <c r="G369" s="71">
        <f ca="1">IFERROR(__xludf.DUMMYFUNCTION("""COMPUTED_VALUE"""),267587119)</f>
        <v>267587119</v>
      </c>
      <c r="H369" s="10" t="str">
        <f ca="1">IFERROR(__xludf.DUMMYFUNCTION("""COMPUTED_VALUE"""),"Resolución")</f>
        <v>Resolución</v>
      </c>
      <c r="I369" s="10" t="str">
        <f ca="1">IFERROR(__xludf.DUMMYFUNCTION("""COMPUTED_VALUE"""),"Obra")</f>
        <v>Obra</v>
      </c>
      <c r="J369" s="10" t="str">
        <f ca="1">IFERROR(__xludf.DUMMYFUNCTION("""COMPUTED_VALUE"""),"Cumplir con normativa y reglamentos internos del programa en base a los objetivos.")</f>
        <v>Cumplir con normativa y reglamentos internos del programa en base a los objetivos.</v>
      </c>
      <c r="K369" s="71">
        <f ca="1">IFERROR(__xludf.DUMMYFUNCTION("""COMPUTED_VALUE"""),267587119)</f>
        <v>267587119</v>
      </c>
      <c r="L369" s="27">
        <f ca="1">IFERROR(__xludf.DUMMYFUNCTION("""COMPUTED_VALUE"""),1)</f>
        <v>1</v>
      </c>
      <c r="M369" s="10" t="str">
        <f ca="1">IFERROR(__xludf.DUMMYFUNCTION("""COMPUTED_VALUE"""),"11907/2024")</f>
        <v>11907/2024</v>
      </c>
      <c r="N369" s="10" t="str">
        <f ca="1">IFERROR(__xludf.DUMMYFUNCTION("""COMPUTED_VALUE"""),"PMB")</f>
        <v>PMB</v>
      </c>
      <c r="O369" s="59"/>
      <c r="P369" s="1"/>
      <c r="Q369" s="1"/>
      <c r="R369" s="1"/>
      <c r="S369" s="1"/>
      <c r="T369" s="1"/>
      <c r="U369" s="1"/>
      <c r="V369" s="1"/>
      <c r="W369" s="1"/>
      <c r="X369" s="1"/>
      <c r="Y369" s="1"/>
      <c r="Z369" s="1"/>
      <c r="AA369" s="1"/>
    </row>
    <row r="370" spans="1:27" ht="12.75" customHeight="1">
      <c r="A370" s="1"/>
      <c r="B370" s="10" t="str">
        <f ca="1">IFERROR(__xludf.DUMMYFUNCTION("""COMPUTED_VALUE"""),"ASIST. TÉCNICA PARA LA GENERACION DE PROYECTOS Y ASESORIA PARA LA OPERACIÓN Y AMPLIACION DEL RELLENO SANITARIO ARAUCO CURANILAHUE")</f>
        <v>ASIST. TÉCNICA PARA LA GENERACION DE PROYECTOS Y ASESORIA PARA LA OPERACIÓN Y AMPLIACION DEL RELLENO SANITARIO ARAUCO CURANILAHUE</v>
      </c>
      <c r="C370" s="10" t="str">
        <f ca="1">IFERROR(__xludf.DUMMYFUNCTION("""COMPUTED_VALUE"""),"8205241001-C")</f>
        <v>8205241001-C</v>
      </c>
      <c r="D370" s="26" t="str">
        <f t="shared" ca="1" si="2"/>
        <v xml:space="preserve"> CURANILAHUE</v>
      </c>
      <c r="E370" s="10" t="str">
        <f ca="1">IFERROR(__xludf.DUMMYFUNCTION("""COMPUTED_VALUE"""),"Guía Operativa")</f>
        <v>Guía Operativa</v>
      </c>
      <c r="F370" s="10" t="str">
        <f ca="1">IFERROR(__xludf.DUMMYFUNCTION("""COMPUTED_VALUE"""),"MUNICIPALIDAD DE CURANILAHUE")</f>
        <v>MUNICIPALIDAD DE CURANILAHUE</v>
      </c>
      <c r="G370" s="71">
        <f ca="1">IFERROR(__xludf.DUMMYFUNCTION("""COMPUTED_VALUE"""),24000000)</f>
        <v>24000000</v>
      </c>
      <c r="H370" s="10" t="str">
        <f ca="1">IFERROR(__xludf.DUMMYFUNCTION("""COMPUTED_VALUE"""),"Resolución")</f>
        <v>Resolución</v>
      </c>
      <c r="I370" s="10" t="str">
        <f ca="1">IFERROR(__xludf.DUMMYFUNCTION("""COMPUTED_VALUE"""),"Asistencia Técnica")</f>
        <v>Asistencia Técnica</v>
      </c>
      <c r="J370" s="10" t="str">
        <f ca="1">IFERROR(__xludf.DUMMYFUNCTION("""COMPUTED_VALUE"""),"Cumplir con normativa y reglamentos internos del programa en base a los objetivos.")</f>
        <v>Cumplir con normativa y reglamentos internos del programa en base a los objetivos.</v>
      </c>
      <c r="K370" s="71">
        <f ca="1">IFERROR(__xludf.DUMMYFUNCTION("""COMPUTED_VALUE"""),24000000)</f>
        <v>24000000</v>
      </c>
      <c r="L370" s="27">
        <f ca="1">IFERROR(__xludf.DUMMYFUNCTION("""COMPUTED_VALUE"""),1)</f>
        <v>1</v>
      </c>
      <c r="M370" s="10" t="str">
        <f ca="1">IFERROR(__xludf.DUMMYFUNCTION("""COMPUTED_VALUE"""),"10956/2024")</f>
        <v>10956/2024</v>
      </c>
      <c r="N370" s="10" t="str">
        <f ca="1">IFERROR(__xludf.DUMMYFUNCTION("""COMPUTED_VALUE"""),"PMB")</f>
        <v>PMB</v>
      </c>
      <c r="O370" s="59"/>
      <c r="P370" s="1"/>
      <c r="Q370" s="1"/>
      <c r="R370" s="1"/>
      <c r="S370" s="1"/>
      <c r="T370" s="1"/>
      <c r="U370" s="1"/>
      <c r="V370" s="1"/>
      <c r="W370" s="1"/>
      <c r="X370" s="1"/>
      <c r="Y370" s="1"/>
      <c r="Z370" s="1"/>
      <c r="AA370" s="1"/>
    </row>
    <row r="371" spans="1:27" ht="12.75" customHeight="1">
      <c r="A371" s="1"/>
      <c r="B371" s="10" t="str">
        <f ca="1">IFERROR(__xludf.DUMMYFUNCTION("""COMPUTED_VALUE"""),"RECAMBIO MASIVO DE LUMINARIAS VIALES EN LOCALIDAD DE VILCÚN, SECTOR NORTE")</f>
        <v>RECAMBIO MASIVO DE LUMINARIAS VIALES EN LOCALIDAD DE VILCÚN, SECTOR NORTE</v>
      </c>
      <c r="C371" s="10" t="str">
        <f ca="1">IFERROR(__xludf.DUMMYFUNCTION("""COMPUTED_VALUE"""),"9119230709-C")</f>
        <v>9119230709-C</v>
      </c>
      <c r="D371" s="26" t="str">
        <f t="shared" ca="1" si="2"/>
        <v xml:space="preserve"> VILCÚN</v>
      </c>
      <c r="E371" s="10" t="str">
        <f ca="1">IFERROR(__xludf.DUMMYFUNCTION("""COMPUTED_VALUE"""),"Guía Operativa")</f>
        <v>Guía Operativa</v>
      </c>
      <c r="F371" s="10" t="str">
        <f ca="1">IFERROR(__xludf.DUMMYFUNCTION("""COMPUTED_VALUE"""),"MUNICIPALIDAD DE VILCÚN")</f>
        <v>MUNICIPALIDAD DE VILCÚN</v>
      </c>
      <c r="G371" s="71">
        <f ca="1">IFERROR(__xludf.DUMMYFUNCTION("""COMPUTED_VALUE"""),184796363)</f>
        <v>184796363</v>
      </c>
      <c r="H371" s="10" t="str">
        <f ca="1">IFERROR(__xludf.DUMMYFUNCTION("""COMPUTED_VALUE"""),"Resolución")</f>
        <v>Resolución</v>
      </c>
      <c r="I371" s="10" t="str">
        <f ca="1">IFERROR(__xludf.DUMMYFUNCTION("""COMPUTED_VALUE"""),"Obra")</f>
        <v>Obra</v>
      </c>
      <c r="J371" s="10" t="str">
        <f ca="1">IFERROR(__xludf.DUMMYFUNCTION("""COMPUTED_VALUE"""),"Cumplir con normativa y reglamentos internos del programa en base a los objetivos.")</f>
        <v>Cumplir con normativa y reglamentos internos del programa en base a los objetivos.</v>
      </c>
      <c r="K371" s="71">
        <f ca="1">IFERROR(__xludf.DUMMYFUNCTION("""COMPUTED_VALUE"""),184796363)</f>
        <v>184796363</v>
      </c>
      <c r="L371" s="27">
        <f ca="1">IFERROR(__xludf.DUMMYFUNCTION("""COMPUTED_VALUE"""),1)</f>
        <v>1</v>
      </c>
      <c r="M371" s="10" t="str">
        <f ca="1">IFERROR(__xludf.DUMMYFUNCTION("""COMPUTED_VALUE"""),"8920/2024")</f>
        <v>8920/2024</v>
      </c>
      <c r="N371" s="10" t="str">
        <f ca="1">IFERROR(__xludf.DUMMYFUNCTION("""COMPUTED_VALUE"""),"PMB")</f>
        <v>PMB</v>
      </c>
      <c r="O371" s="59"/>
      <c r="P371" s="1"/>
      <c r="Q371" s="1"/>
      <c r="R371" s="1"/>
      <c r="S371" s="1"/>
      <c r="T371" s="1"/>
      <c r="U371" s="1"/>
      <c r="V371" s="1"/>
      <c r="W371" s="1"/>
      <c r="X371" s="1"/>
      <c r="Y371" s="1"/>
      <c r="Z371" s="1"/>
      <c r="AA371" s="1"/>
    </row>
    <row r="372" spans="1:27" ht="12.75" customHeight="1">
      <c r="A372" s="1"/>
      <c r="B372" s="10" t="str">
        <f ca="1">IFERROR(__xludf.DUMMYFUNCTION("""COMPUTED_VALUE"""),"EXTENSIÓN DE RED DE AGUAS SERVIDAS, LOTEO DOÑA LORETTO, LOS ÁNGELES")</f>
        <v>EXTENSIÓN DE RED DE AGUAS SERVIDAS, LOTEO DOÑA LORETTO, LOS ÁNGELES</v>
      </c>
      <c r="C372" s="10" t="str">
        <f ca="1">IFERROR(__xludf.DUMMYFUNCTION("""COMPUTED_VALUE"""),"8301240701-B")</f>
        <v>8301240701-B</v>
      </c>
      <c r="D372" s="26" t="str">
        <f t="shared" ca="1" si="2"/>
        <v xml:space="preserve"> LOS ÁNGELES</v>
      </c>
      <c r="E372" s="10" t="str">
        <f ca="1">IFERROR(__xludf.DUMMYFUNCTION("""COMPUTED_VALUE"""),"Guía Operativa")</f>
        <v>Guía Operativa</v>
      </c>
      <c r="F372" s="10" t="str">
        <f ca="1">IFERROR(__xludf.DUMMYFUNCTION("""COMPUTED_VALUE"""),"MUNICIPALIDAD DE LOS ÁNGELES")</f>
        <v>MUNICIPALIDAD DE LOS ÁNGELES</v>
      </c>
      <c r="G372" s="71">
        <f ca="1">IFERROR(__xludf.DUMMYFUNCTION("""COMPUTED_VALUE"""),119476688)</f>
        <v>119476688</v>
      </c>
      <c r="H372" s="10" t="str">
        <f ca="1">IFERROR(__xludf.DUMMYFUNCTION("""COMPUTED_VALUE"""),"Resolución")</f>
        <v>Resolución</v>
      </c>
      <c r="I372" s="10" t="str">
        <f ca="1">IFERROR(__xludf.DUMMYFUNCTION("""COMPUTED_VALUE"""),"Obra")</f>
        <v>Obra</v>
      </c>
      <c r="J372" s="10" t="str">
        <f ca="1">IFERROR(__xludf.DUMMYFUNCTION("""COMPUTED_VALUE"""),"Cumplir con normativa y reglamentos internos del programa en base a los objetivos.")</f>
        <v>Cumplir con normativa y reglamentos internos del programa en base a los objetivos.</v>
      </c>
      <c r="K372" s="71">
        <f ca="1">IFERROR(__xludf.DUMMYFUNCTION("""COMPUTED_VALUE"""),119476688)</f>
        <v>119476688</v>
      </c>
      <c r="L372" s="27">
        <f ca="1">IFERROR(__xludf.DUMMYFUNCTION("""COMPUTED_VALUE"""),1)</f>
        <v>1</v>
      </c>
      <c r="M372" s="10" t="str">
        <f ca="1">IFERROR(__xludf.DUMMYFUNCTION("""COMPUTED_VALUE"""),"11634/2024")</f>
        <v>11634/2024</v>
      </c>
      <c r="N372" s="10" t="str">
        <f ca="1">IFERROR(__xludf.DUMMYFUNCTION("""COMPUTED_VALUE"""),"PMB")</f>
        <v>PMB</v>
      </c>
      <c r="O372" s="59"/>
      <c r="P372" s="1"/>
      <c r="Q372" s="1"/>
      <c r="R372" s="1"/>
      <c r="S372" s="1"/>
      <c r="T372" s="1"/>
      <c r="U372" s="1"/>
      <c r="V372" s="1"/>
      <c r="W372" s="1"/>
      <c r="X372" s="1"/>
      <c r="Y372" s="1"/>
      <c r="Z372" s="1"/>
      <c r="AA372" s="1"/>
    </row>
    <row r="373" spans="1:27" ht="12.75" customHeight="1">
      <c r="A373" s="1"/>
      <c r="B373" s="10" t="str">
        <f ca="1">IFERROR(__xludf.DUMMYFUNCTION("""COMPUTED_VALUE"""),"ASISTENCIA TECNICA PARA GENERACION DE PROYECTOS ELECTRICOS, COMUNA PUQUELDON.")</f>
        <v>ASISTENCIA TECNICA PARA GENERACION DE PROYECTOS ELECTRICOS, COMUNA PUQUELDON.</v>
      </c>
      <c r="C373" s="10" t="str">
        <f ca="1">IFERROR(__xludf.DUMMYFUNCTION("""COMPUTED_VALUE"""),"10206241001-C")</f>
        <v>10206241001-C</v>
      </c>
      <c r="D373" s="26" t="str">
        <f t="shared" ca="1" si="2"/>
        <v xml:space="preserve"> PUQUELDÓN</v>
      </c>
      <c r="E373" s="10" t="str">
        <f ca="1">IFERROR(__xludf.DUMMYFUNCTION("""COMPUTED_VALUE"""),"Guía Operativa")</f>
        <v>Guía Operativa</v>
      </c>
      <c r="F373" s="10" t="str">
        <f ca="1">IFERROR(__xludf.DUMMYFUNCTION("""COMPUTED_VALUE"""),"MUNICIPALIDAD DE PUQUELDÓN")</f>
        <v>MUNICIPALIDAD DE PUQUELDÓN</v>
      </c>
      <c r="G373" s="71">
        <f ca="1">IFERROR(__xludf.DUMMYFUNCTION("""COMPUTED_VALUE"""),21600000)</f>
        <v>21600000</v>
      </c>
      <c r="H373" s="10" t="str">
        <f ca="1">IFERROR(__xludf.DUMMYFUNCTION("""COMPUTED_VALUE"""),"Resolución")</f>
        <v>Resolución</v>
      </c>
      <c r="I373" s="10" t="str">
        <f ca="1">IFERROR(__xludf.DUMMYFUNCTION("""COMPUTED_VALUE"""),"Asistencia Técnica")</f>
        <v>Asistencia Técnica</v>
      </c>
      <c r="J373" s="10" t="str">
        <f ca="1">IFERROR(__xludf.DUMMYFUNCTION("""COMPUTED_VALUE"""),"Cumplir con normativa y reglamentos internos del programa en base a los objetivos.")</f>
        <v>Cumplir con normativa y reglamentos internos del programa en base a los objetivos.</v>
      </c>
      <c r="K373" s="71">
        <f ca="1">IFERROR(__xludf.DUMMYFUNCTION("""COMPUTED_VALUE"""),21600000)</f>
        <v>21600000</v>
      </c>
      <c r="L373" s="27">
        <f ca="1">IFERROR(__xludf.DUMMYFUNCTION("""COMPUTED_VALUE"""),1)</f>
        <v>1</v>
      </c>
      <c r="M373" s="10" t="str">
        <f ca="1">IFERROR(__xludf.DUMMYFUNCTION("""COMPUTED_VALUE"""),"11579/2024")</f>
        <v>11579/2024</v>
      </c>
      <c r="N373" s="10" t="str">
        <f ca="1">IFERROR(__xludf.DUMMYFUNCTION("""COMPUTED_VALUE"""),"PMB")</f>
        <v>PMB</v>
      </c>
      <c r="O373" s="59"/>
      <c r="P373" s="1"/>
      <c r="Q373" s="1"/>
      <c r="R373" s="1"/>
      <c r="S373" s="1"/>
      <c r="T373" s="1"/>
      <c r="U373" s="1"/>
      <c r="V373" s="1"/>
      <c r="W373" s="1"/>
      <c r="X373" s="1"/>
      <c r="Y373" s="1"/>
      <c r="Z373" s="1"/>
      <c r="AA373" s="1"/>
    </row>
    <row r="374" spans="1:27" ht="12.75" customHeight="1">
      <c r="A374" s="1"/>
      <c r="B374" s="10" t="str">
        <f ca="1">IFERROR(__xludf.DUMMYFUNCTION("""COMPUTED_VALUE"""),"CONSTRUCCIÓN ALUMBRADO PUBLICO CON EFICIENCIA ENERGETICA")</f>
        <v>CONSTRUCCIÓN ALUMBRADO PUBLICO CON EFICIENCIA ENERGETICA</v>
      </c>
      <c r="C374" s="10" t="str">
        <f ca="1">IFERROR(__xludf.DUMMYFUNCTION("""COMPUTED_VALUE"""),"11301230704-C")</f>
        <v>11301230704-C</v>
      </c>
      <c r="D374" s="26" t="str">
        <f t="shared" ca="1" si="2"/>
        <v xml:space="preserve"> COCHRANE</v>
      </c>
      <c r="E374" s="10" t="str">
        <f ca="1">IFERROR(__xludf.DUMMYFUNCTION("""COMPUTED_VALUE"""),"Guía Operativa")</f>
        <v>Guía Operativa</v>
      </c>
      <c r="F374" s="10" t="str">
        <f ca="1">IFERROR(__xludf.DUMMYFUNCTION("""COMPUTED_VALUE"""),"MUNICIPALIDAD DE COCHRANE")</f>
        <v>MUNICIPALIDAD DE COCHRANE</v>
      </c>
      <c r="G374" s="71">
        <f ca="1">IFERROR(__xludf.DUMMYFUNCTION("""COMPUTED_VALUE"""),111475788)</f>
        <v>111475788</v>
      </c>
      <c r="H374" s="10" t="str">
        <f ca="1">IFERROR(__xludf.DUMMYFUNCTION("""COMPUTED_VALUE"""),"Resolución")</f>
        <v>Resolución</v>
      </c>
      <c r="I374" s="10" t="str">
        <f ca="1">IFERROR(__xludf.DUMMYFUNCTION("""COMPUTED_VALUE"""),"Obra")</f>
        <v>Obra</v>
      </c>
      <c r="J374" s="10" t="str">
        <f ca="1">IFERROR(__xludf.DUMMYFUNCTION("""COMPUTED_VALUE"""),"Cumplir con normativa y reglamentos internos del programa en base a los objetivos.")</f>
        <v>Cumplir con normativa y reglamentos internos del programa en base a los objetivos.</v>
      </c>
      <c r="K374" s="71">
        <f ca="1">IFERROR(__xludf.DUMMYFUNCTION("""COMPUTED_VALUE"""),111475788)</f>
        <v>111475788</v>
      </c>
      <c r="L374" s="27">
        <f ca="1">IFERROR(__xludf.DUMMYFUNCTION("""COMPUTED_VALUE"""),1)</f>
        <v>1</v>
      </c>
      <c r="M374" s="10" t="str">
        <f ca="1">IFERROR(__xludf.DUMMYFUNCTION("""COMPUTED_VALUE"""),"11689/2024")</f>
        <v>11689/2024</v>
      </c>
      <c r="N374" s="10" t="str">
        <f ca="1">IFERROR(__xludf.DUMMYFUNCTION("""COMPUTED_VALUE"""),"PMB")</f>
        <v>PMB</v>
      </c>
      <c r="O374" s="59"/>
      <c r="P374" s="1"/>
      <c r="Q374" s="1"/>
      <c r="R374" s="1"/>
      <c r="S374" s="1"/>
      <c r="T374" s="1"/>
      <c r="U374" s="1"/>
      <c r="V374" s="1"/>
      <c r="W374" s="1"/>
      <c r="X374" s="1"/>
      <c r="Y374" s="1"/>
      <c r="Z374" s="1"/>
      <c r="AA374" s="1"/>
    </row>
    <row r="375" spans="1:27" ht="12.75" customHeight="1">
      <c r="A375" s="1"/>
      <c r="B375" s="10" t="str">
        <f ca="1">IFERROR(__xludf.DUMMYFUNCTION("""COMPUTED_VALUE"""),"CONSTRUCCIÓN DE PROYECTOS DOMICILIARIOS DE AGUA POTABLE Y ALCANTARILLADO, CALLE MANUEL DE SALAS, COMUNA DE ANDACOLLO")</f>
        <v>CONSTRUCCIÓN DE PROYECTOS DOMICILIARIOS DE AGUA POTABLE Y ALCANTARILLADO, CALLE MANUEL DE SALAS, COMUNA DE ANDACOLLO</v>
      </c>
      <c r="C375" s="10" t="str">
        <f ca="1">IFERROR(__xludf.DUMMYFUNCTION("""COMPUTED_VALUE"""),"4103240701-B")</f>
        <v>4103240701-B</v>
      </c>
      <c r="D375" s="26" t="str">
        <f t="shared" ca="1" si="2"/>
        <v xml:space="preserve"> ANDACOLLO</v>
      </c>
      <c r="E375" s="10" t="str">
        <f ca="1">IFERROR(__xludf.DUMMYFUNCTION("""COMPUTED_VALUE"""),"Guía Operativa")</f>
        <v>Guía Operativa</v>
      </c>
      <c r="F375" s="10" t="str">
        <f ca="1">IFERROR(__xludf.DUMMYFUNCTION("""COMPUTED_VALUE"""),"MUNICIPALIDAD DE ANDACOLLO")</f>
        <v>MUNICIPALIDAD DE ANDACOLLO</v>
      </c>
      <c r="G375" s="71">
        <f ca="1">IFERROR(__xludf.DUMMYFUNCTION("""COMPUTED_VALUE"""),86072829)</f>
        <v>86072829</v>
      </c>
      <c r="H375" s="10" t="str">
        <f ca="1">IFERROR(__xludf.DUMMYFUNCTION("""COMPUTED_VALUE"""),"Resolución")</f>
        <v>Resolución</v>
      </c>
      <c r="I375" s="10" t="str">
        <f ca="1">IFERROR(__xludf.DUMMYFUNCTION("""COMPUTED_VALUE"""),"Obra")</f>
        <v>Obra</v>
      </c>
      <c r="J375" s="10" t="str">
        <f ca="1">IFERROR(__xludf.DUMMYFUNCTION("""COMPUTED_VALUE"""),"Cumplir con normativa y reglamentos internos del programa en base a los objetivos.")</f>
        <v>Cumplir con normativa y reglamentos internos del programa en base a los objetivos.</v>
      </c>
      <c r="K375" s="71">
        <f ca="1">IFERROR(__xludf.DUMMYFUNCTION("""COMPUTED_VALUE"""),86072829)</f>
        <v>86072829</v>
      </c>
      <c r="L375" s="27">
        <f ca="1">IFERROR(__xludf.DUMMYFUNCTION("""COMPUTED_VALUE"""),1)</f>
        <v>1</v>
      </c>
      <c r="M375" s="10" t="str">
        <f ca="1">IFERROR(__xludf.DUMMYFUNCTION("""COMPUTED_VALUE"""),"11576/2024")</f>
        <v>11576/2024</v>
      </c>
      <c r="N375" s="10" t="str">
        <f ca="1">IFERROR(__xludf.DUMMYFUNCTION("""COMPUTED_VALUE"""),"PMB")</f>
        <v>PMB</v>
      </c>
      <c r="O375" s="59"/>
      <c r="P375" s="1"/>
      <c r="Q375" s="1"/>
      <c r="R375" s="1"/>
      <c r="S375" s="1"/>
      <c r="T375" s="1"/>
      <c r="U375" s="1"/>
      <c r="V375" s="1"/>
      <c r="W375" s="1"/>
      <c r="X375" s="1"/>
      <c r="Y375" s="1"/>
      <c r="Z375" s="1"/>
      <c r="AA375" s="1"/>
    </row>
    <row r="376" spans="1:27" ht="12.75" customHeight="1">
      <c r="A376" s="1"/>
      <c r="B376" s="10" t="str">
        <f ca="1">IFERROR(__xludf.DUMMYFUNCTION("""COMPUTED_VALUE"""),"CONSTRUCCIÓN SISTEMA DE IMPULSIÓN DE AGUA POTABLE APR LOS PERALES DE CÉSPEDES, COMUNA DE ILLAPEL")</f>
        <v>CONSTRUCCIÓN SISTEMA DE IMPULSIÓN DE AGUA POTABLE APR LOS PERALES DE CÉSPEDES, COMUNA DE ILLAPEL</v>
      </c>
      <c r="C376" s="10" t="str">
        <f ca="1">IFERROR(__xludf.DUMMYFUNCTION("""COMPUTED_VALUE"""),"4201240701-B")</f>
        <v>4201240701-B</v>
      </c>
      <c r="D376" s="26" t="str">
        <f t="shared" ca="1" si="2"/>
        <v xml:space="preserve"> ILLAPEL</v>
      </c>
      <c r="E376" s="10" t="str">
        <f ca="1">IFERROR(__xludf.DUMMYFUNCTION("""COMPUTED_VALUE"""),"Guía Operativa")</f>
        <v>Guía Operativa</v>
      </c>
      <c r="F376" s="10" t="str">
        <f ca="1">IFERROR(__xludf.DUMMYFUNCTION("""COMPUTED_VALUE"""),"MUNICIPALIDAD DE ILLAPEL")</f>
        <v>MUNICIPALIDAD DE ILLAPEL</v>
      </c>
      <c r="G376" s="71">
        <f ca="1">IFERROR(__xludf.DUMMYFUNCTION("""COMPUTED_VALUE"""),106183331)</f>
        <v>106183331</v>
      </c>
      <c r="H376" s="10" t="str">
        <f ca="1">IFERROR(__xludf.DUMMYFUNCTION("""COMPUTED_VALUE"""),"Resolución")</f>
        <v>Resolución</v>
      </c>
      <c r="I376" s="10" t="str">
        <f ca="1">IFERROR(__xludf.DUMMYFUNCTION("""COMPUTED_VALUE"""),"Obra")</f>
        <v>Obra</v>
      </c>
      <c r="J376" s="10" t="str">
        <f ca="1">IFERROR(__xludf.DUMMYFUNCTION("""COMPUTED_VALUE"""),"Cumplir con normativa y reglamentos internos del programa en base a los objetivos.")</f>
        <v>Cumplir con normativa y reglamentos internos del programa en base a los objetivos.</v>
      </c>
      <c r="K376" s="71">
        <f ca="1">IFERROR(__xludf.DUMMYFUNCTION("""COMPUTED_VALUE"""),106183331)</f>
        <v>106183331</v>
      </c>
      <c r="L376" s="27">
        <f ca="1">IFERROR(__xludf.DUMMYFUNCTION("""COMPUTED_VALUE"""),1)</f>
        <v>1</v>
      </c>
      <c r="M376" s="10" t="str">
        <f ca="1">IFERROR(__xludf.DUMMYFUNCTION("""COMPUTED_VALUE"""),"11545/2024")</f>
        <v>11545/2024</v>
      </c>
      <c r="N376" s="10" t="str">
        <f ca="1">IFERROR(__xludf.DUMMYFUNCTION("""COMPUTED_VALUE"""),"PMB")</f>
        <v>PMB</v>
      </c>
      <c r="O376" s="59"/>
      <c r="P376" s="1"/>
      <c r="Q376" s="1"/>
      <c r="R376" s="1"/>
      <c r="S376" s="1"/>
      <c r="T376" s="1"/>
      <c r="U376" s="1"/>
      <c r="V376" s="1"/>
      <c r="W376" s="1"/>
      <c r="X376" s="1"/>
      <c r="Y376" s="1"/>
      <c r="Z376" s="1"/>
      <c r="AA376" s="1"/>
    </row>
    <row r="377" spans="1:27" ht="12.75" customHeight="1">
      <c r="A377" s="1"/>
      <c r="B377" s="10" t="str">
        <f ca="1">IFERROR(__xludf.DUMMYFUNCTION("""COMPUTED_VALUE"""),"CONSTRUCCIÓN DE RECINTO Y SUMINISTRO ELÉCTRICO FOTOVOLTAICO PARA SERVICIOS SANITARIOS RURALES, ALTO DEL CARMEN")</f>
        <v>CONSTRUCCIÓN DE RECINTO Y SUMINISTRO ELÉCTRICO FOTOVOLTAICO PARA SERVICIOS SANITARIOS RURALES, ALTO DEL CARMEN</v>
      </c>
      <c r="C377" s="10" t="str">
        <f ca="1">IFERROR(__xludf.DUMMYFUNCTION("""COMPUTED_VALUE"""),"3302240701-B")</f>
        <v>3302240701-B</v>
      </c>
      <c r="D377" s="26" t="str">
        <f t="shared" ca="1" si="2"/>
        <v xml:space="preserve"> ALTO DEL CARMEN</v>
      </c>
      <c r="E377" s="10" t="str">
        <f ca="1">IFERROR(__xludf.DUMMYFUNCTION("""COMPUTED_VALUE"""),"Guía Operativa")</f>
        <v>Guía Operativa</v>
      </c>
      <c r="F377" s="10" t="str">
        <f ca="1">IFERROR(__xludf.DUMMYFUNCTION("""COMPUTED_VALUE"""),"MUNICIPALIDAD DE ALTO DEL CARMEN")</f>
        <v>MUNICIPALIDAD DE ALTO DEL CARMEN</v>
      </c>
      <c r="G377" s="71">
        <f ca="1">IFERROR(__xludf.DUMMYFUNCTION("""COMPUTED_VALUE"""),322440821)</f>
        <v>322440821</v>
      </c>
      <c r="H377" s="10" t="str">
        <f ca="1">IFERROR(__xludf.DUMMYFUNCTION("""COMPUTED_VALUE"""),"Resolución")</f>
        <v>Resolución</v>
      </c>
      <c r="I377" s="10" t="str">
        <f ca="1">IFERROR(__xludf.DUMMYFUNCTION("""COMPUTED_VALUE"""),"Obra")</f>
        <v>Obra</v>
      </c>
      <c r="J377" s="10" t="str">
        <f ca="1">IFERROR(__xludf.DUMMYFUNCTION("""COMPUTED_VALUE"""),"Cumplir con normativa y reglamentos internos del programa en base a los objetivos.")</f>
        <v>Cumplir con normativa y reglamentos internos del programa en base a los objetivos.</v>
      </c>
      <c r="K377" s="71">
        <f ca="1">IFERROR(__xludf.DUMMYFUNCTION("""COMPUTED_VALUE"""),322440821)</f>
        <v>322440821</v>
      </c>
      <c r="L377" s="27">
        <f ca="1">IFERROR(__xludf.DUMMYFUNCTION("""COMPUTED_VALUE"""),1)</f>
        <v>1</v>
      </c>
      <c r="M377" s="10" t="str">
        <f ca="1">IFERROR(__xludf.DUMMYFUNCTION("""COMPUTED_VALUE"""),"11570/2024")</f>
        <v>11570/2024</v>
      </c>
      <c r="N377" s="10" t="str">
        <f ca="1">IFERROR(__xludf.DUMMYFUNCTION("""COMPUTED_VALUE"""),"PMB")</f>
        <v>PMB</v>
      </c>
      <c r="O377" s="59"/>
      <c r="P377" s="1"/>
      <c r="Q377" s="1"/>
      <c r="R377" s="1"/>
      <c r="S377" s="1"/>
      <c r="T377" s="1"/>
      <c r="U377" s="1"/>
      <c r="V377" s="1"/>
      <c r="W377" s="1"/>
      <c r="X377" s="1"/>
      <c r="Y377" s="1"/>
      <c r="Z377" s="1"/>
      <c r="AA377" s="1"/>
    </row>
    <row r="378" spans="1:27" ht="12.75" customHeight="1">
      <c r="A378" s="1"/>
      <c r="B378" s="10" t="str">
        <f ca="1">IFERROR(__xludf.DUMMYFUNCTION("""COMPUTED_VALUE"""),"CONSERVACIÓN DE AP Y AS DIVERSOS ESTABLECIMIENTO EDUCACIONALES PUERTO OCTAY")</f>
        <v>CONSERVACIÓN DE AP Y AS DIVERSOS ESTABLECIMIENTO EDUCACIONALES PUERTO OCTAY</v>
      </c>
      <c r="C378" s="10" t="str">
        <f ca="1">IFERROR(__xludf.DUMMYFUNCTION("""COMPUTED_VALUE"""),"10302240701-B")</f>
        <v>10302240701-B</v>
      </c>
      <c r="D378" s="26" t="str">
        <f t="shared" ca="1" si="2"/>
        <v xml:space="preserve"> PUERTO OCTAY</v>
      </c>
      <c r="E378" s="10" t="str">
        <f ca="1">IFERROR(__xludf.DUMMYFUNCTION("""COMPUTED_VALUE"""),"Guía Operativa")</f>
        <v>Guía Operativa</v>
      </c>
      <c r="F378" s="10" t="str">
        <f ca="1">IFERROR(__xludf.DUMMYFUNCTION("""COMPUTED_VALUE"""),"MUNICIPALIDAD DE PUERTO OCTAY")</f>
        <v>MUNICIPALIDAD DE PUERTO OCTAY</v>
      </c>
      <c r="G378" s="71">
        <f ca="1">IFERROR(__xludf.DUMMYFUNCTION("""COMPUTED_VALUE"""),89813483)</f>
        <v>89813483</v>
      </c>
      <c r="H378" s="10" t="str">
        <f ca="1">IFERROR(__xludf.DUMMYFUNCTION("""COMPUTED_VALUE"""),"Resolución")</f>
        <v>Resolución</v>
      </c>
      <c r="I378" s="10" t="str">
        <f ca="1">IFERROR(__xludf.DUMMYFUNCTION("""COMPUTED_VALUE"""),"Obra")</f>
        <v>Obra</v>
      </c>
      <c r="J378" s="10" t="str">
        <f ca="1">IFERROR(__xludf.DUMMYFUNCTION("""COMPUTED_VALUE"""),"Cumplir con normativa y reglamentos internos del programa en base a los objetivos.")</f>
        <v>Cumplir con normativa y reglamentos internos del programa en base a los objetivos.</v>
      </c>
      <c r="K378" s="71">
        <f ca="1">IFERROR(__xludf.DUMMYFUNCTION("""COMPUTED_VALUE"""),89813483)</f>
        <v>89813483</v>
      </c>
      <c r="L378" s="27">
        <f ca="1">IFERROR(__xludf.DUMMYFUNCTION("""COMPUTED_VALUE"""),1)</f>
        <v>1</v>
      </c>
      <c r="M378" s="10" t="str">
        <f ca="1">IFERROR(__xludf.DUMMYFUNCTION("""COMPUTED_VALUE"""),"11870/2024")</f>
        <v>11870/2024</v>
      </c>
      <c r="N378" s="10" t="str">
        <f ca="1">IFERROR(__xludf.DUMMYFUNCTION("""COMPUTED_VALUE"""),"PMB")</f>
        <v>PMB</v>
      </c>
      <c r="O378" s="59"/>
      <c r="P378" s="1"/>
      <c r="Q378" s="1"/>
      <c r="R378" s="1"/>
      <c r="S378" s="1"/>
      <c r="T378" s="1"/>
      <c r="U378" s="1"/>
      <c r="V378" s="1"/>
      <c r="W378" s="1"/>
      <c r="X378" s="1"/>
      <c r="Y378" s="1"/>
      <c r="Z378" s="1"/>
      <c r="AA378" s="1"/>
    </row>
    <row r="379" spans="1:27" ht="12.75" customHeight="1">
      <c r="A379" s="1"/>
      <c r="B379" s="10" t="str">
        <f ca="1">IFERROR(__xludf.DUMMYFUNCTION("""COMPUTED_VALUE"""),"ABASTECIMIENTO DE AGUA INDIVIDUAL LAUPULLI-PURREHUIN, SAN JUAN DE LA COSTA")</f>
        <v>ABASTECIMIENTO DE AGUA INDIVIDUAL LAUPULLI-PURREHUIN, SAN JUAN DE LA COSTA</v>
      </c>
      <c r="C379" s="10" t="str">
        <f ca="1">IFERROR(__xludf.DUMMYFUNCTION("""COMPUTED_VALUE"""),"10306240701-B")</f>
        <v>10306240701-B</v>
      </c>
      <c r="D379" s="26" t="str">
        <f t="shared" ca="1" si="2"/>
        <v xml:space="preserve"> SAN JUAN DE LA COSTA</v>
      </c>
      <c r="E379" s="10" t="str">
        <f ca="1">IFERROR(__xludf.DUMMYFUNCTION("""COMPUTED_VALUE"""),"Guía Operativa")</f>
        <v>Guía Operativa</v>
      </c>
      <c r="F379" s="10" t="str">
        <f ca="1">IFERROR(__xludf.DUMMYFUNCTION("""COMPUTED_VALUE"""),"MUNICIPALIDAD DE SAN JUAN DE LA COSTA")</f>
        <v>MUNICIPALIDAD DE SAN JUAN DE LA COSTA</v>
      </c>
      <c r="G379" s="71">
        <f ca="1">IFERROR(__xludf.DUMMYFUNCTION("""COMPUTED_VALUE"""),90000000)</f>
        <v>90000000</v>
      </c>
      <c r="H379" s="10" t="str">
        <f ca="1">IFERROR(__xludf.DUMMYFUNCTION("""COMPUTED_VALUE"""),"Resolución")</f>
        <v>Resolución</v>
      </c>
      <c r="I379" s="10" t="str">
        <f ca="1">IFERROR(__xludf.DUMMYFUNCTION("""COMPUTED_VALUE"""),"Obra")</f>
        <v>Obra</v>
      </c>
      <c r="J379" s="10" t="str">
        <f ca="1">IFERROR(__xludf.DUMMYFUNCTION("""COMPUTED_VALUE"""),"Cumplir con normativa y reglamentos internos del programa en base a los objetivos.")</f>
        <v>Cumplir con normativa y reglamentos internos del programa en base a los objetivos.</v>
      </c>
      <c r="K379" s="71">
        <f ca="1">IFERROR(__xludf.DUMMYFUNCTION("""COMPUTED_VALUE"""),90000000)</f>
        <v>90000000</v>
      </c>
      <c r="L379" s="27">
        <f ca="1">IFERROR(__xludf.DUMMYFUNCTION("""COMPUTED_VALUE"""),1)</f>
        <v>1</v>
      </c>
      <c r="M379" s="10" t="str">
        <f ca="1">IFERROR(__xludf.DUMMYFUNCTION("""COMPUTED_VALUE"""),"11582/2024")</f>
        <v>11582/2024</v>
      </c>
      <c r="N379" s="10" t="str">
        <f ca="1">IFERROR(__xludf.DUMMYFUNCTION("""COMPUTED_VALUE"""),"PMB")</f>
        <v>PMB</v>
      </c>
      <c r="O379" s="59"/>
      <c r="P379" s="1"/>
      <c r="Q379" s="1"/>
      <c r="R379" s="1"/>
      <c r="S379" s="1"/>
      <c r="T379" s="1"/>
      <c r="U379" s="1"/>
      <c r="V379" s="1"/>
      <c r="W379" s="1"/>
      <c r="X379" s="1"/>
      <c r="Y379" s="1"/>
      <c r="Z379" s="1"/>
      <c r="AA379" s="1"/>
    </row>
    <row r="380" spans="1:27" ht="12.75" customHeight="1">
      <c r="A380" s="1"/>
      <c r="B380" s="10" t="str">
        <f ca="1">IFERROR(__xludf.DUMMYFUNCTION("""COMPUTED_VALUE"""),"INSTALACIÓN RED DE ALCANTARILLADO DE AGUAS SERVIDAS LOTEO SIGLO XXI, LOS ÁNGELES")</f>
        <v>INSTALACIÓN RED DE ALCANTARILLADO DE AGUAS SERVIDAS LOTEO SIGLO XXI, LOS ÁNGELES</v>
      </c>
      <c r="C380" s="10" t="str">
        <f ca="1">IFERROR(__xludf.DUMMYFUNCTION("""COMPUTED_VALUE"""),"8301240702-B")</f>
        <v>8301240702-B</v>
      </c>
      <c r="D380" s="26" t="str">
        <f t="shared" ca="1" si="2"/>
        <v xml:space="preserve"> LOS ÁNGELES</v>
      </c>
      <c r="E380" s="10" t="str">
        <f ca="1">IFERROR(__xludf.DUMMYFUNCTION("""COMPUTED_VALUE"""),"Guía Operativa")</f>
        <v>Guía Operativa</v>
      </c>
      <c r="F380" s="10" t="str">
        <f ca="1">IFERROR(__xludf.DUMMYFUNCTION("""COMPUTED_VALUE"""),"MUNICIPALIDAD DE LOS ÁNGELES")</f>
        <v>MUNICIPALIDAD DE LOS ÁNGELES</v>
      </c>
      <c r="G380" s="71">
        <f ca="1">IFERROR(__xludf.DUMMYFUNCTION("""COMPUTED_VALUE"""),141722589)</f>
        <v>141722589</v>
      </c>
      <c r="H380" s="10" t="str">
        <f ca="1">IFERROR(__xludf.DUMMYFUNCTION("""COMPUTED_VALUE"""),"Resolución")</f>
        <v>Resolución</v>
      </c>
      <c r="I380" s="10" t="str">
        <f ca="1">IFERROR(__xludf.DUMMYFUNCTION("""COMPUTED_VALUE"""),"Obra")</f>
        <v>Obra</v>
      </c>
      <c r="J380" s="10" t="str">
        <f ca="1">IFERROR(__xludf.DUMMYFUNCTION("""COMPUTED_VALUE"""),"Cumplir con normativa y reglamentos internos del programa en base a los objetivos.")</f>
        <v>Cumplir con normativa y reglamentos internos del programa en base a los objetivos.</v>
      </c>
      <c r="K380" s="71">
        <f ca="1">IFERROR(__xludf.DUMMYFUNCTION("""COMPUTED_VALUE"""),141722589)</f>
        <v>141722589</v>
      </c>
      <c r="L380" s="27">
        <f ca="1">IFERROR(__xludf.DUMMYFUNCTION("""COMPUTED_VALUE"""),1)</f>
        <v>1</v>
      </c>
      <c r="M380" s="10" t="str">
        <f ca="1">IFERROR(__xludf.DUMMYFUNCTION("""COMPUTED_VALUE"""),"11902/2024")</f>
        <v>11902/2024</v>
      </c>
      <c r="N380" s="10" t="str">
        <f ca="1">IFERROR(__xludf.DUMMYFUNCTION("""COMPUTED_VALUE"""),"PMB")</f>
        <v>PMB</v>
      </c>
      <c r="O380" s="59"/>
      <c r="P380" s="1"/>
      <c r="Q380" s="1"/>
      <c r="R380" s="1"/>
      <c r="S380" s="1"/>
      <c r="T380" s="1"/>
      <c r="U380" s="1"/>
      <c r="V380" s="1"/>
      <c r="W380" s="1"/>
      <c r="X380" s="1"/>
      <c r="Y380" s="1"/>
      <c r="Z380" s="1"/>
      <c r="AA380" s="1"/>
    </row>
    <row r="381" spans="1:27" ht="12.75" customHeight="1">
      <c r="A381" s="1"/>
      <c r="B381" s="10" t="str">
        <f ca="1">IFERROR(__xludf.DUMMYFUNCTION("""COMPUTED_VALUE"""),"CONSTRUCCIÓN Y HABILITACIÓN POZO PROFUNDO SECTOR RURAL QUILALES, COMUNA DE LAJA.")</f>
        <v>CONSTRUCCIÓN Y HABILITACIÓN POZO PROFUNDO SECTOR RURAL QUILALES, COMUNA DE LAJA.</v>
      </c>
      <c r="C381" s="10" t="str">
        <f ca="1">IFERROR(__xludf.DUMMYFUNCTION("""COMPUTED_VALUE"""),"8304240701-B")</f>
        <v>8304240701-B</v>
      </c>
      <c r="D381" s="26" t="str">
        <f t="shared" ca="1" si="2"/>
        <v xml:space="preserve"> LAJA</v>
      </c>
      <c r="E381" s="10" t="str">
        <f ca="1">IFERROR(__xludf.DUMMYFUNCTION("""COMPUTED_VALUE"""),"Guía Operativa")</f>
        <v>Guía Operativa</v>
      </c>
      <c r="F381" s="10" t="str">
        <f ca="1">IFERROR(__xludf.DUMMYFUNCTION("""COMPUTED_VALUE"""),"MUNICIPALIDAD DE LAJA")</f>
        <v>MUNICIPALIDAD DE LAJA</v>
      </c>
      <c r="G381" s="71">
        <f ca="1">IFERROR(__xludf.DUMMYFUNCTION("""COMPUTED_VALUE"""),152578599)</f>
        <v>152578599</v>
      </c>
      <c r="H381" s="10" t="str">
        <f ca="1">IFERROR(__xludf.DUMMYFUNCTION("""COMPUTED_VALUE"""),"Resolución")</f>
        <v>Resolución</v>
      </c>
      <c r="I381" s="10" t="str">
        <f ca="1">IFERROR(__xludf.DUMMYFUNCTION("""COMPUTED_VALUE"""),"Obra")</f>
        <v>Obra</v>
      </c>
      <c r="J381" s="10" t="str">
        <f ca="1">IFERROR(__xludf.DUMMYFUNCTION("""COMPUTED_VALUE"""),"Cumplir con normativa y reglamentos internos del programa en base a los objetivos.")</f>
        <v>Cumplir con normativa y reglamentos internos del programa en base a los objetivos.</v>
      </c>
      <c r="K381" s="71">
        <f ca="1">IFERROR(__xludf.DUMMYFUNCTION("""COMPUTED_VALUE"""),152578599)</f>
        <v>152578599</v>
      </c>
      <c r="L381" s="27">
        <f ca="1">IFERROR(__xludf.DUMMYFUNCTION("""COMPUTED_VALUE"""),1)</f>
        <v>1</v>
      </c>
      <c r="M381" s="10" t="str">
        <f ca="1">IFERROR(__xludf.DUMMYFUNCTION("""COMPUTED_VALUE"""),"12315/2024")</f>
        <v>12315/2024</v>
      </c>
      <c r="N381" s="10" t="str">
        <f ca="1">IFERROR(__xludf.DUMMYFUNCTION("""COMPUTED_VALUE"""),"PMB")</f>
        <v>PMB</v>
      </c>
      <c r="O381" s="59"/>
      <c r="P381" s="1"/>
      <c r="Q381" s="1"/>
      <c r="R381" s="1"/>
      <c r="S381" s="1"/>
      <c r="T381" s="1"/>
      <c r="U381" s="1"/>
      <c r="V381" s="1"/>
      <c r="W381" s="1"/>
      <c r="X381" s="1"/>
      <c r="Y381" s="1"/>
      <c r="Z381" s="1"/>
      <c r="AA381" s="1"/>
    </row>
    <row r="382" spans="1:27" ht="12.75" customHeight="1">
      <c r="A382" s="1"/>
      <c r="B382" s="10" t="str">
        <f ca="1">IFERROR(__xludf.DUMMYFUNCTION("""COMPUTED_VALUE"""),"CONSTRUCCIÓN Y HABILITACIÓN POZO PROFUNDO SECTOR RURAL CHILLANCITO, COMUNA DE LAJA.")</f>
        <v>CONSTRUCCIÓN Y HABILITACIÓN POZO PROFUNDO SECTOR RURAL CHILLANCITO, COMUNA DE LAJA.</v>
      </c>
      <c r="C382" s="10" t="str">
        <f ca="1">IFERROR(__xludf.DUMMYFUNCTION("""COMPUTED_VALUE"""),"8304240702-B")</f>
        <v>8304240702-B</v>
      </c>
      <c r="D382" s="26" t="str">
        <f t="shared" ca="1" si="2"/>
        <v xml:space="preserve"> LAJA</v>
      </c>
      <c r="E382" s="10" t="str">
        <f ca="1">IFERROR(__xludf.DUMMYFUNCTION("""COMPUTED_VALUE"""),"Guía Operativa")</f>
        <v>Guía Operativa</v>
      </c>
      <c r="F382" s="10" t="str">
        <f ca="1">IFERROR(__xludf.DUMMYFUNCTION("""COMPUTED_VALUE"""),"MUNICIPALIDAD DE LAJA")</f>
        <v>MUNICIPALIDAD DE LAJA</v>
      </c>
      <c r="G382" s="71">
        <f ca="1">IFERROR(__xludf.DUMMYFUNCTION("""COMPUTED_VALUE"""),149866708)</f>
        <v>149866708</v>
      </c>
      <c r="H382" s="10" t="str">
        <f ca="1">IFERROR(__xludf.DUMMYFUNCTION("""COMPUTED_VALUE"""),"Resolución")</f>
        <v>Resolución</v>
      </c>
      <c r="I382" s="10" t="str">
        <f ca="1">IFERROR(__xludf.DUMMYFUNCTION("""COMPUTED_VALUE"""),"Obra")</f>
        <v>Obra</v>
      </c>
      <c r="J382" s="10" t="str">
        <f ca="1">IFERROR(__xludf.DUMMYFUNCTION("""COMPUTED_VALUE"""),"Cumplir con normativa y reglamentos internos del programa en base a los objetivos.")</f>
        <v>Cumplir con normativa y reglamentos internos del programa en base a los objetivos.</v>
      </c>
      <c r="K382" s="71">
        <f ca="1">IFERROR(__xludf.DUMMYFUNCTION("""COMPUTED_VALUE"""),149866708)</f>
        <v>149866708</v>
      </c>
      <c r="L382" s="27">
        <f ca="1">IFERROR(__xludf.DUMMYFUNCTION("""COMPUTED_VALUE"""),1)</f>
        <v>1</v>
      </c>
      <c r="M382" s="10" t="str">
        <f ca="1">IFERROR(__xludf.DUMMYFUNCTION("""COMPUTED_VALUE"""),"12006/2024")</f>
        <v>12006/2024</v>
      </c>
      <c r="N382" s="10" t="str">
        <f ca="1">IFERROR(__xludf.DUMMYFUNCTION("""COMPUTED_VALUE"""),"PMB")</f>
        <v>PMB</v>
      </c>
      <c r="O382" s="59"/>
      <c r="P382" s="1"/>
      <c r="Q382" s="1"/>
      <c r="R382" s="1"/>
      <c r="S382" s="1"/>
      <c r="T382" s="1"/>
      <c r="U382" s="1"/>
      <c r="V382" s="1"/>
      <c r="W382" s="1"/>
      <c r="X382" s="1"/>
      <c r="Y382" s="1"/>
      <c r="Z382" s="1"/>
      <c r="AA382" s="1"/>
    </row>
    <row r="383" spans="1:27" ht="12.75" customHeight="1">
      <c r="A383" s="1"/>
      <c r="B383" s="10" t="str">
        <f ca="1">IFERROR(__xludf.DUMMYFUNCTION("""COMPUTED_VALUE"""),"CONSTRUCCIÓN RED DE DISTRIBUCIÓN AGUA POTABLE C.I. PASCUAL COÑA PELECO CHICO, CAÑETE")</f>
        <v>CONSTRUCCIÓN RED DE DISTRIBUCIÓN AGUA POTABLE C.I. PASCUAL COÑA PELECO CHICO, CAÑETE</v>
      </c>
      <c r="C383" s="10" t="str">
        <f ca="1">IFERROR(__xludf.DUMMYFUNCTION("""COMPUTED_VALUE"""),"8203240701-B")</f>
        <v>8203240701-B</v>
      </c>
      <c r="D383" s="26" t="str">
        <f t="shared" ca="1" si="2"/>
        <v xml:space="preserve"> CAÑETE</v>
      </c>
      <c r="E383" s="10" t="str">
        <f ca="1">IFERROR(__xludf.DUMMYFUNCTION("""COMPUTED_VALUE"""),"Guía Operativa")</f>
        <v>Guía Operativa</v>
      </c>
      <c r="F383" s="10" t="str">
        <f ca="1">IFERROR(__xludf.DUMMYFUNCTION("""COMPUTED_VALUE"""),"MUNICIPALIDAD DE CAÑETE")</f>
        <v>MUNICIPALIDAD DE CAÑETE</v>
      </c>
      <c r="G383" s="71">
        <f ca="1">IFERROR(__xludf.DUMMYFUNCTION("""COMPUTED_VALUE"""),268617885)</f>
        <v>268617885</v>
      </c>
      <c r="H383" s="10" t="str">
        <f ca="1">IFERROR(__xludf.DUMMYFUNCTION("""COMPUTED_VALUE"""),"Resolución")</f>
        <v>Resolución</v>
      </c>
      <c r="I383" s="10" t="str">
        <f ca="1">IFERROR(__xludf.DUMMYFUNCTION("""COMPUTED_VALUE"""),"Obra")</f>
        <v>Obra</v>
      </c>
      <c r="J383" s="10" t="str">
        <f ca="1">IFERROR(__xludf.DUMMYFUNCTION("""COMPUTED_VALUE"""),"Cumplir con normativa y reglamentos internos del programa en base a los objetivos.")</f>
        <v>Cumplir con normativa y reglamentos internos del programa en base a los objetivos.</v>
      </c>
      <c r="K383" s="71">
        <f ca="1">IFERROR(__xludf.DUMMYFUNCTION("""COMPUTED_VALUE"""),268617885)</f>
        <v>268617885</v>
      </c>
      <c r="L383" s="27">
        <f ca="1">IFERROR(__xludf.DUMMYFUNCTION("""COMPUTED_VALUE"""),1)</f>
        <v>1</v>
      </c>
      <c r="M383" s="10" t="str">
        <f ca="1">IFERROR(__xludf.DUMMYFUNCTION("""COMPUTED_VALUE"""),"10647/2024")</f>
        <v>10647/2024</v>
      </c>
      <c r="N383" s="10" t="str">
        <f ca="1">IFERROR(__xludf.DUMMYFUNCTION("""COMPUTED_VALUE"""),"PMB")</f>
        <v>PMB</v>
      </c>
      <c r="O383" s="59"/>
      <c r="P383" s="1"/>
      <c r="Q383" s="1"/>
      <c r="R383" s="1"/>
      <c r="S383" s="1"/>
      <c r="T383" s="1"/>
      <c r="U383" s="1"/>
      <c r="V383" s="1"/>
      <c r="W383" s="1"/>
      <c r="X383" s="1"/>
      <c r="Y383" s="1"/>
      <c r="Z383" s="1"/>
      <c r="AA383" s="1"/>
    </row>
    <row r="384" spans="1:27" ht="12.75" customHeight="1">
      <c r="A384" s="1"/>
      <c r="B384" s="10" t="str">
        <f ca="1">IFERROR(__xludf.DUMMYFUNCTION("""COMPUTED_VALUE"""),"EXTENSIÓN RED DE AGUA POTABLE Y AGUAS SERVIDAS PASAJE ZAÑARTU, 9 VIVIENDAS, COMUNA CABRERO")</f>
        <v>EXTENSIÓN RED DE AGUA POTABLE Y AGUAS SERVIDAS PASAJE ZAÑARTU, 9 VIVIENDAS, COMUNA CABRERO</v>
      </c>
      <c r="C384" s="10" t="str">
        <f ca="1">IFERROR(__xludf.DUMMYFUNCTION("""COMPUTED_VALUE"""),"8303240701-B")</f>
        <v>8303240701-B</v>
      </c>
      <c r="D384" s="26" t="str">
        <f t="shared" ca="1" si="2"/>
        <v xml:space="preserve"> CABRERO</v>
      </c>
      <c r="E384" s="10" t="str">
        <f ca="1">IFERROR(__xludf.DUMMYFUNCTION("""COMPUTED_VALUE"""),"Guía Operativa")</f>
        <v>Guía Operativa</v>
      </c>
      <c r="F384" s="10" t="str">
        <f ca="1">IFERROR(__xludf.DUMMYFUNCTION("""COMPUTED_VALUE"""),"MUNICIPALIDAD DE CABRERO")</f>
        <v>MUNICIPALIDAD DE CABRERO</v>
      </c>
      <c r="G384" s="71">
        <f ca="1">IFERROR(__xludf.DUMMYFUNCTION("""COMPUTED_VALUE"""),75758470)</f>
        <v>75758470</v>
      </c>
      <c r="H384" s="10" t="str">
        <f ca="1">IFERROR(__xludf.DUMMYFUNCTION("""COMPUTED_VALUE"""),"Resolución")</f>
        <v>Resolución</v>
      </c>
      <c r="I384" s="10" t="str">
        <f ca="1">IFERROR(__xludf.DUMMYFUNCTION("""COMPUTED_VALUE"""),"Obra")</f>
        <v>Obra</v>
      </c>
      <c r="J384" s="10" t="str">
        <f ca="1">IFERROR(__xludf.DUMMYFUNCTION("""COMPUTED_VALUE"""),"Cumplir con normativa y reglamentos internos del programa en base a los objetivos.")</f>
        <v>Cumplir con normativa y reglamentos internos del programa en base a los objetivos.</v>
      </c>
      <c r="K384" s="71">
        <f ca="1">IFERROR(__xludf.DUMMYFUNCTION("""COMPUTED_VALUE"""),75758470)</f>
        <v>75758470</v>
      </c>
      <c r="L384" s="27">
        <f ca="1">IFERROR(__xludf.DUMMYFUNCTION("""COMPUTED_VALUE"""),1)</f>
        <v>1</v>
      </c>
      <c r="M384" s="10" t="str">
        <f ca="1">IFERROR(__xludf.DUMMYFUNCTION("""COMPUTED_VALUE"""),"10335/2024")</f>
        <v>10335/2024</v>
      </c>
      <c r="N384" s="10" t="str">
        <f ca="1">IFERROR(__xludf.DUMMYFUNCTION("""COMPUTED_VALUE"""),"PMB")</f>
        <v>PMB</v>
      </c>
      <c r="O384" s="59"/>
      <c r="P384" s="1"/>
      <c r="Q384" s="1"/>
      <c r="R384" s="1"/>
      <c r="S384" s="1"/>
      <c r="T384" s="1"/>
      <c r="U384" s="1"/>
      <c r="V384" s="1"/>
      <c r="W384" s="1"/>
      <c r="X384" s="1"/>
      <c r="Y384" s="1"/>
      <c r="Z384" s="1"/>
      <c r="AA384" s="1"/>
    </row>
    <row r="385" spans="1:27" ht="12.75" customHeight="1">
      <c r="A385" s="1"/>
      <c r="B385" s="10" t="str">
        <f ca="1">IFERROR(__xludf.DUMMYFUNCTION("""COMPUTED_VALUE"""),"MEJORAMIENTO CONTINUIDAD SERVICIO MEDIANTE PANELES FOTOVOLTAICOS APR PATRICIO GANA Y APR LOS ALAMOS DEL LLANO")</f>
        <v>MEJORAMIENTO CONTINUIDAD SERVICIO MEDIANTE PANELES FOTOVOLTAICOS APR PATRICIO GANA Y APR LOS ALAMOS DEL LLANO</v>
      </c>
      <c r="C385" s="10" t="str">
        <f ca="1">IFERROR(__xludf.DUMMYFUNCTION("""COMPUTED_VALUE"""),"13202240701-B")</f>
        <v>13202240701-B</v>
      </c>
      <c r="D385" s="26" t="str">
        <f t="shared" ca="1" si="2"/>
        <v xml:space="preserve"> PIRQUE</v>
      </c>
      <c r="E385" s="10" t="str">
        <f ca="1">IFERROR(__xludf.DUMMYFUNCTION("""COMPUTED_VALUE"""),"Guía Operativa")</f>
        <v>Guía Operativa</v>
      </c>
      <c r="F385" s="10" t="str">
        <f ca="1">IFERROR(__xludf.DUMMYFUNCTION("""COMPUTED_VALUE"""),"MUNICIPALIDAD DE PIRQUE")</f>
        <v>MUNICIPALIDAD DE PIRQUE</v>
      </c>
      <c r="G385" s="71">
        <f ca="1">IFERROR(__xludf.DUMMYFUNCTION("""COMPUTED_VALUE"""),113261909)</f>
        <v>113261909</v>
      </c>
      <c r="H385" s="10" t="str">
        <f ca="1">IFERROR(__xludf.DUMMYFUNCTION("""COMPUTED_VALUE"""),"Resolución")</f>
        <v>Resolución</v>
      </c>
      <c r="I385" s="10" t="str">
        <f ca="1">IFERROR(__xludf.DUMMYFUNCTION("""COMPUTED_VALUE"""),"Obra")</f>
        <v>Obra</v>
      </c>
      <c r="J385" s="10" t="str">
        <f ca="1">IFERROR(__xludf.DUMMYFUNCTION("""COMPUTED_VALUE"""),"Cumplir con normativa y reglamentos internos del programa en base a los objetivos.")</f>
        <v>Cumplir con normativa y reglamentos internos del programa en base a los objetivos.</v>
      </c>
      <c r="K385" s="71">
        <f ca="1">IFERROR(__xludf.DUMMYFUNCTION("""COMPUTED_VALUE"""),113261909)</f>
        <v>113261909</v>
      </c>
      <c r="L385" s="27">
        <f ca="1">IFERROR(__xludf.DUMMYFUNCTION("""COMPUTED_VALUE"""),1)</f>
        <v>1</v>
      </c>
      <c r="M385" s="10" t="str">
        <f ca="1">IFERROR(__xludf.DUMMYFUNCTION("""COMPUTED_VALUE"""),"11633/2024")</f>
        <v>11633/2024</v>
      </c>
      <c r="N385" s="10" t="str">
        <f ca="1">IFERROR(__xludf.DUMMYFUNCTION("""COMPUTED_VALUE"""),"PMB")</f>
        <v>PMB</v>
      </c>
      <c r="O385" s="59"/>
      <c r="P385" s="1"/>
      <c r="Q385" s="1"/>
      <c r="R385" s="1"/>
      <c r="S385" s="1"/>
      <c r="T385" s="1"/>
      <c r="U385" s="1"/>
      <c r="V385" s="1"/>
      <c r="W385" s="1"/>
      <c r="X385" s="1"/>
      <c r="Y385" s="1"/>
      <c r="Z385" s="1"/>
      <c r="AA385" s="1"/>
    </row>
    <row r="386" spans="1:27" ht="12.75" customHeight="1">
      <c r="A386" s="1"/>
      <c r="B386" s="10" t="str">
        <f ca="1">IFERROR(__xludf.DUMMYFUNCTION("""COMPUTED_VALUE"""),"MEJORAMIENTO PLANTA TRATAMIENTO AGUAS SERVIDAS, PATAGUAS CERRO")</f>
        <v>MEJORAMIENTO PLANTA TRATAMIENTO AGUAS SERVIDAS, PATAGUAS CERRO</v>
      </c>
      <c r="C386" s="10" t="str">
        <f ca="1">IFERROR(__xludf.DUMMYFUNCTION("""COMPUTED_VALUE"""),"6113240701-B")</f>
        <v>6113240701-B</v>
      </c>
      <c r="D386" s="26" t="str">
        <f t="shared" ca="1" si="2"/>
        <v xml:space="preserve"> PICHIDEGUA</v>
      </c>
      <c r="E386" s="10" t="str">
        <f ca="1">IFERROR(__xludf.DUMMYFUNCTION("""COMPUTED_VALUE"""),"Guía Operativa")</f>
        <v>Guía Operativa</v>
      </c>
      <c r="F386" s="10" t="str">
        <f ca="1">IFERROR(__xludf.DUMMYFUNCTION("""COMPUTED_VALUE"""),"MUNICIPALIDAD DE PICHIDEGUA")</f>
        <v>MUNICIPALIDAD DE PICHIDEGUA</v>
      </c>
      <c r="G386" s="71">
        <f ca="1">IFERROR(__xludf.DUMMYFUNCTION("""COMPUTED_VALUE"""),210000000)</f>
        <v>210000000</v>
      </c>
      <c r="H386" s="10" t="str">
        <f ca="1">IFERROR(__xludf.DUMMYFUNCTION("""COMPUTED_VALUE"""),"Resolución")</f>
        <v>Resolución</v>
      </c>
      <c r="I386" s="10" t="str">
        <f ca="1">IFERROR(__xludf.DUMMYFUNCTION("""COMPUTED_VALUE"""),"Obra")</f>
        <v>Obra</v>
      </c>
      <c r="J386" s="10" t="str">
        <f ca="1">IFERROR(__xludf.DUMMYFUNCTION("""COMPUTED_VALUE"""),"Cumplir con normativa y reglamentos internos del programa en base a los objetivos.")</f>
        <v>Cumplir con normativa y reglamentos internos del programa en base a los objetivos.</v>
      </c>
      <c r="K386" s="71">
        <f ca="1">IFERROR(__xludf.DUMMYFUNCTION("""COMPUTED_VALUE"""),210000000)</f>
        <v>210000000</v>
      </c>
      <c r="L386" s="27">
        <f ca="1">IFERROR(__xludf.DUMMYFUNCTION("""COMPUTED_VALUE"""),1)</f>
        <v>1</v>
      </c>
      <c r="M386" s="10" t="str">
        <f ca="1">IFERROR(__xludf.DUMMYFUNCTION("""COMPUTED_VALUE"""),"11637/2024")</f>
        <v>11637/2024</v>
      </c>
      <c r="N386" s="10" t="str">
        <f ca="1">IFERROR(__xludf.DUMMYFUNCTION("""COMPUTED_VALUE"""),"PMB")</f>
        <v>PMB</v>
      </c>
      <c r="O386" s="59"/>
      <c r="P386" s="1"/>
      <c r="Q386" s="1"/>
      <c r="R386" s="1"/>
      <c r="S386" s="1"/>
      <c r="T386" s="1"/>
      <c r="U386" s="1"/>
      <c r="V386" s="1"/>
      <c r="W386" s="1"/>
      <c r="X386" s="1"/>
      <c r="Y386" s="1"/>
      <c r="Z386" s="1"/>
      <c r="AA386" s="1"/>
    </row>
    <row r="387" spans="1:27" ht="12.75" customHeight="1">
      <c r="A387" s="1"/>
      <c r="B387" s="10" t="str">
        <f ca="1">IFERROR(__xludf.DUMMYFUNCTION("""COMPUTED_VALUE"""),"MEJORAMIENTO APR LA CEBADA QUILICURA SAN JOSÉ - M. LAS CABRAS")</f>
        <v>MEJORAMIENTO APR LA CEBADA QUILICURA SAN JOSÉ - M. LAS CABRAS</v>
      </c>
      <c r="C387" s="10" t="str">
        <f ca="1">IFERROR(__xludf.DUMMYFUNCTION("""COMPUTED_VALUE"""),"6107240701-B")</f>
        <v>6107240701-B</v>
      </c>
      <c r="D387" s="26" t="str">
        <f t="shared" ca="1" si="2"/>
        <v xml:space="preserve"> LAS CABRAS</v>
      </c>
      <c r="E387" s="10" t="str">
        <f ca="1">IFERROR(__xludf.DUMMYFUNCTION("""COMPUTED_VALUE"""),"Guía Operativa")</f>
        <v>Guía Operativa</v>
      </c>
      <c r="F387" s="10" t="str">
        <f ca="1">IFERROR(__xludf.DUMMYFUNCTION("""COMPUTED_VALUE"""),"MUNICIPALIDAD DE LAS CABRAS")</f>
        <v>MUNICIPALIDAD DE LAS CABRAS</v>
      </c>
      <c r="G387" s="71">
        <f ca="1">IFERROR(__xludf.DUMMYFUNCTION("""COMPUTED_VALUE"""),322199194)</f>
        <v>322199194</v>
      </c>
      <c r="H387" s="10" t="str">
        <f ca="1">IFERROR(__xludf.DUMMYFUNCTION("""COMPUTED_VALUE"""),"Resolución")</f>
        <v>Resolución</v>
      </c>
      <c r="I387" s="10" t="str">
        <f ca="1">IFERROR(__xludf.DUMMYFUNCTION("""COMPUTED_VALUE"""),"Obra")</f>
        <v>Obra</v>
      </c>
      <c r="J387" s="10" t="str">
        <f ca="1">IFERROR(__xludf.DUMMYFUNCTION("""COMPUTED_VALUE"""),"Cumplir con normativa y reglamentos internos del programa en base a los objetivos.")</f>
        <v>Cumplir con normativa y reglamentos internos del programa en base a los objetivos.</v>
      </c>
      <c r="K387" s="71">
        <f ca="1">IFERROR(__xludf.DUMMYFUNCTION("""COMPUTED_VALUE"""),322199194)</f>
        <v>322199194</v>
      </c>
      <c r="L387" s="27">
        <f ca="1">IFERROR(__xludf.DUMMYFUNCTION("""COMPUTED_VALUE"""),1)</f>
        <v>1</v>
      </c>
      <c r="M387" s="10" t="str">
        <f ca="1">IFERROR(__xludf.DUMMYFUNCTION("""COMPUTED_VALUE"""),"11543/2024")</f>
        <v>11543/2024</v>
      </c>
      <c r="N387" s="10" t="str">
        <f ca="1">IFERROR(__xludf.DUMMYFUNCTION("""COMPUTED_VALUE"""),"PMB")</f>
        <v>PMB</v>
      </c>
      <c r="O387" s="59"/>
      <c r="P387" s="1"/>
      <c r="Q387" s="1"/>
      <c r="R387" s="1"/>
      <c r="S387" s="1"/>
      <c r="T387" s="1"/>
      <c r="U387" s="1"/>
      <c r="V387" s="1"/>
      <c r="W387" s="1"/>
      <c r="X387" s="1"/>
      <c r="Y387" s="1"/>
      <c r="Z387" s="1"/>
      <c r="AA387" s="1"/>
    </row>
    <row r="388" spans="1:27" ht="12.75" customHeight="1">
      <c r="A388" s="1"/>
      <c r="B388" s="10" t="str">
        <f ca="1">IFERROR(__xludf.DUMMYFUNCTION("""COMPUTED_VALUE"""),"CONSTRUCCIÓN AGUA POTABLE Y ALCANTARILLADO CAMINO REAL")</f>
        <v>CONSTRUCCIÓN AGUA POTABLE Y ALCANTARILLADO CAMINO REAL</v>
      </c>
      <c r="C388" s="10" t="str">
        <f ca="1">IFERROR(__xludf.DUMMYFUNCTION("""COMPUTED_VALUE"""),"6301240701-B")</f>
        <v>6301240701-B</v>
      </c>
      <c r="D388" s="26" t="str">
        <f t="shared" ca="1" si="2"/>
        <v xml:space="preserve"> SAN FERNANDO</v>
      </c>
      <c r="E388" s="10" t="str">
        <f ca="1">IFERROR(__xludf.DUMMYFUNCTION("""COMPUTED_VALUE"""),"Guía Operativa")</f>
        <v>Guía Operativa</v>
      </c>
      <c r="F388" s="10" t="str">
        <f ca="1">IFERROR(__xludf.DUMMYFUNCTION("""COMPUTED_VALUE"""),"MUNICIPALIDAD DE SAN FERNANDO")</f>
        <v>MUNICIPALIDAD DE SAN FERNANDO</v>
      </c>
      <c r="G388" s="71">
        <f ca="1">IFERROR(__xludf.DUMMYFUNCTION("""COMPUTED_VALUE"""),246000000)</f>
        <v>246000000</v>
      </c>
      <c r="H388" s="10" t="str">
        <f ca="1">IFERROR(__xludf.DUMMYFUNCTION("""COMPUTED_VALUE"""),"Resolución")</f>
        <v>Resolución</v>
      </c>
      <c r="I388" s="10" t="str">
        <f ca="1">IFERROR(__xludf.DUMMYFUNCTION("""COMPUTED_VALUE"""),"Obra")</f>
        <v>Obra</v>
      </c>
      <c r="J388" s="10" t="str">
        <f ca="1">IFERROR(__xludf.DUMMYFUNCTION("""COMPUTED_VALUE"""),"Cumplir con normativa y reglamentos internos del programa en base a los objetivos.")</f>
        <v>Cumplir con normativa y reglamentos internos del programa en base a los objetivos.</v>
      </c>
      <c r="K388" s="71">
        <f ca="1">IFERROR(__xludf.DUMMYFUNCTION("""COMPUTED_VALUE"""),246000000)</f>
        <v>246000000</v>
      </c>
      <c r="L388" s="27">
        <f ca="1">IFERROR(__xludf.DUMMYFUNCTION("""COMPUTED_VALUE"""),1)</f>
        <v>1</v>
      </c>
      <c r="M388" s="10" t="str">
        <f ca="1">IFERROR(__xludf.DUMMYFUNCTION("""COMPUTED_VALUE"""),"11915/2024")</f>
        <v>11915/2024</v>
      </c>
      <c r="N388" s="10" t="str">
        <f ca="1">IFERROR(__xludf.DUMMYFUNCTION("""COMPUTED_VALUE"""),"PMB")</f>
        <v>PMB</v>
      </c>
      <c r="O388" s="59"/>
      <c r="P388" s="1"/>
      <c r="Q388" s="1"/>
      <c r="R388" s="1"/>
      <c r="S388" s="1"/>
      <c r="T388" s="1"/>
      <c r="U388" s="1"/>
      <c r="V388" s="1"/>
      <c r="W388" s="1"/>
      <c r="X388" s="1"/>
      <c r="Y388" s="1"/>
      <c r="Z388" s="1"/>
      <c r="AA388" s="1"/>
    </row>
    <row r="389" spans="1:27" ht="12.75" customHeight="1">
      <c r="A389" s="1"/>
      <c r="B389" s="10" t="str">
        <f ca="1">IFERROR(__xludf.DUMMYFUNCTION("""COMPUTED_VALUE"""),"MEJORAMIENTO SISTEMA DE PEAS, SECTOR PALOMAR, PANQUEHUE")</f>
        <v>MEJORAMIENTO SISTEMA DE PEAS, SECTOR PALOMAR, PANQUEHUE</v>
      </c>
      <c r="C389" s="10" t="str">
        <f ca="1">IFERROR(__xludf.DUMMYFUNCTION("""COMPUTED_VALUE"""),"5704240701-B")</f>
        <v>5704240701-B</v>
      </c>
      <c r="D389" s="26" t="str">
        <f t="shared" ca="1" si="2"/>
        <v xml:space="preserve"> PANQUEHUE</v>
      </c>
      <c r="E389" s="10" t="str">
        <f ca="1">IFERROR(__xludf.DUMMYFUNCTION("""COMPUTED_VALUE"""),"Guía Operativa")</f>
        <v>Guía Operativa</v>
      </c>
      <c r="F389" s="10" t="str">
        <f ca="1">IFERROR(__xludf.DUMMYFUNCTION("""COMPUTED_VALUE"""),"MUNICIPALIDAD DE PANQUEHUE")</f>
        <v>MUNICIPALIDAD DE PANQUEHUE</v>
      </c>
      <c r="G389" s="71">
        <f ca="1">IFERROR(__xludf.DUMMYFUNCTION("""COMPUTED_VALUE"""),153858430)</f>
        <v>153858430</v>
      </c>
      <c r="H389" s="10" t="str">
        <f ca="1">IFERROR(__xludf.DUMMYFUNCTION("""COMPUTED_VALUE"""),"Resolución")</f>
        <v>Resolución</v>
      </c>
      <c r="I389" s="10" t="str">
        <f ca="1">IFERROR(__xludf.DUMMYFUNCTION("""COMPUTED_VALUE"""),"Obra")</f>
        <v>Obra</v>
      </c>
      <c r="J389" s="10" t="str">
        <f ca="1">IFERROR(__xludf.DUMMYFUNCTION("""COMPUTED_VALUE"""),"Cumplir con normativa y reglamentos internos del programa en base a los objetivos.")</f>
        <v>Cumplir con normativa y reglamentos internos del programa en base a los objetivos.</v>
      </c>
      <c r="K389" s="71">
        <f ca="1">IFERROR(__xludf.DUMMYFUNCTION("""COMPUTED_VALUE"""),153858430)</f>
        <v>153858430</v>
      </c>
      <c r="L389" s="27">
        <f ca="1">IFERROR(__xludf.DUMMYFUNCTION("""COMPUTED_VALUE"""),1)</f>
        <v>1</v>
      </c>
      <c r="M389" s="10" t="str">
        <f ca="1">IFERROR(__xludf.DUMMYFUNCTION("""COMPUTED_VALUE"""),"11625/2024")</f>
        <v>11625/2024</v>
      </c>
      <c r="N389" s="10" t="str">
        <f ca="1">IFERROR(__xludf.DUMMYFUNCTION("""COMPUTED_VALUE"""),"PMB")</f>
        <v>PMB</v>
      </c>
      <c r="O389" s="59"/>
      <c r="P389" s="1"/>
      <c r="Q389" s="1"/>
      <c r="R389" s="1"/>
      <c r="S389" s="1"/>
      <c r="T389" s="1"/>
      <c r="U389" s="1"/>
      <c r="V389" s="1"/>
      <c r="W389" s="1"/>
      <c r="X389" s="1"/>
      <c r="Y389" s="1"/>
      <c r="Z389" s="1"/>
      <c r="AA389" s="1"/>
    </row>
    <row r="390" spans="1:27" ht="12.75" customHeight="1">
      <c r="A390" s="1"/>
      <c r="B390" s="10" t="str">
        <f ca="1">IFERROR(__xludf.DUMMYFUNCTION("""COMPUTED_VALUE"""),"EXTENSION RED DE AGUA POTABLE Y ALCANTARILLADO PSJE EL ROBLE SECTOR JOSE MIGUEL CARRERA, PARRAL")</f>
        <v>EXTENSION RED DE AGUA POTABLE Y ALCANTARILLADO PSJE EL ROBLE SECTOR JOSE MIGUEL CARRERA, PARRAL</v>
      </c>
      <c r="C390" s="10" t="str">
        <f ca="1">IFERROR(__xludf.DUMMYFUNCTION("""COMPUTED_VALUE"""),"7404240701-B")</f>
        <v>7404240701-B</v>
      </c>
      <c r="D390" s="26" t="str">
        <f t="shared" ca="1" si="2"/>
        <v xml:space="preserve"> PARRAL</v>
      </c>
      <c r="E390" s="10" t="str">
        <f ca="1">IFERROR(__xludf.DUMMYFUNCTION("""COMPUTED_VALUE"""),"Guía Operativa")</f>
        <v>Guía Operativa</v>
      </c>
      <c r="F390" s="10" t="str">
        <f ca="1">IFERROR(__xludf.DUMMYFUNCTION("""COMPUTED_VALUE"""),"MUNICIPALIDAD DE PARRAL")</f>
        <v>MUNICIPALIDAD DE PARRAL</v>
      </c>
      <c r="G390" s="71">
        <f ca="1">IFERROR(__xludf.DUMMYFUNCTION("""COMPUTED_VALUE"""),70327800)</f>
        <v>70327800</v>
      </c>
      <c r="H390" s="10" t="str">
        <f ca="1">IFERROR(__xludf.DUMMYFUNCTION("""COMPUTED_VALUE"""),"Resolución")</f>
        <v>Resolución</v>
      </c>
      <c r="I390" s="10" t="str">
        <f ca="1">IFERROR(__xludf.DUMMYFUNCTION("""COMPUTED_VALUE"""),"Obra")</f>
        <v>Obra</v>
      </c>
      <c r="J390" s="10" t="str">
        <f ca="1">IFERROR(__xludf.DUMMYFUNCTION("""COMPUTED_VALUE"""),"Cumplir con normativa y reglamentos internos del programa en base a los objetivos.")</f>
        <v>Cumplir con normativa y reglamentos internos del programa en base a los objetivos.</v>
      </c>
      <c r="K390" s="71">
        <f ca="1">IFERROR(__xludf.DUMMYFUNCTION("""COMPUTED_VALUE"""),70327800)</f>
        <v>70327800</v>
      </c>
      <c r="L390" s="27">
        <f ca="1">IFERROR(__xludf.DUMMYFUNCTION("""COMPUTED_VALUE"""),1)</f>
        <v>1</v>
      </c>
      <c r="M390" s="10" t="str">
        <f ca="1">IFERROR(__xludf.DUMMYFUNCTION("""COMPUTED_VALUE"""),"11692/2024")</f>
        <v>11692/2024</v>
      </c>
      <c r="N390" s="10" t="str">
        <f ca="1">IFERROR(__xludf.DUMMYFUNCTION("""COMPUTED_VALUE"""),"PMB")</f>
        <v>PMB</v>
      </c>
      <c r="O390" s="59"/>
      <c r="P390" s="1"/>
      <c r="Q390" s="1"/>
      <c r="R390" s="1"/>
      <c r="S390" s="1"/>
      <c r="T390" s="1"/>
      <c r="U390" s="1"/>
      <c r="V390" s="1"/>
      <c r="W390" s="1"/>
      <c r="X390" s="1"/>
      <c r="Y390" s="1"/>
      <c r="Z390" s="1"/>
      <c r="AA390" s="1"/>
    </row>
    <row r="391" spans="1:27" ht="12.75" customHeight="1">
      <c r="A391" s="1"/>
      <c r="B391" s="10" t="str">
        <f ca="1">IFERROR(__xludf.DUMMYFUNCTION("""COMPUTED_VALUE"""),"MEJORAMIENTO INTEGRAL SISTEMA DE AGUA POTABLE RURAL, LOCALIDAD DE PELLINES, COMUNA DE CONSTITUCIÓN")</f>
        <v>MEJORAMIENTO INTEGRAL SISTEMA DE AGUA POTABLE RURAL, LOCALIDAD DE PELLINES, COMUNA DE CONSTITUCIÓN</v>
      </c>
      <c r="C391" s="10" t="str">
        <f ca="1">IFERROR(__xludf.DUMMYFUNCTION("""COMPUTED_VALUE"""),"7102240701-B")</f>
        <v>7102240701-B</v>
      </c>
      <c r="D391" s="26" t="str">
        <f t="shared" ca="1" si="2"/>
        <v xml:space="preserve"> CONSTITUCIÓN</v>
      </c>
      <c r="E391" s="10" t="str">
        <f ca="1">IFERROR(__xludf.DUMMYFUNCTION("""COMPUTED_VALUE"""),"Guía Operativa")</f>
        <v>Guía Operativa</v>
      </c>
      <c r="F391" s="10" t="str">
        <f ca="1">IFERROR(__xludf.DUMMYFUNCTION("""COMPUTED_VALUE"""),"MUNICIPALIDAD DE CONSTITUCIÓN")</f>
        <v>MUNICIPALIDAD DE CONSTITUCIÓN</v>
      </c>
      <c r="G391" s="71">
        <f ca="1">IFERROR(__xludf.DUMMYFUNCTION("""COMPUTED_VALUE"""),161733311)</f>
        <v>161733311</v>
      </c>
      <c r="H391" s="10" t="str">
        <f ca="1">IFERROR(__xludf.DUMMYFUNCTION("""COMPUTED_VALUE"""),"Resolución")</f>
        <v>Resolución</v>
      </c>
      <c r="I391" s="10" t="str">
        <f ca="1">IFERROR(__xludf.DUMMYFUNCTION("""COMPUTED_VALUE"""),"Obra")</f>
        <v>Obra</v>
      </c>
      <c r="J391" s="10" t="str">
        <f ca="1">IFERROR(__xludf.DUMMYFUNCTION("""COMPUTED_VALUE"""),"Cumplir con normativa y reglamentos internos del programa en base a los objetivos.")</f>
        <v>Cumplir con normativa y reglamentos internos del programa en base a los objetivos.</v>
      </c>
      <c r="K391" s="71">
        <f ca="1">IFERROR(__xludf.DUMMYFUNCTION("""COMPUTED_VALUE"""),161733311)</f>
        <v>161733311</v>
      </c>
      <c r="L391" s="27">
        <f ca="1">IFERROR(__xludf.DUMMYFUNCTION("""COMPUTED_VALUE"""),1)</f>
        <v>1</v>
      </c>
      <c r="M391" s="10" t="str">
        <f ca="1">IFERROR(__xludf.DUMMYFUNCTION("""COMPUTED_VALUE"""),"12504/2024")</f>
        <v>12504/2024</v>
      </c>
      <c r="N391" s="10" t="str">
        <f ca="1">IFERROR(__xludf.DUMMYFUNCTION("""COMPUTED_VALUE"""),"PMB")</f>
        <v>PMB</v>
      </c>
      <c r="O391" s="59"/>
      <c r="P391" s="1"/>
      <c r="Q391" s="1"/>
      <c r="R391" s="1"/>
      <c r="S391" s="1"/>
      <c r="T391" s="1"/>
      <c r="U391" s="1"/>
      <c r="V391" s="1"/>
      <c r="W391" s="1"/>
      <c r="X391" s="1"/>
      <c r="Y391" s="1"/>
      <c r="Z391" s="1"/>
      <c r="AA391" s="1"/>
    </row>
    <row r="392" spans="1:27" ht="12.75" customHeight="1">
      <c r="A392" s="1"/>
      <c r="B392" s="10" t="str">
        <f ca="1">IFERROR(__xludf.DUMMYFUNCTION("""COMPUTED_VALUE"""),"MODIFICACIÓN PROYECTO EXTENSIÓN AP Y AS PASAJE 1, ESCALERA 1, 12 VIVIENDAS, COMUNA DE CONSTITUCIÓN")</f>
        <v>MODIFICACIÓN PROYECTO EXTENSIÓN AP Y AS PASAJE 1, ESCALERA 1, 12 VIVIENDAS, COMUNA DE CONSTITUCIÓN</v>
      </c>
      <c r="C392" s="10" t="str">
        <f ca="1">IFERROR(__xludf.DUMMYFUNCTION("""COMPUTED_VALUE"""),"7102240702-B")</f>
        <v>7102240702-B</v>
      </c>
      <c r="D392" s="26" t="str">
        <f t="shared" ca="1" si="2"/>
        <v xml:space="preserve"> CONSTITUCIÓN</v>
      </c>
      <c r="E392" s="10" t="str">
        <f ca="1">IFERROR(__xludf.DUMMYFUNCTION("""COMPUTED_VALUE"""),"Guía Operativa")</f>
        <v>Guía Operativa</v>
      </c>
      <c r="F392" s="10" t="str">
        <f ca="1">IFERROR(__xludf.DUMMYFUNCTION("""COMPUTED_VALUE"""),"MUNICIPALIDAD DE CONSTITUCIÓN")</f>
        <v>MUNICIPALIDAD DE CONSTITUCIÓN</v>
      </c>
      <c r="G392" s="71">
        <f ca="1">IFERROR(__xludf.DUMMYFUNCTION("""COMPUTED_VALUE"""),74761105)</f>
        <v>74761105</v>
      </c>
      <c r="H392" s="10" t="str">
        <f ca="1">IFERROR(__xludf.DUMMYFUNCTION("""COMPUTED_VALUE"""),"Resolución")</f>
        <v>Resolución</v>
      </c>
      <c r="I392" s="10" t="str">
        <f ca="1">IFERROR(__xludf.DUMMYFUNCTION("""COMPUTED_VALUE"""),"Obra")</f>
        <v>Obra</v>
      </c>
      <c r="J392" s="10" t="str">
        <f ca="1">IFERROR(__xludf.DUMMYFUNCTION("""COMPUTED_VALUE"""),"Cumplir con normativa y reglamentos internos del programa en base a los objetivos.")</f>
        <v>Cumplir con normativa y reglamentos internos del programa en base a los objetivos.</v>
      </c>
      <c r="K392" s="71">
        <f ca="1">IFERROR(__xludf.DUMMYFUNCTION("""COMPUTED_VALUE"""),74761105)</f>
        <v>74761105</v>
      </c>
      <c r="L392" s="27">
        <f ca="1">IFERROR(__xludf.DUMMYFUNCTION("""COMPUTED_VALUE"""),1)</f>
        <v>1</v>
      </c>
      <c r="M392" s="10" t="str">
        <f ca="1">IFERROR(__xludf.DUMMYFUNCTION("""COMPUTED_VALUE"""),"11623/2024")</f>
        <v>11623/2024</v>
      </c>
      <c r="N392" s="10" t="str">
        <f ca="1">IFERROR(__xludf.DUMMYFUNCTION("""COMPUTED_VALUE"""),"PMB")</f>
        <v>PMB</v>
      </c>
      <c r="O392" s="59"/>
      <c r="P392" s="1"/>
      <c r="Q392" s="1"/>
      <c r="R392" s="1"/>
      <c r="S392" s="1"/>
      <c r="T392" s="1"/>
      <c r="U392" s="1"/>
      <c r="V392" s="1"/>
      <c r="W392" s="1"/>
      <c r="X392" s="1"/>
      <c r="Y392" s="1"/>
      <c r="Z392" s="1"/>
      <c r="AA392" s="1"/>
    </row>
    <row r="393" spans="1:27" ht="12.75" customHeight="1">
      <c r="A393" s="1"/>
      <c r="B393" s="10" t="str">
        <f ca="1">IFERROR(__xludf.DUMMYFUNCTION("""COMPUTED_VALUE"""),"CONSERVACIÓN DE PLANTA DE TRATAMIENTO DE AGUAS SERVIDAS EN VILLA CHACABUCO, SECTOR LORA.")</f>
        <v>CONSERVACIÓN DE PLANTA DE TRATAMIENTO DE AGUAS SERVIDAS EN VILLA CHACABUCO, SECTOR LORA.</v>
      </c>
      <c r="C393" s="10" t="str">
        <f ca="1">IFERROR(__xludf.DUMMYFUNCTION("""COMPUTED_VALUE"""),"7303240701-B")</f>
        <v>7303240701-B</v>
      </c>
      <c r="D393" s="26" t="str">
        <f t="shared" ca="1" si="2"/>
        <v xml:space="preserve"> LICANTÉN</v>
      </c>
      <c r="E393" s="10" t="str">
        <f ca="1">IFERROR(__xludf.DUMMYFUNCTION("""COMPUTED_VALUE"""),"Guía Operativa")</f>
        <v>Guía Operativa</v>
      </c>
      <c r="F393" s="10" t="str">
        <f ca="1">IFERROR(__xludf.DUMMYFUNCTION("""COMPUTED_VALUE"""),"MUNICIPALIDAD DE LICANTÉN")</f>
        <v>MUNICIPALIDAD DE LICANTÉN</v>
      </c>
      <c r="G393" s="71">
        <f ca="1">IFERROR(__xludf.DUMMYFUNCTION("""COMPUTED_VALUE"""),96623314)</f>
        <v>96623314</v>
      </c>
      <c r="H393" s="10" t="str">
        <f ca="1">IFERROR(__xludf.DUMMYFUNCTION("""COMPUTED_VALUE"""),"Resolución")</f>
        <v>Resolución</v>
      </c>
      <c r="I393" s="10" t="str">
        <f ca="1">IFERROR(__xludf.DUMMYFUNCTION("""COMPUTED_VALUE"""),"Obra")</f>
        <v>Obra</v>
      </c>
      <c r="J393" s="10" t="str">
        <f ca="1">IFERROR(__xludf.DUMMYFUNCTION("""COMPUTED_VALUE"""),"Cumplir con normativa y reglamentos internos del programa en base a los objetivos.")</f>
        <v>Cumplir con normativa y reglamentos internos del programa en base a los objetivos.</v>
      </c>
      <c r="K393" s="71">
        <f ca="1">IFERROR(__xludf.DUMMYFUNCTION("""COMPUTED_VALUE"""),96623314)</f>
        <v>96623314</v>
      </c>
      <c r="L393" s="27">
        <f ca="1">IFERROR(__xludf.DUMMYFUNCTION("""COMPUTED_VALUE"""),1)</f>
        <v>1</v>
      </c>
      <c r="M393" s="10" t="str">
        <f ca="1">IFERROR(__xludf.DUMMYFUNCTION("""COMPUTED_VALUE"""),"12499/2024")</f>
        <v>12499/2024</v>
      </c>
      <c r="N393" s="10" t="str">
        <f ca="1">IFERROR(__xludf.DUMMYFUNCTION("""COMPUTED_VALUE"""),"PMB")</f>
        <v>PMB</v>
      </c>
      <c r="O393" s="59"/>
      <c r="P393" s="1"/>
      <c r="Q393" s="1"/>
      <c r="R393" s="1"/>
      <c r="S393" s="1"/>
      <c r="T393" s="1"/>
      <c r="U393" s="1"/>
      <c r="V393" s="1"/>
      <c r="W393" s="1"/>
      <c r="X393" s="1"/>
      <c r="Y393" s="1"/>
      <c r="Z393" s="1"/>
      <c r="AA393" s="1"/>
    </row>
    <row r="394" spans="1:27" ht="12.75" customHeight="1">
      <c r="A394" s="1"/>
      <c r="B394" s="10" t="str">
        <f ca="1">IFERROR(__xludf.DUMMYFUNCTION("""COMPUTED_VALUE"""),"EXTESIÓN DE AGUA POTABLE Y ALCANTARILLADO DE AGUAS SERVIDAS EN PASAJE HOSPITAL, LICANTÉN")</f>
        <v>EXTESIÓN DE AGUA POTABLE Y ALCANTARILLADO DE AGUAS SERVIDAS EN PASAJE HOSPITAL, LICANTÉN</v>
      </c>
      <c r="C394" s="10" t="str">
        <f ca="1">IFERROR(__xludf.DUMMYFUNCTION("""COMPUTED_VALUE"""),"7303240702-B")</f>
        <v>7303240702-B</v>
      </c>
      <c r="D394" s="26" t="str">
        <f t="shared" ca="1" si="2"/>
        <v xml:space="preserve"> LICANTÉN</v>
      </c>
      <c r="E394" s="10" t="str">
        <f ca="1">IFERROR(__xludf.DUMMYFUNCTION("""COMPUTED_VALUE"""),"Guía Operativa")</f>
        <v>Guía Operativa</v>
      </c>
      <c r="F394" s="10" t="str">
        <f ca="1">IFERROR(__xludf.DUMMYFUNCTION("""COMPUTED_VALUE"""),"MUNICIPALIDAD DE LICANTÉN")</f>
        <v>MUNICIPALIDAD DE LICANTÉN</v>
      </c>
      <c r="G394" s="71">
        <f ca="1">IFERROR(__xludf.DUMMYFUNCTION("""COMPUTED_VALUE"""),100742228)</f>
        <v>100742228</v>
      </c>
      <c r="H394" s="10" t="str">
        <f ca="1">IFERROR(__xludf.DUMMYFUNCTION("""COMPUTED_VALUE"""),"Resolución")</f>
        <v>Resolución</v>
      </c>
      <c r="I394" s="10" t="str">
        <f ca="1">IFERROR(__xludf.DUMMYFUNCTION("""COMPUTED_VALUE"""),"Obra")</f>
        <v>Obra</v>
      </c>
      <c r="J394" s="10" t="str">
        <f ca="1">IFERROR(__xludf.DUMMYFUNCTION("""COMPUTED_VALUE"""),"Cumplir con normativa y reglamentos internos del programa en base a los objetivos.")</f>
        <v>Cumplir con normativa y reglamentos internos del programa en base a los objetivos.</v>
      </c>
      <c r="K394" s="71">
        <f ca="1">IFERROR(__xludf.DUMMYFUNCTION("""COMPUTED_VALUE"""),100742228)</f>
        <v>100742228</v>
      </c>
      <c r="L394" s="27">
        <f ca="1">IFERROR(__xludf.DUMMYFUNCTION("""COMPUTED_VALUE"""),1)</f>
        <v>1</v>
      </c>
      <c r="M394" s="10" t="str">
        <f ca="1">IFERROR(__xludf.DUMMYFUNCTION("""COMPUTED_VALUE"""),"12499/2024")</f>
        <v>12499/2024</v>
      </c>
      <c r="N394" s="10" t="str">
        <f ca="1">IFERROR(__xludf.DUMMYFUNCTION("""COMPUTED_VALUE"""),"PMB")</f>
        <v>PMB</v>
      </c>
      <c r="O394" s="59"/>
      <c r="P394" s="1"/>
      <c r="Q394" s="1"/>
      <c r="R394" s="1"/>
      <c r="S394" s="1"/>
      <c r="T394" s="1"/>
      <c r="U394" s="1"/>
      <c r="V394" s="1"/>
      <c r="W394" s="1"/>
      <c r="X394" s="1"/>
      <c r="Y394" s="1"/>
      <c r="Z394" s="1"/>
      <c r="AA394" s="1"/>
    </row>
    <row r="395" spans="1:27" ht="12.75" customHeight="1">
      <c r="A395" s="1"/>
      <c r="B395" s="10" t="str">
        <f ca="1">IFERROR(__xludf.DUMMYFUNCTION("""COMPUTED_VALUE"""),"REPOSICIÓN DE CIERRES PERIMETRALES EN DIVERSOS APR EN COMUNA DE LICANTÉN")</f>
        <v>REPOSICIÓN DE CIERRES PERIMETRALES EN DIVERSOS APR EN COMUNA DE LICANTÉN</v>
      </c>
      <c r="C395" s="10" t="str">
        <f ca="1">IFERROR(__xludf.DUMMYFUNCTION("""COMPUTED_VALUE"""),"7303240703-B")</f>
        <v>7303240703-B</v>
      </c>
      <c r="D395" s="26" t="str">
        <f t="shared" ca="1" si="2"/>
        <v xml:space="preserve"> LICANTÉN</v>
      </c>
      <c r="E395" s="10" t="str">
        <f ca="1">IFERROR(__xludf.DUMMYFUNCTION("""COMPUTED_VALUE"""),"Guía Operativa")</f>
        <v>Guía Operativa</v>
      </c>
      <c r="F395" s="10" t="str">
        <f ca="1">IFERROR(__xludf.DUMMYFUNCTION("""COMPUTED_VALUE"""),"MUNICIPALIDAD DE LICANTÉN")</f>
        <v>MUNICIPALIDAD DE LICANTÉN</v>
      </c>
      <c r="G395" s="71">
        <f ca="1">IFERROR(__xludf.DUMMYFUNCTION("""COMPUTED_VALUE"""),52343924)</f>
        <v>52343924</v>
      </c>
      <c r="H395" s="10" t="str">
        <f ca="1">IFERROR(__xludf.DUMMYFUNCTION("""COMPUTED_VALUE"""),"Resolución")</f>
        <v>Resolución</v>
      </c>
      <c r="I395" s="10" t="str">
        <f ca="1">IFERROR(__xludf.DUMMYFUNCTION("""COMPUTED_VALUE"""),"Obra")</f>
        <v>Obra</v>
      </c>
      <c r="J395" s="10" t="str">
        <f ca="1">IFERROR(__xludf.DUMMYFUNCTION("""COMPUTED_VALUE"""),"Cumplir con normativa y reglamentos internos del programa en base a los objetivos.")</f>
        <v>Cumplir con normativa y reglamentos internos del programa en base a los objetivos.</v>
      </c>
      <c r="K395" s="71">
        <f ca="1">IFERROR(__xludf.DUMMYFUNCTION("""COMPUTED_VALUE"""),52343924)</f>
        <v>52343924</v>
      </c>
      <c r="L395" s="27">
        <f ca="1">IFERROR(__xludf.DUMMYFUNCTION("""COMPUTED_VALUE"""),1)</f>
        <v>1</v>
      </c>
      <c r="M395" s="10" t="str">
        <f ca="1">IFERROR(__xludf.DUMMYFUNCTION("""COMPUTED_VALUE"""),"12499/2024")</f>
        <v>12499/2024</v>
      </c>
      <c r="N395" s="10" t="str">
        <f ca="1">IFERROR(__xludf.DUMMYFUNCTION("""COMPUTED_VALUE"""),"PMB")</f>
        <v>PMB</v>
      </c>
      <c r="O395" s="59"/>
      <c r="P395" s="1"/>
      <c r="Q395" s="1"/>
      <c r="R395" s="1"/>
      <c r="S395" s="1"/>
      <c r="T395" s="1"/>
      <c r="U395" s="1"/>
      <c r="V395" s="1"/>
      <c r="W395" s="1"/>
      <c r="X395" s="1"/>
      <c r="Y395" s="1"/>
      <c r="Z395" s="1"/>
      <c r="AA395" s="1"/>
    </row>
    <row r="396" spans="1:27" ht="12.75" customHeight="1">
      <c r="A396" s="1"/>
      <c r="B396" s="10" t="str">
        <f ca="1">IFERROR(__xludf.DUMMYFUNCTION("""COMPUTED_VALUE"""),"CONSTRUCCIÓN DE CASETAS Y SANEAMIENTO SANITARIO SECTOR BOROA, COMUNA DE NUEVA IMPERIAL")</f>
        <v>CONSTRUCCIÓN DE CASETAS Y SANEAMIENTO SANITARIO SECTOR BOROA, COMUNA DE NUEVA IMPERIAL</v>
      </c>
      <c r="C396" s="10" t="str">
        <f ca="1">IFERROR(__xludf.DUMMYFUNCTION("""COMPUTED_VALUE"""),"9111230704-C")</f>
        <v>9111230704-C</v>
      </c>
      <c r="D396" s="26" t="str">
        <f t="shared" ca="1" si="2"/>
        <v xml:space="preserve"> NUEVA IMPERIAL</v>
      </c>
      <c r="E396" s="10" t="str">
        <f ca="1">IFERROR(__xludf.DUMMYFUNCTION("""COMPUTED_VALUE"""),"Guía Operativa")</f>
        <v>Guía Operativa</v>
      </c>
      <c r="F396" s="10" t="str">
        <f ca="1">IFERROR(__xludf.DUMMYFUNCTION("""COMPUTED_VALUE"""),"MUNICIPALIDAD DE NUEVA IMPERIAL")</f>
        <v>MUNICIPALIDAD DE NUEVA IMPERIAL</v>
      </c>
      <c r="G396" s="71">
        <f ca="1">IFERROR(__xludf.DUMMYFUNCTION("""COMPUTED_VALUE"""),182400000)</f>
        <v>182400000</v>
      </c>
      <c r="H396" s="10" t="str">
        <f ca="1">IFERROR(__xludf.DUMMYFUNCTION("""COMPUTED_VALUE"""),"Resolución")</f>
        <v>Resolución</v>
      </c>
      <c r="I396" s="10" t="str">
        <f ca="1">IFERROR(__xludf.DUMMYFUNCTION("""COMPUTED_VALUE"""),"Obra")</f>
        <v>Obra</v>
      </c>
      <c r="J396" s="10" t="str">
        <f ca="1">IFERROR(__xludf.DUMMYFUNCTION("""COMPUTED_VALUE"""),"Cumplir con normativa y reglamentos internos del programa en base a los objetivos.")</f>
        <v>Cumplir con normativa y reglamentos internos del programa en base a los objetivos.</v>
      </c>
      <c r="K396" s="71">
        <f ca="1">IFERROR(__xludf.DUMMYFUNCTION("""COMPUTED_VALUE"""),182400000)</f>
        <v>182400000</v>
      </c>
      <c r="L396" s="27">
        <f ca="1">IFERROR(__xludf.DUMMYFUNCTION("""COMPUTED_VALUE"""),1)</f>
        <v>1</v>
      </c>
      <c r="M396" s="10" t="str">
        <f ca="1">IFERROR(__xludf.DUMMYFUNCTION("""COMPUTED_VALUE"""),"11651/2024")</f>
        <v>11651/2024</v>
      </c>
      <c r="N396" s="10" t="str">
        <f ca="1">IFERROR(__xludf.DUMMYFUNCTION("""COMPUTED_VALUE"""),"PMB")</f>
        <v>PMB</v>
      </c>
      <c r="O396" s="59"/>
      <c r="P396" s="1"/>
      <c r="Q396" s="1"/>
      <c r="R396" s="1"/>
      <c r="S396" s="1"/>
      <c r="T396" s="1"/>
      <c r="U396" s="1"/>
      <c r="V396" s="1"/>
      <c r="W396" s="1"/>
      <c r="X396" s="1"/>
      <c r="Y396" s="1"/>
      <c r="Z396" s="1"/>
      <c r="AA396" s="1"/>
    </row>
    <row r="397" spans="1:27" ht="12.75" customHeight="1">
      <c r="A397" s="1"/>
      <c r="B397" s="10" t="str">
        <f ca="1">IFERROR(__xludf.DUMMYFUNCTION("""COMPUTED_VALUE"""),"CONSTRUCCIÓN PLANTA DE AGUA POTABLE CENTINELA, COMUNA DE QUILLECO")</f>
        <v>CONSTRUCCIÓN PLANTA DE AGUA POTABLE CENTINELA, COMUNA DE QUILLECO</v>
      </c>
      <c r="C397" s="10" t="str">
        <f ca="1">IFERROR(__xludf.DUMMYFUNCTION("""COMPUTED_VALUE"""),"8309220702-C")</f>
        <v>8309220702-C</v>
      </c>
      <c r="D397" s="26" t="str">
        <f t="shared" ca="1" si="2"/>
        <v xml:space="preserve"> QUILLECO</v>
      </c>
      <c r="E397" s="10" t="str">
        <f ca="1">IFERROR(__xludf.DUMMYFUNCTION("""COMPUTED_VALUE"""),"Guía Operativa")</f>
        <v>Guía Operativa</v>
      </c>
      <c r="F397" s="10" t="str">
        <f ca="1">IFERROR(__xludf.DUMMYFUNCTION("""COMPUTED_VALUE"""),"MUNICIPALIDAD DE QUILLECO")</f>
        <v>MUNICIPALIDAD DE QUILLECO</v>
      </c>
      <c r="G397" s="71">
        <f ca="1">IFERROR(__xludf.DUMMYFUNCTION("""COMPUTED_VALUE"""),288638496)</f>
        <v>288638496</v>
      </c>
      <c r="H397" s="10" t="str">
        <f ca="1">IFERROR(__xludf.DUMMYFUNCTION("""COMPUTED_VALUE"""),"Resolución")</f>
        <v>Resolución</v>
      </c>
      <c r="I397" s="10" t="str">
        <f ca="1">IFERROR(__xludf.DUMMYFUNCTION("""COMPUTED_VALUE"""),"Obra")</f>
        <v>Obra</v>
      </c>
      <c r="J397" s="10" t="str">
        <f ca="1">IFERROR(__xludf.DUMMYFUNCTION("""COMPUTED_VALUE"""),"Cumplir con normativa y reglamentos internos del programa en base a los objetivos.")</f>
        <v>Cumplir con normativa y reglamentos internos del programa en base a los objetivos.</v>
      </c>
      <c r="K397" s="71">
        <f ca="1">IFERROR(__xludf.DUMMYFUNCTION("""COMPUTED_VALUE"""),288638496)</f>
        <v>288638496</v>
      </c>
      <c r="L397" s="27">
        <f ca="1">IFERROR(__xludf.DUMMYFUNCTION("""COMPUTED_VALUE"""),1)</f>
        <v>1</v>
      </c>
      <c r="M397" s="10" t="str">
        <f ca="1">IFERROR(__xludf.DUMMYFUNCTION("""COMPUTED_VALUE"""),"10348/2024")</f>
        <v>10348/2024</v>
      </c>
      <c r="N397" s="10" t="str">
        <f ca="1">IFERROR(__xludf.DUMMYFUNCTION("""COMPUTED_VALUE"""),"PMB")</f>
        <v>PMB</v>
      </c>
      <c r="O397" s="59"/>
      <c r="P397" s="1"/>
      <c r="Q397" s="1"/>
      <c r="R397" s="1"/>
      <c r="S397" s="1"/>
      <c r="T397" s="1"/>
      <c r="U397" s="1"/>
      <c r="V397" s="1"/>
      <c r="W397" s="1"/>
      <c r="X397" s="1"/>
      <c r="Y397" s="1"/>
      <c r="Z397" s="1"/>
      <c r="AA397" s="1"/>
    </row>
    <row r="398" spans="1:27" ht="12.75" customHeight="1">
      <c r="A398" s="1"/>
      <c r="B398" s="10" t="str">
        <f ca="1">IFERROR(__xludf.DUMMYFUNCTION("""COMPUTED_VALUE"""),"CONTRATACION DE INSPECTOR TECNICO DE OBRAS PARA 03 SISTEMAS DE AGUA POTABLE PARTICULARES EN DIFERENTES LOCALIDADES RURALES DE QUILACO")</f>
        <v>CONTRATACION DE INSPECTOR TECNICO DE OBRAS PARA 03 SISTEMAS DE AGUA POTABLE PARTICULARES EN DIFERENTES LOCALIDADES RURALES DE QUILACO</v>
      </c>
      <c r="C398" s="10" t="str">
        <f ca="1">IFERROR(__xludf.DUMMYFUNCTION("""COMPUTED_VALUE"""),"8308230501-C")</f>
        <v>8308230501-C</v>
      </c>
      <c r="D398" s="26" t="str">
        <f t="shared" ca="1" si="2"/>
        <v xml:space="preserve"> QUILACO</v>
      </c>
      <c r="E398" s="10" t="str">
        <f ca="1">IFERROR(__xludf.DUMMYFUNCTION("""COMPUTED_VALUE"""),"Guía Operativa")</f>
        <v>Guía Operativa</v>
      </c>
      <c r="F398" s="10" t="str">
        <f ca="1">IFERROR(__xludf.DUMMYFUNCTION("""COMPUTED_VALUE"""),"MUNICIPALIDAD DE QUILACO")</f>
        <v>MUNICIPALIDAD DE QUILACO</v>
      </c>
      <c r="G398" s="71">
        <f ca="1">IFERROR(__xludf.DUMMYFUNCTION("""COMPUTED_VALUE"""),21033600)</f>
        <v>21033600</v>
      </c>
      <c r="H398" s="10" t="str">
        <f ca="1">IFERROR(__xludf.DUMMYFUNCTION("""COMPUTED_VALUE"""),"Resolución")</f>
        <v>Resolución</v>
      </c>
      <c r="I398" s="10" t="str">
        <f ca="1">IFERROR(__xludf.DUMMYFUNCTION("""COMPUTED_VALUE"""),"Inspección Técnica")</f>
        <v>Inspección Técnica</v>
      </c>
      <c r="J398" s="10" t="str">
        <f ca="1">IFERROR(__xludf.DUMMYFUNCTION("""COMPUTED_VALUE"""),"Cumplir con normativa y reglamentos internos del programa en base a los objetivos.")</f>
        <v>Cumplir con normativa y reglamentos internos del programa en base a los objetivos.</v>
      </c>
      <c r="K398" s="71">
        <f ca="1">IFERROR(__xludf.DUMMYFUNCTION("""COMPUTED_VALUE"""),21033600)</f>
        <v>21033600</v>
      </c>
      <c r="L398" s="27">
        <f ca="1">IFERROR(__xludf.DUMMYFUNCTION("""COMPUTED_VALUE"""),1)</f>
        <v>1</v>
      </c>
      <c r="M398" s="10" t="str">
        <f ca="1">IFERROR(__xludf.DUMMYFUNCTION("""COMPUTED_VALUE"""),"10397/2024")</f>
        <v>10397/2024</v>
      </c>
      <c r="N398" s="10" t="str">
        <f ca="1">IFERROR(__xludf.DUMMYFUNCTION("""COMPUTED_VALUE"""),"PMB")</f>
        <v>PMB</v>
      </c>
      <c r="O398" s="59"/>
      <c r="P398" s="1"/>
      <c r="Q398" s="1"/>
      <c r="R398" s="1"/>
      <c r="S398" s="1"/>
      <c r="T398" s="1"/>
      <c r="U398" s="1"/>
      <c r="V398" s="1"/>
      <c r="W398" s="1"/>
      <c r="X398" s="1"/>
      <c r="Y398" s="1"/>
      <c r="Z398" s="1"/>
      <c r="AA398" s="1"/>
    </row>
    <row r="399" spans="1:27" ht="12.75" customHeight="1">
      <c r="A399" s="1"/>
      <c r="B399" s="10" t="str">
        <f ca="1">IFERROR(__xludf.DUMMYFUNCTION("""COMPUTED_VALUE"""),"CONSTRUCCIÓN Y ELECTRIFICACIÓN DOMICILIARIA SECTOR RURAL LA CHICHARRA, YUMBEL")</f>
        <v>CONSTRUCCIÓN Y ELECTRIFICACIÓN DOMICILIARIA SECTOR RURAL LA CHICHARRA, YUMBEL</v>
      </c>
      <c r="C399" s="10" t="str">
        <f ca="1">IFERROR(__xludf.DUMMYFUNCTION("""COMPUTED_VALUE"""),"8313230701-C")</f>
        <v>8313230701-C</v>
      </c>
      <c r="D399" s="26" t="str">
        <f t="shared" ca="1" si="2"/>
        <v xml:space="preserve"> YUMBEL</v>
      </c>
      <c r="E399" s="10" t="str">
        <f ca="1">IFERROR(__xludf.DUMMYFUNCTION("""COMPUTED_VALUE"""),"Guía Operativa")</f>
        <v>Guía Operativa</v>
      </c>
      <c r="F399" s="10" t="str">
        <f ca="1">IFERROR(__xludf.DUMMYFUNCTION("""COMPUTED_VALUE"""),"MUNICIPALIDAD DE YUMBEL")</f>
        <v>MUNICIPALIDAD DE YUMBEL</v>
      </c>
      <c r="G399" s="71">
        <f ca="1">IFERROR(__xludf.DUMMYFUNCTION("""COMPUTED_VALUE"""),134785766)</f>
        <v>134785766</v>
      </c>
      <c r="H399" s="10" t="str">
        <f ca="1">IFERROR(__xludf.DUMMYFUNCTION("""COMPUTED_VALUE"""),"Resolución")</f>
        <v>Resolución</v>
      </c>
      <c r="I399" s="10" t="str">
        <f ca="1">IFERROR(__xludf.DUMMYFUNCTION("""COMPUTED_VALUE"""),"Obra")</f>
        <v>Obra</v>
      </c>
      <c r="J399" s="10" t="str">
        <f ca="1">IFERROR(__xludf.DUMMYFUNCTION("""COMPUTED_VALUE"""),"Cumplir con normativa y reglamentos internos del programa en base a los objetivos.")</f>
        <v>Cumplir con normativa y reglamentos internos del programa en base a los objetivos.</v>
      </c>
      <c r="K399" s="71">
        <f ca="1">IFERROR(__xludf.DUMMYFUNCTION("""COMPUTED_VALUE"""),134785766)</f>
        <v>134785766</v>
      </c>
      <c r="L399" s="27">
        <f ca="1">IFERROR(__xludf.DUMMYFUNCTION("""COMPUTED_VALUE"""),1)</f>
        <v>1</v>
      </c>
      <c r="M399" s="10" t="str">
        <f ca="1">IFERROR(__xludf.DUMMYFUNCTION("""COMPUTED_VALUE"""),"12472/2024")</f>
        <v>12472/2024</v>
      </c>
      <c r="N399" s="10" t="str">
        <f ca="1">IFERROR(__xludf.DUMMYFUNCTION("""COMPUTED_VALUE"""),"PMB")</f>
        <v>PMB</v>
      </c>
      <c r="O399" s="59"/>
      <c r="P399" s="1"/>
      <c r="Q399" s="1"/>
      <c r="R399" s="1"/>
      <c r="S399" s="1"/>
      <c r="T399" s="1"/>
      <c r="U399" s="1"/>
      <c r="V399" s="1"/>
      <c r="W399" s="1"/>
      <c r="X399" s="1"/>
      <c r="Y399" s="1"/>
      <c r="Z399" s="1"/>
      <c r="AA399" s="1"/>
    </row>
    <row r="400" spans="1:27" ht="12.75" customHeight="1">
      <c r="A400" s="1"/>
      <c r="B400" s="10" t="str">
        <f ca="1">IFERROR(__xludf.DUMMYFUNCTION("""COMPUTED_VALUE"""),"PROYECTO TIPO SOLUCIÓN INDIVIDUAL DE AGUA POTABLE SECTOR KUDAWBECHE LONCOPANGUE ALTO")</f>
        <v>PROYECTO TIPO SOLUCIÓN INDIVIDUAL DE AGUA POTABLE SECTOR KUDAWBECHE LONCOPANGUE ALTO</v>
      </c>
      <c r="C400" s="10" t="str">
        <f ca="1">IFERROR(__xludf.DUMMYFUNCTION("""COMPUTED_VALUE"""),"8308240702-C")</f>
        <v>8308240702-C</v>
      </c>
      <c r="D400" s="26" t="str">
        <f t="shared" ca="1" si="2"/>
        <v xml:space="preserve"> QUILACO</v>
      </c>
      <c r="E400" s="10" t="str">
        <f ca="1">IFERROR(__xludf.DUMMYFUNCTION("""COMPUTED_VALUE"""),"Guía Operativa")</f>
        <v>Guía Operativa</v>
      </c>
      <c r="F400" s="10" t="str">
        <f ca="1">IFERROR(__xludf.DUMMYFUNCTION("""COMPUTED_VALUE"""),"MUNICIPALIDAD DE QUILACO")</f>
        <v>MUNICIPALIDAD DE QUILACO</v>
      </c>
      <c r="G400" s="71">
        <f ca="1">IFERROR(__xludf.DUMMYFUNCTION("""COMPUTED_VALUE"""),189069818)</f>
        <v>189069818</v>
      </c>
      <c r="H400" s="10" t="str">
        <f ca="1">IFERROR(__xludf.DUMMYFUNCTION("""COMPUTED_VALUE"""),"Resolución")</f>
        <v>Resolución</v>
      </c>
      <c r="I400" s="10" t="str">
        <f ca="1">IFERROR(__xludf.DUMMYFUNCTION("""COMPUTED_VALUE"""),"Obra")</f>
        <v>Obra</v>
      </c>
      <c r="J400" s="10" t="str">
        <f ca="1">IFERROR(__xludf.DUMMYFUNCTION("""COMPUTED_VALUE"""),"Cumplir con normativa y reglamentos internos del programa en base a los objetivos.")</f>
        <v>Cumplir con normativa y reglamentos internos del programa en base a los objetivos.</v>
      </c>
      <c r="K400" s="71">
        <f ca="1">IFERROR(__xludf.DUMMYFUNCTION("""COMPUTED_VALUE"""),189069818)</f>
        <v>189069818</v>
      </c>
      <c r="L400" s="27">
        <f ca="1">IFERROR(__xludf.DUMMYFUNCTION("""COMPUTED_VALUE"""),1)</f>
        <v>1</v>
      </c>
      <c r="M400" s="10" t="str">
        <f ca="1">IFERROR(__xludf.DUMMYFUNCTION("""COMPUTED_VALUE"""),"12043/2024")</f>
        <v>12043/2024</v>
      </c>
      <c r="N400" s="10" t="str">
        <f ca="1">IFERROR(__xludf.DUMMYFUNCTION("""COMPUTED_VALUE"""),"PMB")</f>
        <v>PMB</v>
      </c>
      <c r="O400" s="59"/>
      <c r="P400" s="1"/>
      <c r="Q400" s="1"/>
      <c r="R400" s="1"/>
      <c r="S400" s="1"/>
      <c r="T400" s="1"/>
      <c r="U400" s="1"/>
      <c r="V400" s="1"/>
      <c r="W400" s="1"/>
      <c r="X400" s="1"/>
      <c r="Y400" s="1"/>
      <c r="Z400" s="1"/>
      <c r="AA400" s="1"/>
    </row>
    <row r="401" spans="1:27" ht="12.75" customHeight="1">
      <c r="A401" s="1"/>
      <c r="B401" s="10" t="str">
        <f ca="1">IFERROR(__xludf.DUMMYFUNCTION("""COMPUTED_VALUE"""),"CONSTRUCCIÓN AGUA POTABLE Y ALCANTARILLADO CALLE JOSÉ JOAQUÍN PÉREZ, COMUNA DE MULCHÉN")</f>
        <v>CONSTRUCCIÓN AGUA POTABLE Y ALCANTARILLADO CALLE JOSÉ JOAQUÍN PÉREZ, COMUNA DE MULCHÉN</v>
      </c>
      <c r="C401" s="10" t="str">
        <f ca="1">IFERROR(__xludf.DUMMYFUNCTION("""COMPUTED_VALUE"""),"8305240705-C")</f>
        <v>8305240705-C</v>
      </c>
      <c r="D401" s="26" t="str">
        <f t="shared" ca="1" si="2"/>
        <v xml:space="preserve"> MULCHÉN</v>
      </c>
      <c r="E401" s="10" t="str">
        <f ca="1">IFERROR(__xludf.DUMMYFUNCTION("""COMPUTED_VALUE"""),"Guía Operativa")</f>
        <v>Guía Operativa</v>
      </c>
      <c r="F401" s="10" t="str">
        <f ca="1">IFERROR(__xludf.DUMMYFUNCTION("""COMPUTED_VALUE"""),"MUNICIPALIDAD DE MULCHÉN")</f>
        <v>MUNICIPALIDAD DE MULCHÉN</v>
      </c>
      <c r="G401" s="71">
        <f ca="1">IFERROR(__xludf.DUMMYFUNCTION("""COMPUTED_VALUE"""),277245242)</f>
        <v>277245242</v>
      </c>
      <c r="H401" s="10" t="str">
        <f ca="1">IFERROR(__xludf.DUMMYFUNCTION("""COMPUTED_VALUE"""),"Resolución")</f>
        <v>Resolución</v>
      </c>
      <c r="I401" s="10" t="str">
        <f ca="1">IFERROR(__xludf.DUMMYFUNCTION("""COMPUTED_VALUE"""),"Obra")</f>
        <v>Obra</v>
      </c>
      <c r="J401" s="10" t="str">
        <f ca="1">IFERROR(__xludf.DUMMYFUNCTION("""COMPUTED_VALUE"""),"Cumplir con normativa y reglamentos internos del programa en base a los objetivos.")</f>
        <v>Cumplir con normativa y reglamentos internos del programa en base a los objetivos.</v>
      </c>
      <c r="K401" s="71">
        <f ca="1">IFERROR(__xludf.DUMMYFUNCTION("""COMPUTED_VALUE"""),277245242)</f>
        <v>277245242</v>
      </c>
      <c r="L401" s="27">
        <f ca="1">IFERROR(__xludf.DUMMYFUNCTION("""COMPUTED_VALUE"""),1)</f>
        <v>1</v>
      </c>
      <c r="M401" s="10" t="str">
        <f ca="1">IFERROR(__xludf.DUMMYFUNCTION("""COMPUTED_VALUE"""),"11627/2024")</f>
        <v>11627/2024</v>
      </c>
      <c r="N401" s="10" t="str">
        <f ca="1">IFERROR(__xludf.DUMMYFUNCTION("""COMPUTED_VALUE"""),"PMB")</f>
        <v>PMB</v>
      </c>
      <c r="O401" s="59"/>
      <c r="P401" s="1"/>
      <c r="Q401" s="1"/>
      <c r="R401" s="1"/>
      <c r="S401" s="1"/>
      <c r="T401" s="1"/>
      <c r="U401" s="1"/>
      <c r="V401" s="1"/>
      <c r="W401" s="1"/>
      <c r="X401" s="1"/>
      <c r="Y401" s="1"/>
      <c r="Z401" s="1"/>
      <c r="AA401" s="1"/>
    </row>
    <row r="402" spans="1:27" ht="12.75" customHeight="1">
      <c r="A402" s="1"/>
      <c r="B402" s="10" t="str">
        <f ca="1">IFERROR(__xludf.DUMMYFUNCTION("""COMPUTED_VALUE"""),"[SATE] REPOSICION LUMINARIA BANDEJÓN MIGUEL LEMEUR, COMUNA DE TIERRA AMARILLA")</f>
        <v>[SATE] REPOSICION LUMINARIA BANDEJÓN MIGUEL LEMEUR, COMUNA DE TIERRA AMARILLA</v>
      </c>
      <c r="C402" s="10" t="str">
        <f ca="1">IFERROR(__xludf.DUMMYFUNCTION("""COMPUTED_VALUE"""),"3103230701-C")</f>
        <v>3103230701-C</v>
      </c>
      <c r="D402" s="26" t="str">
        <f t="shared" ca="1" si="2"/>
        <v xml:space="preserve"> TIERRA AMARILLA</v>
      </c>
      <c r="E402" s="10" t="str">
        <f ca="1">IFERROR(__xludf.DUMMYFUNCTION("""COMPUTED_VALUE"""),"Guía Operativa")</f>
        <v>Guía Operativa</v>
      </c>
      <c r="F402" s="10" t="str">
        <f ca="1">IFERROR(__xludf.DUMMYFUNCTION("""COMPUTED_VALUE"""),"MUNICIPALIDAD DE TIERRA AMARILLA")</f>
        <v>MUNICIPALIDAD DE TIERRA AMARILLA</v>
      </c>
      <c r="G402" s="71">
        <f ca="1">IFERROR(__xludf.DUMMYFUNCTION("""COMPUTED_VALUE"""),320514834)</f>
        <v>320514834</v>
      </c>
      <c r="H402" s="10" t="str">
        <f ca="1">IFERROR(__xludf.DUMMYFUNCTION("""COMPUTED_VALUE"""),"Resolución")</f>
        <v>Resolución</v>
      </c>
      <c r="I402" s="10" t="str">
        <f ca="1">IFERROR(__xludf.DUMMYFUNCTION("""COMPUTED_VALUE"""),"Obra")</f>
        <v>Obra</v>
      </c>
      <c r="J402" s="10" t="str">
        <f ca="1">IFERROR(__xludf.DUMMYFUNCTION("""COMPUTED_VALUE"""),"Cumplir con normativa y reglamentos internos del programa en base a los objetivos.")</f>
        <v>Cumplir con normativa y reglamentos internos del programa en base a los objetivos.</v>
      </c>
      <c r="K402" s="71">
        <f ca="1">IFERROR(__xludf.DUMMYFUNCTION("""COMPUTED_VALUE"""),320514834)</f>
        <v>320514834</v>
      </c>
      <c r="L402" s="27">
        <f ca="1">IFERROR(__xludf.DUMMYFUNCTION("""COMPUTED_VALUE"""),1)</f>
        <v>1</v>
      </c>
      <c r="M402" s="10" t="str">
        <f ca="1">IFERROR(__xludf.DUMMYFUNCTION("""COMPUTED_VALUE"""),"11583/2024")</f>
        <v>11583/2024</v>
      </c>
      <c r="N402" s="10" t="str">
        <f ca="1">IFERROR(__xludf.DUMMYFUNCTION("""COMPUTED_VALUE"""),"PMB")</f>
        <v>PMB</v>
      </c>
      <c r="O402" s="59"/>
      <c r="P402" s="1"/>
      <c r="Q402" s="1"/>
      <c r="R402" s="1"/>
      <c r="S402" s="1"/>
      <c r="T402" s="1"/>
      <c r="U402" s="1"/>
      <c r="V402" s="1"/>
      <c r="W402" s="1"/>
      <c r="X402" s="1"/>
      <c r="Y402" s="1"/>
      <c r="Z402" s="1"/>
      <c r="AA402" s="1"/>
    </row>
    <row r="403" spans="1:27" ht="12.75" customHeight="1">
      <c r="A403" s="1"/>
      <c r="B403" s="10" t="str">
        <f ca="1">IFERROR(__xludf.DUMMYFUNCTION("""COMPUTED_VALUE"""),"ASISTENCIA TÉCNICA FORMULACIÓN PROYECTOS PATRIMONIALES, COMUNA DE HUASCO, REGIÓN DE ATACAMA")</f>
        <v>ASISTENCIA TÉCNICA FORMULACIÓN PROYECTOS PATRIMONIALES, COMUNA DE HUASCO, REGIÓN DE ATACAMA</v>
      </c>
      <c r="C403" s="10" t="str">
        <f ca="1">IFERROR(__xludf.DUMMYFUNCTION("""COMPUTED_VALUE"""),"3304241002-C")</f>
        <v>3304241002-C</v>
      </c>
      <c r="D403" s="26" t="str">
        <f t="shared" ca="1" si="2"/>
        <v xml:space="preserve"> HUASCO</v>
      </c>
      <c r="E403" s="10" t="str">
        <f ca="1">IFERROR(__xludf.DUMMYFUNCTION("""COMPUTED_VALUE"""),"Guía Operativa")</f>
        <v>Guía Operativa</v>
      </c>
      <c r="F403" s="10" t="str">
        <f ca="1">IFERROR(__xludf.DUMMYFUNCTION("""COMPUTED_VALUE"""),"MUNICIPALIDAD DE HUASCO")</f>
        <v>MUNICIPALIDAD DE HUASCO</v>
      </c>
      <c r="G403" s="71">
        <f ca="1">IFERROR(__xludf.DUMMYFUNCTION("""COMPUTED_VALUE"""),23976000)</f>
        <v>23976000</v>
      </c>
      <c r="H403" s="10" t="str">
        <f ca="1">IFERROR(__xludf.DUMMYFUNCTION("""COMPUTED_VALUE"""),"Resolución")</f>
        <v>Resolución</v>
      </c>
      <c r="I403" s="10" t="str">
        <f ca="1">IFERROR(__xludf.DUMMYFUNCTION("""COMPUTED_VALUE"""),"Asistencia Técnica")</f>
        <v>Asistencia Técnica</v>
      </c>
      <c r="J403" s="10" t="str">
        <f ca="1">IFERROR(__xludf.DUMMYFUNCTION("""COMPUTED_VALUE"""),"Cumplir con normativa y reglamentos internos del programa en base a los objetivos.")</f>
        <v>Cumplir con normativa y reglamentos internos del programa en base a los objetivos.</v>
      </c>
      <c r="K403" s="71">
        <f ca="1">IFERROR(__xludf.DUMMYFUNCTION("""COMPUTED_VALUE"""),23976000)</f>
        <v>23976000</v>
      </c>
      <c r="L403" s="27">
        <f ca="1">IFERROR(__xludf.DUMMYFUNCTION("""COMPUTED_VALUE"""),1)</f>
        <v>1</v>
      </c>
      <c r="M403" s="10" t="str">
        <f ca="1">IFERROR(__xludf.DUMMYFUNCTION("""COMPUTED_VALUE"""),"12484/2024")</f>
        <v>12484/2024</v>
      </c>
      <c r="N403" s="10" t="str">
        <f ca="1">IFERROR(__xludf.DUMMYFUNCTION("""COMPUTED_VALUE"""),"PMB")</f>
        <v>PMB</v>
      </c>
      <c r="O403" s="59"/>
      <c r="P403" s="1"/>
      <c r="Q403" s="1"/>
      <c r="R403" s="1"/>
      <c r="S403" s="1"/>
      <c r="T403" s="1"/>
      <c r="U403" s="1"/>
      <c r="V403" s="1"/>
      <c r="W403" s="1"/>
      <c r="X403" s="1"/>
      <c r="Y403" s="1"/>
      <c r="Z403" s="1"/>
      <c r="AA403" s="1"/>
    </row>
    <row r="404" spans="1:27" ht="12.75" customHeight="1">
      <c r="A404" s="1"/>
      <c r="B404" s="10" t="str">
        <f ca="1">IFERROR(__xludf.DUMMYFUNCTION("""COMPUTED_VALUE"""),"INTERVENCIÓN CASCO HISTÓRICO Y ASISTENCIA TÉCNICA PARA LA FORMULACIÓN E IMPLEMENTACIÓN DE PREAVS EN LA COMUNA DE SANTIAGO")</f>
        <v>INTERVENCIÓN CASCO HISTÓRICO Y ASISTENCIA TÉCNICA PARA LA FORMULACIÓN E IMPLEMENTACIÓN DE PREAVS EN LA COMUNA DE SANTIAGO</v>
      </c>
      <c r="C404" s="10" t="str">
        <f ca="1">IFERROR(__xludf.DUMMYFUNCTION("""COMPUTED_VALUE"""),"13101231001-C")</f>
        <v>13101231001-C</v>
      </c>
      <c r="D404" s="26" t="str">
        <f t="shared" ca="1" si="2"/>
        <v xml:space="preserve"> SANTIAGO</v>
      </c>
      <c r="E404" s="10" t="str">
        <f ca="1">IFERROR(__xludf.DUMMYFUNCTION("""COMPUTED_VALUE"""),"Guía Operativa")</f>
        <v>Guía Operativa</v>
      </c>
      <c r="F404" s="10" t="str">
        <f ca="1">IFERROR(__xludf.DUMMYFUNCTION("""COMPUTED_VALUE"""),"MUNICIPALIDAD DE SANTIAGO")</f>
        <v>MUNICIPALIDAD DE SANTIAGO</v>
      </c>
      <c r="G404" s="71">
        <f ca="1">IFERROR(__xludf.DUMMYFUNCTION("""COMPUTED_VALUE"""),11800000)</f>
        <v>11800000</v>
      </c>
      <c r="H404" s="10" t="str">
        <f ca="1">IFERROR(__xludf.DUMMYFUNCTION("""COMPUTED_VALUE"""),"Resolución")</f>
        <v>Resolución</v>
      </c>
      <c r="I404" s="10" t="str">
        <f ca="1">IFERROR(__xludf.DUMMYFUNCTION("""COMPUTED_VALUE"""),"Asistencia Técnica")</f>
        <v>Asistencia Técnica</v>
      </c>
      <c r="J404" s="10" t="str">
        <f ca="1">IFERROR(__xludf.DUMMYFUNCTION("""COMPUTED_VALUE"""),"Cumplir con normativa y reglamentos internos del programa en base a los objetivos.")</f>
        <v>Cumplir con normativa y reglamentos internos del programa en base a los objetivos.</v>
      </c>
      <c r="K404" s="71">
        <f ca="1">IFERROR(__xludf.DUMMYFUNCTION("""COMPUTED_VALUE"""),11800000)</f>
        <v>11800000</v>
      </c>
      <c r="L404" s="27">
        <f ca="1">IFERROR(__xludf.DUMMYFUNCTION("""COMPUTED_VALUE"""),1)</f>
        <v>1</v>
      </c>
      <c r="M404" s="10" t="str">
        <f ca="1">IFERROR(__xludf.DUMMYFUNCTION("""COMPUTED_VALUE"""),"10600/2024")</f>
        <v>10600/2024</v>
      </c>
      <c r="N404" s="10" t="str">
        <f ca="1">IFERROR(__xludf.DUMMYFUNCTION("""COMPUTED_VALUE"""),"PMB")</f>
        <v>PMB</v>
      </c>
      <c r="O404" s="59"/>
      <c r="P404" s="1"/>
      <c r="Q404" s="1"/>
      <c r="R404" s="1"/>
      <c r="S404" s="1"/>
      <c r="T404" s="1"/>
      <c r="U404" s="1"/>
      <c r="V404" s="1"/>
      <c r="W404" s="1"/>
      <c r="X404" s="1"/>
      <c r="Y404" s="1"/>
      <c r="Z404" s="1"/>
      <c r="AA404" s="1"/>
    </row>
    <row r="405" spans="1:27" ht="12.75" customHeight="1">
      <c r="A405" s="1"/>
      <c r="B405" s="10" t="str">
        <f ca="1">IFERROR(__xludf.DUMMYFUNCTION("""COMPUTED_VALUE"""),"“ASISTENCIA TÉCNICA PARA EL DESARROLLO DE CARTERA DE PROYECTOS, COMUNA DE CHOLCHOL”")</f>
        <v>“ASISTENCIA TÉCNICA PARA EL DESARROLLO DE CARTERA DE PROYECTOS, COMUNA DE CHOLCHOL”</v>
      </c>
      <c r="C405" s="10" t="str">
        <f ca="1">IFERROR(__xludf.DUMMYFUNCTION("""COMPUTED_VALUE"""),"9121231002-C")</f>
        <v>9121231002-C</v>
      </c>
      <c r="D405" s="26" t="str">
        <f t="shared" ca="1" si="2"/>
        <v xml:space="preserve"> CHOLCHOL</v>
      </c>
      <c r="E405" s="10" t="str">
        <f ca="1">IFERROR(__xludf.DUMMYFUNCTION("""COMPUTED_VALUE"""),"Guía Operativa")</f>
        <v>Guía Operativa</v>
      </c>
      <c r="F405" s="10" t="str">
        <f ca="1">IFERROR(__xludf.DUMMYFUNCTION("""COMPUTED_VALUE"""),"MUNICIPALIDAD DE CHOLCHOL")</f>
        <v>MUNICIPALIDAD DE CHOLCHOL</v>
      </c>
      <c r="G405" s="71">
        <f ca="1">IFERROR(__xludf.DUMMYFUNCTION("""COMPUTED_VALUE"""),86400000)</f>
        <v>86400000</v>
      </c>
      <c r="H405" s="10" t="str">
        <f ca="1">IFERROR(__xludf.DUMMYFUNCTION("""COMPUTED_VALUE"""),"Resolución")</f>
        <v>Resolución</v>
      </c>
      <c r="I405" s="10" t="str">
        <f ca="1">IFERROR(__xludf.DUMMYFUNCTION("""COMPUTED_VALUE"""),"Asistencia Técnica")</f>
        <v>Asistencia Técnica</v>
      </c>
      <c r="J405" s="10" t="str">
        <f ca="1">IFERROR(__xludf.DUMMYFUNCTION("""COMPUTED_VALUE"""),"Cumplir con normativa y reglamentos internos del programa en base a los objetivos.")</f>
        <v>Cumplir con normativa y reglamentos internos del programa en base a los objetivos.</v>
      </c>
      <c r="K405" s="71">
        <f ca="1">IFERROR(__xludf.DUMMYFUNCTION("""COMPUTED_VALUE"""),86400000)</f>
        <v>86400000</v>
      </c>
      <c r="L405" s="27">
        <f ca="1">IFERROR(__xludf.DUMMYFUNCTION("""COMPUTED_VALUE"""),1)</f>
        <v>1</v>
      </c>
      <c r="M405" s="10" t="str">
        <f ca="1">IFERROR(__xludf.DUMMYFUNCTION("""COMPUTED_VALUE"""),"11605/2024")</f>
        <v>11605/2024</v>
      </c>
      <c r="N405" s="10" t="str">
        <f ca="1">IFERROR(__xludf.DUMMYFUNCTION("""COMPUTED_VALUE"""),"PMB")</f>
        <v>PMB</v>
      </c>
      <c r="O405" s="59"/>
      <c r="P405" s="1"/>
      <c r="Q405" s="1"/>
      <c r="R405" s="1"/>
      <c r="S405" s="1"/>
      <c r="T405" s="1"/>
      <c r="U405" s="1"/>
      <c r="V405" s="1"/>
      <c r="W405" s="1"/>
      <c r="X405" s="1"/>
      <c r="Y405" s="1"/>
      <c r="Z405" s="1"/>
      <c r="AA405" s="1"/>
    </row>
    <row r="406" spans="1:27" ht="12.75" customHeight="1">
      <c r="A406" s="1"/>
      <c r="B406" s="10" t="str">
        <f ca="1">IFERROR(__xludf.DUMMYFUNCTION("""COMPUTED_VALUE"""),"ASISTENCIA TÉCNICA PARA EL DESARROLLO DE PROYECTOS, COMUNA DE DIEGO DE ALMAGRO")</f>
        <v>ASISTENCIA TÉCNICA PARA EL DESARROLLO DE PROYECTOS, COMUNA DE DIEGO DE ALMAGRO</v>
      </c>
      <c r="C406" s="10" t="str">
        <f ca="1">IFERROR(__xludf.DUMMYFUNCTION("""COMPUTED_VALUE"""),"3202231001-C")</f>
        <v>3202231001-C</v>
      </c>
      <c r="D406" s="26" t="str">
        <f t="shared" ca="1" si="2"/>
        <v xml:space="preserve"> DIEGO DE ALMAGRO</v>
      </c>
      <c r="E406" s="10" t="str">
        <f ca="1">IFERROR(__xludf.DUMMYFUNCTION("""COMPUTED_VALUE"""),"Guía Operativa")</f>
        <v>Guía Operativa</v>
      </c>
      <c r="F406" s="10" t="str">
        <f ca="1">IFERROR(__xludf.DUMMYFUNCTION("""COMPUTED_VALUE"""),"MUNICIPALIDAD DE DIEGO DE ALMAGRO")</f>
        <v>MUNICIPALIDAD DE DIEGO DE ALMAGRO</v>
      </c>
      <c r="G406" s="71">
        <f ca="1">IFERROR(__xludf.DUMMYFUNCTION("""COMPUTED_VALUE"""),41984000)</f>
        <v>41984000</v>
      </c>
      <c r="H406" s="10" t="str">
        <f ca="1">IFERROR(__xludf.DUMMYFUNCTION("""COMPUTED_VALUE"""),"Resolución")</f>
        <v>Resolución</v>
      </c>
      <c r="I406" s="10" t="str">
        <f ca="1">IFERROR(__xludf.DUMMYFUNCTION("""COMPUTED_VALUE"""),"Asistencia Técnica")</f>
        <v>Asistencia Técnica</v>
      </c>
      <c r="J406" s="10" t="str">
        <f ca="1">IFERROR(__xludf.DUMMYFUNCTION("""COMPUTED_VALUE"""),"Cumplir con normativa y reglamentos internos del programa en base a los objetivos.")</f>
        <v>Cumplir con normativa y reglamentos internos del programa en base a los objetivos.</v>
      </c>
      <c r="K406" s="71">
        <f ca="1">IFERROR(__xludf.DUMMYFUNCTION("""COMPUTED_VALUE"""),41984000)</f>
        <v>41984000</v>
      </c>
      <c r="L406" s="27">
        <f ca="1">IFERROR(__xludf.DUMMYFUNCTION("""COMPUTED_VALUE"""),1)</f>
        <v>1</v>
      </c>
      <c r="M406" s="10" t="str">
        <f ca="1">IFERROR(__xludf.DUMMYFUNCTION("""COMPUTED_VALUE"""),"11624/2024")</f>
        <v>11624/2024</v>
      </c>
      <c r="N406" s="10" t="str">
        <f ca="1">IFERROR(__xludf.DUMMYFUNCTION("""COMPUTED_VALUE"""),"PMB")</f>
        <v>PMB</v>
      </c>
      <c r="O406" s="59"/>
      <c r="P406" s="1"/>
      <c r="Q406" s="1"/>
      <c r="R406" s="1"/>
      <c r="S406" s="1"/>
      <c r="T406" s="1"/>
      <c r="U406" s="1"/>
      <c r="V406" s="1"/>
      <c r="W406" s="1"/>
      <c r="X406" s="1"/>
      <c r="Y406" s="1"/>
      <c r="Z406" s="1"/>
      <c r="AA406" s="1"/>
    </row>
    <row r="407" spans="1:27" ht="12.75" customHeight="1">
      <c r="A407" s="1"/>
      <c r="B407" s="10" t="str">
        <f ca="1">IFERROR(__xludf.DUMMYFUNCTION("""COMPUTED_VALUE"""),"“NORMALIZACIÓN DE ALUMBRADO PÚBLICO AV. CIRCUNVALACIÓN, ENTRE JUAN VEGA GARBIZO Y AV. SERRANO, COMUNA DE MEJILLONES”")</f>
        <v>“NORMALIZACIÓN DE ALUMBRADO PÚBLICO AV. CIRCUNVALACIÓN, ENTRE JUAN VEGA GARBIZO Y AV. SERRANO, COMUNA DE MEJILLONES”</v>
      </c>
      <c r="C407" s="10" t="str">
        <f ca="1">IFERROR(__xludf.DUMMYFUNCTION("""COMPUTED_VALUE"""),"2102240702-C")</f>
        <v>2102240702-C</v>
      </c>
      <c r="D407" s="26" t="str">
        <f t="shared" ca="1" si="2"/>
        <v xml:space="preserve"> MEJILLONES</v>
      </c>
      <c r="E407" s="10" t="str">
        <f ca="1">IFERROR(__xludf.DUMMYFUNCTION("""COMPUTED_VALUE"""),"Guía Operativa")</f>
        <v>Guía Operativa</v>
      </c>
      <c r="F407" s="10" t="str">
        <f ca="1">IFERROR(__xludf.DUMMYFUNCTION("""COMPUTED_VALUE"""),"MUNICIPALIDAD DE MEJILLONES")</f>
        <v>MUNICIPALIDAD DE MEJILLONES</v>
      </c>
      <c r="G407" s="71">
        <f ca="1">IFERROR(__xludf.DUMMYFUNCTION("""COMPUTED_VALUE"""),309301052)</f>
        <v>309301052</v>
      </c>
      <c r="H407" s="10" t="str">
        <f ca="1">IFERROR(__xludf.DUMMYFUNCTION("""COMPUTED_VALUE"""),"Resolución")</f>
        <v>Resolución</v>
      </c>
      <c r="I407" s="10" t="str">
        <f ca="1">IFERROR(__xludf.DUMMYFUNCTION("""COMPUTED_VALUE"""),"Obra")</f>
        <v>Obra</v>
      </c>
      <c r="J407" s="10" t="str">
        <f ca="1">IFERROR(__xludf.DUMMYFUNCTION("""COMPUTED_VALUE"""),"Cumplir con normativa y reglamentos internos del programa en base a los objetivos.")</f>
        <v>Cumplir con normativa y reglamentos internos del programa en base a los objetivos.</v>
      </c>
      <c r="K407" s="71">
        <f ca="1">IFERROR(__xludf.DUMMYFUNCTION("""COMPUTED_VALUE"""),309301052)</f>
        <v>309301052</v>
      </c>
      <c r="L407" s="27">
        <f ca="1">IFERROR(__xludf.DUMMYFUNCTION("""COMPUTED_VALUE"""),1)</f>
        <v>1</v>
      </c>
      <c r="M407" s="10" t="str">
        <f ca="1">IFERROR(__xludf.DUMMYFUNCTION("""COMPUTED_VALUE"""),"11626/2024")</f>
        <v>11626/2024</v>
      </c>
      <c r="N407" s="10" t="str">
        <f ca="1">IFERROR(__xludf.DUMMYFUNCTION("""COMPUTED_VALUE"""),"PMB")</f>
        <v>PMB</v>
      </c>
      <c r="O407" s="59"/>
      <c r="P407" s="1"/>
      <c r="Q407" s="1"/>
      <c r="R407" s="1"/>
      <c r="S407" s="1"/>
      <c r="T407" s="1"/>
      <c r="U407" s="1"/>
      <c r="V407" s="1"/>
      <c r="W407" s="1"/>
      <c r="X407" s="1"/>
      <c r="Y407" s="1"/>
      <c r="Z407" s="1"/>
      <c r="AA407" s="1"/>
    </row>
    <row r="408" spans="1:27" ht="12.75" customHeight="1">
      <c r="A408" s="1"/>
      <c r="B408" s="10" t="str">
        <f ca="1">IFERROR(__xludf.DUMMYFUNCTION("""COMPUTED_VALUE"""),"SANEAMIENTO SANITARIO PASAJE MUÑOZ, COMUNA DE FRUTILLAR")</f>
        <v>SANEAMIENTO SANITARIO PASAJE MUÑOZ, COMUNA DE FRUTILLAR</v>
      </c>
      <c r="C408" s="10" t="str">
        <f ca="1">IFERROR(__xludf.DUMMYFUNCTION("""COMPUTED_VALUE"""),"10105240702-C")</f>
        <v>10105240702-C</v>
      </c>
      <c r="D408" s="26" t="str">
        <f t="shared" ca="1" si="2"/>
        <v xml:space="preserve"> FRUTILLAR</v>
      </c>
      <c r="E408" s="10" t="str">
        <f ca="1">IFERROR(__xludf.DUMMYFUNCTION("""COMPUTED_VALUE"""),"Guía Operativa")</f>
        <v>Guía Operativa</v>
      </c>
      <c r="F408" s="10" t="str">
        <f ca="1">IFERROR(__xludf.DUMMYFUNCTION("""COMPUTED_VALUE"""),"MUNICIPALIDAD DE FRUTILLAR")</f>
        <v>MUNICIPALIDAD DE FRUTILLAR</v>
      </c>
      <c r="G408" s="71">
        <f ca="1">IFERROR(__xludf.DUMMYFUNCTION("""COMPUTED_VALUE"""),159520320)</f>
        <v>159520320</v>
      </c>
      <c r="H408" s="10" t="str">
        <f ca="1">IFERROR(__xludf.DUMMYFUNCTION("""COMPUTED_VALUE"""),"Resolución")</f>
        <v>Resolución</v>
      </c>
      <c r="I408" s="10" t="str">
        <f ca="1">IFERROR(__xludf.DUMMYFUNCTION("""COMPUTED_VALUE"""),"Obra")</f>
        <v>Obra</v>
      </c>
      <c r="J408" s="10" t="str">
        <f ca="1">IFERROR(__xludf.DUMMYFUNCTION("""COMPUTED_VALUE"""),"Cumplir con normativa y reglamentos internos del programa en base a los objetivos.")</f>
        <v>Cumplir con normativa y reglamentos internos del programa en base a los objetivos.</v>
      </c>
      <c r="K408" s="71">
        <f ca="1">IFERROR(__xludf.DUMMYFUNCTION("""COMPUTED_VALUE"""),159520320)</f>
        <v>159520320</v>
      </c>
      <c r="L408" s="27">
        <f ca="1">IFERROR(__xludf.DUMMYFUNCTION("""COMPUTED_VALUE"""),1)</f>
        <v>1</v>
      </c>
      <c r="M408" s="10" t="str">
        <f ca="1">IFERROR(__xludf.DUMMYFUNCTION("""COMPUTED_VALUE"""),"11631/2024")</f>
        <v>11631/2024</v>
      </c>
      <c r="N408" s="10" t="str">
        <f ca="1">IFERROR(__xludf.DUMMYFUNCTION("""COMPUTED_VALUE"""),"PMB")</f>
        <v>PMB</v>
      </c>
      <c r="O408" s="59"/>
      <c r="P408" s="1"/>
      <c r="Q408" s="1"/>
      <c r="R408" s="1"/>
      <c r="S408" s="1"/>
      <c r="T408" s="1"/>
      <c r="U408" s="1"/>
      <c r="V408" s="1"/>
      <c r="W408" s="1"/>
      <c r="X408" s="1"/>
      <c r="Y408" s="1"/>
      <c r="Z408" s="1"/>
      <c r="AA408" s="1"/>
    </row>
    <row r="409" spans="1:27" ht="12.75" customHeight="1">
      <c r="A409" s="1"/>
      <c r="B409" s="10" t="str">
        <f ca="1">IFERROR(__xludf.DUMMYFUNCTION("""COMPUTED_VALUE"""),"MEJORAMIENTO TERRENOS CANCHA DE FUTBOL SECTOR TEUPA COMUNA DE CHONCHI, REGION DE LOS LAGOS")</f>
        <v>MEJORAMIENTO TERRENOS CANCHA DE FUTBOL SECTOR TEUPA COMUNA DE CHONCHI, REGION DE LOS LAGOS</v>
      </c>
      <c r="C409" s="10" t="str">
        <f ca="1">IFERROR(__xludf.DUMMYFUNCTION("""COMPUTED_VALUE"""),"10203240705-C")</f>
        <v>10203240705-C</v>
      </c>
      <c r="D409" s="26" t="str">
        <f t="shared" ca="1" si="2"/>
        <v xml:space="preserve"> CHONCHI</v>
      </c>
      <c r="E409" s="10" t="str">
        <f ca="1">IFERROR(__xludf.DUMMYFUNCTION("""COMPUTED_VALUE"""),"Guía Operativa")</f>
        <v>Guía Operativa</v>
      </c>
      <c r="F409" s="10" t="str">
        <f ca="1">IFERROR(__xludf.DUMMYFUNCTION("""COMPUTED_VALUE"""),"MUNICIPALIDAD DE CHONCHI")</f>
        <v>MUNICIPALIDAD DE CHONCHI</v>
      </c>
      <c r="G409" s="71">
        <f ca="1">IFERROR(__xludf.DUMMYFUNCTION("""COMPUTED_VALUE"""),153987250)</f>
        <v>153987250</v>
      </c>
      <c r="H409" s="10" t="str">
        <f ca="1">IFERROR(__xludf.DUMMYFUNCTION("""COMPUTED_VALUE"""),"Resolución")</f>
        <v>Resolución</v>
      </c>
      <c r="I409" s="10" t="str">
        <f ca="1">IFERROR(__xludf.DUMMYFUNCTION("""COMPUTED_VALUE"""),"Obra")</f>
        <v>Obra</v>
      </c>
      <c r="J409" s="10" t="str">
        <f ca="1">IFERROR(__xludf.DUMMYFUNCTION("""COMPUTED_VALUE"""),"Cumplir con normativa y reglamentos internos del programa en base a los objetivos.")</f>
        <v>Cumplir con normativa y reglamentos internos del programa en base a los objetivos.</v>
      </c>
      <c r="K409" s="71">
        <f ca="1">IFERROR(__xludf.DUMMYFUNCTION("""COMPUTED_VALUE"""),153987250)</f>
        <v>153987250</v>
      </c>
      <c r="L409" s="27">
        <f ca="1">IFERROR(__xludf.DUMMYFUNCTION("""COMPUTED_VALUE"""),1)</f>
        <v>1</v>
      </c>
      <c r="M409" s="10" t="str">
        <f ca="1">IFERROR(__xludf.DUMMYFUNCTION("""COMPUTED_VALUE"""),"12111/2024")</f>
        <v>12111/2024</v>
      </c>
      <c r="N409" s="10" t="str">
        <f ca="1">IFERROR(__xludf.DUMMYFUNCTION("""COMPUTED_VALUE"""),"PMB")</f>
        <v>PMB</v>
      </c>
      <c r="O409" s="59"/>
      <c r="P409" s="1"/>
      <c r="Q409" s="1"/>
      <c r="R409" s="1"/>
      <c r="S409" s="1"/>
      <c r="T409" s="1"/>
      <c r="U409" s="1"/>
      <c r="V409" s="1"/>
      <c r="W409" s="1"/>
      <c r="X409" s="1"/>
      <c r="Y409" s="1"/>
      <c r="Z409" s="1"/>
      <c r="AA409" s="1"/>
    </row>
    <row r="410" spans="1:27" ht="12.75" customHeight="1">
      <c r="A410" s="1"/>
      <c r="B410" s="10" t="str">
        <f ca="1">IFERROR(__xludf.DUMMYFUNCTION("""COMPUTED_VALUE"""),"ASISTENCIA TÉCNICA DISEÑO DE PROYECTOS DE EQUIPAMIENTO DEPORTIVO, SOCIAL Y AREAS VERDES DE LA COMUNA DE PUERTO VARAS")</f>
        <v>ASISTENCIA TÉCNICA DISEÑO DE PROYECTOS DE EQUIPAMIENTO DEPORTIVO, SOCIAL Y AREAS VERDES DE LA COMUNA DE PUERTO VARAS</v>
      </c>
      <c r="C410" s="10" t="str">
        <f ca="1">IFERROR(__xludf.DUMMYFUNCTION("""COMPUTED_VALUE"""),"10109241002-C")</f>
        <v>10109241002-C</v>
      </c>
      <c r="D410" s="26" t="str">
        <f t="shared" ca="1" si="2"/>
        <v xml:space="preserve"> PUERTO VARAS</v>
      </c>
      <c r="E410" s="10" t="str">
        <f ca="1">IFERROR(__xludf.DUMMYFUNCTION("""COMPUTED_VALUE"""),"Guía Operativa")</f>
        <v>Guía Operativa</v>
      </c>
      <c r="F410" s="10" t="str">
        <f ca="1">IFERROR(__xludf.DUMMYFUNCTION("""COMPUTED_VALUE"""),"MUNICIPALIDAD DE PUERTO VARAS")</f>
        <v>MUNICIPALIDAD DE PUERTO VARAS</v>
      </c>
      <c r="G410" s="71">
        <f ca="1">IFERROR(__xludf.DUMMYFUNCTION("""COMPUTED_VALUE"""),42913188)</f>
        <v>42913188</v>
      </c>
      <c r="H410" s="10" t="str">
        <f ca="1">IFERROR(__xludf.DUMMYFUNCTION("""COMPUTED_VALUE"""),"Resolución")</f>
        <v>Resolución</v>
      </c>
      <c r="I410" s="10" t="str">
        <f ca="1">IFERROR(__xludf.DUMMYFUNCTION("""COMPUTED_VALUE"""),"Asistencia Técnica")</f>
        <v>Asistencia Técnica</v>
      </c>
      <c r="J410" s="10" t="str">
        <f ca="1">IFERROR(__xludf.DUMMYFUNCTION("""COMPUTED_VALUE"""),"Cumplir con normativa y reglamentos internos del programa en base a los objetivos.")</f>
        <v>Cumplir con normativa y reglamentos internos del programa en base a los objetivos.</v>
      </c>
      <c r="K410" s="71">
        <f ca="1">IFERROR(__xludf.DUMMYFUNCTION("""COMPUTED_VALUE"""),42913188)</f>
        <v>42913188</v>
      </c>
      <c r="L410" s="27">
        <f ca="1">IFERROR(__xludf.DUMMYFUNCTION("""COMPUTED_VALUE"""),1)</f>
        <v>1</v>
      </c>
      <c r="M410" s="10" t="str">
        <f ca="1">IFERROR(__xludf.DUMMYFUNCTION("""COMPUTED_VALUE"""),"11674/2024")</f>
        <v>11674/2024</v>
      </c>
      <c r="N410" s="10" t="str">
        <f ca="1">IFERROR(__xludf.DUMMYFUNCTION("""COMPUTED_VALUE"""),"PMB")</f>
        <v>PMB</v>
      </c>
      <c r="O410" s="59"/>
      <c r="P410" s="1"/>
      <c r="Q410" s="1"/>
      <c r="R410" s="1"/>
      <c r="S410" s="1"/>
      <c r="T410" s="1"/>
      <c r="U410" s="1"/>
      <c r="V410" s="1"/>
      <c r="W410" s="1"/>
      <c r="X410" s="1"/>
      <c r="Y410" s="1"/>
      <c r="Z410" s="1"/>
      <c r="AA410" s="1"/>
    </row>
    <row r="411" spans="1:27" ht="12.75" customHeight="1">
      <c r="A411" s="1"/>
      <c r="B411" s="10" t="str">
        <f ca="1">IFERROR(__xludf.DUMMYFUNCTION("""COMPUTED_VALUE"""),"ASISTENCIA TECNICA PROYECTOS SANITARIOS, ELECTRICOS Y OTROS, COMUNA DE CHONCHI")</f>
        <v>ASISTENCIA TECNICA PROYECTOS SANITARIOS, ELECTRICOS Y OTROS, COMUNA DE CHONCHI</v>
      </c>
      <c r="C411" s="10" t="str">
        <f ca="1">IFERROR(__xludf.DUMMYFUNCTION("""COMPUTED_VALUE"""),"10203241002-C")</f>
        <v>10203241002-C</v>
      </c>
      <c r="D411" s="26" t="str">
        <f t="shared" ca="1" si="2"/>
        <v xml:space="preserve"> CHONCHI</v>
      </c>
      <c r="E411" s="10" t="str">
        <f ca="1">IFERROR(__xludf.DUMMYFUNCTION("""COMPUTED_VALUE"""),"Guía Operativa")</f>
        <v>Guía Operativa</v>
      </c>
      <c r="F411" s="10" t="str">
        <f ca="1">IFERROR(__xludf.DUMMYFUNCTION("""COMPUTED_VALUE"""),"MUNICIPALIDAD DE CHONCHI")</f>
        <v>MUNICIPALIDAD DE CHONCHI</v>
      </c>
      <c r="G411" s="71">
        <f ca="1">IFERROR(__xludf.DUMMYFUNCTION("""COMPUTED_VALUE"""),87600000)</f>
        <v>87600000</v>
      </c>
      <c r="H411" s="10" t="str">
        <f ca="1">IFERROR(__xludf.DUMMYFUNCTION("""COMPUTED_VALUE"""),"Resolución")</f>
        <v>Resolución</v>
      </c>
      <c r="I411" s="10" t="str">
        <f ca="1">IFERROR(__xludf.DUMMYFUNCTION("""COMPUTED_VALUE"""),"Asistencia Técnica")</f>
        <v>Asistencia Técnica</v>
      </c>
      <c r="J411" s="10" t="str">
        <f ca="1">IFERROR(__xludf.DUMMYFUNCTION("""COMPUTED_VALUE"""),"Cumplir con normativa y reglamentos internos del programa en base a los objetivos.")</f>
        <v>Cumplir con normativa y reglamentos internos del programa en base a los objetivos.</v>
      </c>
      <c r="K411" s="71">
        <f ca="1">IFERROR(__xludf.DUMMYFUNCTION("""COMPUTED_VALUE"""),87600000)</f>
        <v>87600000</v>
      </c>
      <c r="L411" s="27">
        <f ca="1">IFERROR(__xludf.DUMMYFUNCTION("""COMPUTED_VALUE"""),1)</f>
        <v>1</v>
      </c>
      <c r="M411" s="10" t="str">
        <f ca="1">IFERROR(__xludf.DUMMYFUNCTION("""COMPUTED_VALUE"""),"11695/2024")</f>
        <v>11695/2024</v>
      </c>
      <c r="N411" s="10" t="str">
        <f ca="1">IFERROR(__xludf.DUMMYFUNCTION("""COMPUTED_VALUE"""),"PMB")</f>
        <v>PMB</v>
      </c>
      <c r="O411" s="59"/>
      <c r="P411" s="1"/>
      <c r="Q411" s="1"/>
      <c r="R411" s="1"/>
      <c r="S411" s="1"/>
      <c r="T411" s="1"/>
      <c r="U411" s="1"/>
      <c r="V411" s="1"/>
      <c r="W411" s="1"/>
      <c r="X411" s="1"/>
      <c r="Y411" s="1"/>
      <c r="Z411" s="1"/>
      <c r="AA411" s="1"/>
    </row>
    <row r="412" spans="1:27" ht="12.75" customHeight="1">
      <c r="A412" s="1"/>
      <c r="B412" s="10" t="str">
        <f ca="1">IFERROR(__xludf.DUMMYFUNCTION("""COMPUTED_VALUE"""),"ESTUDIO HIDROGEOLÓGICO GEOFÍSICO PARA LOS SECTORES DE AGUAS BUENAS, LA JUNTA, EL ESCUDO, RIO SUR, LAS NIEVES Y PUERTO OCTAY, COMUNA DE PUERTO OCTAY.")</f>
        <v>ESTUDIO HIDROGEOLÓGICO GEOFÍSICO PARA LOS SECTORES DE AGUAS BUENAS, LA JUNTA, EL ESCUDO, RIO SUR, LAS NIEVES Y PUERTO OCTAY, COMUNA DE PUERTO OCTAY.</v>
      </c>
      <c r="C412" s="10" t="str">
        <f ca="1">IFERROR(__xludf.DUMMYFUNCTION("""COMPUTED_VALUE"""),"10302230401-C")</f>
        <v>10302230401-C</v>
      </c>
      <c r="D412" s="26" t="str">
        <f t="shared" ca="1" si="2"/>
        <v xml:space="preserve"> PUERTO OCTAY</v>
      </c>
      <c r="E412" s="10" t="str">
        <f ca="1">IFERROR(__xludf.DUMMYFUNCTION("""COMPUTED_VALUE"""),"Guía Operativa")</f>
        <v>Guía Operativa</v>
      </c>
      <c r="F412" s="10" t="str">
        <f ca="1">IFERROR(__xludf.DUMMYFUNCTION("""COMPUTED_VALUE"""),"MUNICIPALIDAD DE PUERTO OCTAY")</f>
        <v>MUNICIPALIDAD DE PUERTO OCTAY</v>
      </c>
      <c r="G412" s="71">
        <f ca="1">IFERROR(__xludf.DUMMYFUNCTION("""COMPUTED_VALUE"""),70104626)</f>
        <v>70104626</v>
      </c>
      <c r="H412" s="10" t="str">
        <f ca="1">IFERROR(__xludf.DUMMYFUNCTION("""COMPUTED_VALUE"""),"Resolución")</f>
        <v>Resolución</v>
      </c>
      <c r="I412" s="10" t="str">
        <f ca="1">IFERROR(__xludf.DUMMYFUNCTION("""COMPUTED_VALUE"""),"Estudio")</f>
        <v>Estudio</v>
      </c>
      <c r="J412" s="10" t="str">
        <f ca="1">IFERROR(__xludf.DUMMYFUNCTION("""COMPUTED_VALUE"""),"Cumplir con normativa y reglamentos internos del programa en base a los objetivos.")</f>
        <v>Cumplir con normativa y reglamentos internos del programa en base a los objetivos.</v>
      </c>
      <c r="K412" s="71">
        <f ca="1">IFERROR(__xludf.DUMMYFUNCTION("""COMPUTED_VALUE"""),70104626)</f>
        <v>70104626</v>
      </c>
      <c r="L412" s="27">
        <f ca="1">IFERROR(__xludf.DUMMYFUNCTION("""COMPUTED_VALUE"""),1)</f>
        <v>1</v>
      </c>
      <c r="M412" s="10" t="str">
        <f ca="1">IFERROR(__xludf.DUMMYFUNCTION("""COMPUTED_VALUE"""),"11563/2024")</f>
        <v>11563/2024</v>
      </c>
      <c r="N412" s="10" t="str">
        <f ca="1">IFERROR(__xludf.DUMMYFUNCTION("""COMPUTED_VALUE"""),"PMB")</f>
        <v>PMB</v>
      </c>
      <c r="O412" s="59"/>
      <c r="P412" s="1"/>
      <c r="Q412" s="1"/>
      <c r="R412" s="1"/>
      <c r="S412" s="1"/>
      <c r="T412" s="1"/>
      <c r="U412" s="1"/>
      <c r="V412" s="1"/>
      <c r="W412" s="1"/>
      <c r="X412" s="1"/>
      <c r="Y412" s="1"/>
      <c r="Z412" s="1"/>
      <c r="AA412" s="1"/>
    </row>
    <row r="413" spans="1:27" ht="12.75" customHeight="1">
      <c r="A413" s="1"/>
      <c r="B413" s="10" t="str">
        <f ca="1">IFERROR(__xludf.DUMMYFUNCTION("""COMPUTED_VALUE"""),"[SATE] AMPLIACIÓN DE RED ELÉCTRICA Y MEJORAS EN DISTRIBUCIÓN, SAN GREGORIO.")</f>
        <v>[SATE] AMPLIACIÓN DE RED ELÉCTRICA Y MEJORAS EN DISTRIBUCIÓN, SAN GREGORIO.</v>
      </c>
      <c r="C413" s="10" t="str">
        <f ca="1">IFERROR(__xludf.DUMMYFUNCTION("""COMPUTED_VALUE"""),"12104230701-C")</f>
        <v>12104230701-C</v>
      </c>
      <c r="D413" s="26" t="str">
        <f t="shared" ca="1" si="2"/>
        <v xml:space="preserve"> SAN GREGORIO</v>
      </c>
      <c r="E413" s="10" t="str">
        <f ca="1">IFERROR(__xludf.DUMMYFUNCTION("""COMPUTED_VALUE"""),"Guía Operativa")</f>
        <v>Guía Operativa</v>
      </c>
      <c r="F413" s="10" t="str">
        <f ca="1">IFERROR(__xludf.DUMMYFUNCTION("""COMPUTED_VALUE"""),"MUNICIPALIDAD DE SAN GREGORIO")</f>
        <v>MUNICIPALIDAD DE SAN GREGORIO</v>
      </c>
      <c r="G413" s="71">
        <f ca="1">IFERROR(__xludf.DUMMYFUNCTION("""COMPUTED_VALUE"""),205390499)</f>
        <v>205390499</v>
      </c>
      <c r="H413" s="10" t="str">
        <f ca="1">IFERROR(__xludf.DUMMYFUNCTION("""COMPUTED_VALUE"""),"Resolución")</f>
        <v>Resolución</v>
      </c>
      <c r="I413" s="10" t="str">
        <f ca="1">IFERROR(__xludf.DUMMYFUNCTION("""COMPUTED_VALUE"""),"Obra")</f>
        <v>Obra</v>
      </c>
      <c r="J413" s="10" t="str">
        <f ca="1">IFERROR(__xludf.DUMMYFUNCTION("""COMPUTED_VALUE"""),"Cumplir con normativa y reglamentos internos del programa en base a los objetivos.")</f>
        <v>Cumplir con normativa y reglamentos internos del programa en base a los objetivos.</v>
      </c>
      <c r="K413" s="71">
        <f ca="1">IFERROR(__xludf.DUMMYFUNCTION("""COMPUTED_VALUE"""),205390499)</f>
        <v>205390499</v>
      </c>
      <c r="L413" s="27">
        <f ca="1">IFERROR(__xludf.DUMMYFUNCTION("""COMPUTED_VALUE"""),1)</f>
        <v>1</v>
      </c>
      <c r="M413" s="10" t="str">
        <f ca="1">IFERROR(__xludf.DUMMYFUNCTION("""COMPUTED_VALUE"""),"11681/2024")</f>
        <v>11681/2024</v>
      </c>
      <c r="N413" s="10" t="str">
        <f ca="1">IFERROR(__xludf.DUMMYFUNCTION("""COMPUTED_VALUE"""),"PMB")</f>
        <v>PMB</v>
      </c>
      <c r="O413" s="59"/>
      <c r="P413" s="1"/>
      <c r="Q413" s="1"/>
      <c r="R413" s="1"/>
      <c r="S413" s="1"/>
      <c r="T413" s="1"/>
      <c r="U413" s="1"/>
      <c r="V413" s="1"/>
      <c r="W413" s="1"/>
      <c r="X413" s="1"/>
      <c r="Y413" s="1"/>
      <c r="Z413" s="1"/>
      <c r="AA413" s="1"/>
    </row>
    <row r="414" spans="1:27" ht="12.75" customHeight="1">
      <c r="A414" s="1"/>
      <c r="B414" s="10" t="str">
        <f ca="1">IFERROR(__xludf.DUMMYFUNCTION("""COMPUTED_VALUE"""),"CONSTRUCCIÓN ALUMBRADO PUBLICO VILLA LOS TRONCOS, TABOLGUÉN Y VALLE HERMOSO, CAUQUENES")</f>
        <v>CONSTRUCCIÓN ALUMBRADO PUBLICO VILLA LOS TRONCOS, TABOLGUÉN Y VALLE HERMOSO, CAUQUENES</v>
      </c>
      <c r="C414" s="10" t="str">
        <f ca="1">IFERROR(__xludf.DUMMYFUNCTION("""COMPUTED_VALUE"""),"7201230701-C")</f>
        <v>7201230701-C</v>
      </c>
      <c r="D414" s="26" t="str">
        <f t="shared" ca="1" si="2"/>
        <v xml:space="preserve"> CAUQUENES</v>
      </c>
      <c r="E414" s="10" t="str">
        <f ca="1">IFERROR(__xludf.DUMMYFUNCTION("""COMPUTED_VALUE"""),"Guía Operativa")</f>
        <v>Guía Operativa</v>
      </c>
      <c r="F414" s="10" t="str">
        <f ca="1">IFERROR(__xludf.DUMMYFUNCTION("""COMPUTED_VALUE"""),"MUNICIPALIDAD DE CAUQUENES")</f>
        <v>MUNICIPALIDAD DE CAUQUENES</v>
      </c>
      <c r="G414" s="71">
        <f ca="1">IFERROR(__xludf.DUMMYFUNCTION("""COMPUTED_VALUE"""),232472575)</f>
        <v>232472575</v>
      </c>
      <c r="H414" s="10" t="str">
        <f ca="1">IFERROR(__xludf.DUMMYFUNCTION("""COMPUTED_VALUE"""),"Resolución")</f>
        <v>Resolución</v>
      </c>
      <c r="I414" s="10" t="str">
        <f ca="1">IFERROR(__xludf.DUMMYFUNCTION("""COMPUTED_VALUE"""),"Obra")</f>
        <v>Obra</v>
      </c>
      <c r="J414" s="10" t="str">
        <f ca="1">IFERROR(__xludf.DUMMYFUNCTION("""COMPUTED_VALUE"""),"Cumplir con normativa y reglamentos internos del programa en base a los objetivos.")</f>
        <v>Cumplir con normativa y reglamentos internos del programa en base a los objetivos.</v>
      </c>
      <c r="K414" s="71">
        <f ca="1">IFERROR(__xludf.DUMMYFUNCTION("""COMPUTED_VALUE"""),232472575)</f>
        <v>232472575</v>
      </c>
      <c r="L414" s="27">
        <f ca="1">IFERROR(__xludf.DUMMYFUNCTION("""COMPUTED_VALUE"""),1)</f>
        <v>1</v>
      </c>
      <c r="M414" s="10" t="str">
        <f ca="1">IFERROR(__xludf.DUMMYFUNCTION("""COMPUTED_VALUE"""),"10641/2024")</f>
        <v>10641/2024</v>
      </c>
      <c r="N414" s="10" t="str">
        <f ca="1">IFERROR(__xludf.DUMMYFUNCTION("""COMPUTED_VALUE"""),"PMB")</f>
        <v>PMB</v>
      </c>
      <c r="O414" s="59"/>
      <c r="P414" s="1"/>
      <c r="Q414" s="1"/>
      <c r="R414" s="1"/>
      <c r="S414" s="1"/>
      <c r="T414" s="1"/>
      <c r="U414" s="1"/>
      <c r="V414" s="1"/>
      <c r="W414" s="1"/>
      <c r="X414" s="1"/>
      <c r="Y414" s="1"/>
      <c r="Z414" s="1"/>
      <c r="AA414" s="1"/>
    </row>
    <row r="415" spans="1:27" ht="12.75" customHeight="1">
      <c r="A415" s="1"/>
      <c r="B415" s="10" t="str">
        <f ca="1">IFERROR(__xludf.DUMMYFUNCTION("""COMPUTED_VALUE"""),"CONSTRUCCIÓN ALUMBRADO PUBLICO ÁREA VERDE VILLA MERCED DE LA ESPERANZA, CAUQUENES")</f>
        <v>CONSTRUCCIÓN ALUMBRADO PUBLICO ÁREA VERDE VILLA MERCED DE LA ESPERANZA, CAUQUENES</v>
      </c>
      <c r="C415" s="10" t="str">
        <f ca="1">IFERROR(__xludf.DUMMYFUNCTION("""COMPUTED_VALUE"""),"7201230702-C")</f>
        <v>7201230702-C</v>
      </c>
      <c r="D415" s="26" t="str">
        <f t="shared" ca="1" si="2"/>
        <v xml:space="preserve"> CAUQUENES</v>
      </c>
      <c r="E415" s="10" t="str">
        <f ca="1">IFERROR(__xludf.DUMMYFUNCTION("""COMPUTED_VALUE"""),"Guía Operativa")</f>
        <v>Guía Operativa</v>
      </c>
      <c r="F415" s="10" t="str">
        <f ca="1">IFERROR(__xludf.DUMMYFUNCTION("""COMPUTED_VALUE"""),"MUNICIPALIDAD DE CAUQUENES")</f>
        <v>MUNICIPALIDAD DE CAUQUENES</v>
      </c>
      <c r="G415" s="71">
        <f ca="1">IFERROR(__xludf.DUMMYFUNCTION("""COMPUTED_VALUE"""),42850577)</f>
        <v>42850577</v>
      </c>
      <c r="H415" s="10" t="str">
        <f ca="1">IFERROR(__xludf.DUMMYFUNCTION("""COMPUTED_VALUE"""),"Resolución")</f>
        <v>Resolución</v>
      </c>
      <c r="I415" s="10" t="str">
        <f ca="1">IFERROR(__xludf.DUMMYFUNCTION("""COMPUTED_VALUE"""),"Obra")</f>
        <v>Obra</v>
      </c>
      <c r="J415" s="10" t="str">
        <f ca="1">IFERROR(__xludf.DUMMYFUNCTION("""COMPUTED_VALUE"""),"Cumplir con normativa y reglamentos internos del programa en base a los objetivos.")</f>
        <v>Cumplir con normativa y reglamentos internos del programa en base a los objetivos.</v>
      </c>
      <c r="K415" s="71">
        <f ca="1">IFERROR(__xludf.DUMMYFUNCTION("""COMPUTED_VALUE"""),42850577)</f>
        <v>42850577</v>
      </c>
      <c r="L415" s="27">
        <f ca="1">IFERROR(__xludf.DUMMYFUNCTION("""COMPUTED_VALUE"""),1)</f>
        <v>1</v>
      </c>
      <c r="M415" s="10" t="str">
        <f ca="1">IFERROR(__xludf.DUMMYFUNCTION("""COMPUTED_VALUE"""),"11685/2024")</f>
        <v>11685/2024</v>
      </c>
      <c r="N415" s="10" t="str">
        <f ca="1">IFERROR(__xludf.DUMMYFUNCTION("""COMPUTED_VALUE"""),"PMB")</f>
        <v>PMB</v>
      </c>
      <c r="O415" s="59"/>
      <c r="P415" s="1"/>
      <c r="Q415" s="1"/>
      <c r="R415" s="1"/>
      <c r="S415" s="1"/>
      <c r="T415" s="1"/>
      <c r="U415" s="1"/>
      <c r="V415" s="1"/>
      <c r="W415" s="1"/>
      <c r="X415" s="1"/>
      <c r="Y415" s="1"/>
      <c r="Z415" s="1"/>
      <c r="AA415" s="1"/>
    </row>
    <row r="416" spans="1:27" ht="12.75" customHeight="1">
      <c r="A416" s="1"/>
      <c r="B416" s="10" t="str">
        <f ca="1">IFERROR(__xludf.DUMMYFUNCTION("""COMPUTED_VALUE"""),"ASISTENCIA TÉCNICA PARA PROYECTOS DE SANEAMIENTO SANITARIO SECTORES PANIMÁVIDA, COLBÚN ORIENTE, SAN JUAN, CAPILLA PALACIOS, ENTRE OTROS.")</f>
        <v>ASISTENCIA TÉCNICA PARA PROYECTOS DE SANEAMIENTO SANITARIO SECTORES PANIMÁVIDA, COLBÚN ORIENTE, SAN JUAN, CAPILLA PALACIOS, ENTRE OTROS.</v>
      </c>
      <c r="C416" s="10" t="str">
        <f ca="1">IFERROR(__xludf.DUMMYFUNCTION("""COMPUTED_VALUE"""),"7402231001-C")</f>
        <v>7402231001-C</v>
      </c>
      <c r="D416" s="26" t="str">
        <f t="shared" ca="1" si="2"/>
        <v xml:space="preserve"> COLBÚN</v>
      </c>
      <c r="E416" s="10" t="str">
        <f ca="1">IFERROR(__xludf.DUMMYFUNCTION("""COMPUTED_VALUE"""),"Guía Operativa")</f>
        <v>Guía Operativa</v>
      </c>
      <c r="F416" s="10" t="str">
        <f ca="1">IFERROR(__xludf.DUMMYFUNCTION("""COMPUTED_VALUE"""),"MUNICIPALIDAD DE COLBÚN")</f>
        <v>MUNICIPALIDAD DE COLBÚN</v>
      </c>
      <c r="G416" s="71">
        <f ca="1">IFERROR(__xludf.DUMMYFUNCTION("""COMPUTED_VALUE"""),48900000)</f>
        <v>48900000</v>
      </c>
      <c r="H416" s="10" t="str">
        <f ca="1">IFERROR(__xludf.DUMMYFUNCTION("""COMPUTED_VALUE"""),"Resolución")</f>
        <v>Resolución</v>
      </c>
      <c r="I416" s="10" t="str">
        <f ca="1">IFERROR(__xludf.DUMMYFUNCTION("""COMPUTED_VALUE"""),"Asistencia Técnica")</f>
        <v>Asistencia Técnica</v>
      </c>
      <c r="J416" s="10" t="str">
        <f ca="1">IFERROR(__xludf.DUMMYFUNCTION("""COMPUTED_VALUE"""),"Cumplir con normativa y reglamentos internos del programa en base a los objetivos.")</f>
        <v>Cumplir con normativa y reglamentos internos del programa en base a los objetivos.</v>
      </c>
      <c r="K416" s="71">
        <f ca="1">IFERROR(__xludf.DUMMYFUNCTION("""COMPUTED_VALUE"""),48900000)</f>
        <v>48900000</v>
      </c>
      <c r="L416" s="27">
        <f ca="1">IFERROR(__xludf.DUMMYFUNCTION("""COMPUTED_VALUE"""),1)</f>
        <v>1</v>
      </c>
      <c r="M416" s="10" t="str">
        <f ca="1">IFERROR(__xludf.DUMMYFUNCTION("""COMPUTED_VALUE"""),"10955/2024")</f>
        <v>10955/2024</v>
      </c>
      <c r="N416" s="10" t="str">
        <f ca="1">IFERROR(__xludf.DUMMYFUNCTION("""COMPUTED_VALUE"""),"PMB")</f>
        <v>PMB</v>
      </c>
      <c r="O416" s="59"/>
      <c r="P416" s="1"/>
      <c r="Q416" s="1"/>
      <c r="R416" s="1"/>
      <c r="S416" s="1"/>
      <c r="T416" s="1"/>
      <c r="U416" s="1"/>
      <c r="V416" s="1"/>
      <c r="W416" s="1"/>
      <c r="X416" s="1"/>
      <c r="Y416" s="1"/>
      <c r="Z416" s="1"/>
      <c r="AA416" s="1"/>
    </row>
    <row r="417" spans="1:27" ht="12.75" customHeight="1">
      <c r="A417" s="1"/>
      <c r="B417" s="10" t="str">
        <f ca="1">IFERROR(__xludf.DUMMYFUNCTION("""COMPUTED_VALUE"""),"ASISTENCIA LEGAL PARA CATASTRO, REGULARIZACION DE INMUEBLES Y APOYO EN DESARROLLO DE INICIATIVAS DE INVERSIÓN, CURACO DE VELEZ")</f>
        <v>ASISTENCIA LEGAL PARA CATASTRO, REGULARIZACION DE INMUEBLES Y APOYO EN DESARROLLO DE INICIATIVAS DE INVERSIÓN, CURACO DE VELEZ</v>
      </c>
      <c r="C417" s="10" t="str">
        <f ca="1">IFERROR(__xludf.DUMMYFUNCTION("""COMPUTED_VALUE"""),"10204240601-C")</f>
        <v>10204240601-C</v>
      </c>
      <c r="D417" s="26" t="str">
        <f t="shared" ca="1" si="2"/>
        <v xml:space="preserve"> CURACO DE VÉLEZ</v>
      </c>
      <c r="E417" s="10" t="str">
        <f ca="1">IFERROR(__xludf.DUMMYFUNCTION("""COMPUTED_VALUE"""),"Guía Operativa")</f>
        <v>Guía Operativa</v>
      </c>
      <c r="F417" s="10" t="str">
        <f ca="1">IFERROR(__xludf.DUMMYFUNCTION("""COMPUTED_VALUE"""),"MUNICIPALIDAD DE CURACO DE VÉLEZ")</f>
        <v>MUNICIPALIDAD DE CURACO DE VÉLEZ</v>
      </c>
      <c r="G417" s="71">
        <f ca="1">IFERROR(__xludf.DUMMYFUNCTION("""COMPUTED_VALUE"""),37200000)</f>
        <v>37200000</v>
      </c>
      <c r="H417" s="10" t="str">
        <f ca="1">IFERROR(__xludf.DUMMYFUNCTION("""COMPUTED_VALUE"""),"Resolución")</f>
        <v>Resolución</v>
      </c>
      <c r="I417" s="10" t="str">
        <f ca="1">IFERROR(__xludf.DUMMYFUNCTION("""COMPUTED_VALUE"""),"Asistencia Legal")</f>
        <v>Asistencia Legal</v>
      </c>
      <c r="J417" s="10" t="str">
        <f ca="1">IFERROR(__xludf.DUMMYFUNCTION("""COMPUTED_VALUE"""),"Cumplir con normativa y reglamentos internos del programa en base a los objetivos.")</f>
        <v>Cumplir con normativa y reglamentos internos del programa en base a los objetivos.</v>
      </c>
      <c r="K417" s="71">
        <f ca="1">IFERROR(__xludf.DUMMYFUNCTION("""COMPUTED_VALUE"""),37200000)</f>
        <v>37200000</v>
      </c>
      <c r="L417" s="27">
        <f ca="1">IFERROR(__xludf.DUMMYFUNCTION("""COMPUTED_VALUE"""),1)</f>
        <v>1</v>
      </c>
      <c r="M417" s="10" t="str">
        <f ca="1">IFERROR(__xludf.DUMMYFUNCTION("""COMPUTED_VALUE"""),"11558/2024")</f>
        <v>11558/2024</v>
      </c>
      <c r="N417" s="10" t="str">
        <f ca="1">IFERROR(__xludf.DUMMYFUNCTION("""COMPUTED_VALUE"""),"PMB")</f>
        <v>PMB</v>
      </c>
      <c r="O417" s="59"/>
      <c r="P417" s="1"/>
      <c r="Q417" s="1"/>
      <c r="R417" s="1"/>
      <c r="S417" s="1"/>
      <c r="T417" s="1"/>
      <c r="U417" s="1"/>
      <c r="V417" s="1"/>
      <c r="W417" s="1"/>
      <c r="X417" s="1"/>
      <c r="Y417" s="1"/>
      <c r="Z417" s="1"/>
      <c r="AA417" s="1"/>
    </row>
    <row r="418" spans="1:27" ht="12.75" customHeight="1">
      <c r="A418" s="1"/>
      <c r="B418" s="10" t="str">
        <f ca="1">IFERROR(__xludf.DUMMYFUNCTION("""COMPUTED_VALUE"""),"CAMBIO DE LUMINARIAS SECTOR CENTRO, POBLACIÓN SALVADOR ALLENDE")</f>
        <v>CAMBIO DE LUMINARIAS SECTOR CENTRO, POBLACIÓN SALVADOR ALLENDE</v>
      </c>
      <c r="C418" s="10" t="str">
        <f ca="1">IFERROR(__xludf.DUMMYFUNCTION("""COMPUTED_VALUE"""),"13112230707-C")</f>
        <v>13112230707-C</v>
      </c>
      <c r="D418" s="26" t="str">
        <f t="shared" ca="1" si="2"/>
        <v xml:space="preserve"> LA PINTANA</v>
      </c>
      <c r="E418" s="10" t="str">
        <f ca="1">IFERROR(__xludf.DUMMYFUNCTION("""COMPUTED_VALUE"""),"Guía Operativa")</f>
        <v>Guía Operativa</v>
      </c>
      <c r="F418" s="10" t="str">
        <f ca="1">IFERROR(__xludf.DUMMYFUNCTION("""COMPUTED_VALUE"""),"MUNICIPALIDAD DE LA PINTANA")</f>
        <v>MUNICIPALIDAD DE LA PINTANA</v>
      </c>
      <c r="G418" s="71">
        <f ca="1">IFERROR(__xludf.DUMMYFUNCTION("""COMPUTED_VALUE"""),138652240)</f>
        <v>138652240</v>
      </c>
      <c r="H418" s="10" t="str">
        <f ca="1">IFERROR(__xludf.DUMMYFUNCTION("""COMPUTED_VALUE"""),"Resolución")</f>
        <v>Resolución</v>
      </c>
      <c r="I418" s="10" t="str">
        <f ca="1">IFERROR(__xludf.DUMMYFUNCTION("""COMPUTED_VALUE"""),"Obra")</f>
        <v>Obra</v>
      </c>
      <c r="J418" s="10" t="str">
        <f ca="1">IFERROR(__xludf.DUMMYFUNCTION("""COMPUTED_VALUE"""),"Cumplir con normativa y reglamentos internos del programa en base a los objetivos.")</f>
        <v>Cumplir con normativa y reglamentos internos del programa en base a los objetivos.</v>
      </c>
      <c r="K418" s="71">
        <f ca="1">IFERROR(__xludf.DUMMYFUNCTION("""COMPUTED_VALUE"""),138652240)</f>
        <v>138652240</v>
      </c>
      <c r="L418" s="27">
        <f ca="1">IFERROR(__xludf.DUMMYFUNCTION("""COMPUTED_VALUE"""),1)</f>
        <v>1</v>
      </c>
      <c r="M418" s="10" t="str">
        <f ca="1">IFERROR(__xludf.DUMMYFUNCTION("""COMPUTED_VALUE"""),"11595/2024")</f>
        <v>11595/2024</v>
      </c>
      <c r="N418" s="10" t="str">
        <f ca="1">IFERROR(__xludf.DUMMYFUNCTION("""COMPUTED_VALUE"""),"PMB")</f>
        <v>PMB</v>
      </c>
      <c r="O418" s="59"/>
      <c r="P418" s="1"/>
      <c r="Q418" s="1"/>
      <c r="R418" s="1"/>
      <c r="S418" s="1"/>
      <c r="T418" s="1"/>
      <c r="U418" s="1"/>
      <c r="V418" s="1"/>
      <c r="W418" s="1"/>
      <c r="X418" s="1"/>
      <c r="Y418" s="1"/>
      <c r="Z418" s="1"/>
      <c r="AA418" s="1"/>
    </row>
    <row r="419" spans="1:27" ht="12.75" customHeight="1">
      <c r="A419" s="1"/>
      <c r="B419" s="10" t="str">
        <f ca="1">IFERROR(__xludf.DUMMYFUNCTION("""COMPUTED_VALUE"""),"ASISTENCIA TÉCNICA PARA DISEÑO DE CARTERA DE PROYECTOS PMU COMUNA DE LO ESPEJO")</f>
        <v>ASISTENCIA TÉCNICA PARA DISEÑO DE CARTERA DE PROYECTOS PMU COMUNA DE LO ESPEJO</v>
      </c>
      <c r="C419" s="10" t="str">
        <f ca="1">IFERROR(__xludf.DUMMYFUNCTION("""COMPUTED_VALUE"""),"13116241001-C")</f>
        <v>13116241001-C</v>
      </c>
      <c r="D419" s="26" t="str">
        <f t="shared" ca="1" si="2"/>
        <v xml:space="preserve"> LO ESPEJO</v>
      </c>
      <c r="E419" s="10" t="str">
        <f ca="1">IFERROR(__xludf.DUMMYFUNCTION("""COMPUTED_VALUE"""),"Guía Operativa")</f>
        <v>Guía Operativa</v>
      </c>
      <c r="F419" s="10" t="str">
        <f ca="1">IFERROR(__xludf.DUMMYFUNCTION("""COMPUTED_VALUE"""),"MUNICIPALIDAD DE LO ESPEJO")</f>
        <v>MUNICIPALIDAD DE LO ESPEJO</v>
      </c>
      <c r="G419" s="71">
        <f ca="1">IFERROR(__xludf.DUMMYFUNCTION("""COMPUTED_VALUE"""),99900000)</f>
        <v>99900000</v>
      </c>
      <c r="H419" s="10" t="str">
        <f ca="1">IFERROR(__xludf.DUMMYFUNCTION("""COMPUTED_VALUE"""),"Resolución")</f>
        <v>Resolución</v>
      </c>
      <c r="I419" s="10" t="str">
        <f ca="1">IFERROR(__xludf.DUMMYFUNCTION("""COMPUTED_VALUE"""),"Asistencia Técnica")</f>
        <v>Asistencia Técnica</v>
      </c>
      <c r="J419" s="10" t="str">
        <f ca="1">IFERROR(__xludf.DUMMYFUNCTION("""COMPUTED_VALUE"""),"Cumplir con normativa y reglamentos internos del programa en base a los objetivos.")</f>
        <v>Cumplir con normativa y reglamentos internos del programa en base a los objetivos.</v>
      </c>
      <c r="K419" s="71">
        <f ca="1">IFERROR(__xludf.DUMMYFUNCTION("""COMPUTED_VALUE"""),99900000)</f>
        <v>99900000</v>
      </c>
      <c r="L419" s="27">
        <f ca="1">IFERROR(__xludf.DUMMYFUNCTION("""COMPUTED_VALUE"""),1)</f>
        <v>1</v>
      </c>
      <c r="M419" s="10" t="str">
        <f ca="1">IFERROR(__xludf.DUMMYFUNCTION("""COMPUTED_VALUE"""),"11878/2024")</f>
        <v>11878/2024</v>
      </c>
      <c r="N419" s="10" t="str">
        <f ca="1">IFERROR(__xludf.DUMMYFUNCTION("""COMPUTED_VALUE"""),"PMB")</f>
        <v>PMB</v>
      </c>
      <c r="O419" s="59"/>
      <c r="P419" s="1"/>
      <c r="Q419" s="1"/>
      <c r="R419" s="1"/>
      <c r="S419" s="1"/>
      <c r="T419" s="1"/>
      <c r="U419" s="1"/>
      <c r="V419" s="1"/>
      <c r="W419" s="1"/>
      <c r="X419" s="1"/>
      <c r="Y419" s="1"/>
      <c r="Z419" s="1"/>
      <c r="AA419" s="1"/>
    </row>
    <row r="420" spans="1:27" ht="12.75" customHeight="1">
      <c r="A420" s="1"/>
      <c r="B420" s="10" t="str">
        <f ca="1">IFERROR(__xludf.DUMMYFUNCTION("""COMPUTED_VALUE"""),"MEJORAMIENTO SUSTENTABLE DE 10 PLAZAS DEL SECTOR NORTE, COMUNA DE RECOLETA")</f>
        <v>MEJORAMIENTO SUSTENTABLE DE 10 PLAZAS DEL SECTOR NORTE, COMUNA DE RECOLETA</v>
      </c>
      <c r="C420" s="10" t="str">
        <f ca="1">IFERROR(__xludf.DUMMYFUNCTION("""COMPUTED_VALUE"""),"13127241001-C")</f>
        <v>13127241001-C</v>
      </c>
      <c r="D420" s="26" t="str">
        <f t="shared" ca="1" si="2"/>
        <v xml:space="preserve"> RECOLETA</v>
      </c>
      <c r="E420" s="10" t="str">
        <f ca="1">IFERROR(__xludf.DUMMYFUNCTION("""COMPUTED_VALUE"""),"Guía Operativa")</f>
        <v>Guía Operativa</v>
      </c>
      <c r="F420" s="10" t="str">
        <f ca="1">IFERROR(__xludf.DUMMYFUNCTION("""COMPUTED_VALUE"""),"MUNICIPALIDAD DE RECOLETA")</f>
        <v>MUNICIPALIDAD DE RECOLETA</v>
      </c>
      <c r="G420" s="71">
        <f ca="1">IFERROR(__xludf.DUMMYFUNCTION("""COMPUTED_VALUE"""),61200000)</f>
        <v>61200000</v>
      </c>
      <c r="H420" s="10" t="str">
        <f ca="1">IFERROR(__xludf.DUMMYFUNCTION("""COMPUTED_VALUE"""),"Resolución")</f>
        <v>Resolución</v>
      </c>
      <c r="I420" s="10" t="str">
        <f ca="1">IFERROR(__xludf.DUMMYFUNCTION("""COMPUTED_VALUE"""),"Asistencia Técnica")</f>
        <v>Asistencia Técnica</v>
      </c>
      <c r="J420" s="10" t="str">
        <f ca="1">IFERROR(__xludf.DUMMYFUNCTION("""COMPUTED_VALUE"""),"Cumplir con normativa y reglamentos internos del programa en base a los objetivos.")</f>
        <v>Cumplir con normativa y reglamentos internos del programa en base a los objetivos.</v>
      </c>
      <c r="K420" s="71">
        <f ca="1">IFERROR(__xludf.DUMMYFUNCTION("""COMPUTED_VALUE"""),61200000)</f>
        <v>61200000</v>
      </c>
      <c r="L420" s="27">
        <f ca="1">IFERROR(__xludf.DUMMYFUNCTION("""COMPUTED_VALUE"""),1)</f>
        <v>1</v>
      </c>
      <c r="M420" s="10" t="str">
        <f ca="1">IFERROR(__xludf.DUMMYFUNCTION("""COMPUTED_VALUE"""),"11618/2024")</f>
        <v>11618/2024</v>
      </c>
      <c r="N420" s="10" t="str">
        <f ca="1">IFERROR(__xludf.DUMMYFUNCTION("""COMPUTED_VALUE"""),"PMB")</f>
        <v>PMB</v>
      </c>
      <c r="O420" s="59"/>
      <c r="P420" s="1"/>
      <c r="Q420" s="1"/>
      <c r="R420" s="1"/>
      <c r="S420" s="1"/>
      <c r="T420" s="1"/>
      <c r="U420" s="1"/>
      <c r="V420" s="1"/>
      <c r="W420" s="1"/>
      <c r="X420" s="1"/>
      <c r="Y420" s="1"/>
      <c r="Z420" s="1"/>
      <c r="AA420" s="1"/>
    </row>
    <row r="421" spans="1:27" ht="12.75" customHeight="1">
      <c r="A421" s="1"/>
      <c r="B421" s="10" t="str">
        <f ca="1">IFERROR(__xludf.DUMMYFUNCTION("""COMPUTED_VALUE"""),"ASISTENCIA TÉCNICA PARA ELABORAR PROYECTOS DE INFRAESTRUCTURA DEPORTIVA COMUNA DE QUINTA DE TILCOCO")</f>
        <v>ASISTENCIA TÉCNICA PARA ELABORAR PROYECTOS DE INFRAESTRUCTURA DEPORTIVA COMUNA DE QUINTA DE TILCOCO</v>
      </c>
      <c r="C421" s="10" t="str">
        <f ca="1">IFERROR(__xludf.DUMMYFUNCTION("""COMPUTED_VALUE"""),"6114231004-C")</f>
        <v>6114231004-C</v>
      </c>
      <c r="D421" s="26" t="str">
        <f t="shared" ca="1" si="2"/>
        <v xml:space="preserve"> QUINTA DE TILCOCO</v>
      </c>
      <c r="E421" s="10" t="str">
        <f ca="1">IFERROR(__xludf.DUMMYFUNCTION("""COMPUTED_VALUE"""),"Guía Operativa")</f>
        <v>Guía Operativa</v>
      </c>
      <c r="F421" s="10" t="str">
        <f ca="1">IFERROR(__xludf.DUMMYFUNCTION("""COMPUTED_VALUE"""),"MUNICIPALIDAD DE QUINTA DE TILCOCO")</f>
        <v>MUNICIPALIDAD DE QUINTA DE TILCOCO</v>
      </c>
      <c r="G421" s="71">
        <f ca="1">IFERROR(__xludf.DUMMYFUNCTION("""COMPUTED_VALUE"""),44400000)</f>
        <v>44400000</v>
      </c>
      <c r="H421" s="10" t="str">
        <f ca="1">IFERROR(__xludf.DUMMYFUNCTION("""COMPUTED_VALUE"""),"Resolución")</f>
        <v>Resolución</v>
      </c>
      <c r="I421" s="10" t="str">
        <f ca="1">IFERROR(__xludf.DUMMYFUNCTION("""COMPUTED_VALUE"""),"Asistencia Técnica")</f>
        <v>Asistencia Técnica</v>
      </c>
      <c r="J421" s="10" t="str">
        <f ca="1">IFERROR(__xludf.DUMMYFUNCTION("""COMPUTED_VALUE"""),"Cumplir con normativa y reglamentos internos del programa en base a los objetivos.")</f>
        <v>Cumplir con normativa y reglamentos internos del programa en base a los objetivos.</v>
      </c>
      <c r="K421" s="71">
        <f ca="1">IFERROR(__xludf.DUMMYFUNCTION("""COMPUTED_VALUE"""),44400000)</f>
        <v>44400000</v>
      </c>
      <c r="L421" s="27">
        <f ca="1">IFERROR(__xludf.DUMMYFUNCTION("""COMPUTED_VALUE"""),1)</f>
        <v>1</v>
      </c>
      <c r="M421" s="10" t="str">
        <f ca="1">IFERROR(__xludf.DUMMYFUNCTION("""COMPUTED_VALUE"""),"11581/2024")</f>
        <v>11581/2024</v>
      </c>
      <c r="N421" s="10" t="str">
        <f ca="1">IFERROR(__xludf.DUMMYFUNCTION("""COMPUTED_VALUE"""),"PMB")</f>
        <v>PMB</v>
      </c>
      <c r="O421" s="59"/>
      <c r="P421" s="1"/>
      <c r="Q421" s="1"/>
      <c r="R421" s="1"/>
      <c r="S421" s="1"/>
      <c r="T421" s="1"/>
      <c r="U421" s="1"/>
      <c r="V421" s="1"/>
      <c r="W421" s="1"/>
      <c r="X421" s="1"/>
      <c r="Y421" s="1"/>
      <c r="Z421" s="1"/>
      <c r="AA421" s="1"/>
    </row>
    <row r="422" spans="1:27" ht="12.75" customHeight="1">
      <c r="A422" s="1"/>
      <c r="B422" s="10" t="str">
        <f ca="1">IFERROR(__xludf.DUMMYFUNCTION("""COMPUTED_VALUE"""),"MEJORAMIENTO PTAS VILLA LA DEHESA")</f>
        <v>MEJORAMIENTO PTAS VILLA LA DEHESA</v>
      </c>
      <c r="C422" s="10" t="str">
        <f ca="1">IFERROR(__xludf.DUMMYFUNCTION("""COMPUTED_VALUE"""),"6117240701-C")</f>
        <v>6117240701-C</v>
      </c>
      <c r="D422" s="26" t="str">
        <f t="shared" ca="1" si="2"/>
        <v xml:space="preserve"> SAN VICENTE</v>
      </c>
      <c r="E422" s="10" t="str">
        <f ca="1">IFERROR(__xludf.DUMMYFUNCTION("""COMPUTED_VALUE"""),"Guía Operativa")</f>
        <v>Guía Operativa</v>
      </c>
      <c r="F422" s="10" t="str">
        <f ca="1">IFERROR(__xludf.DUMMYFUNCTION("""COMPUTED_VALUE"""),"MUNICIPALIDAD DE SAN VICENTE")</f>
        <v>MUNICIPALIDAD DE SAN VICENTE</v>
      </c>
      <c r="G422" s="71">
        <f ca="1">IFERROR(__xludf.DUMMYFUNCTION("""COMPUTED_VALUE"""),309935369)</f>
        <v>309935369</v>
      </c>
      <c r="H422" s="10" t="str">
        <f ca="1">IFERROR(__xludf.DUMMYFUNCTION("""COMPUTED_VALUE"""),"Resolución")</f>
        <v>Resolución</v>
      </c>
      <c r="I422" s="10" t="str">
        <f ca="1">IFERROR(__xludf.DUMMYFUNCTION("""COMPUTED_VALUE"""),"Obra")</f>
        <v>Obra</v>
      </c>
      <c r="J422" s="10" t="str">
        <f ca="1">IFERROR(__xludf.DUMMYFUNCTION("""COMPUTED_VALUE"""),"Cumplir con normativa y reglamentos internos del programa en base a los objetivos.")</f>
        <v>Cumplir con normativa y reglamentos internos del programa en base a los objetivos.</v>
      </c>
      <c r="K422" s="71">
        <f ca="1">IFERROR(__xludf.DUMMYFUNCTION("""COMPUTED_VALUE"""),309935369)</f>
        <v>309935369</v>
      </c>
      <c r="L422" s="27">
        <f ca="1">IFERROR(__xludf.DUMMYFUNCTION("""COMPUTED_VALUE"""),1)</f>
        <v>1</v>
      </c>
      <c r="M422" s="10" t="str">
        <f ca="1">IFERROR(__xludf.DUMMYFUNCTION("""COMPUTED_VALUE"""),"11559/2024")</f>
        <v>11559/2024</v>
      </c>
      <c r="N422" s="10" t="str">
        <f ca="1">IFERROR(__xludf.DUMMYFUNCTION("""COMPUTED_VALUE"""),"PMB")</f>
        <v>PMB</v>
      </c>
      <c r="O422" s="59"/>
      <c r="P422" s="1"/>
      <c r="Q422" s="1"/>
      <c r="R422" s="1"/>
      <c r="S422" s="1"/>
      <c r="T422" s="1"/>
      <c r="U422" s="1"/>
      <c r="V422" s="1"/>
      <c r="W422" s="1"/>
      <c r="X422" s="1"/>
      <c r="Y422" s="1"/>
      <c r="Z422" s="1"/>
      <c r="AA422" s="1"/>
    </row>
    <row r="423" spans="1:27" ht="12.75" customHeight="1">
      <c r="A423" s="1"/>
      <c r="B423" s="10" t="str">
        <f ca="1">IFERROR(__xludf.DUMMYFUNCTION("""COMPUTED_VALUE"""),"MEJORAMIENTO SISTEMA AGUA POTABLE SERVICIO SANITARIO RURAL LAS ARAÑAS, COMUNA DE CHEPICA")</f>
        <v>MEJORAMIENTO SISTEMA AGUA POTABLE SERVICIO SANITARIO RURAL LAS ARAÑAS, COMUNA DE CHEPICA</v>
      </c>
      <c r="C423" s="10" t="str">
        <f ca="1">IFERROR(__xludf.DUMMYFUNCTION("""COMPUTED_VALUE"""),"6302230302-C")</f>
        <v>6302230302-C</v>
      </c>
      <c r="D423" s="26" t="str">
        <f t="shared" ca="1" si="2"/>
        <v xml:space="preserve"> CHÉPICA</v>
      </c>
      <c r="E423" s="10" t="str">
        <f ca="1">IFERROR(__xludf.DUMMYFUNCTION("""COMPUTED_VALUE"""),"Guía Operativa")</f>
        <v>Guía Operativa</v>
      </c>
      <c r="F423" s="10" t="str">
        <f ca="1">IFERROR(__xludf.DUMMYFUNCTION("""COMPUTED_VALUE"""),"MUNICIPALIDAD DE CHÉPICA")</f>
        <v>MUNICIPALIDAD DE CHÉPICA</v>
      </c>
      <c r="G423" s="71">
        <f ca="1">IFERROR(__xludf.DUMMYFUNCTION("""COMPUTED_VALUE"""),85552000)</f>
        <v>85552000</v>
      </c>
      <c r="H423" s="10" t="str">
        <f ca="1">IFERROR(__xludf.DUMMYFUNCTION("""COMPUTED_VALUE"""),"Resolución")</f>
        <v>Resolución</v>
      </c>
      <c r="I423" s="10" t="str">
        <f ca="1">IFERROR(__xludf.DUMMYFUNCTION("""COMPUTED_VALUE"""),"Diseño")</f>
        <v>Diseño</v>
      </c>
      <c r="J423" s="10" t="str">
        <f ca="1">IFERROR(__xludf.DUMMYFUNCTION("""COMPUTED_VALUE"""),"Cumplir con normativa y reglamentos internos del programa en base a los objetivos.")</f>
        <v>Cumplir con normativa y reglamentos internos del programa en base a los objetivos.</v>
      </c>
      <c r="K423" s="71">
        <f ca="1">IFERROR(__xludf.DUMMYFUNCTION("""COMPUTED_VALUE"""),85552000)</f>
        <v>85552000</v>
      </c>
      <c r="L423" s="27">
        <f ca="1">IFERROR(__xludf.DUMMYFUNCTION("""COMPUTED_VALUE"""),1)</f>
        <v>1</v>
      </c>
      <c r="M423" s="10" t="str">
        <f ca="1">IFERROR(__xludf.DUMMYFUNCTION("""COMPUTED_VALUE"""),"11585/2024")</f>
        <v>11585/2024</v>
      </c>
      <c r="N423" s="10" t="str">
        <f ca="1">IFERROR(__xludf.DUMMYFUNCTION("""COMPUTED_VALUE"""),"PMB")</f>
        <v>PMB</v>
      </c>
      <c r="O423" s="59"/>
      <c r="P423" s="1"/>
      <c r="Q423" s="1"/>
      <c r="R423" s="1"/>
      <c r="S423" s="1"/>
      <c r="T423" s="1"/>
      <c r="U423" s="1"/>
      <c r="V423" s="1"/>
      <c r="W423" s="1"/>
      <c r="X423" s="1"/>
      <c r="Y423" s="1"/>
      <c r="Z423" s="1"/>
      <c r="AA423" s="1"/>
    </row>
    <row r="424" spans="1:27" ht="12.75" customHeight="1">
      <c r="A424" s="1"/>
      <c r="B424" s="10" t="str">
        <f ca="1">IFERROR(__xludf.DUMMYFUNCTION("""COMPUTED_VALUE"""),"ESTUDIO HIDROGEOLOGICO, COMUNA DE CUNCO.")</f>
        <v>ESTUDIO HIDROGEOLOGICO, COMUNA DE CUNCO.</v>
      </c>
      <c r="C424" s="10" t="str">
        <f ca="1">IFERROR(__xludf.DUMMYFUNCTION("""COMPUTED_VALUE"""),"9103220401-C")</f>
        <v>9103220401-C</v>
      </c>
      <c r="D424" s="26" t="str">
        <f t="shared" ca="1" si="2"/>
        <v xml:space="preserve"> CUNCO</v>
      </c>
      <c r="E424" s="10" t="str">
        <f ca="1">IFERROR(__xludf.DUMMYFUNCTION("""COMPUTED_VALUE"""),"Guía Operativa")</f>
        <v>Guía Operativa</v>
      </c>
      <c r="F424" s="10" t="str">
        <f ca="1">IFERROR(__xludf.DUMMYFUNCTION("""COMPUTED_VALUE"""),"MUNICIPALIDAD DE CUNCO")</f>
        <v>MUNICIPALIDAD DE CUNCO</v>
      </c>
      <c r="G424" s="71">
        <f ca="1">IFERROR(__xludf.DUMMYFUNCTION("""COMPUTED_VALUE"""),77112000)</f>
        <v>77112000</v>
      </c>
      <c r="H424" s="10" t="str">
        <f ca="1">IFERROR(__xludf.DUMMYFUNCTION("""COMPUTED_VALUE"""),"Resolución")</f>
        <v>Resolución</v>
      </c>
      <c r="I424" s="10" t="str">
        <f ca="1">IFERROR(__xludf.DUMMYFUNCTION("""COMPUTED_VALUE"""),"Estudio")</f>
        <v>Estudio</v>
      </c>
      <c r="J424" s="10" t="str">
        <f ca="1">IFERROR(__xludf.DUMMYFUNCTION("""COMPUTED_VALUE"""),"Cumplir con normativa y reglamentos internos del programa en base a los objetivos.")</f>
        <v>Cumplir con normativa y reglamentos internos del programa en base a los objetivos.</v>
      </c>
      <c r="K424" s="71">
        <f ca="1">IFERROR(__xludf.DUMMYFUNCTION("""COMPUTED_VALUE"""),77112000)</f>
        <v>77112000</v>
      </c>
      <c r="L424" s="27">
        <f ca="1">IFERROR(__xludf.DUMMYFUNCTION("""COMPUTED_VALUE"""),1)</f>
        <v>1</v>
      </c>
      <c r="M424" s="10" t="str">
        <f ca="1">IFERROR(__xludf.DUMMYFUNCTION("""COMPUTED_VALUE"""),"11676/2024")</f>
        <v>11676/2024</v>
      </c>
      <c r="N424" s="10" t="str">
        <f ca="1">IFERROR(__xludf.DUMMYFUNCTION("""COMPUTED_VALUE"""),"PMB")</f>
        <v>PMB</v>
      </c>
      <c r="O424" s="59"/>
      <c r="P424" s="1"/>
      <c r="Q424" s="1"/>
      <c r="R424" s="1"/>
      <c r="S424" s="1"/>
      <c r="T424" s="1"/>
      <c r="U424" s="1"/>
      <c r="V424" s="1"/>
      <c r="W424" s="1"/>
      <c r="X424" s="1"/>
      <c r="Y424" s="1"/>
      <c r="Z424" s="1"/>
      <c r="AA424" s="1"/>
    </row>
    <row r="425" spans="1:27" ht="12.75" customHeight="1">
      <c r="A425" s="1"/>
      <c r="B425" s="10" t="str">
        <f ca="1">IFERROR(__xludf.DUMMYFUNCTION("""COMPUTED_VALUE"""),"CONTRATACIÓN DE PROFESIONAL DEL ÁREA DE ELECTRIFICACIÓN PARA GENERACIÓN Y CONTRAPARTE TÉCNICA DE PROYECTOS PMB 2024, COMUNA DE CISNES")</f>
        <v>CONTRATACIÓN DE PROFESIONAL DEL ÁREA DE ELECTRIFICACIÓN PARA GENERACIÓN Y CONTRAPARTE TÉCNICA DE PROYECTOS PMB 2024, COMUNA DE CISNES</v>
      </c>
      <c r="C425" s="10" t="str">
        <f ca="1">IFERROR(__xludf.DUMMYFUNCTION("""COMPUTED_VALUE"""),"11202241001-C")</f>
        <v>11202241001-C</v>
      </c>
      <c r="D425" s="26" t="str">
        <f t="shared" ca="1" si="2"/>
        <v xml:space="preserve"> CISNES</v>
      </c>
      <c r="E425" s="10" t="str">
        <f ca="1">IFERROR(__xludf.DUMMYFUNCTION("""COMPUTED_VALUE"""),"Guía Operativa")</f>
        <v>Guía Operativa</v>
      </c>
      <c r="F425" s="10" t="str">
        <f ca="1">IFERROR(__xludf.DUMMYFUNCTION("""COMPUTED_VALUE"""),"MUNICIPALIDAD DE CISNES")</f>
        <v>MUNICIPALIDAD DE CISNES</v>
      </c>
      <c r="G425" s="71">
        <f ca="1">IFERROR(__xludf.DUMMYFUNCTION("""COMPUTED_VALUE"""),48000000)</f>
        <v>48000000</v>
      </c>
      <c r="H425" s="10" t="str">
        <f ca="1">IFERROR(__xludf.DUMMYFUNCTION("""COMPUTED_VALUE"""),"Resolución")</f>
        <v>Resolución</v>
      </c>
      <c r="I425" s="10" t="str">
        <f ca="1">IFERROR(__xludf.DUMMYFUNCTION("""COMPUTED_VALUE"""),"Asistencia Técnica")</f>
        <v>Asistencia Técnica</v>
      </c>
      <c r="J425" s="10" t="str">
        <f ca="1">IFERROR(__xludf.DUMMYFUNCTION("""COMPUTED_VALUE"""),"Cumplir con normativa y reglamentos internos del programa en base a los objetivos.")</f>
        <v>Cumplir con normativa y reglamentos internos del programa en base a los objetivos.</v>
      </c>
      <c r="K425" s="71">
        <f ca="1">IFERROR(__xludf.DUMMYFUNCTION("""COMPUTED_VALUE"""),48000000)</f>
        <v>48000000</v>
      </c>
      <c r="L425" s="27">
        <f ca="1">IFERROR(__xludf.DUMMYFUNCTION("""COMPUTED_VALUE"""),1)</f>
        <v>1</v>
      </c>
      <c r="M425" s="10" t="str">
        <f ca="1">IFERROR(__xludf.DUMMYFUNCTION("""COMPUTED_VALUE"""),"11998/2024")</f>
        <v>11998/2024</v>
      </c>
      <c r="N425" s="10" t="str">
        <f ca="1">IFERROR(__xludf.DUMMYFUNCTION("""COMPUTED_VALUE"""),"PMB")</f>
        <v>PMB</v>
      </c>
      <c r="O425" s="59"/>
      <c r="P425" s="1"/>
      <c r="Q425" s="1"/>
      <c r="R425" s="1"/>
      <c r="S425" s="1"/>
      <c r="T425" s="1"/>
      <c r="U425" s="1"/>
      <c r="V425" s="1"/>
      <c r="W425" s="1"/>
      <c r="X425" s="1"/>
      <c r="Y425" s="1"/>
      <c r="Z425" s="1"/>
      <c r="AA425" s="1"/>
    </row>
    <row r="426" spans="1:27" ht="12.75" customHeight="1">
      <c r="A426" s="1"/>
      <c r="B426" s="10" t="str">
        <f ca="1">IFERROR(__xludf.DUMMYFUNCTION("""COMPUTED_VALUE"""),"ASISTENCIA TECNICA DE PROFESIONALES PMB Y PMU PARA LA ELABORACION DE PROYECTOS EN DISTINTOS SECTORES COMUNA DE PORTEZUELO")</f>
        <v>ASISTENCIA TECNICA DE PROFESIONALES PMB Y PMU PARA LA ELABORACION DE PROYECTOS EN DISTINTOS SECTORES COMUNA DE PORTEZUELO</v>
      </c>
      <c r="C426" s="10" t="str">
        <f ca="1">IFERROR(__xludf.DUMMYFUNCTION("""COMPUTED_VALUE"""),"16205231001-C")</f>
        <v>16205231001-C</v>
      </c>
      <c r="D426" s="26" t="str">
        <f t="shared" ca="1" si="2"/>
        <v xml:space="preserve"> PORTEZUELO</v>
      </c>
      <c r="E426" s="10" t="str">
        <f ca="1">IFERROR(__xludf.DUMMYFUNCTION("""COMPUTED_VALUE"""),"Guía Operativa")</f>
        <v>Guía Operativa</v>
      </c>
      <c r="F426" s="10" t="str">
        <f ca="1">IFERROR(__xludf.DUMMYFUNCTION("""COMPUTED_VALUE"""),"MUNICIPALIDAD DE PORTEZUELO")</f>
        <v>MUNICIPALIDAD DE PORTEZUELO</v>
      </c>
      <c r="G426" s="71">
        <f ca="1">IFERROR(__xludf.DUMMYFUNCTION("""COMPUTED_VALUE"""),60000000)</f>
        <v>60000000</v>
      </c>
      <c r="H426" s="10" t="str">
        <f ca="1">IFERROR(__xludf.DUMMYFUNCTION("""COMPUTED_VALUE"""),"Resolución")</f>
        <v>Resolución</v>
      </c>
      <c r="I426" s="10" t="str">
        <f ca="1">IFERROR(__xludf.DUMMYFUNCTION("""COMPUTED_VALUE"""),"Asistencia Técnica")</f>
        <v>Asistencia Técnica</v>
      </c>
      <c r="J426" s="10" t="str">
        <f ca="1">IFERROR(__xludf.DUMMYFUNCTION("""COMPUTED_VALUE"""),"Cumplir con normativa y reglamentos internos del programa en base a los objetivos.")</f>
        <v>Cumplir con normativa y reglamentos internos del programa en base a los objetivos.</v>
      </c>
      <c r="K426" s="71">
        <f ca="1">IFERROR(__xludf.DUMMYFUNCTION("""COMPUTED_VALUE"""),60000000)</f>
        <v>60000000</v>
      </c>
      <c r="L426" s="27">
        <f ca="1">IFERROR(__xludf.DUMMYFUNCTION("""COMPUTED_VALUE"""),1)</f>
        <v>1</v>
      </c>
      <c r="M426" s="10" t="str">
        <f ca="1">IFERROR(__xludf.DUMMYFUNCTION("""COMPUTED_VALUE"""),"11578/2024")</f>
        <v>11578/2024</v>
      </c>
      <c r="N426" s="10" t="str">
        <f ca="1">IFERROR(__xludf.DUMMYFUNCTION("""COMPUTED_VALUE"""),"PMB")</f>
        <v>PMB</v>
      </c>
      <c r="O426" s="59"/>
      <c r="P426" s="1"/>
      <c r="Q426" s="1"/>
      <c r="R426" s="1"/>
      <c r="S426" s="1"/>
      <c r="T426" s="1"/>
      <c r="U426" s="1"/>
      <c r="V426" s="1"/>
      <c r="W426" s="1"/>
      <c r="X426" s="1"/>
      <c r="Y426" s="1"/>
      <c r="Z426" s="1"/>
      <c r="AA426" s="1"/>
    </row>
    <row r="427" spans="1:27" ht="12.75" customHeight="1">
      <c r="A427" s="1"/>
      <c r="B427" s="10" t="str">
        <f ca="1">IFERROR(__xludf.DUMMYFUNCTION("""COMPUTED_VALUE"""),"ASISTENCIA TÉCNICA PARA LA FORMULACION DE CARTERA DE PROYECTOS EN EL MARCO DEL PROGRAMA MEJORAMIENTO DE BARRIOS PARA LA COMUNA DE TREHUACO")</f>
        <v>ASISTENCIA TÉCNICA PARA LA FORMULACION DE CARTERA DE PROYECTOS EN EL MARCO DEL PROGRAMA MEJORAMIENTO DE BARRIOS PARA LA COMUNA DE TREHUACO</v>
      </c>
      <c r="C427" s="10" t="str">
        <f ca="1">IFERROR(__xludf.DUMMYFUNCTION("""COMPUTED_VALUE"""),"16207241001-C")</f>
        <v>16207241001-C</v>
      </c>
      <c r="D427" s="26" t="str">
        <f t="shared" ca="1" si="2"/>
        <v xml:space="preserve"> TREHUACO</v>
      </c>
      <c r="E427" s="10" t="str">
        <f ca="1">IFERROR(__xludf.DUMMYFUNCTION("""COMPUTED_VALUE"""),"Guía Operativa")</f>
        <v>Guía Operativa</v>
      </c>
      <c r="F427" s="10" t="str">
        <f ca="1">IFERROR(__xludf.DUMMYFUNCTION("""COMPUTED_VALUE"""),"MUNICIPALIDAD DE TREHUACO")</f>
        <v>MUNICIPALIDAD DE TREHUACO</v>
      </c>
      <c r="G427" s="71">
        <f ca="1">IFERROR(__xludf.DUMMYFUNCTION("""COMPUTED_VALUE"""),138400000)</f>
        <v>138400000</v>
      </c>
      <c r="H427" s="10" t="str">
        <f ca="1">IFERROR(__xludf.DUMMYFUNCTION("""COMPUTED_VALUE"""),"Resolución")</f>
        <v>Resolución</v>
      </c>
      <c r="I427" s="10" t="str">
        <f ca="1">IFERROR(__xludf.DUMMYFUNCTION("""COMPUTED_VALUE"""),"Asistencia Técnica")</f>
        <v>Asistencia Técnica</v>
      </c>
      <c r="J427" s="10" t="str">
        <f ca="1">IFERROR(__xludf.DUMMYFUNCTION("""COMPUTED_VALUE"""),"Cumplir con normativa y reglamentos internos del programa en base a los objetivos.")</f>
        <v>Cumplir con normativa y reglamentos internos del programa en base a los objetivos.</v>
      </c>
      <c r="K427" s="71">
        <f ca="1">IFERROR(__xludf.DUMMYFUNCTION("""COMPUTED_VALUE"""),138400000)</f>
        <v>138400000</v>
      </c>
      <c r="L427" s="27">
        <f ca="1">IFERROR(__xludf.DUMMYFUNCTION("""COMPUTED_VALUE"""),1)</f>
        <v>1</v>
      </c>
      <c r="M427" s="10" t="str">
        <f ca="1">IFERROR(__xludf.DUMMYFUNCTION("""COMPUTED_VALUE"""),"11700/2024")</f>
        <v>11700/2024</v>
      </c>
      <c r="N427" s="10" t="str">
        <f ca="1">IFERROR(__xludf.DUMMYFUNCTION("""COMPUTED_VALUE"""),"PMB")</f>
        <v>PMB</v>
      </c>
      <c r="O427" s="59"/>
      <c r="P427" s="1"/>
      <c r="Q427" s="1"/>
      <c r="R427" s="1"/>
      <c r="S427" s="1"/>
      <c r="T427" s="1"/>
      <c r="U427" s="1"/>
      <c r="V427" s="1"/>
      <c r="W427" s="1"/>
      <c r="X427" s="1"/>
      <c r="Y427" s="1"/>
      <c r="Z427" s="1"/>
      <c r="AA427" s="1"/>
    </row>
    <row r="428" spans="1:27" ht="12.75" customHeight="1">
      <c r="A428" s="1"/>
      <c r="B428" s="10" t="str">
        <f ca="1">IFERROR(__xludf.DUMMYFUNCTION("""COMPUTED_VALUE"""),"ESTUDIOS DE PROSPECCIÓN GEOFÍSICA E HIDROGELÓGICA PARA DISTINTOS PROYECTOS DE AGUA POTABLE RURAL Y ABASTOS EN LA COMUNA DE EL CARMEN")</f>
        <v>ESTUDIOS DE PROSPECCIÓN GEOFÍSICA E HIDROGELÓGICA PARA DISTINTOS PROYECTOS DE AGUA POTABLE RURAL Y ABASTOS EN LA COMUNA DE EL CARMEN</v>
      </c>
      <c r="C428" s="10" t="str">
        <f ca="1">IFERROR(__xludf.DUMMYFUNCTION("""COMPUTED_VALUE"""),"16104230401-C")</f>
        <v>16104230401-C</v>
      </c>
      <c r="D428" s="26" t="str">
        <f t="shared" ca="1" si="2"/>
        <v xml:space="preserve"> EL CARMEN</v>
      </c>
      <c r="E428" s="10" t="str">
        <f ca="1">IFERROR(__xludf.DUMMYFUNCTION("""COMPUTED_VALUE"""),"Guía Operativa")</f>
        <v>Guía Operativa</v>
      </c>
      <c r="F428" s="10" t="str">
        <f ca="1">IFERROR(__xludf.DUMMYFUNCTION("""COMPUTED_VALUE"""),"MUNICIPALIDAD DE EL CARMEN")</f>
        <v>MUNICIPALIDAD DE EL CARMEN</v>
      </c>
      <c r="G428" s="71">
        <f ca="1">IFERROR(__xludf.DUMMYFUNCTION("""COMPUTED_VALUE"""),142722650)</f>
        <v>142722650</v>
      </c>
      <c r="H428" s="10" t="str">
        <f ca="1">IFERROR(__xludf.DUMMYFUNCTION("""COMPUTED_VALUE"""),"Resolución")</f>
        <v>Resolución</v>
      </c>
      <c r="I428" s="10" t="str">
        <f ca="1">IFERROR(__xludf.DUMMYFUNCTION("""COMPUTED_VALUE"""),"Estudio")</f>
        <v>Estudio</v>
      </c>
      <c r="J428" s="10" t="str">
        <f ca="1">IFERROR(__xludf.DUMMYFUNCTION("""COMPUTED_VALUE"""),"Cumplir con normativa y reglamentos internos del programa en base a los objetivos.")</f>
        <v>Cumplir con normativa y reglamentos internos del programa en base a los objetivos.</v>
      </c>
      <c r="K428" s="71">
        <f ca="1">IFERROR(__xludf.DUMMYFUNCTION("""COMPUTED_VALUE"""),142722650)</f>
        <v>142722650</v>
      </c>
      <c r="L428" s="27">
        <f ca="1">IFERROR(__xludf.DUMMYFUNCTION("""COMPUTED_VALUE"""),1)</f>
        <v>1</v>
      </c>
      <c r="M428" s="10" t="str">
        <f ca="1">IFERROR(__xludf.DUMMYFUNCTION("""COMPUTED_VALUE"""),"11632/2024")</f>
        <v>11632/2024</v>
      </c>
      <c r="N428" s="10" t="str">
        <f ca="1">IFERROR(__xludf.DUMMYFUNCTION("""COMPUTED_VALUE"""),"PMB")</f>
        <v>PMB</v>
      </c>
      <c r="O428" s="59"/>
      <c r="P428" s="1"/>
      <c r="Q428" s="1"/>
      <c r="R428" s="1"/>
      <c r="S428" s="1"/>
      <c r="T428" s="1"/>
      <c r="U428" s="1"/>
      <c r="V428" s="1"/>
      <c r="W428" s="1"/>
      <c r="X428" s="1"/>
      <c r="Y428" s="1"/>
      <c r="Z428" s="1"/>
      <c r="AA428" s="1"/>
    </row>
    <row r="429" spans="1:27" ht="12.75" customHeight="1">
      <c r="A429" s="1"/>
      <c r="B429" s="10" t="str">
        <f ca="1">IFERROR(__xludf.DUMMYFUNCTION("""COMPUTED_VALUE"""),"“INSTALACIÓN DE LUMINARIAS ORNAMENTALES Y POSTES INTELIGENTES EN SECTOR ACONCAGUA Y EL SAUCE, COMUNA DE PADRE HURTADO"".")</f>
        <v>“INSTALACIÓN DE LUMINARIAS ORNAMENTALES Y POSTES INTELIGENTES EN SECTOR ACONCAGUA Y EL SAUCE, COMUNA DE PADRE HURTADO".</v>
      </c>
      <c r="C429" s="10" t="str">
        <f ca="1">IFERROR(__xludf.DUMMYFUNCTION("""COMPUTED_VALUE"""),"13604230707-C")</f>
        <v>13604230707-C</v>
      </c>
      <c r="D429" s="26" t="str">
        <f t="shared" ca="1" si="2"/>
        <v xml:space="preserve"> PADRE HURTADO</v>
      </c>
      <c r="E429" s="10" t="str">
        <f ca="1">IFERROR(__xludf.DUMMYFUNCTION("""COMPUTED_VALUE"""),"Guía Operativa")</f>
        <v>Guía Operativa</v>
      </c>
      <c r="F429" s="10" t="str">
        <f ca="1">IFERROR(__xludf.DUMMYFUNCTION("""COMPUTED_VALUE"""),"MUNICIPALIDAD DE PADRE HURTADO")</f>
        <v>MUNICIPALIDAD DE PADRE HURTADO</v>
      </c>
      <c r="G429" s="71">
        <f ca="1">IFERROR(__xludf.DUMMYFUNCTION("""COMPUTED_VALUE"""),164720858)</f>
        <v>164720858</v>
      </c>
      <c r="H429" s="10" t="str">
        <f ca="1">IFERROR(__xludf.DUMMYFUNCTION("""COMPUTED_VALUE"""),"Resolución")</f>
        <v>Resolución</v>
      </c>
      <c r="I429" s="10" t="str">
        <f ca="1">IFERROR(__xludf.DUMMYFUNCTION("""COMPUTED_VALUE"""),"Obra")</f>
        <v>Obra</v>
      </c>
      <c r="J429" s="10" t="str">
        <f ca="1">IFERROR(__xludf.DUMMYFUNCTION("""COMPUTED_VALUE"""),"Cumplir con normativa y reglamentos internos del programa en base a los objetivos.")</f>
        <v>Cumplir con normativa y reglamentos internos del programa en base a los objetivos.</v>
      </c>
      <c r="K429" s="71">
        <f ca="1">IFERROR(__xludf.DUMMYFUNCTION("""COMPUTED_VALUE"""),164720858)</f>
        <v>164720858</v>
      </c>
      <c r="L429" s="27">
        <f ca="1">IFERROR(__xludf.DUMMYFUNCTION("""COMPUTED_VALUE"""),1)</f>
        <v>1</v>
      </c>
      <c r="M429" s="10" t="str">
        <f ca="1">IFERROR(__xludf.DUMMYFUNCTION("""COMPUTED_VALUE"""),"11551/2024")</f>
        <v>11551/2024</v>
      </c>
      <c r="N429" s="10" t="str">
        <f ca="1">IFERROR(__xludf.DUMMYFUNCTION("""COMPUTED_VALUE"""),"PMB")</f>
        <v>PMB</v>
      </c>
      <c r="O429" s="59"/>
      <c r="P429" s="1"/>
      <c r="Q429" s="1"/>
      <c r="R429" s="1"/>
      <c r="S429" s="1"/>
      <c r="T429" s="1"/>
      <c r="U429" s="1"/>
      <c r="V429" s="1"/>
      <c r="W429" s="1"/>
      <c r="X429" s="1"/>
      <c r="Y429" s="1"/>
      <c r="Z429" s="1"/>
      <c r="AA429" s="1"/>
    </row>
    <row r="430" spans="1:27" ht="12.75" customHeight="1">
      <c r="A430" s="1"/>
      <c r="B430" s="10" t="str">
        <f ca="1">IFERROR(__xludf.DUMMYFUNCTION("""COMPUTED_VALUE"""),"INSTALACIÓN DE LUMINARIAS ORNAMENTALES Y POSTES INTELIGENTES EN DIVERSAS ÁREAS VERDES, COMUNA DE PADRE HURTADO")</f>
        <v>INSTALACIÓN DE LUMINARIAS ORNAMENTALES Y POSTES INTELIGENTES EN DIVERSAS ÁREAS VERDES, COMUNA DE PADRE HURTADO</v>
      </c>
      <c r="C430" s="10" t="str">
        <f ca="1">IFERROR(__xludf.DUMMYFUNCTION("""COMPUTED_VALUE"""),"13604230709-C")</f>
        <v>13604230709-C</v>
      </c>
      <c r="D430" s="26" t="str">
        <f t="shared" ca="1" si="2"/>
        <v xml:space="preserve"> PADRE HURTADO</v>
      </c>
      <c r="E430" s="10" t="str">
        <f ca="1">IFERROR(__xludf.DUMMYFUNCTION("""COMPUTED_VALUE"""),"Guía Operativa")</f>
        <v>Guía Operativa</v>
      </c>
      <c r="F430" s="10" t="str">
        <f ca="1">IFERROR(__xludf.DUMMYFUNCTION("""COMPUTED_VALUE"""),"MUNICIPALIDAD DE PADRE HURTADO")</f>
        <v>MUNICIPALIDAD DE PADRE HURTADO</v>
      </c>
      <c r="G430" s="71">
        <f ca="1">IFERROR(__xludf.DUMMYFUNCTION("""COMPUTED_VALUE"""),200323557)</f>
        <v>200323557</v>
      </c>
      <c r="H430" s="10" t="str">
        <f ca="1">IFERROR(__xludf.DUMMYFUNCTION("""COMPUTED_VALUE"""),"Resolución")</f>
        <v>Resolución</v>
      </c>
      <c r="I430" s="10" t="str">
        <f ca="1">IFERROR(__xludf.DUMMYFUNCTION("""COMPUTED_VALUE"""),"Obra")</f>
        <v>Obra</v>
      </c>
      <c r="J430" s="10" t="str">
        <f ca="1">IFERROR(__xludf.DUMMYFUNCTION("""COMPUTED_VALUE"""),"Cumplir con normativa y reglamentos internos del programa en base a los objetivos.")</f>
        <v>Cumplir con normativa y reglamentos internos del programa en base a los objetivos.</v>
      </c>
      <c r="K430" s="71">
        <f ca="1">IFERROR(__xludf.DUMMYFUNCTION("""COMPUTED_VALUE"""),200323557)</f>
        <v>200323557</v>
      </c>
      <c r="L430" s="27">
        <f ca="1">IFERROR(__xludf.DUMMYFUNCTION("""COMPUTED_VALUE"""),1)</f>
        <v>1</v>
      </c>
      <c r="M430" s="10" t="str">
        <f ca="1">IFERROR(__xludf.DUMMYFUNCTION("""COMPUTED_VALUE"""),"11687/2024")</f>
        <v>11687/2024</v>
      </c>
      <c r="N430" s="10" t="str">
        <f ca="1">IFERROR(__xludf.DUMMYFUNCTION("""COMPUTED_VALUE"""),"PMB")</f>
        <v>PMB</v>
      </c>
      <c r="O430" s="59"/>
      <c r="P430" s="1"/>
      <c r="Q430" s="1"/>
      <c r="R430" s="1"/>
      <c r="S430" s="1"/>
      <c r="T430" s="1"/>
      <c r="U430" s="1"/>
      <c r="V430" s="1"/>
      <c r="W430" s="1"/>
      <c r="X430" s="1"/>
      <c r="Y430" s="1"/>
      <c r="Z430" s="1"/>
      <c r="AA430" s="1"/>
    </row>
    <row r="431" spans="1:27" ht="12.75" customHeight="1">
      <c r="A431" s="1"/>
      <c r="B431" s="10" t="str">
        <f ca="1">IFERROR(__xludf.DUMMYFUNCTION("""COMPUTED_VALUE"""),"CONTRATACION DE PROFESIONALES PARA ELABORACION DE PROYECTOS PMU, PARA LA ILUSTRE MUNICIPALIDAD DE PAINE")</f>
        <v>CONTRATACION DE PROFESIONALES PARA ELABORACION DE PROYECTOS PMU, PARA LA ILUSTRE MUNICIPALIDAD DE PAINE</v>
      </c>
      <c r="C431" s="10" t="str">
        <f ca="1">IFERROR(__xludf.DUMMYFUNCTION("""COMPUTED_VALUE"""),"13404241001-C")</f>
        <v>13404241001-C</v>
      </c>
      <c r="D431" s="26" t="str">
        <f t="shared" ca="1" si="2"/>
        <v xml:space="preserve"> PAINE</v>
      </c>
      <c r="E431" s="10" t="str">
        <f ca="1">IFERROR(__xludf.DUMMYFUNCTION("""COMPUTED_VALUE"""),"Guía Operativa")</f>
        <v>Guía Operativa</v>
      </c>
      <c r="F431" s="10" t="str">
        <f ca="1">IFERROR(__xludf.DUMMYFUNCTION("""COMPUTED_VALUE"""),"MUNICIPALIDAD DE PAINE")</f>
        <v>MUNICIPALIDAD DE PAINE</v>
      </c>
      <c r="G431" s="71">
        <f ca="1">IFERROR(__xludf.DUMMYFUNCTION("""COMPUTED_VALUE"""),39700000)</f>
        <v>39700000</v>
      </c>
      <c r="H431" s="10" t="str">
        <f ca="1">IFERROR(__xludf.DUMMYFUNCTION("""COMPUTED_VALUE"""),"Resolución")</f>
        <v>Resolución</v>
      </c>
      <c r="I431" s="10" t="str">
        <f ca="1">IFERROR(__xludf.DUMMYFUNCTION("""COMPUTED_VALUE"""),"Asistencia Técnica")</f>
        <v>Asistencia Técnica</v>
      </c>
      <c r="J431" s="10" t="str">
        <f ca="1">IFERROR(__xludf.DUMMYFUNCTION("""COMPUTED_VALUE"""),"Cumplir con normativa y reglamentos internos del programa en base a los objetivos.")</f>
        <v>Cumplir con normativa y reglamentos internos del programa en base a los objetivos.</v>
      </c>
      <c r="K431" s="71">
        <f ca="1">IFERROR(__xludf.DUMMYFUNCTION("""COMPUTED_VALUE"""),39700000)</f>
        <v>39700000</v>
      </c>
      <c r="L431" s="27">
        <f ca="1">IFERROR(__xludf.DUMMYFUNCTION("""COMPUTED_VALUE"""),1)</f>
        <v>1</v>
      </c>
      <c r="M431" s="10" t="str">
        <f ca="1">IFERROR(__xludf.DUMMYFUNCTION("""COMPUTED_VALUE"""),"11584/2024")</f>
        <v>11584/2024</v>
      </c>
      <c r="N431" s="10" t="str">
        <f ca="1">IFERROR(__xludf.DUMMYFUNCTION("""COMPUTED_VALUE"""),"PMB")</f>
        <v>PMB</v>
      </c>
      <c r="O431" s="59"/>
      <c r="P431" s="1"/>
      <c r="Q431" s="1"/>
      <c r="R431" s="1"/>
      <c r="S431" s="1"/>
      <c r="T431" s="1"/>
      <c r="U431" s="1"/>
      <c r="V431" s="1"/>
      <c r="W431" s="1"/>
      <c r="X431" s="1"/>
      <c r="Y431" s="1"/>
      <c r="Z431" s="1"/>
      <c r="AA431" s="1"/>
    </row>
    <row r="432" spans="1:27" ht="12.75" customHeight="1">
      <c r="A432" s="1"/>
      <c r="B432" s="10" t="str">
        <f ca="1">IFERROR(__xludf.DUMMYFUNCTION("""COMPUTED_VALUE"""),"GENERACION DE PROYECTOS ELECTRICOS EN 5 SECTORES DE LA COMUNA DE QUEILEN")</f>
        <v>GENERACION DE PROYECTOS ELECTRICOS EN 5 SECTORES DE LA COMUNA DE QUEILEN</v>
      </c>
      <c r="C432" s="10" t="str">
        <f ca="1">IFERROR(__xludf.DUMMYFUNCTION("""COMPUTED_VALUE"""),"10207241004-C")</f>
        <v>10207241004-C</v>
      </c>
      <c r="D432" s="26" t="str">
        <f t="shared" ca="1" si="2"/>
        <v xml:space="preserve"> QUEILÉN</v>
      </c>
      <c r="E432" s="10" t="str">
        <f ca="1">IFERROR(__xludf.DUMMYFUNCTION("""COMPUTED_VALUE"""),"Guía Operativa")</f>
        <v>Guía Operativa</v>
      </c>
      <c r="F432" s="10" t="str">
        <f ca="1">IFERROR(__xludf.DUMMYFUNCTION("""COMPUTED_VALUE"""),"MUNICIPALIDAD DE QUEILÉN")</f>
        <v>MUNICIPALIDAD DE QUEILÉN</v>
      </c>
      <c r="G432" s="71">
        <f ca="1">IFERROR(__xludf.DUMMYFUNCTION("""COMPUTED_VALUE"""),20400000)</f>
        <v>20400000</v>
      </c>
      <c r="H432" s="10" t="str">
        <f ca="1">IFERROR(__xludf.DUMMYFUNCTION("""COMPUTED_VALUE"""),"Resolución")</f>
        <v>Resolución</v>
      </c>
      <c r="I432" s="10" t="str">
        <f ca="1">IFERROR(__xludf.DUMMYFUNCTION("""COMPUTED_VALUE"""),"Asistencia Técnica")</f>
        <v>Asistencia Técnica</v>
      </c>
      <c r="J432" s="10" t="str">
        <f ca="1">IFERROR(__xludf.DUMMYFUNCTION("""COMPUTED_VALUE"""),"Cumplir con normativa y reglamentos internos del programa en base a los objetivos.")</f>
        <v>Cumplir con normativa y reglamentos internos del programa en base a los objetivos.</v>
      </c>
      <c r="K432" s="71">
        <f ca="1">IFERROR(__xludf.DUMMYFUNCTION("""COMPUTED_VALUE"""),20400000)</f>
        <v>20400000</v>
      </c>
      <c r="L432" s="27">
        <f ca="1">IFERROR(__xludf.DUMMYFUNCTION("""COMPUTED_VALUE"""),1)</f>
        <v>1</v>
      </c>
      <c r="M432" s="10" t="str">
        <f ca="1">IFERROR(__xludf.DUMMYFUNCTION("""COMPUTED_VALUE"""),"11587/2024")</f>
        <v>11587/2024</v>
      </c>
      <c r="N432" s="10" t="str">
        <f ca="1">IFERROR(__xludf.DUMMYFUNCTION("""COMPUTED_VALUE"""),"PMB")</f>
        <v>PMB</v>
      </c>
      <c r="O432" s="59"/>
      <c r="P432" s="1"/>
      <c r="Q432" s="1"/>
      <c r="R432" s="1"/>
      <c r="S432" s="1"/>
      <c r="T432" s="1"/>
      <c r="U432" s="1"/>
      <c r="V432" s="1"/>
      <c r="W432" s="1"/>
      <c r="X432" s="1"/>
      <c r="Y432" s="1"/>
      <c r="Z432" s="1"/>
      <c r="AA432" s="1"/>
    </row>
    <row r="433" spans="1:27" ht="12.75" customHeight="1">
      <c r="A433" s="1"/>
      <c r="B433" s="10" t="str">
        <f ca="1">IFERROR(__xludf.DUMMYFUNCTION("""COMPUTED_VALUE"""),"CONSTRUCCIÓN PUNTOS LIMPIOS DE RECICLAJE EN SECTORES DE HORNOPIRÉN Y CONTAO, COMUNA DE HUALAIHUÉ")</f>
        <v>CONSTRUCCIÓN PUNTOS LIMPIOS DE RECICLAJE EN SECTORES DE HORNOPIRÉN Y CONTAO, COMUNA DE HUALAIHUÉ</v>
      </c>
      <c r="C433" s="10" t="str">
        <f ca="1">IFERROR(__xludf.DUMMYFUNCTION("""COMPUTED_VALUE"""),"10403241501-C")</f>
        <v>10403241501-C</v>
      </c>
      <c r="D433" s="26" t="str">
        <f t="shared" ca="1" si="2"/>
        <v xml:space="preserve"> HUALAIHUÉ</v>
      </c>
      <c r="E433" s="10" t="str">
        <f ca="1">IFERROR(__xludf.DUMMYFUNCTION("""COMPUTED_VALUE"""),"Guía Operativa")</f>
        <v>Guía Operativa</v>
      </c>
      <c r="F433" s="10" t="str">
        <f ca="1">IFERROR(__xludf.DUMMYFUNCTION("""COMPUTED_VALUE"""),"MUNICIPALIDAD DE HUALAIHUÉ")</f>
        <v>MUNICIPALIDAD DE HUALAIHUÉ</v>
      </c>
      <c r="G433" s="71">
        <f ca="1">IFERROR(__xludf.DUMMYFUNCTION("""COMPUTED_VALUE"""),183686962)</f>
        <v>183686962</v>
      </c>
      <c r="H433" s="10" t="str">
        <f ca="1">IFERROR(__xludf.DUMMYFUNCTION("""COMPUTED_VALUE"""),"Resolución")</f>
        <v>Resolución</v>
      </c>
      <c r="I433" s="10" t="str">
        <f ca="1">IFERROR(__xludf.DUMMYFUNCTION("""COMPUTED_VALUE"""),"Valorización de Residuos")</f>
        <v>Valorización de Residuos</v>
      </c>
      <c r="J433" s="10" t="str">
        <f ca="1">IFERROR(__xludf.DUMMYFUNCTION("""COMPUTED_VALUE"""),"Cumplir con normativa y reglamentos internos del programa en base a los objetivos.")</f>
        <v>Cumplir con normativa y reglamentos internos del programa en base a los objetivos.</v>
      </c>
      <c r="K433" s="71">
        <f ca="1">IFERROR(__xludf.DUMMYFUNCTION("""COMPUTED_VALUE"""),183686962)</f>
        <v>183686962</v>
      </c>
      <c r="L433" s="27">
        <f ca="1">IFERROR(__xludf.DUMMYFUNCTION("""COMPUTED_VALUE"""),1)</f>
        <v>1</v>
      </c>
      <c r="M433" s="10" t="str">
        <f ca="1">IFERROR(__xludf.DUMMYFUNCTION("""COMPUTED_VALUE"""),"12112/2024")</f>
        <v>12112/2024</v>
      </c>
      <c r="N433" s="10" t="str">
        <f ca="1">IFERROR(__xludf.DUMMYFUNCTION("""COMPUTED_VALUE"""),"PMB")</f>
        <v>PMB</v>
      </c>
      <c r="O433" s="59"/>
      <c r="P433" s="1"/>
      <c r="Q433" s="1"/>
      <c r="R433" s="1"/>
      <c r="S433" s="1"/>
      <c r="T433" s="1"/>
      <c r="U433" s="1"/>
      <c r="V433" s="1"/>
      <c r="W433" s="1"/>
      <c r="X433" s="1"/>
      <c r="Y433" s="1"/>
      <c r="Z433" s="1"/>
      <c r="AA433" s="1"/>
    </row>
    <row r="434" spans="1:27" ht="12.75" customHeight="1">
      <c r="A434" s="1"/>
      <c r="B434" s="10" t="str">
        <f ca="1">IFERROR(__xludf.DUMMYFUNCTION("""COMPUTED_VALUE"""),"(SATE) CONSTRUCCIÓN PLANTA COMPOSTAJE - COMUNA DE PUQUELDON")</f>
        <v>(SATE) CONSTRUCCIÓN PLANTA COMPOSTAJE - COMUNA DE PUQUELDON</v>
      </c>
      <c r="C434" s="10" t="str">
        <f ca="1">IFERROR(__xludf.DUMMYFUNCTION("""COMPUTED_VALUE"""),"10206230702-C")</f>
        <v>10206230702-C</v>
      </c>
      <c r="D434" s="26" t="str">
        <f t="shared" ca="1" si="2"/>
        <v xml:space="preserve"> PUQUELDÓN</v>
      </c>
      <c r="E434" s="10" t="str">
        <f ca="1">IFERROR(__xludf.DUMMYFUNCTION("""COMPUTED_VALUE"""),"Guía Operativa")</f>
        <v>Guía Operativa</v>
      </c>
      <c r="F434" s="10" t="str">
        <f ca="1">IFERROR(__xludf.DUMMYFUNCTION("""COMPUTED_VALUE"""),"MUNICIPALIDAD DE PUQUELDÓN")</f>
        <v>MUNICIPALIDAD DE PUQUELDÓN</v>
      </c>
      <c r="G434" s="71">
        <f ca="1">IFERROR(__xludf.DUMMYFUNCTION("""COMPUTED_VALUE"""),170865067)</f>
        <v>170865067</v>
      </c>
      <c r="H434" s="10" t="str">
        <f ca="1">IFERROR(__xludf.DUMMYFUNCTION("""COMPUTED_VALUE"""),"Resolución")</f>
        <v>Resolución</v>
      </c>
      <c r="I434" s="10" t="str">
        <f ca="1">IFERROR(__xludf.DUMMYFUNCTION("""COMPUTED_VALUE"""),"Obra")</f>
        <v>Obra</v>
      </c>
      <c r="J434" s="10" t="str">
        <f ca="1">IFERROR(__xludf.DUMMYFUNCTION("""COMPUTED_VALUE"""),"Cumplir con normativa y reglamentos internos del programa en base a los objetivos.")</f>
        <v>Cumplir con normativa y reglamentos internos del programa en base a los objetivos.</v>
      </c>
      <c r="K434" s="71">
        <f ca="1">IFERROR(__xludf.DUMMYFUNCTION("""COMPUTED_VALUE"""),170865067)</f>
        <v>170865067</v>
      </c>
      <c r="L434" s="27">
        <f ca="1">IFERROR(__xludf.DUMMYFUNCTION("""COMPUTED_VALUE"""),1)</f>
        <v>1</v>
      </c>
      <c r="M434" s="10" t="str">
        <f ca="1">IFERROR(__xludf.DUMMYFUNCTION("""COMPUTED_VALUE"""),"11619/2024")</f>
        <v>11619/2024</v>
      </c>
      <c r="N434" s="10" t="str">
        <f ca="1">IFERROR(__xludf.DUMMYFUNCTION("""COMPUTED_VALUE"""),"PMB")</f>
        <v>PMB</v>
      </c>
      <c r="O434" s="59"/>
      <c r="P434" s="1"/>
      <c r="Q434" s="1"/>
      <c r="R434" s="1"/>
      <c r="S434" s="1"/>
      <c r="T434" s="1"/>
      <c r="U434" s="1"/>
      <c r="V434" s="1"/>
      <c r="W434" s="1"/>
      <c r="X434" s="1"/>
      <c r="Y434" s="1"/>
      <c r="Z434" s="1"/>
      <c r="AA434" s="1"/>
    </row>
    <row r="435" spans="1:27" ht="12.75" customHeight="1">
      <c r="A435" s="1"/>
      <c r="B435" s="10" t="str">
        <f ca="1">IFERROR(__xludf.DUMMYFUNCTION("""COMPUTED_VALUE"""),"ABASTECIMIENTO DE AGUA INDIVIDUAL BAHIA MANSA-CARRICO, COMUNA DE SAN JUAN DE LA COSTA")</f>
        <v>ABASTECIMIENTO DE AGUA INDIVIDUAL BAHIA MANSA-CARRICO, COMUNA DE SAN JUAN DE LA COSTA</v>
      </c>
      <c r="C435" s="10" t="str">
        <f ca="1">IFERROR(__xludf.DUMMYFUNCTION("""COMPUTED_VALUE"""),"10306230703-C")</f>
        <v>10306230703-C</v>
      </c>
      <c r="D435" s="26" t="str">
        <f t="shared" ca="1" si="2"/>
        <v xml:space="preserve"> SAN JUAN DE LA COSTA</v>
      </c>
      <c r="E435" s="10" t="str">
        <f ca="1">IFERROR(__xludf.DUMMYFUNCTION("""COMPUTED_VALUE"""),"Guía Operativa")</f>
        <v>Guía Operativa</v>
      </c>
      <c r="F435" s="10" t="str">
        <f ca="1">IFERROR(__xludf.DUMMYFUNCTION("""COMPUTED_VALUE"""),"MUNICIPALIDAD DE SAN JUAN DE LA COSTA")</f>
        <v>MUNICIPALIDAD DE SAN JUAN DE LA COSTA</v>
      </c>
      <c r="G435" s="71">
        <f ca="1">IFERROR(__xludf.DUMMYFUNCTION("""COMPUTED_VALUE"""),97697769)</f>
        <v>97697769</v>
      </c>
      <c r="H435" s="10" t="str">
        <f ca="1">IFERROR(__xludf.DUMMYFUNCTION("""COMPUTED_VALUE"""),"Resolución")</f>
        <v>Resolución</v>
      </c>
      <c r="I435" s="10" t="str">
        <f ca="1">IFERROR(__xludf.DUMMYFUNCTION("""COMPUTED_VALUE"""),"Obra")</f>
        <v>Obra</v>
      </c>
      <c r="J435" s="10" t="str">
        <f ca="1">IFERROR(__xludf.DUMMYFUNCTION("""COMPUTED_VALUE"""),"Cumplir con normativa y reglamentos internos del programa en base a los objetivos.")</f>
        <v>Cumplir con normativa y reglamentos internos del programa en base a los objetivos.</v>
      </c>
      <c r="K435" s="71">
        <f ca="1">IFERROR(__xludf.DUMMYFUNCTION("""COMPUTED_VALUE"""),97697769)</f>
        <v>97697769</v>
      </c>
      <c r="L435" s="27">
        <f ca="1">IFERROR(__xludf.DUMMYFUNCTION("""COMPUTED_VALUE"""),1)</f>
        <v>1</v>
      </c>
      <c r="M435" s="10" t="str">
        <f ca="1">IFERROR(__xludf.DUMMYFUNCTION("""COMPUTED_VALUE"""),"12118/2024")</f>
        <v>12118/2024</v>
      </c>
      <c r="N435" s="10" t="str">
        <f ca="1">IFERROR(__xludf.DUMMYFUNCTION("""COMPUTED_VALUE"""),"PMB")</f>
        <v>PMB</v>
      </c>
      <c r="O435" s="59"/>
      <c r="P435" s="1"/>
      <c r="Q435" s="1"/>
      <c r="R435" s="1"/>
      <c r="S435" s="1"/>
      <c r="T435" s="1"/>
      <c r="U435" s="1"/>
      <c r="V435" s="1"/>
      <c r="W435" s="1"/>
      <c r="X435" s="1"/>
      <c r="Y435" s="1"/>
      <c r="Z435" s="1"/>
      <c r="AA435" s="1"/>
    </row>
    <row r="436" spans="1:27" ht="12.75" customHeight="1">
      <c r="A436" s="1"/>
      <c r="B436" s="10" t="str">
        <f ca="1">IFERROR(__xludf.DUMMYFUNCTION("""COMPUTED_VALUE"""),"SANEAMIENTO Y REGULARIZACIÓN DE TÍTULOS DE DOMINIO VARIOS SECTORES DE LA COMUNA DE PUMANQUE")</f>
        <v>SANEAMIENTO Y REGULARIZACIÓN DE TÍTULOS DE DOMINIO VARIOS SECTORES DE LA COMUNA DE PUMANQUE</v>
      </c>
      <c r="C436" s="10" t="str">
        <f ca="1">IFERROR(__xludf.DUMMYFUNCTION("""COMPUTED_VALUE"""),"6309230901-C")</f>
        <v>6309230901-C</v>
      </c>
      <c r="D436" s="26" t="str">
        <f t="shared" ca="1" si="2"/>
        <v xml:space="preserve"> PUMANQUE</v>
      </c>
      <c r="E436" s="10" t="str">
        <f ca="1">IFERROR(__xludf.DUMMYFUNCTION("""COMPUTED_VALUE"""),"Guía Operativa")</f>
        <v>Guía Operativa</v>
      </c>
      <c r="F436" s="10" t="str">
        <f ca="1">IFERROR(__xludf.DUMMYFUNCTION("""COMPUTED_VALUE"""),"MUNICIPALIDAD DE PUMANQUE")</f>
        <v>MUNICIPALIDAD DE PUMANQUE</v>
      </c>
      <c r="G436" s="71">
        <f ca="1">IFERROR(__xludf.DUMMYFUNCTION("""COMPUTED_VALUE"""),44400000)</f>
        <v>44400000</v>
      </c>
      <c r="H436" s="10" t="str">
        <f ca="1">IFERROR(__xludf.DUMMYFUNCTION("""COMPUTED_VALUE"""),"Resolución")</f>
        <v>Resolución</v>
      </c>
      <c r="I436" s="10" t="str">
        <f ca="1">IFERROR(__xludf.DUMMYFUNCTION("""COMPUTED_VALUE"""),"Saneamiento de Títulos")</f>
        <v>Saneamiento de Títulos</v>
      </c>
      <c r="J436" s="10" t="str">
        <f ca="1">IFERROR(__xludf.DUMMYFUNCTION("""COMPUTED_VALUE"""),"Cumplir con normativa y reglamentos internos del programa en base a los objetivos.")</f>
        <v>Cumplir con normativa y reglamentos internos del programa en base a los objetivos.</v>
      </c>
      <c r="K436" s="71">
        <f ca="1">IFERROR(__xludf.DUMMYFUNCTION("""COMPUTED_VALUE"""),44400000)</f>
        <v>44400000</v>
      </c>
      <c r="L436" s="27">
        <f ca="1">IFERROR(__xludf.DUMMYFUNCTION("""COMPUTED_VALUE"""),1)</f>
        <v>1</v>
      </c>
      <c r="M436" s="10" t="str">
        <f ca="1">IFERROR(__xludf.DUMMYFUNCTION("""COMPUTED_VALUE"""),"11911/2024")</f>
        <v>11911/2024</v>
      </c>
      <c r="N436" s="10" t="str">
        <f ca="1">IFERROR(__xludf.DUMMYFUNCTION("""COMPUTED_VALUE"""),"PMB")</f>
        <v>PMB</v>
      </c>
      <c r="O436" s="59"/>
      <c r="P436" s="1"/>
      <c r="Q436" s="1"/>
      <c r="R436" s="1"/>
      <c r="S436" s="1"/>
      <c r="T436" s="1"/>
      <c r="U436" s="1"/>
      <c r="V436" s="1"/>
      <c r="W436" s="1"/>
      <c r="X436" s="1"/>
      <c r="Y436" s="1"/>
      <c r="Z436" s="1"/>
      <c r="AA436" s="1"/>
    </row>
    <row r="437" spans="1:27" ht="12.75" customHeight="1">
      <c r="A437" s="1"/>
      <c r="B437" s="10" t="str">
        <f ca="1">IFERROR(__xludf.DUMMYFUNCTION("""COMPUTED_VALUE"""),"CONSTRUCCIÓN ALUMBRADO BANDEJÓN GRANADA, COMUNA DE CONCHALÍ")</f>
        <v>CONSTRUCCIÓN ALUMBRADO BANDEJÓN GRANADA, COMUNA DE CONCHALÍ</v>
      </c>
      <c r="C437" s="10" t="str">
        <f ca="1">IFERROR(__xludf.DUMMYFUNCTION("""COMPUTED_VALUE"""),"13104230701-C")</f>
        <v>13104230701-C</v>
      </c>
      <c r="D437" s="26" t="str">
        <f t="shared" ca="1" si="2"/>
        <v xml:space="preserve"> CONCHALÍ</v>
      </c>
      <c r="E437" s="10" t="str">
        <f ca="1">IFERROR(__xludf.DUMMYFUNCTION("""COMPUTED_VALUE"""),"Guía Operativa")</f>
        <v>Guía Operativa</v>
      </c>
      <c r="F437" s="10" t="str">
        <f ca="1">IFERROR(__xludf.DUMMYFUNCTION("""COMPUTED_VALUE"""),"MUNICIPALIDAD DE CONCHALÍ")</f>
        <v>MUNICIPALIDAD DE CONCHALÍ</v>
      </c>
      <c r="G437" s="71">
        <f ca="1">IFERROR(__xludf.DUMMYFUNCTION("""COMPUTED_VALUE"""),268149590)</f>
        <v>268149590</v>
      </c>
      <c r="H437" s="10" t="str">
        <f ca="1">IFERROR(__xludf.DUMMYFUNCTION("""COMPUTED_VALUE"""),"Resolución")</f>
        <v>Resolución</v>
      </c>
      <c r="I437" s="10" t="str">
        <f ca="1">IFERROR(__xludf.DUMMYFUNCTION("""COMPUTED_VALUE"""),"Obra")</f>
        <v>Obra</v>
      </c>
      <c r="J437" s="10" t="str">
        <f ca="1">IFERROR(__xludf.DUMMYFUNCTION("""COMPUTED_VALUE"""),"Cumplir con normativa y reglamentos internos del programa en base a los objetivos.")</f>
        <v>Cumplir con normativa y reglamentos internos del programa en base a los objetivos.</v>
      </c>
      <c r="K437" s="71">
        <f ca="1">IFERROR(__xludf.DUMMYFUNCTION("""COMPUTED_VALUE"""),268149590)</f>
        <v>268149590</v>
      </c>
      <c r="L437" s="27">
        <f ca="1">IFERROR(__xludf.DUMMYFUNCTION("""COMPUTED_VALUE"""),1)</f>
        <v>1</v>
      </c>
      <c r="M437" s="10" t="str">
        <f ca="1">IFERROR(__xludf.DUMMYFUNCTION("""COMPUTED_VALUE"""),"11621/2024")</f>
        <v>11621/2024</v>
      </c>
      <c r="N437" s="10" t="str">
        <f ca="1">IFERROR(__xludf.DUMMYFUNCTION("""COMPUTED_VALUE"""),"PMB")</f>
        <v>PMB</v>
      </c>
      <c r="O437" s="59"/>
      <c r="P437" s="1"/>
      <c r="Q437" s="1"/>
      <c r="R437" s="1"/>
      <c r="S437" s="1"/>
      <c r="T437" s="1"/>
      <c r="U437" s="1"/>
      <c r="V437" s="1"/>
      <c r="W437" s="1"/>
      <c r="X437" s="1"/>
      <c r="Y437" s="1"/>
      <c r="Z437" s="1"/>
      <c r="AA437" s="1"/>
    </row>
    <row r="438" spans="1:27" ht="12.75" customHeight="1">
      <c r="A438" s="1"/>
      <c r="B438" s="10" t="str">
        <f ca="1">IFERROR(__xludf.DUMMYFUNCTION("""COMPUTED_VALUE"""),"CONSTRUCCION DE LA ILUMINACION PEATONAL JOSE JOAQUIN PEREZ")</f>
        <v>CONSTRUCCION DE LA ILUMINACION PEATONAL JOSE JOAQUIN PEREZ</v>
      </c>
      <c r="C438" s="10" t="str">
        <f ca="1">IFERROR(__xludf.DUMMYFUNCTION("""COMPUTED_VALUE"""),"13126240706-C")</f>
        <v>13126240706-C</v>
      </c>
      <c r="D438" s="26" t="str">
        <f t="shared" ca="1" si="2"/>
        <v xml:space="preserve"> QUINTA NORMAL</v>
      </c>
      <c r="E438" s="10" t="str">
        <f ca="1">IFERROR(__xludf.DUMMYFUNCTION("""COMPUTED_VALUE"""),"Guía Operativa")</f>
        <v>Guía Operativa</v>
      </c>
      <c r="F438" s="10" t="str">
        <f ca="1">IFERROR(__xludf.DUMMYFUNCTION("""COMPUTED_VALUE"""),"MUNICIPALIDAD DE QUINTA NORMAL")</f>
        <v>MUNICIPALIDAD DE QUINTA NORMAL</v>
      </c>
      <c r="G438" s="71">
        <f ca="1">IFERROR(__xludf.DUMMYFUNCTION("""COMPUTED_VALUE"""),318700855)</f>
        <v>318700855</v>
      </c>
      <c r="H438" s="10" t="str">
        <f ca="1">IFERROR(__xludf.DUMMYFUNCTION("""COMPUTED_VALUE"""),"Resolución")</f>
        <v>Resolución</v>
      </c>
      <c r="I438" s="10" t="str">
        <f ca="1">IFERROR(__xludf.DUMMYFUNCTION("""COMPUTED_VALUE"""),"Obra")</f>
        <v>Obra</v>
      </c>
      <c r="J438" s="10" t="str">
        <f ca="1">IFERROR(__xludf.DUMMYFUNCTION("""COMPUTED_VALUE"""),"Cumplir con normativa y reglamentos internos del programa en base a los objetivos.")</f>
        <v>Cumplir con normativa y reglamentos internos del programa en base a los objetivos.</v>
      </c>
      <c r="K438" s="71">
        <f ca="1">IFERROR(__xludf.DUMMYFUNCTION("""COMPUTED_VALUE"""),318700855)</f>
        <v>318700855</v>
      </c>
      <c r="L438" s="27">
        <f ca="1">IFERROR(__xludf.DUMMYFUNCTION("""COMPUTED_VALUE"""),1)</f>
        <v>1</v>
      </c>
      <c r="M438" s="10" t="str">
        <f ca="1">IFERROR(__xludf.DUMMYFUNCTION("""COMPUTED_VALUE"""),"11629/2024")</f>
        <v>11629/2024</v>
      </c>
      <c r="N438" s="10" t="str">
        <f ca="1">IFERROR(__xludf.DUMMYFUNCTION("""COMPUTED_VALUE"""),"PMB")</f>
        <v>PMB</v>
      </c>
      <c r="O438" s="59"/>
      <c r="P438" s="1"/>
      <c r="Q438" s="1"/>
      <c r="R438" s="1"/>
      <c r="S438" s="1"/>
      <c r="T438" s="1"/>
      <c r="U438" s="1"/>
      <c r="V438" s="1"/>
      <c r="W438" s="1"/>
      <c r="X438" s="1"/>
      <c r="Y438" s="1"/>
      <c r="Z438" s="1"/>
      <c r="AA438" s="1"/>
    </row>
    <row r="439" spans="1:27" ht="12.75" customHeight="1">
      <c r="A439" s="1"/>
      <c r="B439" s="10" t="str">
        <f ca="1">IFERROR(__xludf.DUMMYFUNCTION("""COMPUTED_VALUE"""),"CONSTRUCCION DE LA ILUMINACION PEATONAL CARRASCAL PONIENTE")</f>
        <v>CONSTRUCCION DE LA ILUMINACION PEATONAL CARRASCAL PONIENTE</v>
      </c>
      <c r="C439" s="10" t="str">
        <f ca="1">IFERROR(__xludf.DUMMYFUNCTION("""COMPUTED_VALUE"""),"13126230707-C")</f>
        <v>13126230707-C</v>
      </c>
      <c r="D439" s="26" t="str">
        <f t="shared" ca="1" si="2"/>
        <v xml:space="preserve"> QUINTA NORMAL</v>
      </c>
      <c r="E439" s="10" t="str">
        <f ca="1">IFERROR(__xludf.DUMMYFUNCTION("""COMPUTED_VALUE"""),"Guía Operativa")</f>
        <v>Guía Operativa</v>
      </c>
      <c r="F439" s="10" t="str">
        <f ca="1">IFERROR(__xludf.DUMMYFUNCTION("""COMPUTED_VALUE"""),"MUNICIPALIDAD DE QUINTA NORMAL")</f>
        <v>MUNICIPALIDAD DE QUINTA NORMAL</v>
      </c>
      <c r="G439" s="71">
        <f ca="1">IFERROR(__xludf.DUMMYFUNCTION("""COMPUTED_VALUE"""),322135489)</f>
        <v>322135489</v>
      </c>
      <c r="H439" s="10" t="str">
        <f ca="1">IFERROR(__xludf.DUMMYFUNCTION("""COMPUTED_VALUE"""),"Resolución")</f>
        <v>Resolución</v>
      </c>
      <c r="I439" s="10" t="str">
        <f ca="1">IFERROR(__xludf.DUMMYFUNCTION("""COMPUTED_VALUE"""),"Obra")</f>
        <v>Obra</v>
      </c>
      <c r="J439" s="10" t="str">
        <f ca="1">IFERROR(__xludf.DUMMYFUNCTION("""COMPUTED_VALUE"""),"Cumplir con normativa y reglamentos internos del programa en base a los objetivos.")</f>
        <v>Cumplir con normativa y reglamentos internos del programa en base a los objetivos.</v>
      </c>
      <c r="K439" s="71">
        <f ca="1">IFERROR(__xludf.DUMMYFUNCTION("""COMPUTED_VALUE"""),322135489)</f>
        <v>322135489</v>
      </c>
      <c r="L439" s="27">
        <f ca="1">IFERROR(__xludf.DUMMYFUNCTION("""COMPUTED_VALUE"""),1)</f>
        <v>1</v>
      </c>
      <c r="M439" s="10" t="str">
        <f ca="1">IFERROR(__xludf.DUMMYFUNCTION("""COMPUTED_VALUE"""),"11691/2024")</f>
        <v>11691/2024</v>
      </c>
      <c r="N439" s="10" t="str">
        <f ca="1">IFERROR(__xludf.DUMMYFUNCTION("""COMPUTED_VALUE"""),"PMB")</f>
        <v>PMB</v>
      </c>
      <c r="O439" s="59"/>
      <c r="P439" s="1"/>
      <c r="Q439" s="1"/>
      <c r="R439" s="1"/>
      <c r="S439" s="1"/>
      <c r="T439" s="1"/>
      <c r="U439" s="1"/>
      <c r="V439" s="1"/>
      <c r="W439" s="1"/>
      <c r="X439" s="1"/>
      <c r="Y439" s="1"/>
      <c r="Z439" s="1"/>
      <c r="AA439" s="1"/>
    </row>
    <row r="440" spans="1:27" ht="12.75" customHeight="1">
      <c r="A440" s="1"/>
      <c r="B440" s="10" t="str">
        <f ca="1">IFERROR(__xludf.DUMMYFUNCTION("""COMPUTED_VALUE"""),"ESTUDIO DE SOLUCION DE DISPOSICION DE AGUAS SERVIDAS PARA SEDES DEPORTIVAS COMUNA DE JUAN FERNANDEZ")</f>
        <v>ESTUDIO DE SOLUCION DE DISPOSICION DE AGUAS SERVIDAS PARA SEDES DEPORTIVAS COMUNA DE JUAN FERNANDEZ</v>
      </c>
      <c r="C440" s="10" t="str">
        <f ca="1">IFERROR(__xludf.DUMMYFUNCTION("""COMPUTED_VALUE"""),"5104230404-C")</f>
        <v>5104230404-C</v>
      </c>
      <c r="D440" s="26" t="str">
        <f t="shared" ca="1" si="2"/>
        <v xml:space="preserve"> JUAN FERNÁNDEZ</v>
      </c>
      <c r="E440" s="10" t="str">
        <f ca="1">IFERROR(__xludf.DUMMYFUNCTION("""COMPUTED_VALUE"""),"Guía Operativa")</f>
        <v>Guía Operativa</v>
      </c>
      <c r="F440" s="10" t="str">
        <f ca="1">IFERROR(__xludf.DUMMYFUNCTION("""COMPUTED_VALUE"""),"MUNICIPALIDAD DE JUAN FERNÁNDEZ")</f>
        <v>MUNICIPALIDAD DE JUAN FERNÁNDEZ</v>
      </c>
      <c r="G440" s="71">
        <f ca="1">IFERROR(__xludf.DUMMYFUNCTION("""COMPUTED_VALUE"""),14200000)</f>
        <v>14200000</v>
      </c>
      <c r="H440" s="10" t="str">
        <f ca="1">IFERROR(__xludf.DUMMYFUNCTION("""COMPUTED_VALUE"""),"Resolución")</f>
        <v>Resolución</v>
      </c>
      <c r="I440" s="10" t="str">
        <f ca="1">IFERROR(__xludf.DUMMYFUNCTION("""COMPUTED_VALUE"""),"Estudio")</f>
        <v>Estudio</v>
      </c>
      <c r="J440" s="10" t="str">
        <f ca="1">IFERROR(__xludf.DUMMYFUNCTION("""COMPUTED_VALUE"""),"Cumplir con normativa y reglamentos internos del programa en base a los objetivos.")</f>
        <v>Cumplir con normativa y reglamentos internos del programa en base a los objetivos.</v>
      </c>
      <c r="K440" s="71">
        <f ca="1">IFERROR(__xludf.DUMMYFUNCTION("""COMPUTED_VALUE"""),14200000)</f>
        <v>14200000</v>
      </c>
      <c r="L440" s="27">
        <f ca="1">IFERROR(__xludf.DUMMYFUNCTION("""COMPUTED_VALUE"""),1)</f>
        <v>1</v>
      </c>
      <c r="M440" s="10" t="str">
        <f ca="1">IFERROR(__xludf.DUMMYFUNCTION("""COMPUTED_VALUE"""),"11636/2024")</f>
        <v>11636/2024</v>
      </c>
      <c r="N440" s="10" t="str">
        <f ca="1">IFERROR(__xludf.DUMMYFUNCTION("""COMPUTED_VALUE"""),"PMB")</f>
        <v>PMB</v>
      </c>
      <c r="O440" s="59"/>
      <c r="P440" s="1"/>
      <c r="Q440" s="1"/>
      <c r="R440" s="1"/>
      <c r="S440" s="1"/>
      <c r="T440" s="1"/>
      <c r="U440" s="1"/>
      <c r="V440" s="1"/>
      <c r="W440" s="1"/>
      <c r="X440" s="1"/>
      <c r="Y440" s="1"/>
      <c r="Z440" s="1"/>
      <c r="AA440" s="1"/>
    </row>
    <row r="441" spans="1:27" ht="12.75" customHeight="1">
      <c r="A441" s="1"/>
      <c r="B441" s="10" t="str">
        <f ca="1">IFERROR(__xludf.DUMMYFUNCTION("""COMPUTED_VALUE"""),"ASISTENCIA TECNICA PARA ELABORACIÓN DE PROYECTOS ELECTRICOS Y ALUMBRADO PUBLICO COMUNA DE SAN ESTEBAN")</f>
        <v>ASISTENCIA TECNICA PARA ELABORACIÓN DE PROYECTOS ELECTRICOS Y ALUMBRADO PUBLICO COMUNA DE SAN ESTEBAN</v>
      </c>
      <c r="C441" s="10" t="str">
        <f ca="1">IFERROR(__xludf.DUMMYFUNCTION("""COMPUTED_VALUE"""),"5304231001-C")</f>
        <v>5304231001-C</v>
      </c>
      <c r="D441" s="26" t="str">
        <f t="shared" ca="1" si="2"/>
        <v xml:space="preserve"> SAN ESTEBAN</v>
      </c>
      <c r="E441" s="10" t="str">
        <f ca="1">IFERROR(__xludf.DUMMYFUNCTION("""COMPUTED_VALUE"""),"Guía Operativa")</f>
        <v>Guía Operativa</v>
      </c>
      <c r="F441" s="10" t="str">
        <f ca="1">IFERROR(__xludf.DUMMYFUNCTION("""COMPUTED_VALUE"""),"MUNICIPALIDAD DE SAN ESTEBAN")</f>
        <v>MUNICIPALIDAD DE SAN ESTEBAN</v>
      </c>
      <c r="G441" s="71">
        <f ca="1">IFERROR(__xludf.DUMMYFUNCTION("""COMPUTED_VALUE"""),22200000)</f>
        <v>22200000</v>
      </c>
      <c r="H441" s="10" t="str">
        <f ca="1">IFERROR(__xludf.DUMMYFUNCTION("""COMPUTED_VALUE"""),"Resolución")</f>
        <v>Resolución</v>
      </c>
      <c r="I441" s="10" t="str">
        <f ca="1">IFERROR(__xludf.DUMMYFUNCTION("""COMPUTED_VALUE"""),"Asistencia Técnica")</f>
        <v>Asistencia Técnica</v>
      </c>
      <c r="J441" s="10" t="str">
        <f ca="1">IFERROR(__xludf.DUMMYFUNCTION("""COMPUTED_VALUE"""),"Cumplir con normativa y reglamentos internos del programa en base a los objetivos.")</f>
        <v>Cumplir con normativa y reglamentos internos del programa en base a los objetivos.</v>
      </c>
      <c r="K441" s="71">
        <f ca="1">IFERROR(__xludf.DUMMYFUNCTION("""COMPUTED_VALUE"""),22200000)</f>
        <v>22200000</v>
      </c>
      <c r="L441" s="27">
        <f ca="1">IFERROR(__xludf.DUMMYFUNCTION("""COMPUTED_VALUE"""),1)</f>
        <v>1</v>
      </c>
      <c r="M441" s="10" t="str">
        <f ca="1">IFERROR(__xludf.DUMMYFUNCTION("""COMPUTED_VALUE"""),"11588/2024")</f>
        <v>11588/2024</v>
      </c>
      <c r="N441" s="10" t="str">
        <f ca="1">IFERROR(__xludf.DUMMYFUNCTION("""COMPUTED_VALUE"""),"PMB")</f>
        <v>PMB</v>
      </c>
      <c r="O441" s="59"/>
      <c r="P441" s="1"/>
      <c r="Q441" s="1"/>
      <c r="R441" s="1"/>
      <c r="S441" s="1"/>
      <c r="T441" s="1"/>
      <c r="U441" s="1"/>
      <c r="V441" s="1"/>
      <c r="W441" s="1"/>
      <c r="X441" s="1"/>
      <c r="Y441" s="1"/>
      <c r="Z441" s="1"/>
      <c r="AA441" s="1"/>
    </row>
    <row r="442" spans="1:27" ht="12.75" customHeight="1">
      <c r="A442" s="1"/>
      <c r="B442" s="10" t="str">
        <f ca="1">IFERROR(__xludf.DUMMYFUNCTION("""COMPUTED_VALUE"""),"REPOSICION IMPULSION PEAS 115-CH, SISTEMA DE ALCANTARILLADO BAJO PERQUÍN CORRALONES, COMUNA DE SAN CLEMENTE.")</f>
        <v>REPOSICION IMPULSION PEAS 115-CH, SISTEMA DE ALCANTARILLADO BAJO PERQUÍN CORRALONES, COMUNA DE SAN CLEMENTE.</v>
      </c>
      <c r="C442" s="10" t="str">
        <f ca="1">IFERROR(__xludf.DUMMYFUNCTION("""COMPUTED_VALUE"""),"7109220701-C")</f>
        <v>7109220701-C</v>
      </c>
      <c r="D442" s="26" t="str">
        <f t="shared" ca="1" si="2"/>
        <v xml:space="preserve"> SAN CLEMENTE</v>
      </c>
      <c r="E442" s="10" t="str">
        <f ca="1">IFERROR(__xludf.DUMMYFUNCTION("""COMPUTED_VALUE"""),"Guía Operativa")</f>
        <v>Guía Operativa</v>
      </c>
      <c r="F442" s="10" t="str">
        <f ca="1">IFERROR(__xludf.DUMMYFUNCTION("""COMPUTED_VALUE"""),"MUNICIPALIDAD DE SAN CLEMENTE")</f>
        <v>MUNICIPALIDAD DE SAN CLEMENTE</v>
      </c>
      <c r="G442" s="71">
        <f ca="1">IFERROR(__xludf.DUMMYFUNCTION("""COMPUTED_VALUE"""),109274265)</f>
        <v>109274265</v>
      </c>
      <c r="H442" s="10" t="str">
        <f ca="1">IFERROR(__xludf.DUMMYFUNCTION("""COMPUTED_VALUE"""),"Resolución")</f>
        <v>Resolución</v>
      </c>
      <c r="I442" s="10" t="str">
        <f ca="1">IFERROR(__xludf.DUMMYFUNCTION("""COMPUTED_VALUE"""),"Obra")</f>
        <v>Obra</v>
      </c>
      <c r="J442" s="10" t="str">
        <f ca="1">IFERROR(__xludf.DUMMYFUNCTION("""COMPUTED_VALUE"""),"Cumplir con normativa y reglamentos internos del programa en base a los objetivos.")</f>
        <v>Cumplir con normativa y reglamentos internos del programa en base a los objetivos.</v>
      </c>
      <c r="K442" s="71">
        <f ca="1">IFERROR(__xludf.DUMMYFUNCTION("""COMPUTED_VALUE"""),109274265)</f>
        <v>109274265</v>
      </c>
      <c r="L442" s="27">
        <f ca="1">IFERROR(__xludf.DUMMYFUNCTION("""COMPUTED_VALUE"""),1)</f>
        <v>1</v>
      </c>
      <c r="M442" s="10" t="str">
        <f ca="1">IFERROR(__xludf.DUMMYFUNCTION("""COMPUTED_VALUE"""),"11873/2024")</f>
        <v>11873/2024</v>
      </c>
      <c r="N442" s="10" t="str">
        <f ca="1">IFERROR(__xludf.DUMMYFUNCTION("""COMPUTED_VALUE"""),"PMB")</f>
        <v>PMB</v>
      </c>
      <c r="O442" s="59"/>
      <c r="P442" s="1"/>
      <c r="Q442" s="1"/>
      <c r="R442" s="1"/>
      <c r="S442" s="1"/>
      <c r="T442" s="1"/>
      <c r="U442" s="1"/>
      <c r="V442" s="1"/>
      <c r="W442" s="1"/>
      <c r="X442" s="1"/>
      <c r="Y442" s="1"/>
      <c r="Z442" s="1"/>
      <c r="AA442" s="1"/>
    </row>
    <row r="443" spans="1:27" ht="12.75" customHeight="1">
      <c r="A443" s="1"/>
      <c r="B443" s="10" t="str">
        <f ca="1">IFERROR(__xludf.DUMMYFUNCTION("""COMPUTED_VALUE"""),"CONSTRUCCIÓN ALUMBRADO SOLAR Y RECAMBIO DE LUMINARIAS, LOCALIDAD RETAMO ALTO DEL CARMEN.")</f>
        <v>CONSTRUCCIÓN ALUMBRADO SOLAR Y RECAMBIO DE LUMINARIAS, LOCALIDAD RETAMO ALTO DEL CARMEN.</v>
      </c>
      <c r="C443" s="10" t="str">
        <f ca="1">IFERROR(__xludf.DUMMYFUNCTION("""COMPUTED_VALUE"""),"3302240702-C")</f>
        <v>3302240702-C</v>
      </c>
      <c r="D443" s="26" t="str">
        <f t="shared" ca="1" si="2"/>
        <v xml:space="preserve"> ALTO DEL CARMEN</v>
      </c>
      <c r="E443" s="10" t="str">
        <f ca="1">IFERROR(__xludf.DUMMYFUNCTION("""COMPUTED_VALUE"""),"Guía Operativa")</f>
        <v>Guía Operativa</v>
      </c>
      <c r="F443" s="10" t="str">
        <f ca="1">IFERROR(__xludf.DUMMYFUNCTION("""COMPUTED_VALUE"""),"MUNICIPALIDAD DE ALTO DEL CARMEN")</f>
        <v>MUNICIPALIDAD DE ALTO DEL CARMEN</v>
      </c>
      <c r="G443" s="71">
        <f ca="1">IFERROR(__xludf.DUMMYFUNCTION("""COMPUTED_VALUE"""),227065685)</f>
        <v>227065685</v>
      </c>
      <c r="H443" s="10" t="str">
        <f ca="1">IFERROR(__xludf.DUMMYFUNCTION("""COMPUTED_VALUE"""),"Resolución")</f>
        <v>Resolución</v>
      </c>
      <c r="I443" s="10" t="str">
        <f ca="1">IFERROR(__xludf.DUMMYFUNCTION("""COMPUTED_VALUE"""),"Obra")</f>
        <v>Obra</v>
      </c>
      <c r="J443" s="10" t="str">
        <f ca="1">IFERROR(__xludf.DUMMYFUNCTION("""COMPUTED_VALUE"""),"Cumplir con normativa y reglamentos internos del programa en base a los objetivos.")</f>
        <v>Cumplir con normativa y reglamentos internos del programa en base a los objetivos.</v>
      </c>
      <c r="K443" s="71">
        <f ca="1">IFERROR(__xludf.DUMMYFUNCTION("""COMPUTED_VALUE"""),227065685)</f>
        <v>227065685</v>
      </c>
      <c r="L443" s="27">
        <f ca="1">IFERROR(__xludf.DUMMYFUNCTION("""COMPUTED_VALUE"""),1)</f>
        <v>1</v>
      </c>
      <c r="M443" s="10" t="str">
        <f ca="1">IFERROR(__xludf.DUMMYFUNCTION("""COMPUTED_VALUE"""),"11690/2024")</f>
        <v>11690/2024</v>
      </c>
      <c r="N443" s="10" t="str">
        <f ca="1">IFERROR(__xludf.DUMMYFUNCTION("""COMPUTED_VALUE"""),"PMB")</f>
        <v>PMB</v>
      </c>
      <c r="O443" s="59"/>
      <c r="P443" s="1"/>
      <c r="Q443" s="1"/>
      <c r="R443" s="1"/>
      <c r="S443" s="1"/>
      <c r="T443" s="1"/>
      <c r="U443" s="1"/>
      <c r="V443" s="1"/>
      <c r="W443" s="1"/>
      <c r="X443" s="1"/>
      <c r="Y443" s="1"/>
      <c r="Z443" s="1"/>
      <c r="AA443" s="1"/>
    </row>
    <row r="444" spans="1:27" ht="12.75" customHeight="1">
      <c r="A444" s="1"/>
      <c r="B444" s="10" t="str">
        <f ca="1">IFERROR(__xludf.DUMMYFUNCTION("""COMPUTED_VALUE"""),"MEJORAMIENTO INTEGRAL SISTEMA SANEAMIENTO RURAL MOLINEROS MATA REDONDA, COMUNA DE PERALILLO")</f>
        <v>MEJORAMIENTO INTEGRAL SISTEMA SANEAMIENTO RURAL MOLINEROS MATA REDONDA, COMUNA DE PERALILLO</v>
      </c>
      <c r="C444" s="10" t="str">
        <f ca="1">IFERROR(__xludf.DUMMYFUNCTION("""COMPUTED_VALUE"""),"6307230301-C")</f>
        <v>6307230301-C</v>
      </c>
      <c r="D444" s="26" t="str">
        <f t="shared" ca="1" si="2"/>
        <v xml:space="preserve"> PERALILLO</v>
      </c>
      <c r="E444" s="10" t="str">
        <f ca="1">IFERROR(__xludf.DUMMYFUNCTION("""COMPUTED_VALUE"""),"Guía Operativa")</f>
        <v>Guía Operativa</v>
      </c>
      <c r="F444" s="10" t="str">
        <f ca="1">IFERROR(__xludf.DUMMYFUNCTION("""COMPUTED_VALUE"""),"MUNICIPALIDAD DE PERALILLO")</f>
        <v>MUNICIPALIDAD DE PERALILLO</v>
      </c>
      <c r="G444" s="71">
        <f ca="1">IFERROR(__xludf.DUMMYFUNCTION("""COMPUTED_VALUE"""),92396160)</f>
        <v>92396160</v>
      </c>
      <c r="H444" s="10" t="str">
        <f ca="1">IFERROR(__xludf.DUMMYFUNCTION("""COMPUTED_VALUE"""),"Resolución")</f>
        <v>Resolución</v>
      </c>
      <c r="I444" s="10" t="str">
        <f ca="1">IFERROR(__xludf.DUMMYFUNCTION("""COMPUTED_VALUE"""),"Diseño")</f>
        <v>Diseño</v>
      </c>
      <c r="J444" s="10" t="str">
        <f ca="1">IFERROR(__xludf.DUMMYFUNCTION("""COMPUTED_VALUE"""),"Cumplir con normativa y reglamentos internos del programa en base a los objetivos.")</f>
        <v>Cumplir con normativa y reglamentos internos del programa en base a los objetivos.</v>
      </c>
      <c r="K444" s="71">
        <f ca="1">IFERROR(__xludf.DUMMYFUNCTION("""COMPUTED_VALUE"""),92396160)</f>
        <v>92396160</v>
      </c>
      <c r="L444" s="27">
        <f ca="1">IFERROR(__xludf.DUMMYFUNCTION("""COMPUTED_VALUE"""),1)</f>
        <v>1</v>
      </c>
      <c r="M444" s="10" t="str">
        <f ca="1">IFERROR(__xludf.DUMMYFUNCTION("""COMPUTED_VALUE"""),"11586/2024")</f>
        <v>11586/2024</v>
      </c>
      <c r="N444" s="10" t="str">
        <f ca="1">IFERROR(__xludf.DUMMYFUNCTION("""COMPUTED_VALUE"""),"PMB")</f>
        <v>PMB</v>
      </c>
      <c r="O444" s="59"/>
      <c r="P444" s="1"/>
      <c r="Q444" s="1"/>
      <c r="R444" s="1"/>
      <c r="S444" s="1"/>
      <c r="T444" s="1"/>
      <c r="U444" s="1"/>
      <c r="V444" s="1"/>
      <c r="W444" s="1"/>
      <c r="X444" s="1"/>
      <c r="Y444" s="1"/>
      <c r="Z444" s="1"/>
      <c r="AA444" s="1"/>
    </row>
    <row r="445" spans="1:27" ht="12.75" customHeight="1">
      <c r="A445" s="1"/>
      <c r="B445" s="10" t="str">
        <f ca="1">IFERROR(__xludf.DUMMYFUNCTION("""COMPUTED_VALUE"""),"ESTUDIO DE PREFACTIBILIDAD DE ALTERNATIVAS DE SOLUCIÓN PARA LA GESTIÓN DE RESIDUOS ORGÁNICOS E INORGÁNICOS DE LA COMUNA DE VIÑA DEL MAR")</f>
        <v>ESTUDIO DE PREFACTIBILIDAD DE ALTERNATIVAS DE SOLUCIÓN PARA LA GESTIÓN DE RESIDUOS ORGÁNICOS E INORGÁNICOS DE LA COMUNA DE VIÑA DEL MAR</v>
      </c>
      <c r="C445" s="10" t="str">
        <f ca="1">IFERROR(__xludf.DUMMYFUNCTION("""COMPUTED_VALUE"""),"5109230402-C")</f>
        <v>5109230402-C</v>
      </c>
      <c r="D445" s="26" t="str">
        <f t="shared" ca="1" si="2"/>
        <v xml:space="preserve"> VIÑA DEL MAR</v>
      </c>
      <c r="E445" s="10" t="str">
        <f ca="1">IFERROR(__xludf.DUMMYFUNCTION("""COMPUTED_VALUE"""),"Guía Operativa")</f>
        <v>Guía Operativa</v>
      </c>
      <c r="F445" s="10" t="str">
        <f ca="1">IFERROR(__xludf.DUMMYFUNCTION("""COMPUTED_VALUE"""),"MUNICIPALIDAD DE VIÑA DEL MAR")</f>
        <v>MUNICIPALIDAD DE VIÑA DEL MAR</v>
      </c>
      <c r="G445" s="71">
        <f ca="1">IFERROR(__xludf.DUMMYFUNCTION("""COMPUTED_VALUE"""),97865005)</f>
        <v>97865005</v>
      </c>
      <c r="H445" s="10" t="str">
        <f ca="1">IFERROR(__xludf.DUMMYFUNCTION("""COMPUTED_VALUE"""),"Resolución")</f>
        <v>Resolución</v>
      </c>
      <c r="I445" s="10" t="str">
        <f ca="1">IFERROR(__xludf.DUMMYFUNCTION("""COMPUTED_VALUE"""),"Estudio")</f>
        <v>Estudio</v>
      </c>
      <c r="J445" s="10" t="str">
        <f ca="1">IFERROR(__xludf.DUMMYFUNCTION("""COMPUTED_VALUE"""),"Cumplir con normativa y reglamentos internos del programa en base a los objetivos.")</f>
        <v>Cumplir con normativa y reglamentos internos del programa en base a los objetivos.</v>
      </c>
      <c r="K445" s="71">
        <f ca="1">IFERROR(__xludf.DUMMYFUNCTION("""COMPUTED_VALUE"""),97865005)</f>
        <v>97865005</v>
      </c>
      <c r="L445" s="27">
        <f ca="1">IFERROR(__xludf.DUMMYFUNCTION("""COMPUTED_VALUE"""),1)</f>
        <v>1</v>
      </c>
      <c r="M445" s="10" t="str">
        <f ca="1">IFERROR(__xludf.DUMMYFUNCTION("""COMPUTED_VALUE"""),"11628/2024")</f>
        <v>11628/2024</v>
      </c>
      <c r="N445" s="10" t="str">
        <f ca="1">IFERROR(__xludf.DUMMYFUNCTION("""COMPUTED_VALUE"""),"PMB")</f>
        <v>PMB</v>
      </c>
      <c r="O445" s="59"/>
      <c r="P445" s="1"/>
      <c r="Q445" s="1"/>
      <c r="R445" s="1"/>
      <c r="S445" s="1"/>
      <c r="T445" s="1"/>
      <c r="U445" s="1"/>
      <c r="V445" s="1"/>
      <c r="W445" s="1"/>
      <c r="X445" s="1"/>
      <c r="Y445" s="1"/>
      <c r="Z445" s="1"/>
      <c r="AA445" s="1"/>
    </row>
    <row r="446" spans="1:27" ht="12.75" customHeight="1">
      <c r="A446" s="1"/>
      <c r="B446" s="10" t="str">
        <f ca="1">IFERROR(__xludf.DUMMYFUNCTION("""COMPUTED_VALUE"""),"2º PROYECTO DE CONSTRUCCIÓN 20 SOLUCIONES SANITARIAS PARA POBLADORES DE LA COMUNA DE GENERAL LAGOS")</f>
        <v>2º PROYECTO DE CONSTRUCCIÓN 20 SOLUCIONES SANITARIAS PARA POBLADORES DE LA COMUNA DE GENERAL LAGOS</v>
      </c>
      <c r="C446" s="10" t="str">
        <f ca="1">IFERROR(__xludf.DUMMYFUNCTION("""COMPUTED_VALUE"""),"15202240701-C")</f>
        <v>15202240701-C</v>
      </c>
      <c r="D446" s="26" t="str">
        <f t="shared" ca="1" si="2"/>
        <v xml:space="preserve"> GENERAL LAGOS</v>
      </c>
      <c r="E446" s="10" t="str">
        <f ca="1">IFERROR(__xludf.DUMMYFUNCTION("""COMPUTED_VALUE"""),"Guía Operativa")</f>
        <v>Guía Operativa</v>
      </c>
      <c r="F446" s="10" t="str">
        <f ca="1">IFERROR(__xludf.DUMMYFUNCTION("""COMPUTED_VALUE"""),"MUNICIPALIDAD DE GENERAL LAGOS")</f>
        <v>MUNICIPALIDAD DE GENERAL LAGOS</v>
      </c>
      <c r="G446" s="71">
        <f ca="1">IFERROR(__xludf.DUMMYFUNCTION("""COMPUTED_VALUE"""),250500067)</f>
        <v>250500067</v>
      </c>
      <c r="H446" s="10" t="str">
        <f ca="1">IFERROR(__xludf.DUMMYFUNCTION("""COMPUTED_VALUE"""),"Resolución")</f>
        <v>Resolución</v>
      </c>
      <c r="I446" s="10" t="str">
        <f ca="1">IFERROR(__xludf.DUMMYFUNCTION("""COMPUTED_VALUE"""),"Obra")</f>
        <v>Obra</v>
      </c>
      <c r="J446" s="10" t="str">
        <f ca="1">IFERROR(__xludf.DUMMYFUNCTION("""COMPUTED_VALUE"""),"Cumplir con normativa y reglamentos internos del programa en base a los objetivos.")</f>
        <v>Cumplir con normativa y reglamentos internos del programa en base a los objetivos.</v>
      </c>
      <c r="K446" s="71">
        <f ca="1">IFERROR(__xludf.DUMMYFUNCTION("""COMPUTED_VALUE"""),250500067)</f>
        <v>250500067</v>
      </c>
      <c r="L446" s="27">
        <f ca="1">IFERROR(__xludf.DUMMYFUNCTION("""COMPUTED_VALUE"""),1)</f>
        <v>1</v>
      </c>
      <c r="M446" s="10" t="str">
        <f ca="1">IFERROR(__xludf.DUMMYFUNCTION("""COMPUTED_VALUE"""),"12113/2024")</f>
        <v>12113/2024</v>
      </c>
      <c r="N446" s="10" t="str">
        <f ca="1">IFERROR(__xludf.DUMMYFUNCTION("""COMPUTED_VALUE"""),"PMB")</f>
        <v>PMB</v>
      </c>
      <c r="O446" s="59"/>
      <c r="P446" s="1"/>
      <c r="Q446" s="1"/>
      <c r="R446" s="1"/>
      <c r="S446" s="1"/>
      <c r="T446" s="1"/>
      <c r="U446" s="1"/>
      <c r="V446" s="1"/>
      <c r="W446" s="1"/>
      <c r="X446" s="1"/>
      <c r="Y446" s="1"/>
      <c r="Z446" s="1"/>
      <c r="AA446" s="1"/>
    </row>
    <row r="447" spans="1:27" ht="12.75" customHeight="1">
      <c r="A447" s="1"/>
      <c r="B447" s="10" t="str">
        <f ca="1">IFERROR(__xludf.DUMMYFUNCTION("""COMPUTED_VALUE"""),"ESTUDIO HIDROGEOLÓGICO DIVERSOS SECTORES RURALES, COMUNA DE LOS SAUCES")</f>
        <v>ESTUDIO HIDROGEOLÓGICO DIVERSOS SECTORES RURALES, COMUNA DE LOS SAUCES</v>
      </c>
      <c r="C447" s="10" t="str">
        <f ca="1">IFERROR(__xludf.DUMMYFUNCTION("""COMPUTED_VALUE"""),"9206230401-C")</f>
        <v>9206230401-C</v>
      </c>
      <c r="D447" s="26" t="str">
        <f t="shared" ca="1" si="2"/>
        <v xml:space="preserve"> LOS SAUCES</v>
      </c>
      <c r="E447" s="10" t="str">
        <f ca="1">IFERROR(__xludf.DUMMYFUNCTION("""COMPUTED_VALUE"""),"Guía Operativa")</f>
        <v>Guía Operativa</v>
      </c>
      <c r="F447" s="10" t="str">
        <f ca="1">IFERROR(__xludf.DUMMYFUNCTION("""COMPUTED_VALUE"""),"MUNICIPALIDAD DE LOS SAUCES")</f>
        <v>MUNICIPALIDAD DE LOS SAUCES</v>
      </c>
      <c r="G447" s="71">
        <f ca="1">IFERROR(__xludf.DUMMYFUNCTION("""COMPUTED_VALUE"""),116508140)</f>
        <v>116508140</v>
      </c>
      <c r="H447" s="10" t="str">
        <f ca="1">IFERROR(__xludf.DUMMYFUNCTION("""COMPUTED_VALUE"""),"Resolución")</f>
        <v>Resolución</v>
      </c>
      <c r="I447" s="10" t="str">
        <f ca="1">IFERROR(__xludf.DUMMYFUNCTION("""COMPUTED_VALUE"""),"Estudio")</f>
        <v>Estudio</v>
      </c>
      <c r="J447" s="10" t="str">
        <f ca="1">IFERROR(__xludf.DUMMYFUNCTION("""COMPUTED_VALUE"""),"Cumplir con normativa y reglamentos internos del programa en base a los objetivos.")</f>
        <v>Cumplir con normativa y reglamentos internos del programa en base a los objetivos.</v>
      </c>
      <c r="K447" s="71">
        <f ca="1">IFERROR(__xludf.DUMMYFUNCTION("""COMPUTED_VALUE"""),116508140)</f>
        <v>116508140</v>
      </c>
      <c r="L447" s="27">
        <f ca="1">IFERROR(__xludf.DUMMYFUNCTION("""COMPUTED_VALUE"""),1)</f>
        <v>1</v>
      </c>
      <c r="M447" s="10" t="str">
        <f ca="1">IFERROR(__xludf.DUMMYFUNCTION("""COMPUTED_VALUE"""),"11540/2024")</f>
        <v>11540/2024</v>
      </c>
      <c r="N447" s="10" t="str">
        <f ca="1">IFERROR(__xludf.DUMMYFUNCTION("""COMPUTED_VALUE"""),"PMB")</f>
        <v>PMB</v>
      </c>
      <c r="O447" s="59"/>
      <c r="P447" s="1"/>
      <c r="Q447" s="1"/>
      <c r="R447" s="1"/>
      <c r="S447" s="1"/>
      <c r="T447" s="1"/>
      <c r="U447" s="1"/>
      <c r="V447" s="1"/>
      <c r="W447" s="1"/>
      <c r="X447" s="1"/>
      <c r="Y447" s="1"/>
      <c r="Z447" s="1"/>
      <c r="AA447" s="1"/>
    </row>
    <row r="448" spans="1:27" ht="12.75" customHeight="1">
      <c r="A448" s="1"/>
      <c r="B448" s="10" t="str">
        <f ca="1">IFERROR(__xludf.DUMMYFUNCTION("""COMPUTED_VALUE"""),"INSTALACION SISTEMA PANELES FOTOVOLTAICOS 6 VIVIENDAS SECTOR RURAL COMUNA DE QUIRIHUE")</f>
        <v>INSTALACION SISTEMA PANELES FOTOVOLTAICOS 6 VIVIENDAS SECTOR RURAL COMUNA DE QUIRIHUE</v>
      </c>
      <c r="C448" s="10" t="str">
        <f ca="1">IFERROR(__xludf.DUMMYFUNCTION("""COMPUTED_VALUE"""),"16201230703-C")</f>
        <v>16201230703-C</v>
      </c>
      <c r="D448" s="26" t="str">
        <f t="shared" ca="1" si="2"/>
        <v xml:space="preserve"> QUIRIHUE</v>
      </c>
      <c r="E448" s="10" t="str">
        <f ca="1">IFERROR(__xludf.DUMMYFUNCTION("""COMPUTED_VALUE"""),"Guía Operativa")</f>
        <v>Guía Operativa</v>
      </c>
      <c r="F448" s="10" t="str">
        <f ca="1">IFERROR(__xludf.DUMMYFUNCTION("""COMPUTED_VALUE"""),"MUNICIPALIDAD DE QUIRIHUE")</f>
        <v>MUNICIPALIDAD DE QUIRIHUE</v>
      </c>
      <c r="G448" s="71">
        <f ca="1">IFERROR(__xludf.DUMMYFUNCTION("""COMPUTED_VALUE"""),98368760)</f>
        <v>98368760</v>
      </c>
      <c r="H448" s="10" t="str">
        <f ca="1">IFERROR(__xludf.DUMMYFUNCTION("""COMPUTED_VALUE"""),"Resolución")</f>
        <v>Resolución</v>
      </c>
      <c r="I448" s="10" t="str">
        <f ca="1">IFERROR(__xludf.DUMMYFUNCTION("""COMPUTED_VALUE"""),"Obra")</f>
        <v>Obra</v>
      </c>
      <c r="J448" s="10" t="str">
        <f ca="1">IFERROR(__xludf.DUMMYFUNCTION("""COMPUTED_VALUE"""),"Cumplir con normativa y reglamentos internos del programa en base a los objetivos.")</f>
        <v>Cumplir con normativa y reglamentos internos del programa en base a los objetivos.</v>
      </c>
      <c r="K448" s="71">
        <f ca="1">IFERROR(__xludf.DUMMYFUNCTION("""COMPUTED_VALUE"""),98368760)</f>
        <v>98368760</v>
      </c>
      <c r="L448" s="27">
        <f ca="1">IFERROR(__xludf.DUMMYFUNCTION("""COMPUTED_VALUE"""),1)</f>
        <v>1</v>
      </c>
      <c r="M448" s="10" t="str">
        <f ca="1">IFERROR(__xludf.DUMMYFUNCTION("""COMPUTED_VALUE"""),"11542/2024")</f>
        <v>11542/2024</v>
      </c>
      <c r="N448" s="10" t="str">
        <f ca="1">IFERROR(__xludf.DUMMYFUNCTION("""COMPUTED_VALUE"""),"PMB")</f>
        <v>PMB</v>
      </c>
      <c r="O448" s="59"/>
      <c r="P448" s="1"/>
      <c r="Q448" s="1"/>
      <c r="R448" s="1"/>
      <c r="S448" s="1"/>
      <c r="T448" s="1"/>
      <c r="U448" s="1"/>
      <c r="V448" s="1"/>
      <c r="W448" s="1"/>
      <c r="X448" s="1"/>
      <c r="Y448" s="1"/>
      <c r="Z448" s="1"/>
      <c r="AA448" s="1"/>
    </row>
    <row r="449" spans="1:27" ht="12.75" customHeight="1">
      <c r="A449" s="1"/>
      <c r="B449" s="10" t="str">
        <f ca="1">IFERROR(__xludf.DUMMYFUNCTION("""COMPUTED_VALUE"""),"ASISTENCIA TÉCNICA “PREPARACIÓN Y EVALUACIÓN DE PROYECTOS DE SANEAMIENTO BÁSICO EN DIVERSOS SECTORES DE LA COMUNA DE OLMUÉ""")</f>
        <v>ASISTENCIA TÉCNICA “PREPARACIÓN Y EVALUACIÓN DE PROYECTOS DE SANEAMIENTO BÁSICO EN DIVERSOS SECTORES DE LA COMUNA DE OLMUÉ"</v>
      </c>
      <c r="C449" s="10" t="str">
        <f ca="1">IFERROR(__xludf.DUMMYFUNCTION("""COMPUTED_VALUE"""),"5803231001-C")</f>
        <v>5803231001-C</v>
      </c>
      <c r="D449" s="26" t="str">
        <f t="shared" ca="1" si="2"/>
        <v xml:space="preserve"> OLMUÉ</v>
      </c>
      <c r="E449" s="10" t="str">
        <f ca="1">IFERROR(__xludf.DUMMYFUNCTION("""COMPUTED_VALUE"""),"Guía Operativa")</f>
        <v>Guía Operativa</v>
      </c>
      <c r="F449" s="10" t="str">
        <f ca="1">IFERROR(__xludf.DUMMYFUNCTION("""COMPUTED_VALUE"""),"MUNICIPALIDAD DE OLMUÉ")</f>
        <v>MUNICIPALIDAD DE OLMUÉ</v>
      </c>
      <c r="G449" s="71">
        <f ca="1">IFERROR(__xludf.DUMMYFUNCTION("""COMPUTED_VALUE"""),126815117)</f>
        <v>126815117</v>
      </c>
      <c r="H449" s="10" t="str">
        <f ca="1">IFERROR(__xludf.DUMMYFUNCTION("""COMPUTED_VALUE"""),"Resolución")</f>
        <v>Resolución</v>
      </c>
      <c r="I449" s="10" t="str">
        <f ca="1">IFERROR(__xludf.DUMMYFUNCTION("""COMPUTED_VALUE"""),"Asistencia Técnica")</f>
        <v>Asistencia Técnica</v>
      </c>
      <c r="J449" s="10" t="str">
        <f ca="1">IFERROR(__xludf.DUMMYFUNCTION("""COMPUTED_VALUE"""),"Cumplir con normativa y reglamentos internos del programa en base a los objetivos.")</f>
        <v>Cumplir con normativa y reglamentos internos del programa en base a los objetivos.</v>
      </c>
      <c r="K449" s="71">
        <f ca="1">IFERROR(__xludf.DUMMYFUNCTION("""COMPUTED_VALUE"""),126815117)</f>
        <v>126815117</v>
      </c>
      <c r="L449" s="27">
        <f ca="1">IFERROR(__xludf.DUMMYFUNCTION("""COMPUTED_VALUE"""),1)</f>
        <v>1</v>
      </c>
      <c r="M449" s="10" t="str">
        <f ca="1">IFERROR(__xludf.DUMMYFUNCTION("""COMPUTED_VALUE"""),"11891/2024")</f>
        <v>11891/2024</v>
      </c>
      <c r="N449" s="10" t="str">
        <f ca="1">IFERROR(__xludf.DUMMYFUNCTION("""COMPUTED_VALUE"""),"PMB")</f>
        <v>PMB</v>
      </c>
      <c r="O449" s="59"/>
      <c r="P449" s="1"/>
      <c r="Q449" s="1"/>
      <c r="R449" s="1"/>
      <c r="S449" s="1"/>
      <c r="T449" s="1"/>
      <c r="U449" s="1"/>
      <c r="V449" s="1"/>
      <c r="W449" s="1"/>
      <c r="X449" s="1"/>
      <c r="Y449" s="1"/>
      <c r="Z449" s="1"/>
      <c r="AA449" s="1"/>
    </row>
    <row r="450" spans="1:27" ht="12.75" customHeight="1">
      <c r="A450" s="1"/>
      <c r="B450" s="10" t="str">
        <f ca="1">IFERROR(__xludf.DUMMYFUNCTION("""COMPUTED_VALUE"""),"ILUMINACIÓN PEATONAL AV. CONCHA Y TORO, COMUNA DE PIRQUE")</f>
        <v>ILUMINACIÓN PEATONAL AV. CONCHA Y TORO, COMUNA DE PIRQUE</v>
      </c>
      <c r="C450" s="10" t="str">
        <f ca="1">IFERROR(__xludf.DUMMYFUNCTION("""COMPUTED_VALUE"""),"13202230704-C")</f>
        <v>13202230704-C</v>
      </c>
      <c r="D450" s="26" t="str">
        <f t="shared" ca="1" si="2"/>
        <v xml:space="preserve"> PIRQUE</v>
      </c>
      <c r="E450" s="10" t="str">
        <f ca="1">IFERROR(__xludf.DUMMYFUNCTION("""COMPUTED_VALUE"""),"Guía Operativa")</f>
        <v>Guía Operativa</v>
      </c>
      <c r="F450" s="10" t="str">
        <f ca="1">IFERROR(__xludf.DUMMYFUNCTION("""COMPUTED_VALUE"""),"MUNICIPALIDAD DE PIRQUE")</f>
        <v>MUNICIPALIDAD DE PIRQUE</v>
      </c>
      <c r="G450" s="71">
        <f ca="1">IFERROR(__xludf.DUMMYFUNCTION("""COMPUTED_VALUE"""),116416808)</f>
        <v>116416808</v>
      </c>
      <c r="H450" s="10" t="str">
        <f ca="1">IFERROR(__xludf.DUMMYFUNCTION("""COMPUTED_VALUE"""),"Resolución")</f>
        <v>Resolución</v>
      </c>
      <c r="I450" s="10" t="str">
        <f ca="1">IFERROR(__xludf.DUMMYFUNCTION("""COMPUTED_VALUE"""),"Obra")</f>
        <v>Obra</v>
      </c>
      <c r="J450" s="10" t="str">
        <f ca="1">IFERROR(__xludf.DUMMYFUNCTION("""COMPUTED_VALUE"""),"Cumplir con normativa y reglamentos internos del programa en base a los objetivos.")</f>
        <v>Cumplir con normativa y reglamentos internos del programa en base a los objetivos.</v>
      </c>
      <c r="K450" s="71">
        <f ca="1">IFERROR(__xludf.DUMMYFUNCTION("""COMPUTED_VALUE"""),116416808)</f>
        <v>116416808</v>
      </c>
      <c r="L450" s="27">
        <f ca="1">IFERROR(__xludf.DUMMYFUNCTION("""COMPUTED_VALUE"""),1)</f>
        <v>1</v>
      </c>
      <c r="M450" s="10" t="str">
        <f ca="1">IFERROR(__xludf.DUMMYFUNCTION("""COMPUTED_VALUE"""),"11696/2024")</f>
        <v>11696/2024</v>
      </c>
      <c r="N450" s="10" t="str">
        <f ca="1">IFERROR(__xludf.DUMMYFUNCTION("""COMPUTED_VALUE"""),"PMB")</f>
        <v>PMB</v>
      </c>
      <c r="O450" s="59"/>
      <c r="P450" s="1"/>
      <c r="Q450" s="1"/>
      <c r="R450" s="1"/>
      <c r="S450" s="1"/>
      <c r="T450" s="1"/>
      <c r="U450" s="1"/>
      <c r="V450" s="1"/>
      <c r="W450" s="1"/>
      <c r="X450" s="1"/>
      <c r="Y450" s="1"/>
      <c r="Z450" s="1"/>
      <c r="AA450" s="1"/>
    </row>
    <row r="451" spans="1:27" ht="12.75" customHeight="1">
      <c r="A451" s="1"/>
      <c r="B451" s="10" t="str">
        <f ca="1">IFERROR(__xludf.DUMMYFUNCTION("""COMPUTED_VALUE"""),"MEJORAMIENTO DE TRAMOS DE ILUMINACIÓN PÚBLICA VILLA SUR DE LA COMUNA PEDRO AGUIRRE CERDA")</f>
        <v>MEJORAMIENTO DE TRAMOS DE ILUMINACIÓN PÚBLICA VILLA SUR DE LA COMUNA PEDRO AGUIRRE CERDA</v>
      </c>
      <c r="C451" s="10" t="str">
        <f ca="1">IFERROR(__xludf.DUMMYFUNCTION("""COMPUTED_VALUE"""),"13121230704-C")</f>
        <v>13121230704-C</v>
      </c>
      <c r="D451" s="26" t="str">
        <f t="shared" ca="1" si="2"/>
        <v xml:space="preserve"> PEDRO AGUIRRE CERDA</v>
      </c>
      <c r="E451" s="10" t="str">
        <f ca="1">IFERROR(__xludf.DUMMYFUNCTION("""COMPUTED_VALUE"""),"Guía Operativa")</f>
        <v>Guía Operativa</v>
      </c>
      <c r="F451" s="10" t="str">
        <f ca="1">IFERROR(__xludf.DUMMYFUNCTION("""COMPUTED_VALUE"""),"MUNICIPALIDAD DE PEDRO AGUIRRE CERDA")</f>
        <v>MUNICIPALIDAD DE PEDRO AGUIRRE CERDA</v>
      </c>
      <c r="G451" s="71">
        <f ca="1">IFERROR(__xludf.DUMMYFUNCTION("""COMPUTED_VALUE"""),312629195)</f>
        <v>312629195</v>
      </c>
      <c r="H451" s="10" t="str">
        <f ca="1">IFERROR(__xludf.DUMMYFUNCTION("""COMPUTED_VALUE"""),"Resolución")</f>
        <v>Resolución</v>
      </c>
      <c r="I451" s="10" t="str">
        <f ca="1">IFERROR(__xludf.DUMMYFUNCTION("""COMPUTED_VALUE"""),"Obra")</f>
        <v>Obra</v>
      </c>
      <c r="J451" s="10" t="str">
        <f ca="1">IFERROR(__xludf.DUMMYFUNCTION("""COMPUTED_VALUE"""),"Cumplir con normativa y reglamentos internos del programa en base a los objetivos.")</f>
        <v>Cumplir con normativa y reglamentos internos del programa en base a los objetivos.</v>
      </c>
      <c r="K451" s="71">
        <f ca="1">IFERROR(__xludf.DUMMYFUNCTION("""COMPUTED_VALUE"""),312629195)</f>
        <v>312629195</v>
      </c>
      <c r="L451" s="27">
        <f ca="1">IFERROR(__xludf.DUMMYFUNCTION("""COMPUTED_VALUE"""),1)</f>
        <v>1</v>
      </c>
      <c r="M451" s="10" t="str">
        <f ca="1">IFERROR(__xludf.DUMMYFUNCTION("""COMPUTED_VALUE"""),"11548/2024")</f>
        <v>11548/2024</v>
      </c>
      <c r="N451" s="10" t="str">
        <f ca="1">IFERROR(__xludf.DUMMYFUNCTION("""COMPUTED_VALUE"""),"PMB")</f>
        <v>PMB</v>
      </c>
      <c r="O451" s="59"/>
      <c r="P451" s="1"/>
      <c r="Q451" s="1"/>
      <c r="R451" s="1"/>
      <c r="S451" s="1"/>
      <c r="T451" s="1"/>
      <c r="U451" s="1"/>
      <c r="V451" s="1"/>
      <c r="W451" s="1"/>
      <c r="X451" s="1"/>
      <c r="Y451" s="1"/>
      <c r="Z451" s="1"/>
      <c r="AA451" s="1"/>
    </row>
    <row r="452" spans="1:27" ht="12.75" customHeight="1">
      <c r="A452" s="1"/>
      <c r="B452" s="10" t="str">
        <f ca="1">IFERROR(__xludf.DUMMYFUNCTION("""COMPUTED_VALUE"""),"RECAMBIO DE ILUMINACIÓN EN PLAZA COLO-COLO, SAN JOAQUÍN")</f>
        <v>RECAMBIO DE ILUMINACIÓN EN PLAZA COLO-COLO, SAN JOAQUÍN</v>
      </c>
      <c r="C452" s="10" t="str">
        <f ca="1">IFERROR(__xludf.DUMMYFUNCTION("""COMPUTED_VALUE"""),"13129230704-C")</f>
        <v>13129230704-C</v>
      </c>
      <c r="D452" s="26" t="str">
        <f t="shared" ca="1" si="2"/>
        <v xml:space="preserve"> SAN JOAQUÍN</v>
      </c>
      <c r="E452" s="10" t="str">
        <f ca="1">IFERROR(__xludf.DUMMYFUNCTION("""COMPUTED_VALUE"""),"Guía Operativa")</f>
        <v>Guía Operativa</v>
      </c>
      <c r="F452" s="10" t="str">
        <f ca="1">IFERROR(__xludf.DUMMYFUNCTION("""COMPUTED_VALUE"""),"MUNICIPALIDAD DE SAN JOAQUÍN")</f>
        <v>MUNICIPALIDAD DE SAN JOAQUÍN</v>
      </c>
      <c r="G452" s="71">
        <f ca="1">IFERROR(__xludf.DUMMYFUNCTION("""COMPUTED_VALUE"""),39595625)</f>
        <v>39595625</v>
      </c>
      <c r="H452" s="10" t="str">
        <f ca="1">IFERROR(__xludf.DUMMYFUNCTION("""COMPUTED_VALUE"""),"Resolución")</f>
        <v>Resolución</v>
      </c>
      <c r="I452" s="10" t="str">
        <f ca="1">IFERROR(__xludf.DUMMYFUNCTION("""COMPUTED_VALUE"""),"Obra")</f>
        <v>Obra</v>
      </c>
      <c r="J452" s="10" t="str">
        <f ca="1">IFERROR(__xludf.DUMMYFUNCTION("""COMPUTED_VALUE"""),"Cumplir con normativa y reglamentos internos del programa en base a los objetivos.")</f>
        <v>Cumplir con normativa y reglamentos internos del programa en base a los objetivos.</v>
      </c>
      <c r="K452" s="71">
        <f ca="1">IFERROR(__xludf.DUMMYFUNCTION("""COMPUTED_VALUE"""),39595625)</f>
        <v>39595625</v>
      </c>
      <c r="L452" s="27">
        <f ca="1">IFERROR(__xludf.DUMMYFUNCTION("""COMPUTED_VALUE"""),1)</f>
        <v>1</v>
      </c>
      <c r="M452" s="10" t="str">
        <f ca="1">IFERROR(__xludf.DUMMYFUNCTION("""COMPUTED_VALUE"""),"11547/2024")</f>
        <v>11547/2024</v>
      </c>
      <c r="N452" s="10" t="str">
        <f ca="1">IFERROR(__xludf.DUMMYFUNCTION("""COMPUTED_VALUE"""),"PMB")</f>
        <v>PMB</v>
      </c>
      <c r="O452" s="59"/>
      <c r="P452" s="1"/>
      <c r="Q452" s="1"/>
      <c r="R452" s="1"/>
      <c r="S452" s="1"/>
      <c r="T452" s="1"/>
      <c r="U452" s="1"/>
      <c r="V452" s="1"/>
      <c r="W452" s="1"/>
      <c r="X452" s="1"/>
      <c r="Y452" s="1"/>
      <c r="Z452" s="1"/>
      <c r="AA452" s="1"/>
    </row>
    <row r="453" spans="1:27" ht="12.75" customHeight="1">
      <c r="A453" s="1"/>
      <c r="B453" s="10" t="str">
        <f ca="1">IFERROR(__xludf.DUMMYFUNCTION("""COMPUTED_VALUE"""),"CONSTRUCCION Y HABILITACION POZO PROFUNDO SECTOR QUILQUILCO , COMUNA SAN PABLO")</f>
        <v>CONSTRUCCION Y HABILITACION POZO PROFUNDO SECTOR QUILQUILCO , COMUNA SAN PABLO</v>
      </c>
      <c r="C453" s="10" t="str">
        <f ca="1">IFERROR(__xludf.DUMMYFUNCTION("""COMPUTED_VALUE"""),"10307230701-C")</f>
        <v>10307230701-C</v>
      </c>
      <c r="D453" s="26" t="str">
        <f t="shared" ca="1" si="2"/>
        <v xml:space="preserve"> SAN PABLO</v>
      </c>
      <c r="E453" s="10" t="str">
        <f ca="1">IFERROR(__xludf.DUMMYFUNCTION("""COMPUTED_VALUE"""),"Guía Operativa")</f>
        <v>Guía Operativa</v>
      </c>
      <c r="F453" s="10" t="str">
        <f ca="1">IFERROR(__xludf.DUMMYFUNCTION("""COMPUTED_VALUE"""),"MUNICIPALIDAD DE SAN PABLO")</f>
        <v>MUNICIPALIDAD DE SAN PABLO</v>
      </c>
      <c r="G453" s="71">
        <f ca="1">IFERROR(__xludf.DUMMYFUNCTION("""COMPUTED_VALUE"""),177143404)</f>
        <v>177143404</v>
      </c>
      <c r="H453" s="10" t="str">
        <f ca="1">IFERROR(__xludf.DUMMYFUNCTION("""COMPUTED_VALUE"""),"Resolución")</f>
        <v>Resolución</v>
      </c>
      <c r="I453" s="10" t="str">
        <f ca="1">IFERROR(__xludf.DUMMYFUNCTION("""COMPUTED_VALUE"""),"Obra")</f>
        <v>Obra</v>
      </c>
      <c r="J453" s="10" t="str">
        <f ca="1">IFERROR(__xludf.DUMMYFUNCTION("""COMPUTED_VALUE"""),"Cumplir con normativa y reglamentos internos del programa en base a los objetivos.")</f>
        <v>Cumplir con normativa y reglamentos internos del programa en base a los objetivos.</v>
      </c>
      <c r="K453" s="71">
        <f ca="1">IFERROR(__xludf.DUMMYFUNCTION("""COMPUTED_VALUE"""),177143404)</f>
        <v>177143404</v>
      </c>
      <c r="L453" s="27">
        <f ca="1">IFERROR(__xludf.DUMMYFUNCTION("""COMPUTED_VALUE"""),1)</f>
        <v>1</v>
      </c>
      <c r="M453" s="10" t="str">
        <f ca="1">IFERROR(__xludf.DUMMYFUNCTION("""COMPUTED_VALUE"""),"12524/2024")</f>
        <v>12524/2024</v>
      </c>
      <c r="N453" s="10" t="str">
        <f ca="1">IFERROR(__xludf.DUMMYFUNCTION("""COMPUTED_VALUE"""),"PMB")</f>
        <v>PMB</v>
      </c>
      <c r="O453" s="59"/>
      <c r="P453" s="1"/>
      <c r="Q453" s="1"/>
      <c r="R453" s="1"/>
      <c r="S453" s="1"/>
      <c r="T453" s="1"/>
      <c r="U453" s="1"/>
      <c r="V453" s="1"/>
      <c r="W453" s="1"/>
      <c r="X453" s="1"/>
      <c r="Y453" s="1"/>
      <c r="Z453" s="1"/>
      <c r="AA453" s="1"/>
    </row>
    <row r="454" spans="1:27" ht="12.75" customHeight="1">
      <c r="A454" s="1"/>
      <c r="B454" s="10" t="str">
        <f ca="1">IFERROR(__xludf.DUMMYFUNCTION("""COMPUTED_VALUE"""),"ABASTO DE AGUA POTABLE SECTOR DUMO")</f>
        <v>ABASTO DE AGUA POTABLE SECTOR DUMO</v>
      </c>
      <c r="C454" s="10" t="str">
        <f ca="1">IFERROR(__xludf.DUMMYFUNCTION("""COMPUTED_VALUE"""),"9211230701-C")</f>
        <v>9211230701-C</v>
      </c>
      <c r="D454" s="26" t="str">
        <f t="shared" ca="1" si="2"/>
        <v xml:space="preserve"> VICTORIA</v>
      </c>
      <c r="E454" s="10" t="str">
        <f ca="1">IFERROR(__xludf.DUMMYFUNCTION("""COMPUTED_VALUE"""),"Guía Operativa")</f>
        <v>Guía Operativa</v>
      </c>
      <c r="F454" s="10" t="str">
        <f ca="1">IFERROR(__xludf.DUMMYFUNCTION("""COMPUTED_VALUE"""),"MUNICIPALIDAD DE VICTORIA")</f>
        <v>MUNICIPALIDAD DE VICTORIA</v>
      </c>
      <c r="G454" s="71">
        <f ca="1">IFERROR(__xludf.DUMMYFUNCTION("""COMPUTED_VALUE"""),284796554)</f>
        <v>284796554</v>
      </c>
      <c r="H454" s="10" t="str">
        <f ca="1">IFERROR(__xludf.DUMMYFUNCTION("""COMPUTED_VALUE"""),"Resolución")</f>
        <v>Resolución</v>
      </c>
      <c r="I454" s="10" t="str">
        <f ca="1">IFERROR(__xludf.DUMMYFUNCTION("""COMPUTED_VALUE"""),"Obra")</f>
        <v>Obra</v>
      </c>
      <c r="J454" s="10" t="str">
        <f ca="1">IFERROR(__xludf.DUMMYFUNCTION("""COMPUTED_VALUE"""),"Cumplir con normativa y reglamentos internos del programa en base a los objetivos.")</f>
        <v>Cumplir con normativa y reglamentos internos del programa en base a los objetivos.</v>
      </c>
      <c r="K454" s="71">
        <f ca="1">IFERROR(__xludf.DUMMYFUNCTION("""COMPUTED_VALUE"""),284796554)</f>
        <v>284796554</v>
      </c>
      <c r="L454" s="27">
        <f ca="1">IFERROR(__xludf.DUMMYFUNCTION("""COMPUTED_VALUE"""),1)</f>
        <v>1</v>
      </c>
      <c r="M454" s="10" t="str">
        <f ca="1">IFERROR(__xludf.DUMMYFUNCTION("""COMPUTED_VALUE"""),"11677/2024")</f>
        <v>11677/2024</v>
      </c>
      <c r="N454" s="10" t="str">
        <f ca="1">IFERROR(__xludf.DUMMYFUNCTION("""COMPUTED_VALUE"""),"PMB")</f>
        <v>PMB</v>
      </c>
      <c r="O454" s="59"/>
      <c r="P454" s="1"/>
      <c r="Q454" s="1"/>
      <c r="R454" s="1"/>
      <c r="S454" s="1"/>
      <c r="T454" s="1"/>
      <c r="U454" s="1"/>
      <c r="V454" s="1"/>
      <c r="W454" s="1"/>
      <c r="X454" s="1"/>
      <c r="Y454" s="1"/>
      <c r="Z454" s="1"/>
      <c r="AA454" s="1"/>
    </row>
    <row r="455" spans="1:27" ht="12.75" customHeight="1">
      <c r="A455" s="1"/>
      <c r="B455" s="10" t="str">
        <f ca="1">IFERROR(__xludf.DUMMYFUNCTION("""COMPUTED_VALUE"""),"ASISTENCIA LEGAL SANEAMIENTO DE TITULOS DE DOMINIO PARA SOLUCIONES SANITARIAS DISTINTOS SECTORES, COMUNA DE MAULE")</f>
        <v>ASISTENCIA LEGAL SANEAMIENTO DE TITULOS DE DOMINIO PARA SOLUCIONES SANITARIAS DISTINTOS SECTORES, COMUNA DE MAULE</v>
      </c>
      <c r="C455" s="10" t="str">
        <f ca="1">IFERROR(__xludf.DUMMYFUNCTION("""COMPUTED_VALUE"""),"7105240601-C")</f>
        <v>7105240601-C</v>
      </c>
      <c r="D455" s="26" t="str">
        <f t="shared" ca="1" si="2"/>
        <v xml:space="preserve"> MAULE</v>
      </c>
      <c r="E455" s="10" t="str">
        <f ca="1">IFERROR(__xludf.DUMMYFUNCTION("""COMPUTED_VALUE"""),"Guía Operativa")</f>
        <v>Guía Operativa</v>
      </c>
      <c r="F455" s="10" t="str">
        <f ca="1">IFERROR(__xludf.DUMMYFUNCTION("""COMPUTED_VALUE"""),"MUNICIPALIDAD DE MAULE")</f>
        <v>MUNICIPALIDAD DE MAULE</v>
      </c>
      <c r="G455" s="71">
        <f ca="1">IFERROR(__xludf.DUMMYFUNCTION("""COMPUTED_VALUE"""),51000000)</f>
        <v>51000000</v>
      </c>
      <c r="H455" s="10" t="str">
        <f ca="1">IFERROR(__xludf.DUMMYFUNCTION("""COMPUTED_VALUE"""),"Resolución")</f>
        <v>Resolución</v>
      </c>
      <c r="I455" s="10" t="str">
        <f ca="1">IFERROR(__xludf.DUMMYFUNCTION("""COMPUTED_VALUE"""),"Asistencia Legal")</f>
        <v>Asistencia Legal</v>
      </c>
      <c r="J455" s="10" t="str">
        <f ca="1">IFERROR(__xludf.DUMMYFUNCTION("""COMPUTED_VALUE"""),"Cumplir con normativa y reglamentos internos del programa en base a los objetivos.")</f>
        <v>Cumplir con normativa y reglamentos internos del programa en base a los objetivos.</v>
      </c>
      <c r="K455" s="71">
        <f ca="1">IFERROR(__xludf.DUMMYFUNCTION("""COMPUTED_VALUE"""),51000000)</f>
        <v>51000000</v>
      </c>
      <c r="L455" s="27">
        <f ca="1">IFERROR(__xludf.DUMMYFUNCTION("""COMPUTED_VALUE"""),1)</f>
        <v>1</v>
      </c>
      <c r="M455" s="10" t="str">
        <f ca="1">IFERROR(__xludf.DUMMYFUNCTION("""COMPUTED_VALUE"""),"11541/2024")</f>
        <v>11541/2024</v>
      </c>
      <c r="N455" s="10" t="str">
        <f ca="1">IFERROR(__xludf.DUMMYFUNCTION("""COMPUTED_VALUE"""),"PMB")</f>
        <v>PMB</v>
      </c>
      <c r="O455" s="59"/>
      <c r="P455" s="1"/>
      <c r="Q455" s="1"/>
      <c r="R455" s="1"/>
      <c r="S455" s="1"/>
      <c r="T455" s="1"/>
      <c r="U455" s="1"/>
      <c r="V455" s="1"/>
      <c r="W455" s="1"/>
      <c r="X455" s="1"/>
      <c r="Y455" s="1"/>
      <c r="Z455" s="1"/>
      <c r="AA455" s="1"/>
    </row>
    <row r="456" spans="1:27" ht="12.75" customHeight="1">
      <c r="A456" s="1"/>
      <c r="B456" s="10" t="str">
        <f ca="1">IFERROR(__xludf.DUMMYFUNCTION("""COMPUTED_VALUE"""),"ASISTENCIA TÉCNICA PARA LA FORMULACIÓN DE INICIATIVAS DE INVERSIÓN, LANCO")</f>
        <v>ASISTENCIA TÉCNICA PARA LA FORMULACIÓN DE INICIATIVAS DE INVERSIÓN, LANCO</v>
      </c>
      <c r="C456" s="10" t="str">
        <f ca="1">IFERROR(__xludf.DUMMYFUNCTION("""COMPUTED_VALUE"""),"14103241002-C")</f>
        <v>14103241002-C</v>
      </c>
      <c r="D456" s="26" t="str">
        <f t="shared" ca="1" si="2"/>
        <v xml:space="preserve"> LANCO</v>
      </c>
      <c r="E456" s="10" t="str">
        <f ca="1">IFERROR(__xludf.DUMMYFUNCTION("""COMPUTED_VALUE"""),"Guía Operativa")</f>
        <v>Guía Operativa</v>
      </c>
      <c r="F456" s="10" t="str">
        <f ca="1">IFERROR(__xludf.DUMMYFUNCTION("""COMPUTED_VALUE"""),"MUNICIPALIDAD DE LANCO")</f>
        <v>MUNICIPALIDAD DE LANCO</v>
      </c>
      <c r="G456" s="71">
        <f ca="1">IFERROR(__xludf.DUMMYFUNCTION("""COMPUTED_VALUE"""),72000000)</f>
        <v>72000000</v>
      </c>
      <c r="H456" s="10" t="str">
        <f ca="1">IFERROR(__xludf.DUMMYFUNCTION("""COMPUTED_VALUE"""),"Resolución")</f>
        <v>Resolución</v>
      </c>
      <c r="I456" s="10" t="str">
        <f ca="1">IFERROR(__xludf.DUMMYFUNCTION("""COMPUTED_VALUE"""),"Asistencia Técnica")</f>
        <v>Asistencia Técnica</v>
      </c>
      <c r="J456" s="10" t="str">
        <f ca="1">IFERROR(__xludf.DUMMYFUNCTION("""COMPUTED_VALUE"""),"Cumplir con normativa y reglamentos internos del programa en base a los objetivos.")</f>
        <v>Cumplir con normativa y reglamentos internos del programa en base a los objetivos.</v>
      </c>
      <c r="K456" s="71">
        <f ca="1">IFERROR(__xludf.DUMMYFUNCTION("""COMPUTED_VALUE"""),72000000)</f>
        <v>72000000</v>
      </c>
      <c r="L456" s="27">
        <f ca="1">IFERROR(__xludf.DUMMYFUNCTION("""COMPUTED_VALUE"""),1)</f>
        <v>1</v>
      </c>
      <c r="M456" s="10" t="str">
        <f ca="1">IFERROR(__xludf.DUMMYFUNCTION("""COMPUTED_VALUE"""),"11679/2024")</f>
        <v>11679/2024</v>
      </c>
      <c r="N456" s="10" t="str">
        <f ca="1">IFERROR(__xludf.DUMMYFUNCTION("""COMPUTED_VALUE"""),"PMB")</f>
        <v>PMB</v>
      </c>
      <c r="O456" s="59"/>
      <c r="P456" s="1"/>
      <c r="Q456" s="1"/>
      <c r="R456" s="1"/>
      <c r="S456" s="1"/>
      <c r="T456" s="1"/>
      <c r="U456" s="1"/>
      <c r="V456" s="1"/>
      <c r="W456" s="1"/>
      <c r="X456" s="1"/>
      <c r="Y456" s="1"/>
      <c r="Z456" s="1"/>
      <c r="AA456" s="1"/>
    </row>
    <row r="457" spans="1:27" ht="12.75" customHeight="1">
      <c r="A457" s="1"/>
      <c r="B457" s="10" t="str">
        <f ca="1">IFERROR(__xludf.DUMMYFUNCTION("""COMPUTED_VALUE"""),"HABILITACION ALUMBRADO PUBLICO ACCESO LA PORTADA, LOCALIDAD DE ANTOFAGASTA")</f>
        <v>HABILITACION ALUMBRADO PUBLICO ACCESO LA PORTADA, LOCALIDAD DE ANTOFAGASTA</v>
      </c>
      <c r="C457" s="10" t="str">
        <f ca="1">IFERROR(__xludf.DUMMYFUNCTION("""COMPUTED_VALUE"""),"2101240701-C")</f>
        <v>2101240701-C</v>
      </c>
      <c r="D457" s="26" t="str">
        <f t="shared" ca="1" si="2"/>
        <v xml:space="preserve"> ANTOFAGASTA</v>
      </c>
      <c r="E457" s="10" t="str">
        <f ca="1">IFERROR(__xludf.DUMMYFUNCTION("""COMPUTED_VALUE"""),"Guía Operativa")</f>
        <v>Guía Operativa</v>
      </c>
      <c r="F457" s="10" t="str">
        <f ca="1">IFERROR(__xludf.DUMMYFUNCTION("""COMPUTED_VALUE"""),"MUNICIPALIDAD DE ANTOFAGASTA")</f>
        <v>MUNICIPALIDAD DE ANTOFAGASTA</v>
      </c>
      <c r="G457" s="71">
        <f ca="1">IFERROR(__xludf.DUMMYFUNCTION("""COMPUTED_VALUE"""),270048957)</f>
        <v>270048957</v>
      </c>
      <c r="H457" s="10" t="str">
        <f ca="1">IFERROR(__xludf.DUMMYFUNCTION("""COMPUTED_VALUE"""),"Resolución")</f>
        <v>Resolución</v>
      </c>
      <c r="I457" s="10" t="str">
        <f ca="1">IFERROR(__xludf.DUMMYFUNCTION("""COMPUTED_VALUE"""),"Obra")</f>
        <v>Obra</v>
      </c>
      <c r="J457" s="10" t="str">
        <f ca="1">IFERROR(__xludf.DUMMYFUNCTION("""COMPUTED_VALUE"""),"Cumplir con normativa y reglamentos internos del programa en base a los objetivos.")</f>
        <v>Cumplir con normativa y reglamentos internos del programa en base a los objetivos.</v>
      </c>
      <c r="K457" s="71">
        <f ca="1">IFERROR(__xludf.DUMMYFUNCTION("""COMPUTED_VALUE"""),270048957)</f>
        <v>270048957</v>
      </c>
      <c r="L457" s="27">
        <f ca="1">IFERROR(__xludf.DUMMYFUNCTION("""COMPUTED_VALUE"""),1)</f>
        <v>1</v>
      </c>
      <c r="M457" s="10" t="str">
        <f ca="1">IFERROR(__xludf.DUMMYFUNCTION("""COMPUTED_VALUE"""),"11544/2024")</f>
        <v>11544/2024</v>
      </c>
      <c r="N457" s="10" t="str">
        <f ca="1">IFERROR(__xludf.DUMMYFUNCTION("""COMPUTED_VALUE"""),"PMB")</f>
        <v>PMB</v>
      </c>
      <c r="O457" s="59"/>
      <c r="P457" s="1"/>
      <c r="Q457" s="1"/>
      <c r="R457" s="1"/>
      <c r="S457" s="1"/>
      <c r="T457" s="1"/>
      <c r="U457" s="1"/>
      <c r="V457" s="1"/>
      <c r="W457" s="1"/>
      <c r="X457" s="1"/>
      <c r="Y457" s="1"/>
      <c r="Z457" s="1"/>
      <c r="AA457" s="1"/>
    </row>
    <row r="458" spans="1:27" ht="12.75" customHeight="1">
      <c r="A458" s="1"/>
      <c r="B458" s="10" t="str">
        <f ca="1">IFERROR(__xludf.DUMMYFUNCTION("""COMPUTED_VALUE"""),"ASISTENCIA LEGAL Y ASESORIA PROFESIONAL EN LA COMUNA DE CORRAL")</f>
        <v>ASISTENCIA LEGAL Y ASESORIA PROFESIONAL EN LA COMUNA DE CORRAL</v>
      </c>
      <c r="C458" s="10" t="str">
        <f ca="1">IFERROR(__xludf.DUMMYFUNCTION("""COMPUTED_VALUE"""),"14102240601-C")</f>
        <v>14102240601-C</v>
      </c>
      <c r="D458" s="26" t="str">
        <f t="shared" ca="1" si="2"/>
        <v xml:space="preserve"> CORRAL</v>
      </c>
      <c r="E458" s="10" t="str">
        <f ca="1">IFERROR(__xludf.DUMMYFUNCTION("""COMPUTED_VALUE"""),"Guía Operativa")</f>
        <v>Guía Operativa</v>
      </c>
      <c r="F458" s="10" t="str">
        <f ca="1">IFERROR(__xludf.DUMMYFUNCTION("""COMPUTED_VALUE"""),"MUNICIPALIDAD DE CORRAL")</f>
        <v>MUNICIPALIDAD DE CORRAL</v>
      </c>
      <c r="G458" s="71">
        <f ca="1">IFERROR(__xludf.DUMMYFUNCTION("""COMPUTED_VALUE"""),17263444)</f>
        <v>17263444</v>
      </c>
      <c r="H458" s="10" t="str">
        <f ca="1">IFERROR(__xludf.DUMMYFUNCTION("""COMPUTED_VALUE"""),"Resolución")</f>
        <v>Resolución</v>
      </c>
      <c r="I458" s="10" t="str">
        <f ca="1">IFERROR(__xludf.DUMMYFUNCTION("""COMPUTED_VALUE"""),"Asistencia Legal")</f>
        <v>Asistencia Legal</v>
      </c>
      <c r="J458" s="10" t="str">
        <f ca="1">IFERROR(__xludf.DUMMYFUNCTION("""COMPUTED_VALUE"""),"Cumplir con normativa y reglamentos internos del programa en base a los objetivos.")</f>
        <v>Cumplir con normativa y reglamentos internos del programa en base a los objetivos.</v>
      </c>
      <c r="K458" s="71">
        <f ca="1">IFERROR(__xludf.DUMMYFUNCTION("""COMPUTED_VALUE"""),17263444)</f>
        <v>17263444</v>
      </c>
      <c r="L458" s="27">
        <f ca="1">IFERROR(__xludf.DUMMYFUNCTION("""COMPUTED_VALUE"""),1)</f>
        <v>1</v>
      </c>
      <c r="M458" s="10" t="str">
        <f ca="1">IFERROR(__xludf.DUMMYFUNCTION("""COMPUTED_VALUE"""),"11546/2024")</f>
        <v>11546/2024</v>
      </c>
      <c r="N458" s="10" t="str">
        <f ca="1">IFERROR(__xludf.DUMMYFUNCTION("""COMPUTED_VALUE"""),"PMB")</f>
        <v>PMB</v>
      </c>
      <c r="O458" s="59"/>
      <c r="P458" s="1"/>
      <c r="Q458" s="1"/>
      <c r="R458" s="1"/>
      <c r="S458" s="1"/>
      <c r="T458" s="1"/>
      <c r="U458" s="1"/>
      <c r="V458" s="1"/>
      <c r="W458" s="1"/>
      <c r="X458" s="1"/>
      <c r="Y458" s="1"/>
      <c r="Z458" s="1"/>
      <c r="AA458" s="1"/>
    </row>
    <row r="459" spans="1:27" ht="12.75" customHeight="1">
      <c r="A459" s="1"/>
      <c r="B459" s="10" t="str">
        <f ca="1">IFERROR(__xludf.DUMMYFUNCTION("""COMPUTED_VALUE"""),"NORMALIZACIÓN ALUMBRADO PÚBLICO SECTOR CALETA ERRAZURIZ Y CALETA CONSTITUCIÓN SANTA MARÍA, LOCALIDAD DE ANTOFAGASTA, COMUNA DE ANTOFAGASTA")</f>
        <v>NORMALIZACIÓN ALUMBRADO PÚBLICO SECTOR CALETA ERRAZURIZ Y CALETA CONSTITUCIÓN SANTA MARÍA, LOCALIDAD DE ANTOFAGASTA, COMUNA DE ANTOFAGASTA</v>
      </c>
      <c r="C459" s="10" t="str">
        <f ca="1">IFERROR(__xludf.DUMMYFUNCTION("""COMPUTED_VALUE"""),"2101240702-C")</f>
        <v>2101240702-C</v>
      </c>
      <c r="D459" s="26" t="str">
        <f t="shared" ca="1" si="2"/>
        <v xml:space="preserve"> ANTOFAGASTA</v>
      </c>
      <c r="E459" s="10" t="str">
        <f ca="1">IFERROR(__xludf.DUMMYFUNCTION("""COMPUTED_VALUE"""),"Guía Operativa")</f>
        <v>Guía Operativa</v>
      </c>
      <c r="F459" s="10" t="str">
        <f ca="1">IFERROR(__xludf.DUMMYFUNCTION("""COMPUTED_VALUE"""),"MUNICIPALIDAD DE ANTOFAGASTA")</f>
        <v>MUNICIPALIDAD DE ANTOFAGASTA</v>
      </c>
      <c r="G459" s="71">
        <f ca="1">IFERROR(__xludf.DUMMYFUNCTION("""COMPUTED_VALUE"""),322840607)</f>
        <v>322840607</v>
      </c>
      <c r="H459" s="10" t="str">
        <f ca="1">IFERROR(__xludf.DUMMYFUNCTION("""COMPUTED_VALUE"""),"Resolución")</f>
        <v>Resolución</v>
      </c>
      <c r="I459" s="10" t="str">
        <f ca="1">IFERROR(__xludf.DUMMYFUNCTION("""COMPUTED_VALUE"""),"Obra")</f>
        <v>Obra</v>
      </c>
      <c r="J459" s="10" t="str">
        <f ca="1">IFERROR(__xludf.DUMMYFUNCTION("""COMPUTED_VALUE"""),"Cumplir con normativa y reglamentos internos del programa en base a los objetivos.")</f>
        <v>Cumplir con normativa y reglamentos internos del programa en base a los objetivos.</v>
      </c>
      <c r="K459" s="71">
        <f ca="1">IFERROR(__xludf.DUMMYFUNCTION("""COMPUTED_VALUE"""),322840607)</f>
        <v>322840607</v>
      </c>
      <c r="L459" s="27">
        <f ca="1">IFERROR(__xludf.DUMMYFUNCTION("""COMPUTED_VALUE"""),1)</f>
        <v>1</v>
      </c>
      <c r="M459" s="10" t="str">
        <f ca="1">IFERROR(__xludf.DUMMYFUNCTION("""COMPUTED_VALUE"""),"11694/2024")</f>
        <v>11694/2024</v>
      </c>
      <c r="N459" s="10" t="str">
        <f ca="1">IFERROR(__xludf.DUMMYFUNCTION("""COMPUTED_VALUE"""),"PMB")</f>
        <v>PMB</v>
      </c>
      <c r="O459" s="59"/>
      <c r="P459" s="1"/>
      <c r="Q459" s="1"/>
      <c r="R459" s="1"/>
      <c r="S459" s="1"/>
      <c r="T459" s="1"/>
      <c r="U459" s="1"/>
      <c r="V459" s="1"/>
      <c r="W459" s="1"/>
      <c r="X459" s="1"/>
      <c r="Y459" s="1"/>
      <c r="Z459" s="1"/>
      <c r="AA459" s="1"/>
    </row>
    <row r="460" spans="1:27" ht="12.75" customHeight="1">
      <c r="A460" s="1"/>
      <c r="B460" s="10" t="str">
        <f ca="1">IFERROR(__xludf.DUMMYFUNCTION("""COMPUTED_VALUE"""),"“HABILITACIÓN DE ALUMBRADO PÚBLICO DE CALLE EMILIO DE VIDTS, ENTRE AV. RIQUELME Y AV. SERRANO”")</f>
        <v>“HABILITACIÓN DE ALUMBRADO PÚBLICO DE CALLE EMILIO DE VIDTS, ENTRE AV. RIQUELME Y AV. SERRANO”</v>
      </c>
      <c r="C460" s="10" t="str">
        <f ca="1">IFERROR(__xludf.DUMMYFUNCTION("""COMPUTED_VALUE"""),"2102240703-C")</f>
        <v>2102240703-C</v>
      </c>
      <c r="D460" s="26" t="str">
        <f t="shared" ca="1" si="2"/>
        <v xml:space="preserve"> MEJILLONES</v>
      </c>
      <c r="E460" s="10" t="str">
        <f ca="1">IFERROR(__xludf.DUMMYFUNCTION("""COMPUTED_VALUE"""),"Guía Operativa")</f>
        <v>Guía Operativa</v>
      </c>
      <c r="F460" s="10" t="str">
        <f ca="1">IFERROR(__xludf.DUMMYFUNCTION("""COMPUTED_VALUE"""),"MUNICIPALIDAD DE MEJILLONES")</f>
        <v>MUNICIPALIDAD DE MEJILLONES</v>
      </c>
      <c r="G460" s="71">
        <f ca="1">IFERROR(__xludf.DUMMYFUNCTION("""COMPUTED_VALUE"""),185313449)</f>
        <v>185313449</v>
      </c>
      <c r="H460" s="10" t="str">
        <f ca="1">IFERROR(__xludf.DUMMYFUNCTION("""COMPUTED_VALUE"""),"Resolución")</f>
        <v>Resolución</v>
      </c>
      <c r="I460" s="10" t="str">
        <f ca="1">IFERROR(__xludf.DUMMYFUNCTION("""COMPUTED_VALUE"""),"Obra")</f>
        <v>Obra</v>
      </c>
      <c r="J460" s="10" t="str">
        <f ca="1">IFERROR(__xludf.DUMMYFUNCTION("""COMPUTED_VALUE"""),"Cumplir con normativa y reglamentos internos del programa en base a los objetivos.")</f>
        <v>Cumplir con normativa y reglamentos internos del programa en base a los objetivos.</v>
      </c>
      <c r="K460" s="71">
        <f ca="1">IFERROR(__xludf.DUMMYFUNCTION("""COMPUTED_VALUE"""),185313449)</f>
        <v>185313449</v>
      </c>
      <c r="L460" s="27">
        <f ca="1">IFERROR(__xludf.DUMMYFUNCTION("""COMPUTED_VALUE"""),1)</f>
        <v>1</v>
      </c>
      <c r="M460" s="10" t="str">
        <f ca="1">IFERROR(__xludf.DUMMYFUNCTION("""COMPUTED_VALUE"""),"11854/2024")</f>
        <v>11854/2024</v>
      </c>
      <c r="N460" s="10" t="str">
        <f ca="1">IFERROR(__xludf.DUMMYFUNCTION("""COMPUTED_VALUE"""),"PMB")</f>
        <v>PMB</v>
      </c>
      <c r="O460" s="59"/>
      <c r="P460" s="1"/>
      <c r="Q460" s="1"/>
      <c r="R460" s="1"/>
      <c r="S460" s="1"/>
      <c r="T460" s="1"/>
      <c r="U460" s="1"/>
      <c r="V460" s="1"/>
      <c r="W460" s="1"/>
      <c r="X460" s="1"/>
      <c r="Y460" s="1"/>
      <c r="Z460" s="1"/>
      <c r="AA460" s="1"/>
    </row>
    <row r="461" spans="1:27" ht="12.75" customHeight="1">
      <c r="A461" s="1"/>
      <c r="B461" s="10" t="str">
        <f ca="1">IFERROR(__xludf.DUMMYFUNCTION("""COMPUTED_VALUE"""),"MEJORAMIENTO ALUMBRADO PÚBLICO, PARTE BAJA CERRO YUNGAY")</f>
        <v>MEJORAMIENTO ALUMBRADO PÚBLICO, PARTE BAJA CERRO YUNGAY</v>
      </c>
      <c r="C461" s="10" t="str">
        <f ca="1">IFERROR(__xludf.DUMMYFUNCTION("""COMPUTED_VALUE"""),"5101240701-C")</f>
        <v>5101240701-C</v>
      </c>
      <c r="D461" s="26" t="str">
        <f t="shared" ca="1" si="2"/>
        <v xml:space="preserve"> VALPARAÍSO</v>
      </c>
      <c r="E461" s="10" t="str">
        <f ca="1">IFERROR(__xludf.DUMMYFUNCTION("""COMPUTED_VALUE"""),"Guía Operativa")</f>
        <v>Guía Operativa</v>
      </c>
      <c r="F461" s="10" t="str">
        <f ca="1">IFERROR(__xludf.DUMMYFUNCTION("""COMPUTED_VALUE"""),"MUNICIPALIDAD DE VALPARAÍSO")</f>
        <v>MUNICIPALIDAD DE VALPARAÍSO</v>
      </c>
      <c r="G461" s="71">
        <f ca="1">IFERROR(__xludf.DUMMYFUNCTION("""COMPUTED_VALUE"""),102053028)</f>
        <v>102053028</v>
      </c>
      <c r="H461" s="10" t="str">
        <f ca="1">IFERROR(__xludf.DUMMYFUNCTION("""COMPUTED_VALUE"""),"Resolución")</f>
        <v>Resolución</v>
      </c>
      <c r="I461" s="10" t="str">
        <f ca="1">IFERROR(__xludf.DUMMYFUNCTION("""COMPUTED_VALUE"""),"Obra")</f>
        <v>Obra</v>
      </c>
      <c r="J461" s="10" t="str">
        <f ca="1">IFERROR(__xludf.DUMMYFUNCTION("""COMPUTED_VALUE"""),"Cumplir con normativa y reglamentos internos del programa en base a los objetivos.")</f>
        <v>Cumplir con normativa y reglamentos internos del programa en base a los objetivos.</v>
      </c>
      <c r="K461" s="71">
        <f ca="1">IFERROR(__xludf.DUMMYFUNCTION("""COMPUTED_VALUE"""),102053028)</f>
        <v>102053028</v>
      </c>
      <c r="L461" s="27">
        <f ca="1">IFERROR(__xludf.DUMMYFUNCTION("""COMPUTED_VALUE"""),1)</f>
        <v>1</v>
      </c>
      <c r="M461" s="10" t="str">
        <f ca="1">IFERROR(__xludf.DUMMYFUNCTION("""COMPUTED_VALUE"""),"11688/2024")</f>
        <v>11688/2024</v>
      </c>
      <c r="N461" s="10" t="str">
        <f ca="1">IFERROR(__xludf.DUMMYFUNCTION("""COMPUTED_VALUE"""),"PMB")</f>
        <v>PMB</v>
      </c>
      <c r="O461" s="59"/>
      <c r="P461" s="1"/>
      <c r="Q461" s="1"/>
      <c r="R461" s="1"/>
      <c r="S461" s="1"/>
      <c r="T461" s="1"/>
      <c r="U461" s="1"/>
      <c r="V461" s="1"/>
      <c r="W461" s="1"/>
      <c r="X461" s="1"/>
      <c r="Y461" s="1"/>
      <c r="Z461" s="1"/>
      <c r="AA461" s="1"/>
    </row>
    <row r="462" spans="1:27" ht="12.75" customHeight="1">
      <c r="A462" s="1"/>
      <c r="B462" s="10" t="str">
        <f ca="1">IFERROR(__xludf.DUMMYFUNCTION("""COMPUTED_VALUE"""),"CONTRATACION DE PROFESIONALES EN OFICINA TECNICA DE SECPLAC, PARA GENERAR CARTERA DE PROYECTOS, COMUNA DE PICA")</f>
        <v>CONTRATACION DE PROFESIONALES EN OFICINA TECNICA DE SECPLAC, PARA GENERAR CARTERA DE PROYECTOS, COMUNA DE PICA</v>
      </c>
      <c r="C462" s="10" t="str">
        <f ca="1">IFERROR(__xludf.DUMMYFUNCTION("""COMPUTED_VALUE"""),"1405241001-C")</f>
        <v>1405241001-C</v>
      </c>
      <c r="D462" s="26" t="str">
        <f t="shared" ca="1" si="2"/>
        <v xml:space="preserve"> PICA</v>
      </c>
      <c r="E462" s="10" t="str">
        <f ca="1">IFERROR(__xludf.DUMMYFUNCTION("""COMPUTED_VALUE"""),"Guía Operativa")</f>
        <v>Guía Operativa</v>
      </c>
      <c r="F462" s="10" t="str">
        <f ca="1">IFERROR(__xludf.DUMMYFUNCTION("""COMPUTED_VALUE"""),"MUNICIPALIDAD DE PICA")</f>
        <v>MUNICIPALIDAD DE PICA</v>
      </c>
      <c r="G462" s="71">
        <f ca="1">IFERROR(__xludf.DUMMYFUNCTION("""COMPUTED_VALUE"""),85043481)</f>
        <v>85043481</v>
      </c>
      <c r="H462" s="10" t="str">
        <f ca="1">IFERROR(__xludf.DUMMYFUNCTION("""COMPUTED_VALUE"""),"Resolución")</f>
        <v>Resolución</v>
      </c>
      <c r="I462" s="10" t="str">
        <f ca="1">IFERROR(__xludf.DUMMYFUNCTION("""COMPUTED_VALUE"""),"Asistencia Técnica")</f>
        <v>Asistencia Técnica</v>
      </c>
      <c r="J462" s="10" t="str">
        <f ca="1">IFERROR(__xludf.DUMMYFUNCTION("""COMPUTED_VALUE"""),"Cumplir con normativa y reglamentos internos del programa en base a los objetivos.")</f>
        <v>Cumplir con normativa y reglamentos internos del programa en base a los objetivos.</v>
      </c>
      <c r="K462" s="71">
        <f ca="1">IFERROR(__xludf.DUMMYFUNCTION("""COMPUTED_VALUE"""),85043481)</f>
        <v>85043481</v>
      </c>
      <c r="L462" s="27">
        <f ca="1">IFERROR(__xludf.DUMMYFUNCTION("""COMPUTED_VALUE"""),1)</f>
        <v>1</v>
      </c>
      <c r="M462" s="10" t="str">
        <f ca="1">IFERROR(__xludf.DUMMYFUNCTION("""COMPUTED_VALUE"""),"11856/2024")</f>
        <v>11856/2024</v>
      </c>
      <c r="N462" s="10" t="str">
        <f ca="1">IFERROR(__xludf.DUMMYFUNCTION("""COMPUTED_VALUE"""),"PMB")</f>
        <v>PMB</v>
      </c>
      <c r="O462" s="59"/>
      <c r="P462" s="1"/>
      <c r="Q462" s="1"/>
      <c r="R462" s="1"/>
      <c r="S462" s="1"/>
      <c r="T462" s="1"/>
      <c r="U462" s="1"/>
      <c r="V462" s="1"/>
      <c r="W462" s="1"/>
      <c r="X462" s="1"/>
      <c r="Y462" s="1"/>
      <c r="Z462" s="1"/>
      <c r="AA462" s="1"/>
    </row>
    <row r="463" spans="1:27" ht="12.75" customHeight="1">
      <c r="A463" s="1"/>
      <c r="B463" s="10" t="str">
        <f ca="1">IFERROR(__xludf.DUMMYFUNCTION("""COMPUTED_VALUE"""),"CONSTRUCCION Y HABILITACION DE NUEVO POZO SSR LAS COMPUERTAS COMUNA DE CATEMU. CARTERA DE INVERSIÓN PLAN DE ZONA DE REZAGO")</f>
        <v>CONSTRUCCION Y HABILITACION DE NUEVO POZO SSR LAS COMPUERTAS COMUNA DE CATEMU. CARTERA DE INVERSIÓN PLAN DE ZONA DE REZAGO</v>
      </c>
      <c r="C463" s="10" t="str">
        <f ca="1">IFERROR(__xludf.DUMMYFUNCTION("""COMPUTED_VALUE"""),"5702230701-C")</f>
        <v>5702230701-C</v>
      </c>
      <c r="D463" s="26" t="str">
        <f t="shared" ca="1" si="2"/>
        <v xml:space="preserve"> CATEMU</v>
      </c>
      <c r="E463" s="10" t="str">
        <f ca="1">IFERROR(__xludf.DUMMYFUNCTION("""COMPUTED_VALUE"""),"Guía Operativa")</f>
        <v>Guía Operativa</v>
      </c>
      <c r="F463" s="10" t="str">
        <f ca="1">IFERROR(__xludf.DUMMYFUNCTION("""COMPUTED_VALUE"""),"MUNICIPALIDAD DE CATEMU")</f>
        <v>MUNICIPALIDAD DE CATEMU</v>
      </c>
      <c r="G463" s="71">
        <f ca="1">IFERROR(__xludf.DUMMYFUNCTION("""COMPUTED_VALUE"""),221466438)</f>
        <v>221466438</v>
      </c>
      <c r="H463" s="10" t="str">
        <f ca="1">IFERROR(__xludf.DUMMYFUNCTION("""COMPUTED_VALUE"""),"Resolución")</f>
        <v>Resolución</v>
      </c>
      <c r="I463" s="10" t="str">
        <f ca="1">IFERROR(__xludf.DUMMYFUNCTION("""COMPUTED_VALUE"""),"Obra")</f>
        <v>Obra</v>
      </c>
      <c r="J463" s="10" t="str">
        <f ca="1">IFERROR(__xludf.DUMMYFUNCTION("""COMPUTED_VALUE"""),"Cumplir con normativa y reglamentos internos del programa en base a los objetivos.")</f>
        <v>Cumplir con normativa y reglamentos internos del programa en base a los objetivos.</v>
      </c>
      <c r="K463" s="71">
        <f ca="1">IFERROR(__xludf.DUMMYFUNCTION("""COMPUTED_VALUE"""),221466438)</f>
        <v>221466438</v>
      </c>
      <c r="L463" s="27">
        <f ca="1">IFERROR(__xludf.DUMMYFUNCTION("""COMPUTED_VALUE"""),1)</f>
        <v>1</v>
      </c>
      <c r="M463" s="10" t="str">
        <f ca="1">IFERROR(__xludf.DUMMYFUNCTION("""COMPUTED_VALUE"""),"11855/2024")</f>
        <v>11855/2024</v>
      </c>
      <c r="N463" s="10" t="str">
        <f ca="1">IFERROR(__xludf.DUMMYFUNCTION("""COMPUTED_VALUE"""),"PMB")</f>
        <v>PMB</v>
      </c>
      <c r="O463" s="59"/>
      <c r="P463" s="1"/>
      <c r="Q463" s="1"/>
      <c r="R463" s="1"/>
      <c r="S463" s="1"/>
      <c r="T463" s="1"/>
      <c r="U463" s="1"/>
      <c r="V463" s="1"/>
      <c r="W463" s="1"/>
      <c r="X463" s="1"/>
      <c r="Y463" s="1"/>
      <c r="Z463" s="1"/>
      <c r="AA463" s="1"/>
    </row>
    <row r="464" spans="1:27" ht="12.75" customHeight="1">
      <c r="A464" s="1"/>
      <c r="B464" s="10" t="str">
        <f ca="1">IFERROR(__xludf.DUMMYFUNCTION("""COMPUTED_VALUE"""),"CONSTRUCCIÓN PLANTA DE AGUA POTABLE SECTOR LA HOYADA, COMUNA DE QUILLECO")</f>
        <v>CONSTRUCCIÓN PLANTA DE AGUA POTABLE SECTOR LA HOYADA, COMUNA DE QUILLECO</v>
      </c>
      <c r="C464" s="10" t="str">
        <f ca="1">IFERROR(__xludf.DUMMYFUNCTION("""COMPUTED_VALUE"""),"8309220707-C")</f>
        <v>8309220707-C</v>
      </c>
      <c r="D464" s="26" t="str">
        <f t="shared" ca="1" si="2"/>
        <v xml:space="preserve"> QUILLECO</v>
      </c>
      <c r="E464" s="10" t="str">
        <f ca="1">IFERROR(__xludf.DUMMYFUNCTION("""COMPUTED_VALUE"""),"Guía Operativa")</f>
        <v>Guía Operativa</v>
      </c>
      <c r="F464" s="10" t="str">
        <f ca="1">IFERROR(__xludf.DUMMYFUNCTION("""COMPUTED_VALUE"""),"MUNICIPALIDAD DE QUILLECO")</f>
        <v>MUNICIPALIDAD DE QUILLECO</v>
      </c>
      <c r="G464" s="71">
        <f ca="1">IFERROR(__xludf.DUMMYFUNCTION("""COMPUTED_VALUE"""),215671462)</f>
        <v>215671462</v>
      </c>
      <c r="H464" s="10" t="str">
        <f ca="1">IFERROR(__xludf.DUMMYFUNCTION("""COMPUTED_VALUE"""),"Resolución")</f>
        <v>Resolución</v>
      </c>
      <c r="I464" s="10" t="str">
        <f ca="1">IFERROR(__xludf.DUMMYFUNCTION("""COMPUTED_VALUE"""),"Obra")</f>
        <v>Obra</v>
      </c>
      <c r="J464" s="10" t="str">
        <f ca="1">IFERROR(__xludf.DUMMYFUNCTION("""COMPUTED_VALUE"""),"Cumplir con normativa y reglamentos internos del programa en base a los objetivos.")</f>
        <v>Cumplir con normativa y reglamentos internos del programa en base a los objetivos.</v>
      </c>
      <c r="K464" s="71">
        <f ca="1">IFERROR(__xludf.DUMMYFUNCTION("""COMPUTED_VALUE"""),215671462)</f>
        <v>215671462</v>
      </c>
      <c r="L464" s="27">
        <f ca="1">IFERROR(__xludf.DUMMYFUNCTION("""COMPUTED_VALUE"""),1)</f>
        <v>1</v>
      </c>
      <c r="M464" s="10" t="str">
        <f ca="1">IFERROR(__xludf.DUMMYFUNCTION("""COMPUTED_VALUE"""),"11622/2024")</f>
        <v>11622/2024</v>
      </c>
      <c r="N464" s="10" t="str">
        <f ca="1">IFERROR(__xludf.DUMMYFUNCTION("""COMPUTED_VALUE"""),"PMB")</f>
        <v>PMB</v>
      </c>
      <c r="O464" s="59"/>
      <c r="P464" s="1"/>
      <c r="Q464" s="1"/>
      <c r="R464" s="1"/>
      <c r="S464" s="1"/>
      <c r="T464" s="1"/>
      <c r="U464" s="1"/>
      <c r="V464" s="1"/>
      <c r="W464" s="1"/>
      <c r="X464" s="1"/>
      <c r="Y464" s="1"/>
      <c r="Z464" s="1"/>
      <c r="AA464" s="1"/>
    </row>
    <row r="465" spans="1:27" ht="12.75" customHeight="1">
      <c r="A465" s="1"/>
      <c r="B465" s="10" t="str">
        <f ca="1">IFERROR(__xludf.DUMMYFUNCTION("""COMPUTED_VALUE"""),"MEJORAMIENTO ABASTO DE AGUA POTABLE SECTOR LICAHUE, CONTULMO")</f>
        <v>MEJORAMIENTO ABASTO DE AGUA POTABLE SECTOR LICAHUE, CONTULMO</v>
      </c>
      <c r="C465" s="10" t="str">
        <f ca="1">IFERROR(__xludf.DUMMYFUNCTION("""COMPUTED_VALUE"""),"8204240702-C")</f>
        <v>8204240702-C</v>
      </c>
      <c r="D465" s="26" t="str">
        <f t="shared" ca="1" si="2"/>
        <v xml:space="preserve"> CONTULMO</v>
      </c>
      <c r="E465" s="10" t="str">
        <f ca="1">IFERROR(__xludf.DUMMYFUNCTION("""COMPUTED_VALUE"""),"Guía Operativa")</f>
        <v>Guía Operativa</v>
      </c>
      <c r="F465" s="10" t="str">
        <f ca="1">IFERROR(__xludf.DUMMYFUNCTION("""COMPUTED_VALUE"""),"MUNICIPALIDAD DE CONTULMO")</f>
        <v>MUNICIPALIDAD DE CONTULMO</v>
      </c>
      <c r="G465" s="71">
        <f ca="1">IFERROR(__xludf.DUMMYFUNCTION("""COMPUTED_VALUE"""),280102875)</f>
        <v>280102875</v>
      </c>
      <c r="H465" s="10" t="str">
        <f ca="1">IFERROR(__xludf.DUMMYFUNCTION("""COMPUTED_VALUE"""),"Resolución")</f>
        <v>Resolución</v>
      </c>
      <c r="I465" s="10" t="str">
        <f ca="1">IFERROR(__xludf.DUMMYFUNCTION("""COMPUTED_VALUE"""),"Obra")</f>
        <v>Obra</v>
      </c>
      <c r="J465" s="10" t="str">
        <f ca="1">IFERROR(__xludf.DUMMYFUNCTION("""COMPUTED_VALUE"""),"Cumplir con normativa y reglamentos internos del programa en base a los objetivos.")</f>
        <v>Cumplir con normativa y reglamentos internos del programa en base a los objetivos.</v>
      </c>
      <c r="K465" s="71">
        <f ca="1">IFERROR(__xludf.DUMMYFUNCTION("""COMPUTED_VALUE"""),280102875)</f>
        <v>280102875</v>
      </c>
      <c r="L465" s="27">
        <f ca="1">IFERROR(__xludf.DUMMYFUNCTION("""COMPUTED_VALUE"""),1)</f>
        <v>1</v>
      </c>
      <c r="M465" s="10" t="str">
        <f ca="1">IFERROR(__xludf.DUMMYFUNCTION("""COMPUTED_VALUE"""),"11693/2024")</f>
        <v>11693/2024</v>
      </c>
      <c r="N465" s="10" t="str">
        <f ca="1">IFERROR(__xludf.DUMMYFUNCTION("""COMPUTED_VALUE"""),"PMB")</f>
        <v>PMB</v>
      </c>
      <c r="O465" s="59"/>
      <c r="P465" s="1"/>
      <c r="Q465" s="1"/>
      <c r="R465" s="1"/>
      <c r="S465" s="1"/>
      <c r="T465" s="1"/>
      <c r="U465" s="1"/>
      <c r="V465" s="1"/>
      <c r="W465" s="1"/>
      <c r="X465" s="1"/>
      <c r="Y465" s="1"/>
      <c r="Z465" s="1"/>
      <c r="AA465" s="1"/>
    </row>
    <row r="466" spans="1:27" ht="12.75" customHeight="1">
      <c r="A466" s="1"/>
      <c r="B466" s="10" t="str">
        <f ca="1">IFERROR(__xludf.DUMMYFUNCTION("""COMPUTED_VALUE"""),"PROYECTO TIPO SOLUCIÓN INDIVIDUAL DE AGUA POTABLE DIVERSOS SECTORES QUILACO ORIENTE")</f>
        <v>PROYECTO TIPO SOLUCIÓN INDIVIDUAL DE AGUA POTABLE DIVERSOS SECTORES QUILACO ORIENTE</v>
      </c>
      <c r="C466" s="10" t="str">
        <f ca="1">IFERROR(__xludf.DUMMYFUNCTION("""COMPUTED_VALUE"""),"8308240703-C")</f>
        <v>8308240703-C</v>
      </c>
      <c r="D466" s="26" t="str">
        <f t="shared" ca="1" si="2"/>
        <v xml:space="preserve"> QUILACO</v>
      </c>
      <c r="E466" s="10" t="str">
        <f ca="1">IFERROR(__xludf.DUMMYFUNCTION("""COMPUTED_VALUE"""),"Guía Operativa")</f>
        <v>Guía Operativa</v>
      </c>
      <c r="F466" s="10" t="str">
        <f ca="1">IFERROR(__xludf.DUMMYFUNCTION("""COMPUTED_VALUE"""),"MUNICIPALIDAD DE QUILACO")</f>
        <v>MUNICIPALIDAD DE QUILACO</v>
      </c>
      <c r="G466" s="71">
        <f ca="1">IFERROR(__xludf.DUMMYFUNCTION("""COMPUTED_VALUE"""),206864401)</f>
        <v>206864401</v>
      </c>
      <c r="H466" s="10" t="str">
        <f ca="1">IFERROR(__xludf.DUMMYFUNCTION("""COMPUTED_VALUE"""),"Resolución")</f>
        <v>Resolución</v>
      </c>
      <c r="I466" s="10" t="str">
        <f ca="1">IFERROR(__xludf.DUMMYFUNCTION("""COMPUTED_VALUE"""),"Obra")</f>
        <v>Obra</v>
      </c>
      <c r="J466" s="10" t="str">
        <f ca="1">IFERROR(__xludf.DUMMYFUNCTION("""COMPUTED_VALUE"""),"Cumplir con normativa y reglamentos internos del programa en base a los objetivos.")</f>
        <v>Cumplir con normativa y reglamentos internos del programa en base a los objetivos.</v>
      </c>
      <c r="K466" s="71">
        <f ca="1">IFERROR(__xludf.DUMMYFUNCTION("""COMPUTED_VALUE"""),206864401)</f>
        <v>206864401</v>
      </c>
      <c r="L466" s="27">
        <f ca="1">IFERROR(__xludf.DUMMYFUNCTION("""COMPUTED_VALUE"""),1)</f>
        <v>1</v>
      </c>
      <c r="M466" s="10" t="str">
        <f ca="1">IFERROR(__xludf.DUMMYFUNCTION("""COMPUTED_VALUE"""),"12371/2024")</f>
        <v>12371/2024</v>
      </c>
      <c r="N466" s="10" t="str">
        <f ca="1">IFERROR(__xludf.DUMMYFUNCTION("""COMPUTED_VALUE"""),"PMB")</f>
        <v>PMB</v>
      </c>
      <c r="O466" s="59"/>
      <c r="P466" s="1"/>
      <c r="Q466" s="1"/>
      <c r="R466" s="1"/>
      <c r="S466" s="1"/>
      <c r="T466" s="1"/>
      <c r="U466" s="1"/>
      <c r="V466" s="1"/>
      <c r="W466" s="1"/>
      <c r="X466" s="1"/>
      <c r="Y466" s="1"/>
      <c r="Z466" s="1"/>
      <c r="AA466" s="1"/>
    </row>
    <row r="467" spans="1:27" ht="12.75" customHeight="1">
      <c r="A467" s="1"/>
      <c r="B467" s="10" t="str">
        <f ca="1">IFERROR(__xludf.DUMMYFUNCTION("""COMPUTED_VALUE"""),"INSTALACIÓN DE LUMINARIAS ACCESO A HUISCAPI EN RUTA S-713, COMUNA DE LONCOCHE")</f>
        <v>INSTALACIÓN DE LUMINARIAS ACCESO A HUISCAPI EN RUTA S-713, COMUNA DE LONCOCHE</v>
      </c>
      <c r="C467" s="10" t="str">
        <f ca="1">IFERROR(__xludf.DUMMYFUNCTION("""COMPUTED_VALUE"""),"9109240703-C")</f>
        <v>9109240703-C</v>
      </c>
      <c r="D467" s="26" t="str">
        <f t="shared" ca="1" si="2"/>
        <v xml:space="preserve"> LONCOCHE</v>
      </c>
      <c r="E467" s="10" t="str">
        <f ca="1">IFERROR(__xludf.DUMMYFUNCTION("""COMPUTED_VALUE"""),"Guía Operativa")</f>
        <v>Guía Operativa</v>
      </c>
      <c r="F467" s="10" t="str">
        <f ca="1">IFERROR(__xludf.DUMMYFUNCTION("""COMPUTED_VALUE"""),"MUNICIPALIDAD DE LONCOCHE")</f>
        <v>MUNICIPALIDAD DE LONCOCHE</v>
      </c>
      <c r="G467" s="71">
        <f ca="1">IFERROR(__xludf.DUMMYFUNCTION("""COMPUTED_VALUE"""),233521279)</f>
        <v>233521279</v>
      </c>
      <c r="H467" s="10" t="str">
        <f ca="1">IFERROR(__xludf.DUMMYFUNCTION("""COMPUTED_VALUE"""),"Resolución")</f>
        <v>Resolución</v>
      </c>
      <c r="I467" s="10" t="str">
        <f ca="1">IFERROR(__xludf.DUMMYFUNCTION("""COMPUTED_VALUE"""),"Obra")</f>
        <v>Obra</v>
      </c>
      <c r="J467" s="10" t="str">
        <f ca="1">IFERROR(__xludf.DUMMYFUNCTION("""COMPUTED_VALUE"""),"Cumplir con normativa y reglamentos internos del programa en base a los objetivos.")</f>
        <v>Cumplir con normativa y reglamentos internos del programa en base a los objetivos.</v>
      </c>
      <c r="K467" s="71">
        <f ca="1">IFERROR(__xludf.DUMMYFUNCTION("""COMPUTED_VALUE"""),233521279)</f>
        <v>233521279</v>
      </c>
      <c r="L467" s="27">
        <f ca="1">IFERROR(__xludf.DUMMYFUNCTION("""COMPUTED_VALUE"""),1)</f>
        <v>1</v>
      </c>
      <c r="M467" s="10" t="str">
        <f ca="1">IFERROR(__xludf.DUMMYFUNCTION("""COMPUTED_VALUE"""),"11841/2024")</f>
        <v>11841/2024</v>
      </c>
      <c r="N467" s="10" t="str">
        <f ca="1">IFERROR(__xludf.DUMMYFUNCTION("""COMPUTED_VALUE"""),"PMB")</f>
        <v>PMB</v>
      </c>
      <c r="O467" s="59"/>
      <c r="P467" s="1"/>
      <c r="Q467" s="1"/>
      <c r="R467" s="1"/>
      <c r="S467" s="1"/>
      <c r="T467" s="1"/>
      <c r="U467" s="1"/>
      <c r="V467" s="1"/>
      <c r="W467" s="1"/>
      <c r="X467" s="1"/>
      <c r="Y467" s="1"/>
      <c r="Z467" s="1"/>
      <c r="AA467" s="1"/>
    </row>
    <row r="468" spans="1:27" ht="12.75" customHeight="1">
      <c r="A468" s="1"/>
      <c r="B468" s="10" t="str">
        <f ca="1">IFERROR(__xludf.DUMMYFUNCTION("""COMPUTED_VALUE"""),"ASISTENCIA TECNICA GENERACION CARTERA DE PROYECTOS PMU SUBDERE, VARIOS SECTORES COMUNA DE PICHIDEGUA")</f>
        <v>ASISTENCIA TECNICA GENERACION CARTERA DE PROYECTOS PMU SUBDERE, VARIOS SECTORES COMUNA DE PICHIDEGUA</v>
      </c>
      <c r="C468" s="10" t="str">
        <f ca="1">IFERROR(__xludf.DUMMYFUNCTION("""COMPUTED_VALUE"""),"6113231002-C")</f>
        <v>6113231002-C</v>
      </c>
      <c r="D468" s="26" t="str">
        <f t="shared" ca="1" si="2"/>
        <v xml:space="preserve"> PICHIDEGUA</v>
      </c>
      <c r="E468" s="10" t="str">
        <f ca="1">IFERROR(__xludf.DUMMYFUNCTION("""COMPUTED_VALUE"""),"Guía Operativa")</f>
        <v>Guía Operativa</v>
      </c>
      <c r="F468" s="10" t="str">
        <f ca="1">IFERROR(__xludf.DUMMYFUNCTION("""COMPUTED_VALUE"""),"MUNICIPALIDAD DE PICHIDEGUA")</f>
        <v>MUNICIPALIDAD DE PICHIDEGUA</v>
      </c>
      <c r="G468" s="71">
        <f ca="1">IFERROR(__xludf.DUMMYFUNCTION("""COMPUTED_VALUE"""),54000000)</f>
        <v>54000000</v>
      </c>
      <c r="H468" s="10" t="str">
        <f ca="1">IFERROR(__xludf.DUMMYFUNCTION("""COMPUTED_VALUE"""),"Resolución")</f>
        <v>Resolución</v>
      </c>
      <c r="I468" s="10" t="str">
        <f ca="1">IFERROR(__xludf.DUMMYFUNCTION("""COMPUTED_VALUE"""),"Asistencia Técnica")</f>
        <v>Asistencia Técnica</v>
      </c>
      <c r="J468" s="10" t="str">
        <f ca="1">IFERROR(__xludf.DUMMYFUNCTION("""COMPUTED_VALUE"""),"Cumplir con normativa y reglamentos internos del programa en base a los objetivos.")</f>
        <v>Cumplir con normativa y reglamentos internos del programa en base a los objetivos.</v>
      </c>
      <c r="K468" s="71">
        <f ca="1">IFERROR(__xludf.DUMMYFUNCTION("""COMPUTED_VALUE"""),54000000)</f>
        <v>54000000</v>
      </c>
      <c r="L468" s="27">
        <f ca="1">IFERROR(__xludf.DUMMYFUNCTION("""COMPUTED_VALUE"""),1)</f>
        <v>1</v>
      </c>
      <c r="M468" s="10" t="str">
        <f ca="1">IFERROR(__xludf.DUMMYFUNCTION("""COMPUTED_VALUE"""),"11863/2024")</f>
        <v>11863/2024</v>
      </c>
      <c r="N468" s="10" t="str">
        <f ca="1">IFERROR(__xludf.DUMMYFUNCTION("""COMPUTED_VALUE"""),"PMB")</f>
        <v>PMB</v>
      </c>
      <c r="O468" s="59"/>
      <c r="P468" s="1"/>
      <c r="Q468" s="1"/>
      <c r="R468" s="1"/>
      <c r="S468" s="1"/>
      <c r="T468" s="1"/>
      <c r="U468" s="1"/>
      <c r="V468" s="1"/>
      <c r="W468" s="1"/>
      <c r="X468" s="1"/>
      <c r="Y468" s="1"/>
      <c r="Z468" s="1"/>
      <c r="AA468" s="1"/>
    </row>
    <row r="469" spans="1:27" ht="12.75" customHeight="1">
      <c r="A469" s="1"/>
      <c r="B469" s="10" t="str">
        <f ca="1">IFERROR(__xludf.DUMMYFUNCTION("""COMPUTED_VALUE"""),"INSTALACIÓN LUMINARIAS CON PANELES FOTOVOLTAICOS RUTA S-484 SECTOR RALIPITRA, NUEVA IMPERIAL")</f>
        <v>INSTALACIÓN LUMINARIAS CON PANELES FOTOVOLTAICOS RUTA S-484 SECTOR RALIPITRA, NUEVA IMPERIAL</v>
      </c>
      <c r="C469" s="10" t="str">
        <f ca="1">IFERROR(__xludf.DUMMYFUNCTION("""COMPUTED_VALUE"""),"9111230705-C")</f>
        <v>9111230705-C</v>
      </c>
      <c r="D469" s="26" t="str">
        <f t="shared" ca="1" si="2"/>
        <v xml:space="preserve"> NUEVA IMPERIAL</v>
      </c>
      <c r="E469" s="10" t="str">
        <f ca="1">IFERROR(__xludf.DUMMYFUNCTION("""COMPUTED_VALUE"""),"Guía Operativa")</f>
        <v>Guía Operativa</v>
      </c>
      <c r="F469" s="10" t="str">
        <f ca="1">IFERROR(__xludf.DUMMYFUNCTION("""COMPUTED_VALUE"""),"MUNICIPALIDAD DE NUEVA IMPERIAL")</f>
        <v>MUNICIPALIDAD DE NUEVA IMPERIAL</v>
      </c>
      <c r="G469" s="71">
        <f ca="1">IFERROR(__xludf.DUMMYFUNCTION("""COMPUTED_VALUE"""),115000000)</f>
        <v>115000000</v>
      </c>
      <c r="H469" s="10" t="str">
        <f ca="1">IFERROR(__xludf.DUMMYFUNCTION("""COMPUTED_VALUE"""),"Resolución")</f>
        <v>Resolución</v>
      </c>
      <c r="I469" s="10" t="str">
        <f ca="1">IFERROR(__xludf.DUMMYFUNCTION("""COMPUTED_VALUE"""),"Obra")</f>
        <v>Obra</v>
      </c>
      <c r="J469" s="10" t="str">
        <f ca="1">IFERROR(__xludf.DUMMYFUNCTION("""COMPUTED_VALUE"""),"Cumplir con normativa y reglamentos internos del programa en base a los objetivos.")</f>
        <v>Cumplir con normativa y reglamentos internos del programa en base a los objetivos.</v>
      </c>
      <c r="K469" s="71">
        <f ca="1">IFERROR(__xludf.DUMMYFUNCTION("""COMPUTED_VALUE"""),115000000)</f>
        <v>115000000</v>
      </c>
      <c r="L469" s="27">
        <f ca="1">IFERROR(__xludf.DUMMYFUNCTION("""COMPUTED_VALUE"""),1)</f>
        <v>1</v>
      </c>
      <c r="M469" s="10" t="str">
        <f ca="1">IFERROR(__xludf.DUMMYFUNCTION("""COMPUTED_VALUE"""),"11853/2024")</f>
        <v>11853/2024</v>
      </c>
      <c r="N469" s="10" t="str">
        <f ca="1">IFERROR(__xludf.DUMMYFUNCTION("""COMPUTED_VALUE"""),"PMB")</f>
        <v>PMB</v>
      </c>
      <c r="O469" s="59"/>
      <c r="P469" s="1"/>
      <c r="Q469" s="1"/>
      <c r="R469" s="1"/>
      <c r="S469" s="1"/>
      <c r="T469" s="1"/>
      <c r="U469" s="1"/>
      <c r="V469" s="1"/>
      <c r="W469" s="1"/>
      <c r="X469" s="1"/>
      <c r="Y469" s="1"/>
      <c r="Z469" s="1"/>
      <c r="AA469" s="1"/>
    </row>
    <row r="470" spans="1:27" ht="12.75" customHeight="1">
      <c r="A470" s="1"/>
      <c r="B470" s="10" t="str">
        <f ca="1">IFERROR(__xludf.DUMMYFUNCTION("""COMPUTED_VALUE"""),"RECAMBIO LUMINARIA VIALES A LED SECTOR OESTE Y NORTE, COMUNA DE TRAIGUEN")</f>
        <v>RECAMBIO LUMINARIA VIALES A LED SECTOR OESTE Y NORTE, COMUNA DE TRAIGUEN</v>
      </c>
      <c r="C470" s="10" t="str">
        <f ca="1">IFERROR(__xludf.DUMMYFUNCTION("""COMPUTED_VALUE"""),"9210240708-C")</f>
        <v>9210240708-C</v>
      </c>
      <c r="D470" s="26" t="str">
        <f t="shared" ca="1" si="2"/>
        <v xml:space="preserve"> TRAIGUÉN</v>
      </c>
      <c r="E470" s="10" t="str">
        <f ca="1">IFERROR(__xludf.DUMMYFUNCTION("""COMPUTED_VALUE"""),"Guía Operativa")</f>
        <v>Guía Operativa</v>
      </c>
      <c r="F470" s="10" t="str">
        <f ca="1">IFERROR(__xludf.DUMMYFUNCTION("""COMPUTED_VALUE"""),"MUNICIPALIDAD DE TRAIGUÉN")</f>
        <v>MUNICIPALIDAD DE TRAIGUÉN</v>
      </c>
      <c r="G470" s="71">
        <f ca="1">IFERROR(__xludf.DUMMYFUNCTION("""COMPUTED_VALUE"""),237269475)</f>
        <v>237269475</v>
      </c>
      <c r="H470" s="10" t="str">
        <f ca="1">IFERROR(__xludf.DUMMYFUNCTION("""COMPUTED_VALUE"""),"Resolución")</f>
        <v>Resolución</v>
      </c>
      <c r="I470" s="10" t="str">
        <f ca="1">IFERROR(__xludf.DUMMYFUNCTION("""COMPUTED_VALUE"""),"Obra")</f>
        <v>Obra</v>
      </c>
      <c r="J470" s="10" t="str">
        <f ca="1">IFERROR(__xludf.DUMMYFUNCTION("""COMPUTED_VALUE"""),"Cumplir con normativa y reglamentos internos del programa en base a los objetivos.")</f>
        <v>Cumplir con normativa y reglamentos internos del programa en base a los objetivos.</v>
      </c>
      <c r="K470" s="71">
        <f ca="1">IFERROR(__xludf.DUMMYFUNCTION("""COMPUTED_VALUE"""),237269475)</f>
        <v>237269475</v>
      </c>
      <c r="L470" s="27">
        <f ca="1">IFERROR(__xludf.DUMMYFUNCTION("""COMPUTED_VALUE"""),1)</f>
        <v>1</v>
      </c>
      <c r="M470" s="10" t="str">
        <f ca="1">IFERROR(__xludf.DUMMYFUNCTION("""COMPUTED_VALUE"""),"11843/2024")</f>
        <v>11843/2024</v>
      </c>
      <c r="N470" s="10" t="str">
        <f ca="1">IFERROR(__xludf.DUMMYFUNCTION("""COMPUTED_VALUE"""),"PMB")</f>
        <v>PMB</v>
      </c>
      <c r="O470" s="59"/>
      <c r="P470" s="1"/>
      <c r="Q470" s="1"/>
      <c r="R470" s="1"/>
      <c r="S470" s="1"/>
      <c r="T470" s="1"/>
      <c r="U470" s="1"/>
      <c r="V470" s="1"/>
      <c r="W470" s="1"/>
      <c r="X470" s="1"/>
      <c r="Y470" s="1"/>
      <c r="Z470" s="1"/>
      <c r="AA470" s="1"/>
    </row>
    <row r="471" spans="1:27" ht="12.75" customHeight="1">
      <c r="A471" s="1"/>
      <c r="B471" s="10" t="str">
        <f ca="1">IFERROR(__xludf.DUMMYFUNCTION("""COMPUTED_VALUE"""),"ASISTENCIA TECNICA PARA GENERACION DE PROYECTOS VARIAS LOCALIDADES COMUNA DE LA HIGUERA")</f>
        <v>ASISTENCIA TECNICA PARA GENERACION DE PROYECTOS VARIAS LOCALIDADES COMUNA DE LA HIGUERA</v>
      </c>
      <c r="C471" s="10" t="str">
        <f ca="1">IFERROR(__xludf.DUMMYFUNCTION("""COMPUTED_VALUE"""),"4104231001-C")</f>
        <v>4104231001-C</v>
      </c>
      <c r="D471" s="26" t="str">
        <f t="shared" ca="1" si="2"/>
        <v xml:space="preserve"> LA HIGUERA</v>
      </c>
      <c r="E471" s="10" t="str">
        <f ca="1">IFERROR(__xludf.DUMMYFUNCTION("""COMPUTED_VALUE"""),"Guía Operativa")</f>
        <v>Guía Operativa</v>
      </c>
      <c r="F471" s="10" t="str">
        <f ca="1">IFERROR(__xludf.DUMMYFUNCTION("""COMPUTED_VALUE"""),"MUNICIPALIDAD DE LA HIGUERA")</f>
        <v>MUNICIPALIDAD DE LA HIGUERA</v>
      </c>
      <c r="G471" s="71">
        <f ca="1">IFERROR(__xludf.DUMMYFUNCTION("""COMPUTED_VALUE"""),73040700)</f>
        <v>73040700</v>
      </c>
      <c r="H471" s="10" t="str">
        <f ca="1">IFERROR(__xludf.DUMMYFUNCTION("""COMPUTED_VALUE"""),"Resolución")</f>
        <v>Resolución</v>
      </c>
      <c r="I471" s="10" t="str">
        <f ca="1">IFERROR(__xludf.DUMMYFUNCTION("""COMPUTED_VALUE"""),"Asistencia Técnica")</f>
        <v>Asistencia Técnica</v>
      </c>
      <c r="J471" s="10" t="str">
        <f ca="1">IFERROR(__xludf.DUMMYFUNCTION("""COMPUTED_VALUE"""),"Cumplir con normativa y reglamentos internos del programa en base a los objetivos.")</f>
        <v>Cumplir con normativa y reglamentos internos del programa en base a los objetivos.</v>
      </c>
      <c r="K471" s="71">
        <f ca="1">IFERROR(__xludf.DUMMYFUNCTION("""COMPUTED_VALUE"""),73040700)</f>
        <v>73040700</v>
      </c>
      <c r="L471" s="27">
        <f ca="1">IFERROR(__xludf.DUMMYFUNCTION("""COMPUTED_VALUE"""),1)</f>
        <v>1</v>
      </c>
      <c r="M471" s="10" t="str">
        <f ca="1">IFERROR(__xludf.DUMMYFUNCTION("""COMPUTED_VALUE"""),"11922/2024")</f>
        <v>11922/2024</v>
      </c>
      <c r="N471" s="10" t="str">
        <f ca="1">IFERROR(__xludf.DUMMYFUNCTION("""COMPUTED_VALUE"""),"PMB")</f>
        <v>PMB</v>
      </c>
      <c r="O471" s="59"/>
      <c r="P471" s="1"/>
      <c r="Q471" s="1"/>
      <c r="R471" s="1"/>
      <c r="S471" s="1"/>
      <c r="T471" s="1"/>
      <c r="U471" s="1"/>
      <c r="V471" s="1"/>
      <c r="W471" s="1"/>
      <c r="X471" s="1"/>
      <c r="Y471" s="1"/>
      <c r="Z471" s="1"/>
      <c r="AA471" s="1"/>
    </row>
    <row r="472" spans="1:27" ht="12.75" customHeight="1">
      <c r="A472" s="1"/>
      <c r="B472" s="10" t="str">
        <f ca="1">IFERROR(__xludf.DUMMYFUNCTION("""COMPUTED_VALUE"""),"ASISTENCIA TÉCNICA EN DISEÑO Y POSTULACION DE PROYECTOS PMB PARA ENERGIZACION DE LA COMUNA DE CASTRO")</f>
        <v>ASISTENCIA TÉCNICA EN DISEÑO Y POSTULACION DE PROYECTOS PMB PARA ENERGIZACION DE LA COMUNA DE CASTRO</v>
      </c>
      <c r="C472" s="10" t="str">
        <f ca="1">IFERROR(__xludf.DUMMYFUNCTION("""COMPUTED_VALUE"""),"10201241001-C")</f>
        <v>10201241001-C</v>
      </c>
      <c r="D472" s="26" t="str">
        <f t="shared" ca="1" si="2"/>
        <v xml:space="preserve"> CASTRO</v>
      </c>
      <c r="E472" s="10" t="str">
        <f ca="1">IFERROR(__xludf.DUMMYFUNCTION("""COMPUTED_VALUE"""),"Guía Operativa")</f>
        <v>Guía Operativa</v>
      </c>
      <c r="F472" s="10" t="str">
        <f ca="1">IFERROR(__xludf.DUMMYFUNCTION("""COMPUTED_VALUE"""),"MUNICIPALIDAD DE CASTRO")</f>
        <v>MUNICIPALIDAD DE CASTRO</v>
      </c>
      <c r="G472" s="71">
        <f ca="1">IFERROR(__xludf.DUMMYFUNCTION("""COMPUTED_VALUE"""),62400000)</f>
        <v>62400000</v>
      </c>
      <c r="H472" s="10" t="str">
        <f ca="1">IFERROR(__xludf.DUMMYFUNCTION("""COMPUTED_VALUE"""),"Resolución")</f>
        <v>Resolución</v>
      </c>
      <c r="I472" s="10" t="str">
        <f ca="1">IFERROR(__xludf.DUMMYFUNCTION("""COMPUTED_VALUE"""),"Asistencia Técnica")</f>
        <v>Asistencia Técnica</v>
      </c>
      <c r="J472" s="10" t="str">
        <f ca="1">IFERROR(__xludf.DUMMYFUNCTION("""COMPUTED_VALUE"""),"Cumplir con normativa y reglamentos internos del programa en base a los objetivos.")</f>
        <v>Cumplir con normativa y reglamentos internos del programa en base a los objetivos.</v>
      </c>
      <c r="K472" s="71">
        <f ca="1">IFERROR(__xludf.DUMMYFUNCTION("""COMPUTED_VALUE"""),62400000)</f>
        <v>62400000</v>
      </c>
      <c r="L472" s="27">
        <f ca="1">IFERROR(__xludf.DUMMYFUNCTION("""COMPUTED_VALUE"""),1)</f>
        <v>1</v>
      </c>
      <c r="M472" s="10" t="str">
        <f ca="1">IFERROR(__xludf.DUMMYFUNCTION("""COMPUTED_VALUE"""),"12009/2024")</f>
        <v>12009/2024</v>
      </c>
      <c r="N472" s="10" t="str">
        <f ca="1">IFERROR(__xludf.DUMMYFUNCTION("""COMPUTED_VALUE"""),"PMB")</f>
        <v>PMB</v>
      </c>
      <c r="O472" s="59"/>
      <c r="P472" s="1"/>
      <c r="Q472" s="1"/>
      <c r="R472" s="1"/>
      <c r="S472" s="1"/>
      <c r="T472" s="1"/>
      <c r="U472" s="1"/>
      <c r="V472" s="1"/>
      <c r="W472" s="1"/>
      <c r="X472" s="1"/>
      <c r="Y472" s="1"/>
      <c r="Z472" s="1"/>
      <c r="AA472" s="1"/>
    </row>
    <row r="473" spans="1:27" ht="12.75" customHeight="1">
      <c r="A473" s="1"/>
      <c r="B473" s="10" t="str">
        <f ca="1">IFERROR(__xludf.DUMMYFUNCTION("""COMPUTED_VALUE"""),"MEJORAMIENTO APR COLPANAO, APR COMUNIDAD VALENTIN CALBUIN, APR PILPILCO, Y APR SAN RAMÓN, COMUNA DE PADRE LAS CASAS")</f>
        <v>MEJORAMIENTO APR COLPANAO, APR COMUNIDAD VALENTIN CALBUIN, APR PILPILCO, Y APR SAN RAMÓN, COMUNA DE PADRE LAS CASAS</v>
      </c>
      <c r="C473" s="10" t="str">
        <f ca="1">IFERROR(__xludf.DUMMYFUNCTION("""COMPUTED_VALUE"""),"9112240701-C")</f>
        <v>9112240701-C</v>
      </c>
      <c r="D473" s="26" t="str">
        <f t="shared" ca="1" si="2"/>
        <v xml:space="preserve"> PADRE LAS CASAS</v>
      </c>
      <c r="E473" s="10" t="str">
        <f ca="1">IFERROR(__xludf.DUMMYFUNCTION("""COMPUTED_VALUE"""),"Guía Operativa")</f>
        <v>Guía Operativa</v>
      </c>
      <c r="F473" s="10" t="str">
        <f ca="1">IFERROR(__xludf.DUMMYFUNCTION("""COMPUTED_VALUE"""),"MUNICIPALIDAD DE PADRE LAS CASAS")</f>
        <v>MUNICIPALIDAD DE PADRE LAS CASAS</v>
      </c>
      <c r="G473" s="71">
        <f ca="1">IFERROR(__xludf.DUMMYFUNCTION("""COMPUTED_VALUE"""),98640829)</f>
        <v>98640829</v>
      </c>
      <c r="H473" s="10" t="str">
        <f ca="1">IFERROR(__xludf.DUMMYFUNCTION("""COMPUTED_VALUE"""),"Resolución")</f>
        <v>Resolución</v>
      </c>
      <c r="I473" s="10" t="str">
        <f ca="1">IFERROR(__xludf.DUMMYFUNCTION("""COMPUTED_VALUE"""),"Obra")</f>
        <v>Obra</v>
      </c>
      <c r="J473" s="10" t="str">
        <f ca="1">IFERROR(__xludf.DUMMYFUNCTION("""COMPUTED_VALUE"""),"Cumplir con normativa y reglamentos internos del programa en base a los objetivos.")</f>
        <v>Cumplir con normativa y reglamentos internos del programa en base a los objetivos.</v>
      </c>
      <c r="K473" s="71">
        <f ca="1">IFERROR(__xludf.DUMMYFUNCTION("""COMPUTED_VALUE"""),98640829)</f>
        <v>98640829</v>
      </c>
      <c r="L473" s="27">
        <f ca="1">IFERROR(__xludf.DUMMYFUNCTION("""COMPUTED_VALUE"""),1)</f>
        <v>1</v>
      </c>
      <c r="M473" s="10" t="str">
        <f ca="1">IFERROR(__xludf.DUMMYFUNCTION("""COMPUTED_VALUE"""),"11905/2024")</f>
        <v>11905/2024</v>
      </c>
      <c r="N473" s="10" t="str">
        <f ca="1">IFERROR(__xludf.DUMMYFUNCTION("""COMPUTED_VALUE"""),"PMB")</f>
        <v>PMB</v>
      </c>
      <c r="O473" s="59"/>
      <c r="P473" s="1"/>
      <c r="Q473" s="1"/>
      <c r="R473" s="1"/>
      <c r="S473" s="1"/>
      <c r="T473" s="1"/>
      <c r="U473" s="1"/>
      <c r="V473" s="1"/>
      <c r="W473" s="1"/>
      <c r="X473" s="1"/>
      <c r="Y473" s="1"/>
      <c r="Z473" s="1"/>
      <c r="AA473" s="1"/>
    </row>
    <row r="474" spans="1:27" ht="12.75" customHeight="1">
      <c r="A474" s="1"/>
      <c r="B474" s="10" t="str">
        <f ca="1">IFERROR(__xludf.DUMMYFUNCTION("""COMPUTED_VALUE"""),"CONSTRUCCIÓN ACCESO PERIMETRAL Y SISTEMA DE CONTROL Y MANEJO LIXIVIADOS Y AGUAS LLUVIAS VERTEDERO DALCAHUE")</f>
        <v>CONSTRUCCIÓN ACCESO PERIMETRAL Y SISTEMA DE CONTROL Y MANEJO LIXIVIADOS Y AGUAS LLUVIAS VERTEDERO DALCAHUE</v>
      </c>
      <c r="C474" s="10" t="str">
        <f ca="1">IFERROR(__xludf.DUMMYFUNCTION("""COMPUTED_VALUE"""),"10205240701-C")</f>
        <v>10205240701-C</v>
      </c>
      <c r="D474" s="26" t="str">
        <f t="shared" ca="1" si="2"/>
        <v xml:space="preserve"> DALCAHUE</v>
      </c>
      <c r="E474" s="10" t="str">
        <f ca="1">IFERROR(__xludf.DUMMYFUNCTION("""COMPUTED_VALUE"""),"Guía Operativa")</f>
        <v>Guía Operativa</v>
      </c>
      <c r="F474" s="10" t="str">
        <f ca="1">IFERROR(__xludf.DUMMYFUNCTION("""COMPUTED_VALUE"""),"MUNICIPALIDAD DE DALCAHUE")</f>
        <v>MUNICIPALIDAD DE DALCAHUE</v>
      </c>
      <c r="G474" s="71">
        <f ca="1">IFERROR(__xludf.DUMMYFUNCTION("""COMPUTED_VALUE"""),323000000)</f>
        <v>323000000</v>
      </c>
      <c r="H474" s="10" t="str">
        <f ca="1">IFERROR(__xludf.DUMMYFUNCTION("""COMPUTED_VALUE"""),"Resolución")</f>
        <v>Resolución</v>
      </c>
      <c r="I474" s="10" t="str">
        <f ca="1">IFERROR(__xludf.DUMMYFUNCTION("""COMPUTED_VALUE"""),"Obra")</f>
        <v>Obra</v>
      </c>
      <c r="J474" s="10" t="str">
        <f ca="1">IFERROR(__xludf.DUMMYFUNCTION("""COMPUTED_VALUE"""),"Cumplir con normativa y reglamentos internos del programa en base a los objetivos.")</f>
        <v>Cumplir con normativa y reglamentos internos del programa en base a los objetivos.</v>
      </c>
      <c r="K474" s="71">
        <f ca="1">IFERROR(__xludf.DUMMYFUNCTION("""COMPUTED_VALUE"""),323000000)</f>
        <v>323000000</v>
      </c>
      <c r="L474" s="27">
        <f ca="1">IFERROR(__xludf.DUMMYFUNCTION("""COMPUTED_VALUE"""),1)</f>
        <v>1</v>
      </c>
      <c r="M474" s="10" t="str">
        <f ca="1">IFERROR(__xludf.DUMMYFUNCTION("""COMPUTED_VALUE"""),"12187/2024")</f>
        <v>12187/2024</v>
      </c>
      <c r="N474" s="10" t="str">
        <f ca="1">IFERROR(__xludf.DUMMYFUNCTION("""COMPUTED_VALUE"""),"PMB")</f>
        <v>PMB</v>
      </c>
      <c r="O474" s="59"/>
      <c r="P474" s="1"/>
      <c r="Q474" s="1"/>
      <c r="R474" s="1"/>
      <c r="S474" s="1"/>
      <c r="T474" s="1"/>
      <c r="U474" s="1"/>
      <c r="V474" s="1"/>
      <c r="W474" s="1"/>
      <c r="X474" s="1"/>
      <c r="Y474" s="1"/>
      <c r="Z474" s="1"/>
      <c r="AA474" s="1"/>
    </row>
    <row r="475" spans="1:27" ht="12.75" customHeight="1">
      <c r="A475" s="1"/>
      <c r="B475" s="10" t="str">
        <f ca="1">IFERROR(__xludf.DUMMYFUNCTION("""COMPUTED_VALUE"""),"CONSTRUCCION CENTRO DE RECICLAJE URBANO, COMUNA DE FUTALEUFU")</f>
        <v>CONSTRUCCION CENTRO DE RECICLAJE URBANO, COMUNA DE FUTALEUFU</v>
      </c>
      <c r="C475" s="10" t="str">
        <f ca="1">IFERROR(__xludf.DUMMYFUNCTION("""COMPUTED_VALUE"""),"10402240701-C")</f>
        <v>10402240701-C</v>
      </c>
      <c r="D475" s="26" t="str">
        <f t="shared" ca="1" si="2"/>
        <v xml:space="preserve"> FUTALEUFÚ</v>
      </c>
      <c r="E475" s="10" t="str">
        <f ca="1">IFERROR(__xludf.DUMMYFUNCTION("""COMPUTED_VALUE"""),"Guía Operativa")</f>
        <v>Guía Operativa</v>
      </c>
      <c r="F475" s="10" t="str">
        <f ca="1">IFERROR(__xludf.DUMMYFUNCTION("""COMPUTED_VALUE"""),"MUNICIPALIDAD DE FUTALEUFÚ")</f>
        <v>MUNICIPALIDAD DE FUTALEUFÚ</v>
      </c>
      <c r="G475" s="71">
        <f ca="1">IFERROR(__xludf.DUMMYFUNCTION("""COMPUTED_VALUE"""),323329999)</f>
        <v>323329999</v>
      </c>
      <c r="H475" s="10" t="str">
        <f ca="1">IFERROR(__xludf.DUMMYFUNCTION("""COMPUTED_VALUE"""),"Resolución")</f>
        <v>Resolución</v>
      </c>
      <c r="I475" s="10" t="str">
        <f ca="1">IFERROR(__xludf.DUMMYFUNCTION("""COMPUTED_VALUE"""),"Obra")</f>
        <v>Obra</v>
      </c>
      <c r="J475" s="10" t="str">
        <f ca="1">IFERROR(__xludf.DUMMYFUNCTION("""COMPUTED_VALUE"""),"Cumplir con normativa y reglamentos internos del programa en base a los objetivos.")</f>
        <v>Cumplir con normativa y reglamentos internos del programa en base a los objetivos.</v>
      </c>
      <c r="K475" s="71">
        <f ca="1">IFERROR(__xludf.DUMMYFUNCTION("""COMPUTED_VALUE"""),323329999)</f>
        <v>323329999</v>
      </c>
      <c r="L475" s="27">
        <f ca="1">IFERROR(__xludf.DUMMYFUNCTION("""COMPUTED_VALUE"""),1)</f>
        <v>1</v>
      </c>
      <c r="M475" s="10" t="str">
        <f ca="1">IFERROR(__xludf.DUMMYFUNCTION("""COMPUTED_VALUE"""),"11846/2024")</f>
        <v>11846/2024</v>
      </c>
      <c r="N475" s="10" t="str">
        <f ca="1">IFERROR(__xludf.DUMMYFUNCTION("""COMPUTED_VALUE"""),"PMB")</f>
        <v>PMB</v>
      </c>
      <c r="O475" s="59"/>
      <c r="P475" s="1"/>
      <c r="Q475" s="1"/>
      <c r="R475" s="1"/>
      <c r="S475" s="1"/>
      <c r="T475" s="1"/>
      <c r="U475" s="1"/>
      <c r="V475" s="1"/>
      <c r="W475" s="1"/>
      <c r="X475" s="1"/>
      <c r="Y475" s="1"/>
      <c r="Z475" s="1"/>
      <c r="AA475" s="1"/>
    </row>
    <row r="476" spans="1:27" ht="12.75" customHeight="1">
      <c r="A476" s="1"/>
      <c r="B476" s="10" t="str">
        <f ca="1">IFERROR(__xludf.DUMMYFUNCTION("""COMPUTED_VALUE"""),"AMPLIACION Y RESPOSICIÓN DE ALUMBRADO PUBLICO DIVERSOS SECTORES DE LA COMUNA DE QUILLÓN")</f>
        <v>AMPLIACION Y RESPOSICIÓN DE ALUMBRADO PUBLICO DIVERSOS SECTORES DE LA COMUNA DE QUILLÓN</v>
      </c>
      <c r="C476" s="10" t="str">
        <f ca="1">IFERROR(__xludf.DUMMYFUNCTION("""COMPUTED_VALUE"""),"16107230705-C")</f>
        <v>16107230705-C</v>
      </c>
      <c r="D476" s="26" t="str">
        <f t="shared" ca="1" si="2"/>
        <v xml:space="preserve"> QUILLÓN</v>
      </c>
      <c r="E476" s="10" t="str">
        <f ca="1">IFERROR(__xludf.DUMMYFUNCTION("""COMPUTED_VALUE"""),"Guía Operativa")</f>
        <v>Guía Operativa</v>
      </c>
      <c r="F476" s="10" t="str">
        <f ca="1">IFERROR(__xludf.DUMMYFUNCTION("""COMPUTED_VALUE"""),"MUNICIPALIDAD DE QUILLÓN")</f>
        <v>MUNICIPALIDAD DE QUILLÓN</v>
      </c>
      <c r="G476" s="71">
        <f ca="1">IFERROR(__xludf.DUMMYFUNCTION("""COMPUTED_VALUE"""),185769636)</f>
        <v>185769636</v>
      </c>
      <c r="H476" s="10" t="str">
        <f ca="1">IFERROR(__xludf.DUMMYFUNCTION("""COMPUTED_VALUE"""),"Resolución")</f>
        <v>Resolución</v>
      </c>
      <c r="I476" s="10" t="str">
        <f ca="1">IFERROR(__xludf.DUMMYFUNCTION("""COMPUTED_VALUE"""),"Obra")</f>
        <v>Obra</v>
      </c>
      <c r="J476" s="10" t="str">
        <f ca="1">IFERROR(__xludf.DUMMYFUNCTION("""COMPUTED_VALUE"""),"Cumplir con normativa y reglamentos internos del programa en base a los objetivos.")</f>
        <v>Cumplir con normativa y reglamentos internos del programa en base a los objetivos.</v>
      </c>
      <c r="K476" s="71">
        <f ca="1">IFERROR(__xludf.DUMMYFUNCTION("""COMPUTED_VALUE"""),185769636)</f>
        <v>185769636</v>
      </c>
      <c r="L476" s="27">
        <f ca="1">IFERROR(__xludf.DUMMYFUNCTION("""COMPUTED_VALUE"""),1)</f>
        <v>1</v>
      </c>
      <c r="M476" s="10" t="str">
        <f ca="1">IFERROR(__xludf.DUMMYFUNCTION("""COMPUTED_VALUE"""),"11835/2024")</f>
        <v>11835/2024</v>
      </c>
      <c r="N476" s="10" t="str">
        <f ca="1">IFERROR(__xludf.DUMMYFUNCTION("""COMPUTED_VALUE"""),"PMB")</f>
        <v>PMB</v>
      </c>
      <c r="O476" s="59"/>
      <c r="P476" s="1"/>
      <c r="Q476" s="1"/>
      <c r="R476" s="1"/>
      <c r="S476" s="1"/>
      <c r="T476" s="1"/>
      <c r="U476" s="1"/>
      <c r="V476" s="1"/>
      <c r="W476" s="1"/>
      <c r="X476" s="1"/>
      <c r="Y476" s="1"/>
      <c r="Z476" s="1"/>
      <c r="AA476" s="1"/>
    </row>
    <row r="477" spans="1:27" ht="12.75" customHeight="1">
      <c r="A477" s="1"/>
      <c r="B477" s="10" t="str">
        <f ca="1">IFERROR(__xludf.DUMMYFUNCTION("""COMPUTED_VALUE"""),"ESTUDIO PROSPECCIÓN GEOFÍSICA PARA ABASTOS DE AGUA POTABLE EN SECTORES RURALES DE LA COMUNA DE LONQUIMAY")</f>
        <v>ESTUDIO PROSPECCIÓN GEOFÍSICA PARA ABASTOS DE AGUA POTABLE EN SECTORES RURALES DE LA COMUNA DE LONQUIMAY</v>
      </c>
      <c r="C477" s="10" t="str">
        <f ca="1">IFERROR(__xludf.DUMMYFUNCTION("""COMPUTED_VALUE"""),"9205240401-C")</f>
        <v>9205240401-C</v>
      </c>
      <c r="D477" s="26" t="str">
        <f t="shared" ca="1" si="2"/>
        <v xml:space="preserve"> LONQUIMAY</v>
      </c>
      <c r="E477" s="10" t="str">
        <f ca="1">IFERROR(__xludf.DUMMYFUNCTION("""COMPUTED_VALUE"""),"Guía Operativa")</f>
        <v>Guía Operativa</v>
      </c>
      <c r="F477" s="10" t="str">
        <f ca="1">IFERROR(__xludf.DUMMYFUNCTION("""COMPUTED_VALUE"""),"MUNICIPALIDAD DE LONQUIMAY")</f>
        <v>MUNICIPALIDAD DE LONQUIMAY</v>
      </c>
      <c r="G477" s="71">
        <f ca="1">IFERROR(__xludf.DUMMYFUNCTION("""COMPUTED_VALUE"""),50952237)</f>
        <v>50952237</v>
      </c>
      <c r="H477" s="10" t="str">
        <f ca="1">IFERROR(__xludf.DUMMYFUNCTION("""COMPUTED_VALUE"""),"Resolución")</f>
        <v>Resolución</v>
      </c>
      <c r="I477" s="10" t="str">
        <f ca="1">IFERROR(__xludf.DUMMYFUNCTION("""COMPUTED_VALUE"""),"Estudio")</f>
        <v>Estudio</v>
      </c>
      <c r="J477" s="10" t="str">
        <f ca="1">IFERROR(__xludf.DUMMYFUNCTION("""COMPUTED_VALUE"""),"Cumplir con normativa y reglamentos internos del programa en base a los objetivos.")</f>
        <v>Cumplir con normativa y reglamentos internos del programa en base a los objetivos.</v>
      </c>
      <c r="K477" s="71">
        <f ca="1">IFERROR(__xludf.DUMMYFUNCTION("""COMPUTED_VALUE"""),50952237)</f>
        <v>50952237</v>
      </c>
      <c r="L477" s="27">
        <f ca="1">IFERROR(__xludf.DUMMYFUNCTION("""COMPUTED_VALUE"""),1)</f>
        <v>1</v>
      </c>
      <c r="M477" s="10" t="str">
        <f ca="1">IFERROR(__xludf.DUMMYFUNCTION("""COMPUTED_VALUE"""),"11706/2024")</f>
        <v>11706/2024</v>
      </c>
      <c r="N477" s="10" t="str">
        <f ca="1">IFERROR(__xludf.DUMMYFUNCTION("""COMPUTED_VALUE"""),"PMB")</f>
        <v>PMB</v>
      </c>
      <c r="O477" s="59"/>
      <c r="P477" s="1"/>
      <c r="Q477" s="1"/>
      <c r="R477" s="1"/>
      <c r="S477" s="1"/>
      <c r="T477" s="1"/>
      <c r="U477" s="1"/>
      <c r="V477" s="1"/>
      <c r="W477" s="1"/>
      <c r="X477" s="1"/>
      <c r="Y477" s="1"/>
      <c r="Z477" s="1"/>
      <c r="AA477" s="1"/>
    </row>
    <row r="478" spans="1:27" ht="12.75" customHeight="1">
      <c r="A478" s="1"/>
      <c r="B478" s="10" t="str">
        <f ca="1">IFERROR(__xludf.DUMMYFUNCTION("""COMPUTED_VALUE"""),"ESTANQUE DE AGUA POTABLE ESTABLECIMIENTO EDUCACIONAL SANTA JUANA DE LESTONNAC")</f>
        <v>ESTANQUE DE AGUA POTABLE ESTABLECIMIENTO EDUCACIONAL SANTA JUANA DE LESTONNAC</v>
      </c>
      <c r="C478" s="10" t="str">
        <f ca="1">IFERROR(__xludf.DUMMYFUNCTION("""COMPUTED_VALUE"""),"13128230701-C")</f>
        <v>13128230701-C</v>
      </c>
      <c r="D478" s="26" t="str">
        <f t="shared" ca="1" si="2"/>
        <v xml:space="preserve"> RENCA</v>
      </c>
      <c r="E478" s="10" t="str">
        <f ca="1">IFERROR(__xludf.DUMMYFUNCTION("""COMPUTED_VALUE"""),"Guía Operativa")</f>
        <v>Guía Operativa</v>
      </c>
      <c r="F478" s="10" t="str">
        <f ca="1">IFERROR(__xludf.DUMMYFUNCTION("""COMPUTED_VALUE"""),"MUNICIPALIDAD DE RENCA")</f>
        <v>MUNICIPALIDAD DE RENCA</v>
      </c>
      <c r="G478" s="71">
        <f ca="1">IFERROR(__xludf.DUMMYFUNCTION("""COMPUTED_VALUE"""),116481217)</f>
        <v>116481217</v>
      </c>
      <c r="H478" s="10" t="str">
        <f ca="1">IFERROR(__xludf.DUMMYFUNCTION("""COMPUTED_VALUE"""),"Resolución")</f>
        <v>Resolución</v>
      </c>
      <c r="I478" s="10" t="str">
        <f ca="1">IFERROR(__xludf.DUMMYFUNCTION("""COMPUTED_VALUE"""),"Obra")</f>
        <v>Obra</v>
      </c>
      <c r="J478" s="10" t="str">
        <f ca="1">IFERROR(__xludf.DUMMYFUNCTION("""COMPUTED_VALUE"""),"Cumplir con normativa y reglamentos internos del programa en base a los objetivos.")</f>
        <v>Cumplir con normativa y reglamentos internos del programa en base a los objetivos.</v>
      </c>
      <c r="K478" s="71">
        <f ca="1">IFERROR(__xludf.DUMMYFUNCTION("""COMPUTED_VALUE"""),116481217)</f>
        <v>116481217</v>
      </c>
      <c r="L478" s="27">
        <f ca="1">IFERROR(__xludf.DUMMYFUNCTION("""COMPUTED_VALUE"""),1)</f>
        <v>1</v>
      </c>
      <c r="M478" s="10" t="str">
        <f ca="1">IFERROR(__xludf.DUMMYFUNCTION("""COMPUTED_VALUE"""),"11898/2024")</f>
        <v>11898/2024</v>
      </c>
      <c r="N478" s="10" t="str">
        <f ca="1">IFERROR(__xludf.DUMMYFUNCTION("""COMPUTED_VALUE"""),"PMB")</f>
        <v>PMB</v>
      </c>
      <c r="O478" s="59"/>
      <c r="P478" s="1"/>
      <c r="Q478" s="1"/>
      <c r="R478" s="1"/>
      <c r="S478" s="1"/>
      <c r="T478" s="1"/>
      <c r="U478" s="1"/>
      <c r="V478" s="1"/>
      <c r="W478" s="1"/>
      <c r="X478" s="1"/>
      <c r="Y478" s="1"/>
      <c r="Z478" s="1"/>
      <c r="AA478" s="1"/>
    </row>
    <row r="479" spans="1:27" ht="12.75" customHeight="1">
      <c r="A479" s="1"/>
      <c r="B479" s="10" t="str">
        <f ca="1">IFERROR(__xludf.DUMMYFUNCTION("""COMPUTED_VALUE"""),"CONEXIONES ELÉCTRICAS PARA PLANTA DE CAPTACIÓN DE AGUA APR LOLCURA, COMUNA DE MAULLÍN")</f>
        <v>CONEXIONES ELÉCTRICAS PARA PLANTA DE CAPTACIÓN DE AGUA APR LOLCURA, COMUNA DE MAULLÍN</v>
      </c>
      <c r="C479" s="10" t="str">
        <f ca="1">IFERROR(__xludf.DUMMYFUNCTION("""COMPUTED_VALUE"""),"10108230703-C")</f>
        <v>10108230703-C</v>
      </c>
      <c r="D479" s="26" t="str">
        <f t="shared" ca="1" si="2"/>
        <v xml:space="preserve"> MAULLÍN</v>
      </c>
      <c r="E479" s="10" t="str">
        <f ca="1">IFERROR(__xludf.DUMMYFUNCTION("""COMPUTED_VALUE"""),"Guía Operativa")</f>
        <v>Guía Operativa</v>
      </c>
      <c r="F479" s="10" t="str">
        <f ca="1">IFERROR(__xludf.DUMMYFUNCTION("""COMPUTED_VALUE"""),"MUNICIPALIDAD DE MAULLÍN")</f>
        <v>MUNICIPALIDAD DE MAULLÍN</v>
      </c>
      <c r="G479" s="71">
        <f ca="1">IFERROR(__xludf.DUMMYFUNCTION("""COMPUTED_VALUE"""),24590466)</f>
        <v>24590466</v>
      </c>
      <c r="H479" s="10" t="str">
        <f ca="1">IFERROR(__xludf.DUMMYFUNCTION("""COMPUTED_VALUE"""),"Resolución")</f>
        <v>Resolución</v>
      </c>
      <c r="I479" s="10" t="str">
        <f ca="1">IFERROR(__xludf.DUMMYFUNCTION("""COMPUTED_VALUE"""),"Obra")</f>
        <v>Obra</v>
      </c>
      <c r="J479" s="10" t="str">
        <f ca="1">IFERROR(__xludf.DUMMYFUNCTION("""COMPUTED_VALUE"""),"Cumplir con normativa y reglamentos internos del programa en base a los objetivos.")</f>
        <v>Cumplir con normativa y reglamentos internos del programa en base a los objetivos.</v>
      </c>
      <c r="K479" s="71">
        <f ca="1">IFERROR(__xludf.DUMMYFUNCTION("""COMPUTED_VALUE"""),24590466)</f>
        <v>24590466</v>
      </c>
      <c r="L479" s="27">
        <f ca="1">IFERROR(__xludf.DUMMYFUNCTION("""COMPUTED_VALUE"""),1)</f>
        <v>1</v>
      </c>
      <c r="M479" s="10" t="str">
        <f ca="1">IFERROR(__xludf.DUMMYFUNCTION("""COMPUTED_VALUE"""),"11866/2024")</f>
        <v>11866/2024</v>
      </c>
      <c r="N479" s="10" t="str">
        <f ca="1">IFERROR(__xludf.DUMMYFUNCTION("""COMPUTED_VALUE"""),"PMB")</f>
        <v>PMB</v>
      </c>
      <c r="O479" s="59"/>
      <c r="P479" s="1"/>
      <c r="Q479" s="1"/>
      <c r="R479" s="1"/>
      <c r="S479" s="1"/>
      <c r="T479" s="1"/>
      <c r="U479" s="1"/>
      <c r="V479" s="1"/>
      <c r="W479" s="1"/>
      <c r="X479" s="1"/>
      <c r="Y479" s="1"/>
      <c r="Z479" s="1"/>
      <c r="AA479" s="1"/>
    </row>
    <row r="480" spans="1:27" ht="12.75" customHeight="1">
      <c r="A480" s="1"/>
      <c r="B480" s="10" t="str">
        <f ca="1">IFERROR(__xludf.DUMMYFUNCTION("""COMPUTED_VALUE"""),"INSTALACIÓN DE LUMINARIAS LED PEATONALES EN AVDA COQUIMBO ENTRE AVDA GABRIELA PONIENTE Y CALLE LA PRIMAVERA PUENTE ALTO")</f>
        <v>INSTALACIÓN DE LUMINARIAS LED PEATONALES EN AVDA COQUIMBO ENTRE AVDA GABRIELA PONIENTE Y CALLE LA PRIMAVERA PUENTE ALTO</v>
      </c>
      <c r="C480" s="10" t="str">
        <f ca="1">IFERROR(__xludf.DUMMYFUNCTION("""COMPUTED_VALUE"""),"13201220701-C")</f>
        <v>13201220701-C</v>
      </c>
      <c r="D480" s="26" t="str">
        <f t="shared" ca="1" si="2"/>
        <v xml:space="preserve"> PUENTE ALTO</v>
      </c>
      <c r="E480" s="10" t="str">
        <f ca="1">IFERROR(__xludf.DUMMYFUNCTION("""COMPUTED_VALUE"""),"Guía Operativa")</f>
        <v>Guía Operativa</v>
      </c>
      <c r="F480" s="10" t="str">
        <f ca="1">IFERROR(__xludf.DUMMYFUNCTION("""COMPUTED_VALUE"""),"MUNICIPALIDAD DE PUENTE ALTO")</f>
        <v>MUNICIPALIDAD DE PUENTE ALTO</v>
      </c>
      <c r="G480" s="71">
        <f ca="1">IFERROR(__xludf.DUMMYFUNCTION("""COMPUTED_VALUE"""),106723374)</f>
        <v>106723374</v>
      </c>
      <c r="H480" s="10" t="str">
        <f ca="1">IFERROR(__xludf.DUMMYFUNCTION("""COMPUTED_VALUE"""),"Resolución")</f>
        <v>Resolución</v>
      </c>
      <c r="I480" s="10" t="str">
        <f ca="1">IFERROR(__xludf.DUMMYFUNCTION("""COMPUTED_VALUE"""),"Obra")</f>
        <v>Obra</v>
      </c>
      <c r="J480" s="10" t="str">
        <f ca="1">IFERROR(__xludf.DUMMYFUNCTION("""COMPUTED_VALUE"""),"Cumplir con normativa y reglamentos internos del programa en base a los objetivos.")</f>
        <v>Cumplir con normativa y reglamentos internos del programa en base a los objetivos.</v>
      </c>
      <c r="K480" s="71">
        <f ca="1">IFERROR(__xludf.DUMMYFUNCTION("""COMPUTED_VALUE"""),106723374)</f>
        <v>106723374</v>
      </c>
      <c r="L480" s="27">
        <f ca="1">IFERROR(__xludf.DUMMYFUNCTION("""COMPUTED_VALUE"""),1)</f>
        <v>1</v>
      </c>
      <c r="M480" s="10" t="str">
        <f ca="1">IFERROR(__xludf.DUMMYFUNCTION("""COMPUTED_VALUE"""),"11904/2024")</f>
        <v>11904/2024</v>
      </c>
      <c r="N480" s="10" t="str">
        <f ca="1">IFERROR(__xludf.DUMMYFUNCTION("""COMPUTED_VALUE"""),"PMB")</f>
        <v>PMB</v>
      </c>
      <c r="O480" s="59"/>
      <c r="P480" s="1"/>
      <c r="Q480" s="1"/>
      <c r="R480" s="1"/>
      <c r="S480" s="1"/>
      <c r="T480" s="1"/>
      <c r="U480" s="1"/>
      <c r="V480" s="1"/>
      <c r="W480" s="1"/>
      <c r="X480" s="1"/>
      <c r="Y480" s="1"/>
      <c r="Z480" s="1"/>
      <c r="AA480" s="1"/>
    </row>
    <row r="481" spans="1:27" ht="12.75" customHeight="1">
      <c r="A481" s="1"/>
      <c r="B481" s="10" t="str">
        <f ca="1">IFERROR(__xludf.DUMMYFUNCTION("""COMPUTED_VALUE"""),"ASISTENCIA TECNICA PARA GENERACIÓN DE PROYECTOS EN DIVERSOS SECTORES, CURACO DE VELEZ")</f>
        <v>ASISTENCIA TECNICA PARA GENERACIÓN DE PROYECTOS EN DIVERSOS SECTORES, CURACO DE VELEZ</v>
      </c>
      <c r="C481" s="10" t="str">
        <f ca="1">IFERROR(__xludf.DUMMYFUNCTION("""COMPUTED_VALUE"""),"10204241003-C")</f>
        <v>10204241003-C</v>
      </c>
      <c r="D481" s="26" t="str">
        <f t="shared" ca="1" si="2"/>
        <v xml:space="preserve"> CURACO DE VÉLEZ</v>
      </c>
      <c r="E481" s="10" t="str">
        <f ca="1">IFERROR(__xludf.DUMMYFUNCTION("""COMPUTED_VALUE"""),"Guía Operativa")</f>
        <v>Guía Operativa</v>
      </c>
      <c r="F481" s="10" t="str">
        <f ca="1">IFERROR(__xludf.DUMMYFUNCTION("""COMPUTED_VALUE"""),"MUNICIPALIDAD DE CURACO DE VÉLEZ")</f>
        <v>MUNICIPALIDAD DE CURACO DE VÉLEZ</v>
      </c>
      <c r="G481" s="71">
        <f ca="1">IFERROR(__xludf.DUMMYFUNCTION("""COMPUTED_VALUE"""),94800000)</f>
        <v>94800000</v>
      </c>
      <c r="H481" s="10" t="str">
        <f ca="1">IFERROR(__xludf.DUMMYFUNCTION("""COMPUTED_VALUE"""),"Resolución")</f>
        <v>Resolución</v>
      </c>
      <c r="I481" s="10" t="str">
        <f ca="1">IFERROR(__xludf.DUMMYFUNCTION("""COMPUTED_VALUE"""),"Asistencia Técnica")</f>
        <v>Asistencia Técnica</v>
      </c>
      <c r="J481" s="10" t="str">
        <f ca="1">IFERROR(__xludf.DUMMYFUNCTION("""COMPUTED_VALUE"""),"Cumplir con normativa y reglamentos internos del programa en base a los objetivos.")</f>
        <v>Cumplir con normativa y reglamentos internos del programa en base a los objetivos.</v>
      </c>
      <c r="K481" s="71">
        <f ca="1">IFERROR(__xludf.DUMMYFUNCTION("""COMPUTED_VALUE"""),94800000)</f>
        <v>94800000</v>
      </c>
      <c r="L481" s="27">
        <f ca="1">IFERROR(__xludf.DUMMYFUNCTION("""COMPUTED_VALUE"""),1)</f>
        <v>1</v>
      </c>
      <c r="M481" s="10" t="str">
        <f ca="1">IFERROR(__xludf.DUMMYFUNCTION("""COMPUTED_VALUE"""),"11914/2024")</f>
        <v>11914/2024</v>
      </c>
      <c r="N481" s="10" t="str">
        <f ca="1">IFERROR(__xludf.DUMMYFUNCTION("""COMPUTED_VALUE"""),"PMB")</f>
        <v>PMB</v>
      </c>
      <c r="O481" s="59"/>
      <c r="P481" s="1"/>
      <c r="Q481" s="1"/>
      <c r="R481" s="1"/>
      <c r="S481" s="1"/>
      <c r="T481" s="1"/>
      <c r="U481" s="1"/>
      <c r="V481" s="1"/>
      <c r="W481" s="1"/>
      <c r="X481" s="1"/>
      <c r="Y481" s="1"/>
      <c r="Z481" s="1"/>
      <c r="AA481" s="1"/>
    </row>
    <row r="482" spans="1:27" ht="12.75" customHeight="1">
      <c r="A482" s="1"/>
      <c r="B482" s="10" t="str">
        <f ca="1">IFERROR(__xludf.DUMMYFUNCTION("""COMPUTED_VALUE"""),"ESTUDIO HIDROGEOLOGICO Y GEOFISICO LONCOTORO, COMUNA DE LLANQUIHUE")</f>
        <v>ESTUDIO HIDROGEOLOGICO Y GEOFISICO LONCOTORO, COMUNA DE LLANQUIHUE</v>
      </c>
      <c r="C482" s="10" t="str">
        <f ca="1">IFERROR(__xludf.DUMMYFUNCTION("""COMPUTED_VALUE"""),"10107240401-C")</f>
        <v>10107240401-C</v>
      </c>
      <c r="D482" s="26" t="str">
        <f t="shared" ca="1" si="2"/>
        <v xml:space="preserve"> LLANQUIHUE</v>
      </c>
      <c r="E482" s="10" t="str">
        <f ca="1">IFERROR(__xludf.DUMMYFUNCTION("""COMPUTED_VALUE"""),"Guía Operativa")</f>
        <v>Guía Operativa</v>
      </c>
      <c r="F482" s="10" t="str">
        <f ca="1">IFERROR(__xludf.DUMMYFUNCTION("""COMPUTED_VALUE"""),"MUNICIPALIDAD DE LLANQUIHUE")</f>
        <v>MUNICIPALIDAD DE LLANQUIHUE</v>
      </c>
      <c r="G482" s="71">
        <f ca="1">IFERROR(__xludf.DUMMYFUNCTION("""COMPUTED_VALUE"""),7641698)</f>
        <v>7641698</v>
      </c>
      <c r="H482" s="10" t="str">
        <f ca="1">IFERROR(__xludf.DUMMYFUNCTION("""COMPUTED_VALUE"""),"Resolución")</f>
        <v>Resolución</v>
      </c>
      <c r="I482" s="10" t="str">
        <f ca="1">IFERROR(__xludf.DUMMYFUNCTION("""COMPUTED_VALUE"""),"Estudio")</f>
        <v>Estudio</v>
      </c>
      <c r="J482" s="10" t="str">
        <f ca="1">IFERROR(__xludf.DUMMYFUNCTION("""COMPUTED_VALUE"""),"Cumplir con normativa y reglamentos internos del programa en base a los objetivos.")</f>
        <v>Cumplir con normativa y reglamentos internos del programa en base a los objetivos.</v>
      </c>
      <c r="K482" s="71">
        <f ca="1">IFERROR(__xludf.DUMMYFUNCTION("""COMPUTED_VALUE"""),7641698)</f>
        <v>7641698</v>
      </c>
      <c r="L482" s="27">
        <f ca="1">IFERROR(__xludf.DUMMYFUNCTION("""COMPUTED_VALUE"""),1)</f>
        <v>1</v>
      </c>
      <c r="M482" s="10" t="str">
        <f ca="1">IFERROR(__xludf.DUMMYFUNCTION("""COMPUTED_VALUE"""),"11872/2024")</f>
        <v>11872/2024</v>
      </c>
      <c r="N482" s="10" t="str">
        <f ca="1">IFERROR(__xludf.DUMMYFUNCTION("""COMPUTED_VALUE"""),"PMB")</f>
        <v>PMB</v>
      </c>
      <c r="O482" s="59"/>
      <c r="P482" s="1"/>
      <c r="Q482" s="1"/>
      <c r="R482" s="1"/>
      <c r="S482" s="1"/>
      <c r="T482" s="1"/>
      <c r="U482" s="1"/>
      <c r="V482" s="1"/>
      <c r="W482" s="1"/>
      <c r="X482" s="1"/>
      <c r="Y482" s="1"/>
      <c r="Z482" s="1"/>
      <c r="AA482" s="1"/>
    </row>
    <row r="483" spans="1:27" ht="12.75" customHeight="1">
      <c r="A483" s="1"/>
      <c r="B483" s="10" t="str">
        <f ca="1">IFERROR(__xludf.DUMMYFUNCTION("""COMPUTED_VALUE"""),"AMPLIACIÓN SSR O’HIGGINS EXTENSIÓN LAGUNA MAYOL, COMUNA DE CHONCHI")</f>
        <v>AMPLIACIÓN SSR O’HIGGINS EXTENSIÓN LAGUNA MAYOL, COMUNA DE CHONCHI</v>
      </c>
      <c r="C483" s="10" t="str">
        <f ca="1">IFERROR(__xludf.DUMMYFUNCTION("""COMPUTED_VALUE"""),"10203230301-C")</f>
        <v>10203230301-C</v>
      </c>
      <c r="D483" s="26" t="str">
        <f t="shared" ca="1" si="2"/>
        <v xml:space="preserve"> CHONCHI</v>
      </c>
      <c r="E483" s="10" t="str">
        <f ca="1">IFERROR(__xludf.DUMMYFUNCTION("""COMPUTED_VALUE"""),"Guía Operativa")</f>
        <v>Guía Operativa</v>
      </c>
      <c r="F483" s="10" t="str">
        <f ca="1">IFERROR(__xludf.DUMMYFUNCTION("""COMPUTED_VALUE"""),"MUNICIPALIDAD DE CHONCHI")</f>
        <v>MUNICIPALIDAD DE CHONCHI</v>
      </c>
      <c r="G483" s="71">
        <f ca="1">IFERROR(__xludf.DUMMYFUNCTION("""COMPUTED_VALUE"""),62251875)</f>
        <v>62251875</v>
      </c>
      <c r="H483" s="10" t="str">
        <f ca="1">IFERROR(__xludf.DUMMYFUNCTION("""COMPUTED_VALUE"""),"Resolución")</f>
        <v>Resolución</v>
      </c>
      <c r="I483" s="10" t="str">
        <f ca="1">IFERROR(__xludf.DUMMYFUNCTION("""COMPUTED_VALUE"""),"Diseño")</f>
        <v>Diseño</v>
      </c>
      <c r="J483" s="10" t="str">
        <f ca="1">IFERROR(__xludf.DUMMYFUNCTION("""COMPUTED_VALUE"""),"Cumplir con normativa y reglamentos internos del programa en base a los objetivos.")</f>
        <v>Cumplir con normativa y reglamentos internos del programa en base a los objetivos.</v>
      </c>
      <c r="K483" s="71">
        <f ca="1">IFERROR(__xludf.DUMMYFUNCTION("""COMPUTED_VALUE"""),62251875)</f>
        <v>62251875</v>
      </c>
      <c r="L483" s="27">
        <f ca="1">IFERROR(__xludf.DUMMYFUNCTION("""COMPUTED_VALUE"""),1)</f>
        <v>1</v>
      </c>
      <c r="M483" s="10" t="str">
        <f ca="1">IFERROR(__xludf.DUMMYFUNCTION("""COMPUTED_VALUE"""),"11704/2024")</f>
        <v>11704/2024</v>
      </c>
      <c r="N483" s="10" t="str">
        <f ca="1">IFERROR(__xludf.DUMMYFUNCTION("""COMPUTED_VALUE"""),"PMB")</f>
        <v>PMB</v>
      </c>
      <c r="O483" s="59"/>
      <c r="P483" s="1"/>
      <c r="Q483" s="1"/>
      <c r="R483" s="1"/>
      <c r="S483" s="1"/>
      <c r="T483" s="1"/>
      <c r="U483" s="1"/>
      <c r="V483" s="1"/>
      <c r="W483" s="1"/>
      <c r="X483" s="1"/>
      <c r="Y483" s="1"/>
      <c r="Z483" s="1"/>
      <c r="AA483" s="1"/>
    </row>
    <row r="484" spans="1:27" ht="12.75" customHeight="1">
      <c r="A484" s="1"/>
      <c r="B484" s="10" t="str">
        <f ca="1">IFERROR(__xludf.DUMMYFUNCTION("""COMPUTED_VALUE"""),"CAMBIO DE LUMINARIAS PUBLICAS A ILUMINACION LED, SECTOR SUR, ARCHIPIELAGO DE CHILOE, COMUNA DE PUNTA ARENAS")</f>
        <v>CAMBIO DE LUMINARIAS PUBLICAS A ILUMINACION LED, SECTOR SUR, ARCHIPIELAGO DE CHILOE, COMUNA DE PUNTA ARENAS</v>
      </c>
      <c r="C484" s="10" t="str">
        <f ca="1">IFERROR(__xludf.DUMMYFUNCTION("""COMPUTED_VALUE"""),"12101240701-C")</f>
        <v>12101240701-C</v>
      </c>
      <c r="D484" s="26" t="str">
        <f t="shared" ca="1" si="2"/>
        <v xml:space="preserve"> PUNTA ARENAS</v>
      </c>
      <c r="E484" s="10" t="str">
        <f ca="1">IFERROR(__xludf.DUMMYFUNCTION("""COMPUTED_VALUE"""),"Guía Operativa")</f>
        <v>Guía Operativa</v>
      </c>
      <c r="F484" s="10" t="str">
        <f ca="1">IFERROR(__xludf.DUMMYFUNCTION("""COMPUTED_VALUE"""),"MUNICIPALIDAD DE PUNTA ARENAS")</f>
        <v>MUNICIPALIDAD DE PUNTA ARENAS</v>
      </c>
      <c r="G484" s="71">
        <f ca="1">IFERROR(__xludf.DUMMYFUNCTION("""COMPUTED_VALUE"""),304761380)</f>
        <v>304761380</v>
      </c>
      <c r="H484" s="10" t="str">
        <f ca="1">IFERROR(__xludf.DUMMYFUNCTION("""COMPUTED_VALUE"""),"Resolución")</f>
        <v>Resolución</v>
      </c>
      <c r="I484" s="10" t="str">
        <f ca="1">IFERROR(__xludf.DUMMYFUNCTION("""COMPUTED_VALUE"""),"Obra")</f>
        <v>Obra</v>
      </c>
      <c r="J484" s="10" t="str">
        <f ca="1">IFERROR(__xludf.DUMMYFUNCTION("""COMPUTED_VALUE"""),"Cumplir con normativa y reglamentos internos del programa en base a los objetivos.")</f>
        <v>Cumplir con normativa y reglamentos internos del programa en base a los objetivos.</v>
      </c>
      <c r="K484" s="71">
        <f ca="1">IFERROR(__xludf.DUMMYFUNCTION("""COMPUTED_VALUE"""),304761380)</f>
        <v>304761380</v>
      </c>
      <c r="L484" s="27">
        <f ca="1">IFERROR(__xludf.DUMMYFUNCTION("""COMPUTED_VALUE"""),1)</f>
        <v>1</v>
      </c>
      <c r="M484" s="10" t="str">
        <f ca="1">IFERROR(__xludf.DUMMYFUNCTION("""COMPUTED_VALUE"""),"12503/2024")</f>
        <v>12503/2024</v>
      </c>
      <c r="N484" s="10" t="str">
        <f ca="1">IFERROR(__xludf.DUMMYFUNCTION("""COMPUTED_VALUE"""),"PMB")</f>
        <v>PMB</v>
      </c>
      <c r="O484" s="59"/>
      <c r="P484" s="1"/>
      <c r="Q484" s="1"/>
      <c r="R484" s="1"/>
      <c r="S484" s="1"/>
      <c r="T484" s="1"/>
      <c r="U484" s="1"/>
      <c r="V484" s="1"/>
      <c r="W484" s="1"/>
      <c r="X484" s="1"/>
      <c r="Y484" s="1"/>
      <c r="Z484" s="1"/>
      <c r="AA484" s="1"/>
    </row>
    <row r="485" spans="1:27" ht="12.75" customHeight="1">
      <c r="A485" s="1"/>
      <c r="B485" s="10" t="str">
        <f ca="1">IFERROR(__xludf.DUMMYFUNCTION("""COMPUTED_VALUE"""),"IMPLEMENTACIÓN DE SISTEMA DE TELEMETRÍA Y CONTROL PARA APR EL PRINCIPAL, COMUNA DE PIRQUE")</f>
        <v>IMPLEMENTACIÓN DE SISTEMA DE TELEMETRÍA Y CONTROL PARA APR EL PRINCIPAL, COMUNA DE PIRQUE</v>
      </c>
      <c r="C485" s="10" t="str">
        <f ca="1">IFERROR(__xludf.DUMMYFUNCTION("""COMPUTED_VALUE"""),"13202220702-C")</f>
        <v>13202220702-C</v>
      </c>
      <c r="D485" s="26" t="str">
        <f t="shared" ca="1" si="2"/>
        <v xml:space="preserve"> PIRQUE</v>
      </c>
      <c r="E485" s="10" t="str">
        <f ca="1">IFERROR(__xludf.DUMMYFUNCTION("""COMPUTED_VALUE"""),"Guía Operativa")</f>
        <v>Guía Operativa</v>
      </c>
      <c r="F485" s="10" t="str">
        <f ca="1">IFERROR(__xludf.DUMMYFUNCTION("""COMPUTED_VALUE"""),"MUNICIPALIDAD DE PIRQUE")</f>
        <v>MUNICIPALIDAD DE PIRQUE</v>
      </c>
      <c r="G485" s="71">
        <f ca="1">IFERROR(__xludf.DUMMYFUNCTION("""COMPUTED_VALUE"""),222153515)</f>
        <v>222153515</v>
      </c>
      <c r="H485" s="10" t="str">
        <f ca="1">IFERROR(__xludf.DUMMYFUNCTION("""COMPUTED_VALUE"""),"Resolución")</f>
        <v>Resolución</v>
      </c>
      <c r="I485" s="10" t="str">
        <f ca="1">IFERROR(__xludf.DUMMYFUNCTION("""COMPUTED_VALUE"""),"Obra")</f>
        <v>Obra</v>
      </c>
      <c r="J485" s="10" t="str">
        <f ca="1">IFERROR(__xludf.DUMMYFUNCTION("""COMPUTED_VALUE"""),"Cumplir con normativa y reglamentos internos del programa en base a los objetivos.")</f>
        <v>Cumplir con normativa y reglamentos internos del programa en base a los objetivos.</v>
      </c>
      <c r="K485" s="71">
        <f ca="1">IFERROR(__xludf.DUMMYFUNCTION("""COMPUTED_VALUE"""),222153515)</f>
        <v>222153515</v>
      </c>
      <c r="L485" s="27">
        <f ca="1">IFERROR(__xludf.DUMMYFUNCTION("""COMPUTED_VALUE"""),1)</f>
        <v>1</v>
      </c>
      <c r="M485" s="10" t="str">
        <f ca="1">IFERROR(__xludf.DUMMYFUNCTION("""COMPUTED_VALUE"""),"11881/2024")</f>
        <v>11881/2024</v>
      </c>
      <c r="N485" s="10" t="str">
        <f ca="1">IFERROR(__xludf.DUMMYFUNCTION("""COMPUTED_VALUE"""),"PMB")</f>
        <v>PMB</v>
      </c>
      <c r="O485" s="59"/>
      <c r="P485" s="1"/>
      <c r="Q485" s="1"/>
      <c r="R485" s="1"/>
      <c r="S485" s="1"/>
      <c r="T485" s="1"/>
      <c r="U485" s="1"/>
      <c r="V485" s="1"/>
      <c r="W485" s="1"/>
      <c r="X485" s="1"/>
      <c r="Y485" s="1"/>
      <c r="Z485" s="1"/>
      <c r="AA485" s="1"/>
    </row>
    <row r="486" spans="1:27" ht="12.75" customHeight="1">
      <c r="A486" s="1"/>
      <c r="B486" s="10" t="str">
        <f ca="1">IFERROR(__xludf.DUMMYFUNCTION("""COMPUTED_VALUE"""),"MEJORAMIENTO DE TRAMOS DE ILUMINACIÓN PÚBLICA DE LA COMUNA DE EL BOSQUE SECTOR ESTACIÓN LO MARTÍNEZ")</f>
        <v>MEJORAMIENTO DE TRAMOS DE ILUMINACIÓN PÚBLICA DE LA COMUNA DE EL BOSQUE SECTOR ESTACIÓN LO MARTÍNEZ</v>
      </c>
      <c r="C486" s="10" t="str">
        <f ca="1">IFERROR(__xludf.DUMMYFUNCTION("""COMPUTED_VALUE"""),"13105230701-C")</f>
        <v>13105230701-C</v>
      </c>
      <c r="D486" s="26" t="str">
        <f t="shared" ca="1" si="2"/>
        <v xml:space="preserve"> EL BOSQUE</v>
      </c>
      <c r="E486" s="10" t="str">
        <f ca="1">IFERROR(__xludf.DUMMYFUNCTION("""COMPUTED_VALUE"""),"Guía Operativa")</f>
        <v>Guía Operativa</v>
      </c>
      <c r="F486" s="10" t="str">
        <f ca="1">IFERROR(__xludf.DUMMYFUNCTION("""COMPUTED_VALUE"""),"MUNICIPALIDAD DE EL BOSQUE")</f>
        <v>MUNICIPALIDAD DE EL BOSQUE</v>
      </c>
      <c r="G486" s="71">
        <f ca="1">IFERROR(__xludf.DUMMYFUNCTION("""COMPUTED_VALUE"""),313969022)</f>
        <v>313969022</v>
      </c>
      <c r="H486" s="10" t="str">
        <f ca="1">IFERROR(__xludf.DUMMYFUNCTION("""COMPUTED_VALUE"""),"Resolución")</f>
        <v>Resolución</v>
      </c>
      <c r="I486" s="10" t="str">
        <f ca="1">IFERROR(__xludf.DUMMYFUNCTION("""COMPUTED_VALUE"""),"Obra")</f>
        <v>Obra</v>
      </c>
      <c r="J486" s="10" t="str">
        <f ca="1">IFERROR(__xludf.DUMMYFUNCTION("""COMPUTED_VALUE"""),"Cumplir con normativa y reglamentos internos del programa en base a los objetivos.")</f>
        <v>Cumplir con normativa y reglamentos internos del programa en base a los objetivos.</v>
      </c>
      <c r="K486" s="71">
        <f ca="1">IFERROR(__xludf.DUMMYFUNCTION("""COMPUTED_VALUE"""),313969022)</f>
        <v>313969022</v>
      </c>
      <c r="L486" s="27">
        <f ca="1">IFERROR(__xludf.DUMMYFUNCTION("""COMPUTED_VALUE"""),1)</f>
        <v>1</v>
      </c>
      <c r="M486" s="10" t="str">
        <f ca="1">IFERROR(__xludf.DUMMYFUNCTION("""COMPUTED_VALUE"""),"11997/2024")</f>
        <v>11997/2024</v>
      </c>
      <c r="N486" s="10" t="str">
        <f ca="1">IFERROR(__xludf.DUMMYFUNCTION("""COMPUTED_VALUE"""),"PMB")</f>
        <v>PMB</v>
      </c>
      <c r="O486" s="59"/>
      <c r="P486" s="1"/>
      <c r="Q486" s="1"/>
      <c r="R486" s="1"/>
      <c r="S486" s="1"/>
      <c r="T486" s="1"/>
      <c r="U486" s="1"/>
      <c r="V486" s="1"/>
      <c r="W486" s="1"/>
      <c r="X486" s="1"/>
      <c r="Y486" s="1"/>
      <c r="Z486" s="1"/>
      <c r="AA486" s="1"/>
    </row>
    <row r="487" spans="1:27" ht="12.75" customHeight="1">
      <c r="A487" s="1"/>
      <c r="B487" s="10" t="str">
        <f ca="1">IFERROR(__xludf.DUMMYFUNCTION("""COMPUTED_VALUE"""),"PUNTOS DE CONECTIVIDAD WIFI EN SECTORES RURALES, COMUNA DE PADRE HURTADO")</f>
        <v>PUNTOS DE CONECTIVIDAD WIFI EN SECTORES RURALES, COMUNA DE PADRE HURTADO</v>
      </c>
      <c r="C487" s="10" t="str">
        <f ca="1">IFERROR(__xludf.DUMMYFUNCTION("""COMPUTED_VALUE"""),"13604240703-C")</f>
        <v>13604240703-C</v>
      </c>
      <c r="D487" s="26" t="str">
        <f t="shared" ca="1" si="2"/>
        <v xml:space="preserve"> PADRE HURTADO</v>
      </c>
      <c r="E487" s="10" t="str">
        <f ca="1">IFERROR(__xludf.DUMMYFUNCTION("""COMPUTED_VALUE"""),"Guía Operativa")</f>
        <v>Guía Operativa</v>
      </c>
      <c r="F487" s="10" t="str">
        <f ca="1">IFERROR(__xludf.DUMMYFUNCTION("""COMPUTED_VALUE"""),"MUNICIPALIDAD DE PADRE HURTADO")</f>
        <v>MUNICIPALIDAD DE PADRE HURTADO</v>
      </c>
      <c r="G487" s="71">
        <f ca="1">IFERROR(__xludf.DUMMYFUNCTION("""COMPUTED_VALUE"""),129838149)</f>
        <v>129838149</v>
      </c>
      <c r="H487" s="10" t="str">
        <f ca="1">IFERROR(__xludf.DUMMYFUNCTION("""COMPUTED_VALUE"""),"Resolución")</f>
        <v>Resolución</v>
      </c>
      <c r="I487" s="10" t="str">
        <f ca="1">IFERROR(__xludf.DUMMYFUNCTION("""COMPUTED_VALUE"""),"Obra")</f>
        <v>Obra</v>
      </c>
      <c r="J487" s="10" t="str">
        <f ca="1">IFERROR(__xludf.DUMMYFUNCTION("""COMPUTED_VALUE"""),"Cumplir con normativa y reglamentos internos del programa en base a los objetivos.")</f>
        <v>Cumplir con normativa y reglamentos internos del programa en base a los objetivos.</v>
      </c>
      <c r="K487" s="71">
        <f ca="1">IFERROR(__xludf.DUMMYFUNCTION("""COMPUTED_VALUE"""),129838149)</f>
        <v>129838149</v>
      </c>
      <c r="L487" s="27">
        <f ca="1">IFERROR(__xludf.DUMMYFUNCTION("""COMPUTED_VALUE"""),1)</f>
        <v>1</v>
      </c>
      <c r="M487" s="10" t="str">
        <f ca="1">IFERROR(__xludf.DUMMYFUNCTION("""COMPUTED_VALUE"""),"11831/2024")</f>
        <v>11831/2024</v>
      </c>
      <c r="N487" s="10" t="str">
        <f ca="1">IFERROR(__xludf.DUMMYFUNCTION("""COMPUTED_VALUE"""),"PMB")</f>
        <v>PMB</v>
      </c>
      <c r="O487" s="59"/>
      <c r="P487" s="1"/>
      <c r="Q487" s="1"/>
      <c r="R487" s="1"/>
      <c r="S487" s="1"/>
      <c r="T487" s="1"/>
      <c r="U487" s="1"/>
      <c r="V487" s="1"/>
      <c r="W487" s="1"/>
      <c r="X487" s="1"/>
      <c r="Y487" s="1"/>
      <c r="Z487" s="1"/>
      <c r="AA487" s="1"/>
    </row>
    <row r="488" spans="1:27" ht="12.75" customHeight="1">
      <c r="A488" s="1"/>
      <c r="B488" s="10" t="str">
        <f ca="1">IFERROR(__xludf.DUMMYFUNCTION("""COMPUTED_VALUE"""),"REPOSICIÓN E INSTALACIÓN DE PARARRAYOS EN ESTANCIAS DE TICNAMAR, SAXAMAR, LÚPICA, BELÉN, CHAPIQUIÑA, PACHAMA, MURMUNTANI, ZAPAHUIRA Y SOCOROMA.")</f>
        <v>REPOSICIÓN E INSTALACIÓN DE PARARRAYOS EN ESTANCIAS DE TICNAMAR, SAXAMAR, LÚPICA, BELÉN, CHAPIQUIÑA, PACHAMA, MURMUNTANI, ZAPAHUIRA Y SOCOROMA.</v>
      </c>
      <c r="C488" s="10" t="str">
        <f ca="1">IFERROR(__xludf.DUMMYFUNCTION("""COMPUTED_VALUE"""),"15201240701-C")</f>
        <v>15201240701-C</v>
      </c>
      <c r="D488" s="26" t="str">
        <f t="shared" ca="1" si="2"/>
        <v xml:space="preserve"> PUTRE</v>
      </c>
      <c r="E488" s="10" t="str">
        <f ca="1">IFERROR(__xludf.DUMMYFUNCTION("""COMPUTED_VALUE"""),"Guía Operativa")</f>
        <v>Guía Operativa</v>
      </c>
      <c r="F488" s="10" t="str">
        <f ca="1">IFERROR(__xludf.DUMMYFUNCTION("""COMPUTED_VALUE"""),"MUNICIPALIDAD DE PUTRE")</f>
        <v>MUNICIPALIDAD DE PUTRE</v>
      </c>
      <c r="G488" s="71">
        <f ca="1">IFERROR(__xludf.DUMMYFUNCTION("""COMPUTED_VALUE"""),213145733)</f>
        <v>213145733</v>
      </c>
      <c r="H488" s="10" t="str">
        <f ca="1">IFERROR(__xludf.DUMMYFUNCTION("""COMPUTED_VALUE"""),"Resolución")</f>
        <v>Resolución</v>
      </c>
      <c r="I488" s="10" t="str">
        <f ca="1">IFERROR(__xludf.DUMMYFUNCTION("""COMPUTED_VALUE"""),"Obra")</f>
        <v>Obra</v>
      </c>
      <c r="J488" s="10" t="str">
        <f ca="1">IFERROR(__xludf.DUMMYFUNCTION("""COMPUTED_VALUE"""),"Cumplir con normativa y reglamentos internos del programa en base a los objetivos.")</f>
        <v>Cumplir con normativa y reglamentos internos del programa en base a los objetivos.</v>
      </c>
      <c r="K488" s="71">
        <f ca="1">IFERROR(__xludf.DUMMYFUNCTION("""COMPUTED_VALUE"""),213145733)</f>
        <v>213145733</v>
      </c>
      <c r="L488" s="27">
        <f ca="1">IFERROR(__xludf.DUMMYFUNCTION("""COMPUTED_VALUE"""),1)</f>
        <v>1</v>
      </c>
      <c r="M488" s="10" t="str">
        <f ca="1">IFERROR(__xludf.DUMMYFUNCTION("""COMPUTED_VALUE"""),"11996/2024")</f>
        <v>11996/2024</v>
      </c>
      <c r="N488" s="10" t="str">
        <f ca="1">IFERROR(__xludf.DUMMYFUNCTION("""COMPUTED_VALUE"""),"PMB")</f>
        <v>PMB</v>
      </c>
      <c r="O488" s="59"/>
      <c r="P488" s="1"/>
      <c r="Q488" s="1"/>
      <c r="R488" s="1"/>
      <c r="S488" s="1"/>
      <c r="T488" s="1"/>
      <c r="U488" s="1"/>
      <c r="V488" s="1"/>
      <c r="W488" s="1"/>
      <c r="X488" s="1"/>
      <c r="Y488" s="1"/>
      <c r="Z488" s="1"/>
      <c r="AA488" s="1"/>
    </row>
    <row r="489" spans="1:27" ht="12.75" customHeight="1">
      <c r="A489" s="1"/>
      <c r="B489" s="10" t="str">
        <f ca="1">IFERROR(__xludf.DUMMYFUNCTION("""COMPUTED_VALUE"""),"CONSTRUCCIÓN SOLUCIONES INDIVIDUALES DE AGUA POTABLE RURAL, SECTORES, COMUNA DE PORTEZUELO, GRUPO N°3")</f>
        <v>CONSTRUCCIÓN SOLUCIONES INDIVIDUALES DE AGUA POTABLE RURAL, SECTORES, COMUNA DE PORTEZUELO, GRUPO N°3</v>
      </c>
      <c r="C489" s="10" t="str">
        <f ca="1">IFERROR(__xludf.DUMMYFUNCTION("""COMPUTED_VALUE"""),"16205230703-C")</f>
        <v>16205230703-C</v>
      </c>
      <c r="D489" s="26" t="str">
        <f t="shared" ca="1" si="2"/>
        <v xml:space="preserve"> PORTEZUELO</v>
      </c>
      <c r="E489" s="10" t="str">
        <f ca="1">IFERROR(__xludf.DUMMYFUNCTION("""COMPUTED_VALUE"""),"Guía Operativa")</f>
        <v>Guía Operativa</v>
      </c>
      <c r="F489" s="10" t="str">
        <f ca="1">IFERROR(__xludf.DUMMYFUNCTION("""COMPUTED_VALUE"""),"MUNICIPALIDAD DE PORTEZUELO")</f>
        <v>MUNICIPALIDAD DE PORTEZUELO</v>
      </c>
      <c r="G489" s="71">
        <f ca="1">IFERROR(__xludf.DUMMYFUNCTION("""COMPUTED_VALUE"""),280634043)</f>
        <v>280634043</v>
      </c>
      <c r="H489" s="10" t="str">
        <f ca="1">IFERROR(__xludf.DUMMYFUNCTION("""COMPUTED_VALUE"""),"Resolución")</f>
        <v>Resolución</v>
      </c>
      <c r="I489" s="10" t="str">
        <f ca="1">IFERROR(__xludf.DUMMYFUNCTION("""COMPUTED_VALUE"""),"Obra")</f>
        <v>Obra</v>
      </c>
      <c r="J489" s="10" t="str">
        <f ca="1">IFERROR(__xludf.DUMMYFUNCTION("""COMPUTED_VALUE"""),"Cumplir con normativa y reglamentos internos del programa en base a los objetivos.")</f>
        <v>Cumplir con normativa y reglamentos internos del programa en base a los objetivos.</v>
      </c>
      <c r="K489" s="71">
        <f ca="1">IFERROR(__xludf.DUMMYFUNCTION("""COMPUTED_VALUE"""),280634043)</f>
        <v>280634043</v>
      </c>
      <c r="L489" s="27">
        <f ca="1">IFERROR(__xludf.DUMMYFUNCTION("""COMPUTED_VALUE"""),1)</f>
        <v>1</v>
      </c>
      <c r="M489" s="10" t="str">
        <f ca="1">IFERROR(__xludf.DUMMYFUNCTION("""COMPUTED_VALUE"""),"12110/2024")</f>
        <v>12110/2024</v>
      </c>
      <c r="N489" s="10" t="str">
        <f ca="1">IFERROR(__xludf.DUMMYFUNCTION("""COMPUTED_VALUE"""),"PMB")</f>
        <v>PMB</v>
      </c>
      <c r="O489" s="59"/>
      <c r="P489" s="1"/>
      <c r="Q489" s="1"/>
      <c r="R489" s="1"/>
      <c r="S489" s="1"/>
      <c r="T489" s="1"/>
      <c r="U489" s="1"/>
      <c r="V489" s="1"/>
      <c r="W489" s="1"/>
      <c r="X489" s="1"/>
      <c r="Y489" s="1"/>
      <c r="Z489" s="1"/>
      <c r="AA489" s="1"/>
    </row>
    <row r="490" spans="1:27" ht="12.75" customHeight="1">
      <c r="A490" s="1"/>
      <c r="B490" s="10" t="str">
        <f ca="1">IFERROR(__xludf.DUMMYFUNCTION("""COMPUTED_VALUE"""),"CONSTRUCCIÓN SISTEMA COLECTIVO DE AGUA POTABLE RURAL SECTOR PATAGUAL, COMUNA DE TREHUACO.")</f>
        <v>CONSTRUCCIÓN SISTEMA COLECTIVO DE AGUA POTABLE RURAL SECTOR PATAGUAL, COMUNA DE TREHUACO.</v>
      </c>
      <c r="C490" s="10" t="str">
        <f ca="1">IFERROR(__xludf.DUMMYFUNCTION("""COMPUTED_VALUE"""),"16207240701-C")</f>
        <v>16207240701-C</v>
      </c>
      <c r="D490" s="26" t="str">
        <f t="shared" ca="1" si="2"/>
        <v xml:space="preserve"> TREHUACO</v>
      </c>
      <c r="E490" s="10" t="str">
        <f ca="1">IFERROR(__xludf.DUMMYFUNCTION("""COMPUTED_VALUE"""),"Guía Operativa")</f>
        <v>Guía Operativa</v>
      </c>
      <c r="F490" s="10" t="str">
        <f ca="1">IFERROR(__xludf.DUMMYFUNCTION("""COMPUTED_VALUE"""),"MUNICIPALIDAD DE TREHUACO")</f>
        <v>MUNICIPALIDAD DE TREHUACO</v>
      </c>
      <c r="G490" s="71">
        <f ca="1">IFERROR(__xludf.DUMMYFUNCTION("""COMPUTED_VALUE"""),264081800)</f>
        <v>264081800</v>
      </c>
      <c r="H490" s="10" t="str">
        <f ca="1">IFERROR(__xludf.DUMMYFUNCTION("""COMPUTED_VALUE"""),"Resolución")</f>
        <v>Resolución</v>
      </c>
      <c r="I490" s="10" t="str">
        <f ca="1">IFERROR(__xludf.DUMMYFUNCTION("""COMPUTED_VALUE"""),"Obra")</f>
        <v>Obra</v>
      </c>
      <c r="J490" s="10" t="str">
        <f ca="1">IFERROR(__xludf.DUMMYFUNCTION("""COMPUTED_VALUE"""),"Cumplir con normativa y reglamentos internos del programa en base a los objetivos.")</f>
        <v>Cumplir con normativa y reglamentos internos del programa en base a los objetivos.</v>
      </c>
      <c r="K490" s="71">
        <f ca="1">IFERROR(__xludf.DUMMYFUNCTION("""COMPUTED_VALUE"""),264081800)</f>
        <v>264081800</v>
      </c>
      <c r="L490" s="27">
        <f ca="1">IFERROR(__xludf.DUMMYFUNCTION("""COMPUTED_VALUE"""),1)</f>
        <v>1</v>
      </c>
      <c r="M490" s="10" t="str">
        <f ca="1">IFERROR(__xludf.DUMMYFUNCTION("""COMPUTED_VALUE"""),"11888/2024")</f>
        <v>11888/2024</v>
      </c>
      <c r="N490" s="10" t="str">
        <f ca="1">IFERROR(__xludf.DUMMYFUNCTION("""COMPUTED_VALUE"""),"PMB")</f>
        <v>PMB</v>
      </c>
      <c r="O490" s="59"/>
      <c r="P490" s="1"/>
      <c r="Q490" s="1"/>
      <c r="R490" s="1"/>
      <c r="S490" s="1"/>
      <c r="T490" s="1"/>
      <c r="U490" s="1"/>
      <c r="V490" s="1"/>
      <c r="W490" s="1"/>
      <c r="X490" s="1"/>
      <c r="Y490" s="1"/>
      <c r="Z490" s="1"/>
      <c r="AA490" s="1"/>
    </row>
    <row r="491" spans="1:27" ht="12.75" customHeight="1">
      <c r="A491" s="1"/>
      <c r="B491" s="10" t="str">
        <f ca="1">IFERROR(__xludf.DUMMYFUNCTION("""COMPUTED_VALUE"""),"SOLUCIONES INDIVIDUALES DE ABASTECIMIENTO DE AGUA SECTOR QUILE, COMUNA DE COBQUECURA")</f>
        <v>SOLUCIONES INDIVIDUALES DE ABASTECIMIENTO DE AGUA SECTOR QUILE, COMUNA DE COBQUECURA</v>
      </c>
      <c r="C491" s="10" t="str">
        <f ca="1">IFERROR(__xludf.DUMMYFUNCTION("""COMPUTED_VALUE"""),"16202220701-C")</f>
        <v>16202220701-C</v>
      </c>
      <c r="D491" s="26" t="str">
        <f t="shared" ca="1" si="2"/>
        <v xml:space="preserve"> COBQUECURA</v>
      </c>
      <c r="E491" s="10" t="str">
        <f ca="1">IFERROR(__xludf.DUMMYFUNCTION("""COMPUTED_VALUE"""),"Guía Operativa")</f>
        <v>Guía Operativa</v>
      </c>
      <c r="F491" s="10" t="str">
        <f ca="1">IFERROR(__xludf.DUMMYFUNCTION("""COMPUTED_VALUE"""),"MUNICIPALIDAD DE COBQUECURA")</f>
        <v>MUNICIPALIDAD DE COBQUECURA</v>
      </c>
      <c r="G491" s="71">
        <f ca="1">IFERROR(__xludf.DUMMYFUNCTION("""COMPUTED_VALUE"""),315421317)</f>
        <v>315421317</v>
      </c>
      <c r="H491" s="10" t="str">
        <f ca="1">IFERROR(__xludf.DUMMYFUNCTION("""COMPUTED_VALUE"""),"Resolución")</f>
        <v>Resolución</v>
      </c>
      <c r="I491" s="10" t="str">
        <f ca="1">IFERROR(__xludf.DUMMYFUNCTION("""COMPUTED_VALUE"""),"Obra")</f>
        <v>Obra</v>
      </c>
      <c r="J491" s="10" t="str">
        <f ca="1">IFERROR(__xludf.DUMMYFUNCTION("""COMPUTED_VALUE"""),"Cumplir con normativa y reglamentos internos del programa en base a los objetivos.")</f>
        <v>Cumplir con normativa y reglamentos internos del programa en base a los objetivos.</v>
      </c>
      <c r="K491" s="71">
        <f ca="1">IFERROR(__xludf.DUMMYFUNCTION("""COMPUTED_VALUE"""),315421317)</f>
        <v>315421317</v>
      </c>
      <c r="L491" s="27">
        <f ca="1">IFERROR(__xludf.DUMMYFUNCTION("""COMPUTED_VALUE"""),1)</f>
        <v>1</v>
      </c>
      <c r="M491" s="10" t="str">
        <f ca="1">IFERROR(__xludf.DUMMYFUNCTION("""COMPUTED_VALUE"""),"12183/2024")</f>
        <v>12183/2024</v>
      </c>
      <c r="N491" s="10" t="str">
        <f ca="1">IFERROR(__xludf.DUMMYFUNCTION("""COMPUTED_VALUE"""),"PMB")</f>
        <v>PMB</v>
      </c>
      <c r="O491" s="59"/>
      <c r="P491" s="1"/>
      <c r="Q491" s="1"/>
      <c r="R491" s="1"/>
      <c r="S491" s="1"/>
      <c r="T491" s="1"/>
      <c r="U491" s="1"/>
      <c r="V491" s="1"/>
      <c r="W491" s="1"/>
      <c r="X491" s="1"/>
      <c r="Y491" s="1"/>
      <c r="Z491" s="1"/>
      <c r="AA491" s="1"/>
    </row>
    <row r="492" spans="1:27" ht="12.75" customHeight="1">
      <c r="A492" s="1"/>
      <c r="B492" s="10" t="str">
        <f ca="1">IFERROR(__xludf.DUMMYFUNCTION("""COMPUTED_VALUE"""),"ASISTENCIA TECNICA PARA ELABORACION DE PROYECTOS PARA ESTABLECIMIENTOS EDUCATIVOS 2023, COMUNA DE SAN NICOLAS")</f>
        <v>ASISTENCIA TECNICA PARA ELABORACION DE PROYECTOS PARA ESTABLECIMIENTOS EDUCATIVOS 2023, COMUNA DE SAN NICOLAS</v>
      </c>
      <c r="C492" s="10" t="str">
        <f ca="1">IFERROR(__xludf.DUMMYFUNCTION("""COMPUTED_VALUE"""),"16305231001-C")</f>
        <v>16305231001-C</v>
      </c>
      <c r="D492" s="26" t="str">
        <f t="shared" ca="1" si="2"/>
        <v xml:space="preserve"> SAN NICOLÁS</v>
      </c>
      <c r="E492" s="10" t="str">
        <f ca="1">IFERROR(__xludf.DUMMYFUNCTION("""COMPUTED_VALUE"""),"Guía Operativa")</f>
        <v>Guía Operativa</v>
      </c>
      <c r="F492" s="10" t="str">
        <f ca="1">IFERROR(__xludf.DUMMYFUNCTION("""COMPUTED_VALUE"""),"MUNICIPALIDAD DE SAN NICOLÁS")</f>
        <v>MUNICIPALIDAD DE SAN NICOLÁS</v>
      </c>
      <c r="G492" s="71">
        <f ca="1">IFERROR(__xludf.DUMMYFUNCTION("""COMPUTED_VALUE"""),52200000)</f>
        <v>52200000</v>
      </c>
      <c r="H492" s="10" t="str">
        <f ca="1">IFERROR(__xludf.DUMMYFUNCTION("""COMPUTED_VALUE"""),"Resolución")</f>
        <v>Resolución</v>
      </c>
      <c r="I492" s="10" t="str">
        <f ca="1">IFERROR(__xludf.DUMMYFUNCTION("""COMPUTED_VALUE"""),"Asistencia Técnica")</f>
        <v>Asistencia Técnica</v>
      </c>
      <c r="J492" s="10" t="str">
        <f ca="1">IFERROR(__xludf.DUMMYFUNCTION("""COMPUTED_VALUE"""),"Cumplir con normativa y reglamentos internos del programa en base a los objetivos.")</f>
        <v>Cumplir con normativa y reglamentos internos del programa en base a los objetivos.</v>
      </c>
      <c r="K492" s="71">
        <f ca="1">IFERROR(__xludf.DUMMYFUNCTION("""COMPUTED_VALUE"""),52200000)</f>
        <v>52200000</v>
      </c>
      <c r="L492" s="27">
        <f ca="1">IFERROR(__xludf.DUMMYFUNCTION("""COMPUTED_VALUE"""),1)</f>
        <v>1</v>
      </c>
      <c r="M492" s="10" t="str">
        <f ca="1">IFERROR(__xludf.DUMMYFUNCTION("""COMPUTED_VALUE"""),"11920/2024")</f>
        <v>11920/2024</v>
      </c>
      <c r="N492" s="10" t="str">
        <f ca="1">IFERROR(__xludf.DUMMYFUNCTION("""COMPUTED_VALUE"""),"PMB")</f>
        <v>PMB</v>
      </c>
      <c r="O492" s="59"/>
      <c r="P492" s="1"/>
      <c r="Q492" s="1"/>
      <c r="R492" s="1"/>
      <c r="S492" s="1"/>
      <c r="T492" s="1"/>
      <c r="U492" s="1"/>
      <c r="V492" s="1"/>
      <c r="W492" s="1"/>
      <c r="X492" s="1"/>
      <c r="Y492" s="1"/>
      <c r="Z492" s="1"/>
      <c r="AA492" s="1"/>
    </row>
    <row r="493" spans="1:27" ht="12.75" customHeight="1">
      <c r="A493" s="1"/>
      <c r="B493" s="10" t="str">
        <f ca="1">IFERROR(__xludf.DUMMYFUNCTION("""COMPUTED_VALUE"""),"CONTRATACION DE PROFESIONALES PARA PROYECTOS SUBDERE, COMUNA DE FUTRONO")</f>
        <v>CONTRATACION DE PROFESIONALES PARA PROYECTOS SUBDERE, COMUNA DE FUTRONO</v>
      </c>
      <c r="C493" s="10" t="str">
        <f ca="1">IFERROR(__xludf.DUMMYFUNCTION("""COMPUTED_VALUE"""),"14202241001-C")</f>
        <v>14202241001-C</v>
      </c>
      <c r="D493" s="26" t="str">
        <f t="shared" ca="1" si="2"/>
        <v xml:space="preserve"> FUTRONO</v>
      </c>
      <c r="E493" s="10" t="str">
        <f ca="1">IFERROR(__xludf.DUMMYFUNCTION("""COMPUTED_VALUE"""),"Guía Operativa")</f>
        <v>Guía Operativa</v>
      </c>
      <c r="F493" s="10" t="str">
        <f ca="1">IFERROR(__xludf.DUMMYFUNCTION("""COMPUTED_VALUE"""),"MUNICIPALIDAD DE FUTRONO")</f>
        <v>MUNICIPALIDAD DE FUTRONO</v>
      </c>
      <c r="G493" s="71">
        <f ca="1">IFERROR(__xludf.DUMMYFUNCTION("""COMPUTED_VALUE"""),72784092)</f>
        <v>72784092</v>
      </c>
      <c r="H493" s="10" t="str">
        <f ca="1">IFERROR(__xludf.DUMMYFUNCTION("""COMPUTED_VALUE"""),"Resolución")</f>
        <v>Resolución</v>
      </c>
      <c r="I493" s="10" t="str">
        <f ca="1">IFERROR(__xludf.DUMMYFUNCTION("""COMPUTED_VALUE"""),"Asistencia Técnica")</f>
        <v>Asistencia Técnica</v>
      </c>
      <c r="J493" s="10" t="str">
        <f ca="1">IFERROR(__xludf.DUMMYFUNCTION("""COMPUTED_VALUE"""),"Cumplir con normativa y reglamentos internos del programa en base a los objetivos.")</f>
        <v>Cumplir con normativa y reglamentos internos del programa en base a los objetivos.</v>
      </c>
      <c r="K493" s="71">
        <f ca="1">IFERROR(__xludf.DUMMYFUNCTION("""COMPUTED_VALUE"""),72784092)</f>
        <v>72784092</v>
      </c>
      <c r="L493" s="27">
        <f ca="1">IFERROR(__xludf.DUMMYFUNCTION("""COMPUTED_VALUE"""),1)</f>
        <v>1</v>
      </c>
      <c r="M493" s="10" t="str">
        <f ca="1">IFERROR(__xludf.DUMMYFUNCTION("""COMPUTED_VALUE"""),"11910/2024")</f>
        <v>11910/2024</v>
      </c>
      <c r="N493" s="10" t="str">
        <f ca="1">IFERROR(__xludf.DUMMYFUNCTION("""COMPUTED_VALUE"""),"PMB")</f>
        <v>PMB</v>
      </c>
      <c r="O493" s="59"/>
      <c r="P493" s="1"/>
      <c r="Q493" s="1"/>
      <c r="R493" s="1"/>
      <c r="S493" s="1"/>
      <c r="T493" s="1"/>
      <c r="U493" s="1"/>
      <c r="V493" s="1"/>
      <c r="W493" s="1"/>
      <c r="X493" s="1"/>
      <c r="Y493" s="1"/>
      <c r="Z493" s="1"/>
      <c r="AA493" s="1"/>
    </row>
    <row r="494" spans="1:27" ht="12.75" customHeight="1">
      <c r="A494" s="1"/>
      <c r="B494" s="10" t="str">
        <f ca="1">IFERROR(__xludf.DUMMYFUNCTION("""COMPUTED_VALUE"""),"ESTUDIO DE IMPACTO AMBIENTAL DEL PROYECTO “PLAN DE CIERRE, REINSERCION Y RETIRO PASIVO AMBIENTAL DEL SITIO DE DISPOSICION TRANSITORIO PUNTRA, ANCUD”")</f>
        <v>ESTUDIO DE IMPACTO AMBIENTAL DEL PROYECTO “PLAN DE CIERRE, REINSERCION Y RETIRO PASIVO AMBIENTAL DEL SITIO DE DISPOSICION TRANSITORIO PUNTRA, ANCUD”</v>
      </c>
      <c r="C494" s="10" t="str">
        <f ca="1">IFERROR(__xludf.DUMMYFUNCTION("""COMPUTED_VALUE"""),"10202230401-C")</f>
        <v>10202230401-C</v>
      </c>
      <c r="D494" s="26" t="str">
        <f t="shared" ca="1" si="2"/>
        <v xml:space="preserve"> ANCUD</v>
      </c>
      <c r="E494" s="10" t="str">
        <f ca="1">IFERROR(__xludf.DUMMYFUNCTION("""COMPUTED_VALUE"""),"Guía Operativa")</f>
        <v>Guía Operativa</v>
      </c>
      <c r="F494" s="10" t="str">
        <f ca="1">IFERROR(__xludf.DUMMYFUNCTION("""COMPUTED_VALUE"""),"MUNICIPALIDAD DE ANCUD")</f>
        <v>MUNICIPALIDAD DE ANCUD</v>
      </c>
      <c r="G494" s="71">
        <f ca="1">IFERROR(__xludf.DUMMYFUNCTION("""COMPUTED_VALUE"""),321000000)</f>
        <v>321000000</v>
      </c>
      <c r="H494" s="10" t="str">
        <f ca="1">IFERROR(__xludf.DUMMYFUNCTION("""COMPUTED_VALUE"""),"Resolución")</f>
        <v>Resolución</v>
      </c>
      <c r="I494" s="10" t="str">
        <f ca="1">IFERROR(__xludf.DUMMYFUNCTION("""COMPUTED_VALUE"""),"Estudio")</f>
        <v>Estudio</v>
      </c>
      <c r="J494" s="10" t="str">
        <f ca="1">IFERROR(__xludf.DUMMYFUNCTION("""COMPUTED_VALUE"""),"Cumplir con normativa y reglamentos internos del programa en base a los objetivos.")</f>
        <v>Cumplir con normativa y reglamentos internos del programa en base a los objetivos.</v>
      </c>
      <c r="K494" s="71">
        <f ca="1">IFERROR(__xludf.DUMMYFUNCTION("""COMPUTED_VALUE"""),321000000)</f>
        <v>321000000</v>
      </c>
      <c r="L494" s="27">
        <f ca="1">IFERROR(__xludf.DUMMYFUNCTION("""COMPUTED_VALUE"""),1)</f>
        <v>1</v>
      </c>
      <c r="M494" s="10" t="str">
        <f ca="1">IFERROR(__xludf.DUMMYFUNCTION("""COMPUTED_VALUE"""),"11899/2024")</f>
        <v>11899/2024</v>
      </c>
      <c r="N494" s="10" t="str">
        <f ca="1">IFERROR(__xludf.DUMMYFUNCTION("""COMPUTED_VALUE"""),"PMB")</f>
        <v>PMB</v>
      </c>
      <c r="O494" s="59"/>
      <c r="P494" s="1"/>
      <c r="Q494" s="1"/>
      <c r="R494" s="1"/>
      <c r="S494" s="1"/>
      <c r="T494" s="1"/>
      <c r="U494" s="1"/>
      <c r="V494" s="1"/>
      <c r="W494" s="1"/>
      <c r="X494" s="1"/>
      <c r="Y494" s="1"/>
      <c r="Z494" s="1"/>
      <c r="AA494" s="1"/>
    </row>
    <row r="495" spans="1:27" ht="12.75" customHeight="1">
      <c r="A495" s="1"/>
      <c r="B495" s="10" t="str">
        <f ca="1">IFERROR(__xludf.DUMMYFUNCTION("""COMPUTED_VALUE"""),"NORMALIZACIÓN DE ALUMBRADO PÚBLICO CALETA HORNITOS- LOCALIDAD DE HORNITOS, COMUNA DE MEJILLONES")</f>
        <v>NORMALIZACIÓN DE ALUMBRADO PÚBLICO CALETA HORNITOS- LOCALIDAD DE HORNITOS, COMUNA DE MEJILLONES</v>
      </c>
      <c r="C495" s="10" t="str">
        <f ca="1">IFERROR(__xludf.DUMMYFUNCTION("""COMPUTED_VALUE"""),"2102240701-C")</f>
        <v>2102240701-C</v>
      </c>
      <c r="D495" s="26" t="str">
        <f t="shared" ca="1" si="2"/>
        <v xml:space="preserve"> MEJILLONES</v>
      </c>
      <c r="E495" s="10" t="str">
        <f ca="1">IFERROR(__xludf.DUMMYFUNCTION("""COMPUTED_VALUE"""),"Guía Operativa")</f>
        <v>Guía Operativa</v>
      </c>
      <c r="F495" s="10" t="str">
        <f ca="1">IFERROR(__xludf.DUMMYFUNCTION("""COMPUTED_VALUE"""),"MUNICIPALIDAD DE MEJILLONES")</f>
        <v>MUNICIPALIDAD DE MEJILLONES</v>
      </c>
      <c r="G495" s="71">
        <f ca="1">IFERROR(__xludf.DUMMYFUNCTION("""COMPUTED_VALUE"""),307565199)</f>
        <v>307565199</v>
      </c>
      <c r="H495" s="10" t="str">
        <f ca="1">IFERROR(__xludf.DUMMYFUNCTION("""COMPUTED_VALUE"""),"Resolución")</f>
        <v>Resolución</v>
      </c>
      <c r="I495" s="10" t="str">
        <f ca="1">IFERROR(__xludf.DUMMYFUNCTION("""COMPUTED_VALUE"""),"Obra")</f>
        <v>Obra</v>
      </c>
      <c r="J495" s="10" t="str">
        <f ca="1">IFERROR(__xludf.DUMMYFUNCTION("""COMPUTED_VALUE"""),"Cumplir con normativa y reglamentos internos del programa en base a los objetivos.")</f>
        <v>Cumplir con normativa y reglamentos internos del programa en base a los objetivos.</v>
      </c>
      <c r="K495" s="71">
        <f ca="1">IFERROR(__xludf.DUMMYFUNCTION("""COMPUTED_VALUE"""),307565199)</f>
        <v>307565199</v>
      </c>
      <c r="L495" s="27">
        <f ca="1">IFERROR(__xludf.DUMMYFUNCTION("""COMPUTED_VALUE"""),1)</f>
        <v>1</v>
      </c>
      <c r="M495" s="10" t="str">
        <f ca="1">IFERROR(__xludf.DUMMYFUNCTION("""COMPUTED_VALUE"""),"12115/2024")</f>
        <v>12115/2024</v>
      </c>
      <c r="N495" s="10" t="str">
        <f ca="1">IFERROR(__xludf.DUMMYFUNCTION("""COMPUTED_VALUE"""),"PMB")</f>
        <v>PMB</v>
      </c>
      <c r="O495" s="59"/>
      <c r="P495" s="1"/>
      <c r="Q495" s="1"/>
      <c r="R495" s="1"/>
      <c r="S495" s="1"/>
      <c r="T495" s="1"/>
      <c r="U495" s="1"/>
      <c r="V495" s="1"/>
      <c r="W495" s="1"/>
      <c r="X495" s="1"/>
      <c r="Y495" s="1"/>
      <c r="Z495" s="1"/>
      <c r="AA495" s="1"/>
    </row>
    <row r="496" spans="1:27" ht="12.75" customHeight="1">
      <c r="A496" s="1"/>
      <c r="B496" s="10" t="str">
        <f ca="1">IFERROR(__xludf.DUMMYFUNCTION("""COMPUTED_VALUE"""),"ASISTENCIA TÉCNICA PROYECTOS DE SANEAMIENTO SANITARIOS, COMUNA DE PERALILLO")</f>
        <v>ASISTENCIA TÉCNICA PROYECTOS DE SANEAMIENTO SANITARIOS, COMUNA DE PERALILLO</v>
      </c>
      <c r="C496" s="10" t="str">
        <f ca="1">IFERROR(__xludf.DUMMYFUNCTION("""COMPUTED_VALUE"""),"6307241001-C")</f>
        <v>6307241001-C</v>
      </c>
      <c r="D496" s="26" t="str">
        <f t="shared" ca="1" si="2"/>
        <v xml:space="preserve"> PERALILLO</v>
      </c>
      <c r="E496" s="10" t="str">
        <f ca="1">IFERROR(__xludf.DUMMYFUNCTION("""COMPUTED_VALUE"""),"Guía Operativa")</f>
        <v>Guía Operativa</v>
      </c>
      <c r="F496" s="10" t="str">
        <f ca="1">IFERROR(__xludf.DUMMYFUNCTION("""COMPUTED_VALUE"""),"MUNICIPALIDAD DE PERALILLO")</f>
        <v>MUNICIPALIDAD DE PERALILLO</v>
      </c>
      <c r="G496" s="71">
        <f ca="1">IFERROR(__xludf.DUMMYFUNCTION("""COMPUTED_VALUE"""),88290000)</f>
        <v>88290000</v>
      </c>
      <c r="H496" s="10" t="str">
        <f ca="1">IFERROR(__xludf.DUMMYFUNCTION("""COMPUTED_VALUE"""),"Resolución")</f>
        <v>Resolución</v>
      </c>
      <c r="I496" s="10" t="str">
        <f ca="1">IFERROR(__xludf.DUMMYFUNCTION("""COMPUTED_VALUE"""),"Asistencia Técnica")</f>
        <v>Asistencia Técnica</v>
      </c>
      <c r="J496" s="10" t="str">
        <f ca="1">IFERROR(__xludf.DUMMYFUNCTION("""COMPUTED_VALUE"""),"Cumplir con normativa y reglamentos internos del programa en base a los objetivos.")</f>
        <v>Cumplir con normativa y reglamentos internos del programa en base a los objetivos.</v>
      </c>
      <c r="K496" s="71">
        <f ca="1">IFERROR(__xludf.DUMMYFUNCTION("""COMPUTED_VALUE"""),88290000)</f>
        <v>88290000</v>
      </c>
      <c r="L496" s="27">
        <f ca="1">IFERROR(__xludf.DUMMYFUNCTION("""COMPUTED_VALUE"""),1)</f>
        <v>1</v>
      </c>
      <c r="M496" s="10" t="str">
        <f ca="1">IFERROR(__xludf.DUMMYFUNCTION("""COMPUTED_VALUE"""),"11992/2024")</f>
        <v>11992/2024</v>
      </c>
      <c r="N496" s="10" t="str">
        <f ca="1">IFERROR(__xludf.DUMMYFUNCTION("""COMPUTED_VALUE"""),"PMB")</f>
        <v>PMB</v>
      </c>
      <c r="O496" s="59"/>
      <c r="P496" s="1"/>
      <c r="Q496" s="1"/>
      <c r="R496" s="1"/>
      <c r="S496" s="1"/>
      <c r="T496" s="1"/>
      <c r="U496" s="1"/>
      <c r="V496" s="1"/>
      <c r="W496" s="1"/>
      <c r="X496" s="1"/>
      <c r="Y496" s="1"/>
      <c r="Z496" s="1"/>
      <c r="AA496" s="1"/>
    </row>
    <row r="497" spans="1:27" ht="12.75" customHeight="1">
      <c r="A497" s="1"/>
      <c r="B497" s="10" t="str">
        <f ca="1">IFERROR(__xludf.DUMMYFUNCTION("""COMPUTED_VALUE"""),"EXTENSION DE ALUMBRADO PUBLICO CALLEJON LA CABAÑA")</f>
        <v>EXTENSION DE ALUMBRADO PUBLICO CALLEJON LA CABAÑA</v>
      </c>
      <c r="C497" s="10" t="str">
        <f ca="1">IFERROR(__xludf.DUMMYFUNCTION("""COMPUTED_VALUE"""),"5704240701-C")</f>
        <v>5704240701-C</v>
      </c>
      <c r="D497" s="26" t="str">
        <f t="shared" ca="1" si="2"/>
        <v xml:space="preserve"> PANQUEHUE</v>
      </c>
      <c r="E497" s="10" t="str">
        <f ca="1">IFERROR(__xludf.DUMMYFUNCTION("""COMPUTED_VALUE"""),"Guía Operativa")</f>
        <v>Guía Operativa</v>
      </c>
      <c r="F497" s="10" t="str">
        <f ca="1">IFERROR(__xludf.DUMMYFUNCTION("""COMPUTED_VALUE"""),"MUNICIPALIDAD DE PANQUEHUE")</f>
        <v>MUNICIPALIDAD DE PANQUEHUE</v>
      </c>
      <c r="G497" s="71">
        <f ca="1">IFERROR(__xludf.DUMMYFUNCTION("""COMPUTED_VALUE"""),42735875)</f>
        <v>42735875</v>
      </c>
      <c r="H497" s="10" t="str">
        <f ca="1">IFERROR(__xludf.DUMMYFUNCTION("""COMPUTED_VALUE"""),"Resolución")</f>
        <v>Resolución</v>
      </c>
      <c r="I497" s="10" t="str">
        <f ca="1">IFERROR(__xludf.DUMMYFUNCTION("""COMPUTED_VALUE"""),"Obra")</f>
        <v>Obra</v>
      </c>
      <c r="J497" s="10" t="str">
        <f ca="1">IFERROR(__xludf.DUMMYFUNCTION("""COMPUTED_VALUE"""),"Cumplir con normativa y reglamentos internos del programa en base a los objetivos.")</f>
        <v>Cumplir con normativa y reglamentos internos del programa en base a los objetivos.</v>
      </c>
      <c r="K497" s="71">
        <f ca="1">IFERROR(__xludf.DUMMYFUNCTION("""COMPUTED_VALUE"""),42735875)</f>
        <v>42735875</v>
      </c>
      <c r="L497" s="27">
        <f ca="1">IFERROR(__xludf.DUMMYFUNCTION("""COMPUTED_VALUE"""),1)</f>
        <v>1</v>
      </c>
      <c r="M497" s="10" t="str">
        <f ca="1">IFERROR(__xludf.DUMMYFUNCTION("""COMPUTED_VALUE"""),"12085/2024")</f>
        <v>12085/2024</v>
      </c>
      <c r="N497" s="10" t="str">
        <f ca="1">IFERROR(__xludf.DUMMYFUNCTION("""COMPUTED_VALUE"""),"PMB")</f>
        <v>PMB</v>
      </c>
      <c r="O497" s="59"/>
      <c r="P497" s="1"/>
      <c r="Q497" s="1"/>
      <c r="R497" s="1"/>
      <c r="S497" s="1"/>
      <c r="T497" s="1"/>
      <c r="U497" s="1"/>
      <c r="V497" s="1"/>
      <c r="W497" s="1"/>
      <c r="X497" s="1"/>
      <c r="Y497" s="1"/>
      <c r="Z497" s="1"/>
      <c r="AA497" s="1"/>
    </row>
    <row r="498" spans="1:27" ht="12.75" customHeight="1">
      <c r="A498" s="1"/>
      <c r="B498" s="10" t="str">
        <f ca="1">IFERROR(__xludf.DUMMYFUNCTION("""COMPUTED_VALUE"""),"ESTUDIO PROSPECCIÓN GEOFÍSICA PARA ABASTOS DE AGUA POTABLE EN SECTORES RURALES DE LA COMUNA DE CURACAUTÍN")</f>
        <v>ESTUDIO PROSPECCIÓN GEOFÍSICA PARA ABASTOS DE AGUA POTABLE EN SECTORES RURALES DE LA COMUNA DE CURACAUTÍN</v>
      </c>
      <c r="C498" s="10" t="str">
        <f ca="1">IFERROR(__xludf.DUMMYFUNCTION("""COMPUTED_VALUE"""),"9203240401-C")</f>
        <v>9203240401-C</v>
      </c>
      <c r="D498" s="26" t="str">
        <f t="shared" ca="1" si="2"/>
        <v xml:space="preserve"> CURACAUTÍN</v>
      </c>
      <c r="E498" s="10" t="str">
        <f ca="1">IFERROR(__xludf.DUMMYFUNCTION("""COMPUTED_VALUE"""),"Guía Operativa")</f>
        <v>Guía Operativa</v>
      </c>
      <c r="F498" s="10" t="str">
        <f ca="1">IFERROR(__xludf.DUMMYFUNCTION("""COMPUTED_VALUE"""),"MUNICIPALIDAD DE CURACAUTÍN")</f>
        <v>MUNICIPALIDAD DE CURACAUTÍN</v>
      </c>
      <c r="G498" s="71">
        <f ca="1">IFERROR(__xludf.DUMMYFUNCTION("""COMPUTED_VALUE"""),111384000)</f>
        <v>111384000</v>
      </c>
      <c r="H498" s="10" t="str">
        <f ca="1">IFERROR(__xludf.DUMMYFUNCTION("""COMPUTED_VALUE"""),"Resolución")</f>
        <v>Resolución</v>
      </c>
      <c r="I498" s="10" t="str">
        <f ca="1">IFERROR(__xludf.DUMMYFUNCTION("""COMPUTED_VALUE"""),"Estudio")</f>
        <v>Estudio</v>
      </c>
      <c r="J498" s="10" t="str">
        <f ca="1">IFERROR(__xludf.DUMMYFUNCTION("""COMPUTED_VALUE"""),"Cumplir con normativa y reglamentos internos del programa en base a los objetivos.")</f>
        <v>Cumplir con normativa y reglamentos internos del programa en base a los objetivos.</v>
      </c>
      <c r="K498" s="71">
        <f ca="1">IFERROR(__xludf.DUMMYFUNCTION("""COMPUTED_VALUE"""),111384000)</f>
        <v>111384000</v>
      </c>
      <c r="L498" s="27">
        <f ca="1">IFERROR(__xludf.DUMMYFUNCTION("""COMPUTED_VALUE"""),1)</f>
        <v>1</v>
      </c>
      <c r="M498" s="10" t="str">
        <f ca="1">IFERROR(__xludf.DUMMYFUNCTION("""COMPUTED_VALUE"""),"12005/2024")</f>
        <v>12005/2024</v>
      </c>
      <c r="N498" s="10" t="str">
        <f ca="1">IFERROR(__xludf.DUMMYFUNCTION("""COMPUTED_VALUE"""),"PMB")</f>
        <v>PMB</v>
      </c>
      <c r="O498" s="59"/>
      <c r="P498" s="1"/>
      <c r="Q498" s="1"/>
      <c r="R498" s="1"/>
      <c r="S498" s="1"/>
      <c r="T498" s="1"/>
      <c r="U498" s="1"/>
      <c r="V498" s="1"/>
      <c r="W498" s="1"/>
      <c r="X498" s="1"/>
      <c r="Y498" s="1"/>
      <c r="Z498" s="1"/>
      <c r="AA498" s="1"/>
    </row>
    <row r="499" spans="1:27" ht="12.75" customHeight="1">
      <c r="A499" s="1"/>
      <c r="B499" s="10" t="str">
        <f ca="1">IFERROR(__xludf.DUMMYFUNCTION("""COMPUTED_VALUE"""),"CAMBIO SISTEMA DE ILUMINACIÓN PARQUE MAESTRANZA, COMUNA DE SAN BERNARDO")</f>
        <v>CAMBIO SISTEMA DE ILUMINACIÓN PARQUE MAESTRANZA, COMUNA DE SAN BERNARDO</v>
      </c>
      <c r="C499" s="10" t="str">
        <f ca="1">IFERROR(__xludf.DUMMYFUNCTION("""COMPUTED_VALUE"""),"13401240702-C")</f>
        <v>13401240702-C</v>
      </c>
      <c r="D499" s="26" t="str">
        <f t="shared" ca="1" si="2"/>
        <v xml:space="preserve"> SAN BERNARDO</v>
      </c>
      <c r="E499" s="10" t="str">
        <f ca="1">IFERROR(__xludf.DUMMYFUNCTION("""COMPUTED_VALUE"""),"Guía Operativa")</f>
        <v>Guía Operativa</v>
      </c>
      <c r="F499" s="10" t="str">
        <f ca="1">IFERROR(__xludf.DUMMYFUNCTION("""COMPUTED_VALUE"""),"MUNICIPALIDAD DE SAN BERNARDO")</f>
        <v>MUNICIPALIDAD DE SAN BERNARDO</v>
      </c>
      <c r="G499" s="71">
        <f ca="1">IFERROR(__xludf.DUMMYFUNCTION("""COMPUTED_VALUE"""),305154675)</f>
        <v>305154675</v>
      </c>
      <c r="H499" s="10" t="str">
        <f ca="1">IFERROR(__xludf.DUMMYFUNCTION("""COMPUTED_VALUE"""),"Resolución")</f>
        <v>Resolución</v>
      </c>
      <c r="I499" s="10" t="str">
        <f ca="1">IFERROR(__xludf.DUMMYFUNCTION("""COMPUTED_VALUE"""),"Obra")</f>
        <v>Obra</v>
      </c>
      <c r="J499" s="10" t="str">
        <f ca="1">IFERROR(__xludf.DUMMYFUNCTION("""COMPUTED_VALUE"""),"Cumplir con normativa y reglamentos internos del programa en base a los objetivos.")</f>
        <v>Cumplir con normativa y reglamentos internos del programa en base a los objetivos.</v>
      </c>
      <c r="K499" s="71">
        <f ca="1">IFERROR(__xludf.DUMMYFUNCTION("""COMPUTED_VALUE"""),305154675)</f>
        <v>305154675</v>
      </c>
      <c r="L499" s="27">
        <f ca="1">IFERROR(__xludf.DUMMYFUNCTION("""COMPUTED_VALUE"""),1)</f>
        <v>1</v>
      </c>
      <c r="M499" s="10" t="str">
        <f ca="1">IFERROR(__xludf.DUMMYFUNCTION("""COMPUTED_VALUE"""),"12119/2024")</f>
        <v>12119/2024</v>
      </c>
      <c r="N499" s="10" t="str">
        <f ca="1">IFERROR(__xludf.DUMMYFUNCTION("""COMPUTED_VALUE"""),"PMB")</f>
        <v>PMB</v>
      </c>
      <c r="O499" s="59"/>
      <c r="P499" s="1"/>
      <c r="Q499" s="1"/>
      <c r="R499" s="1"/>
      <c r="S499" s="1"/>
      <c r="T499" s="1"/>
      <c r="U499" s="1"/>
      <c r="V499" s="1"/>
      <c r="W499" s="1"/>
      <c r="X499" s="1"/>
      <c r="Y499" s="1"/>
      <c r="Z499" s="1"/>
      <c r="AA499" s="1"/>
    </row>
    <row r="500" spans="1:27" ht="12.75" customHeight="1">
      <c r="A500" s="1"/>
      <c r="B500" s="10" t="str">
        <f ca="1">IFERROR(__xludf.DUMMYFUNCTION("""COMPUTED_VALUE"""),"MEJORAMIENTO DE RED DE AGUA POTABLE SSR BUCALEMU, COMUNA DE PAREDONES")</f>
        <v>MEJORAMIENTO DE RED DE AGUA POTABLE SSR BUCALEMU, COMUNA DE PAREDONES</v>
      </c>
      <c r="C500" s="10" t="str">
        <f ca="1">IFERROR(__xludf.DUMMYFUNCTION("""COMPUTED_VALUE"""),"6206230301-C")</f>
        <v>6206230301-C</v>
      </c>
      <c r="D500" s="26" t="str">
        <f t="shared" ca="1" si="2"/>
        <v xml:space="preserve"> PAREDONES</v>
      </c>
      <c r="E500" s="10" t="str">
        <f ca="1">IFERROR(__xludf.DUMMYFUNCTION("""COMPUTED_VALUE"""),"Guía Operativa")</f>
        <v>Guía Operativa</v>
      </c>
      <c r="F500" s="10" t="str">
        <f ca="1">IFERROR(__xludf.DUMMYFUNCTION("""COMPUTED_VALUE"""),"MUNICIPALIDAD DE PAREDONES")</f>
        <v>MUNICIPALIDAD DE PAREDONES</v>
      </c>
      <c r="G500" s="71">
        <f ca="1">IFERROR(__xludf.DUMMYFUNCTION("""COMPUTED_VALUE"""),129323000)</f>
        <v>129323000</v>
      </c>
      <c r="H500" s="10" t="str">
        <f ca="1">IFERROR(__xludf.DUMMYFUNCTION("""COMPUTED_VALUE"""),"Resolución")</f>
        <v>Resolución</v>
      </c>
      <c r="I500" s="10" t="str">
        <f ca="1">IFERROR(__xludf.DUMMYFUNCTION("""COMPUTED_VALUE"""),"Diseño")</f>
        <v>Diseño</v>
      </c>
      <c r="J500" s="10" t="str">
        <f ca="1">IFERROR(__xludf.DUMMYFUNCTION("""COMPUTED_VALUE"""),"Cumplir con normativa y reglamentos internos del programa en base a los objetivos.")</f>
        <v>Cumplir con normativa y reglamentos internos del programa en base a los objetivos.</v>
      </c>
      <c r="K500" s="71">
        <f ca="1">IFERROR(__xludf.DUMMYFUNCTION("""COMPUTED_VALUE"""),129323000)</f>
        <v>129323000</v>
      </c>
      <c r="L500" s="27">
        <f ca="1">IFERROR(__xludf.DUMMYFUNCTION("""COMPUTED_VALUE"""),1)</f>
        <v>1</v>
      </c>
      <c r="M500" s="10" t="str">
        <f ca="1">IFERROR(__xludf.DUMMYFUNCTION("""COMPUTED_VALUE"""),"12007/2024")</f>
        <v>12007/2024</v>
      </c>
      <c r="N500" s="10" t="str">
        <f ca="1">IFERROR(__xludf.DUMMYFUNCTION("""COMPUTED_VALUE"""),"PMB")</f>
        <v>PMB</v>
      </c>
      <c r="O500" s="59"/>
      <c r="P500" s="1"/>
      <c r="Q500" s="1"/>
      <c r="R500" s="1"/>
      <c r="S500" s="1"/>
      <c r="T500" s="1"/>
      <c r="U500" s="1"/>
      <c r="V500" s="1"/>
      <c r="W500" s="1"/>
      <c r="X500" s="1"/>
      <c r="Y500" s="1"/>
      <c r="Z500" s="1"/>
      <c r="AA500" s="1"/>
    </row>
    <row r="501" spans="1:27" ht="12.75" customHeight="1">
      <c r="A501" s="1"/>
      <c r="B501" s="10" t="str">
        <f ca="1">IFERROR(__xludf.DUMMYFUNCTION("""COMPUTED_VALUE"""),"ASISTENCIA TÉCNICA PROFESIONAL MUNICIPALIDAD DE HUALAIHUÉ 2024-2025")</f>
        <v>ASISTENCIA TÉCNICA PROFESIONAL MUNICIPALIDAD DE HUALAIHUÉ 2024-2025</v>
      </c>
      <c r="C501" s="10" t="str">
        <f ca="1">IFERROR(__xludf.DUMMYFUNCTION("""COMPUTED_VALUE"""),"10403241001-C")</f>
        <v>10403241001-C</v>
      </c>
      <c r="D501" s="26" t="str">
        <f t="shared" ca="1" si="2"/>
        <v xml:space="preserve"> HUALAIHUÉ</v>
      </c>
      <c r="E501" s="10" t="str">
        <f ca="1">IFERROR(__xludf.DUMMYFUNCTION("""COMPUTED_VALUE"""),"Guía Operativa")</f>
        <v>Guía Operativa</v>
      </c>
      <c r="F501" s="10" t="str">
        <f ca="1">IFERROR(__xludf.DUMMYFUNCTION("""COMPUTED_VALUE"""),"MUNICIPALIDAD DE HUALAIHUÉ")</f>
        <v>MUNICIPALIDAD DE HUALAIHUÉ</v>
      </c>
      <c r="G501" s="71">
        <f ca="1">IFERROR(__xludf.DUMMYFUNCTION("""COMPUTED_VALUE"""),81600000)</f>
        <v>81600000</v>
      </c>
      <c r="H501" s="10" t="str">
        <f ca="1">IFERROR(__xludf.DUMMYFUNCTION("""COMPUTED_VALUE"""),"Resolución")</f>
        <v>Resolución</v>
      </c>
      <c r="I501" s="10" t="str">
        <f ca="1">IFERROR(__xludf.DUMMYFUNCTION("""COMPUTED_VALUE"""),"Asistencia Técnica")</f>
        <v>Asistencia Técnica</v>
      </c>
      <c r="J501" s="10" t="str">
        <f ca="1">IFERROR(__xludf.DUMMYFUNCTION("""COMPUTED_VALUE"""),"Cumplir con normativa y reglamentos internos del programa en base a los objetivos.")</f>
        <v>Cumplir con normativa y reglamentos internos del programa en base a los objetivos.</v>
      </c>
      <c r="K501" s="71">
        <f ca="1">IFERROR(__xludf.DUMMYFUNCTION("""COMPUTED_VALUE"""),81600000)</f>
        <v>81600000</v>
      </c>
      <c r="L501" s="27">
        <f ca="1">IFERROR(__xludf.DUMMYFUNCTION("""COMPUTED_VALUE"""),1)</f>
        <v>1</v>
      </c>
      <c r="M501" s="10" t="str">
        <f ca="1">IFERROR(__xludf.DUMMYFUNCTION("""COMPUTED_VALUE"""),"11995/2024")</f>
        <v>11995/2024</v>
      </c>
      <c r="N501" s="10" t="str">
        <f ca="1">IFERROR(__xludf.DUMMYFUNCTION("""COMPUTED_VALUE"""),"PMB")</f>
        <v>PMB</v>
      </c>
      <c r="O501" s="59"/>
      <c r="P501" s="1"/>
      <c r="Q501" s="1"/>
      <c r="R501" s="1"/>
      <c r="S501" s="1"/>
      <c r="T501" s="1"/>
      <c r="U501" s="1"/>
      <c r="V501" s="1"/>
      <c r="W501" s="1"/>
      <c r="X501" s="1"/>
      <c r="Y501" s="1"/>
      <c r="Z501" s="1"/>
      <c r="AA501" s="1"/>
    </row>
    <row r="502" spans="1:27" ht="12.75" customHeight="1">
      <c r="A502" s="1"/>
      <c r="B502" s="10" t="str">
        <f ca="1">IFERROR(__xludf.DUMMYFUNCTION("""COMPUTED_VALUE"""),"MEJORAMIENTO DE ILUMINACIÓN UNIDADES VECINALES 34,33,32,28 Y 12H. COMUNA DE PEDRO AGUIRRE CERDA")</f>
        <v>MEJORAMIENTO DE ILUMINACIÓN UNIDADES VECINALES 34,33,32,28 Y 12H. COMUNA DE PEDRO AGUIRRE CERDA</v>
      </c>
      <c r="C502" s="10" t="str">
        <f ca="1">IFERROR(__xludf.DUMMYFUNCTION("""COMPUTED_VALUE"""),"13121240701-C")</f>
        <v>13121240701-C</v>
      </c>
      <c r="D502" s="26" t="str">
        <f t="shared" ca="1" si="2"/>
        <v xml:space="preserve"> PEDRO AGUIRRE CERDA</v>
      </c>
      <c r="E502" s="10" t="str">
        <f ca="1">IFERROR(__xludf.DUMMYFUNCTION("""COMPUTED_VALUE"""),"Guía Operativa")</f>
        <v>Guía Operativa</v>
      </c>
      <c r="F502" s="10" t="str">
        <f ca="1">IFERROR(__xludf.DUMMYFUNCTION("""COMPUTED_VALUE"""),"MUNICIPALIDAD DE PEDRO AGUIRRE CERDA")</f>
        <v>MUNICIPALIDAD DE PEDRO AGUIRRE CERDA</v>
      </c>
      <c r="G502" s="71">
        <f ca="1">IFERROR(__xludf.DUMMYFUNCTION("""COMPUTED_VALUE"""),322305183)</f>
        <v>322305183</v>
      </c>
      <c r="H502" s="10" t="str">
        <f ca="1">IFERROR(__xludf.DUMMYFUNCTION("""COMPUTED_VALUE"""),"Resolución")</f>
        <v>Resolución</v>
      </c>
      <c r="I502" s="10" t="str">
        <f ca="1">IFERROR(__xludf.DUMMYFUNCTION("""COMPUTED_VALUE"""),"Obra")</f>
        <v>Obra</v>
      </c>
      <c r="J502" s="10" t="str">
        <f ca="1">IFERROR(__xludf.DUMMYFUNCTION("""COMPUTED_VALUE"""),"Cumplir con normativa y reglamentos internos del programa en base a los objetivos.")</f>
        <v>Cumplir con normativa y reglamentos internos del programa en base a los objetivos.</v>
      </c>
      <c r="K502" s="71">
        <f ca="1">IFERROR(__xludf.DUMMYFUNCTION("""COMPUTED_VALUE"""),322305183)</f>
        <v>322305183</v>
      </c>
      <c r="L502" s="27">
        <f ca="1">IFERROR(__xludf.DUMMYFUNCTION("""COMPUTED_VALUE"""),1)</f>
        <v>1</v>
      </c>
      <c r="M502" s="10" t="str">
        <f ca="1">IFERROR(__xludf.DUMMYFUNCTION("""COMPUTED_VALUE"""),"12185/2024")</f>
        <v>12185/2024</v>
      </c>
      <c r="N502" s="10" t="str">
        <f ca="1">IFERROR(__xludf.DUMMYFUNCTION("""COMPUTED_VALUE"""),"PMB")</f>
        <v>PMB</v>
      </c>
      <c r="O502" s="59"/>
      <c r="P502" s="1"/>
      <c r="Q502" s="1"/>
      <c r="R502" s="1"/>
      <c r="S502" s="1"/>
      <c r="T502" s="1"/>
      <c r="U502" s="1"/>
      <c r="V502" s="1"/>
      <c r="W502" s="1"/>
      <c r="X502" s="1"/>
      <c r="Y502" s="1"/>
      <c r="Z502" s="1"/>
      <c r="AA502" s="1"/>
    </row>
    <row r="503" spans="1:27" ht="12.75" customHeight="1">
      <c r="A503" s="1"/>
      <c r="B503" s="10" t="str">
        <f ca="1">IFERROR(__xludf.DUMMYFUNCTION("""COMPUTED_VALUE"""),"RECAMBIO DEL SISTEMA DE ALUMBRADO PÚBLICO DEL PARQUE SAN LUIS ORIONE, COMUNA DE CERRILLOS")</f>
        <v>RECAMBIO DEL SISTEMA DE ALUMBRADO PÚBLICO DEL PARQUE SAN LUIS ORIONE, COMUNA DE CERRILLOS</v>
      </c>
      <c r="C503" s="10" t="str">
        <f ca="1">IFERROR(__xludf.DUMMYFUNCTION("""COMPUTED_VALUE"""),"13102230701-C")</f>
        <v>13102230701-C</v>
      </c>
      <c r="D503" s="26" t="str">
        <f t="shared" ca="1" si="2"/>
        <v xml:space="preserve"> CERRILLOS</v>
      </c>
      <c r="E503" s="10" t="str">
        <f ca="1">IFERROR(__xludf.DUMMYFUNCTION("""COMPUTED_VALUE"""),"Guía Operativa")</f>
        <v>Guía Operativa</v>
      </c>
      <c r="F503" s="10" t="str">
        <f ca="1">IFERROR(__xludf.DUMMYFUNCTION("""COMPUTED_VALUE"""),"MUNICIPALIDAD DE CERRILLOS")</f>
        <v>MUNICIPALIDAD DE CERRILLOS</v>
      </c>
      <c r="G503" s="71">
        <f ca="1">IFERROR(__xludf.DUMMYFUNCTION("""COMPUTED_VALUE"""),271167040)</f>
        <v>271167040</v>
      </c>
      <c r="H503" s="10" t="str">
        <f ca="1">IFERROR(__xludf.DUMMYFUNCTION("""COMPUTED_VALUE"""),"Resolución")</f>
        <v>Resolución</v>
      </c>
      <c r="I503" s="10" t="str">
        <f ca="1">IFERROR(__xludf.DUMMYFUNCTION("""COMPUTED_VALUE"""),"Obra")</f>
        <v>Obra</v>
      </c>
      <c r="J503" s="10" t="str">
        <f ca="1">IFERROR(__xludf.DUMMYFUNCTION("""COMPUTED_VALUE"""),"Cumplir con normativa y reglamentos internos del programa en base a los objetivos.")</f>
        <v>Cumplir con normativa y reglamentos internos del programa en base a los objetivos.</v>
      </c>
      <c r="K503" s="71">
        <f ca="1">IFERROR(__xludf.DUMMYFUNCTION("""COMPUTED_VALUE"""),271167040)</f>
        <v>271167040</v>
      </c>
      <c r="L503" s="27">
        <f ca="1">IFERROR(__xludf.DUMMYFUNCTION("""COMPUTED_VALUE"""),1)</f>
        <v>1</v>
      </c>
      <c r="M503" s="10" t="str">
        <f ca="1">IFERROR(__xludf.DUMMYFUNCTION("""COMPUTED_VALUE"""),"12192/2024")</f>
        <v>12192/2024</v>
      </c>
      <c r="N503" s="10" t="str">
        <f ca="1">IFERROR(__xludf.DUMMYFUNCTION("""COMPUTED_VALUE"""),"PMB")</f>
        <v>PMB</v>
      </c>
      <c r="O503" s="59"/>
      <c r="P503" s="1"/>
      <c r="Q503" s="1"/>
      <c r="R503" s="1"/>
      <c r="S503" s="1"/>
      <c r="T503" s="1"/>
      <c r="U503" s="1"/>
      <c r="V503" s="1"/>
      <c r="W503" s="1"/>
      <c r="X503" s="1"/>
      <c r="Y503" s="1"/>
      <c r="Z503" s="1"/>
      <c r="AA503" s="1"/>
    </row>
    <row r="504" spans="1:27" ht="12.75" customHeight="1">
      <c r="A504" s="1"/>
      <c r="B504" s="10" t="str">
        <f ca="1">IFERROR(__xludf.DUMMYFUNCTION("""COMPUTED_VALUE"""),"MEJORAMIENTO DE TRAMOS DE ILUMINACIÓN PÚBLICA DE LA COMUNA DE EL BOSQUE SECTOR ESTACIÓN OBSERVATORIO")</f>
        <v>MEJORAMIENTO DE TRAMOS DE ILUMINACIÓN PÚBLICA DE LA COMUNA DE EL BOSQUE SECTOR ESTACIÓN OBSERVATORIO</v>
      </c>
      <c r="C504" s="10" t="str">
        <f ca="1">IFERROR(__xludf.DUMMYFUNCTION("""COMPUTED_VALUE"""),"13105230702-C")</f>
        <v>13105230702-C</v>
      </c>
      <c r="D504" s="26" t="str">
        <f t="shared" ca="1" si="2"/>
        <v xml:space="preserve"> EL BOSQUE</v>
      </c>
      <c r="E504" s="10" t="str">
        <f ca="1">IFERROR(__xludf.DUMMYFUNCTION("""COMPUTED_VALUE"""),"Guía Operativa")</f>
        <v>Guía Operativa</v>
      </c>
      <c r="F504" s="10" t="str">
        <f ca="1">IFERROR(__xludf.DUMMYFUNCTION("""COMPUTED_VALUE"""),"MUNICIPALIDAD DE EL BOSQUE")</f>
        <v>MUNICIPALIDAD DE EL BOSQUE</v>
      </c>
      <c r="G504" s="71">
        <f ca="1">IFERROR(__xludf.DUMMYFUNCTION("""COMPUTED_VALUE"""),307896305)</f>
        <v>307896305</v>
      </c>
      <c r="H504" s="10" t="str">
        <f ca="1">IFERROR(__xludf.DUMMYFUNCTION("""COMPUTED_VALUE"""),"Resolución")</f>
        <v>Resolución</v>
      </c>
      <c r="I504" s="10" t="str">
        <f ca="1">IFERROR(__xludf.DUMMYFUNCTION("""COMPUTED_VALUE"""),"Obra")</f>
        <v>Obra</v>
      </c>
      <c r="J504" s="10" t="str">
        <f ca="1">IFERROR(__xludf.DUMMYFUNCTION("""COMPUTED_VALUE"""),"Cumplir con normativa y reglamentos internos del programa en base a los objetivos.")</f>
        <v>Cumplir con normativa y reglamentos internos del programa en base a los objetivos.</v>
      </c>
      <c r="K504" s="71">
        <f ca="1">IFERROR(__xludf.DUMMYFUNCTION("""COMPUTED_VALUE"""),307896305)</f>
        <v>307896305</v>
      </c>
      <c r="L504" s="27">
        <f ca="1">IFERROR(__xludf.DUMMYFUNCTION("""COMPUTED_VALUE"""),1)</f>
        <v>1</v>
      </c>
      <c r="M504" s="10" t="str">
        <f ca="1">IFERROR(__xludf.DUMMYFUNCTION("""COMPUTED_VALUE"""),"12203/2024")</f>
        <v>12203/2024</v>
      </c>
      <c r="N504" s="10" t="str">
        <f ca="1">IFERROR(__xludf.DUMMYFUNCTION("""COMPUTED_VALUE"""),"PMB")</f>
        <v>PMB</v>
      </c>
      <c r="O504" s="59"/>
      <c r="P504" s="1"/>
      <c r="Q504" s="1"/>
      <c r="R504" s="1"/>
      <c r="S504" s="1"/>
      <c r="T504" s="1"/>
      <c r="U504" s="1"/>
      <c r="V504" s="1"/>
      <c r="W504" s="1"/>
      <c r="X504" s="1"/>
      <c r="Y504" s="1"/>
      <c r="Z504" s="1"/>
      <c r="AA504" s="1"/>
    </row>
    <row r="505" spans="1:27" ht="12.75" customHeight="1">
      <c r="A505" s="1"/>
      <c r="B505" s="10" t="str">
        <f ca="1">IFERROR(__xludf.DUMMYFUNCTION("""COMPUTED_VALUE"""),"MEJORAMIENTO DE TRAMOS DE ILUMINACIÓN PÚBLICA DE LA COMUNA DE EL BOSQUE SECTOR ESTACIÓN EL PINO")</f>
        <v>MEJORAMIENTO DE TRAMOS DE ILUMINACIÓN PÚBLICA DE LA COMUNA DE EL BOSQUE SECTOR ESTACIÓN EL PINO</v>
      </c>
      <c r="C505" s="10" t="str">
        <f ca="1">IFERROR(__xludf.DUMMYFUNCTION("""COMPUTED_VALUE"""),"13105230703-C")</f>
        <v>13105230703-C</v>
      </c>
      <c r="D505" s="26" t="str">
        <f t="shared" ca="1" si="2"/>
        <v xml:space="preserve"> EL BOSQUE</v>
      </c>
      <c r="E505" s="10" t="str">
        <f ca="1">IFERROR(__xludf.DUMMYFUNCTION("""COMPUTED_VALUE"""),"Guía Operativa")</f>
        <v>Guía Operativa</v>
      </c>
      <c r="F505" s="10" t="str">
        <f ca="1">IFERROR(__xludf.DUMMYFUNCTION("""COMPUTED_VALUE"""),"MUNICIPALIDAD DE EL BOSQUE")</f>
        <v>MUNICIPALIDAD DE EL BOSQUE</v>
      </c>
      <c r="G505" s="71">
        <f ca="1">IFERROR(__xludf.DUMMYFUNCTION("""COMPUTED_VALUE"""),305573972)</f>
        <v>305573972</v>
      </c>
      <c r="H505" s="10" t="str">
        <f ca="1">IFERROR(__xludf.DUMMYFUNCTION("""COMPUTED_VALUE"""),"Resolución")</f>
        <v>Resolución</v>
      </c>
      <c r="I505" s="10" t="str">
        <f ca="1">IFERROR(__xludf.DUMMYFUNCTION("""COMPUTED_VALUE"""),"Obra")</f>
        <v>Obra</v>
      </c>
      <c r="J505" s="10" t="str">
        <f ca="1">IFERROR(__xludf.DUMMYFUNCTION("""COMPUTED_VALUE"""),"Cumplir con normativa y reglamentos internos del programa en base a los objetivos.")</f>
        <v>Cumplir con normativa y reglamentos internos del programa en base a los objetivos.</v>
      </c>
      <c r="K505" s="71">
        <f ca="1">IFERROR(__xludf.DUMMYFUNCTION("""COMPUTED_VALUE"""),305573972)</f>
        <v>305573972</v>
      </c>
      <c r="L505" s="27">
        <f ca="1">IFERROR(__xludf.DUMMYFUNCTION("""COMPUTED_VALUE"""),1)</f>
        <v>1</v>
      </c>
      <c r="M505" s="10" t="str">
        <f ca="1">IFERROR(__xludf.DUMMYFUNCTION("""COMPUTED_VALUE"""),"12186/2024")</f>
        <v>12186/2024</v>
      </c>
      <c r="N505" s="10" t="str">
        <f ca="1">IFERROR(__xludf.DUMMYFUNCTION("""COMPUTED_VALUE"""),"PMB")</f>
        <v>PMB</v>
      </c>
      <c r="O505" s="59"/>
      <c r="P505" s="1"/>
      <c r="Q505" s="1"/>
      <c r="R505" s="1"/>
      <c r="S505" s="1"/>
      <c r="T505" s="1"/>
      <c r="U505" s="1"/>
      <c r="V505" s="1"/>
      <c r="W505" s="1"/>
      <c r="X505" s="1"/>
      <c r="Y505" s="1"/>
      <c r="Z505" s="1"/>
      <c r="AA505" s="1"/>
    </row>
    <row r="506" spans="1:27" ht="12.75" customHeight="1">
      <c r="A506" s="1"/>
      <c r="B506" s="10" t="str">
        <f ca="1">IFERROR(__xludf.DUMMYFUNCTION("""COMPUTED_VALUE"""),"MEJORAMIENTO Y REPOSICIÓN DE COLECTORES DE AS Y UD, DE CALLES INDEPENDENCIA Y ESPERANZA, VILLA PUERTO OCTAY")</f>
        <v>MEJORAMIENTO Y REPOSICIÓN DE COLECTORES DE AS Y UD, DE CALLES INDEPENDENCIA Y ESPERANZA, VILLA PUERTO OCTAY</v>
      </c>
      <c r="C506" s="10" t="str">
        <f ca="1">IFERROR(__xludf.DUMMYFUNCTION("""COMPUTED_VALUE"""),"10302240702-C")</f>
        <v>10302240702-C</v>
      </c>
      <c r="D506" s="26" t="str">
        <f t="shared" ca="1" si="2"/>
        <v xml:space="preserve"> PUERTO OCTAY</v>
      </c>
      <c r="E506" s="10" t="str">
        <f ca="1">IFERROR(__xludf.DUMMYFUNCTION("""COMPUTED_VALUE"""),"Guía Operativa")</f>
        <v>Guía Operativa</v>
      </c>
      <c r="F506" s="10" t="str">
        <f ca="1">IFERROR(__xludf.DUMMYFUNCTION("""COMPUTED_VALUE"""),"MUNICIPALIDAD DE PUERTO OCTAY")</f>
        <v>MUNICIPALIDAD DE PUERTO OCTAY</v>
      </c>
      <c r="G506" s="71">
        <f ca="1">IFERROR(__xludf.DUMMYFUNCTION("""COMPUTED_VALUE"""),313343436)</f>
        <v>313343436</v>
      </c>
      <c r="H506" s="10" t="str">
        <f ca="1">IFERROR(__xludf.DUMMYFUNCTION("""COMPUTED_VALUE"""),"Resolución")</f>
        <v>Resolución</v>
      </c>
      <c r="I506" s="10" t="str">
        <f ca="1">IFERROR(__xludf.DUMMYFUNCTION("""COMPUTED_VALUE"""),"Obra")</f>
        <v>Obra</v>
      </c>
      <c r="J506" s="10" t="str">
        <f ca="1">IFERROR(__xludf.DUMMYFUNCTION("""COMPUTED_VALUE"""),"Cumplir con normativa y reglamentos internos del programa en base a los objetivos.")</f>
        <v>Cumplir con normativa y reglamentos internos del programa en base a los objetivos.</v>
      </c>
      <c r="K506" s="71">
        <f ca="1">IFERROR(__xludf.DUMMYFUNCTION("""COMPUTED_VALUE"""),313343436)</f>
        <v>313343436</v>
      </c>
      <c r="L506" s="27">
        <f ca="1">IFERROR(__xludf.DUMMYFUNCTION("""COMPUTED_VALUE"""),1)</f>
        <v>1</v>
      </c>
      <c r="M506" s="10" t="str">
        <f ca="1">IFERROR(__xludf.DUMMYFUNCTION("""COMPUTED_VALUE"""),"12184/2024")</f>
        <v>12184/2024</v>
      </c>
      <c r="N506" s="10" t="str">
        <f ca="1">IFERROR(__xludf.DUMMYFUNCTION("""COMPUTED_VALUE"""),"PMB")</f>
        <v>PMB</v>
      </c>
      <c r="O506" s="59"/>
      <c r="P506" s="1"/>
      <c r="Q506" s="1"/>
      <c r="R506" s="1"/>
      <c r="S506" s="1"/>
      <c r="T506" s="1"/>
      <c r="U506" s="1"/>
      <c r="V506" s="1"/>
      <c r="W506" s="1"/>
      <c r="X506" s="1"/>
      <c r="Y506" s="1"/>
      <c r="Z506" s="1"/>
      <c r="AA506" s="1"/>
    </row>
    <row r="507" spans="1:27" ht="12.75" customHeight="1">
      <c r="A507" s="1"/>
      <c r="B507" s="10" t="str">
        <f ca="1">IFERROR(__xludf.DUMMYFUNCTION("""COMPUTED_VALUE"""),"IMPLEMENTACIÓN SISTEMA FOTOVOLTAICO CASAS VIEJAS DE RAUTEN")</f>
        <v>IMPLEMENTACIÓN SISTEMA FOTOVOLTAICO CASAS VIEJAS DE RAUTEN</v>
      </c>
      <c r="C507" s="10" t="str">
        <f ca="1">IFERROR(__xludf.DUMMYFUNCTION("""COMPUTED_VALUE"""),"5501240701-C")</f>
        <v>5501240701-C</v>
      </c>
      <c r="D507" s="26" t="str">
        <f t="shared" ca="1" si="2"/>
        <v xml:space="preserve"> QUILLOTA</v>
      </c>
      <c r="E507" s="10" t="str">
        <f ca="1">IFERROR(__xludf.DUMMYFUNCTION("""COMPUTED_VALUE"""),"Guía Operativa")</f>
        <v>Guía Operativa</v>
      </c>
      <c r="F507" s="10" t="str">
        <f ca="1">IFERROR(__xludf.DUMMYFUNCTION("""COMPUTED_VALUE"""),"MUNICIPALIDAD DE QUILLOTA")</f>
        <v>MUNICIPALIDAD DE QUILLOTA</v>
      </c>
      <c r="G507" s="71">
        <f ca="1">IFERROR(__xludf.DUMMYFUNCTION("""COMPUTED_VALUE"""),25518291)</f>
        <v>25518291</v>
      </c>
      <c r="H507" s="10" t="str">
        <f ca="1">IFERROR(__xludf.DUMMYFUNCTION("""COMPUTED_VALUE"""),"Resolución")</f>
        <v>Resolución</v>
      </c>
      <c r="I507" s="10" t="str">
        <f ca="1">IFERROR(__xludf.DUMMYFUNCTION("""COMPUTED_VALUE"""),"Obra")</f>
        <v>Obra</v>
      </c>
      <c r="J507" s="10" t="str">
        <f ca="1">IFERROR(__xludf.DUMMYFUNCTION("""COMPUTED_VALUE"""),"Cumplir con normativa y reglamentos internos del programa en base a los objetivos.")</f>
        <v>Cumplir con normativa y reglamentos internos del programa en base a los objetivos.</v>
      </c>
      <c r="K507" s="71">
        <f ca="1">IFERROR(__xludf.DUMMYFUNCTION("""COMPUTED_VALUE"""),25518291)</f>
        <v>25518291</v>
      </c>
      <c r="L507" s="27">
        <f ca="1">IFERROR(__xludf.DUMMYFUNCTION("""COMPUTED_VALUE"""),1)</f>
        <v>1</v>
      </c>
      <c r="M507" s="10" t="str">
        <f ca="1">IFERROR(__xludf.DUMMYFUNCTION("""COMPUTED_VALUE"""),"12313/2024")</f>
        <v>12313/2024</v>
      </c>
      <c r="N507" s="10" t="str">
        <f ca="1">IFERROR(__xludf.DUMMYFUNCTION("""COMPUTED_VALUE"""),"PMB")</f>
        <v>PMB</v>
      </c>
      <c r="O507" s="59"/>
      <c r="P507" s="1"/>
      <c r="Q507" s="1"/>
      <c r="R507" s="1"/>
      <c r="S507" s="1"/>
      <c r="T507" s="1"/>
      <c r="U507" s="1"/>
      <c r="V507" s="1"/>
      <c r="W507" s="1"/>
      <c r="X507" s="1"/>
      <c r="Y507" s="1"/>
      <c r="Z507" s="1"/>
      <c r="AA507" s="1"/>
    </row>
    <row r="508" spans="1:27" ht="12.75" customHeight="1">
      <c r="A508" s="1"/>
      <c r="B508" s="10" t="str">
        <f ca="1">IFERROR(__xludf.DUMMYFUNCTION("""COMPUTED_VALUE"""),"CONSTRUCCION ELECTRIFICACION RURAL SECTORES CERCANOS A RUTA X-11")</f>
        <v>CONSTRUCCION ELECTRIFICACION RURAL SECTORES CERCANOS A RUTA X-11</v>
      </c>
      <c r="C508" s="10" t="str">
        <f ca="1">IFERROR(__xludf.DUMMYFUNCTION("""COMPUTED_VALUE"""),"11202240706-C")</f>
        <v>11202240706-C</v>
      </c>
      <c r="D508" s="26" t="str">
        <f t="shared" ca="1" si="2"/>
        <v xml:space="preserve"> CISNES</v>
      </c>
      <c r="E508" s="10" t="str">
        <f ca="1">IFERROR(__xludf.DUMMYFUNCTION("""COMPUTED_VALUE"""),"Guía Operativa")</f>
        <v>Guía Operativa</v>
      </c>
      <c r="F508" s="10" t="str">
        <f ca="1">IFERROR(__xludf.DUMMYFUNCTION("""COMPUTED_VALUE"""),"MUNICIPALIDAD DE CISNES")</f>
        <v>MUNICIPALIDAD DE CISNES</v>
      </c>
      <c r="G508" s="71">
        <f ca="1">IFERROR(__xludf.DUMMYFUNCTION("""COMPUTED_VALUE"""),300937588)</f>
        <v>300937588</v>
      </c>
      <c r="H508" s="10" t="str">
        <f ca="1">IFERROR(__xludf.DUMMYFUNCTION("""COMPUTED_VALUE"""),"Resolución")</f>
        <v>Resolución</v>
      </c>
      <c r="I508" s="10" t="str">
        <f ca="1">IFERROR(__xludf.DUMMYFUNCTION("""COMPUTED_VALUE"""),"Obra")</f>
        <v>Obra</v>
      </c>
      <c r="J508" s="10" t="str">
        <f ca="1">IFERROR(__xludf.DUMMYFUNCTION("""COMPUTED_VALUE"""),"Cumplir con normativa y reglamentos internos del programa en base a los objetivos.")</f>
        <v>Cumplir con normativa y reglamentos internos del programa en base a los objetivos.</v>
      </c>
      <c r="K508" s="71">
        <f ca="1">IFERROR(__xludf.DUMMYFUNCTION("""COMPUTED_VALUE"""),300937588)</f>
        <v>300937588</v>
      </c>
      <c r="L508" s="27">
        <f ca="1">IFERROR(__xludf.DUMMYFUNCTION("""COMPUTED_VALUE"""),1)</f>
        <v>1</v>
      </c>
      <c r="M508" s="10" t="str">
        <f ca="1">IFERROR(__xludf.DUMMYFUNCTION("""COMPUTED_VALUE"""),"12506/2024")</f>
        <v>12506/2024</v>
      </c>
      <c r="N508" s="10" t="str">
        <f ca="1">IFERROR(__xludf.DUMMYFUNCTION("""COMPUTED_VALUE"""),"PMB")</f>
        <v>PMB</v>
      </c>
      <c r="O508" s="59"/>
      <c r="P508" s="1"/>
      <c r="Q508" s="1"/>
      <c r="R508" s="1"/>
      <c r="S508" s="1"/>
      <c r="T508" s="1"/>
      <c r="U508" s="1"/>
      <c r="V508" s="1"/>
      <c r="W508" s="1"/>
      <c r="X508" s="1"/>
      <c r="Y508" s="1"/>
      <c r="Z508" s="1"/>
      <c r="AA508" s="1"/>
    </row>
    <row r="509" spans="1:27" ht="12.75" customHeight="1">
      <c r="A509" s="1"/>
      <c r="B509" s="10" t="str">
        <f ca="1">IFERROR(__xludf.DUMMYFUNCTION("""COMPUTED_VALUE"""),"CONSTRUCCIÓN DE ALUMBRADO PÚBLICO CAMINO PORVENIR – BAHÍA CHILOTA, COMUNA DE PORVENIR")</f>
        <v>CONSTRUCCIÓN DE ALUMBRADO PÚBLICO CAMINO PORVENIR – BAHÍA CHILOTA, COMUNA DE PORVENIR</v>
      </c>
      <c r="C509" s="10" t="str">
        <f ca="1">IFERROR(__xludf.DUMMYFUNCTION("""COMPUTED_VALUE"""),"12301240701-C")</f>
        <v>12301240701-C</v>
      </c>
      <c r="D509" s="26" t="str">
        <f t="shared" ca="1" si="2"/>
        <v xml:space="preserve"> PORVENIR</v>
      </c>
      <c r="E509" s="10" t="str">
        <f ca="1">IFERROR(__xludf.DUMMYFUNCTION("""COMPUTED_VALUE"""),"Guía Operativa")</f>
        <v>Guía Operativa</v>
      </c>
      <c r="F509" s="10" t="str">
        <f ca="1">IFERROR(__xludf.DUMMYFUNCTION("""COMPUTED_VALUE"""),"MUNICIPALIDAD DE PORVENIR")</f>
        <v>MUNICIPALIDAD DE PORVENIR</v>
      </c>
      <c r="G509" s="71">
        <f ca="1">IFERROR(__xludf.DUMMYFUNCTION("""COMPUTED_VALUE"""),308364430)</f>
        <v>308364430</v>
      </c>
      <c r="H509" s="10" t="str">
        <f ca="1">IFERROR(__xludf.DUMMYFUNCTION("""COMPUTED_VALUE"""),"Resolución")</f>
        <v>Resolución</v>
      </c>
      <c r="I509" s="10" t="str">
        <f ca="1">IFERROR(__xludf.DUMMYFUNCTION("""COMPUTED_VALUE"""),"Obra")</f>
        <v>Obra</v>
      </c>
      <c r="J509" s="10" t="str">
        <f ca="1">IFERROR(__xludf.DUMMYFUNCTION("""COMPUTED_VALUE"""),"Cumplir con normativa y reglamentos internos del programa en base a los objetivos.")</f>
        <v>Cumplir con normativa y reglamentos internos del programa en base a los objetivos.</v>
      </c>
      <c r="K509" s="71">
        <f ca="1">IFERROR(__xludf.DUMMYFUNCTION("""COMPUTED_VALUE"""),308364430)</f>
        <v>308364430</v>
      </c>
      <c r="L509" s="27">
        <f ca="1">IFERROR(__xludf.DUMMYFUNCTION("""COMPUTED_VALUE"""),1)</f>
        <v>1</v>
      </c>
      <c r="M509" s="10" t="str">
        <f ca="1">IFERROR(__xludf.DUMMYFUNCTION("""COMPUTED_VALUE"""),"12356/2024")</f>
        <v>12356/2024</v>
      </c>
      <c r="N509" s="10" t="str">
        <f ca="1">IFERROR(__xludf.DUMMYFUNCTION("""COMPUTED_VALUE"""),"PMB")</f>
        <v>PMB</v>
      </c>
      <c r="O509" s="59"/>
      <c r="P509" s="1"/>
      <c r="Q509" s="1"/>
      <c r="R509" s="1"/>
      <c r="S509" s="1"/>
      <c r="T509" s="1"/>
      <c r="U509" s="1"/>
      <c r="V509" s="1"/>
      <c r="W509" s="1"/>
      <c r="X509" s="1"/>
      <c r="Y509" s="1"/>
      <c r="Z509" s="1"/>
      <c r="AA509" s="1"/>
    </row>
    <row r="510" spans="1:27" ht="12.75" customHeight="1">
      <c r="A510" s="1"/>
      <c r="B510" s="10" t="str">
        <f ca="1">IFERROR(__xludf.DUMMYFUNCTION("""COMPUTED_VALUE"""),"GENERACIÓN DE ALCANTARILLADO Y AGUA POTABLE POBLACIÓN ASTURIAS, COMUNA DE SAN ANTONIO")</f>
        <v>GENERACIÓN DE ALCANTARILLADO Y AGUA POTABLE POBLACIÓN ASTURIAS, COMUNA DE SAN ANTONIO</v>
      </c>
      <c r="C510" s="10" t="str">
        <f ca="1">IFERROR(__xludf.DUMMYFUNCTION("""COMPUTED_VALUE"""),"5601240401-C")</f>
        <v>5601240401-C</v>
      </c>
      <c r="D510" s="26" t="str">
        <f t="shared" ca="1" si="2"/>
        <v xml:space="preserve"> SAN ANTONIO</v>
      </c>
      <c r="E510" s="10" t="str">
        <f ca="1">IFERROR(__xludf.DUMMYFUNCTION("""COMPUTED_VALUE"""),"Guía Operativa")</f>
        <v>Guía Operativa</v>
      </c>
      <c r="F510" s="10" t="str">
        <f ca="1">IFERROR(__xludf.DUMMYFUNCTION("""COMPUTED_VALUE"""),"MUNICIPALIDAD DE SAN ANTONIO")</f>
        <v>MUNICIPALIDAD DE SAN ANTONIO</v>
      </c>
      <c r="G510" s="71">
        <f ca="1">IFERROR(__xludf.DUMMYFUNCTION("""COMPUTED_VALUE"""),16422000)</f>
        <v>16422000</v>
      </c>
      <c r="H510" s="10" t="str">
        <f ca="1">IFERROR(__xludf.DUMMYFUNCTION("""COMPUTED_VALUE"""),"Resolución")</f>
        <v>Resolución</v>
      </c>
      <c r="I510" s="10" t="str">
        <f ca="1">IFERROR(__xludf.DUMMYFUNCTION("""COMPUTED_VALUE"""),"Estudio")</f>
        <v>Estudio</v>
      </c>
      <c r="J510" s="10" t="str">
        <f ca="1">IFERROR(__xludf.DUMMYFUNCTION("""COMPUTED_VALUE"""),"Cumplir con normativa y reglamentos internos del programa en base a los objetivos.")</f>
        <v>Cumplir con normativa y reglamentos internos del programa en base a los objetivos.</v>
      </c>
      <c r="K510" s="71">
        <f ca="1">IFERROR(__xludf.DUMMYFUNCTION("""COMPUTED_VALUE"""),16422000)</f>
        <v>16422000</v>
      </c>
      <c r="L510" s="27">
        <f ca="1">IFERROR(__xludf.DUMMYFUNCTION("""COMPUTED_VALUE"""),1)</f>
        <v>1</v>
      </c>
      <c r="M510" s="10" t="str">
        <f ca="1">IFERROR(__xludf.DUMMYFUNCTION("""COMPUTED_VALUE"""),"12470/2024")</f>
        <v>12470/2024</v>
      </c>
      <c r="N510" s="10" t="str">
        <f ca="1">IFERROR(__xludf.DUMMYFUNCTION("""COMPUTED_VALUE"""),"PMB")</f>
        <v>PMB</v>
      </c>
      <c r="O510" s="59"/>
      <c r="P510" s="1"/>
      <c r="Q510" s="1"/>
      <c r="R510" s="1"/>
      <c r="S510" s="1"/>
      <c r="T510" s="1"/>
      <c r="U510" s="1"/>
      <c r="V510" s="1"/>
      <c r="W510" s="1"/>
      <c r="X510" s="1"/>
      <c r="Y510" s="1"/>
      <c r="Z510" s="1"/>
      <c r="AA510" s="1"/>
    </row>
    <row r="511" spans="1:27" ht="12.75" customHeight="1">
      <c r="A511" s="1"/>
      <c r="B511" s="10" t="str">
        <f ca="1">IFERROR(__xludf.DUMMYFUNCTION("""COMPUTED_VALUE"""),"ASISTENCIA TÉCNICA PARA LA FORMULACIÓN Y DESARROLLO DE PROYECTOS, ALTO DEL CARMEN")</f>
        <v>ASISTENCIA TÉCNICA PARA LA FORMULACIÓN Y DESARROLLO DE PROYECTOS, ALTO DEL CARMEN</v>
      </c>
      <c r="C511" s="10" t="str">
        <f ca="1">IFERROR(__xludf.DUMMYFUNCTION("""COMPUTED_VALUE"""),"3302241001-C")</f>
        <v>3302241001-C</v>
      </c>
      <c r="D511" s="26" t="str">
        <f t="shared" ca="1" si="2"/>
        <v xml:space="preserve"> ALTO DEL CARMEN</v>
      </c>
      <c r="E511" s="10" t="str">
        <f ca="1">IFERROR(__xludf.DUMMYFUNCTION("""COMPUTED_VALUE"""),"Guía Operativa")</f>
        <v>Guía Operativa</v>
      </c>
      <c r="F511" s="10" t="str">
        <f ca="1">IFERROR(__xludf.DUMMYFUNCTION("""COMPUTED_VALUE"""),"MUNICIPALIDAD DE ALTO DEL CARMEN")</f>
        <v>MUNICIPALIDAD DE ALTO DEL CARMEN</v>
      </c>
      <c r="G511" s="71">
        <f ca="1">IFERROR(__xludf.DUMMYFUNCTION("""COMPUTED_VALUE"""),68035968)</f>
        <v>68035968</v>
      </c>
      <c r="H511" s="10" t="str">
        <f ca="1">IFERROR(__xludf.DUMMYFUNCTION("""COMPUTED_VALUE"""),"Resolución")</f>
        <v>Resolución</v>
      </c>
      <c r="I511" s="10" t="str">
        <f ca="1">IFERROR(__xludf.DUMMYFUNCTION("""COMPUTED_VALUE"""),"Asistencia Técnica")</f>
        <v>Asistencia Técnica</v>
      </c>
      <c r="J511" s="10" t="str">
        <f ca="1">IFERROR(__xludf.DUMMYFUNCTION("""COMPUTED_VALUE"""),"Cumplir con normativa y reglamentos internos del programa en base a los objetivos.")</f>
        <v>Cumplir con normativa y reglamentos internos del programa en base a los objetivos.</v>
      </c>
      <c r="K511" s="71">
        <f ca="1">IFERROR(__xludf.DUMMYFUNCTION("""COMPUTED_VALUE"""),68035968)</f>
        <v>68035968</v>
      </c>
      <c r="L511" s="27">
        <f ca="1">IFERROR(__xludf.DUMMYFUNCTION("""COMPUTED_VALUE"""),1)</f>
        <v>1</v>
      </c>
      <c r="M511" s="10" t="str">
        <f ca="1">IFERROR(__xludf.DUMMYFUNCTION("""COMPUTED_VALUE"""),"12485/2024")</f>
        <v>12485/2024</v>
      </c>
      <c r="N511" s="10" t="str">
        <f ca="1">IFERROR(__xludf.DUMMYFUNCTION("""COMPUTED_VALUE"""),"PMB")</f>
        <v>PMB</v>
      </c>
      <c r="O511" s="59"/>
      <c r="P511" s="1"/>
      <c r="Q511" s="1"/>
      <c r="R511" s="1"/>
      <c r="S511" s="1"/>
      <c r="T511" s="1"/>
      <c r="U511" s="1"/>
      <c r="V511" s="1"/>
      <c r="W511" s="1"/>
      <c r="X511" s="1"/>
      <c r="Y511" s="1"/>
      <c r="Z511" s="1"/>
      <c r="AA511" s="1"/>
    </row>
    <row r="512" spans="1:27" ht="12.75" customHeight="1">
      <c r="A512" s="1"/>
      <c r="B512" s="10" t="str">
        <f ca="1">IFERROR(__xludf.DUMMYFUNCTION("""COMPUTED_VALUE"""),"CONSTRUCCIÓN PUNTOS DE ILUMINACIÓN DISTINTOS SECTORES COMUNA DE LO ESPEJO")</f>
        <v>CONSTRUCCIÓN PUNTOS DE ILUMINACIÓN DISTINTOS SECTORES COMUNA DE LO ESPEJO</v>
      </c>
      <c r="C512" s="10" t="str">
        <f ca="1">IFERROR(__xludf.DUMMYFUNCTION("""COMPUTED_VALUE"""),"13116240703-C")</f>
        <v>13116240703-C</v>
      </c>
      <c r="D512" s="26" t="str">
        <f t="shared" ca="1" si="2"/>
        <v xml:space="preserve"> LO ESPEJO</v>
      </c>
      <c r="E512" s="10" t="str">
        <f ca="1">IFERROR(__xludf.DUMMYFUNCTION("""COMPUTED_VALUE"""),"Guía Operativa")</f>
        <v>Guía Operativa</v>
      </c>
      <c r="F512" s="10" t="str">
        <f ca="1">IFERROR(__xludf.DUMMYFUNCTION("""COMPUTED_VALUE"""),"MUNICIPALIDAD DE LO ESPEJO")</f>
        <v>MUNICIPALIDAD DE LO ESPEJO</v>
      </c>
      <c r="G512" s="71">
        <f ca="1">IFERROR(__xludf.DUMMYFUNCTION("""COMPUTED_VALUE"""),318592241)</f>
        <v>318592241</v>
      </c>
      <c r="H512" s="10" t="str">
        <f ca="1">IFERROR(__xludf.DUMMYFUNCTION("""COMPUTED_VALUE"""),"Resolución")</f>
        <v>Resolución</v>
      </c>
      <c r="I512" s="10" t="str">
        <f ca="1">IFERROR(__xludf.DUMMYFUNCTION("""COMPUTED_VALUE"""),"Obra")</f>
        <v>Obra</v>
      </c>
      <c r="J512" s="10" t="str">
        <f ca="1">IFERROR(__xludf.DUMMYFUNCTION("""COMPUTED_VALUE"""),"Cumplir con normativa y reglamentos internos del programa en base a los objetivos.")</f>
        <v>Cumplir con normativa y reglamentos internos del programa en base a los objetivos.</v>
      </c>
      <c r="K512" s="71">
        <f ca="1">IFERROR(__xludf.DUMMYFUNCTION("""COMPUTED_VALUE"""),318592241)</f>
        <v>318592241</v>
      </c>
      <c r="L512" s="27">
        <f ca="1">IFERROR(__xludf.DUMMYFUNCTION("""COMPUTED_VALUE"""),1)</f>
        <v>1</v>
      </c>
      <c r="M512" s="10" t="str">
        <f ca="1">IFERROR(__xludf.DUMMYFUNCTION("""COMPUTED_VALUE"""),"12363/2024")</f>
        <v>12363/2024</v>
      </c>
      <c r="N512" s="10" t="str">
        <f ca="1">IFERROR(__xludf.DUMMYFUNCTION("""COMPUTED_VALUE"""),"PMB")</f>
        <v>PMB</v>
      </c>
      <c r="O512" s="59"/>
      <c r="P512" s="1"/>
      <c r="Q512" s="1"/>
      <c r="R512" s="1"/>
      <c r="S512" s="1"/>
      <c r="T512" s="1"/>
      <c r="U512" s="1"/>
      <c r="V512" s="1"/>
      <c r="W512" s="1"/>
      <c r="X512" s="1"/>
      <c r="Y512" s="1"/>
      <c r="Z512" s="1"/>
      <c r="AA512" s="1"/>
    </row>
    <row r="513" spans="1:27" ht="12.75" customHeight="1">
      <c r="A513" s="1"/>
      <c r="B513" s="10" t="str">
        <f ca="1">IFERROR(__xludf.DUMMYFUNCTION("""COMPUTED_VALUE"""),"SOLUCIÓN DE ALCANTARILLADO LOCALIDAD LA PALOMA")</f>
        <v>SOLUCIÓN DE ALCANTARILLADO LOCALIDAD LA PALOMA</v>
      </c>
      <c r="C513" s="10" t="str">
        <f ca="1">IFERROR(__xludf.DUMMYFUNCTION("""COMPUTED_VALUE"""),"4301220702-C")</f>
        <v>4301220702-C</v>
      </c>
      <c r="D513" s="26" t="str">
        <f t="shared" ca="1" si="2"/>
        <v xml:space="preserve"> OVALLE</v>
      </c>
      <c r="E513" s="10" t="str">
        <f ca="1">IFERROR(__xludf.DUMMYFUNCTION("""COMPUTED_VALUE"""),"Guía Operativa")</f>
        <v>Guía Operativa</v>
      </c>
      <c r="F513" s="10" t="str">
        <f ca="1">IFERROR(__xludf.DUMMYFUNCTION("""COMPUTED_VALUE"""),"MUNICIPALIDAD DE OVALLE")</f>
        <v>MUNICIPALIDAD DE OVALLE</v>
      </c>
      <c r="G513" s="71">
        <f ca="1">IFERROR(__xludf.DUMMYFUNCTION("""COMPUTED_VALUE"""),320149999)</f>
        <v>320149999</v>
      </c>
      <c r="H513" s="10" t="str">
        <f ca="1">IFERROR(__xludf.DUMMYFUNCTION("""COMPUTED_VALUE"""),"Resolución")</f>
        <v>Resolución</v>
      </c>
      <c r="I513" s="10" t="str">
        <f ca="1">IFERROR(__xludf.DUMMYFUNCTION("""COMPUTED_VALUE"""),"Obra")</f>
        <v>Obra</v>
      </c>
      <c r="J513" s="10" t="str">
        <f ca="1">IFERROR(__xludf.DUMMYFUNCTION("""COMPUTED_VALUE"""),"Cumplir con normativa y reglamentos internos del programa en base a los objetivos.")</f>
        <v>Cumplir con normativa y reglamentos internos del programa en base a los objetivos.</v>
      </c>
      <c r="K513" s="71">
        <f ca="1">IFERROR(__xludf.DUMMYFUNCTION("""COMPUTED_VALUE"""),320149999)</f>
        <v>320149999</v>
      </c>
      <c r="L513" s="27">
        <f ca="1">IFERROR(__xludf.DUMMYFUNCTION("""COMPUTED_VALUE"""),1)</f>
        <v>1</v>
      </c>
      <c r="M513" s="10" t="str">
        <f ca="1">IFERROR(__xludf.DUMMYFUNCTION("""COMPUTED_VALUE"""),"12466/2024")</f>
        <v>12466/2024</v>
      </c>
      <c r="N513" s="10" t="str">
        <f ca="1">IFERROR(__xludf.DUMMYFUNCTION("""COMPUTED_VALUE"""),"PMB")</f>
        <v>PMB</v>
      </c>
      <c r="O513" s="59"/>
      <c r="P513" s="1"/>
      <c r="Q513" s="1"/>
      <c r="R513" s="1"/>
      <c r="S513" s="1"/>
      <c r="T513" s="1"/>
      <c r="U513" s="1"/>
      <c r="V513" s="1"/>
      <c r="W513" s="1"/>
      <c r="X513" s="1"/>
      <c r="Y513" s="1"/>
      <c r="Z513" s="1"/>
      <c r="AA513" s="1"/>
    </row>
    <row r="514" spans="1:27" ht="12.75" customHeight="1">
      <c r="A514" s="1"/>
      <c r="B514" s="10" t="str">
        <f ca="1">IFERROR(__xludf.DUMMYFUNCTION("""COMPUTED_VALUE"""),"AMPLIACION DE RED SSR JUAN NUÑEZ VALENZUELA, CALLEJON LA TOMA COMUNA DE SAN VICENTE")</f>
        <v>AMPLIACION DE RED SSR JUAN NUÑEZ VALENZUELA, CALLEJON LA TOMA COMUNA DE SAN VICENTE</v>
      </c>
      <c r="C514" s="10" t="str">
        <f ca="1">IFERROR(__xludf.DUMMYFUNCTION("""COMPUTED_VALUE"""),"6117240702-C")</f>
        <v>6117240702-C</v>
      </c>
      <c r="D514" s="26" t="str">
        <f t="shared" ca="1" si="2"/>
        <v xml:space="preserve"> SAN VICENTE</v>
      </c>
      <c r="E514" s="10" t="str">
        <f ca="1">IFERROR(__xludf.DUMMYFUNCTION("""COMPUTED_VALUE"""),"Guía Operativa")</f>
        <v>Guía Operativa</v>
      </c>
      <c r="F514" s="10" t="str">
        <f ca="1">IFERROR(__xludf.DUMMYFUNCTION("""COMPUTED_VALUE"""),"MUNICIPALIDAD DE SAN VICENTE")</f>
        <v>MUNICIPALIDAD DE SAN VICENTE</v>
      </c>
      <c r="G514" s="71">
        <f ca="1">IFERROR(__xludf.DUMMYFUNCTION("""COMPUTED_VALUE"""),105715770)</f>
        <v>105715770</v>
      </c>
      <c r="H514" s="10" t="str">
        <f ca="1">IFERROR(__xludf.DUMMYFUNCTION("""COMPUTED_VALUE"""),"Resolución")</f>
        <v>Resolución</v>
      </c>
      <c r="I514" s="10" t="str">
        <f ca="1">IFERROR(__xludf.DUMMYFUNCTION("""COMPUTED_VALUE"""),"Obra")</f>
        <v>Obra</v>
      </c>
      <c r="J514" s="10" t="str">
        <f ca="1">IFERROR(__xludf.DUMMYFUNCTION("""COMPUTED_VALUE"""),"Cumplir con normativa y reglamentos internos del programa en base a los objetivos.")</f>
        <v>Cumplir con normativa y reglamentos internos del programa en base a los objetivos.</v>
      </c>
      <c r="K514" s="71">
        <f ca="1">IFERROR(__xludf.DUMMYFUNCTION("""COMPUTED_VALUE"""),105715770)</f>
        <v>105715770</v>
      </c>
      <c r="L514" s="27">
        <f ca="1">IFERROR(__xludf.DUMMYFUNCTION("""COMPUTED_VALUE"""),1)</f>
        <v>1</v>
      </c>
      <c r="M514" s="10" t="str">
        <f ca="1">IFERROR(__xludf.DUMMYFUNCTION("""COMPUTED_VALUE"""),"12659/2024")</f>
        <v>12659/2024</v>
      </c>
      <c r="N514" s="10" t="str">
        <f ca="1">IFERROR(__xludf.DUMMYFUNCTION("""COMPUTED_VALUE"""),"PMB")</f>
        <v>PMB</v>
      </c>
      <c r="O514" s="59"/>
      <c r="P514" s="1"/>
      <c r="Q514" s="1"/>
      <c r="R514" s="1"/>
      <c r="S514" s="1"/>
      <c r="T514" s="1"/>
      <c r="U514" s="1"/>
      <c r="V514" s="1"/>
      <c r="W514" s="1"/>
      <c r="X514" s="1"/>
      <c r="Y514" s="1"/>
      <c r="Z514" s="1"/>
      <c r="AA514" s="1"/>
    </row>
    <row r="515" spans="1:27" ht="12.75" customHeight="1">
      <c r="A515" s="1"/>
      <c r="B515" s="10" t="str">
        <f ca="1">IFERROR(__xludf.DUMMYFUNCTION("""COMPUTED_VALUE"""),"MEJORAMIENTO SISTEMA DE ALCANTARILLADO POSTA EL BOLSICO")</f>
        <v>MEJORAMIENTO SISTEMA DE ALCANTARILLADO POSTA EL BOLSICO</v>
      </c>
      <c r="C515" s="10" t="str">
        <f ca="1">IFERROR(__xludf.DUMMYFUNCTION("""COMPUTED_VALUE"""),"7108240701-C")</f>
        <v>7108240701-C</v>
      </c>
      <c r="D515" s="26" t="str">
        <f t="shared" ca="1" si="2"/>
        <v xml:space="preserve"> RÍO CLARO</v>
      </c>
      <c r="E515" s="10" t="str">
        <f ca="1">IFERROR(__xludf.DUMMYFUNCTION("""COMPUTED_VALUE"""),"Guía Operativa")</f>
        <v>Guía Operativa</v>
      </c>
      <c r="F515" s="10" t="str">
        <f ca="1">IFERROR(__xludf.DUMMYFUNCTION("""COMPUTED_VALUE"""),"MUNICIPALIDAD DE RÍO CLARO")</f>
        <v>MUNICIPALIDAD DE RÍO CLARO</v>
      </c>
      <c r="G515" s="71">
        <f ca="1">IFERROR(__xludf.DUMMYFUNCTION("""COMPUTED_VALUE"""),13874799)</f>
        <v>13874799</v>
      </c>
      <c r="H515" s="10" t="str">
        <f ca="1">IFERROR(__xludf.DUMMYFUNCTION("""COMPUTED_VALUE"""),"Resolución")</f>
        <v>Resolución</v>
      </c>
      <c r="I515" s="10" t="str">
        <f ca="1">IFERROR(__xludf.DUMMYFUNCTION("""COMPUTED_VALUE"""),"Obra")</f>
        <v>Obra</v>
      </c>
      <c r="J515" s="10" t="str">
        <f ca="1">IFERROR(__xludf.DUMMYFUNCTION("""COMPUTED_VALUE"""),"Cumplir con normativa y reglamentos internos del programa en base a los objetivos.")</f>
        <v>Cumplir con normativa y reglamentos internos del programa en base a los objetivos.</v>
      </c>
      <c r="K515" s="71">
        <f ca="1">IFERROR(__xludf.DUMMYFUNCTION("""COMPUTED_VALUE"""),13874799)</f>
        <v>13874799</v>
      </c>
      <c r="L515" s="27">
        <f ca="1">IFERROR(__xludf.DUMMYFUNCTION("""COMPUTED_VALUE"""),1)</f>
        <v>1</v>
      </c>
      <c r="M515" s="10" t="str">
        <f ca="1">IFERROR(__xludf.DUMMYFUNCTION("""COMPUTED_VALUE"""),"12501/2024")</f>
        <v>12501/2024</v>
      </c>
      <c r="N515" s="10" t="str">
        <f ca="1">IFERROR(__xludf.DUMMYFUNCTION("""COMPUTED_VALUE"""),"PMB")</f>
        <v>PMB</v>
      </c>
      <c r="O515" s="59"/>
      <c r="P515" s="1"/>
      <c r="Q515" s="1"/>
      <c r="R515" s="1"/>
      <c r="S515" s="1"/>
      <c r="T515" s="1"/>
      <c r="U515" s="1"/>
      <c r="V515" s="1"/>
      <c r="W515" s="1"/>
      <c r="X515" s="1"/>
      <c r="Y515" s="1"/>
      <c r="Z515" s="1"/>
      <c r="AA515" s="1"/>
    </row>
    <row r="516" spans="1:27" ht="12.75" customHeight="1">
      <c r="A516" s="1"/>
      <c r="B516" s="10" t="str">
        <f ca="1">IFERROR(__xludf.DUMMYFUNCTION("""COMPUTED_VALUE"""),"DESARROLLO DE LA ESTRATEGIA ENERGETICA LOCAL PARA LA COMUNA DE PAREDONES")</f>
        <v>DESARROLLO DE LA ESTRATEGIA ENERGETICA LOCAL PARA LA COMUNA DE PAREDONES</v>
      </c>
      <c r="C516" s="10" t="str">
        <f ca="1">IFERROR(__xludf.DUMMYFUNCTION("""COMPUTED_VALUE"""),"6206230401-C")</f>
        <v>6206230401-C</v>
      </c>
      <c r="D516" s="26" t="str">
        <f t="shared" ca="1" si="2"/>
        <v xml:space="preserve"> PAREDONES</v>
      </c>
      <c r="E516" s="10" t="str">
        <f ca="1">IFERROR(__xludf.DUMMYFUNCTION("""COMPUTED_VALUE"""),"Guía Operativa")</f>
        <v>Guía Operativa</v>
      </c>
      <c r="F516" s="10" t="str">
        <f ca="1">IFERROR(__xludf.DUMMYFUNCTION("""COMPUTED_VALUE"""),"MUNICIPALIDAD DE PAREDONES")</f>
        <v>MUNICIPALIDAD DE PAREDONES</v>
      </c>
      <c r="G516" s="71">
        <f ca="1">IFERROR(__xludf.DUMMYFUNCTION("""COMPUTED_VALUE"""),15800000)</f>
        <v>15800000</v>
      </c>
      <c r="H516" s="10" t="str">
        <f ca="1">IFERROR(__xludf.DUMMYFUNCTION("""COMPUTED_VALUE"""),"Resolución")</f>
        <v>Resolución</v>
      </c>
      <c r="I516" s="10" t="str">
        <f ca="1">IFERROR(__xludf.DUMMYFUNCTION("""COMPUTED_VALUE"""),"Estudio")</f>
        <v>Estudio</v>
      </c>
      <c r="J516" s="10" t="str">
        <f ca="1">IFERROR(__xludf.DUMMYFUNCTION("""COMPUTED_VALUE"""),"Cumplir con normativa y reglamentos internos del programa en base a los objetivos.")</f>
        <v>Cumplir con normativa y reglamentos internos del programa en base a los objetivos.</v>
      </c>
      <c r="K516" s="71">
        <f ca="1">IFERROR(__xludf.DUMMYFUNCTION("""COMPUTED_VALUE"""),15800000)</f>
        <v>15800000</v>
      </c>
      <c r="L516" s="27">
        <f ca="1">IFERROR(__xludf.DUMMYFUNCTION("""COMPUTED_VALUE"""),1)</f>
        <v>1</v>
      </c>
      <c r="M516" s="10" t="str">
        <f ca="1">IFERROR(__xludf.DUMMYFUNCTION("""COMPUTED_VALUE"""),"12505/2024")</f>
        <v>12505/2024</v>
      </c>
      <c r="N516" s="10" t="str">
        <f ca="1">IFERROR(__xludf.DUMMYFUNCTION("""COMPUTED_VALUE"""),"PMB")</f>
        <v>PMB</v>
      </c>
      <c r="O516" s="59"/>
      <c r="P516" s="1"/>
      <c r="Q516" s="1"/>
      <c r="R516" s="1"/>
      <c r="S516" s="1"/>
      <c r="T516" s="1"/>
      <c r="U516" s="1"/>
      <c r="V516" s="1"/>
      <c r="W516" s="1"/>
      <c r="X516" s="1"/>
      <c r="Y516" s="1"/>
      <c r="Z516" s="1"/>
      <c r="AA516" s="1"/>
    </row>
    <row r="517" spans="1:27" ht="12.75" customHeight="1">
      <c r="A517" s="1"/>
      <c r="B517" s="10" t="str">
        <f ca="1">IFERROR(__xludf.DUMMYFUNCTION("""COMPUTED_VALUE"""),"ESTUDIOS HIDROGEOLOGICOS Y DE PROSPECCION GEOFISICA DISTINTOS SECTORES RURALES COMUNA DE YERBAS BUENAS")</f>
        <v>ESTUDIOS HIDROGEOLOGICOS Y DE PROSPECCION GEOFISICA DISTINTOS SECTORES RURALES COMUNA DE YERBAS BUENAS</v>
      </c>
      <c r="C517" s="10" t="str">
        <f ca="1">IFERROR(__xludf.DUMMYFUNCTION("""COMPUTED_VALUE"""),"7408240401-C")</f>
        <v>7408240401-C</v>
      </c>
      <c r="D517" s="26" t="str">
        <f t="shared" ca="1" si="2"/>
        <v xml:space="preserve"> YERBAS BUENAS</v>
      </c>
      <c r="E517" s="10" t="str">
        <f ca="1">IFERROR(__xludf.DUMMYFUNCTION("""COMPUTED_VALUE"""),"Guía Operativa")</f>
        <v>Guía Operativa</v>
      </c>
      <c r="F517" s="10" t="str">
        <f ca="1">IFERROR(__xludf.DUMMYFUNCTION("""COMPUTED_VALUE"""),"MUNICIPALIDAD DE YERBAS BUENAS")</f>
        <v>MUNICIPALIDAD DE YERBAS BUENAS</v>
      </c>
      <c r="G517" s="71">
        <f ca="1">IFERROR(__xludf.DUMMYFUNCTION("""COMPUTED_VALUE"""),210112041)</f>
        <v>210112041</v>
      </c>
      <c r="H517" s="10" t="str">
        <f ca="1">IFERROR(__xludf.DUMMYFUNCTION("""COMPUTED_VALUE"""),"Resolución")</f>
        <v>Resolución</v>
      </c>
      <c r="I517" s="10" t="str">
        <f ca="1">IFERROR(__xludf.DUMMYFUNCTION("""COMPUTED_VALUE"""),"Estudio")</f>
        <v>Estudio</v>
      </c>
      <c r="J517" s="10" t="str">
        <f ca="1">IFERROR(__xludf.DUMMYFUNCTION("""COMPUTED_VALUE"""),"Cumplir con normativa y reglamentos internos del programa en base a los objetivos.")</f>
        <v>Cumplir con normativa y reglamentos internos del programa en base a los objetivos.</v>
      </c>
      <c r="K517" s="71">
        <f ca="1">IFERROR(__xludf.DUMMYFUNCTION("""COMPUTED_VALUE"""),210112041)</f>
        <v>210112041</v>
      </c>
      <c r="L517" s="27">
        <f ca="1">IFERROR(__xludf.DUMMYFUNCTION("""COMPUTED_VALUE"""),1)</f>
        <v>1</v>
      </c>
      <c r="M517" s="10" t="str">
        <f ca="1">IFERROR(__xludf.DUMMYFUNCTION("""COMPUTED_VALUE"""),"12482/2024")</f>
        <v>12482/2024</v>
      </c>
      <c r="N517" s="10" t="str">
        <f ca="1">IFERROR(__xludf.DUMMYFUNCTION("""COMPUTED_VALUE"""),"PMB")</f>
        <v>PMB</v>
      </c>
      <c r="O517" s="59"/>
      <c r="P517" s="1"/>
      <c r="Q517" s="1"/>
      <c r="R517" s="1"/>
      <c r="S517" s="1"/>
      <c r="T517" s="1"/>
      <c r="U517" s="1"/>
      <c r="V517" s="1"/>
      <c r="W517" s="1"/>
      <c r="X517" s="1"/>
      <c r="Y517" s="1"/>
      <c r="Z517" s="1"/>
      <c r="AA517" s="1"/>
    </row>
    <row r="518" spans="1:27" ht="12.75" customHeight="1">
      <c r="A518" s="1"/>
      <c r="B518" s="10" t="str">
        <f ca="1">IFERROR(__xludf.DUMMYFUNCTION("""COMPUTED_VALUE"""),"EXTENSION RED DE ALCANTARILLADO AGUAS SERVIDAS PASAJE PADRE HURTADO SECTOR TROVOLHUE, COMUNA DE CARAHUE.")</f>
        <v>EXTENSION RED DE ALCANTARILLADO AGUAS SERVIDAS PASAJE PADRE HURTADO SECTOR TROVOLHUE, COMUNA DE CARAHUE.</v>
      </c>
      <c r="C518" s="10" t="str">
        <f ca="1">IFERROR(__xludf.DUMMYFUNCTION("""COMPUTED_VALUE"""),"9102230701-C")</f>
        <v>9102230701-C</v>
      </c>
      <c r="D518" s="26" t="str">
        <f t="shared" ca="1" si="2"/>
        <v xml:space="preserve"> CARAHUE</v>
      </c>
      <c r="E518" s="10" t="str">
        <f ca="1">IFERROR(__xludf.DUMMYFUNCTION("""COMPUTED_VALUE"""),"Guía Operativa")</f>
        <v>Guía Operativa</v>
      </c>
      <c r="F518" s="10" t="str">
        <f ca="1">IFERROR(__xludf.DUMMYFUNCTION("""COMPUTED_VALUE"""),"MUNICIPALIDAD DE CARAHUE")</f>
        <v>MUNICIPALIDAD DE CARAHUE</v>
      </c>
      <c r="G518" s="71">
        <f ca="1">IFERROR(__xludf.DUMMYFUNCTION("""COMPUTED_VALUE"""),134181326)</f>
        <v>134181326</v>
      </c>
      <c r="H518" s="10" t="str">
        <f ca="1">IFERROR(__xludf.DUMMYFUNCTION("""COMPUTED_VALUE"""),"Resolución")</f>
        <v>Resolución</v>
      </c>
      <c r="I518" s="10" t="str">
        <f ca="1">IFERROR(__xludf.DUMMYFUNCTION("""COMPUTED_VALUE"""),"Obra")</f>
        <v>Obra</v>
      </c>
      <c r="J518" s="10" t="str">
        <f ca="1">IFERROR(__xludf.DUMMYFUNCTION("""COMPUTED_VALUE"""),"Cumplir con normativa y reglamentos internos del programa en base a los objetivos.")</f>
        <v>Cumplir con normativa y reglamentos internos del programa en base a los objetivos.</v>
      </c>
      <c r="K518" s="71">
        <f ca="1">IFERROR(__xludf.DUMMYFUNCTION("""COMPUTED_VALUE"""),134181326)</f>
        <v>134181326</v>
      </c>
      <c r="L518" s="27">
        <f ca="1">IFERROR(__xludf.DUMMYFUNCTION("""COMPUTED_VALUE"""),1)</f>
        <v>1</v>
      </c>
      <c r="M518" s="10" t="str">
        <f ca="1">IFERROR(__xludf.DUMMYFUNCTION("""COMPUTED_VALUE"""),"12481/2024")</f>
        <v>12481/2024</v>
      </c>
      <c r="N518" s="10" t="str">
        <f ca="1">IFERROR(__xludf.DUMMYFUNCTION("""COMPUTED_VALUE"""),"PMB")</f>
        <v>PMB</v>
      </c>
      <c r="O518" s="59"/>
      <c r="P518" s="1"/>
      <c r="Q518" s="1"/>
      <c r="R518" s="1"/>
      <c r="S518" s="1"/>
      <c r="T518" s="1"/>
      <c r="U518" s="1"/>
      <c r="V518" s="1"/>
      <c r="W518" s="1"/>
      <c r="X518" s="1"/>
      <c r="Y518" s="1"/>
      <c r="Z518" s="1"/>
      <c r="AA518" s="1"/>
    </row>
    <row r="519" spans="1:27" ht="12.75" customHeight="1">
      <c r="A519" s="1"/>
      <c r="B519" s="10" t="str">
        <f ca="1">IFERROR(__xludf.DUMMYFUNCTION("""COMPUTED_VALUE"""),"CONSTRUCCIÓN LUMINARIAS CON PANELES FOTOVOLTAICOS RUTA S-52, NUEVA IMPERIAL")</f>
        <v>CONSTRUCCIÓN LUMINARIAS CON PANELES FOTOVOLTAICOS RUTA S-52, NUEVA IMPERIAL</v>
      </c>
      <c r="C519" s="10" t="str">
        <f ca="1">IFERROR(__xludf.DUMMYFUNCTION("""COMPUTED_VALUE"""),"9111230701-C")</f>
        <v>9111230701-C</v>
      </c>
      <c r="D519" s="26" t="str">
        <f t="shared" ca="1" si="2"/>
        <v xml:space="preserve"> NUEVA IMPERIAL</v>
      </c>
      <c r="E519" s="10" t="str">
        <f ca="1">IFERROR(__xludf.DUMMYFUNCTION("""COMPUTED_VALUE"""),"Guía Operativa")</f>
        <v>Guía Operativa</v>
      </c>
      <c r="F519" s="10" t="str">
        <f ca="1">IFERROR(__xludf.DUMMYFUNCTION("""COMPUTED_VALUE"""),"MUNICIPALIDAD DE NUEVA IMPERIAL")</f>
        <v>MUNICIPALIDAD DE NUEVA IMPERIAL</v>
      </c>
      <c r="G519" s="71">
        <f ca="1">IFERROR(__xludf.DUMMYFUNCTION("""COMPUTED_VALUE"""),267000000)</f>
        <v>267000000</v>
      </c>
      <c r="H519" s="10" t="str">
        <f ca="1">IFERROR(__xludf.DUMMYFUNCTION("""COMPUTED_VALUE"""),"Resolución")</f>
        <v>Resolución</v>
      </c>
      <c r="I519" s="10" t="str">
        <f ca="1">IFERROR(__xludf.DUMMYFUNCTION("""COMPUTED_VALUE"""),"Obra")</f>
        <v>Obra</v>
      </c>
      <c r="J519" s="10" t="str">
        <f ca="1">IFERROR(__xludf.DUMMYFUNCTION("""COMPUTED_VALUE"""),"Cumplir con normativa y reglamentos internos del programa en base a los objetivos.")</f>
        <v>Cumplir con normativa y reglamentos internos del programa en base a los objetivos.</v>
      </c>
      <c r="K519" s="71">
        <f ca="1">IFERROR(__xludf.DUMMYFUNCTION("""COMPUTED_VALUE"""),267000000)</f>
        <v>267000000</v>
      </c>
      <c r="L519" s="27">
        <f ca="1">IFERROR(__xludf.DUMMYFUNCTION("""COMPUTED_VALUE"""),1)</f>
        <v>1</v>
      </c>
      <c r="M519" s="10" t="str">
        <f ca="1">IFERROR(__xludf.DUMMYFUNCTION("""COMPUTED_VALUE"""),"12354/2024")</f>
        <v>12354/2024</v>
      </c>
      <c r="N519" s="10" t="str">
        <f ca="1">IFERROR(__xludf.DUMMYFUNCTION("""COMPUTED_VALUE"""),"PMB")</f>
        <v>PMB</v>
      </c>
      <c r="O519" s="59"/>
      <c r="P519" s="1"/>
      <c r="Q519" s="1"/>
      <c r="R519" s="1"/>
      <c r="S519" s="1"/>
      <c r="T519" s="1"/>
      <c r="U519" s="1"/>
      <c r="V519" s="1"/>
      <c r="W519" s="1"/>
      <c r="X519" s="1"/>
      <c r="Y519" s="1"/>
      <c r="Z519" s="1"/>
      <c r="AA519" s="1"/>
    </row>
    <row r="520" spans="1:27" ht="12.75" customHeight="1">
      <c r="A520" s="1"/>
      <c r="B520" s="10" t="str">
        <f ca="1">IFERROR(__xludf.DUMMYFUNCTION("""COMPUTED_VALUE"""),"ABASTO DE AGUA POTABLE SECTOR LLAMUCO, GRUPO 3")</f>
        <v>ABASTO DE AGUA POTABLE SECTOR LLAMUCO, GRUPO 3</v>
      </c>
      <c r="C520" s="10" t="str">
        <f ca="1">IFERROR(__xludf.DUMMYFUNCTION("""COMPUTED_VALUE"""),"9119240701-C")</f>
        <v>9119240701-C</v>
      </c>
      <c r="D520" s="26" t="str">
        <f t="shared" ca="1" si="2"/>
        <v xml:space="preserve"> VILCÚN</v>
      </c>
      <c r="E520" s="10" t="str">
        <f ca="1">IFERROR(__xludf.DUMMYFUNCTION("""COMPUTED_VALUE"""),"Guía Operativa")</f>
        <v>Guía Operativa</v>
      </c>
      <c r="F520" s="10" t="str">
        <f ca="1">IFERROR(__xludf.DUMMYFUNCTION("""COMPUTED_VALUE"""),"MUNICIPALIDAD DE VILCÚN")</f>
        <v>MUNICIPALIDAD DE VILCÚN</v>
      </c>
      <c r="G520" s="71">
        <f ca="1">IFERROR(__xludf.DUMMYFUNCTION("""COMPUTED_VALUE"""),226578569)</f>
        <v>226578569</v>
      </c>
      <c r="H520" s="10" t="str">
        <f ca="1">IFERROR(__xludf.DUMMYFUNCTION("""COMPUTED_VALUE"""),"Resolución")</f>
        <v>Resolución</v>
      </c>
      <c r="I520" s="10" t="str">
        <f ca="1">IFERROR(__xludf.DUMMYFUNCTION("""COMPUTED_VALUE"""),"Obra")</f>
        <v>Obra</v>
      </c>
      <c r="J520" s="10" t="str">
        <f ca="1">IFERROR(__xludf.DUMMYFUNCTION("""COMPUTED_VALUE"""),"Cumplir con normativa y reglamentos internos del programa en base a los objetivos.")</f>
        <v>Cumplir con normativa y reglamentos internos del programa en base a los objetivos.</v>
      </c>
      <c r="K520" s="71">
        <f ca="1">IFERROR(__xludf.DUMMYFUNCTION("""COMPUTED_VALUE"""),226578569)</f>
        <v>226578569</v>
      </c>
      <c r="L520" s="27">
        <f ca="1">IFERROR(__xludf.DUMMYFUNCTION("""COMPUTED_VALUE"""),1)</f>
        <v>1</v>
      </c>
      <c r="M520" s="10" t="str">
        <f ca="1">IFERROR(__xludf.DUMMYFUNCTION("""COMPUTED_VALUE"""),"12303/2024")</f>
        <v>12303/2024</v>
      </c>
      <c r="N520" s="10" t="str">
        <f ca="1">IFERROR(__xludf.DUMMYFUNCTION("""COMPUTED_VALUE"""),"PMB")</f>
        <v>PMB</v>
      </c>
      <c r="O520" s="59"/>
      <c r="P520" s="1"/>
      <c r="Q520" s="1"/>
      <c r="R520" s="1"/>
      <c r="S520" s="1"/>
      <c r="T520" s="1"/>
      <c r="U520" s="1"/>
      <c r="V520" s="1"/>
      <c r="W520" s="1"/>
      <c r="X520" s="1"/>
      <c r="Y520" s="1"/>
      <c r="Z520" s="1"/>
      <c r="AA520" s="1"/>
    </row>
    <row r="521" spans="1:27" ht="12.75" customHeight="1">
      <c r="A521" s="1"/>
      <c r="B521" s="10" t="str">
        <f ca="1">IFERROR(__xludf.DUMMYFUNCTION("""COMPUTED_VALUE"""),"INSTALACIÓN DE LUMINARIAS LED ORNAMENTALES CALLE SARGENTO ALDEA Y OTROS, COLLIPULLI")</f>
        <v>INSTALACIÓN DE LUMINARIAS LED ORNAMENTALES CALLE SARGENTO ALDEA Y OTROS, COLLIPULLI</v>
      </c>
      <c r="C521" s="10" t="str">
        <f ca="1">IFERROR(__xludf.DUMMYFUNCTION("""COMPUTED_VALUE"""),"9202240707-C")</f>
        <v>9202240707-C</v>
      </c>
      <c r="D521" s="26" t="str">
        <f t="shared" ca="1" si="2"/>
        <v xml:space="preserve"> COLLIPULLI</v>
      </c>
      <c r="E521" s="10" t="str">
        <f ca="1">IFERROR(__xludf.DUMMYFUNCTION("""COMPUTED_VALUE"""),"Guía Operativa")</f>
        <v>Guía Operativa</v>
      </c>
      <c r="F521" s="10" t="str">
        <f ca="1">IFERROR(__xludf.DUMMYFUNCTION("""COMPUTED_VALUE"""),"MUNICIPALIDAD DE COLLIPULLI")</f>
        <v>MUNICIPALIDAD DE COLLIPULLI</v>
      </c>
      <c r="G521" s="71">
        <f ca="1">IFERROR(__xludf.DUMMYFUNCTION("""COMPUTED_VALUE"""),323303491)</f>
        <v>323303491</v>
      </c>
      <c r="H521" s="10" t="str">
        <f ca="1">IFERROR(__xludf.DUMMYFUNCTION("""COMPUTED_VALUE"""),"Resolución")</f>
        <v>Resolución</v>
      </c>
      <c r="I521" s="10" t="str">
        <f ca="1">IFERROR(__xludf.DUMMYFUNCTION("""COMPUTED_VALUE"""),"Obra")</f>
        <v>Obra</v>
      </c>
      <c r="J521" s="10" t="str">
        <f ca="1">IFERROR(__xludf.DUMMYFUNCTION("""COMPUTED_VALUE"""),"Cumplir con normativa y reglamentos internos del programa en base a los objetivos.")</f>
        <v>Cumplir con normativa y reglamentos internos del programa en base a los objetivos.</v>
      </c>
      <c r="K521" s="71">
        <f ca="1">IFERROR(__xludf.DUMMYFUNCTION("""COMPUTED_VALUE"""),323303491)</f>
        <v>323303491</v>
      </c>
      <c r="L521" s="27">
        <f ca="1">IFERROR(__xludf.DUMMYFUNCTION("""COMPUTED_VALUE"""),1)</f>
        <v>1</v>
      </c>
      <c r="M521" s="10" t="str">
        <f ca="1">IFERROR(__xludf.DUMMYFUNCTION("""COMPUTED_VALUE"""),"12300/2024")</f>
        <v>12300/2024</v>
      </c>
      <c r="N521" s="10" t="str">
        <f ca="1">IFERROR(__xludf.DUMMYFUNCTION("""COMPUTED_VALUE"""),"PMB")</f>
        <v>PMB</v>
      </c>
      <c r="O521" s="59"/>
      <c r="P521" s="1"/>
      <c r="Q521" s="1"/>
      <c r="R521" s="1"/>
      <c r="S521" s="1"/>
      <c r="T521" s="1"/>
      <c r="U521" s="1"/>
      <c r="V521" s="1"/>
      <c r="W521" s="1"/>
      <c r="X521" s="1"/>
      <c r="Y521" s="1"/>
      <c r="Z521" s="1"/>
      <c r="AA521" s="1"/>
    </row>
    <row r="522" spans="1:27" ht="12.75" customHeight="1">
      <c r="A522" s="1"/>
      <c r="B522" s="10" t="str">
        <f ca="1">IFERROR(__xludf.DUMMYFUNCTION("""COMPUTED_VALUE"""),"INSTALACIÓN DE LUMINARIAS ORNAMENTALES AVENIDA ELÍAS FONCEA, LOS ANDES")</f>
        <v>INSTALACIÓN DE LUMINARIAS ORNAMENTALES AVENIDA ELÍAS FONCEA, LOS ANDES</v>
      </c>
      <c r="C522" s="10" t="str">
        <f ca="1">IFERROR(__xludf.DUMMYFUNCTION("""COMPUTED_VALUE"""),"5301240704-C")</f>
        <v>5301240704-C</v>
      </c>
      <c r="D522" s="26" t="str">
        <f t="shared" ca="1" si="2"/>
        <v xml:space="preserve"> LOS ANDES</v>
      </c>
      <c r="E522" s="10" t="str">
        <f ca="1">IFERROR(__xludf.DUMMYFUNCTION("""COMPUTED_VALUE"""),"Guía Operativa")</f>
        <v>Guía Operativa</v>
      </c>
      <c r="F522" s="10" t="str">
        <f ca="1">IFERROR(__xludf.DUMMYFUNCTION("""COMPUTED_VALUE"""),"MUNICIPALIDAD DE LOS ANDES")</f>
        <v>MUNICIPALIDAD DE LOS ANDES</v>
      </c>
      <c r="G522" s="71">
        <f ca="1">IFERROR(__xludf.DUMMYFUNCTION("""COMPUTED_VALUE"""),143478946)</f>
        <v>143478946</v>
      </c>
      <c r="H522" s="10" t="str">
        <f ca="1">IFERROR(__xludf.DUMMYFUNCTION("""COMPUTED_VALUE"""),"Resolución")</f>
        <v>Resolución</v>
      </c>
      <c r="I522" s="10" t="str">
        <f ca="1">IFERROR(__xludf.DUMMYFUNCTION("""COMPUTED_VALUE"""),"Obra")</f>
        <v>Obra</v>
      </c>
      <c r="J522" s="10" t="str">
        <f ca="1">IFERROR(__xludf.DUMMYFUNCTION("""COMPUTED_VALUE"""),"Cumplir con normativa y reglamentos internos del programa en base a los objetivos.")</f>
        <v>Cumplir con normativa y reglamentos internos del programa en base a los objetivos.</v>
      </c>
      <c r="K522" s="71">
        <f ca="1">IFERROR(__xludf.DUMMYFUNCTION("""COMPUTED_VALUE"""),143478946)</f>
        <v>143478946</v>
      </c>
      <c r="L522" s="27">
        <f ca="1">IFERROR(__xludf.DUMMYFUNCTION("""COMPUTED_VALUE"""),1)</f>
        <v>1</v>
      </c>
      <c r="M522" s="10" t="str">
        <f ca="1">IFERROR(__xludf.DUMMYFUNCTION("""COMPUTED_VALUE"""),"12312/2024")</f>
        <v>12312/2024</v>
      </c>
      <c r="N522" s="10" t="str">
        <f ca="1">IFERROR(__xludf.DUMMYFUNCTION("""COMPUTED_VALUE"""),"PMB")</f>
        <v>PMB</v>
      </c>
      <c r="O522" s="59"/>
      <c r="P522" s="1"/>
      <c r="Q522" s="1"/>
      <c r="R522" s="1"/>
      <c r="S522" s="1"/>
      <c r="T522" s="1"/>
      <c r="U522" s="1"/>
      <c r="V522" s="1"/>
      <c r="W522" s="1"/>
      <c r="X522" s="1"/>
      <c r="Y522" s="1"/>
      <c r="Z522" s="1"/>
      <c r="AA522" s="1"/>
    </row>
    <row r="523" spans="1:27" ht="12.75" customHeight="1">
      <c r="A523" s="1"/>
      <c r="B523" s="10" t="str">
        <f ca="1">IFERROR(__xludf.DUMMYFUNCTION("""COMPUTED_VALUE"""),"EXTENSION DE LA RED DE ALUMBRADO PUBLICO CALLE O´HIGGINS, RUTA Q-803, LOS CARRERAS Y OTRAS, COMUNA DE MULCHEN")</f>
        <v>EXTENSION DE LA RED DE ALUMBRADO PUBLICO CALLE O´HIGGINS, RUTA Q-803, LOS CARRERAS Y OTRAS, COMUNA DE MULCHEN</v>
      </c>
      <c r="C523" s="10" t="str">
        <f ca="1">IFERROR(__xludf.DUMMYFUNCTION("""COMPUTED_VALUE"""),"8305240703-C")</f>
        <v>8305240703-C</v>
      </c>
      <c r="D523" s="26" t="str">
        <f t="shared" ca="1" si="2"/>
        <v xml:space="preserve"> MULCHÉN</v>
      </c>
      <c r="E523" s="10" t="str">
        <f ca="1">IFERROR(__xludf.DUMMYFUNCTION("""COMPUTED_VALUE"""),"Guía Operativa")</f>
        <v>Guía Operativa</v>
      </c>
      <c r="F523" s="10" t="str">
        <f ca="1">IFERROR(__xludf.DUMMYFUNCTION("""COMPUTED_VALUE"""),"MUNICIPALIDAD DE MULCHÉN")</f>
        <v>MUNICIPALIDAD DE MULCHÉN</v>
      </c>
      <c r="G523" s="71">
        <f ca="1">IFERROR(__xludf.DUMMYFUNCTION("""COMPUTED_VALUE"""),290054899)</f>
        <v>290054899</v>
      </c>
      <c r="H523" s="10" t="str">
        <f ca="1">IFERROR(__xludf.DUMMYFUNCTION("""COMPUTED_VALUE"""),"Resolución")</f>
        <v>Resolución</v>
      </c>
      <c r="I523" s="10" t="str">
        <f ca="1">IFERROR(__xludf.DUMMYFUNCTION("""COMPUTED_VALUE"""),"Obra")</f>
        <v>Obra</v>
      </c>
      <c r="J523" s="10" t="str">
        <f ca="1">IFERROR(__xludf.DUMMYFUNCTION("""COMPUTED_VALUE"""),"Cumplir con normativa y reglamentos internos del programa en base a los objetivos.")</f>
        <v>Cumplir con normativa y reglamentos internos del programa en base a los objetivos.</v>
      </c>
      <c r="K523" s="71">
        <f ca="1">IFERROR(__xludf.DUMMYFUNCTION("""COMPUTED_VALUE"""),290054899)</f>
        <v>290054899</v>
      </c>
      <c r="L523" s="27">
        <f ca="1">IFERROR(__xludf.DUMMYFUNCTION("""COMPUTED_VALUE"""),1)</f>
        <v>1</v>
      </c>
      <c r="M523" s="10" t="str">
        <f ca="1">IFERROR(__xludf.DUMMYFUNCTION("""COMPUTED_VALUE"""),"12314/2024")</f>
        <v>12314/2024</v>
      </c>
      <c r="N523" s="10" t="str">
        <f ca="1">IFERROR(__xludf.DUMMYFUNCTION("""COMPUTED_VALUE"""),"PMB")</f>
        <v>PMB</v>
      </c>
      <c r="O523" s="59"/>
      <c r="P523" s="1"/>
      <c r="Q523" s="1"/>
      <c r="R523" s="1"/>
      <c r="S523" s="1"/>
      <c r="T523" s="1"/>
      <c r="U523" s="1"/>
      <c r="V523" s="1"/>
      <c r="W523" s="1"/>
      <c r="X523" s="1"/>
      <c r="Y523" s="1"/>
      <c r="Z523" s="1"/>
      <c r="AA523" s="1"/>
    </row>
    <row r="524" spans="1:27" ht="12.75" customHeight="1">
      <c r="A524" s="1"/>
      <c r="B524" s="10" t="str">
        <f ca="1">IFERROR(__xludf.DUMMYFUNCTION("""COMPUTED_VALUE"""),"SANEAMIENTO SANITARIO ENFOCADO A SOLUCIONAR PROBLEMAS DE ALCANTARILLADO EN POBLACIÓN VULNERABLE, MELINKA")</f>
        <v>SANEAMIENTO SANITARIO ENFOCADO A SOLUCIONAR PROBLEMAS DE ALCANTARILLADO EN POBLACIÓN VULNERABLE, MELINKA</v>
      </c>
      <c r="C524" s="10" t="str">
        <f ca="1">IFERROR(__xludf.DUMMYFUNCTION("""COMPUTED_VALUE"""),"11203240701-C")</f>
        <v>11203240701-C</v>
      </c>
      <c r="D524" s="26" t="str">
        <f t="shared" ca="1" si="2"/>
        <v xml:space="preserve"> GUAITECAS</v>
      </c>
      <c r="E524" s="10" t="str">
        <f ca="1">IFERROR(__xludf.DUMMYFUNCTION("""COMPUTED_VALUE"""),"Guía Operativa")</f>
        <v>Guía Operativa</v>
      </c>
      <c r="F524" s="10" t="str">
        <f ca="1">IFERROR(__xludf.DUMMYFUNCTION("""COMPUTED_VALUE"""),"MUNICIPALIDAD DE GUAITECAS")</f>
        <v>MUNICIPALIDAD DE GUAITECAS</v>
      </c>
      <c r="G524" s="71">
        <f ca="1">IFERROR(__xludf.DUMMYFUNCTION("""COMPUTED_VALUE"""),281013321)</f>
        <v>281013321</v>
      </c>
      <c r="H524" s="10" t="str">
        <f ca="1">IFERROR(__xludf.DUMMYFUNCTION("""COMPUTED_VALUE"""),"Resolución")</f>
        <v>Resolución</v>
      </c>
      <c r="I524" s="10" t="str">
        <f ca="1">IFERROR(__xludf.DUMMYFUNCTION("""COMPUTED_VALUE"""),"Obra")</f>
        <v>Obra</v>
      </c>
      <c r="J524" s="10" t="str">
        <f ca="1">IFERROR(__xludf.DUMMYFUNCTION("""COMPUTED_VALUE"""),"Cumplir con normativa y reglamentos internos del programa en base a los objetivos.")</f>
        <v>Cumplir con normativa y reglamentos internos del programa en base a los objetivos.</v>
      </c>
      <c r="K524" s="71">
        <f ca="1">IFERROR(__xludf.DUMMYFUNCTION("""COMPUTED_VALUE"""),281013321)</f>
        <v>281013321</v>
      </c>
      <c r="L524" s="27">
        <f ca="1">IFERROR(__xludf.DUMMYFUNCTION("""COMPUTED_VALUE"""),1)</f>
        <v>1</v>
      </c>
      <c r="M524" s="10" t="str">
        <f ca="1">IFERROR(__xludf.DUMMYFUNCTION("""COMPUTED_VALUE"""),"12483/2024")</f>
        <v>12483/2024</v>
      </c>
      <c r="N524" s="10" t="str">
        <f ca="1">IFERROR(__xludf.DUMMYFUNCTION("""COMPUTED_VALUE"""),"PMB")</f>
        <v>PMB</v>
      </c>
      <c r="O524" s="59"/>
      <c r="P524" s="1"/>
      <c r="Q524" s="1"/>
      <c r="R524" s="1"/>
      <c r="S524" s="1"/>
      <c r="T524" s="1"/>
      <c r="U524" s="1"/>
      <c r="V524" s="1"/>
      <c r="W524" s="1"/>
      <c r="X524" s="1"/>
      <c r="Y524" s="1"/>
      <c r="Z524" s="1"/>
      <c r="AA524" s="1"/>
    </row>
    <row r="525" spans="1:27" ht="12.75" customHeight="1">
      <c r="A525" s="1"/>
      <c r="B525" s="10" t="str">
        <f ca="1">IFERROR(__xludf.DUMMYFUNCTION("""COMPUTED_VALUE"""),"ASISTENCIA LEGAL PARA SANEAMIENTO SANITARIO EN SECTORES SERVITECA EXTENSIÓN Y OTROS, COMUNA DE CHONCHI")</f>
        <v>ASISTENCIA LEGAL PARA SANEAMIENTO SANITARIO EN SECTORES SERVITECA EXTENSIÓN Y OTROS, COMUNA DE CHONCHI</v>
      </c>
      <c r="C525" s="10" t="str">
        <f ca="1">IFERROR(__xludf.DUMMYFUNCTION("""COMPUTED_VALUE"""),"10203240601-C")</f>
        <v>10203240601-C</v>
      </c>
      <c r="D525" s="26" t="str">
        <f t="shared" ca="1" si="2"/>
        <v xml:space="preserve"> CHONCHI</v>
      </c>
      <c r="E525" s="10" t="str">
        <f ca="1">IFERROR(__xludf.DUMMYFUNCTION("""COMPUTED_VALUE"""),"Guía Operativa")</f>
        <v>Guía Operativa</v>
      </c>
      <c r="F525" s="10" t="str">
        <f ca="1">IFERROR(__xludf.DUMMYFUNCTION("""COMPUTED_VALUE"""),"MUNICIPALIDAD DE CHONCHI")</f>
        <v>MUNICIPALIDAD DE CHONCHI</v>
      </c>
      <c r="G525" s="71">
        <f ca="1">IFERROR(__xludf.DUMMYFUNCTION("""COMPUTED_VALUE"""),63600000)</f>
        <v>63600000</v>
      </c>
      <c r="H525" s="10" t="str">
        <f ca="1">IFERROR(__xludf.DUMMYFUNCTION("""COMPUTED_VALUE"""),"Resolución")</f>
        <v>Resolución</v>
      </c>
      <c r="I525" s="10" t="str">
        <f ca="1">IFERROR(__xludf.DUMMYFUNCTION("""COMPUTED_VALUE"""),"Asistencia Legal")</f>
        <v>Asistencia Legal</v>
      </c>
      <c r="J525" s="10" t="str">
        <f ca="1">IFERROR(__xludf.DUMMYFUNCTION("""COMPUTED_VALUE"""),"Cumplir con normativa y reglamentos internos del programa en base a los objetivos.")</f>
        <v>Cumplir con normativa y reglamentos internos del programa en base a los objetivos.</v>
      </c>
      <c r="K525" s="71">
        <f ca="1">IFERROR(__xludf.DUMMYFUNCTION("""COMPUTED_VALUE"""),63600000)</f>
        <v>63600000</v>
      </c>
      <c r="L525" s="27">
        <f ca="1">IFERROR(__xludf.DUMMYFUNCTION("""COMPUTED_VALUE"""),1)</f>
        <v>1</v>
      </c>
      <c r="M525" s="10" t="str">
        <f ca="1">IFERROR(__xludf.DUMMYFUNCTION("""COMPUTED_VALUE"""),"12355/2024")</f>
        <v>12355/2024</v>
      </c>
      <c r="N525" s="10" t="str">
        <f ca="1">IFERROR(__xludf.DUMMYFUNCTION("""COMPUTED_VALUE"""),"PMB")</f>
        <v>PMB</v>
      </c>
      <c r="O525" s="59"/>
      <c r="P525" s="1"/>
      <c r="Q525" s="1"/>
      <c r="R525" s="1"/>
      <c r="S525" s="1"/>
      <c r="T525" s="1"/>
      <c r="U525" s="1"/>
      <c r="V525" s="1"/>
      <c r="W525" s="1"/>
      <c r="X525" s="1"/>
      <c r="Y525" s="1"/>
      <c r="Z525" s="1"/>
      <c r="AA525" s="1"/>
    </row>
    <row r="526" spans="1:27" ht="12.75" customHeight="1">
      <c r="A526" s="1"/>
      <c r="B526" s="10" t="str">
        <f ca="1">IFERROR(__xludf.DUMMYFUNCTION("""COMPUTED_VALUE"""),"REPARACIÓN SISTEMA DE ALCANTARILLADO SECTOR CRUCERO, COMUNA DE PURRANQUE")</f>
        <v>REPARACIÓN SISTEMA DE ALCANTARILLADO SECTOR CRUCERO, COMUNA DE PURRANQUE</v>
      </c>
      <c r="C526" s="10" t="str">
        <f ca="1">IFERROR(__xludf.DUMMYFUNCTION("""COMPUTED_VALUE"""),"10303240701-C")</f>
        <v>10303240701-C</v>
      </c>
      <c r="D526" s="26" t="str">
        <f t="shared" ca="1" si="2"/>
        <v xml:space="preserve"> PURRANQUE</v>
      </c>
      <c r="E526" s="10" t="str">
        <f ca="1">IFERROR(__xludf.DUMMYFUNCTION("""COMPUTED_VALUE"""),"Guía Operativa")</f>
        <v>Guía Operativa</v>
      </c>
      <c r="F526" s="10" t="str">
        <f ca="1">IFERROR(__xludf.DUMMYFUNCTION("""COMPUTED_VALUE"""),"MUNICIPALIDAD DE PURRANQUE")</f>
        <v>MUNICIPALIDAD DE PURRANQUE</v>
      </c>
      <c r="G526" s="71">
        <f ca="1">IFERROR(__xludf.DUMMYFUNCTION("""COMPUTED_VALUE"""),182404093)</f>
        <v>182404093</v>
      </c>
      <c r="H526" s="10" t="str">
        <f ca="1">IFERROR(__xludf.DUMMYFUNCTION("""COMPUTED_VALUE"""),"Resolución")</f>
        <v>Resolución</v>
      </c>
      <c r="I526" s="10" t="str">
        <f ca="1">IFERROR(__xludf.DUMMYFUNCTION("""COMPUTED_VALUE"""),"Obra")</f>
        <v>Obra</v>
      </c>
      <c r="J526" s="10" t="str">
        <f ca="1">IFERROR(__xludf.DUMMYFUNCTION("""COMPUTED_VALUE"""),"Cumplir con normativa y reglamentos internos del programa en base a los objetivos.")</f>
        <v>Cumplir con normativa y reglamentos internos del programa en base a los objetivos.</v>
      </c>
      <c r="K526" s="71">
        <f ca="1">IFERROR(__xludf.DUMMYFUNCTION("""COMPUTED_VALUE"""),182404093)</f>
        <v>182404093</v>
      </c>
      <c r="L526" s="27">
        <f ca="1">IFERROR(__xludf.DUMMYFUNCTION("""COMPUTED_VALUE"""),1)</f>
        <v>1</v>
      </c>
      <c r="M526" s="10" t="str">
        <f ca="1">IFERROR(__xludf.DUMMYFUNCTION("""COMPUTED_VALUE"""),"12641/2024")</f>
        <v>12641/2024</v>
      </c>
      <c r="N526" s="10" t="str">
        <f ca="1">IFERROR(__xludf.DUMMYFUNCTION("""COMPUTED_VALUE"""),"PMB")</f>
        <v>PMB</v>
      </c>
      <c r="O526" s="59"/>
      <c r="P526" s="1"/>
      <c r="Q526" s="1"/>
      <c r="R526" s="1"/>
      <c r="S526" s="1"/>
      <c r="T526" s="1"/>
      <c r="U526" s="1"/>
      <c r="V526" s="1"/>
      <c r="W526" s="1"/>
      <c r="X526" s="1"/>
      <c r="Y526" s="1"/>
      <c r="Z526" s="1"/>
      <c r="AA526" s="1"/>
    </row>
    <row r="527" spans="1:27" ht="12.75" customHeight="1">
      <c r="A527" s="1"/>
      <c r="B527" s="10" t="str">
        <f ca="1">IFERROR(__xludf.DUMMYFUNCTION("""COMPUTED_VALUE"""),"CONSTRUCCION CASETAS SANITARIAS Y SISTEMAS DE ALCANTARILLADO PARTICULAR, SECTOR CARILAO NORTE, COMUNA PERQUENCO")</f>
        <v>CONSTRUCCION CASETAS SANITARIAS Y SISTEMAS DE ALCANTARILLADO PARTICULAR, SECTOR CARILAO NORTE, COMUNA PERQUENCO</v>
      </c>
      <c r="C527" s="10" t="str">
        <f ca="1">IFERROR(__xludf.DUMMYFUNCTION("""COMPUTED_VALUE"""),"9113240702-C")</f>
        <v>9113240702-C</v>
      </c>
      <c r="D527" s="26" t="str">
        <f t="shared" ca="1" si="2"/>
        <v xml:space="preserve"> PERQUENCO</v>
      </c>
      <c r="E527" s="10" t="str">
        <f ca="1">IFERROR(__xludf.DUMMYFUNCTION("""COMPUTED_VALUE"""),"Guía Operativa")</f>
        <v>Guía Operativa</v>
      </c>
      <c r="F527" s="10" t="str">
        <f ca="1">IFERROR(__xludf.DUMMYFUNCTION("""COMPUTED_VALUE"""),"MUNICIPALIDAD DE PERQUENCO")</f>
        <v>MUNICIPALIDAD DE PERQUENCO</v>
      </c>
      <c r="G527" s="71">
        <f ca="1">IFERROR(__xludf.DUMMYFUNCTION("""COMPUTED_VALUE"""),281601226)</f>
        <v>281601226</v>
      </c>
      <c r="H527" s="10" t="str">
        <f ca="1">IFERROR(__xludf.DUMMYFUNCTION("""COMPUTED_VALUE"""),"Resolución")</f>
        <v>Resolución</v>
      </c>
      <c r="I527" s="10" t="str">
        <f ca="1">IFERROR(__xludf.DUMMYFUNCTION("""COMPUTED_VALUE"""),"Obra")</f>
        <v>Obra</v>
      </c>
      <c r="J527" s="10" t="str">
        <f ca="1">IFERROR(__xludf.DUMMYFUNCTION("""COMPUTED_VALUE"""),"Cumplir con normativa y reglamentos internos del programa en base a los objetivos.")</f>
        <v>Cumplir con normativa y reglamentos internos del programa en base a los objetivos.</v>
      </c>
      <c r="K527" s="71">
        <f ca="1">IFERROR(__xludf.DUMMYFUNCTION("""COMPUTED_VALUE"""),281601226)</f>
        <v>281601226</v>
      </c>
      <c r="L527" s="27">
        <f ca="1">IFERROR(__xludf.DUMMYFUNCTION("""COMPUTED_VALUE"""),1)</f>
        <v>1</v>
      </c>
      <c r="M527" s="10" t="str">
        <f ca="1">IFERROR(__xludf.DUMMYFUNCTION("""COMPUTED_VALUE"""),"12480/2024")</f>
        <v>12480/2024</v>
      </c>
      <c r="N527" s="10" t="str">
        <f ca="1">IFERROR(__xludf.DUMMYFUNCTION("""COMPUTED_VALUE"""),"PMB")</f>
        <v>PMB</v>
      </c>
      <c r="O527" s="59"/>
      <c r="P527" s="1"/>
      <c r="Q527" s="1"/>
      <c r="R527" s="1"/>
      <c r="S527" s="1"/>
      <c r="T527" s="1"/>
      <c r="U527" s="1"/>
      <c r="V527" s="1"/>
      <c r="W527" s="1"/>
      <c r="X527" s="1"/>
      <c r="Y527" s="1"/>
      <c r="Z527" s="1"/>
      <c r="AA527" s="1"/>
    </row>
    <row r="528" spans="1:27" ht="12.75" customHeight="1">
      <c r="A528" s="1"/>
      <c r="B528" s="10" t="str">
        <f ca="1">IFERROR(__xludf.DUMMYFUNCTION("""COMPUTED_VALUE"""),"MEJORAMIENTO RECINTOS CAPTACION APR PARGA, COMUNA DE FRESIA")</f>
        <v>MEJORAMIENTO RECINTOS CAPTACION APR PARGA, COMUNA DE FRESIA</v>
      </c>
      <c r="C528" s="10" t="str">
        <f ca="1">IFERROR(__xludf.DUMMYFUNCTION("""COMPUTED_VALUE"""),"10104240701-C")</f>
        <v>10104240701-C</v>
      </c>
      <c r="D528" s="26" t="str">
        <f t="shared" ca="1" si="2"/>
        <v xml:space="preserve"> FRESIA</v>
      </c>
      <c r="E528" s="10" t="str">
        <f ca="1">IFERROR(__xludf.DUMMYFUNCTION("""COMPUTED_VALUE"""),"Guía Operativa")</f>
        <v>Guía Operativa</v>
      </c>
      <c r="F528" s="10" t="str">
        <f ca="1">IFERROR(__xludf.DUMMYFUNCTION("""COMPUTED_VALUE"""),"MUNICIPALIDAD DE FRESIA")</f>
        <v>MUNICIPALIDAD DE FRESIA</v>
      </c>
      <c r="G528" s="71">
        <f ca="1">IFERROR(__xludf.DUMMYFUNCTION("""COMPUTED_VALUE"""),134448775)</f>
        <v>134448775</v>
      </c>
      <c r="H528" s="10" t="str">
        <f ca="1">IFERROR(__xludf.DUMMYFUNCTION("""COMPUTED_VALUE"""),"Resolución")</f>
        <v>Resolución</v>
      </c>
      <c r="I528" s="10" t="str">
        <f ca="1">IFERROR(__xludf.DUMMYFUNCTION("""COMPUTED_VALUE"""),"Obra")</f>
        <v>Obra</v>
      </c>
      <c r="J528" s="10" t="str">
        <f ca="1">IFERROR(__xludf.DUMMYFUNCTION("""COMPUTED_VALUE"""),"Cumplir con normativa y reglamentos internos del programa en base a los objetivos.")</f>
        <v>Cumplir con normativa y reglamentos internos del programa en base a los objetivos.</v>
      </c>
      <c r="K528" s="71">
        <f ca="1">IFERROR(__xludf.DUMMYFUNCTION("""COMPUTED_VALUE"""),134448775)</f>
        <v>134448775</v>
      </c>
      <c r="L528" s="27">
        <f ca="1">IFERROR(__xludf.DUMMYFUNCTION("""COMPUTED_VALUE"""),1)</f>
        <v>1</v>
      </c>
      <c r="M528" s="10" t="str">
        <f ca="1">IFERROR(__xludf.DUMMYFUNCTION("""COMPUTED_VALUE"""),"12500/2024")</f>
        <v>12500/2024</v>
      </c>
      <c r="N528" s="10" t="str">
        <f ca="1">IFERROR(__xludf.DUMMYFUNCTION("""COMPUTED_VALUE"""),"PMB")</f>
        <v>PMB</v>
      </c>
      <c r="O528" s="59"/>
      <c r="P528" s="1"/>
      <c r="Q528" s="1"/>
      <c r="R528" s="1"/>
      <c r="S528" s="1"/>
      <c r="T528" s="1"/>
      <c r="U528" s="1"/>
      <c r="V528" s="1"/>
      <c r="W528" s="1"/>
      <c r="X528" s="1"/>
      <c r="Y528" s="1"/>
      <c r="Z528" s="1"/>
      <c r="AA528" s="1"/>
    </row>
    <row r="529" spans="1:27" ht="12.75" customHeight="1">
      <c r="A529" s="1"/>
      <c r="B529" s="10" t="str">
        <f ca="1">IFERROR(__xludf.DUMMYFUNCTION("""COMPUTED_VALUE"""),"ASISTENCIA TÉCNICA PMB DIVERSOS PROYECTOS SANITARIOS RURALES, COMUNA DE LICANTÉN")</f>
        <v>ASISTENCIA TÉCNICA PMB DIVERSOS PROYECTOS SANITARIOS RURALES, COMUNA DE LICANTÉN</v>
      </c>
      <c r="C529" s="10" t="str">
        <f ca="1">IFERROR(__xludf.DUMMYFUNCTION("""COMPUTED_VALUE"""),"7303231001-C")</f>
        <v>7303231001-C</v>
      </c>
      <c r="D529" s="26" t="str">
        <f t="shared" ca="1" si="2"/>
        <v xml:space="preserve"> LICANTÉN</v>
      </c>
      <c r="E529" s="10" t="str">
        <f ca="1">IFERROR(__xludf.DUMMYFUNCTION("""COMPUTED_VALUE"""),"Guía Operativa")</f>
        <v>Guía Operativa</v>
      </c>
      <c r="F529" s="10" t="str">
        <f ca="1">IFERROR(__xludf.DUMMYFUNCTION("""COMPUTED_VALUE"""),"MUNICIPALIDAD DE LICANTÉN")</f>
        <v>MUNICIPALIDAD DE LICANTÉN</v>
      </c>
      <c r="G529" s="71">
        <f ca="1">IFERROR(__xludf.DUMMYFUNCTION("""COMPUTED_VALUE"""),67200000)</f>
        <v>67200000</v>
      </c>
      <c r="H529" s="10" t="str">
        <f ca="1">IFERROR(__xludf.DUMMYFUNCTION("""COMPUTED_VALUE"""),"Resolución")</f>
        <v>Resolución</v>
      </c>
      <c r="I529" s="10" t="str">
        <f ca="1">IFERROR(__xludf.DUMMYFUNCTION("""COMPUTED_VALUE"""),"Asistencia Técnica")</f>
        <v>Asistencia Técnica</v>
      </c>
      <c r="J529" s="10" t="str">
        <f ca="1">IFERROR(__xludf.DUMMYFUNCTION("""COMPUTED_VALUE"""),"Cumplir con normativa y reglamentos internos del programa en base a los objetivos.")</f>
        <v>Cumplir con normativa y reglamentos internos del programa en base a los objetivos.</v>
      </c>
      <c r="K529" s="71">
        <f ca="1">IFERROR(__xludf.DUMMYFUNCTION("""COMPUTED_VALUE"""),67200000)</f>
        <v>67200000</v>
      </c>
      <c r="L529" s="27">
        <f ca="1">IFERROR(__xludf.DUMMYFUNCTION("""COMPUTED_VALUE"""),1)</f>
        <v>1</v>
      </c>
      <c r="M529" s="10" t="str">
        <f ca="1">IFERROR(__xludf.DUMMYFUNCTION("""COMPUTED_VALUE"""),"12465/2024")</f>
        <v>12465/2024</v>
      </c>
      <c r="N529" s="10" t="str">
        <f ca="1">IFERROR(__xludf.DUMMYFUNCTION("""COMPUTED_VALUE"""),"PMB")</f>
        <v>PMB</v>
      </c>
      <c r="O529" s="59"/>
      <c r="P529" s="1"/>
      <c r="Q529" s="1"/>
      <c r="R529" s="1"/>
      <c r="S529" s="1"/>
      <c r="T529" s="1"/>
      <c r="U529" s="1"/>
      <c r="V529" s="1"/>
      <c r="W529" s="1"/>
      <c r="X529" s="1"/>
      <c r="Y529" s="1"/>
      <c r="Z529" s="1"/>
      <c r="AA529" s="1"/>
    </row>
    <row r="530" spans="1:27" ht="12.75" customHeight="1">
      <c r="A530" s="1"/>
      <c r="B530" s="10" t="str">
        <f ca="1">IFERROR(__xludf.DUMMYFUNCTION("""COMPUTED_VALUE"""),"CONSTRUCCIÓN CASETAS SANITARIAS DIVERSAS ESTANCIAS, COMUNA DE HUARA")</f>
        <v>CONSTRUCCIÓN CASETAS SANITARIAS DIVERSAS ESTANCIAS, COMUNA DE HUARA</v>
      </c>
      <c r="C530" s="10" t="str">
        <f ca="1">IFERROR(__xludf.DUMMYFUNCTION("""COMPUTED_VALUE"""),"1404240703-C")</f>
        <v>1404240703-C</v>
      </c>
      <c r="D530" s="26" t="str">
        <f t="shared" ca="1" si="2"/>
        <v xml:space="preserve"> HUARA</v>
      </c>
      <c r="E530" s="10" t="str">
        <f ca="1">IFERROR(__xludf.DUMMYFUNCTION("""COMPUTED_VALUE"""),"Guía Operativa")</f>
        <v>Guía Operativa</v>
      </c>
      <c r="F530" s="10" t="str">
        <f ca="1">IFERROR(__xludf.DUMMYFUNCTION("""COMPUTED_VALUE"""),"MUNICIPALIDAD DE HUARA")</f>
        <v>MUNICIPALIDAD DE HUARA</v>
      </c>
      <c r="G530" s="71">
        <f ca="1">IFERROR(__xludf.DUMMYFUNCTION("""COMPUTED_VALUE"""),150000000)</f>
        <v>150000000</v>
      </c>
      <c r="H530" s="10" t="str">
        <f ca="1">IFERROR(__xludf.DUMMYFUNCTION("""COMPUTED_VALUE"""),"Resolución")</f>
        <v>Resolución</v>
      </c>
      <c r="I530" s="10" t="str">
        <f ca="1">IFERROR(__xludf.DUMMYFUNCTION("""COMPUTED_VALUE"""),"Obra")</f>
        <v>Obra</v>
      </c>
      <c r="J530" s="10" t="str">
        <f ca="1">IFERROR(__xludf.DUMMYFUNCTION("""COMPUTED_VALUE"""),"Cumplir con normativa y reglamentos internos del programa en base a los objetivos.")</f>
        <v>Cumplir con normativa y reglamentos internos del programa en base a los objetivos.</v>
      </c>
      <c r="K530" s="71">
        <f ca="1">IFERROR(__xludf.DUMMYFUNCTION("""COMPUTED_VALUE"""),150000000)</f>
        <v>150000000</v>
      </c>
      <c r="L530" s="27">
        <f ca="1">IFERROR(__xludf.DUMMYFUNCTION("""COMPUTED_VALUE"""),1)</f>
        <v>1</v>
      </c>
      <c r="M530" s="10" t="str">
        <f ca="1">IFERROR(__xludf.DUMMYFUNCTION("""COMPUTED_VALUE"""),"12621/2024")</f>
        <v>12621/2024</v>
      </c>
      <c r="N530" s="10" t="str">
        <f ca="1">IFERROR(__xludf.DUMMYFUNCTION("""COMPUTED_VALUE"""),"PMB")</f>
        <v>PMB</v>
      </c>
      <c r="O530" s="59"/>
      <c r="P530" s="1"/>
      <c r="Q530" s="1"/>
      <c r="R530" s="1"/>
      <c r="S530" s="1"/>
      <c r="T530" s="1"/>
      <c r="U530" s="1"/>
      <c r="V530" s="1"/>
      <c r="W530" s="1"/>
      <c r="X530" s="1"/>
      <c r="Y530" s="1"/>
      <c r="Z530" s="1"/>
      <c r="AA530" s="1"/>
    </row>
    <row r="531" spans="1:27" ht="12.75" customHeight="1">
      <c r="A531" s="1"/>
      <c r="B531" s="10" t="str">
        <f ca="1">IFERROR(__xludf.DUMMYFUNCTION("""COMPUTED_VALUE"""),"INSTALACION LUMINARIAS SOLARES EN VIAS DE EVACUACION Y PUNTOS DE ENCUENTRO BORDE COSTERO URBANO, HUASCO")</f>
        <v>INSTALACION LUMINARIAS SOLARES EN VIAS DE EVACUACION Y PUNTOS DE ENCUENTRO BORDE COSTERO URBANO, HUASCO</v>
      </c>
      <c r="C531" s="10" t="str">
        <f ca="1">IFERROR(__xludf.DUMMYFUNCTION("""COMPUTED_VALUE"""),"3304240705-C")</f>
        <v>3304240705-C</v>
      </c>
      <c r="D531" s="26" t="str">
        <f t="shared" ca="1" si="2"/>
        <v xml:space="preserve"> HUASCO</v>
      </c>
      <c r="E531" s="10" t="str">
        <f ca="1">IFERROR(__xludf.DUMMYFUNCTION("""COMPUTED_VALUE"""),"Guía Operativa")</f>
        <v>Guía Operativa</v>
      </c>
      <c r="F531" s="10" t="str">
        <f ca="1">IFERROR(__xludf.DUMMYFUNCTION("""COMPUTED_VALUE"""),"MUNICIPALIDAD DE HUASCO")</f>
        <v>MUNICIPALIDAD DE HUASCO</v>
      </c>
      <c r="G531" s="71">
        <f ca="1">IFERROR(__xludf.DUMMYFUNCTION("""COMPUTED_VALUE"""),252116583)</f>
        <v>252116583</v>
      </c>
      <c r="H531" s="10" t="str">
        <f ca="1">IFERROR(__xludf.DUMMYFUNCTION("""COMPUTED_VALUE"""),"Resolución")</f>
        <v>Resolución</v>
      </c>
      <c r="I531" s="10" t="str">
        <f ca="1">IFERROR(__xludf.DUMMYFUNCTION("""COMPUTED_VALUE"""),"Obra")</f>
        <v>Obra</v>
      </c>
      <c r="J531" s="10" t="str">
        <f ca="1">IFERROR(__xludf.DUMMYFUNCTION("""COMPUTED_VALUE"""),"Cumplir con normativa y reglamentos internos del programa en base a los objetivos.")</f>
        <v>Cumplir con normativa y reglamentos internos del programa en base a los objetivos.</v>
      </c>
      <c r="K531" s="71">
        <f ca="1">IFERROR(__xludf.DUMMYFUNCTION("""COMPUTED_VALUE"""),252116583)</f>
        <v>252116583</v>
      </c>
      <c r="L531" s="27">
        <f ca="1">IFERROR(__xludf.DUMMYFUNCTION("""COMPUTED_VALUE"""),1)</f>
        <v>1</v>
      </c>
      <c r="M531" s="10" t="str">
        <f ca="1">IFERROR(__xludf.DUMMYFUNCTION("""COMPUTED_VALUE"""),"12657/2024")</f>
        <v>12657/2024</v>
      </c>
      <c r="N531" s="10" t="str">
        <f ca="1">IFERROR(__xludf.DUMMYFUNCTION("""COMPUTED_VALUE"""),"PMB")</f>
        <v>PMB</v>
      </c>
      <c r="O531" s="59"/>
      <c r="P531" s="1"/>
      <c r="Q531" s="1"/>
      <c r="R531" s="1"/>
      <c r="S531" s="1"/>
      <c r="T531" s="1"/>
      <c r="U531" s="1"/>
      <c r="V531" s="1"/>
      <c r="W531" s="1"/>
      <c r="X531" s="1"/>
      <c r="Y531" s="1"/>
      <c r="Z531" s="1"/>
      <c r="AA531" s="1"/>
    </row>
    <row r="532" spans="1:27" ht="12.75" customHeight="1">
      <c r="A532" s="1"/>
      <c r="B532" s="10" t="str">
        <f ca="1">IFERROR(__xludf.DUMMYFUNCTION("""COMPUTED_VALUE"""),"INSTALACIÓN DE LUMINARIAS LED ORNAMENTALES CALLE O´HIGGINS, COLLIPULLI")</f>
        <v>INSTALACIÓN DE LUMINARIAS LED ORNAMENTALES CALLE O´HIGGINS, COLLIPULLI</v>
      </c>
      <c r="C532" s="10" t="str">
        <f ca="1">IFERROR(__xludf.DUMMYFUNCTION("""COMPUTED_VALUE"""),"9202240703-C")</f>
        <v>9202240703-C</v>
      </c>
      <c r="D532" s="26" t="str">
        <f t="shared" ca="1" si="2"/>
        <v xml:space="preserve"> COLLIPULLI</v>
      </c>
      <c r="E532" s="10" t="str">
        <f ca="1">IFERROR(__xludf.DUMMYFUNCTION("""COMPUTED_VALUE"""),"Guía Operativa")</f>
        <v>Guía Operativa</v>
      </c>
      <c r="F532" s="10" t="str">
        <f ca="1">IFERROR(__xludf.DUMMYFUNCTION("""COMPUTED_VALUE"""),"MUNICIPALIDAD DE COLLIPULLI")</f>
        <v>MUNICIPALIDAD DE COLLIPULLI</v>
      </c>
      <c r="G532" s="71">
        <f ca="1">IFERROR(__xludf.DUMMYFUNCTION("""COMPUTED_VALUE"""),305302723)</f>
        <v>305302723</v>
      </c>
      <c r="H532" s="10" t="str">
        <f ca="1">IFERROR(__xludf.DUMMYFUNCTION("""COMPUTED_VALUE"""),"Resolución")</f>
        <v>Resolución</v>
      </c>
      <c r="I532" s="10" t="str">
        <f ca="1">IFERROR(__xludf.DUMMYFUNCTION("""COMPUTED_VALUE"""),"Obra")</f>
        <v>Obra</v>
      </c>
      <c r="J532" s="10" t="str">
        <f ca="1">IFERROR(__xludf.DUMMYFUNCTION("""COMPUTED_VALUE"""),"Cumplir con normativa y reglamentos internos del programa en base a los objetivos.")</f>
        <v>Cumplir con normativa y reglamentos internos del programa en base a los objetivos.</v>
      </c>
      <c r="K532" s="71">
        <f ca="1">IFERROR(__xludf.DUMMYFUNCTION("""COMPUTED_VALUE"""),305302723)</f>
        <v>305302723</v>
      </c>
      <c r="L532" s="27">
        <f ca="1">IFERROR(__xludf.DUMMYFUNCTION("""COMPUTED_VALUE"""),1)</f>
        <v>1</v>
      </c>
      <c r="M532" s="10" t="str">
        <f ca="1">IFERROR(__xludf.DUMMYFUNCTION("""COMPUTED_VALUE"""),"12658/2024")</f>
        <v>12658/2024</v>
      </c>
      <c r="N532" s="10" t="str">
        <f ca="1">IFERROR(__xludf.DUMMYFUNCTION("""COMPUTED_VALUE"""),"PMB")</f>
        <v>PMB</v>
      </c>
      <c r="O532" s="59"/>
      <c r="P532" s="1"/>
      <c r="Q532" s="1"/>
      <c r="R532" s="1"/>
      <c r="S532" s="1"/>
      <c r="T532" s="1"/>
      <c r="U532" s="1"/>
      <c r="V532" s="1"/>
      <c r="W532" s="1"/>
      <c r="X532" s="1"/>
      <c r="Y532" s="1"/>
      <c r="Z532" s="1"/>
      <c r="AA532" s="1"/>
    </row>
    <row r="533" spans="1:27" ht="12.75" customHeight="1">
      <c r="A533" s="1"/>
      <c r="B533" s="10" t="str">
        <f ca="1">IFERROR(__xludf.DUMMYFUNCTION("""COMPUTED_VALUE"""),"MEJORAMIENTO DE TRAMOS DE ILUMINACIÓN PÚBLICA LO VALLEDOR NORTE, NUEVA UNO, NUEVA INDEPENDENCIA Y AV. DEPARTAMENTAL. PEDRO AGUIRRE CERDA")</f>
        <v>MEJORAMIENTO DE TRAMOS DE ILUMINACIÓN PÚBLICA LO VALLEDOR NORTE, NUEVA UNO, NUEVA INDEPENDENCIA Y AV. DEPARTAMENTAL. PEDRO AGUIRRE CERDA</v>
      </c>
      <c r="C533" s="10" t="str">
        <f ca="1">IFERROR(__xludf.DUMMYFUNCTION("""COMPUTED_VALUE"""),"13121240702-C")</f>
        <v>13121240702-C</v>
      </c>
      <c r="D533" s="26" t="str">
        <f t="shared" ca="1" si="2"/>
        <v xml:space="preserve"> PEDRO AGUIRRE CERDA</v>
      </c>
      <c r="E533" s="10" t="str">
        <f ca="1">IFERROR(__xludf.DUMMYFUNCTION("""COMPUTED_VALUE"""),"Guía Operativa")</f>
        <v>Guía Operativa</v>
      </c>
      <c r="F533" s="10" t="str">
        <f ca="1">IFERROR(__xludf.DUMMYFUNCTION("""COMPUTED_VALUE"""),"MUNICIPALIDAD DE PEDRO AGUIRRE CERDA")</f>
        <v>MUNICIPALIDAD DE PEDRO AGUIRRE CERDA</v>
      </c>
      <c r="G533" s="71">
        <f ca="1">IFERROR(__xludf.DUMMYFUNCTION("""COMPUTED_VALUE"""),321374835)</f>
        <v>321374835</v>
      </c>
      <c r="H533" s="10" t="str">
        <f ca="1">IFERROR(__xludf.DUMMYFUNCTION("""COMPUTED_VALUE"""),"Resolución")</f>
        <v>Resolución</v>
      </c>
      <c r="I533" s="10" t="str">
        <f ca="1">IFERROR(__xludf.DUMMYFUNCTION("""COMPUTED_VALUE"""),"Obra")</f>
        <v>Obra</v>
      </c>
      <c r="J533" s="10" t="str">
        <f ca="1">IFERROR(__xludf.DUMMYFUNCTION("""COMPUTED_VALUE"""),"Cumplir con normativa y reglamentos internos del programa en base a los objetivos.")</f>
        <v>Cumplir con normativa y reglamentos internos del programa en base a los objetivos.</v>
      </c>
      <c r="K533" s="71">
        <f ca="1">IFERROR(__xludf.DUMMYFUNCTION("""COMPUTED_VALUE"""),321374835)</f>
        <v>321374835</v>
      </c>
      <c r="L533" s="27">
        <f ca="1">IFERROR(__xludf.DUMMYFUNCTION("""COMPUTED_VALUE"""),1)</f>
        <v>1</v>
      </c>
      <c r="M533" s="10" t="str">
        <f ca="1">IFERROR(__xludf.DUMMYFUNCTION("""COMPUTED_VALUE"""),"12469/2024")</f>
        <v>12469/2024</v>
      </c>
      <c r="N533" s="10" t="str">
        <f ca="1">IFERROR(__xludf.DUMMYFUNCTION("""COMPUTED_VALUE"""),"PMB")</f>
        <v>PMB</v>
      </c>
      <c r="O533" s="59"/>
      <c r="P533" s="1"/>
      <c r="Q533" s="1"/>
      <c r="R533" s="1"/>
      <c r="S533" s="1"/>
      <c r="T533" s="1"/>
      <c r="U533" s="1"/>
      <c r="V533" s="1"/>
      <c r="W533" s="1"/>
      <c r="X533" s="1"/>
      <c r="Y533" s="1"/>
      <c r="Z533" s="1"/>
      <c r="AA533" s="1"/>
    </row>
    <row r="534" spans="1:27" ht="12.75" customHeight="1">
      <c r="A534" s="1"/>
      <c r="B534" s="10" t="str">
        <f ca="1">IFERROR(__xludf.DUMMYFUNCTION("""COMPUTED_VALUE"""),"CAMBIO DE LUMINARIAS PUBLICAS A ILUMINACION LED, SECTOR NORPONIENTE, COMUNA DE PUNTA ARENAS")</f>
        <v>CAMBIO DE LUMINARIAS PUBLICAS A ILUMINACION LED, SECTOR NORPONIENTE, COMUNA DE PUNTA ARENAS</v>
      </c>
      <c r="C534" s="10" t="str">
        <f ca="1">IFERROR(__xludf.DUMMYFUNCTION("""COMPUTED_VALUE"""),"12101230705-C")</f>
        <v>12101230705-C</v>
      </c>
      <c r="D534" s="26" t="str">
        <f t="shared" ca="1" si="2"/>
        <v xml:space="preserve"> PUNTA ARENAS</v>
      </c>
      <c r="E534" s="10" t="str">
        <f ca="1">IFERROR(__xludf.DUMMYFUNCTION("""COMPUTED_VALUE"""),"Guía Operativa")</f>
        <v>Guía Operativa</v>
      </c>
      <c r="F534" s="10" t="str">
        <f ca="1">IFERROR(__xludf.DUMMYFUNCTION("""COMPUTED_VALUE"""),"MUNICIPALIDAD DE PUNTA ARENAS")</f>
        <v>MUNICIPALIDAD DE PUNTA ARENAS</v>
      </c>
      <c r="G534" s="71">
        <f ca="1">IFERROR(__xludf.DUMMYFUNCTION("""COMPUTED_VALUE"""),304528378)</f>
        <v>304528378</v>
      </c>
      <c r="H534" s="10" t="str">
        <f ca="1">IFERROR(__xludf.DUMMYFUNCTION("""COMPUTED_VALUE"""),"Resolución")</f>
        <v>Resolución</v>
      </c>
      <c r="I534" s="10" t="str">
        <f ca="1">IFERROR(__xludf.DUMMYFUNCTION("""COMPUTED_VALUE"""),"Obra")</f>
        <v>Obra</v>
      </c>
      <c r="J534" s="10" t="str">
        <f ca="1">IFERROR(__xludf.DUMMYFUNCTION("""COMPUTED_VALUE"""),"Cumplir con normativa y reglamentos internos del programa en base a los objetivos.")</f>
        <v>Cumplir con normativa y reglamentos internos del programa en base a los objetivos.</v>
      </c>
      <c r="K534" s="71">
        <f ca="1">IFERROR(__xludf.DUMMYFUNCTION("""COMPUTED_VALUE"""),304528378)</f>
        <v>304528378</v>
      </c>
      <c r="L534" s="27">
        <f ca="1">IFERROR(__xludf.DUMMYFUNCTION("""COMPUTED_VALUE"""),1)</f>
        <v>1</v>
      </c>
      <c r="M534" s="10" t="str">
        <f ca="1">IFERROR(__xludf.DUMMYFUNCTION("""COMPUTED_VALUE"""),"12700/2024")</f>
        <v>12700/2024</v>
      </c>
      <c r="N534" s="10" t="str">
        <f ca="1">IFERROR(__xludf.DUMMYFUNCTION("""COMPUTED_VALUE"""),"PMB")</f>
        <v>PMB</v>
      </c>
      <c r="O534" s="59"/>
      <c r="P534" s="1"/>
      <c r="Q534" s="1"/>
      <c r="R534" s="1"/>
      <c r="S534" s="1"/>
      <c r="T534" s="1"/>
      <c r="U534" s="1"/>
      <c r="V534" s="1"/>
      <c r="W534" s="1"/>
      <c r="X534" s="1"/>
      <c r="Y534" s="1"/>
      <c r="Z534" s="1"/>
      <c r="AA534" s="1"/>
    </row>
    <row r="535" spans="1:27" ht="12.75" customHeight="1">
      <c r="A535" s="1"/>
      <c r="B535" s="10" t="str">
        <f ca="1">IFERROR(__xludf.DUMMYFUNCTION("""COMPUTED_VALUE"""),"CONSTRUCCIÓN ALUMBRADO CONVENCIONAL Y SOLAR MAS RECAMBIO DE LUMINARIA, LOCALIDADES LA HIGUERITA Y PIEDRA JUNTA, VALLE DEL CARMEN.")</f>
        <v>CONSTRUCCIÓN ALUMBRADO CONVENCIONAL Y SOLAR MAS RECAMBIO DE LUMINARIA, LOCALIDADES LA HIGUERITA Y PIEDRA JUNTA, VALLE DEL CARMEN.</v>
      </c>
      <c r="C535" s="10" t="str">
        <f ca="1">IFERROR(__xludf.DUMMYFUNCTION("""COMPUTED_VALUE"""),"3302240704-C")</f>
        <v>3302240704-C</v>
      </c>
      <c r="D535" s="26" t="str">
        <f t="shared" ca="1" si="2"/>
        <v xml:space="preserve"> ALTO DEL CARMEN</v>
      </c>
      <c r="E535" s="10" t="str">
        <f ca="1">IFERROR(__xludf.DUMMYFUNCTION("""COMPUTED_VALUE"""),"Guía Operativa")</f>
        <v>Guía Operativa</v>
      </c>
      <c r="F535" s="10" t="str">
        <f ca="1">IFERROR(__xludf.DUMMYFUNCTION("""COMPUTED_VALUE"""),"MUNICIPALIDAD DE ALTO DEL CARMEN")</f>
        <v>MUNICIPALIDAD DE ALTO DEL CARMEN</v>
      </c>
      <c r="G535" s="71">
        <f ca="1">IFERROR(__xludf.DUMMYFUNCTION("""COMPUTED_VALUE"""),96124522)</f>
        <v>96124522</v>
      </c>
      <c r="H535" s="10" t="str">
        <f ca="1">IFERROR(__xludf.DUMMYFUNCTION("""COMPUTED_VALUE"""),"Resolución")</f>
        <v>Resolución</v>
      </c>
      <c r="I535" s="10" t="str">
        <f ca="1">IFERROR(__xludf.DUMMYFUNCTION("""COMPUTED_VALUE"""),"Obra")</f>
        <v>Obra</v>
      </c>
      <c r="J535" s="10" t="str">
        <f ca="1">IFERROR(__xludf.DUMMYFUNCTION("""COMPUTED_VALUE"""),"Cumplir con normativa y reglamentos internos del programa en base a los objetivos.")</f>
        <v>Cumplir con normativa y reglamentos internos del programa en base a los objetivos.</v>
      </c>
      <c r="K535" s="71">
        <f ca="1">IFERROR(__xludf.DUMMYFUNCTION("""COMPUTED_VALUE"""),96124522)</f>
        <v>96124522</v>
      </c>
      <c r="L535" s="27">
        <f ca="1">IFERROR(__xludf.DUMMYFUNCTION("""COMPUTED_VALUE"""),1)</f>
        <v>1</v>
      </c>
      <c r="M535" s="10" t="str">
        <f ca="1">IFERROR(__xludf.DUMMYFUNCTION("""COMPUTED_VALUE"""),"12662/2024")</f>
        <v>12662/2024</v>
      </c>
      <c r="N535" s="10" t="str">
        <f ca="1">IFERROR(__xludf.DUMMYFUNCTION("""COMPUTED_VALUE"""),"PMB")</f>
        <v>PMB</v>
      </c>
      <c r="O535" s="59"/>
      <c r="P535" s="1"/>
      <c r="Q535" s="1"/>
      <c r="R535" s="1"/>
      <c r="S535" s="1"/>
      <c r="T535" s="1"/>
      <c r="U535" s="1"/>
      <c r="V535" s="1"/>
      <c r="W535" s="1"/>
      <c r="X535" s="1"/>
      <c r="Y535" s="1"/>
      <c r="Z535" s="1"/>
      <c r="AA535" s="1"/>
    </row>
    <row r="536" spans="1:27" ht="12.75" customHeight="1">
      <c r="A536" s="1"/>
      <c r="B536" s="10" t="str">
        <f ca="1">IFERROR(__xludf.DUMMYFUNCTION("""COMPUTED_VALUE"""),"INSTALACIÓN DE ALUMBRADO PÚBLICO SECTORES PLAZA VIEJA Y CONDOROMA, LOS ANDES")</f>
        <v>INSTALACIÓN DE ALUMBRADO PÚBLICO SECTORES PLAZA VIEJA Y CONDOROMA, LOS ANDES</v>
      </c>
      <c r="C536" s="10" t="str">
        <f ca="1">IFERROR(__xludf.DUMMYFUNCTION("""COMPUTED_VALUE"""),"5301240705-C")</f>
        <v>5301240705-C</v>
      </c>
      <c r="D536" s="26" t="str">
        <f t="shared" ca="1" si="2"/>
        <v xml:space="preserve"> LOS ANDES</v>
      </c>
      <c r="E536" s="10" t="str">
        <f ca="1">IFERROR(__xludf.DUMMYFUNCTION("""COMPUTED_VALUE"""),"Guía Operativa")</f>
        <v>Guía Operativa</v>
      </c>
      <c r="F536" s="10" t="str">
        <f ca="1">IFERROR(__xludf.DUMMYFUNCTION("""COMPUTED_VALUE"""),"MUNICIPALIDAD DE LOS ANDES")</f>
        <v>MUNICIPALIDAD DE LOS ANDES</v>
      </c>
      <c r="G536" s="71">
        <f ca="1">IFERROR(__xludf.DUMMYFUNCTION("""COMPUTED_VALUE"""),81785027)</f>
        <v>81785027</v>
      </c>
      <c r="H536" s="10" t="str">
        <f ca="1">IFERROR(__xludf.DUMMYFUNCTION("""COMPUTED_VALUE"""),"Resolución")</f>
        <v>Resolución</v>
      </c>
      <c r="I536" s="10" t="str">
        <f ca="1">IFERROR(__xludf.DUMMYFUNCTION("""COMPUTED_VALUE"""),"Obra")</f>
        <v>Obra</v>
      </c>
      <c r="J536" s="10" t="str">
        <f ca="1">IFERROR(__xludf.DUMMYFUNCTION("""COMPUTED_VALUE"""),"Cumplir con normativa y reglamentos internos del programa en base a los objetivos.")</f>
        <v>Cumplir con normativa y reglamentos internos del programa en base a los objetivos.</v>
      </c>
      <c r="K536" s="71">
        <f ca="1">IFERROR(__xludf.DUMMYFUNCTION("""COMPUTED_VALUE"""),81785027)</f>
        <v>81785027</v>
      </c>
      <c r="L536" s="27">
        <f ca="1">IFERROR(__xludf.DUMMYFUNCTION("""COMPUTED_VALUE"""),1)</f>
        <v>1</v>
      </c>
      <c r="M536" s="10" t="str">
        <f ca="1">IFERROR(__xludf.DUMMYFUNCTION("""COMPUTED_VALUE"""),"12654/2024")</f>
        <v>12654/2024</v>
      </c>
      <c r="N536" s="10" t="str">
        <f ca="1">IFERROR(__xludf.DUMMYFUNCTION("""COMPUTED_VALUE"""),"PMB")</f>
        <v>PMB</v>
      </c>
      <c r="O536" s="59"/>
      <c r="P536" s="1"/>
      <c r="Q536" s="1"/>
      <c r="R536" s="1"/>
      <c r="S536" s="1"/>
      <c r="T536" s="1"/>
      <c r="U536" s="1"/>
      <c r="V536" s="1"/>
      <c r="W536" s="1"/>
      <c r="X536" s="1"/>
      <c r="Y536" s="1"/>
      <c r="Z536" s="1"/>
      <c r="AA536" s="1"/>
    </row>
    <row r="537" spans="1:27" ht="12.75" customHeight="1">
      <c r="A537" s="1"/>
      <c r="B537" s="10" t="str">
        <f ca="1">IFERROR(__xludf.DUMMYFUNCTION("""COMPUTED_VALUE"""),"ASISTENCIA LEGAL CATASTRO PROPIEDADES IRREGULARES, COMUNA DE TUCAPEL")</f>
        <v>ASISTENCIA LEGAL CATASTRO PROPIEDADES IRREGULARES, COMUNA DE TUCAPEL</v>
      </c>
      <c r="C537" s="10" t="str">
        <f ca="1">IFERROR(__xludf.DUMMYFUNCTION("""COMPUTED_VALUE"""),"8312240601-C")</f>
        <v>8312240601-C</v>
      </c>
      <c r="D537" s="26" t="str">
        <f t="shared" ca="1" si="2"/>
        <v xml:space="preserve"> TUCAPEL</v>
      </c>
      <c r="E537" s="10" t="str">
        <f ca="1">IFERROR(__xludf.DUMMYFUNCTION("""COMPUTED_VALUE"""),"Guía Operativa")</f>
        <v>Guía Operativa</v>
      </c>
      <c r="F537" s="10" t="str">
        <f ca="1">IFERROR(__xludf.DUMMYFUNCTION("""COMPUTED_VALUE"""),"MUNICIPALIDAD DE TUCAPEL")</f>
        <v>MUNICIPALIDAD DE TUCAPEL</v>
      </c>
      <c r="G537" s="71">
        <f ca="1">IFERROR(__xludf.DUMMYFUNCTION("""COMPUTED_VALUE"""),50400000)</f>
        <v>50400000</v>
      </c>
      <c r="H537" s="10" t="str">
        <f ca="1">IFERROR(__xludf.DUMMYFUNCTION("""COMPUTED_VALUE"""),"Resolución")</f>
        <v>Resolución</v>
      </c>
      <c r="I537" s="10" t="str">
        <f ca="1">IFERROR(__xludf.DUMMYFUNCTION("""COMPUTED_VALUE"""),"Asistencia Legal")</f>
        <v>Asistencia Legal</v>
      </c>
      <c r="J537" s="10" t="str">
        <f ca="1">IFERROR(__xludf.DUMMYFUNCTION("""COMPUTED_VALUE"""),"Cumplir con normativa y reglamentos internos del programa en base a los objetivos.")</f>
        <v>Cumplir con normativa y reglamentos internos del programa en base a los objetivos.</v>
      </c>
      <c r="K537" s="71">
        <f ca="1">IFERROR(__xludf.DUMMYFUNCTION("""COMPUTED_VALUE"""),50400000)</f>
        <v>50400000</v>
      </c>
      <c r="L537" s="27">
        <f ca="1">IFERROR(__xludf.DUMMYFUNCTION("""COMPUTED_VALUE"""),1)</f>
        <v>1</v>
      </c>
      <c r="M537" s="10" t="str">
        <f ca="1">IFERROR(__xludf.DUMMYFUNCTION("""COMPUTED_VALUE"""),"12467/2024")</f>
        <v>12467/2024</v>
      </c>
      <c r="N537" s="10" t="str">
        <f ca="1">IFERROR(__xludf.DUMMYFUNCTION("""COMPUTED_VALUE"""),"PMB")</f>
        <v>PMB</v>
      </c>
      <c r="O537" s="59"/>
      <c r="P537" s="1"/>
      <c r="Q537" s="1"/>
      <c r="R537" s="1"/>
      <c r="S537" s="1"/>
      <c r="T537" s="1"/>
      <c r="U537" s="1"/>
      <c r="V537" s="1"/>
      <c r="W537" s="1"/>
      <c r="X537" s="1"/>
      <c r="Y537" s="1"/>
      <c r="Z537" s="1"/>
      <c r="AA537" s="1"/>
    </row>
    <row r="538" spans="1:27" ht="12.75" customHeight="1">
      <c r="A538" s="1"/>
      <c r="B538" s="10" t="str">
        <f ca="1">IFERROR(__xludf.DUMMYFUNCTION("""COMPUTED_VALUE"""),"INSTALACIÓN LUMINARIA LED ORNAMENTALES CALLE LOS MAITENES NORTE-SUR Y OTROS, COLLIPULLI")</f>
        <v>INSTALACIÓN LUMINARIA LED ORNAMENTALES CALLE LOS MAITENES NORTE-SUR Y OTROS, COLLIPULLI</v>
      </c>
      <c r="C538" s="10" t="str">
        <f ca="1">IFERROR(__xludf.DUMMYFUNCTION("""COMPUTED_VALUE"""),"9202230714-C")</f>
        <v>9202230714-C</v>
      </c>
      <c r="D538" s="26" t="str">
        <f t="shared" ca="1" si="2"/>
        <v xml:space="preserve"> COLLIPULLI</v>
      </c>
      <c r="E538" s="10" t="str">
        <f ca="1">IFERROR(__xludf.DUMMYFUNCTION("""COMPUTED_VALUE"""),"Guía Operativa")</f>
        <v>Guía Operativa</v>
      </c>
      <c r="F538" s="10" t="str">
        <f ca="1">IFERROR(__xludf.DUMMYFUNCTION("""COMPUTED_VALUE"""),"MUNICIPALIDAD DE COLLIPULLI")</f>
        <v>MUNICIPALIDAD DE COLLIPULLI</v>
      </c>
      <c r="G538" s="71">
        <f ca="1">IFERROR(__xludf.DUMMYFUNCTION("""COMPUTED_VALUE"""),308834645)</f>
        <v>308834645</v>
      </c>
      <c r="H538" s="10" t="str">
        <f ca="1">IFERROR(__xludf.DUMMYFUNCTION("""COMPUTED_VALUE"""),"Resolución")</f>
        <v>Resolución</v>
      </c>
      <c r="I538" s="10" t="str">
        <f ca="1">IFERROR(__xludf.DUMMYFUNCTION("""COMPUTED_VALUE"""),"Obra")</f>
        <v>Obra</v>
      </c>
      <c r="J538" s="10" t="str">
        <f ca="1">IFERROR(__xludf.DUMMYFUNCTION("""COMPUTED_VALUE"""),"Cumplir con normativa y reglamentos internos del programa en base a los objetivos.")</f>
        <v>Cumplir con normativa y reglamentos internos del programa en base a los objetivos.</v>
      </c>
      <c r="K538" s="71">
        <f ca="1">IFERROR(__xludf.DUMMYFUNCTION("""COMPUTED_VALUE"""),308834645)</f>
        <v>308834645</v>
      </c>
      <c r="L538" s="27">
        <f ca="1">IFERROR(__xludf.DUMMYFUNCTION("""COMPUTED_VALUE"""),1)</f>
        <v>1</v>
      </c>
      <c r="M538" s="10" t="str">
        <f ca="1">IFERROR(__xludf.DUMMYFUNCTION("""COMPUTED_VALUE"""),"12656/2024")</f>
        <v>12656/2024</v>
      </c>
      <c r="N538" s="10" t="str">
        <f ca="1">IFERROR(__xludf.DUMMYFUNCTION("""COMPUTED_VALUE"""),"PMB")</f>
        <v>PMB</v>
      </c>
      <c r="O538" s="59"/>
      <c r="P538" s="1"/>
      <c r="Q538" s="1"/>
      <c r="R538" s="1"/>
      <c r="S538" s="1"/>
      <c r="T538" s="1"/>
      <c r="U538" s="1"/>
      <c r="V538" s="1"/>
      <c r="W538" s="1"/>
      <c r="X538" s="1"/>
      <c r="Y538" s="1"/>
      <c r="Z538" s="1"/>
      <c r="AA538" s="1"/>
    </row>
    <row r="539" spans="1:27" ht="12.75" customHeight="1">
      <c r="A539" s="1"/>
      <c r="B539" s="10" t="str">
        <f ca="1">IFERROR(__xludf.DUMMYFUNCTION("""COMPUTED_VALUE"""),"RECAMBIO DE LUMINARIAS SECTOR CENTRO Y PANGUIPULLI ALTO, COMUNA DE PANGUIPULLI")</f>
        <v>RECAMBIO DE LUMINARIAS SECTOR CENTRO Y PANGUIPULLI ALTO, COMUNA DE PANGUIPULLI</v>
      </c>
      <c r="C539" s="10" t="str">
        <f ca="1">IFERROR(__xludf.DUMMYFUNCTION("""COMPUTED_VALUE"""),"14108230708-C")</f>
        <v>14108230708-C</v>
      </c>
      <c r="D539" s="26" t="str">
        <f t="shared" ca="1" si="2"/>
        <v xml:space="preserve"> PANGUIPULLI</v>
      </c>
      <c r="E539" s="10" t="str">
        <f ca="1">IFERROR(__xludf.DUMMYFUNCTION("""COMPUTED_VALUE"""),"Guía Operativa")</f>
        <v>Guía Operativa</v>
      </c>
      <c r="F539" s="10" t="str">
        <f ca="1">IFERROR(__xludf.DUMMYFUNCTION("""COMPUTED_VALUE"""),"MUNICIPALIDAD DE PANGUIPULLI")</f>
        <v>MUNICIPALIDAD DE PANGUIPULLI</v>
      </c>
      <c r="G539" s="71">
        <f ca="1">IFERROR(__xludf.DUMMYFUNCTION("""COMPUTED_VALUE"""),162190704)</f>
        <v>162190704</v>
      </c>
      <c r="H539" s="10" t="str">
        <f ca="1">IFERROR(__xludf.DUMMYFUNCTION("""COMPUTED_VALUE"""),"Resolución")</f>
        <v>Resolución</v>
      </c>
      <c r="I539" s="10" t="str">
        <f ca="1">IFERROR(__xludf.DUMMYFUNCTION("""COMPUTED_VALUE"""),"Obra")</f>
        <v>Obra</v>
      </c>
      <c r="J539" s="10" t="str">
        <f ca="1">IFERROR(__xludf.DUMMYFUNCTION("""COMPUTED_VALUE"""),"Cumplir con normativa y reglamentos internos del programa en base a los objetivos.")</f>
        <v>Cumplir con normativa y reglamentos internos del programa en base a los objetivos.</v>
      </c>
      <c r="K539" s="71">
        <f ca="1">IFERROR(__xludf.DUMMYFUNCTION("""COMPUTED_VALUE"""),162190704)</f>
        <v>162190704</v>
      </c>
      <c r="L539" s="27">
        <f ca="1">IFERROR(__xludf.DUMMYFUNCTION("""COMPUTED_VALUE"""),1)</f>
        <v>1</v>
      </c>
      <c r="M539" s="10" t="str">
        <f ca="1">IFERROR(__xludf.DUMMYFUNCTION("""COMPUTED_VALUE"""),"12655/2024")</f>
        <v>12655/2024</v>
      </c>
      <c r="N539" s="10" t="str">
        <f ca="1">IFERROR(__xludf.DUMMYFUNCTION("""COMPUTED_VALUE"""),"PMB")</f>
        <v>PMB</v>
      </c>
      <c r="O539" s="59"/>
      <c r="P539" s="1"/>
      <c r="Q539" s="1"/>
      <c r="R539" s="1"/>
      <c r="S539" s="1"/>
      <c r="T539" s="1"/>
      <c r="U539" s="1"/>
      <c r="V539" s="1"/>
      <c r="W539" s="1"/>
      <c r="X539" s="1"/>
      <c r="Y539" s="1"/>
      <c r="Z539" s="1"/>
      <c r="AA539" s="1"/>
    </row>
    <row r="540" spans="1:27" ht="12.75" customHeight="1">
      <c r="A540" s="1"/>
      <c r="B540" s="10" t="str">
        <f ca="1">IFERROR(__xludf.DUMMYFUNCTION("""COMPUTED_VALUE"""),"EXTENSIÓN DE ALUMBRADO PUBLICO, EN DISTINTOS SECTORES DE SAN RAFAEL")</f>
        <v>EXTENSIÓN DE ALUMBRADO PUBLICO, EN DISTINTOS SECTORES DE SAN RAFAEL</v>
      </c>
      <c r="C540" s="10" t="str">
        <f ca="1">IFERROR(__xludf.DUMMYFUNCTION("""COMPUTED_VALUE"""),"7110240701-C")</f>
        <v>7110240701-C</v>
      </c>
      <c r="D540" s="26" t="str">
        <f t="shared" ca="1" si="2"/>
        <v xml:space="preserve"> SAN RAFAEL</v>
      </c>
      <c r="E540" s="10" t="str">
        <f ca="1">IFERROR(__xludf.DUMMYFUNCTION("""COMPUTED_VALUE"""),"Guía Operativa")</f>
        <v>Guía Operativa</v>
      </c>
      <c r="F540" s="10" t="str">
        <f ca="1">IFERROR(__xludf.DUMMYFUNCTION("""COMPUTED_VALUE"""),"MUNICIPALIDAD DE SAN RAFAEL")</f>
        <v>MUNICIPALIDAD DE SAN RAFAEL</v>
      </c>
      <c r="G540" s="71">
        <f ca="1">IFERROR(__xludf.DUMMYFUNCTION("""COMPUTED_VALUE"""),70707718)</f>
        <v>70707718</v>
      </c>
      <c r="H540" s="10" t="str">
        <f ca="1">IFERROR(__xludf.DUMMYFUNCTION("""COMPUTED_VALUE"""),"Resolución")</f>
        <v>Resolución</v>
      </c>
      <c r="I540" s="10" t="str">
        <f ca="1">IFERROR(__xludf.DUMMYFUNCTION("""COMPUTED_VALUE"""),"Obra")</f>
        <v>Obra</v>
      </c>
      <c r="J540" s="10" t="str">
        <f ca="1">IFERROR(__xludf.DUMMYFUNCTION("""COMPUTED_VALUE"""),"Cumplir con normativa y reglamentos internos del programa en base a los objetivos.")</f>
        <v>Cumplir con normativa y reglamentos internos del programa en base a los objetivos.</v>
      </c>
      <c r="K540" s="71">
        <f ca="1">IFERROR(__xludf.DUMMYFUNCTION("""COMPUTED_VALUE"""),70707718)</f>
        <v>70707718</v>
      </c>
      <c r="L540" s="27">
        <f ca="1">IFERROR(__xludf.DUMMYFUNCTION("""COMPUTED_VALUE"""),1)</f>
        <v>1</v>
      </c>
      <c r="M540" s="10" t="str">
        <f ca="1">IFERROR(__xludf.DUMMYFUNCTION("""COMPUTED_VALUE"""),"12664/2024")</f>
        <v>12664/2024</v>
      </c>
      <c r="N540" s="10" t="str">
        <f ca="1">IFERROR(__xludf.DUMMYFUNCTION("""COMPUTED_VALUE"""),"PMB")</f>
        <v>PMB</v>
      </c>
      <c r="O540" s="59"/>
      <c r="P540" s="1"/>
      <c r="Q540" s="1"/>
      <c r="R540" s="1"/>
      <c r="S540" s="1"/>
      <c r="T540" s="1"/>
      <c r="U540" s="1"/>
      <c r="V540" s="1"/>
      <c r="W540" s="1"/>
      <c r="X540" s="1"/>
      <c r="Y540" s="1"/>
      <c r="Z540" s="1"/>
      <c r="AA540" s="1"/>
    </row>
    <row r="541" spans="1:27" ht="12.75" customHeight="1">
      <c r="A541" s="1"/>
      <c r="B541" s="10" t="str">
        <f ca="1">IFERROR(__xludf.DUMMYFUNCTION("""COMPUTED_VALUE"""),"ASISTENCIA TÉCNICA PARA FORMULACIÓN Y SEGUIMIENTO DE PROYECTOS DE INVERSIÓN PÚBLICA, DIVERSOS SECTORES COMUNA DE COELEMU")</f>
        <v>ASISTENCIA TÉCNICA PARA FORMULACIÓN Y SEGUIMIENTO DE PROYECTOS DE INVERSIÓN PÚBLICA, DIVERSOS SECTORES COMUNA DE COELEMU</v>
      </c>
      <c r="C541" s="10" t="str">
        <f ca="1">IFERROR(__xludf.DUMMYFUNCTION("""COMPUTED_VALUE"""),"16203221001-C")</f>
        <v>16203221001-C</v>
      </c>
      <c r="D541" s="26" t="str">
        <f t="shared" ca="1" si="2"/>
        <v xml:space="preserve"> COELEMU</v>
      </c>
      <c r="E541" s="10" t="str">
        <f ca="1">IFERROR(__xludf.DUMMYFUNCTION("""COMPUTED_VALUE"""),"Guía Operativa")</f>
        <v>Guía Operativa</v>
      </c>
      <c r="F541" s="10" t="str">
        <f ca="1">IFERROR(__xludf.DUMMYFUNCTION("""COMPUTED_VALUE"""),"MUNICIPALIDAD DE COELEMU")</f>
        <v>MUNICIPALIDAD DE COELEMU</v>
      </c>
      <c r="G541" s="71">
        <f ca="1">IFERROR(__xludf.DUMMYFUNCTION("""COMPUTED_VALUE"""),85800000)</f>
        <v>85800000</v>
      </c>
      <c r="H541" s="10" t="str">
        <f ca="1">IFERROR(__xludf.DUMMYFUNCTION("""COMPUTED_VALUE"""),"Resolución")</f>
        <v>Resolución</v>
      </c>
      <c r="I541" s="10" t="str">
        <f ca="1">IFERROR(__xludf.DUMMYFUNCTION("""COMPUTED_VALUE"""),"Asistencia Técnica")</f>
        <v>Asistencia Técnica</v>
      </c>
      <c r="J541" s="10" t="str">
        <f ca="1">IFERROR(__xludf.DUMMYFUNCTION("""COMPUTED_VALUE"""),"Cumplir con normativa y reglamentos internos del programa en base a los objetivos.")</f>
        <v>Cumplir con normativa y reglamentos internos del programa en base a los objetivos.</v>
      </c>
      <c r="K541" s="71">
        <f ca="1">IFERROR(__xludf.DUMMYFUNCTION("""COMPUTED_VALUE"""),41880000)</f>
        <v>41880000</v>
      </c>
      <c r="L541" s="27">
        <f ca="1">IFERROR(__xludf.DUMMYFUNCTION("""COMPUTED_VALUE"""),0.888111888111888)</f>
        <v>0.88811188811188801</v>
      </c>
      <c r="M541" s="10" t="str">
        <f ca="1">IFERROR(__xludf.DUMMYFUNCTION("""COMPUTED_VALUE"""),"10300/2022")</f>
        <v>10300/2022</v>
      </c>
      <c r="N541" s="10" t="str">
        <f ca="1">IFERROR(__xludf.DUMMYFUNCTION("""COMPUTED_VALUE"""),"PMB")</f>
        <v>PMB</v>
      </c>
      <c r="O541" s="59"/>
      <c r="P541" s="1"/>
      <c r="Q541" s="1"/>
      <c r="R541" s="1"/>
      <c r="S541" s="1"/>
      <c r="T541" s="1"/>
      <c r="U541" s="1"/>
      <c r="V541" s="1"/>
      <c r="W541" s="1"/>
      <c r="X541" s="1"/>
      <c r="Y541" s="1"/>
      <c r="Z541" s="1"/>
      <c r="AA541" s="1"/>
    </row>
    <row r="542" spans="1:27" ht="12.75" customHeight="1">
      <c r="A542" s="1"/>
      <c r="B542" s="10" t="str">
        <f ca="1">IFERROR(__xludf.DUMMYFUNCTION("""COMPUTED_VALUE"""),"ASISTENCIA TÉCNICA PARA LA GESTIÓN DE RESIDUOS SÓLIDOS DOMICILIARIOS EN LA COMUNA DE TEMUCO")</f>
        <v>ASISTENCIA TÉCNICA PARA LA GESTIÓN DE RESIDUOS SÓLIDOS DOMICILIARIOS EN LA COMUNA DE TEMUCO</v>
      </c>
      <c r="C542" s="10" t="str">
        <f ca="1">IFERROR(__xludf.DUMMYFUNCTION("""COMPUTED_VALUE"""),"9101191001-C")</f>
        <v>9101191001-C</v>
      </c>
      <c r="D542" s="26" t="str">
        <f t="shared" ca="1" si="2"/>
        <v xml:space="preserve"> TEMUCO</v>
      </c>
      <c r="E542" s="10" t="str">
        <f ca="1">IFERROR(__xludf.DUMMYFUNCTION("""COMPUTED_VALUE"""),"Guía Operativa")</f>
        <v>Guía Operativa</v>
      </c>
      <c r="F542" s="10" t="str">
        <f ca="1">IFERROR(__xludf.DUMMYFUNCTION("""COMPUTED_VALUE"""),"MUNICIPALIDAD DE TEMUCO")</f>
        <v>MUNICIPALIDAD DE TEMUCO</v>
      </c>
      <c r="G542" s="71">
        <f ca="1">IFERROR(__xludf.DUMMYFUNCTION("""COMPUTED_VALUE"""),36000000)</f>
        <v>36000000</v>
      </c>
      <c r="H542" s="10" t="str">
        <f ca="1">IFERROR(__xludf.DUMMYFUNCTION("""COMPUTED_VALUE"""),"Resolución")</f>
        <v>Resolución</v>
      </c>
      <c r="I542" s="10" t="str">
        <f ca="1">IFERROR(__xludf.DUMMYFUNCTION("""COMPUTED_VALUE"""),"Asistencia Técnica")</f>
        <v>Asistencia Técnica</v>
      </c>
      <c r="J542" s="10" t="str">
        <f ca="1">IFERROR(__xludf.DUMMYFUNCTION("""COMPUTED_VALUE"""),"Cumplir con normativa y reglamentos internos del programa en base a los objetivos.")</f>
        <v>Cumplir con normativa y reglamentos internos del programa en base a los objetivos.</v>
      </c>
      <c r="K542" s="71">
        <f ca="1">IFERROR(__xludf.DUMMYFUNCTION("""COMPUTED_VALUE"""),14400000)</f>
        <v>14400000</v>
      </c>
      <c r="L542" s="27">
        <f ca="1">IFERROR(__xludf.DUMMYFUNCTION("""COMPUTED_VALUE"""),1)</f>
        <v>1</v>
      </c>
      <c r="M542" s="10" t="str">
        <f ca="1">IFERROR(__xludf.DUMMYFUNCTION("""COMPUTED_VALUE"""),"10972/2021")</f>
        <v>10972/2021</v>
      </c>
      <c r="N542" s="10" t="str">
        <f ca="1">IFERROR(__xludf.DUMMYFUNCTION("""COMPUTED_VALUE"""),"PMB")</f>
        <v>PMB</v>
      </c>
      <c r="O542" s="59"/>
      <c r="P542" s="1"/>
      <c r="Q542" s="1"/>
      <c r="R542" s="1"/>
      <c r="S542" s="1"/>
      <c r="T542" s="1"/>
      <c r="U542" s="1"/>
      <c r="V542" s="1"/>
      <c r="W542" s="1"/>
      <c r="X542" s="1"/>
      <c r="Y542" s="1"/>
      <c r="Z542" s="1"/>
      <c r="AA542" s="1"/>
    </row>
    <row r="543" spans="1:27" ht="12.75" customHeight="1">
      <c r="A543" s="1"/>
      <c r="B543" s="10" t="str">
        <f ca="1">IFERROR(__xludf.DUMMYFUNCTION("""COMPUTED_VALUE"""),"ESTUDIO DE ALTERNATIVAS DE PRETRATAMIENTO, TRATAMIENTO, VALORIZACIÓN Y DISPOSICIÓN DE RESIDUOS SÓLIDOS DOMICILIARIOS PARA COMUNA DE CASTRO.")</f>
        <v>ESTUDIO DE ALTERNATIVAS DE PRETRATAMIENTO, TRATAMIENTO, VALORIZACIÓN Y DISPOSICIÓN DE RESIDUOS SÓLIDOS DOMICILIARIOS PARA COMUNA DE CASTRO.</v>
      </c>
      <c r="C543" s="10" t="str">
        <f ca="1">IFERROR(__xludf.DUMMYFUNCTION("""COMPUTED_VALUE"""),"10201180407-C")</f>
        <v>10201180407-C</v>
      </c>
      <c r="D543" s="26" t="str">
        <f t="shared" ca="1" si="2"/>
        <v xml:space="preserve"> CASTRO</v>
      </c>
      <c r="E543" s="10" t="str">
        <f ca="1">IFERROR(__xludf.DUMMYFUNCTION("""COMPUTED_VALUE"""),"Guía Operativa")</f>
        <v>Guía Operativa</v>
      </c>
      <c r="F543" s="10" t="str">
        <f ca="1">IFERROR(__xludf.DUMMYFUNCTION("""COMPUTED_VALUE"""),"MUNICIPALIDAD DE CASTRO")</f>
        <v>MUNICIPALIDAD DE CASTRO</v>
      </c>
      <c r="G543" s="71">
        <f ca="1">IFERROR(__xludf.DUMMYFUNCTION("""COMPUTED_VALUE"""),125134892)</f>
        <v>125134892</v>
      </c>
      <c r="H543" s="10" t="str">
        <f ca="1">IFERROR(__xludf.DUMMYFUNCTION("""COMPUTED_VALUE"""),"Resolución")</f>
        <v>Resolución</v>
      </c>
      <c r="I543" s="10" t="str">
        <f ca="1">IFERROR(__xludf.DUMMYFUNCTION("""COMPUTED_VALUE"""),"Estudio")</f>
        <v>Estudio</v>
      </c>
      <c r="J543" s="10" t="str">
        <f ca="1">IFERROR(__xludf.DUMMYFUNCTION("""COMPUTED_VALUE"""),"Cumplir con normativa y reglamentos internos del programa en base a los objetivos.")</f>
        <v>Cumplir con normativa y reglamentos internos del programa en base a los objetivos.</v>
      </c>
      <c r="K543" s="71">
        <f ca="1">IFERROR(__xludf.DUMMYFUNCTION("""COMPUTED_VALUE"""),37540468)</f>
        <v>37540468</v>
      </c>
      <c r="L543" s="27">
        <f ca="1">IFERROR(__xludf.DUMMYFUNCTION("""COMPUTED_VALUE"""),1)</f>
        <v>1</v>
      </c>
      <c r="M543" s="10" t="str">
        <f ca="1">IFERROR(__xludf.DUMMYFUNCTION("""COMPUTED_VALUE"""),"8413/2019")</f>
        <v>8413/2019</v>
      </c>
      <c r="N543" s="10" t="str">
        <f ca="1">IFERROR(__xludf.DUMMYFUNCTION("""COMPUTED_VALUE"""),"PMB")</f>
        <v>PMB</v>
      </c>
      <c r="O543" s="59"/>
      <c r="P543" s="1"/>
      <c r="Q543" s="1"/>
      <c r="R543" s="1"/>
      <c r="S543" s="1"/>
      <c r="T543" s="1"/>
      <c r="U543" s="1"/>
      <c r="V543" s="1"/>
      <c r="W543" s="1"/>
      <c r="X543" s="1"/>
      <c r="Y543" s="1"/>
      <c r="Z543" s="1"/>
      <c r="AA543" s="1"/>
    </row>
    <row r="544" spans="1:27" ht="12.75" customHeight="1">
      <c r="A544" s="1"/>
      <c r="B544" s="10" t="str">
        <f ca="1">IFERROR(__xludf.DUMMYFUNCTION("""COMPUTED_VALUE"""),"ESTUDIO, MEJORAMIENTO DEL SISTEMA APR DEL SECTOR COLEGUAL MACAL Y EXTENSIÓN DE LA RED HACIA EL SECTOR COLONIA LOS INDIOS, COMUNA DE LLANQUIHUE")</f>
        <v>ESTUDIO, MEJORAMIENTO DEL SISTEMA APR DEL SECTOR COLEGUAL MACAL Y EXTENSIÓN DE LA RED HACIA EL SECTOR COLONIA LOS INDIOS, COMUNA DE LLANQUIHUE</v>
      </c>
      <c r="C544" s="10" t="str">
        <f ca="1">IFERROR(__xludf.DUMMYFUNCTION("""COMPUTED_VALUE"""),"10107190402-C")</f>
        <v>10107190402-C</v>
      </c>
      <c r="D544" s="26" t="str">
        <f t="shared" ca="1" si="2"/>
        <v xml:space="preserve"> LLANQUIHUE</v>
      </c>
      <c r="E544" s="10" t="str">
        <f ca="1">IFERROR(__xludf.DUMMYFUNCTION("""COMPUTED_VALUE"""),"Guía Operativa")</f>
        <v>Guía Operativa</v>
      </c>
      <c r="F544" s="10" t="str">
        <f ca="1">IFERROR(__xludf.DUMMYFUNCTION("""COMPUTED_VALUE"""),"MUNICIPALIDAD DE LLANQUIHUE")</f>
        <v>MUNICIPALIDAD DE LLANQUIHUE</v>
      </c>
      <c r="G544" s="71">
        <f ca="1">IFERROR(__xludf.DUMMYFUNCTION("""COMPUTED_VALUE"""),32187500)</f>
        <v>32187500</v>
      </c>
      <c r="H544" s="10" t="str">
        <f ca="1">IFERROR(__xludf.DUMMYFUNCTION("""COMPUTED_VALUE"""),"Resolución")</f>
        <v>Resolución</v>
      </c>
      <c r="I544" s="10" t="str">
        <f ca="1">IFERROR(__xludf.DUMMYFUNCTION("""COMPUTED_VALUE"""),"Estudio")</f>
        <v>Estudio</v>
      </c>
      <c r="J544" s="10" t="str">
        <f ca="1">IFERROR(__xludf.DUMMYFUNCTION("""COMPUTED_VALUE"""),"Cumplir con normativa y reglamentos internos del programa en base a los objetivos.")</f>
        <v>Cumplir con normativa y reglamentos internos del programa en base a los objetivos.</v>
      </c>
      <c r="K544" s="71">
        <f ca="1">IFERROR(__xludf.DUMMYFUNCTION("""COMPUTED_VALUE"""),15906250)</f>
        <v>15906250</v>
      </c>
      <c r="L544" s="27">
        <f ca="1">IFERROR(__xludf.DUMMYFUNCTION("""COMPUTED_VALUE"""),0.994174757281553)</f>
        <v>0.99417475728155302</v>
      </c>
      <c r="M544" s="10" t="str">
        <f ca="1">IFERROR(__xludf.DUMMYFUNCTION("""COMPUTED_VALUE"""),"12241/2021")</f>
        <v>12241/2021</v>
      </c>
      <c r="N544" s="10" t="str">
        <f ca="1">IFERROR(__xludf.DUMMYFUNCTION("""COMPUTED_VALUE"""),"PMB")</f>
        <v>PMB</v>
      </c>
      <c r="O544" s="59"/>
      <c r="P544" s="1"/>
      <c r="Q544" s="1"/>
      <c r="R544" s="1"/>
      <c r="S544" s="1"/>
      <c r="T544" s="1"/>
      <c r="U544" s="1"/>
      <c r="V544" s="1"/>
      <c r="W544" s="1"/>
      <c r="X544" s="1"/>
      <c r="Y544" s="1"/>
      <c r="Z544" s="1"/>
      <c r="AA544" s="1"/>
    </row>
    <row r="545" spans="1:27" ht="12.75" customHeight="1">
      <c r="A545" s="1"/>
      <c r="B545" s="10" t="str">
        <f ca="1">IFERROR(__xludf.DUMMYFUNCTION("""COMPUTED_VALUE"""),"SANEAMIENTO SANITARIO EN DIVERSOS SECTORES DE LA COMUNA DE LAMPA")</f>
        <v>SANEAMIENTO SANITARIO EN DIVERSOS SECTORES DE LA COMUNA DE LAMPA</v>
      </c>
      <c r="C545" s="10" t="str">
        <f ca="1">IFERROR(__xludf.DUMMYFUNCTION("""COMPUTED_VALUE"""),"13302191003-C")</f>
        <v>13302191003-C</v>
      </c>
      <c r="D545" s="26" t="str">
        <f t="shared" ca="1" si="2"/>
        <v xml:space="preserve"> LAMPA</v>
      </c>
      <c r="E545" s="10" t="str">
        <f ca="1">IFERROR(__xludf.DUMMYFUNCTION("""COMPUTED_VALUE"""),"Guía Operativa")</f>
        <v>Guía Operativa</v>
      </c>
      <c r="F545" s="10" t="str">
        <f ca="1">IFERROR(__xludf.DUMMYFUNCTION("""COMPUTED_VALUE"""),"MUNICIPALIDAD DE LAMPA")</f>
        <v>MUNICIPALIDAD DE LAMPA</v>
      </c>
      <c r="G545" s="71">
        <f ca="1">IFERROR(__xludf.DUMMYFUNCTION("""COMPUTED_VALUE"""),36000000)</f>
        <v>36000000</v>
      </c>
      <c r="H545" s="10" t="str">
        <f ca="1">IFERROR(__xludf.DUMMYFUNCTION("""COMPUTED_VALUE"""),"Resolución")</f>
        <v>Resolución</v>
      </c>
      <c r="I545" s="10" t="str">
        <f ca="1">IFERROR(__xludf.DUMMYFUNCTION("""COMPUTED_VALUE"""),"Asistencia Técnica")</f>
        <v>Asistencia Técnica</v>
      </c>
      <c r="J545" s="10" t="str">
        <f ca="1">IFERROR(__xludf.DUMMYFUNCTION("""COMPUTED_VALUE"""),"Cumplir con normativa y reglamentos internos del programa en base a los objetivos.")</f>
        <v>Cumplir con normativa y reglamentos internos del programa en base a los objetivos.</v>
      </c>
      <c r="K545" s="71">
        <f ca="1">IFERROR(__xludf.DUMMYFUNCTION("""COMPUTED_VALUE"""),1500000)</f>
        <v>1500000</v>
      </c>
      <c r="L545" s="27">
        <f ca="1">IFERROR(__xludf.DUMMYFUNCTION("""COMPUTED_VALUE"""),0.541666666666666)</f>
        <v>0.54166666666666596</v>
      </c>
      <c r="M545" s="10" t="str">
        <f ca="1">IFERROR(__xludf.DUMMYFUNCTION("""COMPUTED_VALUE"""),"12337/2019")</f>
        <v>12337/2019</v>
      </c>
      <c r="N545" s="10" t="str">
        <f ca="1">IFERROR(__xludf.DUMMYFUNCTION("""COMPUTED_VALUE"""),"PMB")</f>
        <v>PMB</v>
      </c>
      <c r="O545" s="59"/>
      <c r="P545" s="1"/>
      <c r="Q545" s="1"/>
      <c r="R545" s="1"/>
      <c r="S545" s="1"/>
      <c r="T545" s="1"/>
      <c r="U545" s="1"/>
      <c r="V545" s="1"/>
      <c r="W545" s="1"/>
      <c r="X545" s="1"/>
      <c r="Y545" s="1"/>
      <c r="Z545" s="1"/>
      <c r="AA545" s="1"/>
    </row>
    <row r="546" spans="1:27" ht="12.75" customHeight="1">
      <c r="A546" s="1"/>
      <c r="B546" s="10" t="str">
        <f ca="1">IFERROR(__xludf.DUMMYFUNCTION("""COMPUTED_VALUE"""),"CONSTRUCCIÓN RED DE COLECTORES EN CALLE BARROS ARANA, PASAJE 9 Y PASAJE JULET BORDET, ARICA")</f>
        <v>CONSTRUCCIÓN RED DE COLECTORES EN CALLE BARROS ARANA, PASAJE 9 Y PASAJE JULET BORDET, ARICA</v>
      </c>
      <c r="C546" s="10" t="str">
        <f ca="1">IFERROR(__xludf.DUMMYFUNCTION("""COMPUTED_VALUE"""),"15101200702-C")</f>
        <v>15101200702-C</v>
      </c>
      <c r="D546" s="26" t="str">
        <f t="shared" ca="1" si="2"/>
        <v xml:space="preserve"> ARICA</v>
      </c>
      <c r="E546" s="10" t="str">
        <f ca="1">IFERROR(__xludf.DUMMYFUNCTION("""COMPUTED_VALUE"""),"Guía Operativa")</f>
        <v>Guía Operativa</v>
      </c>
      <c r="F546" s="10" t="str">
        <f ca="1">IFERROR(__xludf.DUMMYFUNCTION("""COMPUTED_VALUE"""),"MUNICIPALIDAD DE ARICA")</f>
        <v>MUNICIPALIDAD DE ARICA</v>
      </c>
      <c r="G546" s="71">
        <f ca="1">IFERROR(__xludf.DUMMYFUNCTION("""COMPUTED_VALUE"""),227977168)</f>
        <v>227977168</v>
      </c>
      <c r="H546" s="10" t="str">
        <f ca="1">IFERROR(__xludf.DUMMYFUNCTION("""COMPUTED_VALUE"""),"Resolución")</f>
        <v>Resolución</v>
      </c>
      <c r="I546" s="10" t="str">
        <f ca="1">IFERROR(__xludf.DUMMYFUNCTION("""COMPUTED_VALUE"""),"Obra")</f>
        <v>Obra</v>
      </c>
      <c r="J546" s="10" t="str">
        <f ca="1">IFERROR(__xludf.DUMMYFUNCTION("""COMPUTED_VALUE"""),"Cumplir con normativa y reglamentos internos del programa en base a los objetivos.")</f>
        <v>Cumplir con normativa y reglamentos internos del programa en base a los objetivos.</v>
      </c>
      <c r="K546" s="71">
        <f ca="1">IFERROR(__xludf.DUMMYFUNCTION("""COMPUTED_VALUE"""),1000)</f>
        <v>1000</v>
      </c>
      <c r="L546" s="27">
        <f ca="1">IFERROR(__xludf.DUMMYFUNCTION("""COMPUTED_VALUE"""),1)</f>
        <v>1</v>
      </c>
      <c r="M546" s="10" t="str">
        <f ca="1">IFERROR(__xludf.DUMMYFUNCTION("""COMPUTED_VALUE"""),"11245/2021")</f>
        <v>11245/2021</v>
      </c>
      <c r="N546" s="10" t="str">
        <f ca="1">IFERROR(__xludf.DUMMYFUNCTION("""COMPUTED_VALUE"""),"PMB")</f>
        <v>PMB</v>
      </c>
      <c r="O546" s="59"/>
      <c r="P546" s="1"/>
      <c r="Q546" s="1"/>
      <c r="R546" s="1"/>
      <c r="S546" s="1"/>
      <c r="T546" s="1"/>
      <c r="U546" s="1"/>
      <c r="V546" s="1"/>
      <c r="W546" s="1"/>
      <c r="X546" s="1"/>
      <c r="Y546" s="1"/>
      <c r="Z546" s="1"/>
      <c r="AA546" s="1"/>
    </row>
    <row r="547" spans="1:27" ht="12.75" customHeight="1">
      <c r="A547" s="1"/>
      <c r="B547" s="10" t="str">
        <f ca="1">IFERROR(__xludf.DUMMYFUNCTION("""COMPUTED_VALUE"""),"MEJORAMIENTO SOLUCIONES DE AGUA POTABLE Y AGUAS SERVIDAS DOMICILIARIAS, Y CONSTRUCCIÓN DE CASETAS SANITARIAS EN EL SECTOR RÍO SIN NOMBRE Y ALREDEDORES")</f>
        <v>MEJORAMIENTO SOLUCIONES DE AGUA POTABLE Y AGUAS SERVIDAS DOMICILIARIAS, Y CONSTRUCCIÓN DE CASETAS SANITARIAS EN EL SECTOR RÍO SIN NOMBRE Y ALREDEDORES</v>
      </c>
      <c r="C547" s="10" t="str">
        <f ca="1">IFERROR(__xludf.DUMMYFUNCTION("""COMPUTED_VALUE"""),"11402200706-C [FET]")</f>
        <v>11402200706-C [FET]</v>
      </c>
      <c r="D547" s="26" t="str">
        <f t="shared" ca="1" si="2"/>
        <v xml:space="preserve"> RÍO IBÁÑEZ</v>
      </c>
      <c r="E547" s="10" t="str">
        <f ca="1">IFERROR(__xludf.DUMMYFUNCTION("""COMPUTED_VALUE"""),"Guía Operativa")</f>
        <v>Guía Operativa</v>
      </c>
      <c r="F547" s="10" t="str">
        <f ca="1">IFERROR(__xludf.DUMMYFUNCTION("""COMPUTED_VALUE"""),"MUNICIPALIDAD DE RÍO IBÁÑEZ")</f>
        <v>MUNICIPALIDAD DE RÍO IBÁÑEZ</v>
      </c>
      <c r="G547" s="71">
        <f ca="1">IFERROR(__xludf.DUMMYFUNCTION("""COMPUTED_VALUE"""),12656811)</f>
        <v>12656811</v>
      </c>
      <c r="H547" s="10" t="str">
        <f ca="1">IFERROR(__xludf.DUMMYFUNCTION("""COMPUTED_VALUE"""),"Resolución")</f>
        <v>Resolución</v>
      </c>
      <c r="I547" s="10" t="str">
        <f ca="1">IFERROR(__xludf.DUMMYFUNCTION("""COMPUTED_VALUE"""),"Obra")</f>
        <v>Obra</v>
      </c>
      <c r="J547" s="10" t="str">
        <f ca="1">IFERROR(__xludf.DUMMYFUNCTION("""COMPUTED_VALUE"""),"Cumplir con normativa y reglamentos internos del programa en base a los objetivos.")</f>
        <v>Cumplir con normativa y reglamentos internos del programa en base a los objetivos.</v>
      </c>
      <c r="K547" s="71">
        <f ca="1">IFERROR(__xludf.DUMMYFUNCTION("""COMPUTED_VALUE"""),12656811)</f>
        <v>12656811</v>
      </c>
      <c r="L547" s="27">
        <f ca="1">IFERROR(__xludf.DUMMYFUNCTION("""COMPUTED_VALUE"""),1)</f>
        <v>1</v>
      </c>
      <c r="M547" s="10" t="str">
        <f ca="1">IFERROR(__xludf.DUMMYFUNCTION("""COMPUTED_VALUE"""),"1017/2023")</f>
        <v>1017/2023</v>
      </c>
      <c r="N547" s="10" t="str">
        <f ca="1">IFERROR(__xludf.DUMMYFUNCTION("""COMPUTED_VALUE"""),"PMB")</f>
        <v>PMB</v>
      </c>
      <c r="O547" s="59"/>
      <c r="P547" s="1"/>
      <c r="Q547" s="1"/>
      <c r="R547" s="1"/>
      <c r="S547" s="1"/>
      <c r="T547" s="1"/>
      <c r="U547" s="1"/>
      <c r="V547" s="1"/>
      <c r="W547" s="1"/>
      <c r="X547" s="1"/>
      <c r="Y547" s="1"/>
      <c r="Z547" s="1"/>
      <c r="AA547" s="1"/>
    </row>
    <row r="548" spans="1:27" ht="12.75" customHeight="1">
      <c r="A548" s="1"/>
      <c r="B548" s="10" t="str">
        <f ca="1">IFERROR(__xludf.DUMMYFUNCTION("""COMPUTED_VALUE"""),"ASESORIA TECNICA PARA CREACIÓN DE PROYECTOS SUBDERE, COMUNA DE TENO")</f>
        <v>ASESORIA TECNICA PARA CREACIÓN DE PROYECTOS SUBDERE, COMUNA DE TENO</v>
      </c>
      <c r="C548" s="10" t="str">
        <f ca="1">IFERROR(__xludf.DUMMYFUNCTION("""COMPUTED_VALUE"""),"7308231001-C")</f>
        <v>7308231001-C</v>
      </c>
      <c r="D548" s="26" t="str">
        <f t="shared" ca="1" si="2"/>
        <v xml:space="preserve"> TENO</v>
      </c>
      <c r="E548" s="10" t="str">
        <f ca="1">IFERROR(__xludf.DUMMYFUNCTION("""COMPUTED_VALUE"""),"Guía Operativa")</f>
        <v>Guía Operativa</v>
      </c>
      <c r="F548" s="10" t="str">
        <f ca="1">IFERROR(__xludf.DUMMYFUNCTION("""COMPUTED_VALUE"""),"MUNICIPALIDAD DE TENO")</f>
        <v>MUNICIPALIDAD DE TENO</v>
      </c>
      <c r="G548" s="71">
        <f ca="1">IFERROR(__xludf.DUMMYFUNCTION("""COMPUTED_VALUE"""),48000000)</f>
        <v>48000000</v>
      </c>
      <c r="H548" s="10" t="str">
        <f ca="1">IFERROR(__xludf.DUMMYFUNCTION("""COMPUTED_VALUE"""),"Resolución")</f>
        <v>Resolución</v>
      </c>
      <c r="I548" s="10" t="str">
        <f ca="1">IFERROR(__xludf.DUMMYFUNCTION("""COMPUTED_VALUE"""),"Asistencia Técnica")</f>
        <v>Asistencia Técnica</v>
      </c>
      <c r="J548" s="10" t="str">
        <f ca="1">IFERROR(__xludf.DUMMYFUNCTION("""COMPUTED_VALUE"""),"Cumplir con normativa y reglamentos internos del programa en base a los objetivos.")</f>
        <v>Cumplir con normativa y reglamentos internos del programa en base a los objetivos.</v>
      </c>
      <c r="K548" s="71">
        <f ca="1">IFERROR(__xludf.DUMMYFUNCTION("""COMPUTED_VALUE"""),12000000)</f>
        <v>12000000</v>
      </c>
      <c r="L548" s="27">
        <f ca="1">IFERROR(__xludf.DUMMYFUNCTION("""COMPUTED_VALUE"""),0.75)</f>
        <v>0.75</v>
      </c>
      <c r="M548" s="10" t="str">
        <f ca="1">IFERROR(__xludf.DUMMYFUNCTION("""COMPUTED_VALUE"""),"4973/2023")</f>
        <v>4973/2023</v>
      </c>
      <c r="N548" s="10" t="str">
        <f ca="1">IFERROR(__xludf.DUMMYFUNCTION("""COMPUTED_VALUE"""),"PMB")</f>
        <v>PMB</v>
      </c>
      <c r="O548" s="59"/>
      <c r="P548" s="1"/>
      <c r="Q548" s="1"/>
      <c r="R548" s="1"/>
      <c r="S548" s="1"/>
      <c r="T548" s="1"/>
      <c r="U548" s="1"/>
      <c r="V548" s="1"/>
      <c r="W548" s="1"/>
      <c r="X548" s="1"/>
      <c r="Y548" s="1"/>
      <c r="Z548" s="1"/>
      <c r="AA548" s="1"/>
    </row>
    <row r="549" spans="1:27" ht="12.75" customHeight="1">
      <c r="A549" s="1"/>
      <c r="B549" s="10" t="str">
        <f ca="1">IFERROR(__xludf.DUMMYFUNCTION("""COMPUTED_VALUE"""),"CONSTRUCCION SISTEMA DE APR SECTOR EL SAUCE DE LA COMUNA DE PORTEZUELO")</f>
        <v>CONSTRUCCION SISTEMA DE APR SECTOR EL SAUCE DE LA COMUNA DE PORTEZUELO</v>
      </c>
      <c r="C549" s="10" t="str">
        <f ca="1">IFERROR(__xludf.DUMMYFUNCTION("""COMPUTED_VALUE"""),"16205190701-C [FET]")</f>
        <v>16205190701-C [FET]</v>
      </c>
      <c r="D549" s="26" t="str">
        <f t="shared" ca="1" si="2"/>
        <v xml:space="preserve"> PORTEZUELO</v>
      </c>
      <c r="E549" s="10" t="str">
        <f ca="1">IFERROR(__xludf.DUMMYFUNCTION("""COMPUTED_VALUE"""),"Guía Operativa")</f>
        <v>Guía Operativa</v>
      </c>
      <c r="F549" s="10" t="str">
        <f ca="1">IFERROR(__xludf.DUMMYFUNCTION("""COMPUTED_VALUE"""),"MUNICIPALIDAD DE PORTEZUELO")</f>
        <v>MUNICIPALIDAD DE PORTEZUELO</v>
      </c>
      <c r="G549" s="71">
        <f ca="1">IFERROR(__xludf.DUMMYFUNCTION("""COMPUTED_VALUE"""),85365405)</f>
        <v>85365405</v>
      </c>
      <c r="H549" s="10" t="str">
        <f ca="1">IFERROR(__xludf.DUMMYFUNCTION("""COMPUTED_VALUE"""),"Resolución")</f>
        <v>Resolución</v>
      </c>
      <c r="I549" s="10" t="str">
        <f ca="1">IFERROR(__xludf.DUMMYFUNCTION("""COMPUTED_VALUE"""),"Obra")</f>
        <v>Obra</v>
      </c>
      <c r="J549" s="10" t="str">
        <f ca="1">IFERROR(__xludf.DUMMYFUNCTION("""COMPUTED_VALUE"""),"Cumplir con normativa y reglamentos internos del programa en base a los objetivos.")</f>
        <v>Cumplir con normativa y reglamentos internos del programa en base a los objetivos.</v>
      </c>
      <c r="K549" s="71">
        <f ca="1">IFERROR(__xludf.DUMMYFUNCTION("""COMPUTED_VALUE"""),85321441)</f>
        <v>85321441</v>
      </c>
      <c r="L549" s="27">
        <f ca="1">IFERROR(__xludf.DUMMYFUNCTION("""COMPUTED_VALUE"""),0.999484990436114)</f>
        <v>0.99948499043611405</v>
      </c>
      <c r="M549" s="10" t="str">
        <f ca="1">IFERROR(__xludf.DUMMYFUNCTION("""COMPUTED_VALUE"""),"5276/2023")</f>
        <v>5276/2023</v>
      </c>
      <c r="N549" s="10" t="str">
        <f ca="1">IFERROR(__xludf.DUMMYFUNCTION("""COMPUTED_VALUE"""),"PMB")</f>
        <v>PMB</v>
      </c>
      <c r="O549" s="59"/>
      <c r="P549" s="1"/>
      <c r="Q549" s="1"/>
      <c r="R549" s="1"/>
      <c r="S549" s="1"/>
      <c r="T549" s="1"/>
      <c r="U549" s="1"/>
      <c r="V549" s="1"/>
      <c r="W549" s="1"/>
      <c r="X549" s="1"/>
      <c r="Y549" s="1"/>
      <c r="Z549" s="1"/>
      <c r="AA549" s="1"/>
    </row>
    <row r="550" spans="1:27" ht="12.75" customHeight="1">
      <c r="A550" s="1"/>
      <c r="B550" s="10" t="str">
        <f ca="1">IFERROR(__xludf.DUMMYFUNCTION("""COMPUTED_VALUE"""),"CONTRATACION A. TÉCNICA PARA GENERACIÓN DE PROYECTOS, SAN RAFAEL")</f>
        <v>CONTRATACION A. TÉCNICA PARA GENERACIÓN DE PROYECTOS, SAN RAFAEL</v>
      </c>
      <c r="C550" s="10" t="str">
        <f ca="1">IFERROR(__xludf.DUMMYFUNCTION("""COMPUTED_VALUE"""),"7110221001-C")</f>
        <v>7110221001-C</v>
      </c>
      <c r="D550" s="26" t="str">
        <f t="shared" ca="1" si="2"/>
        <v xml:space="preserve"> SAN RAFAEL</v>
      </c>
      <c r="E550" s="10" t="str">
        <f ca="1">IFERROR(__xludf.DUMMYFUNCTION("""COMPUTED_VALUE"""),"Guía Operativa")</f>
        <v>Guía Operativa</v>
      </c>
      <c r="F550" s="10" t="str">
        <f ca="1">IFERROR(__xludf.DUMMYFUNCTION("""COMPUTED_VALUE"""),"MUNICIPALIDAD DE SAN RAFAEL")</f>
        <v>MUNICIPALIDAD DE SAN RAFAEL</v>
      </c>
      <c r="G550" s="71">
        <f ca="1">IFERROR(__xludf.DUMMYFUNCTION("""COMPUTED_VALUE"""),57000000)</f>
        <v>57000000</v>
      </c>
      <c r="H550" s="10" t="str">
        <f ca="1">IFERROR(__xludf.DUMMYFUNCTION("""COMPUTED_VALUE"""),"Resolución")</f>
        <v>Resolución</v>
      </c>
      <c r="I550" s="10" t="str">
        <f ca="1">IFERROR(__xludf.DUMMYFUNCTION("""COMPUTED_VALUE"""),"Asistencia Técnica")</f>
        <v>Asistencia Técnica</v>
      </c>
      <c r="J550" s="10" t="str">
        <f ca="1">IFERROR(__xludf.DUMMYFUNCTION("""COMPUTED_VALUE"""),"Cumplir con normativa y reglamentos internos del programa en base a los objetivos.")</f>
        <v>Cumplir con normativa y reglamentos internos del programa en base a los objetivos.</v>
      </c>
      <c r="K550" s="71">
        <f ca="1">IFERROR(__xludf.DUMMYFUNCTION("""COMPUTED_VALUE"""),14250000)</f>
        <v>14250000</v>
      </c>
      <c r="L550" s="27">
        <f ca="1">IFERROR(__xludf.DUMMYFUNCTION("""COMPUTED_VALUE"""),0.75)</f>
        <v>0.75</v>
      </c>
      <c r="M550" s="10" t="str">
        <f ca="1">IFERROR(__xludf.DUMMYFUNCTION("""COMPUTED_VALUE"""),"7953/2023")</f>
        <v>7953/2023</v>
      </c>
      <c r="N550" s="10" t="str">
        <f ca="1">IFERROR(__xludf.DUMMYFUNCTION("""COMPUTED_VALUE"""),"PMB")</f>
        <v>PMB</v>
      </c>
      <c r="O550" s="59"/>
      <c r="P550" s="1"/>
      <c r="Q550" s="1"/>
      <c r="R550" s="1"/>
      <c r="S550" s="1"/>
      <c r="T550" s="1"/>
      <c r="U550" s="1"/>
      <c r="V550" s="1"/>
      <c r="W550" s="1"/>
      <c r="X550" s="1"/>
      <c r="Y550" s="1"/>
      <c r="Z550" s="1"/>
      <c r="AA550" s="1"/>
    </row>
    <row r="551" spans="1:27" ht="12.75" customHeight="1">
      <c r="A551" s="1"/>
      <c r="B551" s="10" t="str">
        <f ca="1">IFERROR(__xludf.DUMMYFUNCTION("""COMPUTED_VALUE"""),"CONSTRUCCIÓN EXTENSIÓN DE RED DE AGUA POTABLE Y AGUA SERVIDA DE LA CALLE VICUÑA MACKENA, COMUNA DE QUILLECO")</f>
        <v>CONSTRUCCIÓN EXTENSIÓN DE RED DE AGUA POTABLE Y AGUA SERVIDA DE LA CALLE VICUÑA MACKENA, COMUNA DE QUILLECO</v>
      </c>
      <c r="C551" s="10" t="str">
        <f ca="1">IFERROR(__xludf.DUMMYFUNCTION("""COMPUTED_VALUE"""),"8309210701-C [FET]")</f>
        <v>8309210701-C [FET]</v>
      </c>
      <c r="D551" s="26" t="str">
        <f t="shared" ca="1" si="2"/>
        <v xml:space="preserve"> QUILLECO</v>
      </c>
      <c r="E551" s="10" t="str">
        <f ca="1">IFERROR(__xludf.DUMMYFUNCTION("""COMPUTED_VALUE"""),"Guía Operativa")</f>
        <v>Guía Operativa</v>
      </c>
      <c r="F551" s="10" t="str">
        <f ca="1">IFERROR(__xludf.DUMMYFUNCTION("""COMPUTED_VALUE"""),"MUNICIPALIDAD DE QUILLECO")</f>
        <v>MUNICIPALIDAD DE QUILLECO</v>
      </c>
      <c r="G551" s="71">
        <f ca="1">IFERROR(__xludf.DUMMYFUNCTION("""COMPUTED_VALUE"""),18623917)</f>
        <v>18623917</v>
      </c>
      <c r="H551" s="10" t="str">
        <f ca="1">IFERROR(__xludf.DUMMYFUNCTION("""COMPUTED_VALUE"""),"Resolución")</f>
        <v>Resolución</v>
      </c>
      <c r="I551" s="10" t="str">
        <f ca="1">IFERROR(__xludf.DUMMYFUNCTION("""COMPUTED_VALUE"""),"Obra")</f>
        <v>Obra</v>
      </c>
      <c r="J551" s="10" t="str">
        <f ca="1">IFERROR(__xludf.DUMMYFUNCTION("""COMPUTED_VALUE"""),"Cumplir con normativa y reglamentos internos del programa en base a los objetivos.")</f>
        <v>Cumplir con normativa y reglamentos internos del programa en base a los objetivos.</v>
      </c>
      <c r="K551" s="71">
        <f ca="1">IFERROR(__xludf.DUMMYFUNCTION("""COMPUTED_VALUE"""),18250876)</f>
        <v>18250876</v>
      </c>
      <c r="L551" s="27">
        <f ca="1">IFERROR(__xludf.DUMMYFUNCTION("""COMPUTED_VALUE"""),0.979969788310375)</f>
        <v>0.97996978831037496</v>
      </c>
      <c r="M551" s="10" t="str">
        <f ca="1">IFERROR(__xludf.DUMMYFUNCTION("""COMPUTED_VALUE"""),"8597/2023")</f>
        <v>8597/2023</v>
      </c>
      <c r="N551" s="10" t="str">
        <f ca="1">IFERROR(__xludf.DUMMYFUNCTION("""COMPUTED_VALUE"""),"PMB")</f>
        <v>PMB</v>
      </c>
      <c r="O551" s="59"/>
      <c r="P551" s="1"/>
      <c r="Q551" s="1"/>
      <c r="R551" s="1"/>
      <c r="S551" s="1"/>
      <c r="T551" s="1"/>
      <c r="U551" s="1"/>
      <c r="V551" s="1"/>
      <c r="W551" s="1"/>
      <c r="X551" s="1"/>
      <c r="Y551" s="1"/>
      <c r="Z551" s="1"/>
      <c r="AA551" s="1"/>
    </row>
    <row r="552" spans="1:27" ht="12.75" customHeight="1">
      <c r="A552" s="1"/>
      <c r="B552" s="10" t="str">
        <f ca="1">IFERROR(__xludf.DUMMYFUNCTION("""COMPUTED_VALUE"""),"CONSTRUCCIÓN POZO PROFUNDO SECTOR AUCHO, COMUNA DE QUEMCHI")</f>
        <v>CONSTRUCCIÓN POZO PROFUNDO SECTOR AUCHO, COMUNA DE QUEMCHI</v>
      </c>
      <c r="C552" s="10" t="str">
        <f ca="1">IFERROR(__xludf.DUMMYFUNCTION("""COMPUTED_VALUE"""),"10209220702-C")</f>
        <v>10209220702-C</v>
      </c>
      <c r="D552" s="26" t="str">
        <f t="shared" ca="1" si="2"/>
        <v xml:space="preserve"> QUEMCHI</v>
      </c>
      <c r="E552" s="10" t="str">
        <f ca="1">IFERROR(__xludf.DUMMYFUNCTION("""COMPUTED_VALUE"""),"Guía Operativa")</f>
        <v>Guía Operativa</v>
      </c>
      <c r="F552" s="10" t="str">
        <f ca="1">IFERROR(__xludf.DUMMYFUNCTION("""COMPUTED_VALUE"""),"MUNICIPALIDAD DE QUEMCHI")</f>
        <v>MUNICIPALIDAD DE QUEMCHI</v>
      </c>
      <c r="G552" s="71">
        <f ca="1">IFERROR(__xludf.DUMMYFUNCTION("""COMPUTED_VALUE"""),188790336)</f>
        <v>188790336</v>
      </c>
      <c r="H552" s="10" t="str">
        <f ca="1">IFERROR(__xludf.DUMMYFUNCTION("""COMPUTED_VALUE"""),"Resolución")</f>
        <v>Resolución</v>
      </c>
      <c r="I552" s="10" t="str">
        <f ca="1">IFERROR(__xludf.DUMMYFUNCTION("""COMPUTED_VALUE"""),"Obra")</f>
        <v>Obra</v>
      </c>
      <c r="J552" s="10" t="str">
        <f ca="1">IFERROR(__xludf.DUMMYFUNCTION("""COMPUTED_VALUE"""),"Cumplir con normativa y reglamentos internos del programa en base a los objetivos.")</f>
        <v>Cumplir con normativa y reglamentos internos del programa en base a los objetivos.</v>
      </c>
      <c r="K552" s="71">
        <f ca="1">IFERROR(__xludf.DUMMYFUNCTION("""COMPUTED_VALUE"""),95080518)</f>
        <v>95080518</v>
      </c>
      <c r="L552" s="27">
        <f ca="1">IFERROR(__xludf.DUMMYFUNCTION("""COMPUTED_VALUE"""),0.903630215478826)</f>
        <v>0.90363021547882605</v>
      </c>
      <c r="M552" s="10" t="str">
        <f ca="1">IFERROR(__xludf.DUMMYFUNCTION("""COMPUTED_VALUE"""),"7272/2023")</f>
        <v>7272/2023</v>
      </c>
      <c r="N552" s="10" t="str">
        <f ca="1">IFERROR(__xludf.DUMMYFUNCTION("""COMPUTED_VALUE"""),"PMB")</f>
        <v>PMB</v>
      </c>
      <c r="O552" s="59"/>
      <c r="P552" s="1"/>
      <c r="Q552" s="1"/>
      <c r="R552" s="1"/>
      <c r="S552" s="1"/>
      <c r="T552" s="1"/>
      <c r="U552" s="1"/>
      <c r="V552" s="1"/>
      <c r="W552" s="1"/>
      <c r="X552" s="1"/>
      <c r="Y552" s="1"/>
      <c r="Z552" s="1"/>
      <c r="AA552" s="1"/>
    </row>
    <row r="553" spans="1:27" ht="12.75" customHeight="1">
      <c r="A553" s="1"/>
      <c r="B553" s="10" t="str">
        <f ca="1">IFERROR(__xludf.DUMMYFUNCTION("""COMPUTED_VALUE"""),"CONSTRUCCION ELECTRIFICACION FOTOVOLTAICA SECTORES RIO FIGUEROA Y CANAL DE PUYUHUAPI, COMUNA DE CISNES.")</f>
        <v>CONSTRUCCION ELECTRIFICACION FOTOVOLTAICA SECTORES RIO FIGUEROA Y CANAL DE PUYUHUAPI, COMUNA DE CISNES.</v>
      </c>
      <c r="C553" s="10" t="str">
        <f ca="1">IFERROR(__xludf.DUMMYFUNCTION("""COMPUTED_VALUE"""),"11202200704-C")</f>
        <v>11202200704-C</v>
      </c>
      <c r="D553" s="26" t="str">
        <f t="shared" ca="1" si="2"/>
        <v xml:space="preserve"> CISNES</v>
      </c>
      <c r="E553" s="10" t="str">
        <f ca="1">IFERROR(__xludf.DUMMYFUNCTION("""COMPUTED_VALUE"""),"Guía Operativa")</f>
        <v>Guía Operativa</v>
      </c>
      <c r="F553" s="10" t="str">
        <f ca="1">IFERROR(__xludf.DUMMYFUNCTION("""COMPUTED_VALUE"""),"MUNICIPALIDAD DE CISNES")</f>
        <v>MUNICIPALIDAD DE CISNES</v>
      </c>
      <c r="G553" s="71">
        <f ca="1">IFERROR(__xludf.DUMMYFUNCTION("""COMPUTED_VALUE"""),40947726)</f>
        <v>40947726</v>
      </c>
      <c r="H553" s="10" t="str">
        <f ca="1">IFERROR(__xludf.DUMMYFUNCTION("""COMPUTED_VALUE"""),"Resolución")</f>
        <v>Resolución</v>
      </c>
      <c r="I553" s="10" t="str">
        <f ca="1">IFERROR(__xludf.DUMMYFUNCTION("""COMPUTED_VALUE"""),"Obra")</f>
        <v>Obra</v>
      </c>
      <c r="J553" s="10" t="str">
        <f ca="1">IFERROR(__xludf.DUMMYFUNCTION("""COMPUTED_VALUE"""),"Cumplir con normativa y reglamentos internos del programa en base a los objetivos.")</f>
        <v>Cumplir con normativa y reglamentos internos del programa en base a los objetivos.</v>
      </c>
      <c r="K553" s="71">
        <f ca="1">IFERROR(__xludf.DUMMYFUNCTION("""COMPUTED_VALUE"""),40944851)</f>
        <v>40944851</v>
      </c>
      <c r="L553" s="27">
        <f ca="1">IFERROR(__xludf.DUMMYFUNCTION("""COMPUTED_VALUE"""),0.999929788530869)</f>
        <v>0.999929788530869</v>
      </c>
      <c r="M553" s="10" t="str">
        <f ca="1">IFERROR(__xludf.DUMMYFUNCTION("""COMPUTED_VALUE"""),"8241/2023")</f>
        <v>8241/2023</v>
      </c>
      <c r="N553" s="10" t="str">
        <f ca="1">IFERROR(__xludf.DUMMYFUNCTION("""COMPUTED_VALUE"""),"PMB")</f>
        <v>PMB</v>
      </c>
      <c r="O553" s="59"/>
      <c r="P553" s="1"/>
      <c r="Q553" s="1"/>
      <c r="R553" s="1"/>
      <c r="S553" s="1"/>
      <c r="T553" s="1"/>
      <c r="U553" s="1"/>
      <c r="V553" s="1"/>
      <c r="W553" s="1"/>
      <c r="X553" s="1"/>
      <c r="Y553" s="1"/>
      <c r="Z553" s="1"/>
      <c r="AA553" s="1"/>
    </row>
    <row r="554" spans="1:27" ht="12.75" customHeight="1">
      <c r="A554" s="1"/>
      <c r="B554" s="10" t="str">
        <f ca="1">IFERROR(__xludf.DUMMYFUNCTION("""COMPUTED_VALUE"""),"ESTUDIO SSR LAS COMPUERTAS CARIHUEICO")</f>
        <v>ESTUDIO SSR LAS COMPUERTAS CARIHUEICO</v>
      </c>
      <c r="C554" s="10" t="str">
        <f ca="1">IFERROR(__xludf.DUMMYFUNCTION("""COMPUTED_VALUE"""),"10205230403-C")</f>
        <v>10205230403-C</v>
      </c>
      <c r="D554" s="26" t="str">
        <f t="shared" ca="1" si="2"/>
        <v xml:space="preserve"> DALCAHUE</v>
      </c>
      <c r="E554" s="10" t="str">
        <f ca="1">IFERROR(__xludf.DUMMYFUNCTION("""COMPUTED_VALUE"""),"Guía Operativa")</f>
        <v>Guía Operativa</v>
      </c>
      <c r="F554" s="10" t="str">
        <f ca="1">IFERROR(__xludf.DUMMYFUNCTION("""COMPUTED_VALUE"""),"MUNICIPALIDAD DE DALCAHUE")</f>
        <v>MUNICIPALIDAD DE DALCAHUE</v>
      </c>
      <c r="G554" s="71">
        <f ca="1">IFERROR(__xludf.DUMMYFUNCTION("""COMPUTED_VALUE"""),20706000)</f>
        <v>20706000</v>
      </c>
      <c r="H554" s="10" t="str">
        <f ca="1">IFERROR(__xludf.DUMMYFUNCTION("""COMPUTED_VALUE"""),"Resolución")</f>
        <v>Resolución</v>
      </c>
      <c r="I554" s="10" t="str">
        <f ca="1">IFERROR(__xludf.DUMMYFUNCTION("""COMPUTED_VALUE"""),"Estudio")</f>
        <v>Estudio</v>
      </c>
      <c r="J554" s="10" t="str">
        <f ca="1">IFERROR(__xludf.DUMMYFUNCTION("""COMPUTED_VALUE"""),"Cumplir con normativa y reglamentos internos del programa en base a los objetivos.")</f>
        <v>Cumplir con normativa y reglamentos internos del programa en base a los objetivos.</v>
      </c>
      <c r="K554" s="71">
        <f ca="1">IFERROR(__xludf.DUMMYFUNCTION("""COMPUTED_VALUE"""),19942600)</f>
        <v>19942600</v>
      </c>
      <c r="L554" s="27">
        <f ca="1">IFERROR(__xludf.DUMMYFUNCTION("""COMPUTED_VALUE"""),0.963131459480343)</f>
        <v>0.96313145948034296</v>
      </c>
      <c r="M554" s="10" t="str">
        <f ca="1">IFERROR(__xludf.DUMMYFUNCTION("""COMPUTED_VALUE"""),"14254/2023")</f>
        <v>14254/2023</v>
      </c>
      <c r="N554" s="10" t="str">
        <f ca="1">IFERROR(__xludf.DUMMYFUNCTION("""COMPUTED_VALUE"""),"PMB")</f>
        <v>PMB</v>
      </c>
      <c r="O554" s="59"/>
      <c r="P554" s="1"/>
      <c r="Q554" s="1"/>
      <c r="R554" s="1"/>
      <c r="S554" s="1"/>
      <c r="T554" s="1"/>
      <c r="U554" s="1"/>
      <c r="V554" s="1"/>
      <c r="W554" s="1"/>
      <c r="X554" s="1"/>
      <c r="Y554" s="1"/>
      <c r="Z554" s="1"/>
      <c r="AA554" s="1"/>
    </row>
    <row r="555" spans="1:27" ht="12.75" customHeight="1">
      <c r="A555" s="1"/>
      <c r="B555" s="10"/>
      <c r="C555" s="10"/>
      <c r="D555" s="26"/>
      <c r="E555" s="10"/>
      <c r="F555" s="10"/>
      <c r="G555" s="71"/>
      <c r="H555" s="10"/>
      <c r="I555" s="10"/>
      <c r="J555" s="10"/>
      <c r="K555" s="71"/>
      <c r="L555" s="27"/>
      <c r="M555" s="10"/>
      <c r="N555" s="10"/>
      <c r="O555" s="59"/>
      <c r="P555" s="1"/>
      <c r="Q555" s="1"/>
      <c r="R555" s="1"/>
      <c r="S555" s="1"/>
      <c r="T555" s="1"/>
      <c r="U555" s="1"/>
      <c r="V555" s="1"/>
      <c r="W555" s="1"/>
      <c r="X555" s="1"/>
      <c r="Y555" s="1"/>
      <c r="Z555" s="1"/>
      <c r="AA555" s="1"/>
    </row>
    <row r="556" spans="1:27" ht="12.75" customHeight="1">
      <c r="A556" s="1"/>
      <c r="B556" s="10"/>
      <c r="C556" s="10"/>
      <c r="D556" s="26"/>
      <c r="E556" s="10"/>
      <c r="F556" s="10"/>
      <c r="G556" s="71"/>
      <c r="H556" s="10"/>
      <c r="I556" s="10"/>
      <c r="J556" s="10"/>
      <c r="K556" s="71"/>
      <c r="L556" s="27"/>
      <c r="M556" s="10"/>
      <c r="N556" s="10"/>
      <c r="O556" s="59"/>
      <c r="P556" s="1"/>
      <c r="Q556" s="1"/>
      <c r="R556" s="1"/>
      <c r="S556" s="1"/>
      <c r="T556" s="1"/>
      <c r="U556" s="1"/>
      <c r="V556" s="1"/>
      <c r="W556" s="1"/>
      <c r="X556" s="1"/>
      <c r="Y556" s="1"/>
      <c r="Z556" s="1"/>
      <c r="AA556" s="1"/>
    </row>
    <row r="557" spans="1:27" ht="12.75" hidden="1" customHeight="1">
      <c r="A557" s="1"/>
      <c r="B557" s="10"/>
      <c r="C557" s="10"/>
      <c r="D557" s="26"/>
      <c r="E557" s="10"/>
      <c r="F557" s="10"/>
      <c r="G557" s="71"/>
      <c r="H557" s="10"/>
      <c r="I557" s="10"/>
      <c r="J557" s="10"/>
      <c r="K557" s="71"/>
      <c r="L557" s="27"/>
      <c r="M557" s="10"/>
      <c r="N557" s="10"/>
      <c r="O557" s="59"/>
      <c r="P557" s="1"/>
      <c r="Q557" s="1"/>
      <c r="R557" s="1"/>
      <c r="S557" s="1"/>
      <c r="T557" s="1"/>
      <c r="U557" s="1"/>
      <c r="V557" s="1"/>
      <c r="W557" s="1"/>
      <c r="X557" s="1"/>
      <c r="Y557" s="1"/>
      <c r="Z557" s="1"/>
      <c r="AA557" s="1"/>
    </row>
    <row r="558" spans="1:27" ht="12.75" hidden="1" customHeight="1">
      <c r="A558" s="1"/>
      <c r="B558" s="10"/>
      <c r="C558" s="10"/>
      <c r="D558" s="26"/>
      <c r="E558" s="10"/>
      <c r="F558" s="10"/>
      <c r="G558" s="71"/>
      <c r="H558" s="10"/>
      <c r="I558" s="10"/>
      <c r="J558" s="10"/>
      <c r="K558" s="71"/>
      <c r="L558" s="27"/>
      <c r="M558" s="10"/>
      <c r="N558" s="10"/>
      <c r="O558" s="59"/>
      <c r="P558" s="1"/>
      <c r="Q558" s="1"/>
      <c r="R558" s="1"/>
      <c r="S558" s="1"/>
      <c r="T558" s="1"/>
      <c r="U558" s="1"/>
      <c r="V558" s="1"/>
      <c r="W558" s="1"/>
      <c r="X558" s="1"/>
      <c r="Y558" s="1"/>
      <c r="Z558" s="1"/>
      <c r="AA558" s="1"/>
    </row>
    <row r="559" spans="1:27" ht="12.75" hidden="1" customHeight="1">
      <c r="A559" s="1"/>
      <c r="B559" s="10"/>
      <c r="C559" s="10"/>
      <c r="D559" s="26"/>
      <c r="E559" s="10"/>
      <c r="F559" s="10"/>
      <c r="G559" s="71"/>
      <c r="H559" s="10"/>
      <c r="I559" s="10"/>
      <c r="J559" s="10"/>
      <c r="K559" s="71"/>
      <c r="L559" s="27"/>
      <c r="M559" s="10"/>
      <c r="N559" s="10"/>
      <c r="O559" s="59"/>
      <c r="P559" s="1"/>
      <c r="Q559" s="1"/>
      <c r="R559" s="1"/>
      <c r="S559" s="1"/>
      <c r="T559" s="1"/>
      <c r="U559" s="1"/>
      <c r="V559" s="1"/>
      <c r="W559" s="1"/>
      <c r="X559" s="1"/>
      <c r="Y559" s="1"/>
      <c r="Z559" s="1"/>
      <c r="AA559" s="1"/>
    </row>
    <row r="560" spans="1:27" ht="12.75" hidden="1" customHeight="1">
      <c r="A560" s="1"/>
      <c r="B560" s="10"/>
      <c r="C560" s="10"/>
      <c r="D560" s="26"/>
      <c r="E560" s="10"/>
      <c r="F560" s="10"/>
      <c r="G560" s="71"/>
      <c r="H560" s="10"/>
      <c r="I560" s="10"/>
      <c r="J560" s="10"/>
      <c r="K560" s="71"/>
      <c r="L560" s="27"/>
      <c r="M560" s="10"/>
      <c r="N560" s="10"/>
      <c r="O560" s="59"/>
      <c r="P560" s="1"/>
      <c r="Q560" s="1"/>
      <c r="R560" s="1"/>
      <c r="S560" s="1"/>
      <c r="T560" s="1"/>
      <c r="U560" s="1"/>
      <c r="V560" s="1"/>
      <c r="W560" s="1"/>
      <c r="X560" s="1"/>
      <c r="Y560" s="1"/>
      <c r="Z560" s="1"/>
      <c r="AA560" s="1"/>
    </row>
    <row r="561" spans="1:27" ht="12.75" hidden="1" customHeight="1">
      <c r="A561" s="1"/>
      <c r="B561" s="10"/>
      <c r="C561" s="10"/>
      <c r="D561" s="26"/>
      <c r="E561" s="10"/>
      <c r="F561" s="10"/>
      <c r="G561" s="71"/>
      <c r="H561" s="10"/>
      <c r="I561" s="10"/>
      <c r="J561" s="10"/>
      <c r="K561" s="71"/>
      <c r="L561" s="27"/>
      <c r="M561" s="10"/>
      <c r="N561" s="10"/>
      <c r="O561" s="59"/>
      <c r="P561" s="1"/>
      <c r="Q561" s="1"/>
      <c r="R561" s="1"/>
      <c r="S561" s="1"/>
      <c r="T561" s="1"/>
      <c r="U561" s="1"/>
      <c r="V561" s="1"/>
      <c r="W561" s="1"/>
      <c r="X561" s="1"/>
      <c r="Y561" s="1"/>
      <c r="Z561" s="1"/>
      <c r="AA561" s="1"/>
    </row>
    <row r="562" spans="1:27" ht="12.75" hidden="1" customHeight="1">
      <c r="A562" s="1"/>
      <c r="B562" s="10"/>
      <c r="C562" s="10"/>
      <c r="D562" s="26"/>
      <c r="E562" s="10"/>
      <c r="F562" s="10"/>
      <c r="G562" s="71"/>
      <c r="H562" s="10"/>
      <c r="I562" s="10"/>
      <c r="J562" s="10"/>
      <c r="K562" s="71"/>
      <c r="L562" s="27"/>
      <c r="M562" s="10"/>
      <c r="N562" s="10"/>
      <c r="O562" s="59"/>
      <c r="P562" s="1"/>
      <c r="Q562" s="1"/>
      <c r="R562" s="1"/>
      <c r="S562" s="1"/>
      <c r="T562" s="1"/>
      <c r="U562" s="1"/>
      <c r="V562" s="1"/>
      <c r="W562" s="1"/>
      <c r="X562" s="1"/>
      <c r="Y562" s="1"/>
      <c r="Z562" s="1"/>
      <c r="AA562" s="1"/>
    </row>
    <row r="563" spans="1:27" ht="12.75" hidden="1" customHeight="1">
      <c r="A563" s="1"/>
      <c r="B563" s="10"/>
      <c r="C563" s="10"/>
      <c r="D563" s="26"/>
      <c r="E563" s="10"/>
      <c r="F563" s="10"/>
      <c r="G563" s="71"/>
      <c r="H563" s="10"/>
      <c r="I563" s="10"/>
      <c r="J563" s="10"/>
      <c r="K563" s="71"/>
      <c r="L563" s="27"/>
      <c r="M563" s="10"/>
      <c r="N563" s="10"/>
      <c r="O563" s="59"/>
      <c r="P563" s="1"/>
      <c r="Q563" s="1"/>
      <c r="R563" s="1"/>
      <c r="S563" s="1"/>
      <c r="T563" s="1"/>
      <c r="U563" s="1"/>
      <c r="V563" s="1"/>
      <c r="W563" s="1"/>
      <c r="X563" s="1"/>
      <c r="Y563" s="1"/>
      <c r="Z563" s="1"/>
      <c r="AA563" s="1"/>
    </row>
    <row r="564" spans="1:27" ht="12.75" hidden="1" customHeight="1">
      <c r="A564" s="1"/>
      <c r="B564" s="10"/>
      <c r="C564" s="10"/>
      <c r="D564" s="26"/>
      <c r="E564" s="10"/>
      <c r="F564" s="10"/>
      <c r="G564" s="71"/>
      <c r="H564" s="10"/>
      <c r="I564" s="10"/>
      <c r="J564" s="10"/>
      <c r="K564" s="71"/>
      <c r="L564" s="27"/>
      <c r="M564" s="10"/>
      <c r="N564" s="10"/>
      <c r="O564" s="59"/>
      <c r="P564" s="1"/>
      <c r="Q564" s="1"/>
      <c r="R564" s="1"/>
      <c r="S564" s="1"/>
      <c r="T564" s="1"/>
      <c r="U564" s="1"/>
      <c r="V564" s="1"/>
      <c r="W564" s="1"/>
      <c r="X564" s="1"/>
      <c r="Y564" s="1"/>
      <c r="Z564" s="1"/>
      <c r="AA564" s="1"/>
    </row>
    <row r="565" spans="1:27" ht="12.75" hidden="1" customHeight="1">
      <c r="A565" s="1"/>
      <c r="B565" s="10"/>
      <c r="C565" s="10"/>
      <c r="D565" s="26"/>
      <c r="E565" s="10"/>
      <c r="F565" s="10"/>
      <c r="G565" s="71"/>
      <c r="H565" s="10"/>
      <c r="I565" s="10"/>
      <c r="J565" s="10"/>
      <c r="K565" s="71"/>
      <c r="L565" s="27"/>
      <c r="M565" s="10"/>
      <c r="N565" s="10"/>
      <c r="O565" s="59"/>
      <c r="P565" s="1"/>
      <c r="Q565" s="1"/>
      <c r="R565" s="1"/>
      <c r="S565" s="1"/>
      <c r="T565" s="1"/>
      <c r="U565" s="1"/>
      <c r="V565" s="1"/>
      <c r="W565" s="1"/>
      <c r="X565" s="1"/>
      <c r="Y565" s="1"/>
      <c r="Z565" s="1"/>
      <c r="AA565" s="1"/>
    </row>
    <row r="566" spans="1:27" ht="12.75" hidden="1" customHeight="1">
      <c r="A566" s="1"/>
      <c r="B566" s="10"/>
      <c r="C566" s="10"/>
      <c r="D566" s="26"/>
      <c r="E566" s="10"/>
      <c r="F566" s="10"/>
      <c r="G566" s="71"/>
      <c r="H566" s="10"/>
      <c r="I566" s="10"/>
      <c r="J566" s="10"/>
      <c r="K566" s="71"/>
      <c r="L566" s="27"/>
      <c r="M566" s="10"/>
      <c r="N566" s="10"/>
      <c r="O566" s="59"/>
      <c r="P566" s="1"/>
      <c r="Q566" s="1"/>
      <c r="R566" s="1"/>
      <c r="S566" s="1"/>
      <c r="T566" s="1"/>
      <c r="U566" s="1"/>
      <c r="V566" s="1"/>
      <c r="W566" s="1"/>
      <c r="X566" s="1"/>
      <c r="Y566" s="1"/>
      <c r="Z566" s="1"/>
      <c r="AA566" s="1"/>
    </row>
    <row r="567" spans="1:27" ht="12.75" hidden="1" customHeight="1">
      <c r="A567" s="1"/>
      <c r="B567" s="10"/>
      <c r="C567" s="10"/>
      <c r="D567" s="26"/>
      <c r="E567" s="10"/>
      <c r="F567" s="10"/>
      <c r="G567" s="71"/>
      <c r="H567" s="10"/>
      <c r="I567" s="10"/>
      <c r="J567" s="10"/>
      <c r="K567" s="71"/>
      <c r="L567" s="27"/>
      <c r="M567" s="10"/>
      <c r="N567" s="10"/>
      <c r="O567" s="59"/>
      <c r="P567" s="1"/>
      <c r="Q567" s="1"/>
      <c r="R567" s="1"/>
      <c r="S567" s="1"/>
      <c r="T567" s="1"/>
      <c r="U567" s="1"/>
      <c r="V567" s="1"/>
      <c r="W567" s="1"/>
      <c r="X567" s="1"/>
      <c r="Y567" s="1"/>
      <c r="Z567" s="1"/>
      <c r="AA567" s="1"/>
    </row>
    <row r="568" spans="1:27" ht="12.75" hidden="1" customHeight="1">
      <c r="A568" s="1"/>
      <c r="B568" s="10"/>
      <c r="C568" s="10"/>
      <c r="D568" s="26"/>
      <c r="E568" s="10"/>
      <c r="F568" s="10"/>
      <c r="G568" s="71"/>
      <c r="H568" s="10"/>
      <c r="I568" s="10"/>
      <c r="J568" s="10"/>
      <c r="K568" s="71"/>
      <c r="L568" s="27"/>
      <c r="M568" s="10"/>
      <c r="N568" s="10"/>
      <c r="O568" s="59"/>
      <c r="P568" s="1"/>
      <c r="Q568" s="1"/>
      <c r="R568" s="1"/>
      <c r="S568" s="1"/>
      <c r="T568" s="1"/>
      <c r="U568" s="1"/>
      <c r="V568" s="1"/>
      <c r="W568" s="1"/>
      <c r="X568" s="1"/>
      <c r="Y568" s="1"/>
      <c r="Z568" s="1"/>
      <c r="AA568" s="1"/>
    </row>
    <row r="569" spans="1:27" ht="12.75" hidden="1" customHeight="1">
      <c r="A569" s="1"/>
      <c r="B569" s="10"/>
      <c r="C569" s="10"/>
      <c r="D569" s="26"/>
      <c r="E569" s="10"/>
      <c r="F569" s="10"/>
      <c r="G569" s="71"/>
      <c r="H569" s="10"/>
      <c r="I569" s="10"/>
      <c r="J569" s="10"/>
      <c r="K569" s="71"/>
      <c r="L569" s="27"/>
      <c r="M569" s="10"/>
      <c r="N569" s="10"/>
      <c r="O569" s="59"/>
      <c r="P569" s="1"/>
      <c r="Q569" s="1"/>
      <c r="R569" s="1"/>
      <c r="S569" s="1"/>
      <c r="T569" s="1"/>
      <c r="U569" s="1"/>
      <c r="V569" s="1"/>
      <c r="W569" s="1"/>
      <c r="X569" s="1"/>
      <c r="Y569" s="1"/>
      <c r="Z569" s="1"/>
      <c r="AA569" s="1"/>
    </row>
    <row r="570" spans="1:27" ht="12.75" hidden="1" customHeight="1">
      <c r="A570" s="1"/>
      <c r="B570" s="10"/>
      <c r="C570" s="10"/>
      <c r="D570" s="26"/>
      <c r="E570" s="10"/>
      <c r="F570" s="10"/>
      <c r="G570" s="71"/>
      <c r="H570" s="10"/>
      <c r="I570" s="10"/>
      <c r="J570" s="10"/>
      <c r="K570" s="71"/>
      <c r="L570" s="27"/>
      <c r="M570" s="10"/>
      <c r="N570" s="10"/>
      <c r="O570" s="59"/>
      <c r="P570" s="1"/>
      <c r="Q570" s="1"/>
      <c r="R570" s="1"/>
      <c r="S570" s="1"/>
      <c r="T570" s="1"/>
      <c r="U570" s="1"/>
      <c r="V570" s="1"/>
      <c r="W570" s="1"/>
      <c r="X570" s="1"/>
      <c r="Y570" s="1"/>
      <c r="Z570" s="1"/>
      <c r="AA570" s="1"/>
    </row>
    <row r="571" spans="1:27" ht="12.75" hidden="1" customHeight="1">
      <c r="A571" s="1"/>
      <c r="B571" s="10"/>
      <c r="C571" s="10"/>
      <c r="D571" s="26"/>
      <c r="E571" s="10"/>
      <c r="F571" s="10"/>
      <c r="G571" s="71"/>
      <c r="H571" s="10"/>
      <c r="I571" s="10"/>
      <c r="J571" s="10"/>
      <c r="K571" s="71"/>
      <c r="L571" s="27"/>
      <c r="M571" s="10"/>
      <c r="N571" s="10"/>
      <c r="O571" s="59"/>
      <c r="P571" s="1"/>
      <c r="Q571" s="1"/>
      <c r="R571" s="1"/>
      <c r="S571" s="1"/>
      <c r="T571" s="1"/>
      <c r="U571" s="1"/>
      <c r="V571" s="1"/>
      <c r="W571" s="1"/>
      <c r="X571" s="1"/>
      <c r="Y571" s="1"/>
      <c r="Z571" s="1"/>
      <c r="AA571" s="1"/>
    </row>
    <row r="572" spans="1:27" ht="12.75" hidden="1" customHeight="1">
      <c r="A572" s="1"/>
      <c r="B572" s="10"/>
      <c r="C572" s="10"/>
      <c r="D572" s="26"/>
      <c r="E572" s="10"/>
      <c r="F572" s="10"/>
      <c r="G572" s="71"/>
      <c r="H572" s="10"/>
      <c r="I572" s="10"/>
      <c r="J572" s="10"/>
      <c r="K572" s="71"/>
      <c r="L572" s="27"/>
      <c r="M572" s="10"/>
      <c r="N572" s="10"/>
      <c r="O572" s="59"/>
      <c r="P572" s="1"/>
      <c r="Q572" s="1"/>
      <c r="R572" s="1"/>
      <c r="S572" s="1"/>
      <c r="T572" s="1"/>
      <c r="U572" s="1"/>
      <c r="V572" s="1"/>
      <c r="W572" s="1"/>
      <c r="X572" s="1"/>
      <c r="Y572" s="1"/>
      <c r="Z572" s="1"/>
      <c r="AA572" s="1"/>
    </row>
    <row r="573" spans="1:27" ht="12.75" hidden="1" customHeight="1">
      <c r="A573" s="1"/>
      <c r="B573" s="10"/>
      <c r="C573" s="10"/>
      <c r="D573" s="26"/>
      <c r="E573" s="10"/>
      <c r="F573" s="10"/>
      <c r="G573" s="71"/>
      <c r="H573" s="10"/>
      <c r="I573" s="10"/>
      <c r="J573" s="10"/>
      <c r="K573" s="71"/>
      <c r="L573" s="27"/>
      <c r="M573" s="10"/>
      <c r="N573" s="10"/>
      <c r="O573" s="59"/>
      <c r="P573" s="1"/>
      <c r="Q573" s="1"/>
      <c r="R573" s="1"/>
      <c r="S573" s="1"/>
      <c r="T573" s="1"/>
      <c r="U573" s="1"/>
      <c r="V573" s="1"/>
      <c r="W573" s="1"/>
      <c r="X573" s="1"/>
      <c r="Y573" s="1"/>
      <c r="Z573" s="1"/>
      <c r="AA573" s="1"/>
    </row>
    <row r="574" spans="1:27" ht="12.75" hidden="1" customHeight="1">
      <c r="A574" s="1"/>
      <c r="B574" s="10"/>
      <c r="C574" s="10"/>
      <c r="D574" s="26"/>
      <c r="E574" s="10"/>
      <c r="F574" s="10"/>
      <c r="G574" s="71"/>
      <c r="H574" s="10"/>
      <c r="I574" s="10"/>
      <c r="J574" s="10"/>
      <c r="K574" s="71"/>
      <c r="L574" s="27"/>
      <c r="M574" s="10"/>
      <c r="N574" s="10"/>
      <c r="O574" s="59"/>
      <c r="P574" s="1"/>
      <c r="Q574" s="1"/>
      <c r="R574" s="1"/>
      <c r="S574" s="1"/>
      <c r="T574" s="1"/>
      <c r="U574" s="1"/>
      <c r="V574" s="1"/>
      <c r="W574" s="1"/>
      <c r="X574" s="1"/>
      <c r="Y574" s="1"/>
      <c r="Z574" s="1"/>
      <c r="AA574" s="1"/>
    </row>
    <row r="575" spans="1:27" ht="12.75" hidden="1" customHeight="1">
      <c r="A575" s="1"/>
      <c r="B575" s="10"/>
      <c r="C575" s="10"/>
      <c r="D575" s="26"/>
      <c r="E575" s="10"/>
      <c r="F575" s="10"/>
      <c r="G575" s="71"/>
      <c r="H575" s="10"/>
      <c r="I575" s="10"/>
      <c r="J575" s="10"/>
      <c r="K575" s="71"/>
      <c r="L575" s="27"/>
      <c r="M575" s="10"/>
      <c r="N575" s="10"/>
      <c r="O575" s="59"/>
      <c r="P575" s="1"/>
      <c r="Q575" s="1"/>
      <c r="R575" s="1"/>
      <c r="S575" s="1"/>
      <c r="T575" s="1"/>
      <c r="U575" s="1"/>
      <c r="V575" s="1"/>
      <c r="W575" s="1"/>
      <c r="X575" s="1"/>
      <c r="Y575" s="1"/>
      <c r="Z575" s="1"/>
      <c r="AA575" s="1"/>
    </row>
    <row r="576" spans="1:27" ht="12.75" hidden="1" customHeight="1">
      <c r="A576" s="1"/>
      <c r="B576" s="10"/>
      <c r="C576" s="10"/>
      <c r="D576" s="26"/>
      <c r="E576" s="10"/>
      <c r="F576" s="10"/>
      <c r="G576" s="71"/>
      <c r="H576" s="10"/>
      <c r="I576" s="10"/>
      <c r="J576" s="10"/>
      <c r="K576" s="71"/>
      <c r="L576" s="27"/>
      <c r="M576" s="10"/>
      <c r="N576" s="10"/>
      <c r="O576" s="59"/>
      <c r="P576" s="1"/>
      <c r="Q576" s="1"/>
      <c r="R576" s="1"/>
      <c r="S576" s="1"/>
      <c r="T576" s="1"/>
      <c r="U576" s="1"/>
      <c r="V576" s="1"/>
      <c r="W576" s="1"/>
      <c r="X576" s="1"/>
      <c r="Y576" s="1"/>
      <c r="Z576" s="1"/>
      <c r="AA576" s="1"/>
    </row>
    <row r="577" spans="1:27" ht="12.75" hidden="1" customHeight="1">
      <c r="A577" s="1"/>
      <c r="B577" s="10"/>
      <c r="C577" s="10"/>
      <c r="D577" s="26"/>
      <c r="E577" s="10"/>
      <c r="F577" s="10"/>
      <c r="G577" s="71"/>
      <c r="H577" s="10"/>
      <c r="I577" s="10"/>
      <c r="J577" s="10"/>
      <c r="K577" s="71"/>
      <c r="L577" s="27"/>
      <c r="M577" s="10"/>
      <c r="N577" s="10"/>
      <c r="O577" s="59"/>
      <c r="P577" s="1"/>
      <c r="Q577" s="1"/>
      <c r="R577" s="1"/>
      <c r="S577" s="1"/>
      <c r="T577" s="1"/>
      <c r="U577" s="1"/>
      <c r="V577" s="1"/>
      <c r="W577" s="1"/>
      <c r="X577" s="1"/>
      <c r="Y577" s="1"/>
      <c r="Z577" s="1"/>
      <c r="AA577" s="1"/>
    </row>
    <row r="578" spans="1:27" ht="12.75" hidden="1" customHeight="1">
      <c r="A578" s="1"/>
      <c r="B578" s="10"/>
      <c r="C578" s="10"/>
      <c r="D578" s="26"/>
      <c r="E578" s="10"/>
      <c r="F578" s="10"/>
      <c r="G578" s="71"/>
      <c r="H578" s="10"/>
      <c r="I578" s="10"/>
      <c r="J578" s="10"/>
      <c r="K578" s="71"/>
      <c r="L578" s="27"/>
      <c r="M578" s="10"/>
      <c r="N578" s="10"/>
      <c r="O578" s="59"/>
      <c r="P578" s="1"/>
      <c r="Q578" s="1"/>
      <c r="R578" s="1"/>
      <c r="S578" s="1"/>
      <c r="T578" s="1"/>
      <c r="U578" s="1"/>
      <c r="V578" s="1"/>
      <c r="W578" s="1"/>
      <c r="X578" s="1"/>
      <c r="Y578" s="1"/>
      <c r="Z578" s="1"/>
      <c r="AA578" s="1"/>
    </row>
    <row r="579" spans="1:27" ht="12.75" hidden="1" customHeight="1">
      <c r="A579" s="1"/>
      <c r="B579" s="10"/>
      <c r="C579" s="10"/>
      <c r="D579" s="26"/>
      <c r="E579" s="10"/>
      <c r="F579" s="10"/>
      <c r="G579" s="71"/>
      <c r="H579" s="10"/>
      <c r="I579" s="10"/>
      <c r="J579" s="10"/>
      <c r="K579" s="71"/>
      <c r="L579" s="27"/>
      <c r="M579" s="10"/>
      <c r="N579" s="10"/>
      <c r="O579" s="59"/>
      <c r="P579" s="1"/>
      <c r="Q579" s="1"/>
      <c r="R579" s="1"/>
      <c r="S579" s="1"/>
      <c r="T579" s="1"/>
      <c r="U579" s="1"/>
      <c r="V579" s="1"/>
      <c r="W579" s="1"/>
      <c r="X579" s="1"/>
      <c r="Y579" s="1"/>
      <c r="Z579" s="1"/>
      <c r="AA579" s="1"/>
    </row>
    <row r="580" spans="1:27" ht="12.75" hidden="1" customHeight="1">
      <c r="A580" s="1"/>
      <c r="B580" s="10"/>
      <c r="C580" s="10"/>
      <c r="D580" s="26"/>
      <c r="E580" s="10"/>
      <c r="F580" s="10"/>
      <c r="G580" s="71"/>
      <c r="H580" s="10"/>
      <c r="I580" s="10"/>
      <c r="J580" s="10"/>
      <c r="K580" s="71"/>
      <c r="L580" s="27"/>
      <c r="M580" s="10"/>
      <c r="N580" s="10"/>
      <c r="O580" s="59"/>
      <c r="P580" s="1"/>
      <c r="Q580" s="1"/>
      <c r="R580" s="1"/>
      <c r="S580" s="1"/>
      <c r="T580" s="1"/>
      <c r="U580" s="1"/>
      <c r="V580" s="1"/>
      <c r="W580" s="1"/>
      <c r="X580" s="1"/>
      <c r="Y580" s="1"/>
      <c r="Z580" s="1"/>
      <c r="AA580" s="1"/>
    </row>
    <row r="581" spans="1:27" ht="12.75" hidden="1" customHeight="1">
      <c r="A581" s="1"/>
      <c r="B581" s="10"/>
      <c r="C581" s="10"/>
      <c r="D581" s="26"/>
      <c r="E581" s="10"/>
      <c r="F581" s="10"/>
      <c r="G581" s="71"/>
      <c r="H581" s="10"/>
      <c r="I581" s="10"/>
      <c r="J581" s="10"/>
      <c r="K581" s="71"/>
      <c r="L581" s="27"/>
      <c r="M581" s="10"/>
      <c r="N581" s="10"/>
      <c r="O581" s="59"/>
      <c r="P581" s="1"/>
      <c r="Q581" s="1"/>
      <c r="R581" s="1"/>
      <c r="S581" s="1"/>
      <c r="T581" s="1"/>
      <c r="U581" s="1"/>
      <c r="V581" s="1"/>
      <c r="W581" s="1"/>
      <c r="X581" s="1"/>
      <c r="Y581" s="1"/>
      <c r="Z581" s="1"/>
      <c r="AA581" s="1"/>
    </row>
    <row r="582" spans="1:27" ht="12.75" hidden="1" customHeight="1">
      <c r="A582" s="1"/>
      <c r="B582" s="10"/>
      <c r="C582" s="10"/>
      <c r="D582" s="26"/>
      <c r="E582" s="10"/>
      <c r="F582" s="10"/>
      <c r="G582" s="71"/>
      <c r="H582" s="10"/>
      <c r="I582" s="10"/>
      <c r="J582" s="10"/>
      <c r="K582" s="71"/>
      <c r="L582" s="27"/>
      <c r="M582" s="10"/>
      <c r="N582" s="10"/>
      <c r="O582" s="59"/>
      <c r="P582" s="1"/>
      <c r="Q582" s="1"/>
      <c r="R582" s="1"/>
      <c r="S582" s="1"/>
      <c r="T582" s="1"/>
      <c r="U582" s="1"/>
      <c r="V582" s="1"/>
      <c r="W582" s="1"/>
      <c r="X582" s="1"/>
      <c r="Y582" s="1"/>
      <c r="Z582" s="1"/>
      <c r="AA582" s="1"/>
    </row>
    <row r="583" spans="1:27" ht="12.75" hidden="1" customHeight="1">
      <c r="A583" s="1"/>
      <c r="B583" s="10"/>
      <c r="C583" s="10"/>
      <c r="D583" s="26"/>
      <c r="E583" s="10"/>
      <c r="F583" s="10"/>
      <c r="G583" s="71"/>
      <c r="H583" s="10"/>
      <c r="I583" s="10"/>
      <c r="J583" s="10"/>
      <c r="K583" s="71"/>
      <c r="L583" s="27"/>
      <c r="M583" s="10"/>
      <c r="N583" s="10"/>
      <c r="O583" s="59"/>
      <c r="P583" s="1"/>
      <c r="Q583" s="1"/>
      <c r="R583" s="1"/>
      <c r="S583" s="1"/>
      <c r="T583" s="1"/>
      <c r="U583" s="1"/>
      <c r="V583" s="1"/>
      <c r="W583" s="1"/>
      <c r="X583" s="1"/>
      <c r="Y583" s="1"/>
      <c r="Z583" s="1"/>
      <c r="AA583" s="1"/>
    </row>
    <row r="584" spans="1:27" ht="12.75" hidden="1" customHeight="1">
      <c r="A584" s="1"/>
      <c r="B584" s="10"/>
      <c r="C584" s="10"/>
      <c r="D584" s="26"/>
      <c r="E584" s="10"/>
      <c r="F584" s="10"/>
      <c r="G584" s="71"/>
      <c r="H584" s="10"/>
      <c r="I584" s="10"/>
      <c r="J584" s="10"/>
      <c r="K584" s="71"/>
      <c r="L584" s="27"/>
      <c r="M584" s="10"/>
      <c r="N584" s="10"/>
      <c r="O584" s="59"/>
      <c r="P584" s="1"/>
      <c r="Q584" s="1"/>
      <c r="R584" s="1"/>
      <c r="S584" s="1"/>
      <c r="T584" s="1"/>
      <c r="U584" s="1"/>
      <c r="V584" s="1"/>
      <c r="W584" s="1"/>
      <c r="X584" s="1"/>
      <c r="Y584" s="1"/>
      <c r="Z584" s="1"/>
      <c r="AA584" s="1"/>
    </row>
    <row r="585" spans="1:27" ht="12.75" hidden="1" customHeight="1">
      <c r="A585" s="1"/>
      <c r="B585" s="10"/>
      <c r="C585" s="10"/>
      <c r="D585" s="26"/>
      <c r="E585" s="10"/>
      <c r="F585" s="10"/>
      <c r="G585" s="71"/>
      <c r="H585" s="10"/>
      <c r="I585" s="10"/>
      <c r="J585" s="10"/>
      <c r="K585" s="71"/>
      <c r="L585" s="27"/>
      <c r="M585" s="10"/>
      <c r="N585" s="10"/>
      <c r="O585" s="59"/>
      <c r="P585" s="1"/>
      <c r="Q585" s="1"/>
      <c r="R585" s="1"/>
      <c r="S585" s="1"/>
      <c r="T585" s="1"/>
      <c r="U585" s="1"/>
      <c r="V585" s="1"/>
      <c r="W585" s="1"/>
      <c r="X585" s="1"/>
      <c r="Y585" s="1"/>
      <c r="Z585" s="1"/>
      <c r="AA585" s="1"/>
    </row>
    <row r="586" spans="1:27" ht="12.75" hidden="1" customHeight="1">
      <c r="A586" s="1"/>
      <c r="B586" s="10"/>
      <c r="C586" s="10"/>
      <c r="D586" s="26"/>
      <c r="E586" s="10"/>
      <c r="F586" s="10"/>
      <c r="G586" s="71"/>
      <c r="H586" s="10"/>
      <c r="I586" s="10"/>
      <c r="J586" s="10"/>
      <c r="K586" s="71"/>
      <c r="L586" s="27"/>
      <c r="M586" s="10"/>
      <c r="N586" s="10"/>
      <c r="O586" s="59"/>
      <c r="P586" s="1"/>
      <c r="Q586" s="1"/>
      <c r="R586" s="1"/>
      <c r="S586" s="1"/>
      <c r="T586" s="1"/>
      <c r="U586" s="1"/>
      <c r="V586" s="1"/>
      <c r="W586" s="1"/>
      <c r="X586" s="1"/>
      <c r="Y586" s="1"/>
      <c r="Z586" s="1"/>
      <c r="AA586" s="1"/>
    </row>
    <row r="587" spans="1:27" ht="12.75" hidden="1" customHeight="1">
      <c r="A587" s="1"/>
      <c r="B587" s="10"/>
      <c r="C587" s="10"/>
      <c r="D587" s="26"/>
      <c r="E587" s="10"/>
      <c r="F587" s="10"/>
      <c r="G587" s="71"/>
      <c r="H587" s="10"/>
      <c r="I587" s="10"/>
      <c r="J587" s="10"/>
      <c r="K587" s="71"/>
      <c r="L587" s="27"/>
      <c r="M587" s="10"/>
      <c r="N587" s="10"/>
      <c r="O587" s="59"/>
      <c r="P587" s="1"/>
      <c r="Q587" s="1"/>
      <c r="R587" s="1"/>
      <c r="S587" s="1"/>
      <c r="T587" s="1"/>
      <c r="U587" s="1"/>
      <c r="V587" s="1"/>
      <c r="W587" s="1"/>
      <c r="X587" s="1"/>
      <c r="Y587" s="1"/>
      <c r="Z587" s="1"/>
      <c r="AA587" s="1"/>
    </row>
    <row r="588" spans="1:27" ht="12.75" hidden="1" customHeight="1">
      <c r="A588" s="1"/>
      <c r="B588" s="10"/>
      <c r="C588" s="10"/>
      <c r="D588" s="26"/>
      <c r="E588" s="10"/>
      <c r="F588" s="10"/>
      <c r="G588" s="71"/>
      <c r="H588" s="10"/>
      <c r="I588" s="10"/>
      <c r="J588" s="10"/>
      <c r="K588" s="71"/>
      <c r="L588" s="27"/>
      <c r="M588" s="10"/>
      <c r="N588" s="10"/>
      <c r="O588" s="59"/>
      <c r="P588" s="1"/>
      <c r="Q588" s="1"/>
      <c r="R588" s="1"/>
      <c r="S588" s="1"/>
      <c r="T588" s="1"/>
      <c r="U588" s="1"/>
      <c r="V588" s="1"/>
      <c r="W588" s="1"/>
      <c r="X588" s="1"/>
      <c r="Y588" s="1"/>
      <c r="Z588" s="1"/>
      <c r="AA588" s="1"/>
    </row>
    <row r="589" spans="1:27" ht="12.75" hidden="1" customHeight="1">
      <c r="A589" s="1"/>
      <c r="B589" s="10"/>
      <c r="C589" s="10"/>
      <c r="D589" s="26"/>
      <c r="E589" s="10"/>
      <c r="F589" s="10"/>
      <c r="G589" s="71"/>
      <c r="H589" s="10"/>
      <c r="I589" s="10"/>
      <c r="J589" s="10"/>
      <c r="K589" s="71"/>
      <c r="L589" s="27"/>
      <c r="M589" s="10"/>
      <c r="N589" s="10"/>
      <c r="O589" s="59"/>
      <c r="P589" s="1"/>
      <c r="Q589" s="1"/>
      <c r="R589" s="1"/>
      <c r="S589" s="1"/>
      <c r="T589" s="1"/>
      <c r="U589" s="1"/>
      <c r="V589" s="1"/>
      <c r="W589" s="1"/>
      <c r="X589" s="1"/>
      <c r="Y589" s="1"/>
      <c r="Z589" s="1"/>
      <c r="AA589" s="1"/>
    </row>
    <row r="590" spans="1:27" ht="12.75" hidden="1" customHeight="1">
      <c r="A590" s="1"/>
      <c r="B590" s="10"/>
      <c r="C590" s="10"/>
      <c r="D590" s="26"/>
      <c r="E590" s="10"/>
      <c r="F590" s="10"/>
      <c r="G590" s="71"/>
      <c r="H590" s="10"/>
      <c r="I590" s="10"/>
      <c r="J590" s="10"/>
      <c r="K590" s="71"/>
      <c r="L590" s="27"/>
      <c r="M590" s="10"/>
      <c r="N590" s="10"/>
      <c r="O590" s="59"/>
      <c r="P590" s="1"/>
      <c r="Q590" s="1"/>
      <c r="R590" s="1"/>
      <c r="S590" s="1"/>
      <c r="T590" s="1"/>
      <c r="U590" s="1"/>
      <c r="V590" s="1"/>
      <c r="W590" s="1"/>
      <c r="X590" s="1"/>
      <c r="Y590" s="1"/>
      <c r="Z590" s="1"/>
      <c r="AA590" s="1"/>
    </row>
    <row r="591" spans="1:27" ht="12.75" hidden="1" customHeight="1">
      <c r="A591" s="1"/>
      <c r="B591" s="10"/>
      <c r="C591" s="10"/>
      <c r="D591" s="26"/>
      <c r="E591" s="10"/>
      <c r="F591" s="10"/>
      <c r="G591" s="71"/>
      <c r="H591" s="10"/>
      <c r="I591" s="10"/>
      <c r="J591" s="10"/>
      <c r="K591" s="71"/>
      <c r="L591" s="27"/>
      <c r="M591" s="10"/>
      <c r="N591" s="10"/>
      <c r="O591" s="59"/>
      <c r="P591" s="1"/>
      <c r="Q591" s="1"/>
      <c r="R591" s="1"/>
      <c r="S591" s="1"/>
      <c r="T591" s="1"/>
      <c r="U591" s="1"/>
      <c r="V591" s="1"/>
      <c r="W591" s="1"/>
      <c r="X591" s="1"/>
      <c r="Y591" s="1"/>
      <c r="Z591" s="1"/>
      <c r="AA591" s="1"/>
    </row>
    <row r="592" spans="1:27" ht="12.75" hidden="1" customHeight="1">
      <c r="A592" s="1"/>
      <c r="B592" s="10"/>
      <c r="C592" s="10"/>
      <c r="D592" s="26"/>
      <c r="E592" s="10"/>
      <c r="F592" s="10"/>
      <c r="G592" s="71"/>
      <c r="H592" s="10"/>
      <c r="I592" s="10"/>
      <c r="J592" s="10"/>
      <c r="K592" s="71"/>
      <c r="L592" s="27"/>
      <c r="M592" s="10"/>
      <c r="N592" s="10"/>
      <c r="O592" s="59"/>
      <c r="P592" s="1"/>
      <c r="Q592" s="1"/>
      <c r="R592" s="1"/>
      <c r="S592" s="1"/>
      <c r="T592" s="1"/>
      <c r="U592" s="1"/>
      <c r="V592" s="1"/>
      <c r="W592" s="1"/>
      <c r="X592" s="1"/>
      <c r="Y592" s="1"/>
      <c r="Z592" s="1"/>
      <c r="AA592" s="1"/>
    </row>
    <row r="593" spans="1:27" ht="12.75" hidden="1" customHeight="1">
      <c r="A593" s="1"/>
      <c r="B593" s="10"/>
      <c r="C593" s="10"/>
      <c r="D593" s="26"/>
      <c r="E593" s="10"/>
      <c r="F593" s="10"/>
      <c r="G593" s="71"/>
      <c r="H593" s="10"/>
      <c r="I593" s="10"/>
      <c r="J593" s="10"/>
      <c r="K593" s="71"/>
      <c r="L593" s="27"/>
      <c r="M593" s="10"/>
      <c r="N593" s="10"/>
      <c r="O593" s="59"/>
      <c r="P593" s="1"/>
      <c r="Q593" s="1"/>
      <c r="R593" s="1"/>
      <c r="S593" s="1"/>
      <c r="T593" s="1"/>
      <c r="U593" s="1"/>
      <c r="V593" s="1"/>
      <c r="W593" s="1"/>
      <c r="X593" s="1"/>
      <c r="Y593" s="1"/>
      <c r="Z593" s="1"/>
      <c r="AA593" s="1"/>
    </row>
    <row r="594" spans="1:27" ht="12.75" hidden="1" customHeight="1">
      <c r="A594" s="1"/>
      <c r="B594" s="10"/>
      <c r="C594" s="10"/>
      <c r="D594" s="26"/>
      <c r="E594" s="10"/>
      <c r="F594" s="10"/>
      <c r="G594" s="71"/>
      <c r="H594" s="10"/>
      <c r="I594" s="10"/>
      <c r="J594" s="10"/>
      <c r="K594" s="71"/>
      <c r="L594" s="27"/>
      <c r="M594" s="10"/>
      <c r="N594" s="10"/>
      <c r="O594" s="59"/>
      <c r="P594" s="1"/>
      <c r="Q594" s="1"/>
      <c r="R594" s="1"/>
      <c r="S594" s="1"/>
      <c r="T594" s="1"/>
      <c r="U594" s="1"/>
      <c r="V594" s="1"/>
      <c r="W594" s="1"/>
      <c r="X594" s="1"/>
      <c r="Y594" s="1"/>
      <c r="Z594" s="1"/>
      <c r="AA594" s="1"/>
    </row>
    <row r="595" spans="1:27" ht="12.75" hidden="1" customHeight="1">
      <c r="A595" s="1"/>
      <c r="B595" s="10"/>
      <c r="C595" s="10"/>
      <c r="D595" s="26"/>
      <c r="E595" s="10"/>
      <c r="F595" s="10"/>
      <c r="G595" s="71"/>
      <c r="H595" s="10"/>
      <c r="I595" s="10"/>
      <c r="J595" s="10"/>
      <c r="K595" s="71"/>
      <c r="L595" s="27"/>
      <c r="M595" s="10"/>
      <c r="N595" s="10"/>
      <c r="O595" s="59"/>
      <c r="P595" s="1"/>
      <c r="Q595" s="1"/>
      <c r="R595" s="1"/>
      <c r="S595" s="1"/>
      <c r="T595" s="1"/>
      <c r="U595" s="1"/>
      <c r="V595" s="1"/>
      <c r="W595" s="1"/>
      <c r="X595" s="1"/>
      <c r="Y595" s="1"/>
      <c r="Z595" s="1"/>
      <c r="AA595" s="1"/>
    </row>
    <row r="596" spans="1:27" ht="12.75" hidden="1" customHeight="1">
      <c r="A596" s="1"/>
      <c r="B596" s="10"/>
      <c r="C596" s="10"/>
      <c r="D596" s="26"/>
      <c r="E596" s="10"/>
      <c r="F596" s="10"/>
      <c r="G596" s="71"/>
      <c r="H596" s="10"/>
      <c r="I596" s="10"/>
      <c r="J596" s="10"/>
      <c r="K596" s="71"/>
      <c r="L596" s="27"/>
      <c r="M596" s="10"/>
      <c r="N596" s="10"/>
      <c r="O596" s="59"/>
      <c r="P596" s="1"/>
      <c r="Q596" s="1"/>
      <c r="R596" s="1"/>
      <c r="S596" s="1"/>
      <c r="T596" s="1"/>
      <c r="U596" s="1"/>
      <c r="V596" s="1"/>
      <c r="W596" s="1"/>
      <c r="X596" s="1"/>
      <c r="Y596" s="1"/>
      <c r="Z596" s="1"/>
      <c r="AA596" s="1"/>
    </row>
    <row r="597" spans="1:27" ht="12.75" hidden="1" customHeight="1">
      <c r="A597" s="1"/>
      <c r="B597" s="10"/>
      <c r="C597" s="10"/>
      <c r="D597" s="26"/>
      <c r="E597" s="10"/>
      <c r="F597" s="10"/>
      <c r="G597" s="71"/>
      <c r="H597" s="10"/>
      <c r="I597" s="10"/>
      <c r="J597" s="10"/>
      <c r="K597" s="71"/>
      <c r="L597" s="27"/>
      <c r="M597" s="10"/>
      <c r="N597" s="10"/>
      <c r="O597" s="59"/>
      <c r="P597" s="1"/>
      <c r="Q597" s="1"/>
      <c r="R597" s="1"/>
      <c r="S597" s="1"/>
      <c r="T597" s="1"/>
      <c r="U597" s="1"/>
      <c r="V597" s="1"/>
      <c r="W597" s="1"/>
      <c r="X597" s="1"/>
      <c r="Y597" s="1"/>
      <c r="Z597" s="1"/>
      <c r="AA597" s="1"/>
    </row>
    <row r="598" spans="1:27" ht="12.75" hidden="1" customHeight="1">
      <c r="A598" s="1"/>
      <c r="B598" s="10"/>
      <c r="C598" s="10"/>
      <c r="D598" s="26"/>
      <c r="E598" s="10"/>
      <c r="F598" s="10"/>
      <c r="G598" s="71"/>
      <c r="H598" s="10"/>
      <c r="I598" s="10"/>
      <c r="J598" s="10"/>
      <c r="K598" s="71"/>
      <c r="L598" s="27"/>
      <c r="M598" s="10"/>
      <c r="N598" s="10"/>
      <c r="O598" s="59"/>
      <c r="P598" s="1"/>
      <c r="Q598" s="1"/>
      <c r="R598" s="1"/>
      <c r="S598" s="1"/>
      <c r="T598" s="1"/>
      <c r="U598" s="1"/>
      <c r="V598" s="1"/>
      <c r="W598" s="1"/>
      <c r="X598" s="1"/>
      <c r="Y598" s="1"/>
      <c r="Z598" s="1"/>
      <c r="AA598" s="1"/>
    </row>
    <row r="599" spans="1:27" ht="12.75" hidden="1" customHeight="1">
      <c r="A599" s="1"/>
      <c r="B599" s="10"/>
      <c r="C599" s="10"/>
      <c r="D599" s="26"/>
      <c r="E599" s="10"/>
      <c r="F599" s="10"/>
      <c r="G599" s="71"/>
      <c r="H599" s="10"/>
      <c r="I599" s="10"/>
      <c r="J599" s="10"/>
      <c r="K599" s="71"/>
      <c r="L599" s="27"/>
      <c r="M599" s="10"/>
      <c r="N599" s="10"/>
      <c r="O599" s="59"/>
      <c r="P599" s="1"/>
      <c r="Q599" s="1"/>
      <c r="R599" s="1"/>
      <c r="S599" s="1"/>
      <c r="T599" s="1"/>
      <c r="U599" s="1"/>
      <c r="V599" s="1"/>
      <c r="W599" s="1"/>
      <c r="X599" s="1"/>
      <c r="Y599" s="1"/>
      <c r="Z599" s="1"/>
      <c r="AA599" s="1"/>
    </row>
    <row r="600" spans="1:27" ht="12.75" hidden="1" customHeight="1">
      <c r="A600" s="1"/>
      <c r="B600" s="10"/>
      <c r="C600" s="10"/>
      <c r="D600" s="26"/>
      <c r="E600" s="10"/>
      <c r="F600" s="10"/>
      <c r="G600" s="71"/>
      <c r="H600" s="10"/>
      <c r="I600" s="10"/>
      <c r="J600" s="10"/>
      <c r="K600" s="71"/>
      <c r="L600" s="27"/>
      <c r="M600" s="10"/>
      <c r="N600" s="10"/>
      <c r="O600" s="59"/>
      <c r="P600" s="1"/>
      <c r="Q600" s="1"/>
      <c r="R600" s="1"/>
      <c r="S600" s="1"/>
      <c r="T600" s="1"/>
      <c r="U600" s="1"/>
      <c r="V600" s="1"/>
      <c r="W600" s="1"/>
      <c r="X600" s="1"/>
      <c r="Y600" s="1"/>
      <c r="Z600" s="1"/>
      <c r="AA600" s="1"/>
    </row>
    <row r="601" spans="1:27" ht="12.75" hidden="1" customHeight="1">
      <c r="A601" s="1"/>
      <c r="B601" s="10"/>
      <c r="C601" s="10"/>
      <c r="D601" s="26"/>
      <c r="E601" s="10"/>
      <c r="F601" s="10"/>
      <c r="G601" s="71"/>
      <c r="H601" s="10"/>
      <c r="I601" s="10"/>
      <c r="J601" s="10"/>
      <c r="K601" s="71"/>
      <c r="L601" s="27"/>
      <c r="M601" s="10"/>
      <c r="N601" s="10"/>
      <c r="O601" s="59"/>
      <c r="P601" s="1"/>
      <c r="Q601" s="1"/>
      <c r="R601" s="1"/>
      <c r="S601" s="1"/>
      <c r="T601" s="1"/>
      <c r="U601" s="1"/>
      <c r="V601" s="1"/>
      <c r="W601" s="1"/>
      <c r="X601" s="1"/>
      <c r="Y601" s="1"/>
      <c r="Z601" s="1"/>
      <c r="AA601" s="1"/>
    </row>
    <row r="602" spans="1:27" ht="12.75" hidden="1" customHeight="1">
      <c r="A602" s="1"/>
      <c r="B602" s="10"/>
      <c r="C602" s="10"/>
      <c r="D602" s="26"/>
      <c r="E602" s="10"/>
      <c r="F602" s="10"/>
      <c r="G602" s="71"/>
      <c r="H602" s="10"/>
      <c r="I602" s="10"/>
      <c r="J602" s="10"/>
      <c r="K602" s="71"/>
      <c r="L602" s="27"/>
      <c r="M602" s="10"/>
      <c r="N602" s="10"/>
      <c r="O602" s="59"/>
      <c r="P602" s="1"/>
      <c r="Q602" s="1"/>
      <c r="R602" s="1"/>
      <c r="S602" s="1"/>
      <c r="T602" s="1"/>
      <c r="U602" s="1"/>
      <c r="V602" s="1"/>
      <c r="W602" s="1"/>
      <c r="X602" s="1"/>
      <c r="Y602" s="1"/>
      <c r="Z602" s="1"/>
      <c r="AA602" s="1"/>
    </row>
    <row r="603" spans="1:27" ht="12.75" hidden="1" customHeight="1">
      <c r="A603" s="1"/>
      <c r="B603" s="10"/>
      <c r="C603" s="10"/>
      <c r="D603" s="26"/>
      <c r="E603" s="10"/>
      <c r="F603" s="10"/>
      <c r="G603" s="71"/>
      <c r="H603" s="10"/>
      <c r="I603" s="10"/>
      <c r="J603" s="10"/>
      <c r="K603" s="71"/>
      <c r="L603" s="27"/>
      <c r="M603" s="10"/>
      <c r="N603" s="10"/>
      <c r="O603" s="59"/>
      <c r="P603" s="1"/>
      <c r="Q603" s="1"/>
      <c r="R603" s="1"/>
      <c r="S603" s="1"/>
      <c r="T603" s="1"/>
      <c r="U603" s="1"/>
      <c r="V603" s="1"/>
      <c r="W603" s="1"/>
      <c r="X603" s="1"/>
      <c r="Y603" s="1"/>
      <c r="Z603" s="1"/>
      <c r="AA603" s="1"/>
    </row>
    <row r="604" spans="1:27" ht="12.75" hidden="1" customHeight="1">
      <c r="A604" s="1"/>
      <c r="B604" s="10"/>
      <c r="C604" s="10"/>
      <c r="D604" s="26"/>
      <c r="E604" s="10"/>
      <c r="F604" s="10"/>
      <c r="G604" s="71"/>
      <c r="H604" s="10"/>
      <c r="I604" s="10"/>
      <c r="J604" s="10"/>
      <c r="K604" s="71"/>
      <c r="L604" s="27"/>
      <c r="M604" s="10"/>
      <c r="N604" s="10"/>
      <c r="O604" s="59"/>
      <c r="P604" s="1"/>
      <c r="Q604" s="1"/>
      <c r="R604" s="1"/>
      <c r="S604" s="1"/>
      <c r="T604" s="1"/>
      <c r="U604" s="1"/>
      <c r="V604" s="1"/>
      <c r="W604" s="1"/>
      <c r="X604" s="1"/>
      <c r="Y604" s="1"/>
      <c r="Z604" s="1"/>
      <c r="AA604" s="1"/>
    </row>
    <row r="605" spans="1:27" ht="12.75" hidden="1" customHeight="1">
      <c r="A605" s="1"/>
      <c r="B605" s="10"/>
      <c r="C605" s="10"/>
      <c r="D605" s="26"/>
      <c r="E605" s="10"/>
      <c r="F605" s="10"/>
      <c r="G605" s="71"/>
      <c r="H605" s="10"/>
      <c r="I605" s="10"/>
      <c r="J605" s="10"/>
      <c r="K605" s="71"/>
      <c r="L605" s="27"/>
      <c r="M605" s="10"/>
      <c r="N605" s="10"/>
      <c r="O605" s="59"/>
      <c r="P605" s="1"/>
      <c r="Q605" s="1"/>
      <c r="R605" s="1"/>
      <c r="S605" s="1"/>
      <c r="T605" s="1"/>
      <c r="U605" s="1"/>
      <c r="V605" s="1"/>
      <c r="W605" s="1"/>
      <c r="X605" s="1"/>
      <c r="Y605" s="1"/>
      <c r="Z605" s="1"/>
      <c r="AA605" s="1"/>
    </row>
    <row r="606" spans="1:27" ht="12.75" hidden="1" customHeight="1">
      <c r="A606" s="1"/>
      <c r="B606" s="10"/>
      <c r="C606" s="10"/>
      <c r="D606" s="26"/>
      <c r="E606" s="10"/>
      <c r="F606" s="10"/>
      <c r="G606" s="71"/>
      <c r="H606" s="10"/>
      <c r="I606" s="10"/>
      <c r="J606" s="10"/>
      <c r="K606" s="71"/>
      <c r="L606" s="27"/>
      <c r="M606" s="10"/>
      <c r="N606" s="10"/>
      <c r="O606" s="59"/>
      <c r="P606" s="1"/>
      <c r="Q606" s="1"/>
      <c r="R606" s="1"/>
      <c r="S606" s="1"/>
      <c r="T606" s="1"/>
      <c r="U606" s="1"/>
      <c r="V606" s="1"/>
      <c r="W606" s="1"/>
      <c r="X606" s="1"/>
      <c r="Y606" s="1"/>
      <c r="Z606" s="1"/>
      <c r="AA606" s="1"/>
    </row>
    <row r="607" spans="1:27" ht="12.75" hidden="1" customHeight="1">
      <c r="A607" s="1"/>
      <c r="B607" s="10"/>
      <c r="C607" s="10"/>
      <c r="D607" s="26"/>
      <c r="E607" s="10"/>
      <c r="F607" s="10"/>
      <c r="G607" s="71"/>
      <c r="H607" s="10"/>
      <c r="I607" s="10"/>
      <c r="J607" s="10"/>
      <c r="K607" s="71"/>
      <c r="L607" s="27"/>
      <c r="M607" s="10"/>
      <c r="N607" s="10"/>
      <c r="O607" s="59"/>
      <c r="P607" s="1"/>
      <c r="Q607" s="1"/>
      <c r="R607" s="1"/>
      <c r="S607" s="1"/>
      <c r="T607" s="1"/>
      <c r="U607" s="1"/>
      <c r="V607" s="1"/>
      <c r="W607" s="1"/>
      <c r="X607" s="1"/>
      <c r="Y607" s="1"/>
      <c r="Z607" s="1"/>
      <c r="AA607" s="1"/>
    </row>
    <row r="608" spans="1:27" ht="12.75" hidden="1" customHeight="1">
      <c r="A608" s="1"/>
      <c r="B608" s="10"/>
      <c r="C608" s="10"/>
      <c r="D608" s="26"/>
      <c r="E608" s="10"/>
      <c r="F608" s="10"/>
      <c r="G608" s="71"/>
      <c r="H608" s="10"/>
      <c r="I608" s="10"/>
      <c r="J608" s="10"/>
      <c r="K608" s="71"/>
      <c r="L608" s="27"/>
      <c r="M608" s="10"/>
      <c r="N608" s="10"/>
      <c r="O608" s="59"/>
      <c r="P608" s="1"/>
      <c r="Q608" s="1"/>
      <c r="R608" s="1"/>
      <c r="S608" s="1"/>
      <c r="T608" s="1"/>
      <c r="U608" s="1"/>
      <c r="V608" s="1"/>
      <c r="W608" s="1"/>
      <c r="X608" s="1"/>
      <c r="Y608" s="1"/>
      <c r="Z608" s="1"/>
      <c r="AA608" s="1"/>
    </row>
    <row r="609" spans="1:27" ht="12.75" hidden="1" customHeight="1">
      <c r="A609" s="1"/>
      <c r="B609" s="10"/>
      <c r="C609" s="10"/>
      <c r="D609" s="26"/>
      <c r="E609" s="10"/>
      <c r="F609" s="10"/>
      <c r="G609" s="71"/>
      <c r="H609" s="10"/>
      <c r="I609" s="10"/>
      <c r="J609" s="10"/>
      <c r="K609" s="71"/>
      <c r="L609" s="27"/>
      <c r="M609" s="10"/>
      <c r="N609" s="10"/>
      <c r="O609" s="59"/>
      <c r="P609" s="1"/>
      <c r="Q609" s="1"/>
      <c r="R609" s="1"/>
      <c r="S609" s="1"/>
      <c r="T609" s="1"/>
      <c r="U609" s="1"/>
      <c r="V609" s="1"/>
      <c r="W609" s="1"/>
      <c r="X609" s="1"/>
      <c r="Y609" s="1"/>
      <c r="Z609" s="1"/>
      <c r="AA609" s="1"/>
    </row>
    <row r="610" spans="1:27" ht="12.75" hidden="1" customHeight="1">
      <c r="A610" s="1"/>
      <c r="B610" s="10"/>
      <c r="C610" s="10"/>
      <c r="D610" s="26"/>
      <c r="E610" s="10"/>
      <c r="F610" s="10"/>
      <c r="G610" s="71"/>
      <c r="H610" s="10"/>
      <c r="I610" s="10"/>
      <c r="J610" s="10"/>
      <c r="K610" s="71"/>
      <c r="L610" s="27"/>
      <c r="M610" s="10"/>
      <c r="N610" s="10"/>
      <c r="O610" s="59"/>
      <c r="P610" s="1"/>
      <c r="Q610" s="1"/>
      <c r="R610" s="1"/>
      <c r="S610" s="1"/>
      <c r="T610" s="1"/>
      <c r="U610" s="1"/>
      <c r="V610" s="1"/>
      <c r="W610" s="1"/>
      <c r="X610" s="1"/>
      <c r="Y610" s="1"/>
      <c r="Z610" s="1"/>
      <c r="AA610" s="1"/>
    </row>
    <row r="611" spans="1:27" ht="12.75" hidden="1" customHeight="1">
      <c r="A611" s="1"/>
      <c r="B611" s="10"/>
      <c r="C611" s="10"/>
      <c r="D611" s="26"/>
      <c r="E611" s="10"/>
      <c r="F611" s="10"/>
      <c r="G611" s="71"/>
      <c r="H611" s="10"/>
      <c r="I611" s="10"/>
      <c r="J611" s="10"/>
      <c r="K611" s="71"/>
      <c r="L611" s="27"/>
      <c r="M611" s="10"/>
      <c r="N611" s="10"/>
      <c r="O611" s="59"/>
      <c r="P611" s="1"/>
      <c r="Q611" s="1"/>
      <c r="R611" s="1"/>
      <c r="S611" s="1"/>
      <c r="T611" s="1"/>
      <c r="U611" s="1"/>
      <c r="V611" s="1"/>
      <c r="W611" s="1"/>
      <c r="X611" s="1"/>
      <c r="Y611" s="1"/>
      <c r="Z611" s="1"/>
      <c r="AA611" s="1"/>
    </row>
    <row r="612" spans="1:27" ht="12.75" hidden="1" customHeight="1">
      <c r="A612" s="1"/>
      <c r="B612" s="10"/>
      <c r="C612" s="10"/>
      <c r="D612" s="26"/>
      <c r="E612" s="10"/>
      <c r="F612" s="10"/>
      <c r="G612" s="71"/>
      <c r="H612" s="10"/>
      <c r="I612" s="10"/>
      <c r="J612" s="10"/>
      <c r="K612" s="71"/>
      <c r="L612" s="27"/>
      <c r="M612" s="10"/>
      <c r="N612" s="10"/>
      <c r="O612" s="59"/>
      <c r="P612" s="1"/>
      <c r="Q612" s="1"/>
      <c r="R612" s="1"/>
      <c r="S612" s="1"/>
      <c r="T612" s="1"/>
      <c r="U612" s="1"/>
      <c r="V612" s="1"/>
      <c r="W612" s="1"/>
      <c r="X612" s="1"/>
      <c r="Y612" s="1"/>
      <c r="Z612" s="1"/>
      <c r="AA612" s="1"/>
    </row>
    <row r="613" spans="1:27" ht="12.75" hidden="1" customHeight="1">
      <c r="A613" s="1"/>
      <c r="B613" s="10"/>
      <c r="C613" s="10"/>
      <c r="D613" s="26"/>
      <c r="E613" s="10"/>
      <c r="F613" s="10"/>
      <c r="G613" s="71"/>
      <c r="H613" s="10"/>
      <c r="I613" s="10"/>
      <c r="J613" s="10"/>
      <c r="K613" s="71"/>
      <c r="L613" s="27"/>
      <c r="M613" s="10"/>
      <c r="N613" s="10"/>
      <c r="O613" s="59"/>
      <c r="P613" s="1"/>
      <c r="Q613" s="1"/>
      <c r="R613" s="1"/>
      <c r="S613" s="1"/>
      <c r="T613" s="1"/>
      <c r="U613" s="1"/>
      <c r="V613" s="1"/>
      <c r="W613" s="1"/>
      <c r="X613" s="1"/>
      <c r="Y613" s="1"/>
      <c r="Z613" s="1"/>
      <c r="AA613" s="1"/>
    </row>
    <row r="614" spans="1:27" ht="12.75" hidden="1" customHeight="1">
      <c r="A614" s="1"/>
      <c r="B614" s="10"/>
      <c r="C614" s="10"/>
      <c r="D614" s="26"/>
      <c r="E614" s="10"/>
      <c r="F614" s="10"/>
      <c r="G614" s="71"/>
      <c r="H614" s="10"/>
      <c r="I614" s="10"/>
      <c r="J614" s="10"/>
      <c r="K614" s="71"/>
      <c r="L614" s="27"/>
      <c r="M614" s="10"/>
      <c r="N614" s="10"/>
      <c r="O614" s="59"/>
      <c r="P614" s="1"/>
      <c r="Q614" s="1"/>
      <c r="R614" s="1"/>
      <c r="S614" s="1"/>
      <c r="T614" s="1"/>
      <c r="U614" s="1"/>
      <c r="V614" s="1"/>
      <c r="W614" s="1"/>
      <c r="X614" s="1"/>
      <c r="Y614" s="1"/>
      <c r="Z614" s="1"/>
      <c r="AA614" s="1"/>
    </row>
    <row r="615" spans="1:27" ht="12.75" hidden="1" customHeight="1">
      <c r="A615" s="1"/>
      <c r="B615" s="10"/>
      <c r="C615" s="10"/>
      <c r="D615" s="26"/>
      <c r="E615" s="10"/>
      <c r="F615" s="10"/>
      <c r="G615" s="71"/>
      <c r="H615" s="10"/>
      <c r="I615" s="10"/>
      <c r="J615" s="10"/>
      <c r="K615" s="71"/>
      <c r="L615" s="27"/>
      <c r="M615" s="10"/>
      <c r="N615" s="10"/>
      <c r="O615" s="59"/>
      <c r="P615" s="1"/>
      <c r="Q615" s="1"/>
      <c r="R615" s="1"/>
      <c r="S615" s="1"/>
      <c r="T615" s="1"/>
      <c r="U615" s="1"/>
      <c r="V615" s="1"/>
      <c r="W615" s="1"/>
      <c r="X615" s="1"/>
      <c r="Y615" s="1"/>
      <c r="Z615" s="1"/>
      <c r="AA615" s="1"/>
    </row>
    <row r="616" spans="1:27" ht="12.75" hidden="1" customHeight="1">
      <c r="A616" s="1"/>
      <c r="B616" s="10"/>
      <c r="C616" s="10"/>
      <c r="D616" s="26"/>
      <c r="E616" s="10"/>
      <c r="F616" s="10"/>
      <c r="G616" s="71"/>
      <c r="H616" s="10"/>
      <c r="I616" s="10"/>
      <c r="J616" s="10"/>
      <c r="K616" s="71"/>
      <c r="L616" s="27"/>
      <c r="M616" s="10"/>
      <c r="N616" s="10"/>
      <c r="O616" s="59"/>
      <c r="P616" s="1"/>
      <c r="Q616" s="1"/>
      <c r="R616" s="1"/>
      <c r="S616" s="1"/>
      <c r="T616" s="1"/>
      <c r="U616" s="1"/>
      <c r="V616" s="1"/>
      <c r="W616" s="1"/>
      <c r="X616" s="1"/>
      <c r="Y616" s="1"/>
      <c r="Z616" s="1"/>
      <c r="AA616" s="1"/>
    </row>
    <row r="617" spans="1:27" ht="12.75" hidden="1" customHeight="1">
      <c r="A617" s="1"/>
      <c r="B617" s="10"/>
      <c r="C617" s="10"/>
      <c r="D617" s="26"/>
      <c r="E617" s="10"/>
      <c r="F617" s="10"/>
      <c r="G617" s="71"/>
      <c r="H617" s="10"/>
      <c r="I617" s="10"/>
      <c r="J617" s="10"/>
      <c r="K617" s="71"/>
      <c r="L617" s="27"/>
      <c r="M617" s="10"/>
      <c r="N617" s="10"/>
      <c r="O617" s="59"/>
      <c r="P617" s="1"/>
      <c r="Q617" s="1"/>
      <c r="R617" s="1"/>
      <c r="S617" s="1"/>
      <c r="T617" s="1"/>
      <c r="U617" s="1"/>
      <c r="V617" s="1"/>
      <c r="W617" s="1"/>
      <c r="X617" s="1"/>
      <c r="Y617" s="1"/>
      <c r="Z617" s="1"/>
      <c r="AA617" s="1"/>
    </row>
    <row r="618" spans="1:27" ht="12.75" hidden="1" customHeight="1">
      <c r="A618" s="1"/>
      <c r="B618" s="10"/>
      <c r="C618" s="10"/>
      <c r="D618" s="26"/>
      <c r="E618" s="10"/>
      <c r="F618" s="10"/>
      <c r="G618" s="71"/>
      <c r="H618" s="10"/>
      <c r="I618" s="10"/>
      <c r="J618" s="10"/>
      <c r="K618" s="71"/>
      <c r="L618" s="27"/>
      <c r="M618" s="10"/>
      <c r="N618" s="10"/>
      <c r="O618" s="59"/>
      <c r="P618" s="1"/>
      <c r="Q618" s="1"/>
      <c r="R618" s="1"/>
      <c r="S618" s="1"/>
      <c r="T618" s="1"/>
      <c r="U618" s="1"/>
      <c r="V618" s="1"/>
      <c r="W618" s="1"/>
      <c r="X618" s="1"/>
      <c r="Y618" s="1"/>
      <c r="Z618" s="1"/>
      <c r="AA618" s="1"/>
    </row>
    <row r="619" spans="1:27" ht="12.75" hidden="1" customHeight="1">
      <c r="A619" s="1"/>
      <c r="B619" s="10"/>
      <c r="C619" s="10"/>
      <c r="D619" s="26"/>
      <c r="E619" s="10"/>
      <c r="F619" s="10"/>
      <c r="G619" s="71"/>
      <c r="H619" s="10"/>
      <c r="I619" s="10"/>
      <c r="J619" s="10"/>
      <c r="K619" s="71"/>
      <c r="L619" s="27"/>
      <c r="M619" s="10"/>
      <c r="N619" s="10"/>
      <c r="O619" s="59"/>
      <c r="P619" s="1"/>
      <c r="Q619" s="1"/>
      <c r="R619" s="1"/>
      <c r="S619" s="1"/>
      <c r="T619" s="1"/>
      <c r="U619" s="1"/>
      <c r="V619" s="1"/>
      <c r="W619" s="1"/>
      <c r="X619" s="1"/>
      <c r="Y619" s="1"/>
      <c r="Z619" s="1"/>
      <c r="AA619" s="1"/>
    </row>
    <row r="620" spans="1:27" ht="12.75" hidden="1" customHeight="1">
      <c r="A620" s="1"/>
      <c r="B620" s="10"/>
      <c r="C620" s="10"/>
      <c r="D620" s="26"/>
      <c r="E620" s="10"/>
      <c r="F620" s="10"/>
      <c r="G620" s="71"/>
      <c r="H620" s="10"/>
      <c r="I620" s="10"/>
      <c r="J620" s="10"/>
      <c r="K620" s="71"/>
      <c r="L620" s="27"/>
      <c r="M620" s="10"/>
      <c r="N620" s="10"/>
      <c r="O620" s="59"/>
      <c r="P620" s="1"/>
      <c r="Q620" s="1"/>
      <c r="R620" s="1"/>
      <c r="S620" s="1"/>
      <c r="T620" s="1"/>
      <c r="U620" s="1"/>
      <c r="V620" s="1"/>
      <c r="W620" s="1"/>
      <c r="X620" s="1"/>
      <c r="Y620" s="1"/>
      <c r="Z620" s="1"/>
      <c r="AA620" s="1"/>
    </row>
    <row r="621" spans="1:27" ht="12.75" hidden="1" customHeight="1">
      <c r="A621" s="1"/>
      <c r="B621" s="10"/>
      <c r="C621" s="10"/>
      <c r="D621" s="26"/>
      <c r="E621" s="10"/>
      <c r="F621" s="10"/>
      <c r="G621" s="71"/>
      <c r="H621" s="10"/>
      <c r="I621" s="10"/>
      <c r="J621" s="10"/>
      <c r="K621" s="71"/>
      <c r="L621" s="27"/>
      <c r="M621" s="10"/>
      <c r="N621" s="10"/>
      <c r="O621" s="59"/>
      <c r="P621" s="1"/>
      <c r="Q621" s="1"/>
      <c r="R621" s="1"/>
      <c r="S621" s="1"/>
      <c r="T621" s="1"/>
      <c r="U621" s="1"/>
      <c r="V621" s="1"/>
      <c r="W621" s="1"/>
      <c r="X621" s="1"/>
      <c r="Y621" s="1"/>
      <c r="Z621" s="1"/>
      <c r="AA621" s="1"/>
    </row>
    <row r="622" spans="1:27" ht="12.75" hidden="1" customHeight="1">
      <c r="A622" s="1"/>
      <c r="B622" s="10"/>
      <c r="C622" s="10"/>
      <c r="D622" s="26"/>
      <c r="E622" s="10"/>
      <c r="F622" s="10"/>
      <c r="G622" s="71"/>
      <c r="H622" s="10"/>
      <c r="I622" s="10"/>
      <c r="J622" s="10"/>
      <c r="K622" s="71"/>
      <c r="L622" s="27"/>
      <c r="M622" s="10"/>
      <c r="N622" s="10"/>
      <c r="O622" s="59"/>
      <c r="P622" s="1"/>
      <c r="Q622" s="1"/>
      <c r="R622" s="1"/>
      <c r="S622" s="1"/>
      <c r="T622" s="1"/>
      <c r="U622" s="1"/>
      <c r="V622" s="1"/>
      <c r="W622" s="1"/>
      <c r="X622" s="1"/>
      <c r="Y622" s="1"/>
      <c r="Z622" s="1"/>
      <c r="AA622" s="1"/>
    </row>
    <row r="623" spans="1:27" ht="12.75" hidden="1" customHeight="1">
      <c r="A623" s="1"/>
      <c r="B623" s="10"/>
      <c r="C623" s="10"/>
      <c r="D623" s="26"/>
      <c r="E623" s="10"/>
      <c r="F623" s="10"/>
      <c r="G623" s="71"/>
      <c r="H623" s="10"/>
      <c r="I623" s="10"/>
      <c r="J623" s="10"/>
      <c r="K623" s="71"/>
      <c r="L623" s="27"/>
      <c r="M623" s="10"/>
      <c r="N623" s="10"/>
      <c r="O623" s="59"/>
      <c r="P623" s="1"/>
      <c r="Q623" s="1"/>
      <c r="R623" s="1"/>
      <c r="S623" s="1"/>
      <c r="T623" s="1"/>
      <c r="U623" s="1"/>
      <c r="V623" s="1"/>
      <c r="W623" s="1"/>
      <c r="X623" s="1"/>
      <c r="Y623" s="1"/>
      <c r="Z623" s="1"/>
      <c r="AA623" s="1"/>
    </row>
    <row r="624" spans="1:27" ht="12.75" hidden="1" customHeight="1">
      <c r="A624" s="1"/>
      <c r="B624" s="10"/>
      <c r="C624" s="10"/>
      <c r="D624" s="26"/>
      <c r="E624" s="10"/>
      <c r="F624" s="10"/>
      <c r="G624" s="71"/>
      <c r="H624" s="10"/>
      <c r="I624" s="10"/>
      <c r="J624" s="10"/>
      <c r="K624" s="71"/>
      <c r="L624" s="27"/>
      <c r="M624" s="10"/>
      <c r="N624" s="10"/>
      <c r="O624" s="59"/>
      <c r="P624" s="1"/>
      <c r="Q624" s="1"/>
      <c r="R624" s="1"/>
      <c r="S624" s="1"/>
      <c r="T624" s="1"/>
      <c r="U624" s="1"/>
      <c r="V624" s="1"/>
      <c r="W624" s="1"/>
      <c r="X624" s="1"/>
      <c r="Y624" s="1"/>
      <c r="Z624" s="1"/>
      <c r="AA624" s="1"/>
    </row>
    <row r="625" spans="1:27" ht="12.75" hidden="1" customHeight="1">
      <c r="A625" s="1"/>
      <c r="B625" s="10"/>
      <c r="C625" s="10"/>
      <c r="D625" s="26"/>
      <c r="E625" s="10"/>
      <c r="F625" s="10"/>
      <c r="G625" s="71"/>
      <c r="H625" s="10"/>
      <c r="I625" s="10"/>
      <c r="J625" s="10"/>
      <c r="K625" s="71"/>
      <c r="L625" s="27"/>
      <c r="M625" s="10"/>
      <c r="N625" s="10"/>
      <c r="O625" s="59"/>
      <c r="P625" s="1"/>
      <c r="Q625" s="1"/>
      <c r="R625" s="1"/>
      <c r="S625" s="1"/>
      <c r="T625" s="1"/>
      <c r="U625" s="1"/>
      <c r="V625" s="1"/>
      <c r="W625" s="1"/>
      <c r="X625" s="1"/>
      <c r="Y625" s="1"/>
      <c r="Z625" s="1"/>
      <c r="AA625" s="1"/>
    </row>
    <row r="626" spans="1:27" ht="12.75" hidden="1" customHeight="1">
      <c r="A626" s="1"/>
      <c r="B626" s="10"/>
      <c r="C626" s="10"/>
      <c r="D626" s="26"/>
      <c r="E626" s="10"/>
      <c r="F626" s="10"/>
      <c r="G626" s="71"/>
      <c r="H626" s="10"/>
      <c r="I626" s="10"/>
      <c r="J626" s="10"/>
      <c r="K626" s="71"/>
      <c r="L626" s="27"/>
      <c r="M626" s="10"/>
      <c r="N626" s="10"/>
      <c r="O626" s="59"/>
      <c r="P626" s="1"/>
      <c r="Q626" s="1"/>
      <c r="R626" s="1"/>
      <c r="S626" s="1"/>
      <c r="T626" s="1"/>
      <c r="U626" s="1"/>
      <c r="V626" s="1"/>
      <c r="W626" s="1"/>
      <c r="X626" s="1"/>
      <c r="Y626" s="1"/>
      <c r="Z626" s="1"/>
      <c r="AA626" s="1"/>
    </row>
    <row r="627" spans="1:27" ht="12.75" hidden="1" customHeight="1">
      <c r="A627" s="1"/>
      <c r="B627" s="10"/>
      <c r="C627" s="10"/>
      <c r="D627" s="26"/>
      <c r="E627" s="10"/>
      <c r="F627" s="10"/>
      <c r="G627" s="71"/>
      <c r="H627" s="10"/>
      <c r="I627" s="10"/>
      <c r="J627" s="10"/>
      <c r="K627" s="71"/>
      <c r="L627" s="27"/>
      <c r="M627" s="10"/>
      <c r="N627" s="10"/>
      <c r="O627" s="59"/>
      <c r="P627" s="1"/>
      <c r="Q627" s="1"/>
      <c r="R627" s="1"/>
      <c r="S627" s="1"/>
      <c r="T627" s="1"/>
      <c r="U627" s="1"/>
      <c r="V627" s="1"/>
      <c r="W627" s="1"/>
      <c r="X627" s="1"/>
      <c r="Y627" s="1"/>
      <c r="Z627" s="1"/>
      <c r="AA627" s="1"/>
    </row>
    <row r="628" spans="1:27" ht="12.75" hidden="1" customHeight="1">
      <c r="A628" s="1"/>
      <c r="B628" s="10"/>
      <c r="C628" s="10"/>
      <c r="D628" s="26"/>
      <c r="E628" s="10"/>
      <c r="F628" s="10"/>
      <c r="G628" s="71"/>
      <c r="H628" s="10"/>
      <c r="I628" s="10"/>
      <c r="J628" s="10"/>
      <c r="K628" s="71"/>
      <c r="L628" s="27"/>
      <c r="M628" s="10"/>
      <c r="N628" s="10"/>
      <c r="O628" s="59"/>
      <c r="P628" s="1"/>
      <c r="Q628" s="1"/>
      <c r="R628" s="1"/>
      <c r="S628" s="1"/>
      <c r="T628" s="1"/>
      <c r="U628" s="1"/>
      <c r="V628" s="1"/>
      <c r="W628" s="1"/>
      <c r="X628" s="1"/>
      <c r="Y628" s="1"/>
      <c r="Z628" s="1"/>
      <c r="AA628" s="1"/>
    </row>
    <row r="629" spans="1:27" ht="12.75" hidden="1" customHeight="1">
      <c r="A629" s="1"/>
      <c r="B629" s="10"/>
      <c r="C629" s="10"/>
      <c r="D629" s="26"/>
      <c r="E629" s="10"/>
      <c r="F629" s="10"/>
      <c r="G629" s="71"/>
      <c r="H629" s="10"/>
      <c r="I629" s="10"/>
      <c r="J629" s="10"/>
      <c r="K629" s="71"/>
      <c r="L629" s="27"/>
      <c r="M629" s="10"/>
      <c r="N629" s="10"/>
      <c r="O629" s="59"/>
      <c r="P629" s="1"/>
      <c r="Q629" s="1"/>
      <c r="R629" s="1"/>
      <c r="S629" s="1"/>
      <c r="T629" s="1"/>
      <c r="U629" s="1"/>
      <c r="V629" s="1"/>
      <c r="W629" s="1"/>
      <c r="X629" s="1"/>
      <c r="Y629" s="1"/>
      <c r="Z629" s="1"/>
      <c r="AA629" s="1"/>
    </row>
    <row r="630" spans="1:27" ht="12.75" hidden="1" customHeight="1">
      <c r="A630" s="1"/>
      <c r="B630" s="10"/>
      <c r="C630" s="10"/>
      <c r="D630" s="26"/>
      <c r="E630" s="10"/>
      <c r="F630" s="10"/>
      <c r="G630" s="71"/>
      <c r="H630" s="10"/>
      <c r="I630" s="10"/>
      <c r="J630" s="10"/>
      <c r="K630" s="71"/>
      <c r="L630" s="27"/>
      <c r="M630" s="10"/>
      <c r="N630" s="10"/>
      <c r="O630" s="59"/>
      <c r="P630" s="1"/>
      <c r="Q630" s="1"/>
      <c r="R630" s="1"/>
      <c r="S630" s="1"/>
      <c r="T630" s="1"/>
      <c r="U630" s="1"/>
      <c r="V630" s="1"/>
      <c r="W630" s="1"/>
      <c r="X630" s="1"/>
      <c r="Y630" s="1"/>
      <c r="Z630" s="1"/>
      <c r="AA630" s="1"/>
    </row>
    <row r="631" spans="1:27" ht="12.75" hidden="1" customHeight="1">
      <c r="A631" s="1"/>
      <c r="B631" s="10"/>
      <c r="C631" s="10"/>
      <c r="D631" s="26"/>
      <c r="E631" s="10"/>
      <c r="F631" s="10"/>
      <c r="G631" s="71"/>
      <c r="H631" s="10"/>
      <c r="I631" s="10"/>
      <c r="J631" s="10"/>
      <c r="K631" s="71"/>
      <c r="L631" s="27"/>
      <c r="M631" s="10"/>
      <c r="N631" s="10"/>
      <c r="O631" s="59"/>
      <c r="P631" s="1"/>
      <c r="Q631" s="1"/>
      <c r="R631" s="1"/>
      <c r="S631" s="1"/>
      <c r="T631" s="1"/>
      <c r="U631" s="1"/>
      <c r="V631" s="1"/>
      <c r="W631" s="1"/>
      <c r="X631" s="1"/>
      <c r="Y631" s="1"/>
      <c r="Z631" s="1"/>
      <c r="AA631" s="1"/>
    </row>
    <row r="632" spans="1:27" ht="12.75" hidden="1" customHeight="1">
      <c r="A632" s="1"/>
      <c r="B632" s="10"/>
      <c r="C632" s="10"/>
      <c r="D632" s="26"/>
      <c r="E632" s="10"/>
      <c r="F632" s="10"/>
      <c r="G632" s="71"/>
      <c r="H632" s="10"/>
      <c r="I632" s="10"/>
      <c r="J632" s="10"/>
      <c r="K632" s="71"/>
      <c r="L632" s="27"/>
      <c r="M632" s="10"/>
      <c r="N632" s="10"/>
      <c r="O632" s="59"/>
      <c r="P632" s="1"/>
      <c r="Q632" s="1"/>
      <c r="R632" s="1"/>
      <c r="S632" s="1"/>
      <c r="T632" s="1"/>
      <c r="U632" s="1"/>
      <c r="V632" s="1"/>
      <c r="W632" s="1"/>
      <c r="X632" s="1"/>
      <c r="Y632" s="1"/>
      <c r="Z632" s="1"/>
      <c r="AA632" s="1"/>
    </row>
    <row r="633" spans="1:27" ht="12.75" hidden="1" customHeight="1">
      <c r="A633" s="1"/>
      <c r="B633" s="10"/>
      <c r="C633" s="10"/>
      <c r="D633" s="26"/>
      <c r="E633" s="10"/>
      <c r="F633" s="10"/>
      <c r="G633" s="71"/>
      <c r="H633" s="10"/>
      <c r="I633" s="10"/>
      <c r="J633" s="10"/>
      <c r="K633" s="71"/>
      <c r="L633" s="27"/>
      <c r="M633" s="10"/>
      <c r="N633" s="10"/>
      <c r="O633" s="59"/>
      <c r="P633" s="1"/>
      <c r="Q633" s="1"/>
      <c r="R633" s="1"/>
      <c r="S633" s="1"/>
      <c r="T633" s="1"/>
      <c r="U633" s="1"/>
      <c r="V633" s="1"/>
      <c r="W633" s="1"/>
      <c r="X633" s="1"/>
      <c r="Y633" s="1"/>
      <c r="Z633" s="1"/>
      <c r="AA633" s="1"/>
    </row>
    <row r="634" spans="1:27" ht="12.75" hidden="1" customHeight="1">
      <c r="A634" s="1"/>
      <c r="B634" s="10"/>
      <c r="C634" s="10"/>
      <c r="D634" s="26"/>
      <c r="E634" s="10"/>
      <c r="F634" s="10"/>
      <c r="G634" s="71"/>
      <c r="H634" s="10"/>
      <c r="I634" s="10"/>
      <c r="J634" s="10"/>
      <c r="K634" s="71"/>
      <c r="L634" s="27"/>
      <c r="M634" s="10"/>
      <c r="N634" s="10"/>
      <c r="O634" s="59"/>
      <c r="P634" s="1"/>
      <c r="Q634" s="1"/>
      <c r="R634" s="1"/>
      <c r="S634" s="1"/>
      <c r="T634" s="1"/>
      <c r="U634" s="1"/>
      <c r="V634" s="1"/>
      <c r="W634" s="1"/>
      <c r="X634" s="1"/>
      <c r="Y634" s="1"/>
      <c r="Z634" s="1"/>
      <c r="AA634" s="1"/>
    </row>
    <row r="635" spans="1:27" ht="12.75" hidden="1" customHeight="1">
      <c r="A635" s="1"/>
      <c r="B635" s="10"/>
      <c r="C635" s="10"/>
      <c r="D635" s="26"/>
      <c r="E635" s="10"/>
      <c r="F635" s="10"/>
      <c r="G635" s="71"/>
      <c r="H635" s="10"/>
      <c r="I635" s="10"/>
      <c r="J635" s="10"/>
      <c r="K635" s="71"/>
      <c r="L635" s="27"/>
      <c r="M635" s="10"/>
      <c r="N635" s="10"/>
      <c r="O635" s="59"/>
      <c r="P635" s="1"/>
      <c r="Q635" s="1"/>
      <c r="R635" s="1"/>
      <c r="S635" s="1"/>
      <c r="T635" s="1"/>
      <c r="U635" s="1"/>
      <c r="V635" s="1"/>
      <c r="W635" s="1"/>
      <c r="X635" s="1"/>
      <c r="Y635" s="1"/>
      <c r="Z635" s="1"/>
      <c r="AA635" s="1"/>
    </row>
    <row r="636" spans="1:27" ht="12.75" hidden="1" customHeight="1">
      <c r="A636" s="1"/>
      <c r="B636" s="10"/>
      <c r="C636" s="10"/>
      <c r="D636" s="26"/>
      <c r="E636" s="10"/>
      <c r="F636" s="10"/>
      <c r="G636" s="71"/>
      <c r="H636" s="10"/>
      <c r="I636" s="10"/>
      <c r="J636" s="10"/>
      <c r="K636" s="71"/>
      <c r="L636" s="27"/>
      <c r="M636" s="10"/>
      <c r="N636" s="10"/>
      <c r="O636" s="59"/>
      <c r="P636" s="1"/>
      <c r="Q636" s="1"/>
      <c r="R636" s="1"/>
      <c r="S636" s="1"/>
      <c r="T636" s="1"/>
      <c r="U636" s="1"/>
      <c r="V636" s="1"/>
      <c r="W636" s="1"/>
      <c r="X636" s="1"/>
      <c r="Y636" s="1"/>
      <c r="Z636" s="1"/>
      <c r="AA636" s="1"/>
    </row>
    <row r="637" spans="1:27" ht="12.75" hidden="1" customHeight="1">
      <c r="A637" s="1"/>
      <c r="B637" s="10"/>
      <c r="C637" s="10"/>
      <c r="D637" s="26"/>
      <c r="E637" s="10"/>
      <c r="F637" s="10"/>
      <c r="G637" s="71"/>
      <c r="H637" s="10"/>
      <c r="I637" s="10"/>
      <c r="J637" s="10"/>
      <c r="K637" s="71"/>
      <c r="L637" s="27"/>
      <c r="M637" s="10"/>
      <c r="N637" s="10"/>
      <c r="O637" s="59"/>
      <c r="P637" s="1"/>
      <c r="Q637" s="1"/>
      <c r="R637" s="1"/>
      <c r="S637" s="1"/>
      <c r="T637" s="1"/>
      <c r="U637" s="1"/>
      <c r="V637" s="1"/>
      <c r="W637" s="1"/>
      <c r="X637" s="1"/>
      <c r="Y637" s="1"/>
      <c r="Z637" s="1"/>
      <c r="AA637" s="1"/>
    </row>
    <row r="638" spans="1:27" ht="12.75" hidden="1" customHeight="1">
      <c r="A638" s="1"/>
      <c r="B638" s="10"/>
      <c r="C638" s="10"/>
      <c r="D638" s="26"/>
      <c r="E638" s="10"/>
      <c r="F638" s="10"/>
      <c r="G638" s="71"/>
      <c r="H638" s="10"/>
      <c r="I638" s="10"/>
      <c r="J638" s="10"/>
      <c r="K638" s="71"/>
      <c r="L638" s="27"/>
      <c r="M638" s="10"/>
      <c r="N638" s="10"/>
      <c r="O638" s="59"/>
      <c r="P638" s="1"/>
      <c r="Q638" s="1"/>
      <c r="R638" s="1"/>
      <c r="S638" s="1"/>
      <c r="T638" s="1"/>
      <c r="U638" s="1"/>
      <c r="V638" s="1"/>
      <c r="W638" s="1"/>
      <c r="X638" s="1"/>
      <c r="Y638" s="1"/>
      <c r="Z638" s="1"/>
      <c r="AA638" s="1"/>
    </row>
    <row r="639" spans="1:27" ht="12.75" hidden="1" customHeight="1">
      <c r="A639" s="1"/>
      <c r="B639" s="10"/>
      <c r="C639" s="10"/>
      <c r="D639" s="26"/>
      <c r="E639" s="10"/>
      <c r="F639" s="10"/>
      <c r="G639" s="71"/>
      <c r="H639" s="10"/>
      <c r="I639" s="10"/>
      <c r="J639" s="10"/>
      <c r="K639" s="71"/>
      <c r="L639" s="27"/>
      <c r="M639" s="10"/>
      <c r="N639" s="10"/>
      <c r="O639" s="59"/>
      <c r="P639" s="1"/>
      <c r="Q639" s="1"/>
      <c r="R639" s="1"/>
      <c r="S639" s="1"/>
      <c r="T639" s="1"/>
      <c r="U639" s="1"/>
      <c r="V639" s="1"/>
      <c r="W639" s="1"/>
      <c r="X639" s="1"/>
      <c r="Y639" s="1"/>
      <c r="Z639" s="1"/>
      <c r="AA639" s="1"/>
    </row>
    <row r="640" spans="1:27" ht="12.75" hidden="1" customHeight="1">
      <c r="A640" s="1"/>
      <c r="B640" s="10"/>
      <c r="C640" s="10"/>
      <c r="D640" s="26"/>
      <c r="E640" s="10"/>
      <c r="F640" s="10"/>
      <c r="G640" s="71"/>
      <c r="H640" s="10"/>
      <c r="I640" s="10"/>
      <c r="J640" s="10"/>
      <c r="K640" s="71"/>
      <c r="L640" s="27"/>
      <c r="M640" s="10"/>
      <c r="N640" s="10"/>
      <c r="O640" s="59"/>
      <c r="P640" s="1"/>
      <c r="Q640" s="1"/>
      <c r="R640" s="1"/>
      <c r="S640" s="1"/>
      <c r="T640" s="1"/>
      <c r="U640" s="1"/>
      <c r="V640" s="1"/>
      <c r="W640" s="1"/>
      <c r="X640" s="1"/>
      <c r="Y640" s="1"/>
      <c r="Z640" s="1"/>
      <c r="AA640" s="1"/>
    </row>
    <row r="641" spans="1:27" ht="12.75" hidden="1" customHeight="1">
      <c r="A641" s="1"/>
      <c r="B641" s="10"/>
      <c r="C641" s="10"/>
      <c r="D641" s="26"/>
      <c r="E641" s="10"/>
      <c r="F641" s="10"/>
      <c r="G641" s="71"/>
      <c r="H641" s="10"/>
      <c r="I641" s="10"/>
      <c r="J641" s="10"/>
      <c r="K641" s="71"/>
      <c r="L641" s="27"/>
      <c r="M641" s="10"/>
      <c r="N641" s="10"/>
      <c r="O641" s="59"/>
      <c r="P641" s="1"/>
      <c r="Q641" s="1"/>
      <c r="R641" s="1"/>
      <c r="S641" s="1"/>
      <c r="T641" s="1"/>
      <c r="U641" s="1"/>
      <c r="V641" s="1"/>
      <c r="W641" s="1"/>
      <c r="X641" s="1"/>
      <c r="Y641" s="1"/>
      <c r="Z641" s="1"/>
      <c r="AA641" s="1"/>
    </row>
    <row r="642" spans="1:27" ht="12.75" hidden="1" customHeight="1">
      <c r="A642" s="1"/>
      <c r="B642" s="10"/>
      <c r="C642" s="10"/>
      <c r="D642" s="26"/>
      <c r="E642" s="10"/>
      <c r="F642" s="10"/>
      <c r="G642" s="71"/>
      <c r="H642" s="10"/>
      <c r="I642" s="10"/>
      <c r="J642" s="10"/>
      <c r="K642" s="71"/>
      <c r="L642" s="27"/>
      <c r="M642" s="10"/>
      <c r="N642" s="10"/>
      <c r="O642" s="59"/>
      <c r="P642" s="1"/>
      <c r="Q642" s="1"/>
      <c r="R642" s="1"/>
      <c r="S642" s="1"/>
      <c r="T642" s="1"/>
      <c r="U642" s="1"/>
      <c r="V642" s="1"/>
      <c r="W642" s="1"/>
      <c r="X642" s="1"/>
      <c r="Y642" s="1"/>
      <c r="Z642" s="1"/>
      <c r="AA642" s="1"/>
    </row>
    <row r="643" spans="1:27" ht="12.75" hidden="1" customHeight="1">
      <c r="A643" s="1"/>
      <c r="B643" s="10"/>
      <c r="C643" s="10"/>
      <c r="D643" s="26"/>
      <c r="E643" s="10"/>
      <c r="F643" s="10"/>
      <c r="G643" s="71"/>
      <c r="H643" s="10"/>
      <c r="I643" s="10"/>
      <c r="J643" s="10"/>
      <c r="K643" s="71"/>
      <c r="L643" s="27"/>
      <c r="M643" s="10"/>
      <c r="N643" s="10"/>
      <c r="O643" s="59"/>
      <c r="P643" s="1"/>
      <c r="Q643" s="1"/>
      <c r="R643" s="1"/>
      <c r="S643" s="1"/>
      <c r="T643" s="1"/>
      <c r="U643" s="1"/>
      <c r="V643" s="1"/>
      <c r="W643" s="1"/>
      <c r="X643" s="1"/>
      <c r="Y643" s="1"/>
      <c r="Z643" s="1"/>
      <c r="AA643" s="1"/>
    </row>
    <row r="644" spans="1:27" ht="12.75" hidden="1" customHeight="1">
      <c r="A644" s="1"/>
      <c r="B644" s="10"/>
      <c r="C644" s="10"/>
      <c r="D644" s="26"/>
      <c r="E644" s="10"/>
      <c r="F644" s="10"/>
      <c r="G644" s="71"/>
      <c r="H644" s="10"/>
      <c r="I644" s="10"/>
      <c r="J644" s="10"/>
      <c r="K644" s="71"/>
      <c r="L644" s="27"/>
      <c r="M644" s="10"/>
      <c r="N644" s="10"/>
      <c r="O644" s="59"/>
      <c r="P644" s="1"/>
      <c r="Q644" s="1"/>
      <c r="R644" s="1"/>
      <c r="S644" s="1"/>
      <c r="T644" s="1"/>
      <c r="U644" s="1"/>
      <c r="V644" s="1"/>
      <c r="W644" s="1"/>
      <c r="X644" s="1"/>
      <c r="Y644" s="1"/>
      <c r="Z644" s="1"/>
      <c r="AA644" s="1"/>
    </row>
    <row r="645" spans="1:27" ht="12.75" hidden="1" customHeight="1">
      <c r="A645" s="1"/>
      <c r="B645" s="10"/>
      <c r="C645" s="10"/>
      <c r="D645" s="26"/>
      <c r="E645" s="10"/>
      <c r="F645" s="10"/>
      <c r="G645" s="71"/>
      <c r="H645" s="10"/>
      <c r="I645" s="10"/>
      <c r="J645" s="10"/>
      <c r="K645" s="71"/>
      <c r="L645" s="27"/>
      <c r="M645" s="10"/>
      <c r="N645" s="10"/>
      <c r="O645" s="59"/>
      <c r="P645" s="1"/>
      <c r="Q645" s="1"/>
      <c r="R645" s="1"/>
      <c r="S645" s="1"/>
      <c r="T645" s="1"/>
      <c r="U645" s="1"/>
      <c r="V645" s="1"/>
      <c r="W645" s="1"/>
      <c r="X645" s="1"/>
      <c r="Y645" s="1"/>
      <c r="Z645" s="1"/>
      <c r="AA645" s="1"/>
    </row>
    <row r="646" spans="1:27" ht="12.75" hidden="1" customHeight="1">
      <c r="A646" s="1"/>
      <c r="B646" s="10"/>
      <c r="C646" s="10"/>
      <c r="D646" s="26"/>
      <c r="E646" s="10"/>
      <c r="F646" s="10"/>
      <c r="G646" s="71"/>
      <c r="H646" s="10"/>
      <c r="I646" s="10"/>
      <c r="J646" s="10"/>
      <c r="K646" s="71"/>
      <c r="L646" s="27"/>
      <c r="M646" s="10"/>
      <c r="N646" s="10"/>
      <c r="O646" s="59"/>
      <c r="P646" s="1"/>
      <c r="Q646" s="1"/>
      <c r="R646" s="1"/>
      <c r="S646" s="1"/>
      <c r="T646" s="1"/>
      <c r="U646" s="1"/>
      <c r="V646" s="1"/>
      <c r="W646" s="1"/>
      <c r="X646" s="1"/>
      <c r="Y646" s="1"/>
      <c r="Z646" s="1"/>
      <c r="AA646" s="1"/>
    </row>
    <row r="647" spans="1:27" ht="12.75" hidden="1" customHeight="1">
      <c r="A647" s="1"/>
      <c r="B647" s="10"/>
      <c r="C647" s="10"/>
      <c r="D647" s="26"/>
      <c r="E647" s="10"/>
      <c r="F647" s="10"/>
      <c r="G647" s="71"/>
      <c r="H647" s="10"/>
      <c r="I647" s="10"/>
      <c r="J647" s="10"/>
      <c r="K647" s="71"/>
      <c r="L647" s="27"/>
      <c r="M647" s="10"/>
      <c r="N647" s="10"/>
      <c r="O647" s="59"/>
      <c r="P647" s="1"/>
      <c r="Q647" s="1"/>
      <c r="R647" s="1"/>
      <c r="S647" s="1"/>
      <c r="T647" s="1"/>
      <c r="U647" s="1"/>
      <c r="V647" s="1"/>
      <c r="W647" s="1"/>
      <c r="X647" s="1"/>
      <c r="Y647" s="1"/>
      <c r="Z647" s="1"/>
      <c r="AA647" s="1"/>
    </row>
    <row r="648" spans="1:27" ht="12.75" hidden="1" customHeight="1">
      <c r="A648" s="1"/>
      <c r="B648" s="10"/>
      <c r="C648" s="10"/>
      <c r="D648" s="26"/>
      <c r="E648" s="10"/>
      <c r="F648" s="10"/>
      <c r="G648" s="71"/>
      <c r="H648" s="10"/>
      <c r="I648" s="10"/>
      <c r="J648" s="10"/>
      <c r="K648" s="71"/>
      <c r="L648" s="27"/>
      <c r="M648" s="10"/>
      <c r="N648" s="10"/>
      <c r="O648" s="59"/>
      <c r="P648" s="1"/>
      <c r="Q648" s="1"/>
      <c r="R648" s="1"/>
      <c r="S648" s="1"/>
      <c r="T648" s="1"/>
      <c r="U648" s="1"/>
      <c r="V648" s="1"/>
      <c r="W648" s="1"/>
      <c r="X648" s="1"/>
      <c r="Y648" s="1"/>
      <c r="Z648" s="1"/>
      <c r="AA648" s="1"/>
    </row>
    <row r="649" spans="1:27" ht="12.75" hidden="1" customHeight="1">
      <c r="A649" s="1"/>
      <c r="B649" s="10"/>
      <c r="C649" s="10"/>
      <c r="D649" s="26"/>
      <c r="E649" s="10"/>
      <c r="F649" s="10"/>
      <c r="G649" s="71"/>
      <c r="H649" s="10"/>
      <c r="I649" s="10"/>
      <c r="J649" s="10"/>
      <c r="K649" s="71"/>
      <c r="L649" s="27"/>
      <c r="M649" s="10"/>
      <c r="N649" s="10"/>
      <c r="O649" s="59"/>
      <c r="P649" s="1"/>
      <c r="Q649" s="1"/>
      <c r="R649" s="1"/>
      <c r="S649" s="1"/>
      <c r="T649" s="1"/>
      <c r="U649" s="1"/>
      <c r="V649" s="1"/>
      <c r="W649" s="1"/>
      <c r="X649" s="1"/>
      <c r="Y649" s="1"/>
      <c r="Z649" s="1"/>
      <c r="AA649" s="1"/>
    </row>
    <row r="650" spans="1:27" ht="12.75" hidden="1" customHeight="1">
      <c r="A650" s="1"/>
      <c r="B650" s="10"/>
      <c r="C650" s="10"/>
      <c r="D650" s="26"/>
      <c r="E650" s="10"/>
      <c r="F650" s="10"/>
      <c r="G650" s="71"/>
      <c r="H650" s="10"/>
      <c r="I650" s="10"/>
      <c r="J650" s="10"/>
      <c r="K650" s="71"/>
      <c r="L650" s="27"/>
      <c r="M650" s="10"/>
      <c r="N650" s="10"/>
      <c r="O650" s="59"/>
      <c r="P650" s="1"/>
      <c r="Q650" s="1"/>
      <c r="R650" s="1"/>
      <c r="S650" s="1"/>
      <c r="T650" s="1"/>
      <c r="U650" s="1"/>
      <c r="V650" s="1"/>
      <c r="W650" s="1"/>
      <c r="X650" s="1"/>
      <c r="Y650" s="1"/>
      <c r="Z650" s="1"/>
      <c r="AA650" s="1"/>
    </row>
    <row r="651" spans="1:27" ht="12.75" hidden="1" customHeight="1">
      <c r="A651" s="1"/>
      <c r="B651" s="10"/>
      <c r="C651" s="10"/>
      <c r="D651" s="26"/>
      <c r="E651" s="10"/>
      <c r="F651" s="10"/>
      <c r="G651" s="71"/>
      <c r="H651" s="10"/>
      <c r="I651" s="10"/>
      <c r="J651" s="10"/>
      <c r="K651" s="71"/>
      <c r="L651" s="27"/>
      <c r="M651" s="10"/>
      <c r="N651" s="10"/>
      <c r="O651" s="59"/>
      <c r="P651" s="1"/>
      <c r="Q651" s="1"/>
      <c r="R651" s="1"/>
      <c r="S651" s="1"/>
      <c r="T651" s="1"/>
      <c r="U651" s="1"/>
      <c r="V651" s="1"/>
      <c r="W651" s="1"/>
      <c r="X651" s="1"/>
      <c r="Y651" s="1"/>
      <c r="Z651" s="1"/>
      <c r="AA651" s="1"/>
    </row>
    <row r="652" spans="1:27" ht="12.75" hidden="1" customHeight="1">
      <c r="A652" s="1"/>
      <c r="B652" s="10"/>
      <c r="C652" s="10"/>
      <c r="D652" s="26"/>
      <c r="E652" s="10"/>
      <c r="F652" s="10"/>
      <c r="G652" s="71"/>
      <c r="H652" s="10"/>
      <c r="I652" s="10"/>
      <c r="J652" s="10"/>
      <c r="K652" s="71"/>
      <c r="L652" s="27"/>
      <c r="M652" s="10"/>
      <c r="N652" s="10"/>
      <c r="O652" s="59"/>
      <c r="P652" s="1"/>
      <c r="Q652" s="1"/>
      <c r="R652" s="1"/>
      <c r="S652" s="1"/>
      <c r="T652" s="1"/>
      <c r="U652" s="1"/>
      <c r="V652" s="1"/>
      <c r="W652" s="1"/>
      <c r="X652" s="1"/>
      <c r="Y652" s="1"/>
      <c r="Z652" s="1"/>
      <c r="AA652" s="1"/>
    </row>
    <row r="653" spans="1:27" ht="12.75" hidden="1" customHeight="1">
      <c r="A653" s="1"/>
      <c r="B653" s="10"/>
      <c r="C653" s="10"/>
      <c r="D653" s="26"/>
      <c r="E653" s="10"/>
      <c r="F653" s="10"/>
      <c r="G653" s="71"/>
      <c r="H653" s="10"/>
      <c r="I653" s="10"/>
      <c r="J653" s="10"/>
      <c r="K653" s="71"/>
      <c r="L653" s="27"/>
      <c r="M653" s="10"/>
      <c r="N653" s="10"/>
      <c r="O653" s="59"/>
      <c r="P653" s="1"/>
      <c r="Q653" s="1"/>
      <c r="R653" s="1"/>
      <c r="S653" s="1"/>
      <c r="T653" s="1"/>
      <c r="U653" s="1"/>
      <c r="V653" s="1"/>
      <c r="W653" s="1"/>
      <c r="X653" s="1"/>
      <c r="Y653" s="1"/>
      <c r="Z653" s="1"/>
      <c r="AA653" s="1"/>
    </row>
    <row r="654" spans="1:27" ht="12.75" hidden="1" customHeight="1">
      <c r="A654" s="1"/>
      <c r="B654" s="10"/>
      <c r="C654" s="10"/>
      <c r="D654" s="26"/>
      <c r="E654" s="10"/>
      <c r="F654" s="10"/>
      <c r="G654" s="71"/>
      <c r="H654" s="10"/>
      <c r="I654" s="10"/>
      <c r="J654" s="10"/>
      <c r="K654" s="71"/>
      <c r="L654" s="27"/>
      <c r="M654" s="10"/>
      <c r="N654" s="10"/>
      <c r="O654" s="59"/>
      <c r="P654" s="1"/>
      <c r="Q654" s="1"/>
      <c r="R654" s="1"/>
      <c r="S654" s="1"/>
      <c r="T654" s="1"/>
      <c r="U654" s="1"/>
      <c r="V654" s="1"/>
      <c r="W654" s="1"/>
      <c r="X654" s="1"/>
      <c r="Y654" s="1"/>
      <c r="Z654" s="1"/>
      <c r="AA654" s="1"/>
    </row>
    <row r="655" spans="1:27" ht="12.75" hidden="1" customHeight="1">
      <c r="A655" s="1"/>
      <c r="B655" s="10"/>
      <c r="C655" s="10"/>
      <c r="D655" s="26"/>
      <c r="E655" s="10"/>
      <c r="F655" s="10"/>
      <c r="G655" s="71"/>
      <c r="H655" s="10"/>
      <c r="I655" s="10"/>
      <c r="J655" s="10"/>
      <c r="K655" s="71"/>
      <c r="L655" s="27"/>
      <c r="M655" s="10"/>
      <c r="N655" s="10"/>
      <c r="O655" s="59"/>
      <c r="P655" s="1"/>
      <c r="Q655" s="1"/>
      <c r="R655" s="1"/>
      <c r="S655" s="1"/>
      <c r="T655" s="1"/>
      <c r="U655" s="1"/>
      <c r="V655" s="1"/>
      <c r="W655" s="1"/>
      <c r="X655" s="1"/>
      <c r="Y655" s="1"/>
      <c r="Z655" s="1"/>
      <c r="AA655" s="1"/>
    </row>
    <row r="656" spans="1:27" ht="12.75" hidden="1" customHeight="1">
      <c r="A656" s="1"/>
      <c r="B656" s="10"/>
      <c r="C656" s="10"/>
      <c r="D656" s="26"/>
      <c r="E656" s="10"/>
      <c r="F656" s="10"/>
      <c r="G656" s="71"/>
      <c r="H656" s="10"/>
      <c r="I656" s="10"/>
      <c r="J656" s="10"/>
      <c r="K656" s="71"/>
      <c r="L656" s="27"/>
      <c r="M656" s="10"/>
      <c r="N656" s="10"/>
      <c r="O656" s="59"/>
      <c r="P656" s="1"/>
      <c r="Q656" s="1"/>
      <c r="R656" s="1"/>
      <c r="S656" s="1"/>
      <c r="T656" s="1"/>
      <c r="U656" s="1"/>
      <c r="V656" s="1"/>
      <c r="W656" s="1"/>
      <c r="X656" s="1"/>
      <c r="Y656" s="1"/>
      <c r="Z656" s="1"/>
      <c r="AA656" s="1"/>
    </row>
    <row r="657" spans="1:27" ht="12.75" hidden="1" customHeight="1">
      <c r="A657" s="1"/>
      <c r="B657" s="10"/>
      <c r="C657" s="10"/>
      <c r="D657" s="26"/>
      <c r="E657" s="10"/>
      <c r="F657" s="10"/>
      <c r="G657" s="71"/>
      <c r="H657" s="10"/>
      <c r="I657" s="10"/>
      <c r="J657" s="10"/>
      <c r="K657" s="71"/>
      <c r="L657" s="27"/>
      <c r="M657" s="10"/>
      <c r="N657" s="10"/>
      <c r="O657" s="59"/>
      <c r="P657" s="1"/>
      <c r="Q657" s="1"/>
      <c r="R657" s="1"/>
      <c r="S657" s="1"/>
      <c r="T657" s="1"/>
      <c r="U657" s="1"/>
      <c r="V657" s="1"/>
      <c r="W657" s="1"/>
      <c r="X657" s="1"/>
      <c r="Y657" s="1"/>
      <c r="Z657" s="1"/>
      <c r="AA657" s="1"/>
    </row>
    <row r="658" spans="1:27" ht="12.75" hidden="1" customHeight="1">
      <c r="A658" s="1"/>
      <c r="B658" s="10"/>
      <c r="C658" s="10"/>
      <c r="D658" s="26"/>
      <c r="E658" s="10"/>
      <c r="F658" s="10"/>
      <c r="G658" s="71"/>
      <c r="H658" s="10"/>
      <c r="I658" s="10"/>
      <c r="J658" s="10"/>
      <c r="K658" s="71"/>
      <c r="L658" s="27"/>
      <c r="M658" s="10"/>
      <c r="N658" s="10"/>
      <c r="O658" s="59"/>
      <c r="P658" s="1"/>
      <c r="Q658" s="1"/>
      <c r="R658" s="1"/>
      <c r="S658" s="1"/>
      <c r="T658" s="1"/>
      <c r="U658" s="1"/>
      <c r="V658" s="1"/>
      <c r="W658" s="1"/>
      <c r="X658" s="1"/>
      <c r="Y658" s="1"/>
      <c r="Z658" s="1"/>
      <c r="AA658" s="1"/>
    </row>
    <row r="659" spans="1:27" ht="12.75" hidden="1" customHeight="1">
      <c r="A659" s="1"/>
      <c r="B659" s="10"/>
      <c r="C659" s="10"/>
      <c r="D659" s="26"/>
      <c r="E659" s="10"/>
      <c r="F659" s="10"/>
      <c r="G659" s="71"/>
      <c r="H659" s="10"/>
      <c r="I659" s="10"/>
      <c r="J659" s="10"/>
      <c r="K659" s="71"/>
      <c r="L659" s="27"/>
      <c r="M659" s="10"/>
      <c r="N659" s="10"/>
      <c r="O659" s="59"/>
      <c r="P659" s="1"/>
      <c r="Q659" s="1"/>
      <c r="R659" s="1"/>
      <c r="S659" s="1"/>
      <c r="T659" s="1"/>
      <c r="U659" s="1"/>
      <c r="V659" s="1"/>
      <c r="W659" s="1"/>
      <c r="X659" s="1"/>
      <c r="Y659" s="1"/>
      <c r="Z659" s="1"/>
      <c r="AA659" s="1"/>
    </row>
    <row r="660" spans="1:27" ht="12.75" hidden="1" customHeight="1">
      <c r="A660" s="1"/>
      <c r="B660" s="10"/>
      <c r="C660" s="10"/>
      <c r="D660" s="26"/>
      <c r="E660" s="10"/>
      <c r="F660" s="10"/>
      <c r="G660" s="71"/>
      <c r="H660" s="10"/>
      <c r="I660" s="10"/>
      <c r="J660" s="10"/>
      <c r="K660" s="71"/>
      <c r="L660" s="27"/>
      <c r="M660" s="10"/>
      <c r="N660" s="10"/>
      <c r="O660" s="59"/>
      <c r="P660" s="1"/>
      <c r="Q660" s="1"/>
      <c r="R660" s="1"/>
      <c r="S660" s="1"/>
      <c r="T660" s="1"/>
      <c r="U660" s="1"/>
      <c r="V660" s="1"/>
      <c r="W660" s="1"/>
      <c r="X660" s="1"/>
      <c r="Y660" s="1"/>
      <c r="Z660" s="1"/>
      <c r="AA660" s="1"/>
    </row>
    <row r="661" spans="1:27" ht="12.75" hidden="1" customHeight="1">
      <c r="A661" s="1"/>
      <c r="B661" s="10"/>
      <c r="C661" s="10"/>
      <c r="D661" s="26"/>
      <c r="E661" s="10"/>
      <c r="F661" s="10"/>
      <c r="G661" s="71"/>
      <c r="H661" s="10"/>
      <c r="I661" s="10"/>
      <c r="J661" s="10"/>
      <c r="K661" s="71"/>
      <c r="L661" s="27"/>
      <c r="M661" s="10"/>
      <c r="N661" s="10"/>
      <c r="O661" s="59"/>
      <c r="P661" s="1"/>
      <c r="Q661" s="1"/>
      <c r="R661" s="1"/>
      <c r="S661" s="1"/>
      <c r="T661" s="1"/>
      <c r="U661" s="1"/>
      <c r="V661" s="1"/>
      <c r="W661" s="1"/>
      <c r="X661" s="1"/>
      <c r="Y661" s="1"/>
      <c r="Z661" s="1"/>
      <c r="AA661" s="1"/>
    </row>
    <row r="662" spans="1:27" ht="12.75" hidden="1" customHeight="1">
      <c r="A662" s="1"/>
      <c r="B662" s="10"/>
      <c r="C662" s="10"/>
      <c r="D662" s="26"/>
      <c r="E662" s="10"/>
      <c r="F662" s="10"/>
      <c r="G662" s="71"/>
      <c r="H662" s="10"/>
      <c r="I662" s="10"/>
      <c r="J662" s="10"/>
      <c r="K662" s="71"/>
      <c r="L662" s="27"/>
      <c r="M662" s="10"/>
      <c r="N662" s="10"/>
      <c r="O662" s="59"/>
      <c r="P662" s="1"/>
      <c r="Q662" s="1"/>
      <c r="R662" s="1"/>
      <c r="S662" s="1"/>
      <c r="T662" s="1"/>
      <c r="U662" s="1"/>
      <c r="V662" s="1"/>
      <c r="W662" s="1"/>
      <c r="X662" s="1"/>
      <c r="Y662" s="1"/>
      <c r="Z662" s="1"/>
      <c r="AA662" s="1"/>
    </row>
    <row r="663" spans="1:27" ht="12.75" hidden="1" customHeight="1">
      <c r="A663" s="1"/>
      <c r="B663" s="10"/>
      <c r="C663" s="10"/>
      <c r="D663" s="26"/>
      <c r="E663" s="10"/>
      <c r="F663" s="10"/>
      <c r="G663" s="71"/>
      <c r="H663" s="10"/>
      <c r="I663" s="10"/>
      <c r="J663" s="10"/>
      <c r="K663" s="71"/>
      <c r="L663" s="27"/>
      <c r="M663" s="10"/>
      <c r="N663" s="10"/>
      <c r="O663" s="59"/>
      <c r="P663" s="1"/>
      <c r="Q663" s="1"/>
      <c r="R663" s="1"/>
      <c r="S663" s="1"/>
      <c r="T663" s="1"/>
      <c r="U663" s="1"/>
      <c r="V663" s="1"/>
      <c r="W663" s="1"/>
      <c r="X663" s="1"/>
      <c r="Y663" s="1"/>
      <c r="Z663" s="1"/>
      <c r="AA663" s="1"/>
    </row>
    <row r="664" spans="1:27" ht="12.75" hidden="1" customHeight="1">
      <c r="A664" s="1"/>
      <c r="B664" s="10"/>
      <c r="C664" s="10"/>
      <c r="D664" s="26"/>
      <c r="E664" s="10"/>
      <c r="F664" s="10"/>
      <c r="G664" s="71"/>
      <c r="H664" s="10"/>
      <c r="I664" s="10"/>
      <c r="J664" s="10"/>
      <c r="K664" s="71"/>
      <c r="L664" s="27"/>
      <c r="M664" s="10"/>
      <c r="N664" s="10"/>
      <c r="O664" s="59"/>
      <c r="P664" s="1"/>
      <c r="Q664" s="1"/>
      <c r="R664" s="1"/>
      <c r="S664" s="1"/>
      <c r="T664" s="1"/>
      <c r="U664" s="1"/>
      <c r="V664" s="1"/>
      <c r="W664" s="1"/>
      <c r="X664" s="1"/>
      <c r="Y664" s="1"/>
      <c r="Z664" s="1"/>
      <c r="AA664" s="1"/>
    </row>
    <row r="665" spans="1:27" ht="12.75" hidden="1" customHeight="1">
      <c r="A665" s="1"/>
      <c r="B665" s="10"/>
      <c r="C665" s="10"/>
      <c r="D665" s="26"/>
      <c r="E665" s="10"/>
      <c r="F665" s="10"/>
      <c r="G665" s="71"/>
      <c r="H665" s="10"/>
      <c r="I665" s="10"/>
      <c r="J665" s="10"/>
      <c r="K665" s="71"/>
      <c r="L665" s="27"/>
      <c r="M665" s="10"/>
      <c r="N665" s="10"/>
      <c r="O665" s="59"/>
      <c r="P665" s="1"/>
      <c r="Q665" s="1"/>
      <c r="R665" s="1"/>
      <c r="S665" s="1"/>
      <c r="T665" s="1"/>
      <c r="U665" s="1"/>
      <c r="V665" s="1"/>
      <c r="W665" s="1"/>
      <c r="X665" s="1"/>
      <c r="Y665" s="1"/>
      <c r="Z665" s="1"/>
      <c r="AA665" s="1"/>
    </row>
    <row r="666" spans="1:27" ht="12.75" hidden="1" customHeight="1">
      <c r="A666" s="1"/>
      <c r="B666" s="10"/>
      <c r="C666" s="10"/>
      <c r="D666" s="26"/>
      <c r="E666" s="10"/>
      <c r="F666" s="10"/>
      <c r="G666" s="71"/>
      <c r="H666" s="10"/>
      <c r="I666" s="10"/>
      <c r="J666" s="10"/>
      <c r="K666" s="71"/>
      <c r="L666" s="27"/>
      <c r="M666" s="10"/>
      <c r="N666" s="10"/>
      <c r="O666" s="59"/>
      <c r="P666" s="1"/>
      <c r="Q666" s="1"/>
      <c r="R666" s="1"/>
      <c r="S666" s="1"/>
      <c r="T666" s="1"/>
      <c r="U666" s="1"/>
      <c r="V666" s="1"/>
      <c r="W666" s="1"/>
      <c r="X666" s="1"/>
      <c r="Y666" s="1"/>
      <c r="Z666" s="1"/>
      <c r="AA666" s="1"/>
    </row>
    <row r="667" spans="1:27" ht="12.75" hidden="1" customHeight="1">
      <c r="A667" s="1"/>
      <c r="B667" s="10"/>
      <c r="C667" s="10"/>
      <c r="D667" s="26"/>
      <c r="E667" s="10"/>
      <c r="F667" s="10"/>
      <c r="G667" s="71"/>
      <c r="H667" s="10"/>
      <c r="I667" s="10"/>
      <c r="J667" s="10"/>
      <c r="K667" s="71"/>
      <c r="L667" s="27"/>
      <c r="M667" s="10"/>
      <c r="N667" s="10"/>
      <c r="O667" s="59"/>
      <c r="P667" s="1"/>
      <c r="Q667" s="1"/>
      <c r="R667" s="1"/>
      <c r="S667" s="1"/>
      <c r="T667" s="1"/>
      <c r="U667" s="1"/>
      <c r="V667" s="1"/>
      <c r="W667" s="1"/>
      <c r="X667" s="1"/>
      <c r="Y667" s="1"/>
      <c r="Z667" s="1"/>
      <c r="AA667" s="1"/>
    </row>
    <row r="668" spans="1:27" ht="12.75" hidden="1" customHeight="1">
      <c r="A668" s="1"/>
      <c r="B668" s="10"/>
      <c r="C668" s="10"/>
      <c r="D668" s="26"/>
      <c r="E668" s="10"/>
      <c r="F668" s="10"/>
      <c r="G668" s="71"/>
      <c r="H668" s="10"/>
      <c r="I668" s="10"/>
      <c r="J668" s="10"/>
      <c r="K668" s="71"/>
      <c r="L668" s="27"/>
      <c r="M668" s="10"/>
      <c r="N668" s="10"/>
      <c r="O668" s="59"/>
      <c r="P668" s="1"/>
      <c r="Q668" s="1"/>
      <c r="R668" s="1"/>
      <c r="S668" s="1"/>
      <c r="T668" s="1"/>
      <c r="U668" s="1"/>
      <c r="V668" s="1"/>
      <c r="W668" s="1"/>
      <c r="X668" s="1"/>
      <c r="Y668" s="1"/>
      <c r="Z668" s="1"/>
      <c r="AA668" s="1"/>
    </row>
    <row r="669" spans="1:27" ht="12.75" hidden="1" customHeight="1">
      <c r="A669" s="1"/>
      <c r="B669" s="10"/>
      <c r="C669" s="10"/>
      <c r="D669" s="26"/>
      <c r="E669" s="10"/>
      <c r="F669" s="10"/>
      <c r="G669" s="71"/>
      <c r="H669" s="10"/>
      <c r="I669" s="10"/>
      <c r="J669" s="10"/>
      <c r="K669" s="71"/>
      <c r="L669" s="27"/>
      <c r="M669" s="10"/>
      <c r="N669" s="10"/>
      <c r="O669" s="59"/>
      <c r="P669" s="1"/>
      <c r="Q669" s="1"/>
      <c r="R669" s="1"/>
      <c r="S669" s="1"/>
      <c r="T669" s="1"/>
      <c r="U669" s="1"/>
      <c r="V669" s="1"/>
      <c r="W669" s="1"/>
      <c r="X669" s="1"/>
      <c r="Y669" s="1"/>
      <c r="Z669" s="1"/>
      <c r="AA669" s="1"/>
    </row>
    <row r="670" spans="1:27" ht="12.75" hidden="1" customHeight="1">
      <c r="A670" s="1"/>
      <c r="B670" s="10"/>
      <c r="C670" s="10"/>
      <c r="D670" s="26"/>
      <c r="E670" s="10"/>
      <c r="F670" s="10"/>
      <c r="G670" s="71"/>
      <c r="H670" s="10"/>
      <c r="I670" s="10"/>
      <c r="J670" s="10"/>
      <c r="K670" s="71"/>
      <c r="L670" s="27"/>
      <c r="M670" s="10"/>
      <c r="N670" s="10"/>
      <c r="O670" s="59"/>
      <c r="P670" s="1"/>
      <c r="Q670" s="1"/>
      <c r="R670" s="1"/>
      <c r="S670" s="1"/>
      <c r="T670" s="1"/>
      <c r="U670" s="1"/>
      <c r="V670" s="1"/>
      <c r="W670" s="1"/>
      <c r="X670" s="1"/>
      <c r="Y670" s="1"/>
      <c r="Z670" s="1"/>
      <c r="AA670" s="1"/>
    </row>
    <row r="671" spans="1:27" ht="12.75" hidden="1" customHeight="1">
      <c r="A671" s="1"/>
      <c r="B671" s="10"/>
      <c r="C671" s="10"/>
      <c r="D671" s="26"/>
      <c r="E671" s="10"/>
      <c r="F671" s="10"/>
      <c r="G671" s="71"/>
      <c r="H671" s="10"/>
      <c r="I671" s="10"/>
      <c r="J671" s="10"/>
      <c r="K671" s="71"/>
      <c r="L671" s="27"/>
      <c r="M671" s="10"/>
      <c r="N671" s="10"/>
      <c r="O671" s="59"/>
      <c r="P671" s="1"/>
      <c r="Q671" s="1"/>
      <c r="R671" s="1"/>
      <c r="S671" s="1"/>
      <c r="T671" s="1"/>
      <c r="U671" s="1"/>
      <c r="V671" s="1"/>
      <c r="W671" s="1"/>
      <c r="X671" s="1"/>
      <c r="Y671" s="1"/>
      <c r="Z671" s="1"/>
      <c r="AA671" s="1"/>
    </row>
    <row r="672" spans="1:27" ht="12.75" hidden="1" customHeight="1">
      <c r="A672" s="1"/>
      <c r="B672" s="10"/>
      <c r="C672" s="10"/>
      <c r="D672" s="26"/>
      <c r="E672" s="10"/>
      <c r="F672" s="10"/>
      <c r="G672" s="71"/>
      <c r="H672" s="10"/>
      <c r="I672" s="10"/>
      <c r="J672" s="10"/>
      <c r="K672" s="71"/>
      <c r="L672" s="27"/>
      <c r="M672" s="10"/>
      <c r="N672" s="10"/>
      <c r="O672" s="59"/>
      <c r="P672" s="1"/>
      <c r="Q672" s="1"/>
      <c r="R672" s="1"/>
      <c r="S672" s="1"/>
      <c r="T672" s="1"/>
      <c r="U672" s="1"/>
      <c r="V672" s="1"/>
      <c r="W672" s="1"/>
      <c r="X672" s="1"/>
      <c r="Y672" s="1"/>
      <c r="Z672" s="1"/>
      <c r="AA672" s="1"/>
    </row>
    <row r="673" spans="1:27" ht="12.75" hidden="1" customHeight="1">
      <c r="A673" s="1"/>
      <c r="B673" s="10"/>
      <c r="C673" s="10"/>
      <c r="D673" s="26"/>
      <c r="E673" s="10"/>
      <c r="F673" s="10"/>
      <c r="G673" s="71"/>
      <c r="H673" s="10"/>
      <c r="I673" s="10"/>
      <c r="J673" s="10"/>
      <c r="K673" s="71"/>
      <c r="L673" s="27"/>
      <c r="M673" s="10"/>
      <c r="N673" s="10"/>
      <c r="O673" s="59"/>
      <c r="P673" s="1"/>
      <c r="Q673" s="1"/>
      <c r="R673" s="1"/>
      <c r="S673" s="1"/>
      <c r="T673" s="1"/>
      <c r="U673" s="1"/>
      <c r="V673" s="1"/>
      <c r="W673" s="1"/>
      <c r="X673" s="1"/>
      <c r="Y673" s="1"/>
      <c r="Z673" s="1"/>
      <c r="AA673" s="1"/>
    </row>
    <row r="674" spans="1:27" ht="12.75" hidden="1" customHeight="1">
      <c r="A674" s="1"/>
      <c r="B674" s="10"/>
      <c r="C674" s="10"/>
      <c r="D674" s="26"/>
      <c r="E674" s="10"/>
      <c r="F674" s="10"/>
      <c r="G674" s="71"/>
      <c r="H674" s="10"/>
      <c r="I674" s="10"/>
      <c r="J674" s="10"/>
      <c r="K674" s="71"/>
      <c r="L674" s="27"/>
      <c r="M674" s="10"/>
      <c r="N674" s="10"/>
      <c r="O674" s="59"/>
      <c r="P674" s="1"/>
      <c r="Q674" s="1"/>
      <c r="R674" s="1"/>
      <c r="S674" s="1"/>
      <c r="T674" s="1"/>
      <c r="U674" s="1"/>
      <c r="V674" s="1"/>
      <c r="W674" s="1"/>
      <c r="X674" s="1"/>
      <c r="Y674" s="1"/>
      <c r="Z674" s="1"/>
      <c r="AA674" s="1"/>
    </row>
    <row r="675" spans="1:27" ht="12.75" hidden="1" customHeight="1">
      <c r="A675" s="1"/>
      <c r="B675" s="10"/>
      <c r="C675" s="10"/>
      <c r="D675" s="26"/>
      <c r="E675" s="10"/>
      <c r="F675" s="10"/>
      <c r="G675" s="71"/>
      <c r="H675" s="10"/>
      <c r="I675" s="10"/>
      <c r="J675" s="10"/>
      <c r="K675" s="71"/>
      <c r="L675" s="27"/>
      <c r="M675" s="10"/>
      <c r="N675" s="10"/>
      <c r="O675" s="59"/>
      <c r="P675" s="1"/>
      <c r="Q675" s="1"/>
      <c r="R675" s="1"/>
      <c r="S675" s="1"/>
      <c r="T675" s="1"/>
      <c r="U675" s="1"/>
      <c r="V675" s="1"/>
      <c r="W675" s="1"/>
      <c r="X675" s="1"/>
      <c r="Y675" s="1"/>
      <c r="Z675" s="1"/>
      <c r="AA675" s="1"/>
    </row>
    <row r="676" spans="1:27" ht="12.75" hidden="1" customHeight="1">
      <c r="A676" s="1"/>
      <c r="B676" s="10"/>
      <c r="C676" s="10"/>
      <c r="D676" s="26"/>
      <c r="E676" s="10"/>
      <c r="F676" s="10"/>
      <c r="G676" s="71"/>
      <c r="H676" s="10"/>
      <c r="I676" s="10"/>
      <c r="J676" s="10"/>
      <c r="K676" s="71"/>
      <c r="L676" s="27"/>
      <c r="M676" s="10"/>
      <c r="N676" s="10"/>
      <c r="O676" s="59"/>
      <c r="P676" s="1"/>
      <c r="Q676" s="1"/>
      <c r="R676" s="1"/>
      <c r="S676" s="1"/>
      <c r="T676" s="1"/>
      <c r="U676" s="1"/>
      <c r="V676" s="1"/>
      <c r="W676" s="1"/>
      <c r="X676" s="1"/>
      <c r="Y676" s="1"/>
      <c r="Z676" s="1"/>
      <c r="AA676" s="1"/>
    </row>
    <row r="677" spans="1:27" ht="12.75" hidden="1" customHeight="1">
      <c r="A677" s="1"/>
      <c r="B677" s="10"/>
      <c r="C677" s="10"/>
      <c r="D677" s="26"/>
      <c r="E677" s="10"/>
      <c r="F677" s="10"/>
      <c r="G677" s="71"/>
      <c r="H677" s="10"/>
      <c r="I677" s="10"/>
      <c r="J677" s="10"/>
      <c r="K677" s="71"/>
      <c r="L677" s="27"/>
      <c r="M677" s="10"/>
      <c r="N677" s="10"/>
      <c r="O677" s="59"/>
      <c r="P677" s="1"/>
      <c r="Q677" s="1"/>
      <c r="R677" s="1"/>
      <c r="S677" s="1"/>
      <c r="T677" s="1"/>
      <c r="U677" s="1"/>
      <c r="V677" s="1"/>
      <c r="W677" s="1"/>
      <c r="X677" s="1"/>
      <c r="Y677" s="1"/>
      <c r="Z677" s="1"/>
      <c r="AA677" s="1"/>
    </row>
    <row r="678" spans="1:27" ht="12.75" hidden="1" customHeight="1">
      <c r="A678" s="1"/>
      <c r="B678" s="10"/>
      <c r="C678" s="10"/>
      <c r="D678" s="26"/>
      <c r="E678" s="10"/>
      <c r="F678" s="10"/>
      <c r="G678" s="71"/>
      <c r="H678" s="10"/>
      <c r="I678" s="10"/>
      <c r="J678" s="10"/>
      <c r="K678" s="71"/>
      <c r="L678" s="27"/>
      <c r="M678" s="10"/>
      <c r="N678" s="10"/>
      <c r="O678" s="59"/>
      <c r="P678" s="1"/>
      <c r="Q678" s="1"/>
      <c r="R678" s="1"/>
      <c r="S678" s="1"/>
      <c r="T678" s="1"/>
      <c r="U678" s="1"/>
      <c r="V678" s="1"/>
      <c r="W678" s="1"/>
      <c r="X678" s="1"/>
      <c r="Y678" s="1"/>
      <c r="Z678" s="1"/>
      <c r="AA678" s="1"/>
    </row>
    <row r="679" spans="1:27" ht="12.75" hidden="1" customHeight="1">
      <c r="A679" s="1"/>
      <c r="B679" s="10"/>
      <c r="C679" s="10"/>
      <c r="D679" s="26"/>
      <c r="E679" s="10"/>
      <c r="F679" s="10"/>
      <c r="G679" s="71"/>
      <c r="H679" s="10"/>
      <c r="I679" s="10"/>
      <c r="J679" s="10"/>
      <c r="K679" s="71"/>
      <c r="L679" s="27"/>
      <c r="M679" s="10"/>
      <c r="N679" s="10"/>
      <c r="O679" s="59"/>
      <c r="P679" s="1"/>
      <c r="Q679" s="1"/>
      <c r="R679" s="1"/>
      <c r="S679" s="1"/>
      <c r="T679" s="1"/>
      <c r="U679" s="1"/>
      <c r="V679" s="1"/>
      <c r="W679" s="1"/>
      <c r="X679" s="1"/>
      <c r="Y679" s="1"/>
      <c r="Z679" s="1"/>
      <c r="AA679" s="1"/>
    </row>
    <row r="680" spans="1:27" ht="12.75" hidden="1" customHeight="1">
      <c r="A680" s="1"/>
      <c r="B680" s="10"/>
      <c r="C680" s="10"/>
      <c r="D680" s="26"/>
      <c r="E680" s="10"/>
      <c r="F680" s="10"/>
      <c r="G680" s="71"/>
      <c r="H680" s="10"/>
      <c r="I680" s="10"/>
      <c r="J680" s="10"/>
      <c r="K680" s="71"/>
      <c r="L680" s="27"/>
      <c r="M680" s="10"/>
      <c r="N680" s="10"/>
      <c r="O680" s="59"/>
      <c r="P680" s="1"/>
      <c r="Q680" s="1"/>
      <c r="R680" s="1"/>
      <c r="S680" s="1"/>
      <c r="T680" s="1"/>
      <c r="U680" s="1"/>
      <c r="V680" s="1"/>
      <c r="W680" s="1"/>
      <c r="X680" s="1"/>
      <c r="Y680" s="1"/>
      <c r="Z680" s="1"/>
      <c r="AA680" s="1"/>
    </row>
    <row r="681" spans="1:27" ht="12.75" hidden="1" customHeight="1">
      <c r="A681" s="1"/>
      <c r="B681" s="10"/>
      <c r="C681" s="10"/>
      <c r="D681" s="26"/>
      <c r="E681" s="10"/>
      <c r="F681" s="10"/>
      <c r="G681" s="71"/>
      <c r="H681" s="10"/>
      <c r="I681" s="10"/>
      <c r="J681" s="10"/>
      <c r="K681" s="71"/>
      <c r="L681" s="27"/>
      <c r="M681" s="10"/>
      <c r="N681" s="10"/>
      <c r="O681" s="59"/>
      <c r="P681" s="1"/>
      <c r="Q681" s="1"/>
      <c r="R681" s="1"/>
      <c r="S681" s="1"/>
      <c r="T681" s="1"/>
      <c r="U681" s="1"/>
      <c r="V681" s="1"/>
      <c r="W681" s="1"/>
      <c r="X681" s="1"/>
      <c r="Y681" s="1"/>
      <c r="Z681" s="1"/>
      <c r="AA681" s="1"/>
    </row>
    <row r="682" spans="1:27" ht="12.75" hidden="1" customHeight="1">
      <c r="A682" s="1"/>
      <c r="B682" s="10"/>
      <c r="C682" s="10"/>
      <c r="D682" s="26"/>
      <c r="E682" s="10"/>
      <c r="F682" s="10"/>
      <c r="G682" s="71"/>
      <c r="H682" s="10"/>
      <c r="I682" s="10"/>
      <c r="J682" s="10"/>
      <c r="K682" s="71"/>
      <c r="L682" s="27"/>
      <c r="M682" s="10"/>
      <c r="N682" s="10"/>
      <c r="O682" s="59"/>
      <c r="P682" s="1"/>
      <c r="Q682" s="1"/>
      <c r="R682" s="1"/>
      <c r="S682" s="1"/>
      <c r="T682" s="1"/>
      <c r="U682" s="1"/>
      <c r="V682" s="1"/>
      <c r="W682" s="1"/>
      <c r="X682" s="1"/>
      <c r="Y682" s="1"/>
      <c r="Z682" s="1"/>
      <c r="AA682" s="1"/>
    </row>
    <row r="683" spans="1:27" ht="12.75" hidden="1" customHeight="1">
      <c r="A683" s="1"/>
      <c r="B683" s="10"/>
      <c r="C683" s="10"/>
      <c r="D683" s="26"/>
      <c r="E683" s="10"/>
      <c r="F683" s="10"/>
      <c r="G683" s="71"/>
      <c r="H683" s="10"/>
      <c r="I683" s="10"/>
      <c r="J683" s="10"/>
      <c r="K683" s="71"/>
      <c r="L683" s="27"/>
      <c r="M683" s="10"/>
      <c r="N683" s="10"/>
      <c r="O683" s="59"/>
      <c r="P683" s="1"/>
      <c r="Q683" s="1"/>
      <c r="R683" s="1"/>
      <c r="S683" s="1"/>
      <c r="T683" s="1"/>
      <c r="U683" s="1"/>
      <c r="V683" s="1"/>
      <c r="W683" s="1"/>
      <c r="X683" s="1"/>
      <c r="Y683" s="1"/>
      <c r="Z683" s="1"/>
      <c r="AA683" s="1"/>
    </row>
    <row r="684" spans="1:27" ht="12.75" hidden="1" customHeight="1">
      <c r="A684" s="1"/>
      <c r="B684" s="10"/>
      <c r="C684" s="10"/>
      <c r="D684" s="26"/>
      <c r="E684" s="10"/>
      <c r="F684" s="10"/>
      <c r="G684" s="71"/>
      <c r="H684" s="10"/>
      <c r="I684" s="10"/>
      <c r="J684" s="10"/>
      <c r="K684" s="71"/>
      <c r="L684" s="27"/>
      <c r="M684" s="10"/>
      <c r="N684" s="10"/>
      <c r="O684" s="59"/>
      <c r="P684" s="1"/>
      <c r="Q684" s="1"/>
      <c r="R684" s="1"/>
      <c r="S684" s="1"/>
      <c r="T684" s="1"/>
      <c r="U684" s="1"/>
      <c r="V684" s="1"/>
      <c r="W684" s="1"/>
      <c r="X684" s="1"/>
      <c r="Y684" s="1"/>
      <c r="Z684" s="1"/>
      <c r="AA684" s="1"/>
    </row>
    <row r="685" spans="1:27" ht="12.75" hidden="1" customHeight="1">
      <c r="A685" s="1"/>
      <c r="B685" s="10"/>
      <c r="C685" s="10"/>
      <c r="D685" s="26"/>
      <c r="E685" s="10"/>
      <c r="F685" s="10"/>
      <c r="G685" s="71"/>
      <c r="H685" s="10"/>
      <c r="I685" s="10"/>
      <c r="J685" s="10"/>
      <c r="K685" s="71"/>
      <c r="L685" s="27"/>
      <c r="M685" s="10"/>
      <c r="N685" s="10"/>
      <c r="O685" s="59"/>
      <c r="P685" s="1"/>
      <c r="Q685" s="1"/>
      <c r="R685" s="1"/>
      <c r="S685" s="1"/>
      <c r="T685" s="1"/>
      <c r="U685" s="1"/>
      <c r="V685" s="1"/>
      <c r="W685" s="1"/>
      <c r="X685" s="1"/>
      <c r="Y685" s="1"/>
      <c r="Z685" s="1"/>
      <c r="AA685" s="1"/>
    </row>
    <row r="686" spans="1:27" ht="12.75" hidden="1" customHeight="1">
      <c r="A686" s="1"/>
      <c r="B686" s="10"/>
      <c r="C686" s="10"/>
      <c r="D686" s="26"/>
      <c r="E686" s="10"/>
      <c r="F686" s="10"/>
      <c r="G686" s="71"/>
      <c r="H686" s="10"/>
      <c r="I686" s="10"/>
      <c r="J686" s="10"/>
      <c r="K686" s="71"/>
      <c r="L686" s="27"/>
      <c r="M686" s="10"/>
      <c r="N686" s="10"/>
      <c r="O686" s="59"/>
      <c r="P686" s="1"/>
      <c r="Q686" s="1"/>
      <c r="R686" s="1"/>
      <c r="S686" s="1"/>
      <c r="T686" s="1"/>
      <c r="U686" s="1"/>
      <c r="V686" s="1"/>
      <c r="W686" s="1"/>
      <c r="X686" s="1"/>
      <c r="Y686" s="1"/>
      <c r="Z686" s="1"/>
      <c r="AA686" s="1"/>
    </row>
    <row r="687" spans="1:27" ht="12.75" hidden="1" customHeight="1">
      <c r="A687" s="1"/>
      <c r="B687" s="10"/>
      <c r="C687" s="10"/>
      <c r="D687" s="26"/>
      <c r="E687" s="10"/>
      <c r="F687" s="10"/>
      <c r="G687" s="71"/>
      <c r="H687" s="10"/>
      <c r="I687" s="10"/>
      <c r="J687" s="10"/>
      <c r="K687" s="71"/>
      <c r="L687" s="27"/>
      <c r="M687" s="10"/>
      <c r="N687" s="10"/>
      <c r="O687" s="59"/>
      <c r="P687" s="1"/>
      <c r="Q687" s="1"/>
      <c r="R687" s="1"/>
      <c r="S687" s="1"/>
      <c r="T687" s="1"/>
      <c r="U687" s="1"/>
      <c r="V687" s="1"/>
      <c r="W687" s="1"/>
      <c r="X687" s="1"/>
      <c r="Y687" s="1"/>
      <c r="Z687" s="1"/>
      <c r="AA687" s="1"/>
    </row>
    <row r="688" spans="1:27" ht="12.75" hidden="1" customHeight="1">
      <c r="A688" s="1"/>
      <c r="B688" s="10"/>
      <c r="C688" s="10"/>
      <c r="D688" s="26"/>
      <c r="E688" s="10"/>
      <c r="F688" s="10"/>
      <c r="G688" s="71"/>
      <c r="H688" s="10"/>
      <c r="I688" s="10"/>
      <c r="J688" s="10"/>
      <c r="K688" s="71"/>
      <c r="L688" s="27"/>
      <c r="M688" s="10"/>
      <c r="N688" s="10"/>
      <c r="O688" s="59"/>
      <c r="P688" s="1"/>
      <c r="Q688" s="1"/>
      <c r="R688" s="1"/>
      <c r="S688" s="1"/>
      <c r="T688" s="1"/>
      <c r="U688" s="1"/>
      <c r="V688" s="1"/>
      <c r="W688" s="1"/>
      <c r="X688" s="1"/>
      <c r="Y688" s="1"/>
      <c r="Z688" s="1"/>
      <c r="AA688" s="1"/>
    </row>
    <row r="689" spans="1:27" ht="12.75" hidden="1" customHeight="1">
      <c r="A689" s="1"/>
      <c r="B689" s="10"/>
      <c r="C689" s="10"/>
      <c r="D689" s="26"/>
      <c r="E689" s="10"/>
      <c r="F689" s="10"/>
      <c r="G689" s="71"/>
      <c r="H689" s="10"/>
      <c r="I689" s="10"/>
      <c r="J689" s="10"/>
      <c r="K689" s="71"/>
      <c r="L689" s="27"/>
      <c r="M689" s="10"/>
      <c r="N689" s="10"/>
      <c r="O689" s="59"/>
      <c r="P689" s="1"/>
      <c r="Q689" s="1"/>
      <c r="R689" s="1"/>
      <c r="S689" s="1"/>
      <c r="T689" s="1"/>
      <c r="U689" s="1"/>
      <c r="V689" s="1"/>
      <c r="W689" s="1"/>
      <c r="X689" s="1"/>
      <c r="Y689" s="1"/>
      <c r="Z689" s="1"/>
      <c r="AA689" s="1"/>
    </row>
    <row r="690" spans="1:27" ht="12.75" hidden="1" customHeight="1">
      <c r="A690" s="1"/>
      <c r="B690" s="10"/>
      <c r="C690" s="10"/>
      <c r="D690" s="26"/>
      <c r="E690" s="10"/>
      <c r="F690" s="10"/>
      <c r="G690" s="71"/>
      <c r="H690" s="10"/>
      <c r="I690" s="10"/>
      <c r="J690" s="10"/>
      <c r="K690" s="71"/>
      <c r="L690" s="27"/>
      <c r="M690" s="10"/>
      <c r="N690" s="10"/>
      <c r="O690" s="59"/>
      <c r="P690" s="1"/>
      <c r="Q690" s="1"/>
      <c r="R690" s="1"/>
      <c r="S690" s="1"/>
      <c r="T690" s="1"/>
      <c r="U690" s="1"/>
      <c r="V690" s="1"/>
      <c r="W690" s="1"/>
      <c r="X690" s="1"/>
      <c r="Y690" s="1"/>
      <c r="Z690" s="1"/>
      <c r="AA690" s="1"/>
    </row>
    <row r="691" spans="1:27" ht="12.75" hidden="1" customHeight="1">
      <c r="A691" s="1"/>
      <c r="B691" s="10"/>
      <c r="C691" s="10"/>
      <c r="D691" s="26"/>
      <c r="E691" s="10"/>
      <c r="F691" s="10"/>
      <c r="G691" s="71"/>
      <c r="H691" s="10"/>
      <c r="I691" s="10"/>
      <c r="J691" s="10"/>
      <c r="K691" s="71"/>
      <c r="L691" s="27"/>
      <c r="M691" s="10"/>
      <c r="N691" s="10"/>
      <c r="O691" s="59"/>
      <c r="P691" s="1"/>
      <c r="Q691" s="1"/>
      <c r="R691" s="1"/>
      <c r="S691" s="1"/>
      <c r="T691" s="1"/>
      <c r="U691" s="1"/>
      <c r="V691" s="1"/>
      <c r="W691" s="1"/>
      <c r="X691" s="1"/>
      <c r="Y691" s="1"/>
      <c r="Z691" s="1"/>
      <c r="AA691" s="1"/>
    </row>
    <row r="692" spans="1:27" ht="12.75" hidden="1" customHeight="1">
      <c r="A692" s="1"/>
      <c r="B692" s="10"/>
      <c r="C692" s="10"/>
      <c r="D692" s="26"/>
      <c r="E692" s="10"/>
      <c r="F692" s="10"/>
      <c r="G692" s="71"/>
      <c r="H692" s="10"/>
      <c r="I692" s="10"/>
      <c r="J692" s="10"/>
      <c r="K692" s="71"/>
      <c r="L692" s="27"/>
      <c r="M692" s="10"/>
      <c r="N692" s="10"/>
      <c r="O692" s="59"/>
      <c r="P692" s="1"/>
      <c r="Q692" s="1"/>
      <c r="R692" s="1"/>
      <c r="S692" s="1"/>
      <c r="T692" s="1"/>
      <c r="U692" s="1"/>
      <c r="V692" s="1"/>
      <c r="W692" s="1"/>
      <c r="X692" s="1"/>
      <c r="Y692" s="1"/>
      <c r="Z692" s="1"/>
      <c r="AA692" s="1"/>
    </row>
    <row r="693" spans="1:27" ht="12.75" hidden="1" customHeight="1">
      <c r="A693" s="1"/>
      <c r="B693" s="10"/>
      <c r="C693" s="10"/>
      <c r="D693" s="26"/>
      <c r="E693" s="10"/>
      <c r="F693" s="10"/>
      <c r="G693" s="71"/>
      <c r="H693" s="10"/>
      <c r="I693" s="10"/>
      <c r="J693" s="10"/>
      <c r="K693" s="71"/>
      <c r="L693" s="27"/>
      <c r="M693" s="10"/>
      <c r="N693" s="10"/>
      <c r="O693" s="59"/>
      <c r="P693" s="1"/>
      <c r="Q693" s="1"/>
      <c r="R693" s="1"/>
      <c r="S693" s="1"/>
      <c r="T693" s="1"/>
      <c r="U693" s="1"/>
      <c r="V693" s="1"/>
      <c r="W693" s="1"/>
      <c r="X693" s="1"/>
      <c r="Y693" s="1"/>
      <c r="Z693" s="1"/>
      <c r="AA693" s="1"/>
    </row>
    <row r="694" spans="1:27" ht="12.75" hidden="1" customHeight="1">
      <c r="A694" s="1"/>
      <c r="B694" s="10"/>
      <c r="C694" s="10"/>
      <c r="D694" s="26"/>
      <c r="E694" s="10"/>
      <c r="F694" s="10"/>
      <c r="G694" s="71"/>
      <c r="H694" s="10"/>
      <c r="I694" s="10"/>
      <c r="J694" s="10"/>
      <c r="K694" s="71"/>
      <c r="L694" s="27"/>
      <c r="M694" s="10"/>
      <c r="N694" s="10"/>
      <c r="O694" s="59"/>
      <c r="P694" s="1"/>
      <c r="Q694" s="1"/>
      <c r="R694" s="1"/>
      <c r="S694" s="1"/>
      <c r="T694" s="1"/>
      <c r="U694" s="1"/>
      <c r="V694" s="1"/>
      <c r="W694" s="1"/>
      <c r="X694" s="1"/>
      <c r="Y694" s="1"/>
      <c r="Z694" s="1"/>
      <c r="AA694" s="1"/>
    </row>
    <row r="695" spans="1:27" ht="12.75" hidden="1" customHeight="1">
      <c r="A695" s="1"/>
      <c r="B695" s="10"/>
      <c r="C695" s="10"/>
      <c r="D695" s="26"/>
      <c r="E695" s="10"/>
      <c r="F695" s="10"/>
      <c r="G695" s="71"/>
      <c r="H695" s="10"/>
      <c r="I695" s="10"/>
      <c r="J695" s="10"/>
      <c r="K695" s="71"/>
      <c r="L695" s="27"/>
      <c r="M695" s="10"/>
      <c r="N695" s="10"/>
      <c r="O695" s="59"/>
      <c r="P695" s="1"/>
      <c r="Q695" s="1"/>
      <c r="R695" s="1"/>
      <c r="S695" s="1"/>
      <c r="T695" s="1"/>
      <c r="U695" s="1"/>
      <c r="V695" s="1"/>
      <c r="W695" s="1"/>
      <c r="X695" s="1"/>
      <c r="Y695" s="1"/>
      <c r="Z695" s="1"/>
      <c r="AA695" s="1"/>
    </row>
    <row r="696" spans="1:27" ht="12.75" hidden="1" customHeight="1">
      <c r="A696" s="1"/>
      <c r="B696" s="10"/>
      <c r="C696" s="10"/>
      <c r="D696" s="26"/>
      <c r="E696" s="10"/>
      <c r="F696" s="10"/>
      <c r="G696" s="71"/>
      <c r="H696" s="10"/>
      <c r="I696" s="10"/>
      <c r="J696" s="10"/>
      <c r="K696" s="71"/>
      <c r="L696" s="27"/>
      <c r="M696" s="10"/>
      <c r="N696" s="10"/>
      <c r="O696" s="59"/>
      <c r="P696" s="1"/>
      <c r="Q696" s="1"/>
      <c r="R696" s="1"/>
      <c r="S696" s="1"/>
      <c r="T696" s="1"/>
      <c r="U696" s="1"/>
      <c r="V696" s="1"/>
      <c r="W696" s="1"/>
      <c r="X696" s="1"/>
      <c r="Y696" s="1"/>
      <c r="Z696" s="1"/>
      <c r="AA696" s="1"/>
    </row>
    <row r="697" spans="1:27" ht="12.75" hidden="1" customHeight="1">
      <c r="A697" s="1"/>
      <c r="B697" s="10"/>
      <c r="C697" s="10"/>
      <c r="D697" s="26"/>
      <c r="E697" s="10"/>
      <c r="F697" s="10"/>
      <c r="G697" s="71"/>
      <c r="H697" s="10"/>
      <c r="I697" s="10"/>
      <c r="J697" s="10"/>
      <c r="K697" s="71"/>
      <c r="L697" s="27"/>
      <c r="M697" s="10"/>
      <c r="N697" s="10"/>
      <c r="O697" s="59"/>
      <c r="P697" s="1"/>
      <c r="Q697" s="1"/>
      <c r="R697" s="1"/>
      <c r="S697" s="1"/>
      <c r="T697" s="1"/>
      <c r="U697" s="1"/>
      <c r="V697" s="1"/>
      <c r="W697" s="1"/>
      <c r="X697" s="1"/>
      <c r="Y697" s="1"/>
      <c r="Z697" s="1"/>
      <c r="AA697" s="1"/>
    </row>
    <row r="698" spans="1:27" ht="12.75" hidden="1" customHeight="1">
      <c r="A698" s="1"/>
      <c r="B698" s="10"/>
      <c r="C698" s="10"/>
      <c r="D698" s="26"/>
      <c r="E698" s="10"/>
      <c r="F698" s="10"/>
      <c r="G698" s="71"/>
      <c r="H698" s="10"/>
      <c r="I698" s="10"/>
      <c r="J698" s="10"/>
      <c r="K698" s="71"/>
      <c r="L698" s="27"/>
      <c r="M698" s="10"/>
      <c r="N698" s="10"/>
      <c r="O698" s="59"/>
      <c r="P698" s="1"/>
      <c r="Q698" s="1"/>
      <c r="R698" s="1"/>
      <c r="S698" s="1"/>
      <c r="T698" s="1"/>
      <c r="U698" s="1"/>
      <c r="V698" s="1"/>
      <c r="W698" s="1"/>
      <c r="X698" s="1"/>
      <c r="Y698" s="1"/>
      <c r="Z698" s="1"/>
      <c r="AA698" s="1"/>
    </row>
    <row r="699" spans="1:27" ht="12.75" hidden="1" customHeight="1">
      <c r="A699" s="1"/>
      <c r="B699" s="10"/>
      <c r="C699" s="10"/>
      <c r="D699" s="26"/>
      <c r="E699" s="10"/>
      <c r="F699" s="10"/>
      <c r="G699" s="71"/>
      <c r="H699" s="10"/>
      <c r="I699" s="10"/>
      <c r="J699" s="10"/>
      <c r="K699" s="71"/>
      <c r="L699" s="27"/>
      <c r="M699" s="10"/>
      <c r="N699" s="10"/>
      <c r="O699" s="59"/>
      <c r="P699" s="1"/>
      <c r="Q699" s="1"/>
      <c r="R699" s="1"/>
      <c r="S699" s="1"/>
      <c r="T699" s="1"/>
      <c r="U699" s="1"/>
      <c r="V699" s="1"/>
      <c r="W699" s="1"/>
      <c r="X699" s="1"/>
      <c r="Y699" s="1"/>
      <c r="Z699" s="1"/>
      <c r="AA699" s="1"/>
    </row>
    <row r="700" spans="1:27" ht="12.75" hidden="1" customHeight="1">
      <c r="A700" s="1"/>
      <c r="B700" s="10"/>
      <c r="C700" s="10"/>
      <c r="D700" s="26"/>
      <c r="E700" s="10"/>
      <c r="F700" s="10"/>
      <c r="G700" s="71"/>
      <c r="H700" s="10"/>
      <c r="I700" s="10"/>
      <c r="J700" s="10"/>
      <c r="K700" s="71"/>
      <c r="L700" s="27"/>
      <c r="M700" s="10"/>
      <c r="N700" s="10"/>
      <c r="O700" s="59"/>
      <c r="P700" s="1"/>
      <c r="Q700" s="1"/>
      <c r="R700" s="1"/>
      <c r="S700" s="1"/>
      <c r="T700" s="1"/>
      <c r="U700" s="1"/>
      <c r="V700" s="1"/>
      <c r="W700" s="1"/>
      <c r="X700" s="1"/>
      <c r="Y700" s="1"/>
      <c r="Z700" s="1"/>
      <c r="AA700" s="1"/>
    </row>
    <row r="701" spans="1:27" ht="12.75" hidden="1" customHeight="1">
      <c r="A701" s="1"/>
      <c r="B701" s="10"/>
      <c r="C701" s="10"/>
      <c r="D701" s="26"/>
      <c r="E701" s="10"/>
      <c r="F701" s="10"/>
      <c r="G701" s="71"/>
      <c r="H701" s="10"/>
      <c r="I701" s="10"/>
      <c r="J701" s="10"/>
      <c r="K701" s="71"/>
      <c r="L701" s="27"/>
      <c r="M701" s="10"/>
      <c r="N701" s="10"/>
      <c r="O701" s="59"/>
      <c r="P701" s="1"/>
      <c r="Q701" s="1"/>
      <c r="R701" s="1"/>
      <c r="S701" s="1"/>
      <c r="T701" s="1"/>
      <c r="U701" s="1"/>
      <c r="V701" s="1"/>
      <c r="W701" s="1"/>
      <c r="X701" s="1"/>
      <c r="Y701" s="1"/>
      <c r="Z701" s="1"/>
      <c r="AA701" s="1"/>
    </row>
    <row r="702" spans="1:27" ht="12.75" hidden="1" customHeight="1">
      <c r="A702" s="1"/>
      <c r="B702" s="10"/>
      <c r="C702" s="10"/>
      <c r="D702" s="26"/>
      <c r="E702" s="10"/>
      <c r="F702" s="10"/>
      <c r="G702" s="71"/>
      <c r="H702" s="10"/>
      <c r="I702" s="10"/>
      <c r="J702" s="10"/>
      <c r="K702" s="71"/>
      <c r="L702" s="27"/>
      <c r="M702" s="10"/>
      <c r="N702" s="10"/>
      <c r="O702" s="59"/>
      <c r="P702" s="1"/>
      <c r="Q702" s="1"/>
      <c r="R702" s="1"/>
      <c r="S702" s="1"/>
      <c r="T702" s="1"/>
      <c r="U702" s="1"/>
      <c r="V702" s="1"/>
      <c r="W702" s="1"/>
      <c r="X702" s="1"/>
      <c r="Y702" s="1"/>
      <c r="Z702" s="1"/>
      <c r="AA702" s="1"/>
    </row>
    <row r="703" spans="1:27" ht="12.75" hidden="1" customHeight="1">
      <c r="A703" s="1"/>
      <c r="B703" s="10"/>
      <c r="C703" s="10"/>
      <c r="D703" s="26"/>
      <c r="E703" s="10"/>
      <c r="F703" s="10"/>
      <c r="G703" s="71"/>
      <c r="H703" s="10"/>
      <c r="I703" s="10"/>
      <c r="J703" s="10"/>
      <c r="K703" s="71"/>
      <c r="L703" s="27"/>
      <c r="M703" s="10"/>
      <c r="N703" s="10"/>
      <c r="O703" s="59"/>
      <c r="P703" s="1"/>
      <c r="Q703" s="1"/>
      <c r="R703" s="1"/>
      <c r="S703" s="1"/>
      <c r="T703" s="1"/>
      <c r="U703" s="1"/>
      <c r="V703" s="1"/>
      <c r="W703" s="1"/>
      <c r="X703" s="1"/>
      <c r="Y703" s="1"/>
      <c r="Z703" s="1"/>
      <c r="AA703" s="1"/>
    </row>
    <row r="704" spans="1:27" ht="12.75" hidden="1" customHeight="1">
      <c r="A704" s="1"/>
      <c r="B704" s="10"/>
      <c r="C704" s="10"/>
      <c r="D704" s="26"/>
      <c r="E704" s="10"/>
      <c r="F704" s="10"/>
      <c r="G704" s="71"/>
      <c r="H704" s="10"/>
      <c r="I704" s="10"/>
      <c r="J704" s="10"/>
      <c r="K704" s="71"/>
      <c r="L704" s="27"/>
      <c r="M704" s="10"/>
      <c r="N704" s="10"/>
      <c r="O704" s="59"/>
      <c r="P704" s="1"/>
      <c r="Q704" s="1"/>
      <c r="R704" s="1"/>
      <c r="S704" s="1"/>
      <c r="T704" s="1"/>
      <c r="U704" s="1"/>
      <c r="V704" s="1"/>
      <c r="W704" s="1"/>
      <c r="X704" s="1"/>
      <c r="Y704" s="1"/>
      <c r="Z704" s="1"/>
      <c r="AA704" s="1"/>
    </row>
    <row r="705" spans="1:27" ht="12.75" hidden="1" customHeight="1">
      <c r="A705" s="1"/>
      <c r="B705" s="10"/>
      <c r="C705" s="10"/>
      <c r="D705" s="26"/>
      <c r="E705" s="10"/>
      <c r="F705" s="10"/>
      <c r="G705" s="71"/>
      <c r="H705" s="10"/>
      <c r="I705" s="10"/>
      <c r="J705" s="10"/>
      <c r="K705" s="71"/>
      <c r="L705" s="27"/>
      <c r="M705" s="10"/>
      <c r="N705" s="10"/>
      <c r="O705" s="59"/>
      <c r="P705" s="1"/>
      <c r="Q705" s="1"/>
      <c r="R705" s="1"/>
      <c r="S705" s="1"/>
      <c r="T705" s="1"/>
      <c r="U705" s="1"/>
      <c r="V705" s="1"/>
      <c r="W705" s="1"/>
      <c r="X705" s="1"/>
      <c r="Y705" s="1"/>
      <c r="Z705" s="1"/>
      <c r="AA705" s="1"/>
    </row>
    <row r="706" spans="1:27" ht="12.75" hidden="1" customHeight="1">
      <c r="A706" s="1"/>
      <c r="B706" s="10"/>
      <c r="C706" s="10"/>
      <c r="D706" s="26"/>
      <c r="E706" s="10"/>
      <c r="F706" s="10"/>
      <c r="G706" s="71"/>
      <c r="H706" s="10"/>
      <c r="I706" s="10"/>
      <c r="J706" s="10"/>
      <c r="K706" s="71"/>
      <c r="L706" s="27"/>
      <c r="M706" s="10"/>
      <c r="N706" s="10"/>
      <c r="O706" s="59"/>
      <c r="P706" s="1"/>
      <c r="Q706" s="1"/>
      <c r="R706" s="1"/>
      <c r="S706" s="1"/>
      <c r="T706" s="1"/>
      <c r="U706" s="1"/>
      <c r="V706" s="1"/>
      <c r="W706" s="1"/>
      <c r="X706" s="1"/>
      <c r="Y706" s="1"/>
      <c r="Z706" s="1"/>
      <c r="AA706" s="1"/>
    </row>
    <row r="707" spans="1:27" ht="12.75" hidden="1" customHeight="1">
      <c r="A707" s="1"/>
      <c r="B707" s="10"/>
      <c r="C707" s="10"/>
      <c r="D707" s="26"/>
      <c r="E707" s="10"/>
      <c r="F707" s="10"/>
      <c r="G707" s="71"/>
      <c r="H707" s="10"/>
      <c r="I707" s="10"/>
      <c r="J707" s="10"/>
      <c r="K707" s="71"/>
      <c r="L707" s="27"/>
      <c r="M707" s="10"/>
      <c r="N707" s="10"/>
      <c r="O707" s="59"/>
      <c r="P707" s="1"/>
      <c r="Q707" s="1"/>
      <c r="R707" s="1"/>
      <c r="S707" s="1"/>
      <c r="T707" s="1"/>
      <c r="U707" s="1"/>
      <c r="V707" s="1"/>
      <c r="W707" s="1"/>
      <c r="X707" s="1"/>
      <c r="Y707" s="1"/>
      <c r="Z707" s="1"/>
      <c r="AA707" s="1"/>
    </row>
    <row r="708" spans="1:27" ht="12.75" hidden="1" customHeight="1">
      <c r="A708" s="1"/>
      <c r="B708" s="10"/>
      <c r="C708" s="10"/>
      <c r="D708" s="26"/>
      <c r="E708" s="10"/>
      <c r="F708" s="10"/>
      <c r="G708" s="71"/>
      <c r="H708" s="10"/>
      <c r="I708" s="10"/>
      <c r="J708" s="10"/>
      <c r="K708" s="71"/>
      <c r="L708" s="27"/>
      <c r="M708" s="10"/>
      <c r="N708" s="10"/>
      <c r="O708" s="59"/>
      <c r="P708" s="1"/>
      <c r="Q708" s="1"/>
      <c r="R708" s="1"/>
      <c r="S708" s="1"/>
      <c r="T708" s="1"/>
      <c r="U708" s="1"/>
      <c r="V708" s="1"/>
      <c r="W708" s="1"/>
      <c r="X708" s="1"/>
      <c r="Y708" s="1"/>
      <c r="Z708" s="1"/>
      <c r="AA708" s="1"/>
    </row>
    <row r="709" spans="1:27" ht="12.75" hidden="1" customHeight="1">
      <c r="A709" s="1"/>
      <c r="B709" s="10"/>
      <c r="C709" s="10"/>
      <c r="D709" s="26"/>
      <c r="E709" s="10"/>
      <c r="F709" s="10"/>
      <c r="G709" s="71"/>
      <c r="H709" s="10"/>
      <c r="I709" s="10"/>
      <c r="J709" s="10"/>
      <c r="K709" s="71"/>
      <c r="L709" s="27"/>
      <c r="M709" s="10"/>
      <c r="N709" s="10"/>
      <c r="O709" s="59"/>
      <c r="P709" s="1"/>
      <c r="Q709" s="1"/>
      <c r="R709" s="1"/>
      <c r="S709" s="1"/>
      <c r="T709" s="1"/>
      <c r="U709" s="1"/>
      <c r="V709" s="1"/>
      <c r="W709" s="1"/>
      <c r="X709" s="1"/>
      <c r="Y709" s="1"/>
      <c r="Z709" s="1"/>
      <c r="AA709" s="1"/>
    </row>
    <row r="710" spans="1:27" ht="12.75" hidden="1" customHeight="1">
      <c r="A710" s="1"/>
      <c r="B710" s="10"/>
      <c r="C710" s="10"/>
      <c r="D710" s="26"/>
      <c r="E710" s="10"/>
      <c r="F710" s="10"/>
      <c r="G710" s="71"/>
      <c r="H710" s="10"/>
      <c r="I710" s="10"/>
      <c r="J710" s="10"/>
      <c r="K710" s="71"/>
      <c r="L710" s="27"/>
      <c r="M710" s="10"/>
      <c r="N710" s="10"/>
      <c r="O710" s="59"/>
      <c r="P710" s="1"/>
      <c r="Q710" s="1"/>
      <c r="R710" s="1"/>
      <c r="S710" s="1"/>
      <c r="T710" s="1"/>
      <c r="U710" s="1"/>
      <c r="V710" s="1"/>
      <c r="W710" s="1"/>
      <c r="X710" s="1"/>
      <c r="Y710" s="1"/>
      <c r="Z710" s="1"/>
      <c r="AA710" s="1"/>
    </row>
    <row r="711" spans="1:27" ht="12.75" hidden="1" customHeight="1">
      <c r="A711" s="1"/>
      <c r="B711" s="10"/>
      <c r="C711" s="10"/>
      <c r="D711" s="26"/>
      <c r="E711" s="10"/>
      <c r="F711" s="10"/>
      <c r="G711" s="71"/>
      <c r="H711" s="10"/>
      <c r="I711" s="10"/>
      <c r="J711" s="10"/>
      <c r="K711" s="71"/>
      <c r="L711" s="27"/>
      <c r="M711" s="10"/>
      <c r="N711" s="10"/>
      <c r="O711" s="59"/>
      <c r="P711" s="1"/>
      <c r="Q711" s="1"/>
      <c r="R711" s="1"/>
      <c r="S711" s="1"/>
      <c r="T711" s="1"/>
      <c r="U711" s="1"/>
      <c r="V711" s="1"/>
      <c r="W711" s="1"/>
      <c r="X711" s="1"/>
      <c r="Y711" s="1"/>
      <c r="Z711" s="1"/>
      <c r="AA711" s="1"/>
    </row>
    <row r="712" spans="1:27" ht="12.75" hidden="1" customHeight="1">
      <c r="A712" s="1"/>
      <c r="B712" s="10"/>
      <c r="C712" s="10"/>
      <c r="D712" s="26"/>
      <c r="E712" s="10"/>
      <c r="F712" s="10"/>
      <c r="G712" s="71"/>
      <c r="H712" s="10"/>
      <c r="I712" s="10"/>
      <c r="J712" s="10"/>
      <c r="K712" s="71"/>
      <c r="L712" s="27"/>
      <c r="M712" s="10"/>
      <c r="N712" s="10"/>
      <c r="O712" s="59"/>
      <c r="P712" s="1"/>
      <c r="Q712" s="1"/>
      <c r="R712" s="1"/>
      <c r="S712" s="1"/>
      <c r="T712" s="1"/>
      <c r="U712" s="1"/>
      <c r="V712" s="1"/>
      <c r="W712" s="1"/>
      <c r="X712" s="1"/>
      <c r="Y712" s="1"/>
      <c r="Z712" s="1"/>
      <c r="AA712" s="1"/>
    </row>
    <row r="713" spans="1:27" ht="12.75" hidden="1" customHeight="1">
      <c r="A713" s="1"/>
      <c r="B713" s="10"/>
      <c r="C713" s="10"/>
      <c r="D713" s="26"/>
      <c r="E713" s="10"/>
      <c r="F713" s="10"/>
      <c r="G713" s="71"/>
      <c r="H713" s="10"/>
      <c r="I713" s="10"/>
      <c r="J713" s="10"/>
      <c r="K713" s="71"/>
      <c r="L713" s="27"/>
      <c r="M713" s="10"/>
      <c r="N713" s="10"/>
      <c r="O713" s="59"/>
      <c r="P713" s="1"/>
      <c r="Q713" s="1"/>
      <c r="R713" s="1"/>
      <c r="S713" s="1"/>
      <c r="T713" s="1"/>
      <c r="U713" s="1"/>
      <c r="V713" s="1"/>
      <c r="W713" s="1"/>
      <c r="X713" s="1"/>
      <c r="Y713" s="1"/>
      <c r="Z713" s="1"/>
      <c r="AA713" s="1"/>
    </row>
    <row r="714" spans="1:27" ht="12.75" hidden="1" customHeight="1">
      <c r="A714" s="1"/>
      <c r="B714" s="10"/>
      <c r="C714" s="10"/>
      <c r="D714" s="26"/>
      <c r="E714" s="10"/>
      <c r="F714" s="10"/>
      <c r="G714" s="71"/>
      <c r="H714" s="10"/>
      <c r="I714" s="10"/>
      <c r="J714" s="10"/>
      <c r="K714" s="71"/>
      <c r="L714" s="27"/>
      <c r="M714" s="10"/>
      <c r="N714" s="10"/>
      <c r="O714" s="59"/>
      <c r="P714" s="1"/>
      <c r="Q714" s="1"/>
      <c r="R714" s="1"/>
      <c r="S714" s="1"/>
      <c r="T714" s="1"/>
      <c r="U714" s="1"/>
      <c r="V714" s="1"/>
      <c r="W714" s="1"/>
      <c r="X714" s="1"/>
      <c r="Y714" s="1"/>
      <c r="Z714" s="1"/>
      <c r="AA714" s="1"/>
    </row>
    <row r="715" spans="1:27" ht="12.75" hidden="1" customHeight="1">
      <c r="A715" s="1"/>
      <c r="B715" s="10"/>
      <c r="C715" s="10"/>
      <c r="D715" s="26"/>
      <c r="E715" s="10"/>
      <c r="F715" s="10"/>
      <c r="G715" s="71"/>
      <c r="H715" s="10"/>
      <c r="I715" s="10"/>
      <c r="J715" s="10"/>
      <c r="K715" s="71"/>
      <c r="L715" s="27"/>
      <c r="M715" s="10"/>
      <c r="N715" s="10"/>
      <c r="O715" s="59"/>
      <c r="P715" s="1"/>
      <c r="Q715" s="1"/>
      <c r="R715" s="1"/>
      <c r="S715" s="1"/>
      <c r="T715" s="1"/>
      <c r="U715" s="1"/>
      <c r="V715" s="1"/>
      <c r="W715" s="1"/>
      <c r="X715" s="1"/>
      <c r="Y715" s="1"/>
      <c r="Z715" s="1"/>
      <c r="AA715" s="1"/>
    </row>
    <row r="716" spans="1:27" ht="12.75" hidden="1" customHeight="1">
      <c r="A716" s="1"/>
      <c r="B716" s="10"/>
      <c r="C716" s="10"/>
      <c r="D716" s="26"/>
      <c r="E716" s="10"/>
      <c r="F716" s="10"/>
      <c r="G716" s="71"/>
      <c r="H716" s="10"/>
      <c r="I716" s="10"/>
      <c r="J716" s="10"/>
      <c r="K716" s="71"/>
      <c r="L716" s="27"/>
      <c r="M716" s="10"/>
      <c r="N716" s="10"/>
      <c r="O716" s="59"/>
      <c r="P716" s="1"/>
      <c r="Q716" s="1"/>
      <c r="R716" s="1"/>
      <c r="S716" s="1"/>
      <c r="T716" s="1"/>
      <c r="U716" s="1"/>
      <c r="V716" s="1"/>
      <c r="W716" s="1"/>
      <c r="X716" s="1"/>
      <c r="Y716" s="1"/>
      <c r="Z716" s="1"/>
      <c r="AA716" s="1"/>
    </row>
    <row r="717" spans="1:27" ht="12.75" hidden="1" customHeight="1">
      <c r="A717" s="1"/>
      <c r="B717" s="10"/>
      <c r="C717" s="10"/>
      <c r="D717" s="26"/>
      <c r="E717" s="10"/>
      <c r="F717" s="10"/>
      <c r="G717" s="71"/>
      <c r="H717" s="10"/>
      <c r="I717" s="10"/>
      <c r="J717" s="10"/>
      <c r="K717" s="71"/>
      <c r="L717" s="27"/>
      <c r="M717" s="10"/>
      <c r="N717" s="10"/>
      <c r="O717" s="59"/>
      <c r="P717" s="1"/>
      <c r="Q717" s="1"/>
      <c r="R717" s="1"/>
      <c r="S717" s="1"/>
      <c r="T717" s="1"/>
      <c r="U717" s="1"/>
      <c r="V717" s="1"/>
      <c r="W717" s="1"/>
      <c r="X717" s="1"/>
      <c r="Y717" s="1"/>
      <c r="Z717" s="1"/>
      <c r="AA717" s="1"/>
    </row>
    <row r="718" spans="1:27" ht="12.75" hidden="1" customHeight="1">
      <c r="A718" s="1"/>
      <c r="B718" s="10"/>
      <c r="C718" s="10"/>
      <c r="D718" s="26"/>
      <c r="E718" s="10"/>
      <c r="F718" s="10"/>
      <c r="G718" s="71"/>
      <c r="H718" s="10"/>
      <c r="I718" s="10"/>
      <c r="J718" s="10"/>
      <c r="K718" s="71"/>
      <c r="L718" s="27"/>
      <c r="M718" s="10"/>
      <c r="N718" s="10"/>
      <c r="O718" s="59"/>
      <c r="P718" s="1"/>
      <c r="Q718" s="1"/>
      <c r="R718" s="1"/>
      <c r="S718" s="1"/>
      <c r="T718" s="1"/>
      <c r="U718" s="1"/>
      <c r="V718" s="1"/>
      <c r="W718" s="1"/>
      <c r="X718" s="1"/>
      <c r="Y718" s="1"/>
      <c r="Z718" s="1"/>
      <c r="AA718" s="1"/>
    </row>
    <row r="719" spans="1:27" ht="12.75" hidden="1" customHeight="1">
      <c r="A719" s="1"/>
      <c r="B719" s="10"/>
      <c r="C719" s="10"/>
      <c r="D719" s="26"/>
      <c r="E719" s="10"/>
      <c r="F719" s="10"/>
      <c r="G719" s="71"/>
      <c r="H719" s="10"/>
      <c r="I719" s="10"/>
      <c r="J719" s="10"/>
      <c r="K719" s="71"/>
      <c r="L719" s="27"/>
      <c r="M719" s="10"/>
      <c r="N719" s="10"/>
      <c r="O719" s="59"/>
      <c r="P719" s="1"/>
      <c r="Q719" s="1"/>
      <c r="R719" s="1"/>
      <c r="S719" s="1"/>
      <c r="T719" s="1"/>
      <c r="U719" s="1"/>
      <c r="V719" s="1"/>
      <c r="W719" s="1"/>
      <c r="X719" s="1"/>
      <c r="Y719" s="1"/>
      <c r="Z719" s="1"/>
      <c r="AA719" s="1"/>
    </row>
    <row r="720" spans="1:27" ht="12.75" hidden="1" customHeight="1">
      <c r="A720" s="1"/>
      <c r="B720" s="10"/>
      <c r="C720" s="10"/>
      <c r="D720" s="26"/>
      <c r="E720" s="10"/>
      <c r="F720" s="10"/>
      <c r="G720" s="71"/>
      <c r="H720" s="10"/>
      <c r="I720" s="10"/>
      <c r="J720" s="10"/>
      <c r="K720" s="71"/>
      <c r="L720" s="27"/>
      <c r="M720" s="10"/>
      <c r="N720" s="10"/>
      <c r="O720" s="59"/>
      <c r="P720" s="1"/>
      <c r="Q720" s="1"/>
      <c r="R720" s="1"/>
      <c r="S720" s="1"/>
      <c r="T720" s="1"/>
      <c r="U720" s="1"/>
      <c r="V720" s="1"/>
      <c r="W720" s="1"/>
      <c r="X720" s="1"/>
      <c r="Y720" s="1"/>
      <c r="Z720" s="1"/>
      <c r="AA720" s="1"/>
    </row>
    <row r="721" spans="1:27" ht="12.75" hidden="1" customHeight="1">
      <c r="A721" s="1"/>
      <c r="B721" s="10"/>
      <c r="C721" s="10"/>
      <c r="D721" s="26"/>
      <c r="E721" s="10"/>
      <c r="F721" s="10"/>
      <c r="G721" s="71"/>
      <c r="H721" s="10"/>
      <c r="I721" s="10"/>
      <c r="J721" s="10"/>
      <c r="K721" s="71"/>
      <c r="L721" s="27"/>
      <c r="M721" s="10"/>
      <c r="N721" s="10"/>
      <c r="O721" s="59"/>
      <c r="P721" s="1"/>
      <c r="Q721" s="1"/>
      <c r="R721" s="1"/>
      <c r="S721" s="1"/>
      <c r="T721" s="1"/>
      <c r="U721" s="1"/>
      <c r="V721" s="1"/>
      <c r="W721" s="1"/>
      <c r="X721" s="1"/>
      <c r="Y721" s="1"/>
      <c r="Z721" s="1"/>
      <c r="AA721" s="1"/>
    </row>
    <row r="722" spans="1:27" ht="12.75" hidden="1" customHeight="1">
      <c r="A722" s="1"/>
      <c r="B722" s="10"/>
      <c r="C722" s="10"/>
      <c r="D722" s="26"/>
      <c r="E722" s="10"/>
      <c r="F722" s="10"/>
      <c r="G722" s="71"/>
      <c r="H722" s="10"/>
      <c r="I722" s="10"/>
      <c r="J722" s="10"/>
      <c r="K722" s="71"/>
      <c r="L722" s="27"/>
      <c r="M722" s="10"/>
      <c r="N722" s="10"/>
      <c r="O722" s="59"/>
      <c r="P722" s="1"/>
      <c r="Q722" s="1"/>
      <c r="R722" s="1"/>
      <c r="S722" s="1"/>
      <c r="T722" s="1"/>
      <c r="U722" s="1"/>
      <c r="V722" s="1"/>
      <c r="W722" s="1"/>
      <c r="X722" s="1"/>
      <c r="Y722" s="1"/>
      <c r="Z722" s="1"/>
      <c r="AA722" s="1"/>
    </row>
    <row r="723" spans="1:27" ht="12.75" hidden="1" customHeight="1">
      <c r="A723" s="1"/>
      <c r="B723" s="10"/>
      <c r="C723" s="10"/>
      <c r="D723" s="26"/>
      <c r="E723" s="10"/>
      <c r="F723" s="10"/>
      <c r="G723" s="71"/>
      <c r="H723" s="10"/>
      <c r="I723" s="10"/>
      <c r="J723" s="10"/>
      <c r="K723" s="71"/>
      <c r="L723" s="27"/>
      <c r="M723" s="10"/>
      <c r="N723" s="10"/>
      <c r="O723" s="59"/>
      <c r="P723" s="1"/>
      <c r="Q723" s="1"/>
      <c r="R723" s="1"/>
      <c r="S723" s="1"/>
      <c r="T723" s="1"/>
      <c r="U723" s="1"/>
      <c r="V723" s="1"/>
      <c r="W723" s="1"/>
      <c r="X723" s="1"/>
      <c r="Y723" s="1"/>
      <c r="Z723" s="1"/>
      <c r="AA723" s="1"/>
    </row>
    <row r="724" spans="1:27" ht="12.75" hidden="1" customHeight="1">
      <c r="A724" s="1"/>
      <c r="B724" s="10"/>
      <c r="C724" s="10"/>
      <c r="D724" s="26"/>
      <c r="E724" s="10"/>
      <c r="F724" s="10"/>
      <c r="G724" s="71"/>
      <c r="H724" s="10"/>
      <c r="I724" s="10"/>
      <c r="J724" s="10"/>
      <c r="K724" s="71"/>
      <c r="L724" s="27"/>
      <c r="M724" s="10"/>
      <c r="N724" s="10"/>
      <c r="O724" s="59"/>
      <c r="P724" s="1"/>
      <c r="Q724" s="1"/>
      <c r="R724" s="1"/>
      <c r="S724" s="1"/>
      <c r="T724" s="1"/>
      <c r="U724" s="1"/>
      <c r="V724" s="1"/>
      <c r="W724" s="1"/>
      <c r="X724" s="1"/>
      <c r="Y724" s="1"/>
      <c r="Z724" s="1"/>
      <c r="AA724" s="1"/>
    </row>
    <row r="725" spans="1:27" ht="12.75" hidden="1" customHeight="1">
      <c r="A725" s="1"/>
      <c r="B725" s="10"/>
      <c r="C725" s="10"/>
      <c r="D725" s="26"/>
      <c r="E725" s="10"/>
      <c r="F725" s="10"/>
      <c r="G725" s="71"/>
      <c r="H725" s="10"/>
      <c r="I725" s="10"/>
      <c r="J725" s="10"/>
      <c r="K725" s="71"/>
      <c r="L725" s="27"/>
      <c r="M725" s="10"/>
      <c r="N725" s="10"/>
      <c r="O725" s="59"/>
      <c r="P725" s="1"/>
      <c r="Q725" s="1"/>
      <c r="R725" s="1"/>
      <c r="S725" s="1"/>
      <c r="T725" s="1"/>
      <c r="U725" s="1"/>
      <c r="V725" s="1"/>
      <c r="W725" s="1"/>
      <c r="X725" s="1"/>
      <c r="Y725" s="1"/>
      <c r="Z725" s="1"/>
      <c r="AA725" s="1"/>
    </row>
    <row r="726" spans="1:27" ht="12.75" hidden="1" customHeight="1">
      <c r="A726" s="1"/>
      <c r="B726" s="10"/>
      <c r="C726" s="10"/>
      <c r="D726" s="26"/>
      <c r="E726" s="10"/>
      <c r="F726" s="10"/>
      <c r="G726" s="71"/>
      <c r="H726" s="10"/>
      <c r="I726" s="10"/>
      <c r="J726" s="10"/>
      <c r="K726" s="71"/>
      <c r="L726" s="27"/>
      <c r="M726" s="10"/>
      <c r="N726" s="10"/>
      <c r="O726" s="59"/>
      <c r="P726" s="1"/>
      <c r="Q726" s="1"/>
      <c r="R726" s="1"/>
      <c r="S726" s="1"/>
      <c r="T726" s="1"/>
      <c r="U726" s="1"/>
      <c r="V726" s="1"/>
      <c r="W726" s="1"/>
      <c r="X726" s="1"/>
      <c r="Y726" s="1"/>
      <c r="Z726" s="1"/>
      <c r="AA726" s="1"/>
    </row>
    <row r="727" spans="1:27" ht="12.75" hidden="1" customHeight="1">
      <c r="A727" s="1"/>
      <c r="B727" s="10"/>
      <c r="C727" s="10"/>
      <c r="D727" s="26"/>
      <c r="E727" s="10"/>
      <c r="F727" s="10"/>
      <c r="G727" s="71"/>
      <c r="H727" s="10"/>
      <c r="I727" s="10"/>
      <c r="J727" s="10"/>
      <c r="K727" s="71"/>
      <c r="L727" s="27"/>
      <c r="M727" s="10"/>
      <c r="N727" s="10"/>
      <c r="O727" s="59"/>
      <c r="P727" s="1"/>
      <c r="Q727" s="1"/>
      <c r="R727" s="1"/>
      <c r="S727" s="1"/>
      <c r="T727" s="1"/>
      <c r="U727" s="1"/>
      <c r="V727" s="1"/>
      <c r="W727" s="1"/>
      <c r="X727" s="1"/>
      <c r="Y727" s="1"/>
      <c r="Z727" s="1"/>
      <c r="AA727" s="1"/>
    </row>
    <row r="728" spans="1:27" ht="12.75" hidden="1" customHeight="1">
      <c r="A728" s="1"/>
      <c r="B728" s="10"/>
      <c r="C728" s="10"/>
      <c r="D728" s="26"/>
      <c r="E728" s="10"/>
      <c r="F728" s="10"/>
      <c r="G728" s="71"/>
      <c r="H728" s="10"/>
      <c r="I728" s="10"/>
      <c r="J728" s="10"/>
      <c r="K728" s="71"/>
      <c r="L728" s="27"/>
      <c r="M728" s="10"/>
      <c r="N728" s="10"/>
      <c r="O728" s="59"/>
      <c r="P728" s="1"/>
      <c r="Q728" s="1"/>
      <c r="R728" s="1"/>
      <c r="S728" s="1"/>
      <c r="T728" s="1"/>
      <c r="U728" s="1"/>
      <c r="V728" s="1"/>
      <c r="W728" s="1"/>
      <c r="X728" s="1"/>
      <c r="Y728" s="1"/>
      <c r="Z728" s="1"/>
      <c r="AA728" s="1"/>
    </row>
    <row r="729" spans="1:27" ht="12.75" hidden="1" customHeight="1">
      <c r="A729" s="1"/>
      <c r="B729" s="10"/>
      <c r="C729" s="10"/>
      <c r="D729" s="26"/>
      <c r="E729" s="10"/>
      <c r="F729" s="10"/>
      <c r="G729" s="71"/>
      <c r="H729" s="10"/>
      <c r="I729" s="10"/>
      <c r="J729" s="10"/>
      <c r="K729" s="71"/>
      <c r="L729" s="27"/>
      <c r="M729" s="10"/>
      <c r="N729" s="10"/>
      <c r="O729" s="59"/>
      <c r="P729" s="1"/>
      <c r="Q729" s="1"/>
      <c r="R729" s="1"/>
      <c r="S729" s="1"/>
      <c r="T729" s="1"/>
      <c r="U729" s="1"/>
      <c r="V729" s="1"/>
      <c r="W729" s="1"/>
      <c r="X729" s="1"/>
      <c r="Y729" s="1"/>
      <c r="Z729" s="1"/>
      <c r="AA729" s="1"/>
    </row>
    <row r="730" spans="1:27" ht="12.75" hidden="1" customHeight="1">
      <c r="A730" s="1"/>
      <c r="B730" s="10"/>
      <c r="C730" s="10"/>
      <c r="D730" s="26"/>
      <c r="E730" s="10"/>
      <c r="F730" s="10"/>
      <c r="G730" s="71"/>
      <c r="H730" s="10"/>
      <c r="I730" s="10"/>
      <c r="J730" s="10"/>
      <c r="K730" s="71"/>
      <c r="L730" s="27"/>
      <c r="M730" s="10"/>
      <c r="N730" s="10"/>
      <c r="O730" s="59"/>
      <c r="P730" s="1"/>
      <c r="Q730" s="1"/>
      <c r="R730" s="1"/>
      <c r="S730" s="1"/>
      <c r="T730" s="1"/>
      <c r="U730" s="1"/>
      <c r="V730" s="1"/>
      <c r="W730" s="1"/>
      <c r="X730" s="1"/>
      <c r="Y730" s="1"/>
      <c r="Z730" s="1"/>
      <c r="AA730" s="1"/>
    </row>
    <row r="731" spans="1:27" ht="12.75" hidden="1" customHeight="1">
      <c r="A731" s="1"/>
      <c r="B731" s="10"/>
      <c r="C731" s="10"/>
      <c r="D731" s="26"/>
      <c r="E731" s="10"/>
      <c r="F731" s="10"/>
      <c r="G731" s="71"/>
      <c r="H731" s="10"/>
      <c r="I731" s="10"/>
      <c r="J731" s="10"/>
      <c r="K731" s="71"/>
      <c r="L731" s="27"/>
      <c r="M731" s="10"/>
      <c r="N731" s="10"/>
      <c r="O731" s="59"/>
      <c r="P731" s="1"/>
      <c r="Q731" s="1"/>
      <c r="R731" s="1"/>
      <c r="S731" s="1"/>
      <c r="T731" s="1"/>
      <c r="U731" s="1"/>
      <c r="V731" s="1"/>
      <c r="W731" s="1"/>
      <c r="X731" s="1"/>
      <c r="Y731" s="1"/>
      <c r="Z731" s="1"/>
      <c r="AA731" s="1"/>
    </row>
    <row r="732" spans="1:27" ht="12.75" hidden="1" customHeight="1">
      <c r="A732" s="1"/>
      <c r="B732" s="10"/>
      <c r="C732" s="10"/>
      <c r="D732" s="26"/>
      <c r="E732" s="10"/>
      <c r="F732" s="10"/>
      <c r="G732" s="71"/>
      <c r="H732" s="10"/>
      <c r="I732" s="10"/>
      <c r="J732" s="10"/>
      <c r="K732" s="71"/>
      <c r="L732" s="27"/>
      <c r="M732" s="10"/>
      <c r="N732" s="10"/>
      <c r="O732" s="59"/>
      <c r="P732" s="1"/>
      <c r="Q732" s="1"/>
      <c r="R732" s="1"/>
      <c r="S732" s="1"/>
      <c r="T732" s="1"/>
      <c r="U732" s="1"/>
      <c r="V732" s="1"/>
      <c r="W732" s="1"/>
      <c r="X732" s="1"/>
      <c r="Y732" s="1"/>
      <c r="Z732" s="1"/>
      <c r="AA732" s="1"/>
    </row>
    <row r="733" spans="1:27" ht="12.75" hidden="1" customHeight="1">
      <c r="A733" s="1"/>
      <c r="B733" s="10"/>
      <c r="C733" s="10"/>
      <c r="D733" s="26"/>
      <c r="E733" s="10"/>
      <c r="F733" s="10"/>
      <c r="G733" s="71"/>
      <c r="H733" s="10"/>
      <c r="I733" s="10"/>
      <c r="J733" s="10"/>
      <c r="K733" s="71"/>
      <c r="L733" s="27"/>
      <c r="M733" s="10"/>
      <c r="N733" s="10"/>
      <c r="O733" s="59"/>
      <c r="P733" s="1"/>
      <c r="Q733" s="1"/>
      <c r="R733" s="1"/>
      <c r="S733" s="1"/>
      <c r="T733" s="1"/>
      <c r="U733" s="1"/>
      <c r="V733" s="1"/>
      <c r="W733" s="1"/>
      <c r="X733" s="1"/>
      <c r="Y733" s="1"/>
      <c r="Z733" s="1"/>
      <c r="AA733" s="1"/>
    </row>
    <row r="734" spans="1:27" ht="12.75" hidden="1" customHeight="1">
      <c r="A734" s="1"/>
      <c r="B734" s="10"/>
      <c r="C734" s="10"/>
      <c r="D734" s="26"/>
      <c r="E734" s="10"/>
      <c r="F734" s="10"/>
      <c r="G734" s="71"/>
      <c r="H734" s="10"/>
      <c r="I734" s="10"/>
      <c r="J734" s="10"/>
      <c r="K734" s="71"/>
      <c r="L734" s="27"/>
      <c r="M734" s="10"/>
      <c r="N734" s="10"/>
      <c r="O734" s="59"/>
      <c r="P734" s="1"/>
      <c r="Q734" s="1"/>
      <c r="R734" s="1"/>
      <c r="S734" s="1"/>
      <c r="T734" s="1"/>
      <c r="U734" s="1"/>
      <c r="V734" s="1"/>
      <c r="W734" s="1"/>
      <c r="X734" s="1"/>
      <c r="Y734" s="1"/>
      <c r="Z734" s="1"/>
      <c r="AA734" s="1"/>
    </row>
    <row r="735" spans="1:27" ht="12.75" hidden="1" customHeight="1">
      <c r="A735" s="1"/>
      <c r="B735" s="10"/>
      <c r="C735" s="10"/>
      <c r="D735" s="26"/>
      <c r="E735" s="10"/>
      <c r="F735" s="10"/>
      <c r="G735" s="71"/>
      <c r="H735" s="10"/>
      <c r="I735" s="10"/>
      <c r="J735" s="10"/>
      <c r="K735" s="71"/>
      <c r="L735" s="27"/>
      <c r="M735" s="10"/>
      <c r="N735" s="10"/>
      <c r="O735" s="59"/>
      <c r="P735" s="1"/>
      <c r="Q735" s="1"/>
      <c r="R735" s="1"/>
      <c r="S735" s="1"/>
      <c r="T735" s="1"/>
      <c r="U735" s="1"/>
      <c r="V735" s="1"/>
      <c r="W735" s="1"/>
      <c r="X735" s="1"/>
      <c r="Y735" s="1"/>
      <c r="Z735" s="1"/>
      <c r="AA735" s="1"/>
    </row>
    <row r="736" spans="1:27" ht="12.75" hidden="1" customHeight="1">
      <c r="A736" s="1"/>
      <c r="B736" s="10"/>
      <c r="C736" s="10"/>
      <c r="D736" s="26"/>
      <c r="E736" s="10"/>
      <c r="F736" s="10"/>
      <c r="G736" s="71"/>
      <c r="H736" s="10"/>
      <c r="I736" s="10"/>
      <c r="J736" s="10"/>
      <c r="K736" s="71"/>
      <c r="L736" s="27"/>
      <c r="M736" s="10"/>
      <c r="N736" s="10"/>
      <c r="O736" s="59"/>
      <c r="P736" s="1"/>
      <c r="Q736" s="1"/>
      <c r="R736" s="1"/>
      <c r="S736" s="1"/>
      <c r="T736" s="1"/>
      <c r="U736" s="1"/>
      <c r="V736" s="1"/>
      <c r="W736" s="1"/>
      <c r="X736" s="1"/>
      <c r="Y736" s="1"/>
      <c r="Z736" s="1"/>
      <c r="AA736" s="1"/>
    </row>
    <row r="737" spans="1:27" ht="12.75" hidden="1" customHeight="1">
      <c r="A737" s="1"/>
      <c r="B737" s="10"/>
      <c r="C737" s="10"/>
      <c r="D737" s="26"/>
      <c r="E737" s="10"/>
      <c r="F737" s="10"/>
      <c r="G737" s="71"/>
      <c r="H737" s="10"/>
      <c r="I737" s="10"/>
      <c r="J737" s="10"/>
      <c r="K737" s="71"/>
      <c r="L737" s="27"/>
      <c r="M737" s="10"/>
      <c r="N737" s="10"/>
      <c r="O737" s="59"/>
      <c r="P737" s="1"/>
      <c r="Q737" s="1"/>
      <c r="R737" s="1"/>
      <c r="S737" s="1"/>
      <c r="T737" s="1"/>
      <c r="U737" s="1"/>
      <c r="V737" s="1"/>
      <c r="W737" s="1"/>
      <c r="X737" s="1"/>
      <c r="Y737" s="1"/>
      <c r="Z737" s="1"/>
      <c r="AA737" s="1"/>
    </row>
    <row r="738" spans="1:27" ht="12.75" hidden="1" customHeight="1">
      <c r="A738" s="1"/>
      <c r="B738" s="10"/>
      <c r="C738" s="10"/>
      <c r="D738" s="26"/>
      <c r="E738" s="10"/>
      <c r="F738" s="10"/>
      <c r="G738" s="71"/>
      <c r="H738" s="10"/>
      <c r="I738" s="10"/>
      <c r="J738" s="10"/>
      <c r="K738" s="71"/>
      <c r="L738" s="27"/>
      <c r="M738" s="10"/>
      <c r="N738" s="10"/>
      <c r="O738" s="59"/>
      <c r="P738" s="1"/>
      <c r="Q738" s="1"/>
      <c r="R738" s="1"/>
      <c r="S738" s="1"/>
      <c r="T738" s="1"/>
      <c r="U738" s="1"/>
      <c r="V738" s="1"/>
      <c r="W738" s="1"/>
      <c r="X738" s="1"/>
      <c r="Y738" s="1"/>
      <c r="Z738" s="1"/>
      <c r="AA738" s="1"/>
    </row>
    <row r="739" spans="1:27" ht="12.75" hidden="1" customHeight="1">
      <c r="A739" s="1"/>
      <c r="B739" s="10"/>
      <c r="C739" s="10"/>
      <c r="D739" s="26"/>
      <c r="E739" s="10"/>
      <c r="F739" s="10"/>
      <c r="G739" s="71"/>
      <c r="H739" s="10"/>
      <c r="I739" s="10"/>
      <c r="J739" s="10"/>
      <c r="K739" s="71"/>
      <c r="L739" s="27"/>
      <c r="M739" s="10"/>
      <c r="N739" s="10"/>
      <c r="O739" s="59"/>
      <c r="P739" s="1"/>
      <c r="Q739" s="1"/>
      <c r="R739" s="1"/>
      <c r="S739" s="1"/>
      <c r="T739" s="1"/>
      <c r="U739" s="1"/>
      <c r="V739" s="1"/>
      <c r="W739" s="1"/>
      <c r="X739" s="1"/>
      <c r="Y739" s="1"/>
      <c r="Z739" s="1"/>
      <c r="AA739" s="1"/>
    </row>
    <row r="740" spans="1:27" ht="12.75" hidden="1" customHeight="1">
      <c r="A740" s="1"/>
      <c r="B740" s="10"/>
      <c r="C740" s="10"/>
      <c r="D740" s="26"/>
      <c r="E740" s="10"/>
      <c r="F740" s="10"/>
      <c r="G740" s="71"/>
      <c r="H740" s="10"/>
      <c r="I740" s="10"/>
      <c r="J740" s="10"/>
      <c r="K740" s="71"/>
      <c r="L740" s="27"/>
      <c r="M740" s="10"/>
      <c r="N740" s="10"/>
      <c r="O740" s="59"/>
      <c r="P740" s="1"/>
      <c r="Q740" s="1"/>
      <c r="R740" s="1"/>
      <c r="S740" s="1"/>
      <c r="T740" s="1"/>
      <c r="U740" s="1"/>
      <c r="V740" s="1"/>
      <c r="W740" s="1"/>
      <c r="X740" s="1"/>
      <c r="Y740" s="1"/>
      <c r="Z740" s="1"/>
      <c r="AA740" s="1"/>
    </row>
    <row r="741" spans="1:27" ht="12.75" hidden="1" customHeight="1">
      <c r="A741" s="1"/>
      <c r="B741" s="10"/>
      <c r="C741" s="10"/>
      <c r="D741" s="26"/>
      <c r="E741" s="10"/>
      <c r="F741" s="10"/>
      <c r="G741" s="71"/>
      <c r="H741" s="10"/>
      <c r="I741" s="10"/>
      <c r="J741" s="10"/>
      <c r="K741" s="71"/>
      <c r="L741" s="27"/>
      <c r="M741" s="10"/>
      <c r="N741" s="10"/>
      <c r="O741" s="59"/>
      <c r="P741" s="1"/>
      <c r="Q741" s="1"/>
      <c r="R741" s="1"/>
      <c r="S741" s="1"/>
      <c r="T741" s="1"/>
      <c r="U741" s="1"/>
      <c r="V741" s="1"/>
      <c r="W741" s="1"/>
      <c r="X741" s="1"/>
      <c r="Y741" s="1"/>
      <c r="Z741" s="1"/>
      <c r="AA741" s="1"/>
    </row>
    <row r="742" spans="1:27" ht="12.75" hidden="1" customHeight="1">
      <c r="A742" s="1"/>
      <c r="B742" s="10"/>
      <c r="C742" s="10"/>
      <c r="D742" s="26"/>
      <c r="E742" s="10"/>
      <c r="F742" s="10"/>
      <c r="G742" s="71"/>
      <c r="H742" s="10"/>
      <c r="I742" s="10"/>
      <c r="J742" s="10"/>
      <c r="K742" s="71"/>
      <c r="L742" s="27"/>
      <c r="M742" s="10"/>
      <c r="N742" s="10"/>
      <c r="O742" s="59"/>
      <c r="P742" s="1"/>
      <c r="Q742" s="1"/>
      <c r="R742" s="1"/>
      <c r="S742" s="1"/>
      <c r="T742" s="1"/>
      <c r="U742" s="1"/>
      <c r="V742" s="1"/>
      <c r="W742" s="1"/>
      <c r="X742" s="1"/>
      <c r="Y742" s="1"/>
      <c r="Z742" s="1"/>
      <c r="AA742" s="1"/>
    </row>
    <row r="743" spans="1:27" ht="12.75" hidden="1" customHeight="1">
      <c r="A743" s="1"/>
      <c r="B743" s="10"/>
      <c r="C743" s="10"/>
      <c r="D743" s="26"/>
      <c r="E743" s="10"/>
      <c r="F743" s="10"/>
      <c r="G743" s="71"/>
      <c r="H743" s="10"/>
      <c r="I743" s="10"/>
      <c r="J743" s="10"/>
      <c r="K743" s="71"/>
      <c r="L743" s="27"/>
      <c r="M743" s="10"/>
      <c r="N743" s="10"/>
      <c r="O743" s="59"/>
      <c r="P743" s="1"/>
      <c r="Q743" s="1"/>
      <c r="R743" s="1"/>
      <c r="S743" s="1"/>
      <c r="T743" s="1"/>
      <c r="U743" s="1"/>
      <c r="V743" s="1"/>
      <c r="W743" s="1"/>
      <c r="X743" s="1"/>
      <c r="Y743" s="1"/>
      <c r="Z743" s="1"/>
      <c r="AA743" s="1"/>
    </row>
    <row r="744" spans="1:27" ht="12.75" hidden="1" customHeight="1">
      <c r="A744" s="1"/>
      <c r="B744" s="10"/>
      <c r="C744" s="10"/>
      <c r="D744" s="26"/>
      <c r="E744" s="10"/>
      <c r="F744" s="10"/>
      <c r="G744" s="71"/>
      <c r="H744" s="10"/>
      <c r="I744" s="10"/>
      <c r="J744" s="10"/>
      <c r="K744" s="71"/>
      <c r="L744" s="27"/>
      <c r="M744" s="10"/>
      <c r="N744" s="10"/>
      <c r="O744" s="59"/>
      <c r="P744" s="1"/>
      <c r="Q744" s="1"/>
      <c r="R744" s="1"/>
      <c r="S744" s="1"/>
      <c r="T744" s="1"/>
      <c r="U744" s="1"/>
      <c r="V744" s="1"/>
      <c r="W744" s="1"/>
      <c r="X744" s="1"/>
      <c r="Y744" s="1"/>
      <c r="Z744" s="1"/>
      <c r="AA744" s="1"/>
    </row>
    <row r="745" spans="1:27" ht="12.75" hidden="1" customHeight="1">
      <c r="A745" s="1"/>
      <c r="B745" s="10"/>
      <c r="C745" s="10"/>
      <c r="D745" s="26"/>
      <c r="E745" s="10"/>
      <c r="F745" s="10"/>
      <c r="G745" s="71"/>
      <c r="H745" s="10"/>
      <c r="I745" s="10"/>
      <c r="J745" s="10"/>
      <c r="K745" s="71"/>
      <c r="L745" s="27"/>
      <c r="M745" s="10"/>
      <c r="N745" s="10"/>
      <c r="O745" s="59"/>
      <c r="P745" s="1"/>
      <c r="Q745" s="1"/>
      <c r="R745" s="1"/>
      <c r="S745" s="1"/>
      <c r="T745" s="1"/>
      <c r="U745" s="1"/>
      <c r="V745" s="1"/>
      <c r="W745" s="1"/>
      <c r="X745" s="1"/>
      <c r="Y745" s="1"/>
      <c r="Z745" s="1"/>
      <c r="AA745" s="1"/>
    </row>
    <row r="746" spans="1:27" ht="12.75" hidden="1" customHeight="1">
      <c r="A746" s="1"/>
      <c r="B746" s="10"/>
      <c r="C746" s="10"/>
      <c r="D746" s="26"/>
      <c r="E746" s="10"/>
      <c r="F746" s="10"/>
      <c r="G746" s="71"/>
      <c r="H746" s="10"/>
      <c r="I746" s="10"/>
      <c r="J746" s="10"/>
      <c r="K746" s="71"/>
      <c r="L746" s="27"/>
      <c r="M746" s="10"/>
      <c r="N746" s="10"/>
      <c r="O746" s="59"/>
      <c r="P746" s="1"/>
      <c r="Q746" s="1"/>
      <c r="R746" s="1"/>
      <c r="S746" s="1"/>
      <c r="T746" s="1"/>
      <c r="U746" s="1"/>
      <c r="V746" s="1"/>
      <c r="W746" s="1"/>
      <c r="X746" s="1"/>
      <c r="Y746" s="1"/>
      <c r="Z746" s="1"/>
      <c r="AA746" s="1"/>
    </row>
    <row r="747" spans="1:27" ht="12.75" hidden="1" customHeight="1">
      <c r="A747" s="1"/>
      <c r="B747" s="10"/>
      <c r="C747" s="10"/>
      <c r="D747" s="26"/>
      <c r="E747" s="10"/>
      <c r="F747" s="10"/>
      <c r="G747" s="71"/>
      <c r="H747" s="10"/>
      <c r="I747" s="10"/>
      <c r="J747" s="10"/>
      <c r="K747" s="71"/>
      <c r="L747" s="27"/>
      <c r="M747" s="10"/>
      <c r="N747" s="10"/>
      <c r="O747" s="59"/>
      <c r="P747" s="1"/>
      <c r="Q747" s="1"/>
      <c r="R747" s="1"/>
      <c r="S747" s="1"/>
      <c r="T747" s="1"/>
      <c r="U747" s="1"/>
      <c r="V747" s="1"/>
      <c r="W747" s="1"/>
      <c r="X747" s="1"/>
      <c r="Y747" s="1"/>
      <c r="Z747" s="1"/>
      <c r="AA747" s="1"/>
    </row>
    <row r="748" spans="1:27" ht="12.75" hidden="1" customHeight="1">
      <c r="A748" s="1"/>
      <c r="B748" s="10"/>
      <c r="C748" s="10"/>
      <c r="D748" s="26"/>
      <c r="E748" s="10"/>
      <c r="F748" s="10"/>
      <c r="G748" s="71"/>
      <c r="H748" s="10"/>
      <c r="I748" s="10"/>
      <c r="J748" s="10"/>
      <c r="K748" s="71"/>
      <c r="L748" s="27"/>
      <c r="M748" s="10"/>
      <c r="N748" s="10"/>
      <c r="O748" s="59"/>
      <c r="P748" s="1"/>
      <c r="Q748" s="1"/>
      <c r="R748" s="1"/>
      <c r="S748" s="1"/>
      <c r="T748" s="1"/>
      <c r="U748" s="1"/>
      <c r="V748" s="1"/>
      <c r="W748" s="1"/>
      <c r="X748" s="1"/>
      <c r="Y748" s="1"/>
      <c r="Z748" s="1"/>
      <c r="AA748" s="1"/>
    </row>
    <row r="749" spans="1:27" ht="12.75" hidden="1" customHeight="1">
      <c r="A749" s="1"/>
      <c r="B749" s="10"/>
      <c r="C749" s="10"/>
      <c r="D749" s="26"/>
      <c r="E749" s="10"/>
      <c r="F749" s="10"/>
      <c r="G749" s="71"/>
      <c r="H749" s="10"/>
      <c r="I749" s="10"/>
      <c r="J749" s="10"/>
      <c r="K749" s="71"/>
      <c r="L749" s="27"/>
      <c r="M749" s="10"/>
      <c r="N749" s="10"/>
      <c r="O749" s="59"/>
      <c r="P749" s="1"/>
      <c r="Q749" s="1"/>
      <c r="R749" s="1"/>
      <c r="S749" s="1"/>
      <c r="T749" s="1"/>
      <c r="U749" s="1"/>
      <c r="V749" s="1"/>
      <c r="W749" s="1"/>
      <c r="X749" s="1"/>
      <c r="Y749" s="1"/>
      <c r="Z749" s="1"/>
      <c r="AA749" s="1"/>
    </row>
    <row r="750" spans="1:27" ht="12.75" hidden="1" customHeight="1">
      <c r="A750" s="1"/>
      <c r="B750" s="10"/>
      <c r="C750" s="10"/>
      <c r="D750" s="26"/>
      <c r="E750" s="10"/>
      <c r="F750" s="10"/>
      <c r="G750" s="71"/>
      <c r="H750" s="10"/>
      <c r="I750" s="10"/>
      <c r="J750" s="10"/>
      <c r="K750" s="71"/>
      <c r="L750" s="27"/>
      <c r="M750" s="10"/>
      <c r="N750" s="10"/>
      <c r="O750" s="59"/>
      <c r="P750" s="1"/>
      <c r="Q750" s="1"/>
      <c r="R750" s="1"/>
      <c r="S750" s="1"/>
      <c r="T750" s="1"/>
      <c r="U750" s="1"/>
      <c r="V750" s="1"/>
      <c r="W750" s="1"/>
      <c r="X750" s="1"/>
      <c r="Y750" s="1"/>
      <c r="Z750" s="1"/>
      <c r="AA750" s="1"/>
    </row>
    <row r="751" spans="1:27" ht="12.75" hidden="1" customHeight="1">
      <c r="A751" s="1"/>
      <c r="B751" s="10"/>
      <c r="C751" s="10"/>
      <c r="D751" s="26"/>
      <c r="E751" s="10"/>
      <c r="F751" s="10"/>
      <c r="G751" s="71"/>
      <c r="H751" s="10"/>
      <c r="I751" s="10"/>
      <c r="J751" s="10"/>
      <c r="K751" s="71"/>
      <c r="L751" s="27"/>
      <c r="M751" s="10"/>
      <c r="N751" s="10"/>
      <c r="O751" s="59"/>
      <c r="P751" s="1"/>
      <c r="Q751" s="1"/>
      <c r="R751" s="1"/>
      <c r="S751" s="1"/>
      <c r="T751" s="1"/>
      <c r="U751" s="1"/>
      <c r="V751" s="1"/>
      <c r="W751" s="1"/>
      <c r="X751" s="1"/>
      <c r="Y751" s="1"/>
      <c r="Z751" s="1"/>
      <c r="AA751" s="1"/>
    </row>
    <row r="752" spans="1:27" ht="12.75" hidden="1" customHeight="1">
      <c r="A752" s="1"/>
      <c r="B752" s="10"/>
      <c r="C752" s="10"/>
      <c r="D752" s="26"/>
      <c r="E752" s="10"/>
      <c r="F752" s="10"/>
      <c r="G752" s="71"/>
      <c r="H752" s="10"/>
      <c r="I752" s="10"/>
      <c r="J752" s="10"/>
      <c r="K752" s="71"/>
      <c r="L752" s="27"/>
      <c r="M752" s="10"/>
      <c r="N752" s="10"/>
      <c r="O752" s="59"/>
      <c r="P752" s="1"/>
      <c r="Q752" s="1"/>
      <c r="R752" s="1"/>
      <c r="S752" s="1"/>
      <c r="T752" s="1"/>
      <c r="U752" s="1"/>
      <c r="V752" s="1"/>
      <c r="W752" s="1"/>
      <c r="X752" s="1"/>
      <c r="Y752" s="1"/>
      <c r="Z752" s="1"/>
      <c r="AA752" s="1"/>
    </row>
    <row r="753" spans="1:27" ht="12.75" hidden="1" customHeight="1">
      <c r="A753" s="1"/>
      <c r="B753" s="10"/>
      <c r="C753" s="10"/>
      <c r="D753" s="26"/>
      <c r="E753" s="10"/>
      <c r="F753" s="10"/>
      <c r="G753" s="71"/>
      <c r="H753" s="10"/>
      <c r="I753" s="10"/>
      <c r="J753" s="10"/>
      <c r="K753" s="71"/>
      <c r="L753" s="27"/>
      <c r="M753" s="10"/>
      <c r="N753" s="10"/>
      <c r="O753" s="59"/>
      <c r="P753" s="1"/>
      <c r="Q753" s="1"/>
      <c r="R753" s="1"/>
      <c r="S753" s="1"/>
      <c r="T753" s="1"/>
      <c r="U753" s="1"/>
      <c r="V753" s="1"/>
      <c r="W753" s="1"/>
      <c r="X753" s="1"/>
      <c r="Y753" s="1"/>
      <c r="Z753" s="1"/>
      <c r="AA753" s="1"/>
    </row>
    <row r="754" spans="1:27" ht="12.75" hidden="1" customHeight="1">
      <c r="A754" s="1"/>
      <c r="B754" s="10"/>
      <c r="C754" s="10"/>
      <c r="D754" s="26"/>
      <c r="E754" s="10"/>
      <c r="F754" s="10"/>
      <c r="G754" s="71"/>
      <c r="H754" s="10"/>
      <c r="I754" s="10"/>
      <c r="J754" s="10"/>
      <c r="K754" s="71"/>
      <c r="L754" s="27"/>
      <c r="M754" s="10"/>
      <c r="N754" s="10"/>
      <c r="O754" s="59"/>
      <c r="P754" s="1"/>
      <c r="Q754" s="1"/>
      <c r="R754" s="1"/>
      <c r="S754" s="1"/>
      <c r="T754" s="1"/>
      <c r="U754" s="1"/>
      <c r="V754" s="1"/>
      <c r="W754" s="1"/>
      <c r="X754" s="1"/>
      <c r="Y754" s="1"/>
      <c r="Z754" s="1"/>
      <c r="AA754" s="1"/>
    </row>
    <row r="755" spans="1:27" ht="12.75" hidden="1" customHeight="1">
      <c r="A755" s="1"/>
      <c r="B755" s="10"/>
      <c r="C755" s="10"/>
      <c r="D755" s="26"/>
      <c r="E755" s="10"/>
      <c r="F755" s="10"/>
      <c r="G755" s="71"/>
      <c r="H755" s="10"/>
      <c r="I755" s="10"/>
      <c r="J755" s="10"/>
      <c r="K755" s="71"/>
      <c r="L755" s="27"/>
      <c r="M755" s="10"/>
      <c r="N755" s="10"/>
      <c r="O755" s="59"/>
      <c r="P755" s="1"/>
      <c r="Q755" s="1"/>
      <c r="R755" s="1"/>
      <c r="S755" s="1"/>
      <c r="T755" s="1"/>
      <c r="U755" s="1"/>
      <c r="V755" s="1"/>
      <c r="W755" s="1"/>
      <c r="X755" s="1"/>
      <c r="Y755" s="1"/>
      <c r="Z755" s="1"/>
      <c r="AA755" s="1"/>
    </row>
    <row r="756" spans="1:27" ht="12.75" hidden="1" customHeight="1">
      <c r="A756" s="1"/>
      <c r="B756" s="10"/>
      <c r="C756" s="10"/>
      <c r="D756" s="26"/>
      <c r="E756" s="10"/>
      <c r="F756" s="10"/>
      <c r="G756" s="71"/>
      <c r="H756" s="10"/>
      <c r="I756" s="10"/>
      <c r="J756" s="10"/>
      <c r="K756" s="71"/>
      <c r="L756" s="27"/>
      <c r="M756" s="10"/>
      <c r="N756" s="10"/>
      <c r="O756" s="59"/>
      <c r="P756" s="1"/>
      <c r="Q756" s="1"/>
      <c r="R756" s="1"/>
      <c r="S756" s="1"/>
      <c r="T756" s="1"/>
      <c r="U756" s="1"/>
      <c r="V756" s="1"/>
      <c r="W756" s="1"/>
      <c r="X756" s="1"/>
      <c r="Y756" s="1"/>
      <c r="Z756" s="1"/>
      <c r="AA756" s="1"/>
    </row>
    <row r="757" spans="1:27" ht="12.75" hidden="1" customHeight="1">
      <c r="A757" s="1"/>
      <c r="B757" s="10"/>
      <c r="C757" s="10"/>
      <c r="D757" s="26"/>
      <c r="E757" s="10"/>
      <c r="F757" s="10"/>
      <c r="G757" s="71"/>
      <c r="H757" s="10"/>
      <c r="I757" s="10"/>
      <c r="J757" s="10"/>
      <c r="K757" s="71"/>
      <c r="L757" s="27"/>
      <c r="M757" s="10"/>
      <c r="N757" s="10"/>
      <c r="O757" s="59"/>
      <c r="P757" s="1"/>
      <c r="Q757" s="1"/>
      <c r="R757" s="1"/>
      <c r="S757" s="1"/>
      <c r="T757" s="1"/>
      <c r="U757" s="1"/>
      <c r="V757" s="1"/>
      <c r="W757" s="1"/>
      <c r="X757" s="1"/>
      <c r="Y757" s="1"/>
      <c r="Z757" s="1"/>
      <c r="AA757" s="1"/>
    </row>
    <row r="758" spans="1:27" ht="12.75" hidden="1" customHeight="1">
      <c r="A758" s="1"/>
      <c r="B758" s="10"/>
      <c r="C758" s="10"/>
      <c r="D758" s="26"/>
      <c r="E758" s="10"/>
      <c r="F758" s="10"/>
      <c r="G758" s="71"/>
      <c r="H758" s="10"/>
      <c r="I758" s="10"/>
      <c r="J758" s="10"/>
      <c r="K758" s="71"/>
      <c r="L758" s="27"/>
      <c r="M758" s="10"/>
      <c r="N758" s="10"/>
      <c r="O758" s="59"/>
      <c r="P758" s="1"/>
      <c r="Q758" s="1"/>
      <c r="R758" s="1"/>
      <c r="S758" s="1"/>
      <c r="T758" s="1"/>
      <c r="U758" s="1"/>
      <c r="V758" s="1"/>
      <c r="W758" s="1"/>
      <c r="X758" s="1"/>
      <c r="Y758" s="1"/>
      <c r="Z758" s="1"/>
      <c r="AA758" s="1"/>
    </row>
    <row r="759" spans="1:27" ht="12.75" hidden="1" customHeight="1">
      <c r="A759" s="1"/>
      <c r="B759" s="10"/>
      <c r="C759" s="10"/>
      <c r="D759" s="26"/>
      <c r="E759" s="10"/>
      <c r="F759" s="10"/>
      <c r="G759" s="71"/>
      <c r="H759" s="10"/>
      <c r="I759" s="10"/>
      <c r="J759" s="10"/>
      <c r="K759" s="71"/>
      <c r="L759" s="27"/>
      <c r="M759" s="10"/>
      <c r="N759" s="10"/>
      <c r="O759" s="59"/>
      <c r="P759" s="1"/>
      <c r="Q759" s="1"/>
      <c r="R759" s="1"/>
      <c r="S759" s="1"/>
      <c r="T759" s="1"/>
      <c r="U759" s="1"/>
      <c r="V759" s="1"/>
      <c r="W759" s="1"/>
      <c r="X759" s="1"/>
      <c r="Y759" s="1"/>
      <c r="Z759" s="1"/>
      <c r="AA759" s="1"/>
    </row>
    <row r="760" spans="1:27" ht="12.75" hidden="1" customHeight="1">
      <c r="A760" s="1"/>
      <c r="B760" s="10"/>
      <c r="C760" s="10"/>
      <c r="D760" s="26"/>
      <c r="E760" s="10"/>
      <c r="F760" s="10"/>
      <c r="G760" s="71"/>
      <c r="H760" s="10"/>
      <c r="I760" s="10"/>
      <c r="J760" s="10"/>
      <c r="K760" s="71"/>
      <c r="L760" s="27"/>
      <c r="M760" s="10"/>
      <c r="N760" s="10"/>
      <c r="O760" s="59"/>
      <c r="P760" s="1"/>
      <c r="Q760" s="1"/>
      <c r="R760" s="1"/>
      <c r="S760" s="1"/>
      <c r="T760" s="1"/>
      <c r="U760" s="1"/>
      <c r="V760" s="1"/>
      <c r="W760" s="1"/>
      <c r="X760" s="1"/>
      <c r="Y760" s="1"/>
      <c r="Z760" s="1"/>
      <c r="AA760" s="1"/>
    </row>
    <row r="761" spans="1:27" ht="12.75" hidden="1" customHeight="1">
      <c r="A761" s="1"/>
      <c r="B761" s="10"/>
      <c r="C761" s="10"/>
      <c r="D761" s="26"/>
      <c r="E761" s="10"/>
      <c r="F761" s="10"/>
      <c r="G761" s="71"/>
      <c r="H761" s="10"/>
      <c r="I761" s="10"/>
      <c r="J761" s="10"/>
      <c r="K761" s="71"/>
      <c r="L761" s="27"/>
      <c r="M761" s="10"/>
      <c r="N761" s="10"/>
      <c r="O761" s="59"/>
      <c r="P761" s="1"/>
      <c r="Q761" s="1"/>
      <c r="R761" s="1"/>
      <c r="S761" s="1"/>
      <c r="T761" s="1"/>
      <c r="U761" s="1"/>
      <c r="V761" s="1"/>
      <c r="W761" s="1"/>
      <c r="X761" s="1"/>
      <c r="Y761" s="1"/>
      <c r="Z761" s="1"/>
      <c r="AA761" s="1"/>
    </row>
    <row r="762" spans="1:27" ht="12.75" hidden="1" customHeight="1">
      <c r="A762" s="1"/>
      <c r="B762" s="10"/>
      <c r="C762" s="10"/>
      <c r="D762" s="26"/>
      <c r="E762" s="10"/>
      <c r="F762" s="10"/>
      <c r="G762" s="71"/>
      <c r="H762" s="10"/>
      <c r="I762" s="10"/>
      <c r="J762" s="10"/>
      <c r="K762" s="71"/>
      <c r="L762" s="27"/>
      <c r="M762" s="10"/>
      <c r="N762" s="10"/>
      <c r="O762" s="59"/>
      <c r="P762" s="1"/>
      <c r="Q762" s="1"/>
      <c r="R762" s="1"/>
      <c r="S762" s="1"/>
      <c r="T762" s="1"/>
      <c r="U762" s="1"/>
      <c r="V762" s="1"/>
      <c r="W762" s="1"/>
      <c r="X762" s="1"/>
      <c r="Y762" s="1"/>
      <c r="Z762" s="1"/>
      <c r="AA762" s="1"/>
    </row>
    <row r="763" spans="1:27" ht="12.75" hidden="1" customHeight="1">
      <c r="A763" s="1"/>
      <c r="B763" s="10"/>
      <c r="C763" s="10"/>
      <c r="D763" s="26"/>
      <c r="E763" s="10"/>
      <c r="F763" s="10"/>
      <c r="G763" s="71"/>
      <c r="H763" s="10"/>
      <c r="I763" s="10"/>
      <c r="J763" s="10"/>
      <c r="K763" s="71"/>
      <c r="L763" s="27"/>
      <c r="M763" s="10"/>
      <c r="N763" s="10"/>
      <c r="O763" s="59"/>
      <c r="P763" s="1"/>
      <c r="Q763" s="1"/>
      <c r="R763" s="1"/>
      <c r="S763" s="1"/>
      <c r="T763" s="1"/>
      <c r="U763" s="1"/>
      <c r="V763" s="1"/>
      <c r="W763" s="1"/>
      <c r="X763" s="1"/>
      <c r="Y763" s="1"/>
      <c r="Z763" s="1"/>
      <c r="AA763" s="1"/>
    </row>
    <row r="764" spans="1:27" ht="12.75" hidden="1" customHeight="1">
      <c r="A764" s="1"/>
      <c r="B764" s="10"/>
      <c r="C764" s="10"/>
      <c r="D764" s="26"/>
      <c r="E764" s="10"/>
      <c r="F764" s="10"/>
      <c r="G764" s="71"/>
      <c r="H764" s="10"/>
      <c r="I764" s="10"/>
      <c r="J764" s="10"/>
      <c r="K764" s="71"/>
      <c r="L764" s="27"/>
      <c r="M764" s="10"/>
      <c r="N764" s="10"/>
      <c r="O764" s="59"/>
      <c r="P764" s="1"/>
      <c r="Q764" s="1"/>
      <c r="R764" s="1"/>
      <c r="S764" s="1"/>
      <c r="T764" s="1"/>
      <c r="U764" s="1"/>
      <c r="V764" s="1"/>
      <c r="W764" s="1"/>
      <c r="X764" s="1"/>
      <c r="Y764" s="1"/>
      <c r="Z764" s="1"/>
      <c r="AA764" s="1"/>
    </row>
    <row r="765" spans="1:27" ht="12.75" hidden="1" customHeight="1">
      <c r="A765" s="1"/>
      <c r="B765" s="10"/>
      <c r="C765" s="10"/>
      <c r="D765" s="26"/>
      <c r="E765" s="10"/>
      <c r="F765" s="10"/>
      <c r="G765" s="71"/>
      <c r="H765" s="10"/>
      <c r="I765" s="10"/>
      <c r="J765" s="10"/>
      <c r="K765" s="71"/>
      <c r="L765" s="27"/>
      <c r="M765" s="10"/>
      <c r="N765" s="10"/>
      <c r="O765" s="59"/>
      <c r="P765" s="1"/>
      <c r="Q765" s="1"/>
      <c r="R765" s="1"/>
      <c r="S765" s="1"/>
      <c r="T765" s="1"/>
      <c r="U765" s="1"/>
      <c r="V765" s="1"/>
      <c r="W765" s="1"/>
      <c r="X765" s="1"/>
      <c r="Y765" s="1"/>
      <c r="Z765" s="1"/>
      <c r="AA765" s="1"/>
    </row>
    <row r="766" spans="1:27" ht="12.75" hidden="1" customHeight="1">
      <c r="A766" s="1"/>
      <c r="B766" s="10"/>
      <c r="C766" s="10"/>
      <c r="D766" s="26"/>
      <c r="E766" s="10"/>
      <c r="F766" s="10"/>
      <c r="G766" s="71"/>
      <c r="H766" s="10"/>
      <c r="I766" s="10"/>
      <c r="J766" s="10"/>
      <c r="K766" s="71"/>
      <c r="L766" s="27"/>
      <c r="M766" s="10"/>
      <c r="N766" s="10"/>
      <c r="O766" s="59"/>
      <c r="P766" s="1"/>
      <c r="Q766" s="1"/>
      <c r="R766" s="1"/>
      <c r="S766" s="1"/>
      <c r="T766" s="1"/>
      <c r="U766" s="1"/>
      <c r="V766" s="1"/>
      <c r="W766" s="1"/>
      <c r="X766" s="1"/>
      <c r="Y766" s="1"/>
      <c r="Z766" s="1"/>
      <c r="AA766" s="1"/>
    </row>
    <row r="767" spans="1:27" ht="12.75" hidden="1" customHeight="1">
      <c r="A767" s="1"/>
      <c r="B767" s="10"/>
      <c r="C767" s="10"/>
      <c r="D767" s="26"/>
      <c r="E767" s="10"/>
      <c r="F767" s="10"/>
      <c r="G767" s="71"/>
      <c r="H767" s="10"/>
      <c r="I767" s="10"/>
      <c r="J767" s="10"/>
      <c r="K767" s="71"/>
      <c r="L767" s="27"/>
      <c r="M767" s="10"/>
      <c r="N767" s="10"/>
      <c r="O767" s="59"/>
      <c r="P767" s="1"/>
      <c r="Q767" s="1"/>
      <c r="R767" s="1"/>
      <c r="S767" s="1"/>
      <c r="T767" s="1"/>
      <c r="U767" s="1"/>
      <c r="V767" s="1"/>
      <c r="W767" s="1"/>
      <c r="X767" s="1"/>
      <c r="Y767" s="1"/>
      <c r="Z767" s="1"/>
      <c r="AA767" s="1"/>
    </row>
    <row r="768" spans="1:27" ht="12.75" hidden="1" customHeight="1">
      <c r="A768" s="1"/>
      <c r="B768" s="10"/>
      <c r="C768" s="10"/>
      <c r="D768" s="26"/>
      <c r="E768" s="10"/>
      <c r="F768" s="10"/>
      <c r="G768" s="71"/>
      <c r="H768" s="10"/>
      <c r="I768" s="10"/>
      <c r="J768" s="10"/>
      <c r="K768" s="71"/>
      <c r="L768" s="27"/>
      <c r="M768" s="10"/>
      <c r="N768" s="10"/>
      <c r="O768" s="59"/>
      <c r="P768" s="1"/>
      <c r="Q768" s="1"/>
      <c r="R768" s="1"/>
      <c r="S768" s="1"/>
      <c r="T768" s="1"/>
      <c r="U768" s="1"/>
      <c r="V768" s="1"/>
      <c r="W768" s="1"/>
      <c r="X768" s="1"/>
      <c r="Y768" s="1"/>
      <c r="Z768" s="1"/>
      <c r="AA768" s="1"/>
    </row>
    <row r="769" spans="1:27" ht="12.75" hidden="1" customHeight="1">
      <c r="A769" s="1"/>
      <c r="B769" s="10"/>
      <c r="C769" s="10"/>
      <c r="D769" s="26"/>
      <c r="E769" s="10"/>
      <c r="F769" s="10"/>
      <c r="G769" s="71"/>
      <c r="H769" s="10"/>
      <c r="I769" s="10"/>
      <c r="J769" s="10"/>
      <c r="K769" s="71"/>
      <c r="L769" s="27"/>
      <c r="M769" s="10"/>
      <c r="N769" s="10"/>
      <c r="O769" s="59"/>
      <c r="P769" s="1"/>
      <c r="Q769" s="1"/>
      <c r="R769" s="1"/>
      <c r="S769" s="1"/>
      <c r="T769" s="1"/>
      <c r="U769" s="1"/>
      <c r="V769" s="1"/>
      <c r="W769" s="1"/>
      <c r="X769" s="1"/>
      <c r="Y769" s="1"/>
      <c r="Z769" s="1"/>
      <c r="AA769" s="1"/>
    </row>
    <row r="770" spans="1:27" ht="12.75" hidden="1" customHeight="1">
      <c r="A770" s="1"/>
      <c r="B770" s="10"/>
      <c r="C770" s="10"/>
      <c r="D770" s="26"/>
      <c r="E770" s="10"/>
      <c r="F770" s="10"/>
      <c r="G770" s="71"/>
      <c r="H770" s="10"/>
      <c r="I770" s="10"/>
      <c r="J770" s="10"/>
      <c r="K770" s="71"/>
      <c r="L770" s="27"/>
      <c r="M770" s="10"/>
      <c r="N770" s="10"/>
      <c r="O770" s="59"/>
      <c r="P770" s="1"/>
      <c r="Q770" s="1"/>
      <c r="R770" s="1"/>
      <c r="S770" s="1"/>
      <c r="T770" s="1"/>
      <c r="U770" s="1"/>
      <c r="V770" s="1"/>
      <c r="W770" s="1"/>
      <c r="X770" s="1"/>
      <c r="Y770" s="1"/>
      <c r="Z770" s="1"/>
      <c r="AA770" s="1"/>
    </row>
    <row r="771" spans="1:27" ht="12.75" hidden="1" customHeight="1">
      <c r="A771" s="1"/>
      <c r="B771" s="10"/>
      <c r="C771" s="10"/>
      <c r="D771" s="26"/>
      <c r="E771" s="10"/>
      <c r="F771" s="10"/>
      <c r="G771" s="71"/>
      <c r="H771" s="10"/>
      <c r="I771" s="10"/>
      <c r="J771" s="10"/>
      <c r="K771" s="71"/>
      <c r="L771" s="27"/>
      <c r="M771" s="10"/>
      <c r="N771" s="10"/>
      <c r="O771" s="59"/>
      <c r="P771" s="1"/>
      <c r="Q771" s="1"/>
      <c r="R771" s="1"/>
      <c r="S771" s="1"/>
      <c r="T771" s="1"/>
      <c r="U771" s="1"/>
      <c r="V771" s="1"/>
      <c r="W771" s="1"/>
      <c r="X771" s="1"/>
      <c r="Y771" s="1"/>
      <c r="Z771" s="1"/>
      <c r="AA771" s="1"/>
    </row>
    <row r="772" spans="1:27" ht="12.75" hidden="1" customHeight="1">
      <c r="A772" s="1"/>
      <c r="B772" s="10"/>
      <c r="C772" s="10"/>
      <c r="D772" s="26"/>
      <c r="E772" s="10"/>
      <c r="F772" s="10"/>
      <c r="G772" s="71"/>
      <c r="H772" s="10"/>
      <c r="I772" s="10"/>
      <c r="J772" s="10"/>
      <c r="K772" s="71"/>
      <c r="L772" s="27"/>
      <c r="M772" s="10"/>
      <c r="N772" s="10"/>
      <c r="O772" s="59"/>
      <c r="P772" s="1"/>
      <c r="Q772" s="1"/>
      <c r="R772" s="1"/>
      <c r="S772" s="1"/>
      <c r="T772" s="1"/>
      <c r="U772" s="1"/>
      <c r="V772" s="1"/>
      <c r="W772" s="1"/>
      <c r="X772" s="1"/>
      <c r="Y772" s="1"/>
      <c r="Z772" s="1"/>
      <c r="AA772" s="1"/>
    </row>
    <row r="773" spans="1:27" ht="12.75" hidden="1" customHeight="1">
      <c r="A773" s="1"/>
      <c r="B773" s="10"/>
      <c r="C773" s="10"/>
      <c r="D773" s="26"/>
      <c r="E773" s="10"/>
      <c r="F773" s="10"/>
      <c r="G773" s="71"/>
      <c r="H773" s="10"/>
      <c r="I773" s="10"/>
      <c r="J773" s="10"/>
      <c r="K773" s="71"/>
      <c r="L773" s="27"/>
      <c r="M773" s="10"/>
      <c r="N773" s="10"/>
      <c r="O773" s="59"/>
      <c r="P773" s="1"/>
      <c r="Q773" s="1"/>
      <c r="R773" s="1"/>
      <c r="S773" s="1"/>
      <c r="T773" s="1"/>
      <c r="U773" s="1"/>
      <c r="V773" s="1"/>
      <c r="W773" s="1"/>
      <c r="X773" s="1"/>
      <c r="Y773" s="1"/>
      <c r="Z773" s="1"/>
      <c r="AA773" s="1"/>
    </row>
    <row r="774" spans="1:27" ht="12.75" hidden="1" customHeight="1">
      <c r="A774" s="1"/>
      <c r="B774" s="10"/>
      <c r="C774" s="10"/>
      <c r="D774" s="26"/>
      <c r="E774" s="10"/>
      <c r="F774" s="10"/>
      <c r="G774" s="71"/>
      <c r="H774" s="10"/>
      <c r="I774" s="10"/>
      <c r="J774" s="10"/>
      <c r="K774" s="71"/>
      <c r="L774" s="27"/>
      <c r="M774" s="10"/>
      <c r="N774" s="10"/>
      <c r="O774" s="59"/>
      <c r="P774" s="1"/>
      <c r="Q774" s="1"/>
      <c r="R774" s="1"/>
      <c r="S774" s="1"/>
      <c r="T774" s="1"/>
      <c r="U774" s="1"/>
      <c r="V774" s="1"/>
      <c r="W774" s="1"/>
      <c r="X774" s="1"/>
      <c r="Y774" s="1"/>
      <c r="Z774" s="1"/>
      <c r="AA774" s="1"/>
    </row>
    <row r="775" spans="1:27" ht="12.75" hidden="1" customHeight="1">
      <c r="A775" s="1"/>
      <c r="B775" s="10"/>
      <c r="C775" s="10"/>
      <c r="D775" s="26"/>
      <c r="E775" s="10"/>
      <c r="F775" s="10"/>
      <c r="G775" s="71"/>
      <c r="H775" s="10"/>
      <c r="I775" s="10"/>
      <c r="J775" s="10"/>
      <c r="K775" s="71"/>
      <c r="L775" s="27"/>
      <c r="M775" s="10"/>
      <c r="N775" s="10"/>
      <c r="O775" s="59"/>
      <c r="P775" s="1"/>
      <c r="Q775" s="1"/>
      <c r="R775" s="1"/>
      <c r="S775" s="1"/>
      <c r="T775" s="1"/>
      <c r="U775" s="1"/>
      <c r="V775" s="1"/>
      <c r="W775" s="1"/>
      <c r="X775" s="1"/>
      <c r="Y775" s="1"/>
      <c r="Z775" s="1"/>
      <c r="AA775" s="1"/>
    </row>
    <row r="776" spans="1:27" ht="12.75" hidden="1" customHeight="1">
      <c r="A776" s="1"/>
      <c r="B776" s="10"/>
      <c r="C776" s="10"/>
      <c r="D776" s="26"/>
      <c r="E776" s="10"/>
      <c r="F776" s="10"/>
      <c r="G776" s="71"/>
      <c r="H776" s="10"/>
      <c r="I776" s="10"/>
      <c r="J776" s="10"/>
      <c r="K776" s="71"/>
      <c r="L776" s="27"/>
      <c r="M776" s="10"/>
      <c r="N776" s="10"/>
      <c r="O776" s="59"/>
      <c r="P776" s="1"/>
      <c r="Q776" s="1"/>
      <c r="R776" s="1"/>
      <c r="S776" s="1"/>
      <c r="T776" s="1"/>
      <c r="U776" s="1"/>
      <c r="V776" s="1"/>
      <c r="W776" s="1"/>
      <c r="X776" s="1"/>
      <c r="Y776" s="1"/>
      <c r="Z776" s="1"/>
      <c r="AA776" s="1"/>
    </row>
    <row r="777" spans="1:27" ht="12.75" hidden="1" customHeight="1">
      <c r="A777" s="1"/>
      <c r="B777" s="10"/>
      <c r="C777" s="10"/>
      <c r="D777" s="26"/>
      <c r="E777" s="10"/>
      <c r="F777" s="10"/>
      <c r="G777" s="71"/>
      <c r="H777" s="10"/>
      <c r="I777" s="10"/>
      <c r="J777" s="10"/>
      <c r="K777" s="71"/>
      <c r="L777" s="27"/>
      <c r="M777" s="10"/>
      <c r="N777" s="10"/>
      <c r="O777" s="59"/>
      <c r="P777" s="1"/>
      <c r="Q777" s="1"/>
      <c r="R777" s="1"/>
      <c r="S777" s="1"/>
      <c r="T777" s="1"/>
      <c r="U777" s="1"/>
      <c r="V777" s="1"/>
      <c r="W777" s="1"/>
      <c r="X777" s="1"/>
      <c r="Y777" s="1"/>
      <c r="Z777" s="1"/>
      <c r="AA777" s="1"/>
    </row>
    <row r="778" spans="1:27" ht="12.75" hidden="1" customHeight="1">
      <c r="A778" s="1"/>
      <c r="B778" s="10"/>
      <c r="C778" s="10"/>
      <c r="D778" s="26"/>
      <c r="E778" s="10"/>
      <c r="F778" s="10"/>
      <c r="G778" s="71"/>
      <c r="H778" s="10"/>
      <c r="I778" s="10"/>
      <c r="J778" s="10"/>
      <c r="K778" s="71"/>
      <c r="L778" s="27"/>
      <c r="M778" s="10"/>
      <c r="N778" s="10"/>
      <c r="O778" s="59"/>
      <c r="P778" s="1"/>
      <c r="Q778" s="1"/>
      <c r="R778" s="1"/>
      <c r="S778" s="1"/>
      <c r="T778" s="1"/>
      <c r="U778" s="1"/>
      <c r="V778" s="1"/>
      <c r="W778" s="1"/>
      <c r="X778" s="1"/>
      <c r="Y778" s="1"/>
      <c r="Z778" s="1"/>
      <c r="AA778" s="1"/>
    </row>
    <row r="779" spans="1:27" ht="12.75" hidden="1" customHeight="1">
      <c r="A779" s="1"/>
      <c r="B779" s="10"/>
      <c r="C779" s="10"/>
      <c r="D779" s="26"/>
      <c r="E779" s="10"/>
      <c r="F779" s="10"/>
      <c r="G779" s="71"/>
      <c r="H779" s="10"/>
      <c r="I779" s="10"/>
      <c r="J779" s="10"/>
      <c r="K779" s="71"/>
      <c r="L779" s="27"/>
      <c r="M779" s="10"/>
      <c r="N779" s="10"/>
      <c r="O779" s="59"/>
      <c r="P779" s="1"/>
      <c r="Q779" s="1"/>
      <c r="R779" s="1"/>
      <c r="S779" s="1"/>
      <c r="T779" s="1"/>
      <c r="U779" s="1"/>
      <c r="V779" s="1"/>
      <c r="W779" s="1"/>
      <c r="X779" s="1"/>
      <c r="Y779" s="1"/>
      <c r="Z779" s="1"/>
      <c r="AA779" s="1"/>
    </row>
    <row r="780" spans="1:27" ht="12.75" hidden="1" customHeight="1">
      <c r="A780" s="1"/>
      <c r="B780" s="10"/>
      <c r="C780" s="10"/>
      <c r="D780" s="26"/>
      <c r="E780" s="10"/>
      <c r="F780" s="10"/>
      <c r="G780" s="71"/>
      <c r="H780" s="10"/>
      <c r="I780" s="10"/>
      <c r="J780" s="10"/>
      <c r="K780" s="71"/>
      <c r="L780" s="27"/>
      <c r="M780" s="10"/>
      <c r="N780" s="10"/>
      <c r="O780" s="59"/>
      <c r="P780" s="1"/>
      <c r="Q780" s="1"/>
      <c r="R780" s="1"/>
      <c r="S780" s="1"/>
      <c r="T780" s="1"/>
      <c r="U780" s="1"/>
      <c r="V780" s="1"/>
      <c r="W780" s="1"/>
      <c r="X780" s="1"/>
      <c r="Y780" s="1"/>
      <c r="Z780" s="1"/>
      <c r="AA780" s="1"/>
    </row>
    <row r="781" spans="1:27" ht="12.75" hidden="1" customHeight="1">
      <c r="A781" s="1"/>
      <c r="B781" s="10"/>
      <c r="C781" s="10"/>
      <c r="D781" s="26"/>
      <c r="E781" s="10"/>
      <c r="F781" s="10"/>
      <c r="G781" s="71"/>
      <c r="H781" s="10"/>
      <c r="I781" s="10"/>
      <c r="J781" s="10"/>
      <c r="K781" s="71"/>
      <c r="L781" s="27"/>
      <c r="M781" s="10"/>
      <c r="N781" s="10"/>
      <c r="O781" s="59"/>
      <c r="P781" s="1"/>
      <c r="Q781" s="1"/>
      <c r="R781" s="1"/>
      <c r="S781" s="1"/>
      <c r="T781" s="1"/>
      <c r="U781" s="1"/>
      <c r="V781" s="1"/>
      <c r="W781" s="1"/>
      <c r="X781" s="1"/>
      <c r="Y781" s="1"/>
      <c r="Z781" s="1"/>
      <c r="AA781" s="1"/>
    </row>
    <row r="782" spans="1:27" ht="12.75" hidden="1" customHeight="1">
      <c r="A782" s="1"/>
      <c r="B782" s="10"/>
      <c r="C782" s="10"/>
      <c r="D782" s="26"/>
      <c r="E782" s="10"/>
      <c r="F782" s="10"/>
      <c r="G782" s="71"/>
      <c r="H782" s="10"/>
      <c r="I782" s="10"/>
      <c r="J782" s="10"/>
      <c r="K782" s="71"/>
      <c r="L782" s="27"/>
      <c r="M782" s="10"/>
      <c r="N782" s="10"/>
      <c r="O782" s="59"/>
      <c r="P782" s="1"/>
      <c r="Q782" s="1"/>
      <c r="R782" s="1"/>
      <c r="S782" s="1"/>
      <c r="T782" s="1"/>
      <c r="U782" s="1"/>
      <c r="V782" s="1"/>
      <c r="W782" s="1"/>
      <c r="X782" s="1"/>
      <c r="Y782" s="1"/>
      <c r="Z782" s="1"/>
      <c r="AA782" s="1"/>
    </row>
    <row r="783" spans="1:27" ht="12.75" hidden="1" customHeight="1">
      <c r="A783" s="1"/>
      <c r="B783" s="10"/>
      <c r="C783" s="10"/>
      <c r="D783" s="26"/>
      <c r="E783" s="10"/>
      <c r="F783" s="10"/>
      <c r="G783" s="71"/>
      <c r="H783" s="10"/>
      <c r="I783" s="10"/>
      <c r="J783" s="10"/>
      <c r="K783" s="71"/>
      <c r="L783" s="27"/>
      <c r="M783" s="10"/>
      <c r="N783" s="10"/>
      <c r="O783" s="59"/>
      <c r="P783" s="1"/>
      <c r="Q783" s="1"/>
      <c r="R783" s="1"/>
      <c r="S783" s="1"/>
      <c r="T783" s="1"/>
      <c r="U783" s="1"/>
      <c r="V783" s="1"/>
      <c r="W783" s="1"/>
      <c r="X783" s="1"/>
      <c r="Y783" s="1"/>
      <c r="Z783" s="1"/>
      <c r="AA783" s="1"/>
    </row>
    <row r="784" spans="1:27" ht="12.75" hidden="1" customHeight="1">
      <c r="A784" s="1"/>
      <c r="B784" s="10"/>
      <c r="C784" s="10"/>
      <c r="D784" s="26"/>
      <c r="E784" s="10"/>
      <c r="F784" s="10"/>
      <c r="G784" s="71"/>
      <c r="H784" s="10"/>
      <c r="I784" s="10"/>
      <c r="J784" s="10"/>
      <c r="K784" s="71"/>
      <c r="L784" s="27"/>
      <c r="M784" s="10"/>
      <c r="N784" s="10"/>
      <c r="O784" s="59"/>
      <c r="P784" s="1"/>
      <c r="Q784" s="1"/>
      <c r="R784" s="1"/>
      <c r="S784" s="1"/>
      <c r="T784" s="1"/>
      <c r="U784" s="1"/>
      <c r="V784" s="1"/>
      <c r="W784" s="1"/>
      <c r="X784" s="1"/>
      <c r="Y784" s="1"/>
      <c r="Z784" s="1"/>
      <c r="AA784" s="1"/>
    </row>
    <row r="785" spans="1:27" ht="12.75" hidden="1" customHeight="1">
      <c r="A785" s="1"/>
      <c r="B785" s="10"/>
      <c r="C785" s="10"/>
      <c r="D785" s="26"/>
      <c r="E785" s="10"/>
      <c r="F785" s="10"/>
      <c r="G785" s="71"/>
      <c r="H785" s="10"/>
      <c r="I785" s="10"/>
      <c r="J785" s="10"/>
      <c r="K785" s="71"/>
      <c r="L785" s="27"/>
      <c r="M785" s="10"/>
      <c r="N785" s="10"/>
      <c r="O785" s="59"/>
      <c r="P785" s="1"/>
      <c r="Q785" s="1"/>
      <c r="R785" s="1"/>
      <c r="S785" s="1"/>
      <c r="T785" s="1"/>
      <c r="U785" s="1"/>
      <c r="V785" s="1"/>
      <c r="W785" s="1"/>
      <c r="X785" s="1"/>
      <c r="Y785" s="1"/>
      <c r="Z785" s="1"/>
      <c r="AA785" s="1"/>
    </row>
    <row r="786" spans="1:27" ht="12.75" hidden="1" customHeight="1">
      <c r="A786" s="1"/>
      <c r="B786" s="10"/>
      <c r="C786" s="10"/>
      <c r="D786" s="26"/>
      <c r="E786" s="10"/>
      <c r="F786" s="10"/>
      <c r="G786" s="71"/>
      <c r="H786" s="10"/>
      <c r="I786" s="10"/>
      <c r="J786" s="10"/>
      <c r="K786" s="71"/>
      <c r="L786" s="27"/>
      <c r="M786" s="10"/>
      <c r="N786" s="10"/>
      <c r="O786" s="59"/>
      <c r="P786" s="1"/>
      <c r="Q786" s="1"/>
      <c r="R786" s="1"/>
      <c r="S786" s="1"/>
      <c r="T786" s="1"/>
      <c r="U786" s="1"/>
      <c r="V786" s="1"/>
      <c r="W786" s="1"/>
      <c r="X786" s="1"/>
      <c r="Y786" s="1"/>
      <c r="Z786" s="1"/>
      <c r="AA786" s="1"/>
    </row>
    <row r="787" spans="1:27" ht="12.75" hidden="1" customHeight="1">
      <c r="A787" s="1"/>
      <c r="B787" s="10"/>
      <c r="C787" s="10"/>
      <c r="D787" s="26"/>
      <c r="E787" s="10"/>
      <c r="F787" s="10"/>
      <c r="G787" s="71"/>
      <c r="H787" s="10"/>
      <c r="I787" s="10"/>
      <c r="J787" s="10"/>
      <c r="K787" s="71"/>
      <c r="L787" s="27"/>
      <c r="M787" s="10"/>
      <c r="N787" s="10"/>
      <c r="O787" s="59"/>
      <c r="P787" s="1"/>
      <c r="Q787" s="1"/>
      <c r="R787" s="1"/>
      <c r="S787" s="1"/>
      <c r="T787" s="1"/>
      <c r="U787" s="1"/>
      <c r="V787" s="1"/>
      <c r="W787" s="1"/>
      <c r="X787" s="1"/>
      <c r="Y787" s="1"/>
      <c r="Z787" s="1"/>
      <c r="AA787" s="1"/>
    </row>
    <row r="788" spans="1:27" ht="12.75" hidden="1" customHeight="1">
      <c r="A788" s="1"/>
      <c r="B788" s="10"/>
      <c r="C788" s="10"/>
      <c r="D788" s="26"/>
      <c r="E788" s="10"/>
      <c r="F788" s="10"/>
      <c r="G788" s="71"/>
      <c r="H788" s="10"/>
      <c r="I788" s="10"/>
      <c r="J788" s="10"/>
      <c r="K788" s="71"/>
      <c r="L788" s="27"/>
      <c r="M788" s="10"/>
      <c r="N788" s="10"/>
      <c r="O788" s="59"/>
      <c r="P788" s="1"/>
      <c r="Q788" s="1"/>
      <c r="R788" s="1"/>
      <c r="S788" s="1"/>
      <c r="T788" s="1"/>
      <c r="U788" s="1"/>
      <c r="V788" s="1"/>
      <c r="W788" s="1"/>
      <c r="X788" s="1"/>
      <c r="Y788" s="1"/>
      <c r="Z788" s="1"/>
      <c r="AA788" s="1"/>
    </row>
    <row r="789" spans="1:27" ht="12.75" hidden="1" customHeight="1">
      <c r="A789" s="1"/>
      <c r="B789" s="10"/>
      <c r="C789" s="10"/>
      <c r="D789" s="26"/>
      <c r="E789" s="10"/>
      <c r="F789" s="10"/>
      <c r="G789" s="71"/>
      <c r="H789" s="10"/>
      <c r="I789" s="10"/>
      <c r="J789" s="10"/>
      <c r="K789" s="71"/>
      <c r="L789" s="27"/>
      <c r="M789" s="10"/>
      <c r="N789" s="10"/>
      <c r="O789" s="59"/>
      <c r="P789" s="1"/>
      <c r="Q789" s="1"/>
      <c r="R789" s="1"/>
      <c r="S789" s="1"/>
      <c r="T789" s="1"/>
      <c r="U789" s="1"/>
      <c r="V789" s="1"/>
      <c r="W789" s="1"/>
      <c r="X789" s="1"/>
      <c r="Y789" s="1"/>
      <c r="Z789" s="1"/>
      <c r="AA789" s="1"/>
    </row>
    <row r="790" spans="1:27" ht="12.75" hidden="1" customHeight="1">
      <c r="A790" s="1"/>
      <c r="B790" s="10"/>
      <c r="C790" s="10"/>
      <c r="D790" s="26"/>
      <c r="E790" s="10"/>
      <c r="F790" s="10"/>
      <c r="G790" s="71"/>
      <c r="H790" s="10"/>
      <c r="I790" s="10"/>
      <c r="J790" s="10"/>
      <c r="K790" s="71"/>
      <c r="L790" s="27"/>
      <c r="M790" s="10"/>
      <c r="N790" s="10"/>
      <c r="O790" s="59"/>
      <c r="P790" s="1"/>
      <c r="Q790" s="1"/>
      <c r="R790" s="1"/>
      <c r="S790" s="1"/>
      <c r="T790" s="1"/>
      <c r="U790" s="1"/>
      <c r="V790" s="1"/>
      <c r="W790" s="1"/>
      <c r="X790" s="1"/>
      <c r="Y790" s="1"/>
      <c r="Z790" s="1"/>
      <c r="AA790" s="1"/>
    </row>
    <row r="791" spans="1:27" ht="12.75" hidden="1" customHeight="1">
      <c r="A791" s="1"/>
      <c r="B791" s="10"/>
      <c r="C791" s="10"/>
      <c r="D791" s="26"/>
      <c r="E791" s="10"/>
      <c r="F791" s="10"/>
      <c r="G791" s="71"/>
      <c r="H791" s="10"/>
      <c r="I791" s="10"/>
      <c r="J791" s="10"/>
      <c r="K791" s="71"/>
      <c r="L791" s="27"/>
      <c r="M791" s="10"/>
      <c r="N791" s="10"/>
      <c r="O791" s="59"/>
      <c r="P791" s="1"/>
      <c r="Q791" s="1"/>
      <c r="R791" s="1"/>
      <c r="S791" s="1"/>
      <c r="T791" s="1"/>
      <c r="U791" s="1"/>
      <c r="V791" s="1"/>
      <c r="W791" s="1"/>
      <c r="X791" s="1"/>
      <c r="Y791" s="1"/>
      <c r="Z791" s="1"/>
      <c r="AA791" s="1"/>
    </row>
    <row r="792" spans="1:27" ht="12.75" hidden="1" customHeight="1">
      <c r="A792" s="1"/>
      <c r="B792" s="10"/>
      <c r="C792" s="10"/>
      <c r="D792" s="26"/>
      <c r="E792" s="10"/>
      <c r="F792" s="10"/>
      <c r="G792" s="71"/>
      <c r="H792" s="10"/>
      <c r="I792" s="10"/>
      <c r="J792" s="10"/>
      <c r="K792" s="71"/>
      <c r="L792" s="27"/>
      <c r="M792" s="10"/>
      <c r="N792" s="10"/>
      <c r="O792" s="59"/>
      <c r="P792" s="1"/>
      <c r="Q792" s="1"/>
      <c r="R792" s="1"/>
      <c r="S792" s="1"/>
      <c r="T792" s="1"/>
      <c r="U792" s="1"/>
      <c r="V792" s="1"/>
      <c r="W792" s="1"/>
      <c r="X792" s="1"/>
      <c r="Y792" s="1"/>
      <c r="Z792" s="1"/>
      <c r="AA792" s="1"/>
    </row>
    <row r="793" spans="1:27" ht="12.75" hidden="1" customHeight="1">
      <c r="A793" s="1"/>
      <c r="B793" s="10"/>
      <c r="C793" s="10"/>
      <c r="D793" s="26"/>
      <c r="E793" s="10"/>
      <c r="F793" s="10"/>
      <c r="G793" s="71"/>
      <c r="H793" s="10"/>
      <c r="I793" s="10"/>
      <c r="J793" s="10"/>
      <c r="K793" s="71"/>
      <c r="L793" s="27"/>
      <c r="M793" s="10"/>
      <c r="N793" s="10"/>
      <c r="O793" s="59"/>
      <c r="P793" s="1"/>
      <c r="Q793" s="1"/>
      <c r="R793" s="1"/>
      <c r="S793" s="1"/>
      <c r="T793" s="1"/>
      <c r="U793" s="1"/>
      <c r="V793" s="1"/>
      <c r="W793" s="1"/>
      <c r="X793" s="1"/>
      <c r="Y793" s="1"/>
      <c r="Z793" s="1"/>
      <c r="AA793" s="1"/>
    </row>
    <row r="794" spans="1:27" ht="12.75" hidden="1" customHeight="1">
      <c r="A794" s="1"/>
      <c r="B794" s="10"/>
      <c r="C794" s="10"/>
      <c r="D794" s="26"/>
      <c r="E794" s="10"/>
      <c r="F794" s="10"/>
      <c r="G794" s="71"/>
      <c r="H794" s="10"/>
      <c r="I794" s="10"/>
      <c r="J794" s="10"/>
      <c r="K794" s="71"/>
      <c r="L794" s="27"/>
      <c r="M794" s="10"/>
      <c r="N794" s="10"/>
      <c r="O794" s="59"/>
      <c r="P794" s="1"/>
      <c r="Q794" s="1"/>
      <c r="R794" s="1"/>
      <c r="S794" s="1"/>
      <c r="T794" s="1"/>
      <c r="U794" s="1"/>
      <c r="V794" s="1"/>
      <c r="W794" s="1"/>
      <c r="X794" s="1"/>
      <c r="Y794" s="1"/>
      <c r="Z794" s="1"/>
      <c r="AA794" s="1"/>
    </row>
    <row r="795" spans="1:27" ht="12.75" hidden="1" customHeight="1">
      <c r="A795" s="1"/>
      <c r="B795" s="10"/>
      <c r="C795" s="10"/>
      <c r="D795" s="26"/>
      <c r="E795" s="10"/>
      <c r="F795" s="10"/>
      <c r="G795" s="71"/>
      <c r="H795" s="10"/>
      <c r="I795" s="10"/>
      <c r="J795" s="10"/>
      <c r="K795" s="71"/>
      <c r="L795" s="27"/>
      <c r="M795" s="10"/>
      <c r="N795" s="10"/>
      <c r="O795" s="59"/>
      <c r="P795" s="1"/>
      <c r="Q795" s="1"/>
      <c r="R795" s="1"/>
      <c r="S795" s="1"/>
      <c r="T795" s="1"/>
      <c r="U795" s="1"/>
      <c r="V795" s="1"/>
      <c r="W795" s="1"/>
      <c r="X795" s="1"/>
      <c r="Y795" s="1"/>
      <c r="Z795" s="1"/>
      <c r="AA795" s="1"/>
    </row>
    <row r="796" spans="1:27" ht="12.75" hidden="1" customHeight="1">
      <c r="A796" s="1"/>
      <c r="B796" s="10"/>
      <c r="C796" s="10"/>
      <c r="D796" s="26"/>
      <c r="E796" s="10"/>
      <c r="F796" s="10"/>
      <c r="G796" s="71"/>
      <c r="H796" s="10"/>
      <c r="I796" s="10"/>
      <c r="J796" s="10"/>
      <c r="K796" s="71"/>
      <c r="L796" s="27"/>
      <c r="M796" s="10"/>
      <c r="N796" s="10"/>
      <c r="O796" s="59"/>
      <c r="P796" s="1"/>
      <c r="Q796" s="1"/>
      <c r="R796" s="1"/>
      <c r="S796" s="1"/>
      <c r="T796" s="1"/>
      <c r="U796" s="1"/>
      <c r="V796" s="1"/>
      <c r="W796" s="1"/>
      <c r="X796" s="1"/>
      <c r="Y796" s="1"/>
      <c r="Z796" s="1"/>
      <c r="AA796" s="1"/>
    </row>
    <row r="797" spans="1:27" ht="12.75" hidden="1" customHeight="1">
      <c r="A797" s="1"/>
      <c r="B797" s="10"/>
      <c r="C797" s="10"/>
      <c r="D797" s="26"/>
      <c r="E797" s="10"/>
      <c r="F797" s="10"/>
      <c r="G797" s="71"/>
      <c r="H797" s="10"/>
      <c r="I797" s="10"/>
      <c r="J797" s="10"/>
      <c r="K797" s="71"/>
      <c r="L797" s="27"/>
      <c r="M797" s="10"/>
      <c r="N797" s="10"/>
      <c r="O797" s="59"/>
      <c r="P797" s="1"/>
      <c r="Q797" s="1"/>
      <c r="R797" s="1"/>
      <c r="S797" s="1"/>
      <c r="T797" s="1"/>
      <c r="U797" s="1"/>
      <c r="V797" s="1"/>
      <c r="W797" s="1"/>
      <c r="X797" s="1"/>
      <c r="Y797" s="1"/>
      <c r="Z797" s="1"/>
      <c r="AA797" s="1"/>
    </row>
    <row r="798" spans="1:27" ht="12.75" hidden="1" customHeight="1">
      <c r="A798" s="1"/>
      <c r="B798" s="10"/>
      <c r="C798" s="10"/>
      <c r="D798" s="26"/>
      <c r="E798" s="10"/>
      <c r="F798" s="10"/>
      <c r="G798" s="71"/>
      <c r="H798" s="10"/>
      <c r="I798" s="10"/>
      <c r="J798" s="10"/>
      <c r="K798" s="71"/>
      <c r="L798" s="27"/>
      <c r="M798" s="10"/>
      <c r="N798" s="10"/>
      <c r="O798" s="59"/>
      <c r="P798" s="1"/>
      <c r="Q798" s="1"/>
      <c r="R798" s="1"/>
      <c r="S798" s="1"/>
      <c r="T798" s="1"/>
      <c r="U798" s="1"/>
      <c r="V798" s="1"/>
      <c r="W798" s="1"/>
      <c r="X798" s="1"/>
      <c r="Y798" s="1"/>
      <c r="Z798" s="1"/>
      <c r="AA798" s="1"/>
    </row>
    <row r="799" spans="1:27" ht="12.75" hidden="1" customHeight="1">
      <c r="A799" s="1"/>
      <c r="B799" s="10"/>
      <c r="C799" s="10"/>
      <c r="D799" s="26"/>
      <c r="E799" s="10"/>
      <c r="F799" s="10"/>
      <c r="G799" s="71"/>
      <c r="H799" s="10"/>
      <c r="I799" s="10"/>
      <c r="J799" s="10"/>
      <c r="K799" s="71"/>
      <c r="L799" s="27"/>
      <c r="M799" s="10"/>
      <c r="N799" s="10"/>
      <c r="O799" s="59"/>
      <c r="P799" s="1"/>
      <c r="Q799" s="1"/>
      <c r="R799" s="1"/>
      <c r="S799" s="1"/>
      <c r="T799" s="1"/>
      <c r="U799" s="1"/>
      <c r="V799" s="1"/>
      <c r="W799" s="1"/>
      <c r="X799" s="1"/>
      <c r="Y799" s="1"/>
      <c r="Z799" s="1"/>
      <c r="AA799" s="1"/>
    </row>
    <row r="800" spans="1:27" ht="12.75" hidden="1" customHeight="1">
      <c r="A800" s="1"/>
      <c r="B800" s="10"/>
      <c r="C800" s="10"/>
      <c r="D800" s="26"/>
      <c r="E800" s="10"/>
      <c r="F800" s="10"/>
      <c r="G800" s="71"/>
      <c r="H800" s="10"/>
      <c r="I800" s="10"/>
      <c r="J800" s="10"/>
      <c r="K800" s="71"/>
      <c r="L800" s="27"/>
      <c r="M800" s="10"/>
      <c r="N800" s="10"/>
      <c r="O800" s="59"/>
      <c r="P800" s="1"/>
      <c r="Q800" s="1"/>
      <c r="R800" s="1"/>
      <c r="S800" s="1"/>
      <c r="T800" s="1"/>
      <c r="U800" s="1"/>
      <c r="V800" s="1"/>
      <c r="W800" s="1"/>
      <c r="X800" s="1"/>
      <c r="Y800" s="1"/>
      <c r="Z800" s="1"/>
      <c r="AA800" s="1"/>
    </row>
    <row r="801" spans="1:27" ht="12.75" hidden="1" customHeight="1">
      <c r="A801" s="1"/>
      <c r="B801" s="10"/>
      <c r="C801" s="10"/>
      <c r="D801" s="26"/>
      <c r="E801" s="10"/>
      <c r="F801" s="10"/>
      <c r="G801" s="71"/>
      <c r="H801" s="10"/>
      <c r="I801" s="10"/>
      <c r="J801" s="10"/>
      <c r="K801" s="71"/>
      <c r="L801" s="27"/>
      <c r="M801" s="10"/>
      <c r="N801" s="10"/>
      <c r="O801" s="59"/>
      <c r="P801" s="1"/>
      <c r="Q801" s="1"/>
      <c r="R801" s="1"/>
      <c r="S801" s="1"/>
      <c r="T801" s="1"/>
      <c r="U801" s="1"/>
      <c r="V801" s="1"/>
      <c r="W801" s="1"/>
      <c r="X801" s="1"/>
      <c r="Y801" s="1"/>
      <c r="Z801" s="1"/>
      <c r="AA801" s="1"/>
    </row>
    <row r="802" spans="1:27" ht="12.75" hidden="1" customHeight="1">
      <c r="A802" s="1"/>
      <c r="B802" s="10"/>
      <c r="C802" s="10"/>
      <c r="D802" s="26"/>
      <c r="E802" s="10"/>
      <c r="F802" s="10"/>
      <c r="G802" s="71"/>
      <c r="H802" s="10"/>
      <c r="I802" s="10"/>
      <c r="J802" s="10"/>
      <c r="K802" s="71"/>
      <c r="L802" s="27"/>
      <c r="M802" s="10"/>
      <c r="N802" s="10"/>
      <c r="O802" s="59"/>
      <c r="P802" s="1"/>
      <c r="Q802" s="1"/>
      <c r="R802" s="1"/>
      <c r="S802" s="1"/>
      <c r="T802" s="1"/>
      <c r="U802" s="1"/>
      <c r="V802" s="1"/>
      <c r="W802" s="1"/>
      <c r="X802" s="1"/>
      <c r="Y802" s="1"/>
      <c r="Z802" s="1"/>
      <c r="AA802" s="1"/>
    </row>
    <row r="803" spans="1:27" ht="12.75" hidden="1" customHeight="1">
      <c r="A803" s="1"/>
      <c r="B803" s="10"/>
      <c r="C803" s="10"/>
      <c r="D803" s="26"/>
      <c r="E803" s="10"/>
      <c r="F803" s="10"/>
      <c r="G803" s="71"/>
      <c r="H803" s="10"/>
      <c r="I803" s="10"/>
      <c r="J803" s="10"/>
      <c r="K803" s="71"/>
      <c r="L803" s="27"/>
      <c r="M803" s="10"/>
      <c r="N803" s="10"/>
      <c r="O803" s="59"/>
      <c r="P803" s="1"/>
      <c r="Q803" s="1"/>
      <c r="R803" s="1"/>
      <c r="S803" s="1"/>
      <c r="T803" s="1"/>
      <c r="U803" s="1"/>
      <c r="V803" s="1"/>
      <c r="W803" s="1"/>
      <c r="X803" s="1"/>
      <c r="Y803" s="1"/>
      <c r="Z803" s="1"/>
      <c r="AA803" s="1"/>
    </row>
    <row r="804" spans="1:27" ht="12.75" hidden="1" customHeight="1">
      <c r="A804" s="1"/>
      <c r="B804" s="10"/>
      <c r="C804" s="10"/>
      <c r="D804" s="26"/>
      <c r="E804" s="10"/>
      <c r="F804" s="10"/>
      <c r="G804" s="71"/>
      <c r="H804" s="10"/>
      <c r="I804" s="10"/>
      <c r="J804" s="10"/>
      <c r="K804" s="71"/>
      <c r="L804" s="27"/>
      <c r="M804" s="10"/>
      <c r="N804" s="10"/>
      <c r="O804" s="59"/>
      <c r="P804" s="1"/>
      <c r="Q804" s="1"/>
      <c r="R804" s="1"/>
      <c r="S804" s="1"/>
      <c r="T804" s="1"/>
      <c r="U804" s="1"/>
      <c r="V804" s="1"/>
      <c r="W804" s="1"/>
      <c r="X804" s="1"/>
      <c r="Y804" s="1"/>
      <c r="Z804" s="1"/>
      <c r="AA804" s="1"/>
    </row>
    <row r="805" spans="1:27" ht="12.75" hidden="1" customHeight="1">
      <c r="A805" s="1"/>
      <c r="B805" s="10"/>
      <c r="C805" s="10"/>
      <c r="D805" s="26"/>
      <c r="E805" s="10"/>
      <c r="F805" s="10"/>
      <c r="G805" s="71"/>
      <c r="H805" s="10"/>
      <c r="I805" s="10"/>
      <c r="J805" s="10"/>
      <c r="K805" s="71"/>
      <c r="L805" s="27"/>
      <c r="M805" s="10"/>
      <c r="N805" s="10"/>
      <c r="O805" s="59"/>
      <c r="P805" s="1"/>
      <c r="Q805" s="1"/>
      <c r="R805" s="1"/>
      <c r="S805" s="1"/>
      <c r="T805" s="1"/>
      <c r="U805" s="1"/>
      <c r="V805" s="1"/>
      <c r="W805" s="1"/>
      <c r="X805" s="1"/>
      <c r="Y805" s="1"/>
      <c r="Z805" s="1"/>
      <c r="AA805" s="1"/>
    </row>
    <row r="806" spans="1:27" ht="12.75" hidden="1" customHeight="1">
      <c r="A806" s="1"/>
      <c r="B806" s="10"/>
      <c r="C806" s="10"/>
      <c r="D806" s="26"/>
      <c r="E806" s="10"/>
      <c r="F806" s="10"/>
      <c r="G806" s="71"/>
      <c r="H806" s="10"/>
      <c r="I806" s="10"/>
      <c r="J806" s="10"/>
      <c r="K806" s="71"/>
      <c r="L806" s="27"/>
      <c r="M806" s="10"/>
      <c r="N806" s="10"/>
      <c r="O806" s="59"/>
      <c r="P806" s="1"/>
      <c r="Q806" s="1"/>
      <c r="R806" s="1"/>
      <c r="S806" s="1"/>
      <c r="T806" s="1"/>
      <c r="U806" s="1"/>
      <c r="V806" s="1"/>
      <c r="W806" s="1"/>
      <c r="X806" s="1"/>
      <c r="Y806" s="1"/>
      <c r="Z806" s="1"/>
      <c r="AA806" s="1"/>
    </row>
    <row r="807" spans="1:27" ht="12.75" hidden="1" customHeight="1">
      <c r="A807" s="1"/>
      <c r="B807" s="10"/>
      <c r="C807" s="10"/>
      <c r="D807" s="26"/>
      <c r="E807" s="10"/>
      <c r="F807" s="10"/>
      <c r="G807" s="71"/>
      <c r="H807" s="10"/>
      <c r="I807" s="10"/>
      <c r="J807" s="10"/>
      <c r="K807" s="71"/>
      <c r="L807" s="27"/>
      <c r="M807" s="10"/>
      <c r="N807" s="10"/>
      <c r="O807" s="59"/>
      <c r="P807" s="1"/>
      <c r="Q807" s="1"/>
      <c r="R807" s="1"/>
      <c r="S807" s="1"/>
      <c r="T807" s="1"/>
      <c r="U807" s="1"/>
      <c r="V807" s="1"/>
      <c r="W807" s="1"/>
      <c r="X807" s="1"/>
      <c r="Y807" s="1"/>
      <c r="Z807" s="1"/>
      <c r="AA807" s="1"/>
    </row>
    <row r="808" spans="1:27" ht="12.75" hidden="1" customHeight="1">
      <c r="A808" s="1"/>
      <c r="B808" s="10"/>
      <c r="C808" s="10"/>
      <c r="D808" s="26"/>
      <c r="E808" s="10"/>
      <c r="F808" s="10"/>
      <c r="G808" s="71"/>
      <c r="H808" s="10"/>
      <c r="I808" s="10"/>
      <c r="J808" s="10"/>
      <c r="K808" s="71"/>
      <c r="L808" s="27"/>
      <c r="M808" s="10"/>
      <c r="N808" s="10"/>
      <c r="O808" s="59"/>
      <c r="P808" s="1"/>
      <c r="Q808" s="1"/>
      <c r="R808" s="1"/>
      <c r="S808" s="1"/>
      <c r="T808" s="1"/>
      <c r="U808" s="1"/>
      <c r="V808" s="1"/>
      <c r="W808" s="1"/>
      <c r="X808" s="1"/>
      <c r="Y808" s="1"/>
      <c r="Z808" s="1"/>
      <c r="AA808" s="1"/>
    </row>
    <row r="809" spans="1:27" ht="12.75" hidden="1" customHeight="1">
      <c r="A809" s="1"/>
      <c r="B809" s="10"/>
      <c r="C809" s="10"/>
      <c r="D809" s="26"/>
      <c r="E809" s="10"/>
      <c r="F809" s="10"/>
      <c r="G809" s="71"/>
      <c r="H809" s="10"/>
      <c r="I809" s="10"/>
      <c r="J809" s="10"/>
      <c r="K809" s="71"/>
      <c r="L809" s="27"/>
      <c r="M809" s="10"/>
      <c r="N809" s="10"/>
      <c r="O809" s="59"/>
      <c r="P809" s="1"/>
      <c r="Q809" s="1"/>
      <c r="R809" s="1"/>
      <c r="S809" s="1"/>
      <c r="T809" s="1"/>
      <c r="U809" s="1"/>
      <c r="V809" s="1"/>
      <c r="W809" s="1"/>
      <c r="X809" s="1"/>
      <c r="Y809" s="1"/>
      <c r="Z809" s="1"/>
      <c r="AA809" s="1"/>
    </row>
    <row r="810" spans="1:27" ht="12.75" hidden="1" customHeight="1">
      <c r="A810" s="1"/>
      <c r="B810" s="10"/>
      <c r="C810" s="10"/>
      <c r="D810" s="26"/>
      <c r="E810" s="10"/>
      <c r="F810" s="10"/>
      <c r="G810" s="71"/>
      <c r="H810" s="10"/>
      <c r="I810" s="10"/>
      <c r="J810" s="10"/>
      <c r="K810" s="71"/>
      <c r="L810" s="27"/>
      <c r="M810" s="10"/>
      <c r="N810" s="10"/>
      <c r="O810" s="59"/>
      <c r="P810" s="1"/>
      <c r="Q810" s="1"/>
      <c r="R810" s="1"/>
      <c r="S810" s="1"/>
      <c r="T810" s="1"/>
      <c r="U810" s="1"/>
      <c r="V810" s="1"/>
      <c r="W810" s="1"/>
      <c r="X810" s="1"/>
      <c r="Y810" s="1"/>
      <c r="Z810" s="1"/>
      <c r="AA810" s="1"/>
    </row>
    <row r="811" spans="1:27" ht="12.75" hidden="1" customHeight="1">
      <c r="A811" s="1"/>
      <c r="B811" s="10"/>
      <c r="C811" s="10"/>
      <c r="D811" s="26"/>
      <c r="E811" s="10"/>
      <c r="F811" s="10"/>
      <c r="G811" s="71"/>
      <c r="H811" s="10"/>
      <c r="I811" s="10"/>
      <c r="J811" s="10"/>
      <c r="K811" s="71"/>
      <c r="L811" s="27"/>
      <c r="M811" s="10"/>
      <c r="N811" s="10"/>
      <c r="O811" s="59"/>
      <c r="P811" s="1"/>
      <c r="Q811" s="1"/>
      <c r="R811" s="1"/>
      <c r="S811" s="1"/>
      <c r="T811" s="1"/>
      <c r="U811" s="1"/>
      <c r="V811" s="1"/>
      <c r="W811" s="1"/>
      <c r="X811" s="1"/>
      <c r="Y811" s="1"/>
      <c r="Z811" s="1"/>
      <c r="AA811" s="1"/>
    </row>
    <row r="812" spans="1:27" ht="12.75" hidden="1" customHeight="1">
      <c r="A812" s="1"/>
      <c r="B812" s="10"/>
      <c r="C812" s="10"/>
      <c r="D812" s="26"/>
      <c r="E812" s="10"/>
      <c r="F812" s="10"/>
      <c r="G812" s="71"/>
      <c r="H812" s="10"/>
      <c r="I812" s="10"/>
      <c r="J812" s="10"/>
      <c r="K812" s="71"/>
      <c r="L812" s="27"/>
      <c r="M812" s="10"/>
      <c r="N812" s="10"/>
      <c r="O812" s="59"/>
      <c r="P812" s="1"/>
      <c r="Q812" s="1"/>
      <c r="R812" s="1"/>
      <c r="S812" s="1"/>
      <c r="T812" s="1"/>
      <c r="U812" s="1"/>
      <c r="V812" s="1"/>
      <c r="W812" s="1"/>
      <c r="X812" s="1"/>
      <c r="Y812" s="1"/>
      <c r="Z812" s="1"/>
      <c r="AA812" s="1"/>
    </row>
    <row r="813" spans="1:27" ht="12.75" hidden="1" customHeight="1">
      <c r="A813" s="1"/>
      <c r="B813" s="10"/>
      <c r="C813" s="10"/>
      <c r="D813" s="26"/>
      <c r="E813" s="10"/>
      <c r="F813" s="10"/>
      <c r="G813" s="71"/>
      <c r="H813" s="10"/>
      <c r="I813" s="10"/>
      <c r="J813" s="10"/>
      <c r="K813" s="71"/>
      <c r="L813" s="27"/>
      <c r="M813" s="10"/>
      <c r="N813" s="10"/>
      <c r="O813" s="59"/>
      <c r="P813" s="1"/>
      <c r="Q813" s="1"/>
      <c r="R813" s="1"/>
      <c r="S813" s="1"/>
      <c r="T813" s="1"/>
      <c r="U813" s="1"/>
      <c r="V813" s="1"/>
      <c r="W813" s="1"/>
      <c r="X813" s="1"/>
      <c r="Y813" s="1"/>
      <c r="Z813" s="1"/>
      <c r="AA813" s="1"/>
    </row>
    <row r="814" spans="1:27" ht="12.75" hidden="1" customHeight="1">
      <c r="A814" s="1"/>
      <c r="B814" s="10"/>
      <c r="C814" s="10"/>
      <c r="D814" s="26"/>
      <c r="E814" s="10"/>
      <c r="F814" s="10"/>
      <c r="G814" s="71"/>
      <c r="H814" s="10"/>
      <c r="I814" s="10"/>
      <c r="J814" s="10"/>
      <c r="K814" s="71"/>
      <c r="L814" s="27"/>
      <c r="M814" s="10"/>
      <c r="N814" s="10"/>
      <c r="O814" s="59"/>
      <c r="P814" s="1"/>
      <c r="Q814" s="1"/>
      <c r="R814" s="1"/>
      <c r="S814" s="1"/>
      <c r="T814" s="1"/>
      <c r="U814" s="1"/>
      <c r="V814" s="1"/>
      <c r="W814" s="1"/>
      <c r="X814" s="1"/>
      <c r="Y814" s="1"/>
      <c r="Z814" s="1"/>
      <c r="AA814" s="1"/>
    </row>
    <row r="815" spans="1:27" ht="12.75" hidden="1" customHeight="1">
      <c r="A815" s="1"/>
      <c r="B815" s="10"/>
      <c r="C815" s="10"/>
      <c r="D815" s="26"/>
      <c r="E815" s="10"/>
      <c r="F815" s="10"/>
      <c r="G815" s="71"/>
      <c r="H815" s="10"/>
      <c r="I815" s="10"/>
      <c r="J815" s="10"/>
      <c r="K815" s="71"/>
      <c r="L815" s="27"/>
      <c r="M815" s="10"/>
      <c r="N815" s="10"/>
      <c r="O815" s="59"/>
      <c r="P815" s="1"/>
      <c r="Q815" s="1"/>
      <c r="R815" s="1"/>
      <c r="S815" s="1"/>
      <c r="T815" s="1"/>
      <c r="U815" s="1"/>
      <c r="V815" s="1"/>
      <c r="W815" s="1"/>
      <c r="X815" s="1"/>
      <c r="Y815" s="1"/>
      <c r="Z815" s="1"/>
      <c r="AA815" s="1"/>
    </row>
    <row r="816" spans="1:27" ht="12.75" hidden="1" customHeight="1">
      <c r="A816" s="1"/>
      <c r="B816" s="10"/>
      <c r="C816" s="10"/>
      <c r="D816" s="26"/>
      <c r="E816" s="10"/>
      <c r="F816" s="10"/>
      <c r="G816" s="71"/>
      <c r="H816" s="10"/>
      <c r="I816" s="10"/>
      <c r="J816" s="10"/>
      <c r="K816" s="71"/>
      <c r="L816" s="27"/>
      <c r="M816" s="10"/>
      <c r="N816" s="10"/>
      <c r="O816" s="59"/>
      <c r="P816" s="1"/>
      <c r="Q816" s="1"/>
      <c r="R816" s="1"/>
      <c r="S816" s="1"/>
      <c r="T816" s="1"/>
      <c r="U816" s="1"/>
      <c r="V816" s="1"/>
      <c r="W816" s="1"/>
      <c r="X816" s="1"/>
      <c r="Y816" s="1"/>
      <c r="Z816" s="1"/>
      <c r="AA816" s="1"/>
    </row>
    <row r="817" spans="1:27" ht="12.75" hidden="1" customHeight="1">
      <c r="A817" s="1"/>
      <c r="B817" s="10"/>
      <c r="C817" s="10"/>
      <c r="D817" s="26"/>
      <c r="E817" s="10"/>
      <c r="F817" s="10"/>
      <c r="G817" s="71"/>
      <c r="H817" s="10"/>
      <c r="I817" s="10"/>
      <c r="J817" s="10"/>
      <c r="K817" s="71"/>
      <c r="L817" s="27"/>
      <c r="M817" s="10"/>
      <c r="N817" s="10"/>
      <c r="O817" s="59"/>
      <c r="P817" s="1"/>
      <c r="Q817" s="1"/>
      <c r="R817" s="1"/>
      <c r="S817" s="1"/>
      <c r="T817" s="1"/>
      <c r="U817" s="1"/>
      <c r="V817" s="1"/>
      <c r="W817" s="1"/>
      <c r="X817" s="1"/>
      <c r="Y817" s="1"/>
      <c r="Z817" s="1"/>
      <c r="AA817" s="1"/>
    </row>
    <row r="818" spans="1:27" ht="12.75" hidden="1" customHeight="1">
      <c r="A818" s="1"/>
      <c r="B818" s="10"/>
      <c r="C818" s="10"/>
      <c r="D818" s="26"/>
      <c r="E818" s="10"/>
      <c r="F818" s="10"/>
      <c r="G818" s="71"/>
      <c r="H818" s="10"/>
      <c r="I818" s="10"/>
      <c r="J818" s="10"/>
      <c r="K818" s="71"/>
      <c r="L818" s="27"/>
      <c r="M818" s="10"/>
      <c r="N818" s="10"/>
      <c r="O818" s="59"/>
      <c r="P818" s="1"/>
      <c r="Q818" s="1"/>
      <c r="R818" s="1"/>
      <c r="S818" s="1"/>
      <c r="T818" s="1"/>
      <c r="U818" s="1"/>
      <c r="V818" s="1"/>
      <c r="W818" s="1"/>
      <c r="X818" s="1"/>
      <c r="Y818" s="1"/>
      <c r="Z818" s="1"/>
      <c r="AA818" s="1"/>
    </row>
    <row r="819" spans="1:27" ht="12.75" hidden="1" customHeight="1">
      <c r="A819" s="1"/>
      <c r="B819" s="10"/>
      <c r="C819" s="10"/>
      <c r="D819" s="26"/>
      <c r="E819" s="10"/>
      <c r="F819" s="10"/>
      <c r="G819" s="71"/>
      <c r="H819" s="10"/>
      <c r="I819" s="10"/>
      <c r="J819" s="10"/>
      <c r="K819" s="71"/>
      <c r="L819" s="27"/>
      <c r="M819" s="10"/>
      <c r="N819" s="10"/>
      <c r="O819" s="59"/>
      <c r="P819" s="1"/>
      <c r="Q819" s="1"/>
      <c r="R819" s="1"/>
      <c r="S819" s="1"/>
      <c r="T819" s="1"/>
      <c r="U819" s="1"/>
      <c r="V819" s="1"/>
      <c r="W819" s="1"/>
      <c r="X819" s="1"/>
      <c r="Y819" s="1"/>
      <c r="Z819" s="1"/>
      <c r="AA819" s="1"/>
    </row>
    <row r="820" spans="1:27" ht="12.75" hidden="1" customHeight="1">
      <c r="A820" s="1"/>
      <c r="B820" s="10"/>
      <c r="C820" s="10"/>
      <c r="D820" s="26"/>
      <c r="E820" s="10"/>
      <c r="F820" s="10"/>
      <c r="G820" s="71"/>
      <c r="H820" s="10"/>
      <c r="I820" s="10"/>
      <c r="J820" s="10"/>
      <c r="K820" s="71"/>
      <c r="L820" s="27"/>
      <c r="M820" s="10"/>
      <c r="N820" s="10"/>
      <c r="O820" s="59"/>
      <c r="P820" s="1"/>
      <c r="Q820" s="1"/>
      <c r="R820" s="1"/>
      <c r="S820" s="1"/>
      <c r="T820" s="1"/>
      <c r="U820" s="1"/>
      <c r="V820" s="1"/>
      <c r="W820" s="1"/>
      <c r="X820" s="1"/>
      <c r="Y820" s="1"/>
      <c r="Z820" s="1"/>
      <c r="AA820" s="1"/>
    </row>
    <row r="821" spans="1:27" ht="12.75" hidden="1" customHeight="1">
      <c r="A821" s="1"/>
      <c r="B821" s="10"/>
      <c r="C821" s="10"/>
      <c r="D821" s="26"/>
      <c r="E821" s="10"/>
      <c r="F821" s="10"/>
      <c r="G821" s="71"/>
      <c r="H821" s="10"/>
      <c r="I821" s="10"/>
      <c r="J821" s="10"/>
      <c r="K821" s="71"/>
      <c r="L821" s="27"/>
      <c r="M821" s="10"/>
      <c r="N821" s="10"/>
      <c r="O821" s="59"/>
      <c r="P821" s="1"/>
      <c r="Q821" s="1"/>
      <c r="R821" s="1"/>
      <c r="S821" s="1"/>
      <c r="T821" s="1"/>
      <c r="U821" s="1"/>
      <c r="V821" s="1"/>
      <c r="W821" s="1"/>
      <c r="X821" s="1"/>
      <c r="Y821" s="1"/>
      <c r="Z821" s="1"/>
      <c r="AA821" s="1"/>
    </row>
    <row r="822" spans="1:27" ht="12.75" hidden="1" customHeight="1">
      <c r="A822" s="1"/>
      <c r="B822" s="10"/>
      <c r="C822" s="10"/>
      <c r="D822" s="26"/>
      <c r="E822" s="10"/>
      <c r="F822" s="10"/>
      <c r="G822" s="71"/>
      <c r="H822" s="10"/>
      <c r="I822" s="10"/>
      <c r="J822" s="10"/>
      <c r="K822" s="71"/>
      <c r="L822" s="27"/>
      <c r="M822" s="10"/>
      <c r="N822" s="10"/>
      <c r="O822" s="59"/>
      <c r="P822" s="1"/>
      <c r="Q822" s="1"/>
      <c r="R822" s="1"/>
      <c r="S822" s="1"/>
      <c r="T822" s="1"/>
      <c r="U822" s="1"/>
      <c r="V822" s="1"/>
      <c r="W822" s="1"/>
      <c r="X822" s="1"/>
      <c r="Y822" s="1"/>
      <c r="Z822" s="1"/>
      <c r="AA822" s="1"/>
    </row>
    <row r="823" spans="1:27" ht="12.75" hidden="1" customHeight="1">
      <c r="A823" s="1"/>
      <c r="B823" s="10"/>
      <c r="C823" s="10"/>
      <c r="D823" s="26"/>
      <c r="E823" s="10"/>
      <c r="F823" s="10"/>
      <c r="G823" s="71"/>
      <c r="H823" s="10"/>
      <c r="I823" s="10"/>
      <c r="J823" s="10"/>
      <c r="K823" s="71"/>
      <c r="L823" s="27"/>
      <c r="M823" s="10"/>
      <c r="N823" s="10"/>
      <c r="O823" s="59"/>
      <c r="P823" s="1"/>
      <c r="Q823" s="1"/>
      <c r="R823" s="1"/>
      <c r="S823" s="1"/>
      <c r="T823" s="1"/>
      <c r="U823" s="1"/>
      <c r="V823" s="1"/>
      <c r="W823" s="1"/>
      <c r="X823" s="1"/>
      <c r="Y823" s="1"/>
      <c r="Z823" s="1"/>
      <c r="AA823" s="1"/>
    </row>
    <row r="824" spans="1:27" ht="12.75" hidden="1" customHeight="1">
      <c r="A824" s="1"/>
      <c r="B824" s="10"/>
      <c r="C824" s="10"/>
      <c r="D824" s="26"/>
      <c r="E824" s="10"/>
      <c r="F824" s="10"/>
      <c r="G824" s="71"/>
      <c r="H824" s="10"/>
      <c r="I824" s="10"/>
      <c r="J824" s="10"/>
      <c r="K824" s="71"/>
      <c r="L824" s="27"/>
      <c r="M824" s="10"/>
      <c r="N824" s="10"/>
      <c r="O824" s="59"/>
      <c r="P824" s="1"/>
      <c r="Q824" s="1"/>
      <c r="R824" s="1"/>
      <c r="S824" s="1"/>
      <c r="T824" s="1"/>
      <c r="U824" s="1"/>
      <c r="V824" s="1"/>
      <c r="W824" s="1"/>
      <c r="X824" s="1"/>
      <c r="Y824" s="1"/>
      <c r="Z824" s="1"/>
      <c r="AA824" s="1"/>
    </row>
    <row r="825" spans="1:27" ht="12.75" hidden="1" customHeight="1">
      <c r="A825" s="1"/>
      <c r="B825" s="10"/>
      <c r="C825" s="10"/>
      <c r="D825" s="26"/>
      <c r="E825" s="10"/>
      <c r="F825" s="10"/>
      <c r="G825" s="71"/>
      <c r="H825" s="10"/>
      <c r="I825" s="10"/>
      <c r="J825" s="10"/>
      <c r="K825" s="71"/>
      <c r="L825" s="27"/>
      <c r="M825" s="10"/>
      <c r="N825" s="10"/>
      <c r="O825" s="59"/>
      <c r="P825" s="1"/>
      <c r="Q825" s="1"/>
      <c r="R825" s="1"/>
      <c r="S825" s="1"/>
      <c r="T825" s="1"/>
      <c r="U825" s="1"/>
      <c r="V825" s="1"/>
      <c r="W825" s="1"/>
      <c r="X825" s="1"/>
      <c r="Y825" s="1"/>
      <c r="Z825" s="1"/>
      <c r="AA825" s="1"/>
    </row>
    <row r="826" spans="1:27" ht="12.75" hidden="1" customHeight="1">
      <c r="A826" s="1"/>
      <c r="B826" s="10"/>
      <c r="C826" s="10"/>
      <c r="D826" s="26"/>
      <c r="E826" s="10"/>
      <c r="F826" s="10"/>
      <c r="G826" s="71"/>
      <c r="H826" s="10"/>
      <c r="I826" s="10"/>
      <c r="J826" s="10"/>
      <c r="K826" s="71"/>
      <c r="L826" s="27"/>
      <c r="M826" s="10"/>
      <c r="N826" s="10"/>
      <c r="O826" s="59"/>
      <c r="P826" s="1"/>
      <c r="Q826" s="1"/>
      <c r="R826" s="1"/>
      <c r="S826" s="1"/>
      <c r="T826" s="1"/>
      <c r="U826" s="1"/>
      <c r="V826" s="1"/>
      <c r="W826" s="1"/>
      <c r="X826" s="1"/>
      <c r="Y826" s="1"/>
      <c r="Z826" s="1"/>
      <c r="AA826" s="1"/>
    </row>
    <row r="827" spans="1:27" ht="12.75" hidden="1" customHeight="1">
      <c r="A827" s="1"/>
      <c r="B827" s="10"/>
      <c r="C827" s="10"/>
      <c r="D827" s="26"/>
      <c r="E827" s="10"/>
      <c r="F827" s="10"/>
      <c r="G827" s="71"/>
      <c r="H827" s="10"/>
      <c r="I827" s="10"/>
      <c r="J827" s="10"/>
      <c r="K827" s="71"/>
      <c r="L827" s="27"/>
      <c r="M827" s="10"/>
      <c r="N827" s="10"/>
      <c r="O827" s="59"/>
      <c r="P827" s="1"/>
      <c r="Q827" s="1"/>
      <c r="R827" s="1"/>
      <c r="S827" s="1"/>
      <c r="T827" s="1"/>
      <c r="U827" s="1"/>
      <c r="V827" s="1"/>
      <c r="W827" s="1"/>
      <c r="X827" s="1"/>
      <c r="Y827" s="1"/>
      <c r="Z827" s="1"/>
      <c r="AA827" s="1"/>
    </row>
    <row r="828" spans="1:27" ht="12.75" hidden="1" customHeight="1">
      <c r="A828" s="1"/>
      <c r="B828" s="10"/>
      <c r="C828" s="10"/>
      <c r="D828" s="26"/>
      <c r="E828" s="10"/>
      <c r="F828" s="10"/>
      <c r="G828" s="71"/>
      <c r="H828" s="10"/>
      <c r="I828" s="10"/>
      <c r="J828" s="10"/>
      <c r="K828" s="71"/>
      <c r="L828" s="27"/>
      <c r="M828" s="10"/>
      <c r="N828" s="10"/>
      <c r="O828" s="59"/>
      <c r="P828" s="1"/>
      <c r="Q828" s="1"/>
      <c r="R828" s="1"/>
      <c r="S828" s="1"/>
      <c r="T828" s="1"/>
      <c r="U828" s="1"/>
      <c r="V828" s="1"/>
      <c r="W828" s="1"/>
      <c r="X828" s="1"/>
      <c r="Y828" s="1"/>
      <c r="Z828" s="1"/>
      <c r="AA828" s="1"/>
    </row>
    <row r="829" spans="1:27" ht="12.75" hidden="1" customHeight="1">
      <c r="A829" s="1"/>
      <c r="B829" s="10"/>
      <c r="C829" s="10"/>
      <c r="D829" s="26"/>
      <c r="E829" s="10"/>
      <c r="F829" s="10"/>
      <c r="G829" s="71"/>
      <c r="H829" s="10"/>
      <c r="I829" s="10"/>
      <c r="J829" s="10"/>
      <c r="K829" s="71"/>
      <c r="L829" s="27"/>
      <c r="M829" s="10"/>
      <c r="N829" s="10"/>
      <c r="O829" s="59"/>
      <c r="P829" s="1"/>
      <c r="Q829" s="1"/>
      <c r="R829" s="1"/>
      <c r="S829" s="1"/>
      <c r="T829" s="1"/>
      <c r="U829" s="1"/>
      <c r="V829" s="1"/>
      <c r="W829" s="1"/>
      <c r="X829" s="1"/>
      <c r="Y829" s="1"/>
      <c r="Z829" s="1"/>
      <c r="AA829" s="1"/>
    </row>
    <row r="830" spans="1:27" ht="12.75" hidden="1" customHeight="1">
      <c r="A830" s="1"/>
      <c r="B830" s="10"/>
      <c r="C830" s="10"/>
      <c r="D830" s="26"/>
      <c r="E830" s="10"/>
      <c r="F830" s="10"/>
      <c r="G830" s="71"/>
      <c r="H830" s="10"/>
      <c r="I830" s="10"/>
      <c r="J830" s="10"/>
      <c r="K830" s="71"/>
      <c r="L830" s="27"/>
      <c r="M830" s="10"/>
      <c r="N830" s="10"/>
      <c r="O830" s="59"/>
      <c r="P830" s="1"/>
      <c r="Q830" s="1"/>
      <c r="R830" s="1"/>
      <c r="S830" s="1"/>
      <c r="T830" s="1"/>
      <c r="U830" s="1"/>
      <c r="V830" s="1"/>
      <c r="W830" s="1"/>
      <c r="X830" s="1"/>
      <c r="Y830" s="1"/>
      <c r="Z830" s="1"/>
      <c r="AA830" s="1"/>
    </row>
    <row r="831" spans="1:27" ht="12.75" hidden="1" customHeight="1">
      <c r="A831" s="1"/>
      <c r="B831" s="10"/>
      <c r="C831" s="10"/>
      <c r="D831" s="26"/>
      <c r="E831" s="10"/>
      <c r="F831" s="10"/>
      <c r="G831" s="71"/>
      <c r="H831" s="10"/>
      <c r="I831" s="10"/>
      <c r="J831" s="10"/>
      <c r="K831" s="71"/>
      <c r="L831" s="27"/>
      <c r="M831" s="10"/>
      <c r="N831" s="10"/>
      <c r="O831" s="59"/>
      <c r="P831" s="1"/>
      <c r="Q831" s="1"/>
      <c r="R831" s="1"/>
      <c r="S831" s="1"/>
      <c r="T831" s="1"/>
      <c r="U831" s="1"/>
      <c r="V831" s="1"/>
      <c r="W831" s="1"/>
      <c r="X831" s="1"/>
      <c r="Y831" s="1"/>
      <c r="Z831" s="1"/>
      <c r="AA831" s="1"/>
    </row>
    <row r="832" spans="1:27" ht="12.75" hidden="1" customHeight="1">
      <c r="A832" s="1"/>
      <c r="B832" s="10"/>
      <c r="C832" s="10"/>
      <c r="D832" s="26"/>
      <c r="E832" s="10"/>
      <c r="F832" s="10"/>
      <c r="G832" s="71"/>
      <c r="H832" s="10"/>
      <c r="I832" s="10"/>
      <c r="J832" s="10"/>
      <c r="K832" s="71"/>
      <c r="L832" s="27"/>
      <c r="M832" s="10"/>
      <c r="N832" s="10"/>
      <c r="O832" s="59"/>
      <c r="P832" s="1"/>
      <c r="Q832" s="1"/>
      <c r="R832" s="1"/>
      <c r="S832" s="1"/>
      <c r="T832" s="1"/>
      <c r="U832" s="1"/>
      <c r="V832" s="1"/>
      <c r="W832" s="1"/>
      <c r="X832" s="1"/>
      <c r="Y832" s="1"/>
      <c r="Z832" s="1"/>
      <c r="AA832" s="1"/>
    </row>
    <row r="833" spans="1:27" ht="12.75" hidden="1" customHeight="1">
      <c r="A833" s="1"/>
      <c r="B833" s="10"/>
      <c r="C833" s="10"/>
      <c r="D833" s="26"/>
      <c r="E833" s="10"/>
      <c r="F833" s="10"/>
      <c r="G833" s="71"/>
      <c r="H833" s="10"/>
      <c r="I833" s="10"/>
      <c r="J833" s="10"/>
      <c r="K833" s="71"/>
      <c r="L833" s="27"/>
      <c r="M833" s="10"/>
      <c r="N833" s="10"/>
      <c r="O833" s="59"/>
      <c r="P833" s="1"/>
      <c r="Q833" s="1"/>
      <c r="R833" s="1"/>
      <c r="S833" s="1"/>
      <c r="T833" s="1"/>
      <c r="U833" s="1"/>
      <c r="V833" s="1"/>
      <c r="W833" s="1"/>
      <c r="X833" s="1"/>
      <c r="Y833" s="1"/>
      <c r="Z833" s="1"/>
      <c r="AA833" s="1"/>
    </row>
    <row r="834" spans="1:27" ht="12.75" hidden="1" customHeight="1">
      <c r="A834" s="1"/>
      <c r="B834" s="10"/>
      <c r="C834" s="10"/>
      <c r="D834" s="26"/>
      <c r="E834" s="10"/>
      <c r="F834" s="10"/>
      <c r="G834" s="71"/>
      <c r="H834" s="10"/>
      <c r="I834" s="10"/>
      <c r="J834" s="10"/>
      <c r="K834" s="71"/>
      <c r="L834" s="27"/>
      <c r="M834" s="10"/>
      <c r="N834" s="10"/>
      <c r="O834" s="59"/>
      <c r="P834" s="1"/>
      <c r="Q834" s="1"/>
      <c r="R834" s="1"/>
      <c r="S834" s="1"/>
      <c r="T834" s="1"/>
      <c r="U834" s="1"/>
      <c r="V834" s="1"/>
      <c r="W834" s="1"/>
      <c r="X834" s="1"/>
      <c r="Y834" s="1"/>
      <c r="Z834" s="1"/>
      <c r="AA834" s="1"/>
    </row>
    <row r="835" spans="1:27" ht="12.75" hidden="1" customHeight="1">
      <c r="A835" s="1"/>
      <c r="B835" s="10"/>
      <c r="C835" s="10"/>
      <c r="D835" s="26"/>
      <c r="E835" s="10"/>
      <c r="F835" s="10"/>
      <c r="G835" s="71"/>
      <c r="H835" s="10"/>
      <c r="I835" s="10"/>
      <c r="J835" s="10"/>
      <c r="K835" s="71"/>
      <c r="L835" s="27"/>
      <c r="M835" s="10"/>
      <c r="N835" s="10"/>
      <c r="O835" s="59"/>
      <c r="P835" s="1"/>
      <c r="Q835" s="1"/>
      <c r="R835" s="1"/>
      <c r="S835" s="1"/>
      <c r="T835" s="1"/>
      <c r="U835" s="1"/>
      <c r="V835" s="1"/>
      <c r="W835" s="1"/>
      <c r="X835" s="1"/>
      <c r="Y835" s="1"/>
      <c r="Z835" s="1"/>
      <c r="AA835" s="1"/>
    </row>
    <row r="836" spans="1:27" ht="12.75" hidden="1" customHeight="1">
      <c r="A836" s="1"/>
      <c r="B836" s="10"/>
      <c r="C836" s="10"/>
      <c r="D836" s="26"/>
      <c r="E836" s="10"/>
      <c r="F836" s="10"/>
      <c r="G836" s="71"/>
      <c r="H836" s="10"/>
      <c r="I836" s="10"/>
      <c r="J836" s="10"/>
      <c r="K836" s="71"/>
      <c r="L836" s="27"/>
      <c r="M836" s="10"/>
      <c r="N836" s="10"/>
      <c r="O836" s="59"/>
      <c r="P836" s="1"/>
      <c r="Q836" s="1"/>
      <c r="R836" s="1"/>
      <c r="S836" s="1"/>
      <c r="T836" s="1"/>
      <c r="U836" s="1"/>
      <c r="V836" s="1"/>
      <c r="W836" s="1"/>
      <c r="X836" s="1"/>
      <c r="Y836" s="1"/>
      <c r="Z836" s="1"/>
      <c r="AA836" s="1"/>
    </row>
    <row r="837" spans="1:27" ht="12.75" hidden="1" customHeight="1">
      <c r="A837" s="1"/>
      <c r="B837" s="10"/>
      <c r="C837" s="10"/>
      <c r="D837" s="26"/>
      <c r="E837" s="10"/>
      <c r="F837" s="10"/>
      <c r="G837" s="71"/>
      <c r="H837" s="10"/>
      <c r="I837" s="10"/>
      <c r="J837" s="10"/>
      <c r="K837" s="71"/>
      <c r="L837" s="27"/>
      <c r="M837" s="10"/>
      <c r="N837" s="10"/>
      <c r="O837" s="59"/>
      <c r="P837" s="1"/>
      <c r="Q837" s="1"/>
      <c r="R837" s="1"/>
      <c r="S837" s="1"/>
      <c r="T837" s="1"/>
      <c r="U837" s="1"/>
      <c r="V837" s="1"/>
      <c r="W837" s="1"/>
      <c r="X837" s="1"/>
      <c r="Y837" s="1"/>
      <c r="Z837" s="1"/>
      <c r="AA837" s="1"/>
    </row>
    <row r="838" spans="1:27" ht="12.75" hidden="1" customHeight="1">
      <c r="A838" s="1"/>
      <c r="B838" s="10"/>
      <c r="C838" s="10"/>
      <c r="D838" s="26"/>
      <c r="E838" s="10"/>
      <c r="F838" s="10"/>
      <c r="G838" s="71"/>
      <c r="H838" s="10"/>
      <c r="I838" s="10"/>
      <c r="J838" s="10"/>
      <c r="K838" s="71"/>
      <c r="L838" s="27"/>
      <c r="M838" s="10"/>
      <c r="N838" s="10"/>
      <c r="O838" s="59"/>
      <c r="P838" s="1"/>
      <c r="Q838" s="1"/>
      <c r="R838" s="1"/>
      <c r="S838" s="1"/>
      <c r="T838" s="1"/>
      <c r="U838" s="1"/>
      <c r="V838" s="1"/>
      <c r="W838" s="1"/>
      <c r="X838" s="1"/>
      <c r="Y838" s="1"/>
      <c r="Z838" s="1"/>
      <c r="AA838" s="1"/>
    </row>
    <row r="839" spans="1:27" ht="12.75" hidden="1" customHeight="1">
      <c r="A839" s="1"/>
      <c r="B839" s="10"/>
      <c r="C839" s="10"/>
      <c r="D839" s="26"/>
      <c r="E839" s="10"/>
      <c r="F839" s="10"/>
      <c r="G839" s="71"/>
      <c r="H839" s="10"/>
      <c r="I839" s="10"/>
      <c r="J839" s="10"/>
      <c r="K839" s="71"/>
      <c r="L839" s="27"/>
      <c r="M839" s="10"/>
      <c r="N839" s="10"/>
      <c r="O839" s="59"/>
      <c r="P839" s="1"/>
      <c r="Q839" s="1"/>
      <c r="R839" s="1"/>
      <c r="S839" s="1"/>
      <c r="T839" s="1"/>
      <c r="U839" s="1"/>
      <c r="V839" s="1"/>
      <c r="W839" s="1"/>
      <c r="X839" s="1"/>
      <c r="Y839" s="1"/>
      <c r="Z839" s="1"/>
      <c r="AA839" s="1"/>
    </row>
    <row r="840" spans="1:27" ht="12.75" hidden="1" customHeight="1">
      <c r="A840" s="1"/>
      <c r="B840" s="10"/>
      <c r="C840" s="10"/>
      <c r="D840" s="26"/>
      <c r="E840" s="10"/>
      <c r="F840" s="10"/>
      <c r="G840" s="71"/>
      <c r="H840" s="10"/>
      <c r="I840" s="10"/>
      <c r="J840" s="10"/>
      <c r="K840" s="71"/>
      <c r="L840" s="27"/>
      <c r="M840" s="10"/>
      <c r="N840" s="10"/>
      <c r="O840" s="59"/>
      <c r="P840" s="1"/>
      <c r="Q840" s="1"/>
      <c r="R840" s="1"/>
      <c r="S840" s="1"/>
      <c r="T840" s="1"/>
      <c r="U840" s="1"/>
      <c r="V840" s="1"/>
      <c r="W840" s="1"/>
      <c r="X840" s="1"/>
      <c r="Y840" s="1"/>
      <c r="Z840" s="1"/>
      <c r="AA840" s="1"/>
    </row>
    <row r="841" spans="1:27" ht="12.75" hidden="1" customHeight="1">
      <c r="A841" s="1"/>
      <c r="B841" s="10"/>
      <c r="C841" s="10"/>
      <c r="D841" s="26"/>
      <c r="E841" s="10"/>
      <c r="F841" s="10"/>
      <c r="G841" s="71"/>
      <c r="H841" s="10"/>
      <c r="I841" s="10"/>
      <c r="J841" s="10"/>
      <c r="K841" s="71"/>
      <c r="L841" s="27"/>
      <c r="M841" s="10"/>
      <c r="N841" s="10"/>
      <c r="O841" s="59"/>
      <c r="P841" s="1"/>
      <c r="Q841" s="1"/>
      <c r="R841" s="1"/>
      <c r="S841" s="1"/>
      <c r="T841" s="1"/>
      <c r="U841" s="1"/>
      <c r="V841" s="1"/>
      <c r="W841" s="1"/>
      <c r="X841" s="1"/>
      <c r="Y841" s="1"/>
      <c r="Z841" s="1"/>
      <c r="AA841" s="1"/>
    </row>
    <row r="842" spans="1:27" ht="12.75" hidden="1" customHeight="1">
      <c r="A842" s="1"/>
      <c r="B842" s="10"/>
      <c r="C842" s="10"/>
      <c r="D842" s="26"/>
      <c r="E842" s="10"/>
      <c r="F842" s="10"/>
      <c r="G842" s="71"/>
      <c r="H842" s="10"/>
      <c r="I842" s="10"/>
      <c r="J842" s="10"/>
      <c r="K842" s="71"/>
      <c r="L842" s="27"/>
      <c r="M842" s="10"/>
      <c r="N842" s="10"/>
      <c r="O842" s="59"/>
      <c r="P842" s="1"/>
      <c r="Q842" s="1"/>
      <c r="R842" s="1"/>
      <c r="S842" s="1"/>
      <c r="T842" s="1"/>
      <c r="U842" s="1"/>
      <c r="V842" s="1"/>
      <c r="W842" s="1"/>
      <c r="X842" s="1"/>
      <c r="Y842" s="1"/>
      <c r="Z842" s="1"/>
      <c r="AA842" s="1"/>
    </row>
    <row r="843" spans="1:27" ht="12.75" hidden="1" customHeight="1">
      <c r="A843" s="1"/>
      <c r="B843" s="10"/>
      <c r="C843" s="10"/>
      <c r="D843" s="26"/>
      <c r="E843" s="10"/>
      <c r="F843" s="10"/>
      <c r="G843" s="71"/>
      <c r="H843" s="10"/>
      <c r="I843" s="10"/>
      <c r="J843" s="10"/>
      <c r="K843" s="71"/>
      <c r="L843" s="27"/>
      <c r="M843" s="10"/>
      <c r="N843" s="10"/>
      <c r="O843" s="59"/>
      <c r="P843" s="1"/>
      <c r="Q843" s="1"/>
      <c r="R843" s="1"/>
      <c r="S843" s="1"/>
      <c r="T843" s="1"/>
      <c r="U843" s="1"/>
      <c r="V843" s="1"/>
      <c r="W843" s="1"/>
      <c r="X843" s="1"/>
      <c r="Y843" s="1"/>
      <c r="Z843" s="1"/>
      <c r="AA843" s="1"/>
    </row>
    <row r="844" spans="1:27" ht="12.75" hidden="1" customHeight="1">
      <c r="A844" s="1"/>
      <c r="B844" s="10"/>
      <c r="C844" s="10"/>
      <c r="D844" s="26"/>
      <c r="E844" s="10"/>
      <c r="F844" s="10"/>
      <c r="G844" s="71"/>
      <c r="H844" s="10"/>
      <c r="I844" s="10"/>
      <c r="J844" s="10"/>
      <c r="K844" s="71"/>
      <c r="L844" s="27"/>
      <c r="M844" s="10"/>
      <c r="N844" s="10"/>
      <c r="O844" s="59"/>
      <c r="P844" s="1"/>
      <c r="Q844" s="1"/>
      <c r="R844" s="1"/>
      <c r="S844" s="1"/>
      <c r="T844" s="1"/>
      <c r="U844" s="1"/>
      <c r="V844" s="1"/>
      <c r="W844" s="1"/>
      <c r="X844" s="1"/>
      <c r="Y844" s="1"/>
      <c r="Z844" s="1"/>
      <c r="AA844" s="1"/>
    </row>
    <row r="845" spans="1:27" ht="12.75" hidden="1" customHeight="1">
      <c r="A845" s="1"/>
      <c r="B845" s="10"/>
      <c r="C845" s="10"/>
      <c r="D845" s="26"/>
      <c r="E845" s="10"/>
      <c r="F845" s="10"/>
      <c r="G845" s="71"/>
      <c r="H845" s="10"/>
      <c r="I845" s="10"/>
      <c r="J845" s="10"/>
      <c r="K845" s="71"/>
      <c r="L845" s="27"/>
      <c r="M845" s="10"/>
      <c r="N845" s="10"/>
      <c r="O845" s="59"/>
      <c r="P845" s="1"/>
      <c r="Q845" s="1"/>
      <c r="R845" s="1"/>
      <c r="S845" s="1"/>
      <c r="T845" s="1"/>
      <c r="U845" s="1"/>
      <c r="V845" s="1"/>
      <c r="W845" s="1"/>
      <c r="X845" s="1"/>
      <c r="Y845" s="1"/>
      <c r="Z845" s="1"/>
      <c r="AA845" s="1"/>
    </row>
    <row r="846" spans="1:27" ht="12.75" hidden="1" customHeight="1">
      <c r="A846" s="1"/>
      <c r="B846" s="10"/>
      <c r="C846" s="10"/>
      <c r="D846" s="26"/>
      <c r="E846" s="10"/>
      <c r="F846" s="10"/>
      <c r="G846" s="71"/>
      <c r="H846" s="10"/>
      <c r="I846" s="10"/>
      <c r="J846" s="10"/>
      <c r="K846" s="71"/>
      <c r="L846" s="27"/>
      <c r="M846" s="10"/>
      <c r="N846" s="10"/>
      <c r="O846" s="59"/>
      <c r="P846" s="1"/>
      <c r="Q846" s="1"/>
      <c r="R846" s="1"/>
      <c r="S846" s="1"/>
      <c r="T846" s="1"/>
      <c r="U846" s="1"/>
      <c r="V846" s="1"/>
      <c r="W846" s="1"/>
      <c r="X846" s="1"/>
      <c r="Y846" s="1"/>
      <c r="Z846" s="1"/>
      <c r="AA846" s="1"/>
    </row>
    <row r="847" spans="1:27" ht="12.75" hidden="1" customHeight="1">
      <c r="A847" s="1"/>
      <c r="B847" s="10"/>
      <c r="C847" s="10"/>
      <c r="D847" s="26"/>
      <c r="E847" s="10"/>
      <c r="F847" s="10"/>
      <c r="G847" s="71"/>
      <c r="H847" s="10"/>
      <c r="I847" s="10"/>
      <c r="J847" s="10"/>
      <c r="K847" s="71"/>
      <c r="L847" s="27"/>
      <c r="M847" s="10"/>
      <c r="N847" s="10"/>
      <c r="O847" s="59"/>
      <c r="P847" s="1"/>
      <c r="Q847" s="1"/>
      <c r="R847" s="1"/>
      <c r="S847" s="1"/>
      <c r="T847" s="1"/>
      <c r="U847" s="1"/>
      <c r="V847" s="1"/>
      <c r="W847" s="1"/>
      <c r="X847" s="1"/>
      <c r="Y847" s="1"/>
      <c r="Z847" s="1"/>
      <c r="AA847" s="1"/>
    </row>
    <row r="848" spans="1:27" ht="12.75" hidden="1" customHeight="1">
      <c r="A848" s="1"/>
      <c r="B848" s="10"/>
      <c r="C848" s="10"/>
      <c r="D848" s="26"/>
      <c r="E848" s="10"/>
      <c r="F848" s="10"/>
      <c r="G848" s="71"/>
      <c r="H848" s="10"/>
      <c r="I848" s="10"/>
      <c r="J848" s="10"/>
      <c r="K848" s="71"/>
      <c r="L848" s="27"/>
      <c r="M848" s="10"/>
      <c r="N848" s="10"/>
      <c r="O848" s="59"/>
      <c r="P848" s="1"/>
      <c r="Q848" s="1"/>
      <c r="R848" s="1"/>
      <c r="S848" s="1"/>
      <c r="T848" s="1"/>
      <c r="U848" s="1"/>
      <c r="V848" s="1"/>
      <c r="W848" s="1"/>
      <c r="X848" s="1"/>
      <c r="Y848" s="1"/>
      <c r="Z848" s="1"/>
      <c r="AA848" s="1"/>
    </row>
    <row r="849" spans="1:27" ht="12.75" hidden="1" customHeight="1">
      <c r="A849" s="1"/>
      <c r="B849" s="10"/>
      <c r="C849" s="10"/>
      <c r="D849" s="26"/>
      <c r="E849" s="10"/>
      <c r="F849" s="10"/>
      <c r="G849" s="71"/>
      <c r="H849" s="10"/>
      <c r="I849" s="10"/>
      <c r="J849" s="10"/>
      <c r="K849" s="71"/>
      <c r="L849" s="27"/>
      <c r="M849" s="10"/>
      <c r="N849" s="10"/>
      <c r="O849" s="59"/>
      <c r="P849" s="1"/>
      <c r="Q849" s="1"/>
      <c r="R849" s="1"/>
      <c r="S849" s="1"/>
      <c r="T849" s="1"/>
      <c r="U849" s="1"/>
      <c r="V849" s="1"/>
      <c r="W849" s="1"/>
      <c r="X849" s="1"/>
      <c r="Y849" s="1"/>
      <c r="Z849" s="1"/>
      <c r="AA849" s="1"/>
    </row>
    <row r="850" spans="1:27" ht="12.75" hidden="1" customHeight="1">
      <c r="A850" s="1"/>
      <c r="B850" s="10"/>
      <c r="C850" s="10"/>
      <c r="D850" s="26"/>
      <c r="E850" s="10"/>
      <c r="F850" s="10"/>
      <c r="G850" s="71"/>
      <c r="H850" s="10"/>
      <c r="I850" s="10"/>
      <c r="J850" s="10"/>
      <c r="K850" s="71"/>
      <c r="L850" s="27"/>
      <c r="M850" s="10"/>
      <c r="N850" s="10"/>
      <c r="O850" s="59"/>
      <c r="P850" s="1"/>
      <c r="Q850" s="1"/>
      <c r="R850" s="1"/>
      <c r="S850" s="1"/>
      <c r="T850" s="1"/>
      <c r="U850" s="1"/>
      <c r="V850" s="1"/>
      <c r="W850" s="1"/>
      <c r="X850" s="1"/>
      <c r="Y850" s="1"/>
      <c r="Z850" s="1"/>
      <c r="AA850" s="1"/>
    </row>
    <row r="851" spans="1:27" ht="12.75" hidden="1" customHeight="1">
      <c r="A851" s="1"/>
      <c r="B851" s="10"/>
      <c r="C851" s="10"/>
      <c r="D851" s="26"/>
      <c r="E851" s="10"/>
      <c r="F851" s="10"/>
      <c r="G851" s="71"/>
      <c r="H851" s="10"/>
      <c r="I851" s="10"/>
      <c r="J851" s="10"/>
      <c r="K851" s="71"/>
      <c r="L851" s="27"/>
      <c r="M851" s="10"/>
      <c r="N851" s="10"/>
      <c r="O851" s="59"/>
      <c r="P851" s="1"/>
      <c r="Q851" s="1"/>
      <c r="R851" s="1"/>
      <c r="S851" s="1"/>
      <c r="T851" s="1"/>
      <c r="U851" s="1"/>
      <c r="V851" s="1"/>
      <c r="W851" s="1"/>
      <c r="X851" s="1"/>
      <c r="Y851" s="1"/>
      <c r="Z851" s="1"/>
      <c r="AA851" s="1"/>
    </row>
    <row r="852" spans="1:27" ht="12.75" hidden="1" customHeight="1">
      <c r="A852" s="1"/>
      <c r="B852" s="10"/>
      <c r="C852" s="10"/>
      <c r="D852" s="26"/>
      <c r="E852" s="10"/>
      <c r="F852" s="10"/>
      <c r="G852" s="71"/>
      <c r="H852" s="10"/>
      <c r="I852" s="10"/>
      <c r="J852" s="10"/>
      <c r="K852" s="71"/>
      <c r="L852" s="27"/>
      <c r="M852" s="10"/>
      <c r="N852" s="10"/>
      <c r="O852" s="59"/>
      <c r="P852" s="1"/>
      <c r="Q852" s="1"/>
      <c r="R852" s="1"/>
      <c r="S852" s="1"/>
      <c r="T852" s="1"/>
      <c r="U852" s="1"/>
      <c r="V852" s="1"/>
      <c r="W852" s="1"/>
      <c r="X852" s="1"/>
      <c r="Y852" s="1"/>
      <c r="Z852" s="1"/>
      <c r="AA852" s="1"/>
    </row>
    <row r="853" spans="1:27" ht="12.75" hidden="1" customHeight="1">
      <c r="A853" s="1"/>
      <c r="B853" s="10"/>
      <c r="C853" s="10"/>
      <c r="D853" s="26"/>
      <c r="E853" s="10"/>
      <c r="F853" s="10"/>
      <c r="G853" s="71"/>
      <c r="H853" s="10"/>
      <c r="I853" s="10"/>
      <c r="J853" s="10"/>
      <c r="K853" s="71"/>
      <c r="L853" s="27"/>
      <c r="M853" s="10"/>
      <c r="N853" s="10"/>
      <c r="O853" s="59"/>
      <c r="P853" s="1"/>
      <c r="Q853" s="1"/>
      <c r="R853" s="1"/>
      <c r="S853" s="1"/>
      <c r="T853" s="1"/>
      <c r="U853" s="1"/>
      <c r="V853" s="1"/>
      <c r="W853" s="1"/>
      <c r="X853" s="1"/>
      <c r="Y853" s="1"/>
      <c r="Z853" s="1"/>
      <c r="AA853" s="1"/>
    </row>
    <row r="854" spans="1:27" ht="12.75" hidden="1" customHeight="1">
      <c r="A854" s="1"/>
      <c r="B854" s="10"/>
      <c r="C854" s="10"/>
      <c r="D854" s="26"/>
      <c r="E854" s="10"/>
      <c r="F854" s="10"/>
      <c r="G854" s="71"/>
      <c r="H854" s="10"/>
      <c r="I854" s="10"/>
      <c r="J854" s="10"/>
      <c r="K854" s="71"/>
      <c r="L854" s="27"/>
      <c r="M854" s="10"/>
      <c r="N854" s="10"/>
      <c r="O854" s="59"/>
      <c r="P854" s="1"/>
      <c r="Q854" s="1"/>
      <c r="R854" s="1"/>
      <c r="S854" s="1"/>
      <c r="T854" s="1"/>
      <c r="U854" s="1"/>
      <c r="V854" s="1"/>
      <c r="W854" s="1"/>
      <c r="X854" s="1"/>
      <c r="Y854" s="1"/>
      <c r="Z854" s="1"/>
      <c r="AA854" s="1"/>
    </row>
    <row r="855" spans="1:27" ht="12.75" hidden="1" customHeight="1">
      <c r="A855" s="1"/>
      <c r="B855" s="10"/>
      <c r="C855" s="10"/>
      <c r="D855" s="26"/>
      <c r="E855" s="10"/>
      <c r="F855" s="10"/>
      <c r="G855" s="71"/>
      <c r="H855" s="10"/>
      <c r="I855" s="10"/>
      <c r="J855" s="10"/>
      <c r="K855" s="71"/>
      <c r="L855" s="27"/>
      <c r="M855" s="10"/>
      <c r="N855" s="10"/>
      <c r="O855" s="59"/>
      <c r="P855" s="1"/>
      <c r="Q855" s="1"/>
      <c r="R855" s="1"/>
      <c r="S855" s="1"/>
      <c r="T855" s="1"/>
      <c r="U855" s="1"/>
      <c r="V855" s="1"/>
      <c r="W855" s="1"/>
      <c r="X855" s="1"/>
      <c r="Y855" s="1"/>
      <c r="Z855" s="1"/>
      <c r="AA855" s="1"/>
    </row>
    <row r="856" spans="1:27" ht="12.75" hidden="1" customHeight="1">
      <c r="A856" s="1"/>
      <c r="B856" s="10"/>
      <c r="C856" s="10"/>
      <c r="D856" s="26"/>
      <c r="E856" s="10"/>
      <c r="F856" s="10"/>
      <c r="G856" s="71"/>
      <c r="H856" s="10"/>
      <c r="I856" s="10"/>
      <c r="J856" s="10"/>
      <c r="K856" s="71"/>
      <c r="L856" s="27"/>
      <c r="M856" s="10"/>
      <c r="N856" s="10"/>
      <c r="O856" s="59"/>
      <c r="P856" s="1"/>
      <c r="Q856" s="1"/>
      <c r="R856" s="1"/>
      <c r="S856" s="1"/>
      <c r="T856" s="1"/>
      <c r="U856" s="1"/>
      <c r="V856" s="1"/>
      <c r="W856" s="1"/>
      <c r="X856" s="1"/>
      <c r="Y856" s="1"/>
      <c r="Z856" s="1"/>
      <c r="AA856" s="1"/>
    </row>
    <row r="857" spans="1:27" ht="12.75" hidden="1" customHeight="1">
      <c r="A857" s="1"/>
      <c r="B857" s="10"/>
      <c r="C857" s="10"/>
      <c r="D857" s="26"/>
      <c r="E857" s="10"/>
      <c r="F857" s="10"/>
      <c r="G857" s="71"/>
      <c r="H857" s="10"/>
      <c r="I857" s="10"/>
      <c r="J857" s="10"/>
      <c r="K857" s="71"/>
      <c r="L857" s="27"/>
      <c r="M857" s="10"/>
      <c r="N857" s="10"/>
      <c r="O857" s="59"/>
      <c r="P857" s="1"/>
      <c r="Q857" s="1"/>
      <c r="R857" s="1"/>
      <c r="S857" s="1"/>
      <c r="T857" s="1"/>
      <c r="U857" s="1"/>
      <c r="V857" s="1"/>
      <c r="W857" s="1"/>
      <c r="X857" s="1"/>
      <c r="Y857" s="1"/>
      <c r="Z857" s="1"/>
      <c r="AA857" s="1"/>
    </row>
    <row r="858" spans="1:27" ht="12.75" hidden="1" customHeight="1">
      <c r="A858" s="1"/>
      <c r="B858" s="10"/>
      <c r="C858" s="10"/>
      <c r="D858" s="26"/>
      <c r="E858" s="10"/>
      <c r="F858" s="10"/>
      <c r="G858" s="71"/>
      <c r="H858" s="10"/>
      <c r="I858" s="10"/>
      <c r="J858" s="10"/>
      <c r="K858" s="71"/>
      <c r="L858" s="27"/>
      <c r="M858" s="10"/>
      <c r="N858" s="10"/>
      <c r="O858" s="59"/>
      <c r="P858" s="1"/>
      <c r="Q858" s="1"/>
      <c r="R858" s="1"/>
      <c r="S858" s="1"/>
      <c r="T858" s="1"/>
      <c r="U858" s="1"/>
      <c r="V858" s="1"/>
      <c r="W858" s="1"/>
      <c r="X858" s="1"/>
      <c r="Y858" s="1"/>
      <c r="Z858" s="1"/>
      <c r="AA858" s="1"/>
    </row>
    <row r="859" spans="1:27" ht="12.75" hidden="1" customHeight="1">
      <c r="A859" s="1"/>
      <c r="B859" s="10"/>
      <c r="C859" s="10"/>
      <c r="D859" s="26"/>
      <c r="E859" s="10"/>
      <c r="F859" s="10"/>
      <c r="G859" s="71"/>
      <c r="H859" s="10"/>
      <c r="I859" s="10"/>
      <c r="J859" s="10"/>
      <c r="K859" s="71"/>
      <c r="L859" s="27"/>
      <c r="M859" s="10"/>
      <c r="N859" s="10"/>
      <c r="O859" s="59"/>
      <c r="P859" s="1"/>
      <c r="Q859" s="1"/>
      <c r="R859" s="1"/>
      <c r="S859" s="1"/>
      <c r="T859" s="1"/>
      <c r="U859" s="1"/>
      <c r="V859" s="1"/>
      <c r="W859" s="1"/>
      <c r="X859" s="1"/>
      <c r="Y859" s="1"/>
      <c r="Z859" s="1"/>
      <c r="AA859" s="1"/>
    </row>
    <row r="860" spans="1:27" ht="12.75" hidden="1" customHeight="1">
      <c r="A860" s="1"/>
      <c r="B860" s="10"/>
      <c r="C860" s="10"/>
      <c r="D860" s="26"/>
      <c r="E860" s="10"/>
      <c r="F860" s="10"/>
      <c r="G860" s="71"/>
      <c r="H860" s="10"/>
      <c r="I860" s="10"/>
      <c r="J860" s="10"/>
      <c r="K860" s="71"/>
      <c r="L860" s="27"/>
      <c r="M860" s="10"/>
      <c r="N860" s="10"/>
      <c r="O860" s="59"/>
      <c r="P860" s="1"/>
      <c r="Q860" s="1"/>
      <c r="R860" s="1"/>
      <c r="S860" s="1"/>
      <c r="T860" s="1"/>
      <c r="U860" s="1"/>
      <c r="V860" s="1"/>
      <c r="W860" s="1"/>
      <c r="X860" s="1"/>
      <c r="Y860" s="1"/>
      <c r="Z860" s="1"/>
      <c r="AA860" s="1"/>
    </row>
    <row r="861" spans="1:27" ht="12.75" hidden="1" customHeight="1">
      <c r="A861" s="1"/>
      <c r="B861" s="10"/>
      <c r="C861" s="10"/>
      <c r="D861" s="26"/>
      <c r="E861" s="10"/>
      <c r="F861" s="10"/>
      <c r="G861" s="71"/>
      <c r="H861" s="10"/>
      <c r="I861" s="10"/>
      <c r="J861" s="10"/>
      <c r="K861" s="71"/>
      <c r="L861" s="27"/>
      <c r="M861" s="10"/>
      <c r="N861" s="10"/>
      <c r="O861" s="59"/>
      <c r="P861" s="1"/>
      <c r="Q861" s="1"/>
      <c r="R861" s="1"/>
      <c r="S861" s="1"/>
      <c r="T861" s="1"/>
      <c r="U861" s="1"/>
      <c r="V861" s="1"/>
      <c r="W861" s="1"/>
      <c r="X861" s="1"/>
      <c r="Y861" s="1"/>
      <c r="Z861" s="1"/>
      <c r="AA861" s="1"/>
    </row>
    <row r="862" spans="1:27" ht="12.75" hidden="1" customHeight="1">
      <c r="A862" s="1"/>
      <c r="B862" s="10"/>
      <c r="C862" s="10"/>
      <c r="D862" s="26"/>
      <c r="E862" s="10"/>
      <c r="F862" s="10"/>
      <c r="G862" s="71"/>
      <c r="H862" s="10"/>
      <c r="I862" s="10"/>
      <c r="J862" s="10"/>
      <c r="K862" s="71"/>
      <c r="L862" s="27"/>
      <c r="M862" s="10"/>
      <c r="N862" s="10"/>
      <c r="O862" s="59"/>
      <c r="P862" s="1"/>
      <c r="Q862" s="1"/>
      <c r="R862" s="1"/>
      <c r="S862" s="1"/>
      <c r="T862" s="1"/>
      <c r="U862" s="1"/>
      <c r="V862" s="1"/>
      <c r="W862" s="1"/>
      <c r="X862" s="1"/>
      <c r="Y862" s="1"/>
      <c r="Z862" s="1"/>
      <c r="AA862" s="1"/>
    </row>
    <row r="863" spans="1:27" ht="12.75" hidden="1" customHeight="1">
      <c r="A863" s="1"/>
      <c r="B863" s="10"/>
      <c r="C863" s="10"/>
      <c r="D863" s="26"/>
      <c r="E863" s="10"/>
      <c r="F863" s="10"/>
      <c r="G863" s="71"/>
      <c r="H863" s="10"/>
      <c r="I863" s="10"/>
      <c r="J863" s="10"/>
      <c r="K863" s="71"/>
      <c r="L863" s="27"/>
      <c r="M863" s="10"/>
      <c r="N863" s="10"/>
      <c r="O863" s="59"/>
      <c r="P863" s="1"/>
      <c r="Q863" s="1"/>
      <c r="R863" s="1"/>
      <c r="S863" s="1"/>
      <c r="T863" s="1"/>
      <c r="U863" s="1"/>
      <c r="V863" s="1"/>
      <c r="W863" s="1"/>
      <c r="X863" s="1"/>
      <c r="Y863" s="1"/>
      <c r="Z863" s="1"/>
      <c r="AA863" s="1"/>
    </row>
    <row r="864" spans="1:27" ht="12.75" hidden="1" customHeight="1">
      <c r="A864" s="1"/>
      <c r="B864" s="10"/>
      <c r="C864" s="10"/>
      <c r="D864" s="26"/>
      <c r="E864" s="10"/>
      <c r="F864" s="10"/>
      <c r="G864" s="71"/>
      <c r="H864" s="10"/>
      <c r="I864" s="10"/>
      <c r="J864" s="10"/>
      <c r="K864" s="71"/>
      <c r="L864" s="27"/>
      <c r="M864" s="10"/>
      <c r="N864" s="10"/>
      <c r="O864" s="59"/>
      <c r="P864" s="1"/>
      <c r="Q864" s="1"/>
      <c r="R864" s="1"/>
      <c r="S864" s="1"/>
      <c r="T864" s="1"/>
      <c r="U864" s="1"/>
      <c r="V864" s="1"/>
      <c r="W864" s="1"/>
      <c r="X864" s="1"/>
      <c r="Y864" s="1"/>
      <c r="Z864" s="1"/>
      <c r="AA864" s="1"/>
    </row>
    <row r="865" spans="1:27" ht="12.75" hidden="1" customHeight="1">
      <c r="A865" s="1"/>
      <c r="B865" s="10"/>
      <c r="C865" s="10"/>
      <c r="D865" s="26"/>
      <c r="E865" s="10"/>
      <c r="F865" s="10"/>
      <c r="G865" s="71"/>
      <c r="H865" s="10"/>
      <c r="I865" s="10"/>
      <c r="J865" s="10"/>
      <c r="K865" s="71"/>
      <c r="L865" s="27"/>
      <c r="M865" s="10"/>
      <c r="N865" s="10"/>
      <c r="O865" s="59"/>
      <c r="P865" s="1"/>
      <c r="Q865" s="1"/>
      <c r="R865" s="1"/>
      <c r="S865" s="1"/>
      <c r="T865" s="1"/>
      <c r="U865" s="1"/>
      <c r="V865" s="1"/>
      <c r="W865" s="1"/>
      <c r="X865" s="1"/>
      <c r="Y865" s="1"/>
      <c r="Z865" s="1"/>
      <c r="AA865" s="1"/>
    </row>
    <row r="866" spans="1:27" ht="12.75" hidden="1" customHeight="1">
      <c r="A866" s="1"/>
      <c r="B866" s="10"/>
      <c r="C866" s="10"/>
      <c r="D866" s="26"/>
      <c r="E866" s="10"/>
      <c r="F866" s="10"/>
      <c r="G866" s="71"/>
      <c r="H866" s="10"/>
      <c r="I866" s="10"/>
      <c r="J866" s="10"/>
      <c r="K866" s="71"/>
      <c r="L866" s="27"/>
      <c r="M866" s="10"/>
      <c r="N866" s="10"/>
      <c r="O866" s="59"/>
      <c r="P866" s="1"/>
      <c r="Q866" s="1"/>
      <c r="R866" s="1"/>
      <c r="S866" s="1"/>
      <c r="T866" s="1"/>
      <c r="U866" s="1"/>
      <c r="V866" s="1"/>
      <c r="W866" s="1"/>
      <c r="X866" s="1"/>
      <c r="Y866" s="1"/>
      <c r="Z866" s="1"/>
      <c r="AA866" s="1"/>
    </row>
    <row r="867" spans="1:27" ht="12.75" hidden="1" customHeight="1">
      <c r="A867" s="1"/>
      <c r="B867" s="10"/>
      <c r="C867" s="10"/>
      <c r="D867" s="26"/>
      <c r="E867" s="10"/>
      <c r="F867" s="10"/>
      <c r="G867" s="71"/>
      <c r="H867" s="10"/>
      <c r="I867" s="10"/>
      <c r="J867" s="10"/>
      <c r="K867" s="71"/>
      <c r="L867" s="27"/>
      <c r="M867" s="10"/>
      <c r="N867" s="10"/>
      <c r="O867" s="59"/>
      <c r="P867" s="1"/>
      <c r="Q867" s="1"/>
      <c r="R867" s="1"/>
      <c r="S867" s="1"/>
      <c r="T867" s="1"/>
      <c r="U867" s="1"/>
      <c r="V867" s="1"/>
      <c r="W867" s="1"/>
      <c r="X867" s="1"/>
      <c r="Y867" s="1"/>
      <c r="Z867" s="1"/>
      <c r="AA867" s="1"/>
    </row>
    <row r="868" spans="1:27" ht="12.75" hidden="1" customHeight="1">
      <c r="A868" s="1"/>
      <c r="B868" s="10"/>
      <c r="C868" s="10"/>
      <c r="D868" s="26"/>
      <c r="E868" s="10"/>
      <c r="F868" s="10"/>
      <c r="G868" s="71"/>
      <c r="H868" s="10"/>
      <c r="I868" s="10"/>
      <c r="J868" s="10"/>
      <c r="K868" s="71"/>
      <c r="L868" s="27"/>
      <c r="M868" s="10"/>
      <c r="N868" s="10"/>
      <c r="O868" s="59"/>
      <c r="P868" s="1"/>
      <c r="Q868" s="1"/>
      <c r="R868" s="1"/>
      <c r="S868" s="1"/>
      <c r="T868" s="1"/>
      <c r="U868" s="1"/>
      <c r="V868" s="1"/>
      <c r="W868" s="1"/>
      <c r="X868" s="1"/>
      <c r="Y868" s="1"/>
      <c r="Z868" s="1"/>
      <c r="AA868" s="1"/>
    </row>
    <row r="869" spans="1:27" ht="12.75" hidden="1" customHeight="1">
      <c r="A869" s="1"/>
      <c r="B869" s="10"/>
      <c r="C869" s="10"/>
      <c r="D869" s="26"/>
      <c r="E869" s="10"/>
      <c r="F869" s="10"/>
      <c r="G869" s="71"/>
      <c r="H869" s="10"/>
      <c r="I869" s="10"/>
      <c r="J869" s="10"/>
      <c r="K869" s="71"/>
      <c r="L869" s="27"/>
      <c r="M869" s="10"/>
      <c r="N869" s="10"/>
      <c r="O869" s="59"/>
      <c r="P869" s="1"/>
      <c r="Q869" s="1"/>
      <c r="R869" s="1"/>
      <c r="S869" s="1"/>
      <c r="T869" s="1"/>
      <c r="U869" s="1"/>
      <c r="V869" s="1"/>
      <c r="W869" s="1"/>
      <c r="X869" s="1"/>
      <c r="Y869" s="1"/>
      <c r="Z869" s="1"/>
      <c r="AA869" s="1"/>
    </row>
    <row r="870" spans="1:27" ht="12.75" hidden="1" customHeight="1">
      <c r="A870" s="1"/>
      <c r="B870" s="10"/>
      <c r="C870" s="10"/>
      <c r="D870" s="26"/>
      <c r="E870" s="10"/>
      <c r="F870" s="10"/>
      <c r="G870" s="71"/>
      <c r="H870" s="10"/>
      <c r="I870" s="10"/>
      <c r="J870" s="10"/>
      <c r="K870" s="71"/>
      <c r="L870" s="27"/>
      <c r="M870" s="10"/>
      <c r="N870" s="10"/>
      <c r="O870" s="59"/>
      <c r="P870" s="1"/>
      <c r="Q870" s="1"/>
      <c r="R870" s="1"/>
      <c r="S870" s="1"/>
      <c r="T870" s="1"/>
      <c r="U870" s="1"/>
      <c r="V870" s="1"/>
      <c r="W870" s="1"/>
      <c r="X870" s="1"/>
      <c r="Y870" s="1"/>
      <c r="Z870" s="1"/>
      <c r="AA870" s="1"/>
    </row>
    <row r="871" spans="1:27" ht="12.75" hidden="1" customHeight="1">
      <c r="A871" s="1"/>
      <c r="B871" s="10"/>
      <c r="C871" s="10"/>
      <c r="D871" s="26"/>
      <c r="E871" s="10"/>
      <c r="F871" s="10"/>
      <c r="G871" s="71"/>
      <c r="H871" s="10"/>
      <c r="I871" s="10"/>
      <c r="J871" s="10"/>
      <c r="K871" s="71"/>
      <c r="L871" s="27"/>
      <c r="M871" s="10"/>
      <c r="N871" s="10"/>
      <c r="O871" s="59"/>
      <c r="P871" s="1"/>
      <c r="Q871" s="1"/>
      <c r="R871" s="1"/>
      <c r="S871" s="1"/>
      <c r="T871" s="1"/>
      <c r="U871" s="1"/>
      <c r="V871" s="1"/>
      <c r="W871" s="1"/>
      <c r="X871" s="1"/>
      <c r="Y871" s="1"/>
      <c r="Z871" s="1"/>
      <c r="AA871" s="1"/>
    </row>
    <row r="872" spans="1:27" ht="12.75" hidden="1" customHeight="1">
      <c r="A872" s="1"/>
      <c r="B872" s="10"/>
      <c r="C872" s="10"/>
      <c r="D872" s="26"/>
      <c r="E872" s="10"/>
      <c r="F872" s="10"/>
      <c r="G872" s="71"/>
      <c r="H872" s="10"/>
      <c r="I872" s="10"/>
      <c r="J872" s="10"/>
      <c r="K872" s="71"/>
      <c r="L872" s="27"/>
      <c r="M872" s="10"/>
      <c r="N872" s="10"/>
      <c r="O872" s="59"/>
      <c r="P872" s="1"/>
      <c r="Q872" s="1"/>
      <c r="R872" s="1"/>
      <c r="S872" s="1"/>
      <c r="T872" s="1"/>
      <c r="U872" s="1"/>
      <c r="V872" s="1"/>
      <c r="W872" s="1"/>
      <c r="X872" s="1"/>
      <c r="Y872" s="1"/>
      <c r="Z872" s="1"/>
      <c r="AA872" s="1"/>
    </row>
    <row r="873" spans="1:27" ht="12.75" hidden="1" customHeight="1">
      <c r="A873" s="1"/>
      <c r="B873" s="10"/>
      <c r="C873" s="10"/>
      <c r="D873" s="26"/>
      <c r="E873" s="10"/>
      <c r="F873" s="10"/>
      <c r="G873" s="71"/>
      <c r="H873" s="10"/>
      <c r="I873" s="10"/>
      <c r="J873" s="10"/>
      <c r="K873" s="71"/>
      <c r="L873" s="27"/>
      <c r="M873" s="10"/>
      <c r="N873" s="10"/>
      <c r="O873" s="59"/>
      <c r="P873" s="1"/>
      <c r="Q873" s="1"/>
      <c r="R873" s="1"/>
      <c r="S873" s="1"/>
      <c r="T873" s="1"/>
      <c r="U873" s="1"/>
      <c r="V873" s="1"/>
      <c r="W873" s="1"/>
      <c r="X873" s="1"/>
      <c r="Y873" s="1"/>
      <c r="Z873" s="1"/>
      <c r="AA873" s="1"/>
    </row>
    <row r="874" spans="1:27" ht="12.75" hidden="1" customHeight="1">
      <c r="A874" s="1"/>
      <c r="B874" s="10"/>
      <c r="C874" s="10"/>
      <c r="D874" s="26"/>
      <c r="E874" s="10"/>
      <c r="F874" s="10"/>
      <c r="G874" s="71"/>
      <c r="H874" s="10"/>
      <c r="I874" s="10"/>
      <c r="J874" s="10"/>
      <c r="K874" s="71"/>
      <c r="L874" s="27"/>
      <c r="M874" s="10"/>
      <c r="N874" s="10"/>
      <c r="O874" s="59"/>
      <c r="P874" s="1"/>
      <c r="Q874" s="1"/>
      <c r="R874" s="1"/>
      <c r="S874" s="1"/>
      <c r="T874" s="1"/>
      <c r="U874" s="1"/>
      <c r="V874" s="1"/>
      <c r="W874" s="1"/>
      <c r="X874" s="1"/>
      <c r="Y874" s="1"/>
      <c r="Z874" s="1"/>
      <c r="AA874" s="1"/>
    </row>
    <row r="875" spans="1:27" ht="12.75" hidden="1" customHeight="1">
      <c r="A875" s="1"/>
      <c r="B875" s="10"/>
      <c r="C875" s="10"/>
      <c r="D875" s="26"/>
      <c r="E875" s="10"/>
      <c r="F875" s="10"/>
      <c r="G875" s="71"/>
      <c r="H875" s="10"/>
      <c r="I875" s="10"/>
      <c r="J875" s="10"/>
      <c r="K875" s="71"/>
      <c r="L875" s="27"/>
      <c r="M875" s="10"/>
      <c r="N875" s="10"/>
      <c r="O875" s="59"/>
      <c r="P875" s="1"/>
      <c r="Q875" s="1"/>
      <c r="R875" s="1"/>
      <c r="S875" s="1"/>
      <c r="T875" s="1"/>
      <c r="U875" s="1"/>
      <c r="V875" s="1"/>
      <c r="W875" s="1"/>
      <c r="X875" s="1"/>
      <c r="Y875" s="1"/>
      <c r="Z875" s="1"/>
      <c r="AA875" s="1"/>
    </row>
    <row r="876" spans="1:27" ht="12.75" hidden="1" customHeight="1">
      <c r="A876" s="1"/>
      <c r="B876" s="10"/>
      <c r="C876" s="10"/>
      <c r="D876" s="26"/>
      <c r="E876" s="10"/>
      <c r="F876" s="10"/>
      <c r="G876" s="71"/>
      <c r="H876" s="10"/>
      <c r="I876" s="10"/>
      <c r="J876" s="10"/>
      <c r="K876" s="71"/>
      <c r="L876" s="27"/>
      <c r="M876" s="10"/>
      <c r="N876" s="10"/>
      <c r="O876" s="59"/>
      <c r="P876" s="1"/>
      <c r="Q876" s="1"/>
      <c r="R876" s="1"/>
      <c r="S876" s="1"/>
      <c r="T876" s="1"/>
      <c r="U876" s="1"/>
      <c r="V876" s="1"/>
      <c r="W876" s="1"/>
      <c r="X876" s="1"/>
      <c r="Y876" s="1"/>
      <c r="Z876" s="1"/>
      <c r="AA876" s="1"/>
    </row>
    <row r="877" spans="1:27" ht="12.75" hidden="1" customHeight="1">
      <c r="A877" s="1"/>
      <c r="B877" s="10"/>
      <c r="C877" s="10"/>
      <c r="D877" s="26"/>
      <c r="E877" s="10"/>
      <c r="F877" s="10"/>
      <c r="G877" s="71"/>
      <c r="H877" s="10"/>
      <c r="I877" s="10"/>
      <c r="J877" s="10"/>
      <c r="K877" s="71"/>
      <c r="L877" s="27"/>
      <c r="M877" s="10"/>
      <c r="N877" s="10"/>
      <c r="O877" s="59"/>
      <c r="P877" s="1"/>
      <c r="Q877" s="1"/>
      <c r="R877" s="1"/>
      <c r="S877" s="1"/>
      <c r="T877" s="1"/>
      <c r="U877" s="1"/>
      <c r="V877" s="1"/>
      <c r="W877" s="1"/>
      <c r="X877" s="1"/>
      <c r="Y877" s="1"/>
      <c r="Z877" s="1"/>
      <c r="AA877" s="1"/>
    </row>
    <row r="878" spans="1:27" ht="12.75" hidden="1" customHeight="1">
      <c r="A878" s="1"/>
      <c r="B878" s="10"/>
      <c r="C878" s="10"/>
      <c r="D878" s="26"/>
      <c r="E878" s="10"/>
      <c r="F878" s="10"/>
      <c r="G878" s="71"/>
      <c r="H878" s="10"/>
      <c r="I878" s="10"/>
      <c r="J878" s="10"/>
      <c r="K878" s="71"/>
      <c r="L878" s="27"/>
      <c r="M878" s="10"/>
      <c r="N878" s="10"/>
      <c r="O878" s="59"/>
      <c r="P878" s="1"/>
      <c r="Q878" s="1"/>
      <c r="R878" s="1"/>
      <c r="S878" s="1"/>
      <c r="T878" s="1"/>
      <c r="U878" s="1"/>
      <c r="V878" s="1"/>
      <c r="W878" s="1"/>
      <c r="X878" s="1"/>
      <c r="Y878" s="1"/>
      <c r="Z878" s="1"/>
      <c r="AA878" s="1"/>
    </row>
    <row r="879" spans="1:27" ht="12.75" hidden="1" customHeight="1">
      <c r="A879" s="1"/>
      <c r="B879" s="10"/>
      <c r="C879" s="10"/>
      <c r="D879" s="26"/>
      <c r="E879" s="10"/>
      <c r="F879" s="10"/>
      <c r="G879" s="71"/>
      <c r="H879" s="10"/>
      <c r="I879" s="10"/>
      <c r="J879" s="10"/>
      <c r="K879" s="71"/>
      <c r="L879" s="27"/>
      <c r="M879" s="10"/>
      <c r="N879" s="10"/>
      <c r="O879" s="59"/>
      <c r="P879" s="1"/>
      <c r="Q879" s="1"/>
      <c r="R879" s="1"/>
      <c r="S879" s="1"/>
      <c r="T879" s="1"/>
      <c r="U879" s="1"/>
      <c r="V879" s="1"/>
      <c r="W879" s="1"/>
      <c r="X879" s="1"/>
      <c r="Y879" s="1"/>
      <c r="Z879" s="1"/>
      <c r="AA879" s="1"/>
    </row>
    <row r="880" spans="1:27" ht="12.75" hidden="1" customHeight="1">
      <c r="A880" s="1"/>
      <c r="B880" s="10"/>
      <c r="C880" s="10"/>
      <c r="D880" s="26"/>
      <c r="E880" s="10"/>
      <c r="F880" s="10"/>
      <c r="G880" s="71"/>
      <c r="H880" s="10"/>
      <c r="I880" s="10"/>
      <c r="J880" s="10"/>
      <c r="K880" s="71"/>
      <c r="L880" s="27"/>
      <c r="M880" s="10"/>
      <c r="N880" s="10"/>
      <c r="O880" s="59"/>
      <c r="P880" s="1"/>
      <c r="Q880" s="1"/>
      <c r="R880" s="1"/>
      <c r="S880" s="1"/>
      <c r="T880" s="1"/>
      <c r="U880" s="1"/>
      <c r="V880" s="1"/>
      <c r="W880" s="1"/>
      <c r="X880" s="1"/>
      <c r="Y880" s="1"/>
      <c r="Z880" s="1"/>
      <c r="AA880" s="1"/>
    </row>
    <row r="881" spans="1:27" ht="12.75" hidden="1" customHeight="1">
      <c r="A881" s="1"/>
      <c r="B881" s="10"/>
      <c r="C881" s="10"/>
      <c r="D881" s="26"/>
      <c r="E881" s="10"/>
      <c r="F881" s="10"/>
      <c r="G881" s="71"/>
      <c r="H881" s="10"/>
      <c r="I881" s="10"/>
      <c r="J881" s="10"/>
      <c r="K881" s="71"/>
      <c r="L881" s="27"/>
      <c r="M881" s="10"/>
      <c r="N881" s="10"/>
      <c r="O881" s="59"/>
      <c r="P881" s="1"/>
      <c r="Q881" s="1"/>
      <c r="R881" s="1"/>
      <c r="S881" s="1"/>
      <c r="T881" s="1"/>
      <c r="U881" s="1"/>
      <c r="V881" s="1"/>
      <c r="W881" s="1"/>
      <c r="X881" s="1"/>
      <c r="Y881" s="1"/>
      <c r="Z881" s="1"/>
      <c r="AA881" s="1"/>
    </row>
    <row r="882" spans="1:27" ht="12.75" hidden="1" customHeight="1">
      <c r="A882" s="1"/>
      <c r="B882" s="10"/>
      <c r="C882" s="10"/>
      <c r="D882" s="26"/>
      <c r="E882" s="10"/>
      <c r="F882" s="10"/>
      <c r="G882" s="71"/>
      <c r="H882" s="10"/>
      <c r="I882" s="10"/>
      <c r="J882" s="10"/>
      <c r="K882" s="71"/>
      <c r="L882" s="27"/>
      <c r="M882" s="10"/>
      <c r="N882" s="10"/>
      <c r="O882" s="59"/>
      <c r="P882" s="1"/>
      <c r="Q882" s="1"/>
      <c r="R882" s="1"/>
      <c r="S882" s="1"/>
      <c r="T882" s="1"/>
      <c r="U882" s="1"/>
      <c r="V882" s="1"/>
      <c r="W882" s="1"/>
      <c r="X882" s="1"/>
      <c r="Y882" s="1"/>
      <c r="Z882" s="1"/>
      <c r="AA882" s="1"/>
    </row>
    <row r="883" spans="1:27" ht="12.75" hidden="1" customHeight="1">
      <c r="A883" s="1"/>
      <c r="B883" s="10"/>
      <c r="C883" s="10"/>
      <c r="D883" s="26"/>
      <c r="E883" s="10"/>
      <c r="F883" s="10"/>
      <c r="G883" s="71"/>
      <c r="H883" s="10"/>
      <c r="I883" s="10"/>
      <c r="J883" s="10"/>
      <c r="K883" s="71"/>
      <c r="L883" s="27"/>
      <c r="M883" s="10"/>
      <c r="N883" s="10"/>
      <c r="O883" s="59"/>
      <c r="P883" s="1"/>
      <c r="Q883" s="1"/>
      <c r="R883" s="1"/>
      <c r="S883" s="1"/>
      <c r="T883" s="1"/>
      <c r="U883" s="1"/>
      <c r="V883" s="1"/>
      <c r="W883" s="1"/>
      <c r="X883" s="1"/>
      <c r="Y883" s="1"/>
      <c r="Z883" s="1"/>
      <c r="AA883" s="1"/>
    </row>
    <row r="884" spans="1:27" ht="12.75" hidden="1" customHeight="1">
      <c r="A884" s="1"/>
      <c r="B884" s="10"/>
      <c r="C884" s="10"/>
      <c r="D884" s="26"/>
      <c r="E884" s="10"/>
      <c r="F884" s="10"/>
      <c r="G884" s="71"/>
      <c r="H884" s="10"/>
      <c r="I884" s="10"/>
      <c r="J884" s="10"/>
      <c r="K884" s="71"/>
      <c r="L884" s="27"/>
      <c r="M884" s="10"/>
      <c r="N884" s="10"/>
      <c r="O884" s="59"/>
      <c r="P884" s="1"/>
      <c r="Q884" s="1"/>
      <c r="R884" s="1"/>
      <c r="S884" s="1"/>
      <c r="T884" s="1"/>
      <c r="U884" s="1"/>
      <c r="V884" s="1"/>
      <c r="W884" s="1"/>
      <c r="X884" s="1"/>
      <c r="Y884" s="1"/>
      <c r="Z884" s="1"/>
      <c r="AA884" s="1"/>
    </row>
    <row r="885" spans="1:27" ht="12.75" hidden="1" customHeight="1">
      <c r="A885" s="1"/>
      <c r="B885" s="10"/>
      <c r="C885" s="10"/>
      <c r="D885" s="26"/>
      <c r="E885" s="10"/>
      <c r="F885" s="10"/>
      <c r="G885" s="71"/>
      <c r="H885" s="10"/>
      <c r="I885" s="10"/>
      <c r="J885" s="10"/>
      <c r="K885" s="71"/>
      <c r="L885" s="27"/>
      <c r="M885" s="10"/>
      <c r="N885" s="10"/>
      <c r="O885" s="59"/>
      <c r="P885" s="1"/>
      <c r="Q885" s="1"/>
      <c r="R885" s="1"/>
      <c r="S885" s="1"/>
      <c r="T885" s="1"/>
      <c r="U885" s="1"/>
      <c r="V885" s="1"/>
      <c r="W885" s="1"/>
      <c r="X885" s="1"/>
      <c r="Y885" s="1"/>
      <c r="Z885" s="1"/>
      <c r="AA885" s="1"/>
    </row>
    <row r="886" spans="1:27" ht="12.75" hidden="1" customHeight="1">
      <c r="A886" s="1"/>
      <c r="B886" s="10"/>
      <c r="C886" s="10"/>
      <c r="D886" s="26"/>
      <c r="E886" s="10"/>
      <c r="F886" s="10"/>
      <c r="G886" s="71"/>
      <c r="H886" s="10"/>
      <c r="I886" s="10"/>
      <c r="J886" s="10"/>
      <c r="K886" s="71"/>
      <c r="L886" s="27"/>
      <c r="M886" s="10"/>
      <c r="N886" s="10"/>
      <c r="O886" s="59"/>
      <c r="P886" s="1"/>
      <c r="Q886" s="1"/>
      <c r="R886" s="1"/>
      <c r="S886" s="1"/>
      <c r="T886" s="1"/>
      <c r="U886" s="1"/>
      <c r="V886" s="1"/>
      <c r="W886" s="1"/>
      <c r="X886" s="1"/>
      <c r="Y886" s="1"/>
      <c r="Z886" s="1"/>
      <c r="AA886" s="1"/>
    </row>
    <row r="887" spans="1:27" ht="12.75" hidden="1" customHeight="1">
      <c r="A887" s="1"/>
      <c r="B887" s="10"/>
      <c r="C887" s="10"/>
      <c r="D887" s="26"/>
      <c r="E887" s="10"/>
      <c r="F887" s="10"/>
      <c r="G887" s="71"/>
      <c r="H887" s="10"/>
      <c r="I887" s="10"/>
      <c r="J887" s="10"/>
      <c r="K887" s="71"/>
      <c r="L887" s="27"/>
      <c r="M887" s="10"/>
      <c r="N887" s="10"/>
      <c r="O887" s="59"/>
      <c r="P887" s="1"/>
      <c r="Q887" s="1"/>
      <c r="R887" s="1"/>
      <c r="S887" s="1"/>
      <c r="T887" s="1"/>
      <c r="U887" s="1"/>
      <c r="V887" s="1"/>
      <c r="W887" s="1"/>
      <c r="X887" s="1"/>
      <c r="Y887" s="1"/>
      <c r="Z887" s="1"/>
      <c r="AA887" s="1"/>
    </row>
    <row r="888" spans="1:27" ht="12.75" hidden="1" customHeight="1">
      <c r="A888" s="1"/>
      <c r="B888" s="10"/>
      <c r="C888" s="10"/>
      <c r="D888" s="26"/>
      <c r="E888" s="10"/>
      <c r="F888" s="10"/>
      <c r="G888" s="71"/>
      <c r="H888" s="10"/>
      <c r="I888" s="10"/>
      <c r="J888" s="10"/>
      <c r="K888" s="71"/>
      <c r="L888" s="27"/>
      <c r="M888" s="10"/>
      <c r="N888" s="10"/>
      <c r="O888" s="59"/>
      <c r="P888" s="1"/>
      <c r="Q888" s="1"/>
      <c r="R888" s="1"/>
      <c r="S888" s="1"/>
      <c r="T888" s="1"/>
      <c r="U888" s="1"/>
      <c r="V888" s="1"/>
      <c r="W888" s="1"/>
      <c r="X888" s="1"/>
      <c r="Y888" s="1"/>
      <c r="Z888" s="1"/>
      <c r="AA888" s="1"/>
    </row>
    <row r="889" spans="1:27" ht="12.75" hidden="1" customHeight="1">
      <c r="A889" s="1"/>
      <c r="B889" s="10"/>
      <c r="C889" s="10"/>
      <c r="D889" s="26"/>
      <c r="E889" s="10"/>
      <c r="F889" s="10"/>
      <c r="G889" s="71"/>
      <c r="H889" s="10"/>
      <c r="I889" s="10"/>
      <c r="J889" s="10"/>
      <c r="K889" s="71"/>
      <c r="L889" s="27"/>
      <c r="M889" s="10"/>
      <c r="N889" s="10"/>
      <c r="O889" s="59"/>
      <c r="P889" s="1"/>
      <c r="Q889" s="1"/>
      <c r="R889" s="1"/>
      <c r="S889" s="1"/>
      <c r="T889" s="1"/>
      <c r="U889" s="1"/>
      <c r="V889" s="1"/>
      <c r="W889" s="1"/>
      <c r="X889" s="1"/>
      <c r="Y889" s="1"/>
      <c r="Z889" s="1"/>
      <c r="AA889" s="1"/>
    </row>
    <row r="890" spans="1:27" ht="12.75" hidden="1" customHeight="1">
      <c r="A890" s="1"/>
      <c r="B890" s="10"/>
      <c r="C890" s="10"/>
      <c r="D890" s="26"/>
      <c r="E890" s="10"/>
      <c r="F890" s="10"/>
      <c r="G890" s="71"/>
      <c r="H890" s="10"/>
      <c r="I890" s="10"/>
      <c r="J890" s="10"/>
      <c r="K890" s="71"/>
      <c r="L890" s="27"/>
      <c r="M890" s="10"/>
      <c r="N890" s="10"/>
      <c r="O890" s="59"/>
      <c r="P890" s="1"/>
      <c r="Q890" s="1"/>
      <c r="R890" s="1"/>
      <c r="S890" s="1"/>
      <c r="T890" s="1"/>
      <c r="U890" s="1"/>
      <c r="V890" s="1"/>
      <c r="W890" s="1"/>
      <c r="X890" s="1"/>
      <c r="Y890" s="1"/>
      <c r="Z890" s="1"/>
      <c r="AA890" s="1"/>
    </row>
    <row r="891" spans="1:27" ht="12.75" hidden="1" customHeight="1">
      <c r="A891" s="1"/>
      <c r="B891" s="10"/>
      <c r="C891" s="10"/>
      <c r="D891" s="26"/>
      <c r="E891" s="10"/>
      <c r="F891" s="10"/>
      <c r="G891" s="71"/>
      <c r="H891" s="10"/>
      <c r="I891" s="10"/>
      <c r="J891" s="10"/>
      <c r="K891" s="71"/>
      <c r="L891" s="27"/>
      <c r="M891" s="10"/>
      <c r="N891" s="10"/>
      <c r="O891" s="59"/>
      <c r="P891" s="1"/>
      <c r="Q891" s="1"/>
      <c r="R891" s="1"/>
      <c r="S891" s="1"/>
      <c r="T891" s="1"/>
      <c r="U891" s="1"/>
      <c r="V891" s="1"/>
      <c r="W891" s="1"/>
      <c r="X891" s="1"/>
      <c r="Y891" s="1"/>
      <c r="Z891" s="1"/>
      <c r="AA891" s="1"/>
    </row>
    <row r="892" spans="1:27" ht="12.75" hidden="1" customHeight="1">
      <c r="A892" s="1"/>
      <c r="B892" s="10"/>
      <c r="C892" s="10"/>
      <c r="D892" s="26"/>
      <c r="E892" s="10"/>
      <c r="F892" s="10"/>
      <c r="G892" s="71"/>
      <c r="H892" s="10"/>
      <c r="I892" s="10"/>
      <c r="J892" s="10"/>
      <c r="K892" s="71"/>
      <c r="L892" s="27"/>
      <c r="M892" s="10"/>
      <c r="N892" s="10"/>
      <c r="O892" s="59"/>
      <c r="P892" s="1"/>
      <c r="Q892" s="1"/>
      <c r="R892" s="1"/>
      <c r="S892" s="1"/>
      <c r="T892" s="1"/>
      <c r="U892" s="1"/>
      <c r="V892" s="1"/>
      <c r="W892" s="1"/>
      <c r="X892" s="1"/>
      <c r="Y892" s="1"/>
      <c r="Z892" s="1"/>
      <c r="AA892" s="1"/>
    </row>
    <row r="893" spans="1:27" ht="12.75" hidden="1" customHeight="1">
      <c r="A893" s="1"/>
      <c r="B893" s="10"/>
      <c r="C893" s="10"/>
      <c r="D893" s="26"/>
      <c r="E893" s="10"/>
      <c r="F893" s="10"/>
      <c r="G893" s="71"/>
      <c r="H893" s="10"/>
      <c r="I893" s="10"/>
      <c r="J893" s="10"/>
      <c r="K893" s="71"/>
      <c r="L893" s="27"/>
      <c r="M893" s="10"/>
      <c r="N893" s="10"/>
      <c r="O893" s="59"/>
      <c r="P893" s="1"/>
      <c r="Q893" s="1"/>
      <c r="R893" s="1"/>
      <c r="S893" s="1"/>
      <c r="T893" s="1"/>
      <c r="U893" s="1"/>
      <c r="V893" s="1"/>
      <c r="W893" s="1"/>
      <c r="X893" s="1"/>
      <c r="Y893" s="1"/>
      <c r="Z893" s="1"/>
      <c r="AA893" s="1"/>
    </row>
    <row r="894" spans="1:27" ht="12.75" hidden="1" customHeight="1">
      <c r="A894" s="1"/>
      <c r="B894" s="10"/>
      <c r="C894" s="10"/>
      <c r="D894" s="26"/>
      <c r="E894" s="10"/>
      <c r="F894" s="10"/>
      <c r="G894" s="71"/>
      <c r="H894" s="10"/>
      <c r="I894" s="10"/>
      <c r="J894" s="10"/>
      <c r="K894" s="71"/>
      <c r="L894" s="27"/>
      <c r="M894" s="10"/>
      <c r="N894" s="10"/>
      <c r="O894" s="59"/>
      <c r="P894" s="1"/>
      <c r="Q894" s="1"/>
      <c r="R894" s="1"/>
      <c r="S894" s="1"/>
      <c r="T894" s="1"/>
      <c r="U894" s="1"/>
      <c r="V894" s="1"/>
      <c r="W894" s="1"/>
      <c r="X894" s="1"/>
      <c r="Y894" s="1"/>
      <c r="Z894" s="1"/>
      <c r="AA894" s="1"/>
    </row>
    <row r="895" spans="1:27" ht="12.75" hidden="1" customHeight="1">
      <c r="A895" s="1"/>
      <c r="B895" s="10"/>
      <c r="C895" s="10"/>
      <c r="D895" s="26"/>
      <c r="E895" s="10"/>
      <c r="F895" s="10"/>
      <c r="G895" s="71"/>
      <c r="H895" s="10"/>
      <c r="I895" s="10"/>
      <c r="J895" s="10"/>
      <c r="K895" s="71"/>
      <c r="L895" s="27"/>
      <c r="M895" s="10"/>
      <c r="N895" s="10"/>
      <c r="O895" s="59"/>
      <c r="P895" s="1"/>
      <c r="Q895" s="1"/>
      <c r="R895" s="1"/>
      <c r="S895" s="1"/>
      <c r="T895" s="1"/>
      <c r="U895" s="1"/>
      <c r="V895" s="1"/>
      <c r="W895" s="1"/>
      <c r="X895" s="1"/>
      <c r="Y895" s="1"/>
      <c r="Z895" s="1"/>
      <c r="AA895" s="1"/>
    </row>
    <row r="896" spans="1:27" ht="12.75" hidden="1" customHeight="1">
      <c r="A896" s="1"/>
      <c r="B896" s="10"/>
      <c r="C896" s="10"/>
      <c r="D896" s="26"/>
      <c r="E896" s="10"/>
      <c r="F896" s="10"/>
      <c r="G896" s="71"/>
      <c r="H896" s="10"/>
      <c r="I896" s="10"/>
      <c r="J896" s="10"/>
      <c r="K896" s="71"/>
      <c r="L896" s="27"/>
      <c r="M896" s="10"/>
      <c r="N896" s="10"/>
      <c r="O896" s="59"/>
      <c r="P896" s="1"/>
      <c r="Q896" s="1"/>
      <c r="R896" s="1"/>
      <c r="S896" s="1"/>
      <c r="T896" s="1"/>
      <c r="U896" s="1"/>
      <c r="V896" s="1"/>
      <c r="W896" s="1"/>
      <c r="X896" s="1"/>
      <c r="Y896" s="1"/>
      <c r="Z896" s="1"/>
      <c r="AA896" s="1"/>
    </row>
    <row r="897" spans="1:27" ht="12.75" hidden="1" customHeight="1">
      <c r="A897" s="1"/>
      <c r="B897" s="10"/>
      <c r="C897" s="10"/>
      <c r="D897" s="26"/>
      <c r="E897" s="10"/>
      <c r="F897" s="10"/>
      <c r="G897" s="71"/>
      <c r="H897" s="10"/>
      <c r="I897" s="10"/>
      <c r="J897" s="10"/>
      <c r="K897" s="71"/>
      <c r="L897" s="27"/>
      <c r="M897" s="10"/>
      <c r="N897" s="10"/>
      <c r="O897" s="59"/>
      <c r="P897" s="1"/>
      <c r="Q897" s="1"/>
      <c r="R897" s="1"/>
      <c r="S897" s="1"/>
      <c r="T897" s="1"/>
      <c r="U897" s="1"/>
      <c r="V897" s="1"/>
      <c r="W897" s="1"/>
      <c r="X897" s="1"/>
      <c r="Y897" s="1"/>
      <c r="Z897" s="1"/>
      <c r="AA897" s="1"/>
    </row>
    <row r="898" spans="1:27" ht="12.75" hidden="1" customHeight="1">
      <c r="A898" s="1"/>
      <c r="B898" s="10"/>
      <c r="C898" s="10"/>
      <c r="D898" s="26"/>
      <c r="E898" s="10"/>
      <c r="F898" s="10"/>
      <c r="G898" s="71"/>
      <c r="H898" s="10"/>
      <c r="I898" s="10"/>
      <c r="J898" s="10"/>
      <c r="K898" s="71"/>
      <c r="L898" s="27"/>
      <c r="M898" s="10"/>
      <c r="N898" s="10"/>
      <c r="O898" s="59"/>
      <c r="P898" s="1"/>
      <c r="Q898" s="1"/>
      <c r="R898" s="1"/>
      <c r="S898" s="1"/>
      <c r="T898" s="1"/>
      <c r="U898" s="1"/>
      <c r="V898" s="1"/>
      <c r="W898" s="1"/>
      <c r="X898" s="1"/>
      <c r="Y898" s="1"/>
      <c r="Z898" s="1"/>
      <c r="AA898" s="1"/>
    </row>
    <row r="899" spans="1:27" ht="12.75" hidden="1" customHeight="1">
      <c r="A899" s="1"/>
      <c r="B899" s="10"/>
      <c r="C899" s="10"/>
      <c r="D899" s="26"/>
      <c r="E899" s="10"/>
      <c r="F899" s="10"/>
      <c r="G899" s="71"/>
      <c r="H899" s="10"/>
      <c r="I899" s="10"/>
      <c r="J899" s="10"/>
      <c r="K899" s="71"/>
      <c r="L899" s="27"/>
      <c r="M899" s="10"/>
      <c r="N899" s="10"/>
      <c r="O899" s="59"/>
      <c r="P899" s="1"/>
      <c r="Q899" s="1"/>
      <c r="R899" s="1"/>
      <c r="S899" s="1"/>
      <c r="T899" s="1"/>
      <c r="U899" s="1"/>
      <c r="V899" s="1"/>
      <c r="W899" s="1"/>
      <c r="X899" s="1"/>
      <c r="Y899" s="1"/>
      <c r="Z899" s="1"/>
      <c r="AA899" s="1"/>
    </row>
    <row r="900" spans="1:27" ht="12.75" hidden="1" customHeight="1">
      <c r="A900" s="1"/>
      <c r="B900" s="10"/>
      <c r="C900" s="10"/>
      <c r="D900" s="26"/>
      <c r="E900" s="10"/>
      <c r="F900" s="10"/>
      <c r="G900" s="71"/>
      <c r="H900" s="10"/>
      <c r="I900" s="10"/>
      <c r="J900" s="10"/>
      <c r="K900" s="71"/>
      <c r="L900" s="27"/>
      <c r="M900" s="10"/>
      <c r="N900" s="10"/>
      <c r="O900" s="59"/>
      <c r="P900" s="1"/>
      <c r="Q900" s="1"/>
      <c r="R900" s="1"/>
      <c r="S900" s="1"/>
      <c r="T900" s="1"/>
      <c r="U900" s="1"/>
      <c r="V900" s="1"/>
      <c r="W900" s="1"/>
      <c r="X900" s="1"/>
      <c r="Y900" s="1"/>
      <c r="Z900" s="1"/>
      <c r="AA900" s="1"/>
    </row>
    <row r="901" spans="1:27" ht="12.75" hidden="1" customHeight="1">
      <c r="A901" s="1"/>
      <c r="B901" s="10"/>
      <c r="C901" s="10"/>
      <c r="D901" s="26"/>
      <c r="E901" s="10"/>
      <c r="F901" s="10"/>
      <c r="G901" s="71"/>
      <c r="H901" s="10"/>
      <c r="I901" s="10"/>
      <c r="J901" s="10"/>
      <c r="K901" s="71"/>
      <c r="L901" s="27"/>
      <c r="M901" s="10"/>
      <c r="N901" s="10"/>
      <c r="O901" s="59"/>
      <c r="P901" s="1"/>
      <c r="Q901" s="1"/>
      <c r="R901" s="1"/>
      <c r="S901" s="1"/>
      <c r="T901" s="1"/>
      <c r="U901" s="1"/>
      <c r="V901" s="1"/>
      <c r="W901" s="1"/>
      <c r="X901" s="1"/>
      <c r="Y901" s="1"/>
      <c r="Z901" s="1"/>
      <c r="AA901" s="1"/>
    </row>
    <row r="902" spans="1:27" ht="12.75" hidden="1" customHeight="1">
      <c r="A902" s="1"/>
      <c r="B902" s="10"/>
      <c r="C902" s="10"/>
      <c r="D902" s="26"/>
      <c r="E902" s="10"/>
      <c r="F902" s="10"/>
      <c r="G902" s="71"/>
      <c r="H902" s="10"/>
      <c r="I902" s="10"/>
      <c r="J902" s="10"/>
      <c r="K902" s="71"/>
      <c r="L902" s="27"/>
      <c r="M902" s="10"/>
      <c r="N902" s="10"/>
      <c r="O902" s="59"/>
      <c r="P902" s="1"/>
      <c r="Q902" s="1"/>
      <c r="R902" s="1"/>
      <c r="S902" s="1"/>
      <c r="T902" s="1"/>
      <c r="U902" s="1"/>
      <c r="V902" s="1"/>
      <c r="W902" s="1"/>
      <c r="X902" s="1"/>
      <c r="Y902" s="1"/>
      <c r="Z902" s="1"/>
      <c r="AA902" s="1"/>
    </row>
    <row r="903" spans="1:27" ht="12.75" hidden="1" customHeight="1">
      <c r="A903" s="1"/>
      <c r="B903" s="10"/>
      <c r="C903" s="10"/>
      <c r="D903" s="26"/>
      <c r="E903" s="10"/>
      <c r="F903" s="10"/>
      <c r="G903" s="71"/>
      <c r="H903" s="10"/>
      <c r="I903" s="10"/>
      <c r="J903" s="10"/>
      <c r="K903" s="71"/>
      <c r="L903" s="27"/>
      <c r="M903" s="10"/>
      <c r="N903" s="10"/>
      <c r="O903" s="59"/>
      <c r="P903" s="1"/>
      <c r="Q903" s="1"/>
      <c r="R903" s="1"/>
      <c r="S903" s="1"/>
      <c r="T903" s="1"/>
      <c r="U903" s="1"/>
      <c r="V903" s="1"/>
      <c r="W903" s="1"/>
      <c r="X903" s="1"/>
      <c r="Y903" s="1"/>
      <c r="Z903" s="1"/>
      <c r="AA903" s="1"/>
    </row>
    <row r="904" spans="1:27" ht="12.75" hidden="1" customHeight="1">
      <c r="A904" s="1"/>
      <c r="B904" s="10"/>
      <c r="C904" s="10"/>
      <c r="D904" s="26"/>
      <c r="E904" s="10"/>
      <c r="F904" s="10"/>
      <c r="G904" s="71"/>
      <c r="H904" s="10"/>
      <c r="I904" s="10"/>
      <c r="J904" s="10"/>
      <c r="K904" s="71"/>
      <c r="L904" s="27"/>
      <c r="M904" s="10"/>
      <c r="N904" s="10"/>
      <c r="O904" s="59"/>
      <c r="P904" s="1"/>
      <c r="Q904" s="1"/>
      <c r="R904" s="1"/>
      <c r="S904" s="1"/>
      <c r="T904" s="1"/>
      <c r="U904" s="1"/>
      <c r="V904" s="1"/>
      <c r="W904" s="1"/>
      <c r="X904" s="1"/>
      <c r="Y904" s="1"/>
      <c r="Z904" s="1"/>
      <c r="AA904" s="1"/>
    </row>
    <row r="905" spans="1:27" ht="12.75" hidden="1" customHeight="1">
      <c r="A905" s="1"/>
      <c r="B905" s="10"/>
      <c r="C905" s="10"/>
      <c r="D905" s="26"/>
      <c r="E905" s="10"/>
      <c r="F905" s="10"/>
      <c r="G905" s="71"/>
      <c r="H905" s="10"/>
      <c r="I905" s="10"/>
      <c r="J905" s="10"/>
      <c r="K905" s="71"/>
      <c r="L905" s="27"/>
      <c r="M905" s="10"/>
      <c r="N905" s="10"/>
      <c r="O905" s="59"/>
      <c r="P905" s="1"/>
      <c r="Q905" s="1"/>
      <c r="R905" s="1"/>
      <c r="S905" s="1"/>
      <c r="T905" s="1"/>
      <c r="U905" s="1"/>
      <c r="V905" s="1"/>
      <c r="W905" s="1"/>
      <c r="X905" s="1"/>
      <c r="Y905" s="1"/>
      <c r="Z905" s="1"/>
      <c r="AA905" s="1"/>
    </row>
    <row r="906" spans="1:27" ht="12.75" hidden="1" customHeight="1">
      <c r="A906" s="1"/>
      <c r="B906" s="10"/>
      <c r="C906" s="10"/>
      <c r="D906" s="26"/>
      <c r="E906" s="10"/>
      <c r="F906" s="10"/>
      <c r="G906" s="71"/>
      <c r="H906" s="10"/>
      <c r="I906" s="10"/>
      <c r="J906" s="10"/>
      <c r="K906" s="71"/>
      <c r="L906" s="27"/>
      <c r="M906" s="10"/>
      <c r="N906" s="10"/>
      <c r="O906" s="59"/>
      <c r="P906" s="1"/>
      <c r="Q906" s="1"/>
      <c r="R906" s="1"/>
      <c r="S906" s="1"/>
      <c r="T906" s="1"/>
      <c r="U906" s="1"/>
      <c r="V906" s="1"/>
      <c r="W906" s="1"/>
      <c r="X906" s="1"/>
      <c r="Y906" s="1"/>
      <c r="Z906" s="1"/>
      <c r="AA906" s="1"/>
    </row>
    <row r="907" spans="1:27" ht="12.75" hidden="1" customHeight="1">
      <c r="A907" s="1"/>
      <c r="B907" s="10"/>
      <c r="C907" s="10"/>
      <c r="D907" s="26"/>
      <c r="E907" s="10"/>
      <c r="F907" s="10"/>
      <c r="G907" s="71"/>
      <c r="H907" s="10"/>
      <c r="I907" s="10"/>
      <c r="J907" s="10"/>
      <c r="K907" s="71"/>
      <c r="L907" s="27"/>
      <c r="M907" s="10"/>
      <c r="N907" s="10"/>
      <c r="O907" s="59"/>
      <c r="P907" s="1"/>
      <c r="Q907" s="1"/>
      <c r="R907" s="1"/>
      <c r="S907" s="1"/>
      <c r="T907" s="1"/>
      <c r="U907" s="1"/>
      <c r="V907" s="1"/>
      <c r="W907" s="1"/>
      <c r="X907" s="1"/>
      <c r="Y907" s="1"/>
      <c r="Z907" s="1"/>
      <c r="AA907" s="1"/>
    </row>
    <row r="908" spans="1:27" ht="12.75" hidden="1" customHeight="1">
      <c r="A908" s="1"/>
      <c r="B908" s="10"/>
      <c r="C908" s="10"/>
      <c r="D908" s="26"/>
      <c r="E908" s="10"/>
      <c r="F908" s="10"/>
      <c r="G908" s="71"/>
      <c r="H908" s="10"/>
      <c r="I908" s="10"/>
      <c r="J908" s="10"/>
      <c r="K908" s="71"/>
      <c r="L908" s="27"/>
      <c r="M908" s="10"/>
      <c r="N908" s="10"/>
      <c r="O908" s="59"/>
      <c r="P908" s="1"/>
      <c r="Q908" s="1"/>
      <c r="R908" s="1"/>
      <c r="S908" s="1"/>
      <c r="T908" s="1"/>
      <c r="U908" s="1"/>
      <c r="V908" s="1"/>
      <c r="W908" s="1"/>
      <c r="X908" s="1"/>
      <c r="Y908" s="1"/>
      <c r="Z908" s="1"/>
      <c r="AA908" s="1"/>
    </row>
    <row r="909" spans="1:27" ht="12.75" hidden="1" customHeight="1">
      <c r="A909" s="1"/>
      <c r="B909" s="10"/>
      <c r="C909" s="10"/>
      <c r="D909" s="26"/>
      <c r="E909" s="10"/>
      <c r="F909" s="10"/>
      <c r="G909" s="71"/>
      <c r="H909" s="10"/>
      <c r="I909" s="10"/>
      <c r="J909" s="10"/>
      <c r="K909" s="71"/>
      <c r="L909" s="27"/>
      <c r="M909" s="10"/>
      <c r="N909" s="10"/>
      <c r="O909" s="59"/>
      <c r="P909" s="1"/>
      <c r="Q909" s="1"/>
      <c r="R909" s="1"/>
      <c r="S909" s="1"/>
      <c r="T909" s="1"/>
      <c r="U909" s="1"/>
      <c r="V909" s="1"/>
      <c r="W909" s="1"/>
      <c r="X909" s="1"/>
      <c r="Y909" s="1"/>
      <c r="Z909" s="1"/>
      <c r="AA909" s="1"/>
    </row>
    <row r="910" spans="1:27" ht="12.75" hidden="1" customHeight="1">
      <c r="A910" s="1"/>
      <c r="B910" s="10"/>
      <c r="C910" s="10"/>
      <c r="D910" s="26"/>
      <c r="E910" s="10"/>
      <c r="F910" s="10"/>
      <c r="G910" s="71"/>
      <c r="H910" s="10"/>
      <c r="I910" s="10"/>
      <c r="J910" s="10"/>
      <c r="K910" s="71"/>
      <c r="L910" s="27"/>
      <c r="M910" s="10"/>
      <c r="N910" s="10"/>
      <c r="O910" s="59"/>
      <c r="P910" s="1"/>
      <c r="Q910" s="1"/>
      <c r="R910" s="1"/>
      <c r="S910" s="1"/>
      <c r="T910" s="1"/>
      <c r="U910" s="1"/>
      <c r="V910" s="1"/>
      <c r="W910" s="1"/>
      <c r="X910" s="1"/>
      <c r="Y910" s="1"/>
      <c r="Z910" s="1"/>
      <c r="AA910" s="1"/>
    </row>
    <row r="911" spans="1:27" ht="12.75" hidden="1" customHeight="1">
      <c r="A911" s="1"/>
      <c r="B911" s="10"/>
      <c r="C911" s="10"/>
      <c r="D911" s="26"/>
      <c r="E911" s="10"/>
      <c r="F911" s="10"/>
      <c r="G911" s="71"/>
      <c r="H911" s="10"/>
      <c r="I911" s="10"/>
      <c r="J911" s="10"/>
      <c r="K911" s="71"/>
      <c r="L911" s="27"/>
      <c r="M911" s="10"/>
      <c r="N911" s="10"/>
      <c r="O911" s="59"/>
      <c r="P911" s="1"/>
      <c r="Q911" s="1"/>
      <c r="R911" s="1"/>
      <c r="S911" s="1"/>
      <c r="T911" s="1"/>
      <c r="U911" s="1"/>
      <c r="V911" s="1"/>
      <c r="W911" s="1"/>
      <c r="X911" s="1"/>
      <c r="Y911" s="1"/>
      <c r="Z911" s="1"/>
      <c r="AA911" s="1"/>
    </row>
    <row r="912" spans="1:27" ht="12.75" hidden="1" customHeight="1">
      <c r="A912" s="1"/>
      <c r="B912" s="10"/>
      <c r="C912" s="10"/>
      <c r="D912" s="26"/>
      <c r="E912" s="10"/>
      <c r="F912" s="10"/>
      <c r="G912" s="71"/>
      <c r="H912" s="10"/>
      <c r="I912" s="10"/>
      <c r="J912" s="10"/>
      <c r="K912" s="71"/>
      <c r="L912" s="27"/>
      <c r="M912" s="10"/>
      <c r="N912" s="10"/>
      <c r="O912" s="59"/>
      <c r="P912" s="1"/>
      <c r="Q912" s="1"/>
      <c r="R912" s="1"/>
      <c r="S912" s="1"/>
      <c r="T912" s="1"/>
      <c r="U912" s="1"/>
      <c r="V912" s="1"/>
      <c r="W912" s="1"/>
      <c r="X912" s="1"/>
      <c r="Y912" s="1"/>
      <c r="Z912" s="1"/>
      <c r="AA912" s="1"/>
    </row>
    <row r="913" spans="1:27" ht="12.75" hidden="1" customHeight="1">
      <c r="A913" s="1"/>
      <c r="B913" s="10"/>
      <c r="C913" s="10"/>
      <c r="D913" s="26"/>
      <c r="E913" s="10"/>
      <c r="F913" s="10"/>
      <c r="G913" s="71"/>
      <c r="H913" s="10"/>
      <c r="I913" s="10"/>
      <c r="J913" s="10"/>
      <c r="K913" s="71"/>
      <c r="L913" s="27"/>
      <c r="M913" s="10"/>
      <c r="N913" s="10"/>
      <c r="O913" s="59"/>
      <c r="P913" s="1"/>
      <c r="Q913" s="1"/>
      <c r="R913" s="1"/>
      <c r="S913" s="1"/>
      <c r="T913" s="1"/>
      <c r="U913" s="1"/>
      <c r="V913" s="1"/>
      <c r="W913" s="1"/>
      <c r="X913" s="1"/>
      <c r="Y913" s="1"/>
      <c r="Z913" s="1"/>
      <c r="AA913" s="1"/>
    </row>
    <row r="914" spans="1:27" ht="12.75" hidden="1" customHeight="1">
      <c r="A914" s="1"/>
      <c r="B914" s="10"/>
      <c r="C914" s="10"/>
      <c r="D914" s="26"/>
      <c r="E914" s="10"/>
      <c r="F914" s="10"/>
      <c r="G914" s="71"/>
      <c r="H914" s="10"/>
      <c r="I914" s="10"/>
      <c r="J914" s="10"/>
      <c r="K914" s="71"/>
      <c r="L914" s="27"/>
      <c r="M914" s="10"/>
      <c r="N914" s="10"/>
      <c r="O914" s="59"/>
      <c r="P914" s="1"/>
      <c r="Q914" s="1"/>
      <c r="R914" s="1"/>
      <c r="S914" s="1"/>
      <c r="T914" s="1"/>
      <c r="U914" s="1"/>
      <c r="V914" s="1"/>
      <c r="W914" s="1"/>
      <c r="X914" s="1"/>
      <c r="Y914" s="1"/>
      <c r="Z914" s="1"/>
      <c r="AA914" s="1"/>
    </row>
    <row r="915" spans="1:27" ht="12.75" hidden="1" customHeight="1">
      <c r="A915" s="1"/>
      <c r="B915" s="10"/>
      <c r="C915" s="10"/>
      <c r="D915" s="26"/>
      <c r="E915" s="10"/>
      <c r="F915" s="10"/>
      <c r="G915" s="71"/>
      <c r="H915" s="10"/>
      <c r="I915" s="10"/>
      <c r="J915" s="10"/>
      <c r="K915" s="71"/>
      <c r="L915" s="27"/>
      <c r="M915" s="10"/>
      <c r="N915" s="10"/>
      <c r="O915" s="59"/>
      <c r="P915" s="1"/>
      <c r="Q915" s="1"/>
      <c r="R915" s="1"/>
      <c r="S915" s="1"/>
      <c r="T915" s="1"/>
      <c r="U915" s="1"/>
      <c r="V915" s="1"/>
      <c r="W915" s="1"/>
      <c r="X915" s="1"/>
      <c r="Y915" s="1"/>
      <c r="Z915" s="1"/>
      <c r="AA915" s="1"/>
    </row>
    <row r="916" spans="1:27" ht="12.75" hidden="1" customHeight="1">
      <c r="A916" s="1"/>
      <c r="B916" s="10"/>
      <c r="C916" s="10"/>
      <c r="D916" s="26"/>
      <c r="E916" s="10"/>
      <c r="F916" s="10"/>
      <c r="G916" s="71"/>
      <c r="H916" s="10"/>
      <c r="I916" s="10"/>
      <c r="J916" s="10"/>
      <c r="K916" s="71"/>
      <c r="L916" s="27"/>
      <c r="M916" s="10"/>
      <c r="N916" s="10"/>
      <c r="O916" s="59"/>
      <c r="P916" s="1"/>
      <c r="Q916" s="1"/>
      <c r="R916" s="1"/>
      <c r="S916" s="1"/>
      <c r="T916" s="1"/>
      <c r="U916" s="1"/>
      <c r="V916" s="1"/>
      <c r="W916" s="1"/>
      <c r="X916" s="1"/>
      <c r="Y916" s="1"/>
      <c r="Z916" s="1"/>
      <c r="AA916" s="1"/>
    </row>
    <row r="917" spans="1:27" ht="12.75" hidden="1" customHeight="1">
      <c r="A917" s="1"/>
      <c r="B917" s="10"/>
      <c r="C917" s="10"/>
      <c r="D917" s="26"/>
      <c r="E917" s="10"/>
      <c r="F917" s="10"/>
      <c r="G917" s="71"/>
      <c r="H917" s="10"/>
      <c r="I917" s="10"/>
      <c r="J917" s="10"/>
      <c r="K917" s="71"/>
      <c r="L917" s="27"/>
      <c r="M917" s="10"/>
      <c r="N917" s="10"/>
      <c r="O917" s="59"/>
      <c r="P917" s="1"/>
      <c r="Q917" s="1"/>
      <c r="R917" s="1"/>
      <c r="S917" s="1"/>
      <c r="T917" s="1"/>
      <c r="U917" s="1"/>
      <c r="V917" s="1"/>
      <c r="W917" s="1"/>
      <c r="X917" s="1"/>
      <c r="Y917" s="1"/>
      <c r="Z917" s="1"/>
      <c r="AA917" s="1"/>
    </row>
    <row r="918" spans="1:27" ht="12.75" hidden="1" customHeight="1">
      <c r="A918" s="1"/>
      <c r="B918" s="10"/>
      <c r="C918" s="10"/>
      <c r="D918" s="26"/>
      <c r="E918" s="10"/>
      <c r="F918" s="10"/>
      <c r="G918" s="71"/>
      <c r="H918" s="10"/>
      <c r="I918" s="10"/>
      <c r="J918" s="10"/>
      <c r="K918" s="71"/>
      <c r="L918" s="27"/>
      <c r="M918" s="10"/>
      <c r="N918" s="10"/>
      <c r="O918" s="59"/>
      <c r="P918" s="1"/>
      <c r="Q918" s="1"/>
      <c r="R918" s="1"/>
      <c r="S918" s="1"/>
      <c r="T918" s="1"/>
      <c r="U918" s="1"/>
      <c r="V918" s="1"/>
      <c r="W918" s="1"/>
      <c r="X918" s="1"/>
      <c r="Y918" s="1"/>
      <c r="Z918" s="1"/>
      <c r="AA918" s="1"/>
    </row>
    <row r="919" spans="1:27" ht="12.75" hidden="1" customHeight="1">
      <c r="A919" s="1"/>
      <c r="B919" s="10"/>
      <c r="C919" s="10"/>
      <c r="D919" s="26"/>
      <c r="E919" s="10"/>
      <c r="F919" s="10"/>
      <c r="G919" s="71"/>
      <c r="H919" s="10"/>
      <c r="I919" s="10"/>
      <c r="J919" s="10"/>
      <c r="K919" s="71"/>
      <c r="L919" s="27"/>
      <c r="M919" s="10"/>
      <c r="N919" s="10"/>
      <c r="O919" s="59"/>
      <c r="P919" s="1"/>
      <c r="Q919" s="1"/>
      <c r="R919" s="1"/>
      <c r="S919" s="1"/>
      <c r="T919" s="1"/>
      <c r="U919" s="1"/>
      <c r="V919" s="1"/>
      <c r="W919" s="1"/>
      <c r="X919" s="1"/>
      <c r="Y919" s="1"/>
      <c r="Z919" s="1"/>
      <c r="AA919" s="1"/>
    </row>
    <row r="920" spans="1:27" ht="12.75" hidden="1" customHeight="1">
      <c r="A920" s="1"/>
      <c r="B920" s="10"/>
      <c r="C920" s="10"/>
      <c r="D920" s="26"/>
      <c r="E920" s="10"/>
      <c r="F920" s="10"/>
      <c r="G920" s="71"/>
      <c r="H920" s="10"/>
      <c r="I920" s="10"/>
      <c r="J920" s="10"/>
      <c r="K920" s="71"/>
      <c r="L920" s="27"/>
      <c r="M920" s="10"/>
      <c r="N920" s="10"/>
      <c r="O920" s="59"/>
      <c r="P920" s="1"/>
      <c r="Q920" s="1"/>
      <c r="R920" s="1"/>
      <c r="S920" s="1"/>
      <c r="T920" s="1"/>
      <c r="U920" s="1"/>
      <c r="V920" s="1"/>
      <c r="W920" s="1"/>
      <c r="X920" s="1"/>
      <c r="Y920" s="1"/>
      <c r="Z920" s="1"/>
      <c r="AA920" s="1"/>
    </row>
    <row r="921" spans="1:27" ht="12.75" hidden="1" customHeight="1">
      <c r="A921" s="1"/>
      <c r="B921" s="10"/>
      <c r="C921" s="10"/>
      <c r="D921" s="26"/>
      <c r="E921" s="10"/>
      <c r="F921" s="10"/>
      <c r="G921" s="71"/>
      <c r="H921" s="10"/>
      <c r="I921" s="10"/>
      <c r="J921" s="10"/>
      <c r="K921" s="71"/>
      <c r="L921" s="27"/>
      <c r="M921" s="10"/>
      <c r="N921" s="10"/>
      <c r="O921" s="59"/>
      <c r="P921" s="1"/>
      <c r="Q921" s="1"/>
      <c r="R921" s="1"/>
      <c r="S921" s="1"/>
      <c r="T921" s="1"/>
      <c r="U921" s="1"/>
      <c r="V921" s="1"/>
      <c r="W921" s="1"/>
      <c r="X921" s="1"/>
      <c r="Y921" s="1"/>
      <c r="Z921" s="1"/>
      <c r="AA921" s="1"/>
    </row>
    <row r="922" spans="1:27" ht="12.75" hidden="1" customHeight="1">
      <c r="A922" s="1"/>
      <c r="B922" s="10"/>
      <c r="C922" s="10"/>
      <c r="D922" s="26"/>
      <c r="E922" s="10"/>
      <c r="F922" s="10"/>
      <c r="G922" s="71"/>
      <c r="H922" s="10"/>
      <c r="I922" s="10"/>
      <c r="J922" s="10"/>
      <c r="K922" s="71"/>
      <c r="L922" s="27"/>
      <c r="M922" s="10"/>
      <c r="N922" s="10"/>
      <c r="O922" s="59"/>
      <c r="P922" s="1"/>
      <c r="Q922" s="1"/>
      <c r="R922" s="1"/>
      <c r="S922" s="1"/>
      <c r="T922" s="1"/>
      <c r="U922" s="1"/>
      <c r="V922" s="1"/>
      <c r="W922" s="1"/>
      <c r="X922" s="1"/>
      <c r="Y922" s="1"/>
      <c r="Z922" s="1"/>
      <c r="AA922" s="1"/>
    </row>
    <row r="923" spans="1:27" ht="12.75" hidden="1" customHeight="1">
      <c r="A923" s="1"/>
      <c r="B923" s="10"/>
      <c r="C923" s="10"/>
      <c r="D923" s="26"/>
      <c r="E923" s="10"/>
      <c r="F923" s="10"/>
      <c r="G923" s="71"/>
      <c r="H923" s="10"/>
      <c r="I923" s="10"/>
      <c r="J923" s="10"/>
      <c r="K923" s="71"/>
      <c r="L923" s="27"/>
      <c r="M923" s="10"/>
      <c r="N923" s="10"/>
      <c r="O923" s="59"/>
      <c r="P923" s="1"/>
      <c r="Q923" s="1"/>
      <c r="R923" s="1"/>
      <c r="S923" s="1"/>
      <c r="T923" s="1"/>
      <c r="U923" s="1"/>
      <c r="V923" s="1"/>
      <c r="W923" s="1"/>
      <c r="X923" s="1"/>
      <c r="Y923" s="1"/>
      <c r="Z923" s="1"/>
      <c r="AA923" s="1"/>
    </row>
    <row r="924" spans="1:27" ht="12.75" hidden="1" customHeight="1">
      <c r="A924" s="1"/>
      <c r="B924" s="10"/>
      <c r="C924" s="10"/>
      <c r="D924" s="26"/>
      <c r="E924" s="10"/>
      <c r="F924" s="10"/>
      <c r="G924" s="71"/>
      <c r="H924" s="10"/>
      <c r="I924" s="10"/>
      <c r="J924" s="10"/>
      <c r="K924" s="71"/>
      <c r="L924" s="27"/>
      <c r="M924" s="10"/>
      <c r="N924" s="10"/>
      <c r="O924" s="59"/>
      <c r="P924" s="1"/>
      <c r="Q924" s="1"/>
      <c r="R924" s="1"/>
      <c r="S924" s="1"/>
      <c r="T924" s="1"/>
      <c r="U924" s="1"/>
      <c r="V924" s="1"/>
      <c r="W924" s="1"/>
      <c r="X924" s="1"/>
      <c r="Y924" s="1"/>
      <c r="Z924" s="1"/>
      <c r="AA924" s="1"/>
    </row>
    <row r="925" spans="1:27" ht="12.75" hidden="1" customHeight="1">
      <c r="A925" s="1"/>
      <c r="B925" s="10"/>
      <c r="C925" s="10"/>
      <c r="D925" s="26"/>
      <c r="E925" s="10"/>
      <c r="F925" s="10"/>
      <c r="G925" s="71"/>
      <c r="H925" s="10"/>
      <c r="I925" s="10"/>
      <c r="J925" s="10"/>
      <c r="K925" s="71"/>
      <c r="L925" s="27"/>
      <c r="M925" s="10"/>
      <c r="N925" s="10"/>
      <c r="O925" s="59"/>
      <c r="P925" s="1"/>
      <c r="Q925" s="1"/>
      <c r="R925" s="1"/>
      <c r="S925" s="1"/>
      <c r="T925" s="1"/>
      <c r="U925" s="1"/>
      <c r="V925" s="1"/>
      <c r="W925" s="1"/>
      <c r="X925" s="1"/>
      <c r="Y925" s="1"/>
      <c r="Z925" s="1"/>
      <c r="AA925" s="1"/>
    </row>
    <row r="926" spans="1:27" ht="12.75" hidden="1" customHeight="1">
      <c r="A926" s="1"/>
      <c r="B926" s="10"/>
      <c r="C926" s="10"/>
      <c r="D926" s="26"/>
      <c r="E926" s="10"/>
      <c r="F926" s="10"/>
      <c r="G926" s="71"/>
      <c r="H926" s="10"/>
      <c r="I926" s="10"/>
      <c r="J926" s="10"/>
      <c r="K926" s="71"/>
      <c r="L926" s="27"/>
      <c r="M926" s="10"/>
      <c r="N926" s="10"/>
      <c r="O926" s="59"/>
      <c r="P926" s="1"/>
      <c r="Q926" s="1"/>
      <c r="R926" s="1"/>
      <c r="S926" s="1"/>
      <c r="T926" s="1"/>
      <c r="U926" s="1"/>
      <c r="V926" s="1"/>
      <c r="W926" s="1"/>
      <c r="X926" s="1"/>
      <c r="Y926" s="1"/>
      <c r="Z926" s="1"/>
      <c r="AA926" s="1"/>
    </row>
    <row r="927" spans="1:27" ht="12.75" hidden="1" customHeight="1">
      <c r="A927" s="1"/>
      <c r="B927" s="10"/>
      <c r="C927" s="10"/>
      <c r="D927" s="26"/>
      <c r="E927" s="10"/>
      <c r="F927" s="10"/>
      <c r="G927" s="71"/>
      <c r="H927" s="10"/>
      <c r="I927" s="10"/>
      <c r="J927" s="10"/>
      <c r="K927" s="71"/>
      <c r="L927" s="27"/>
      <c r="M927" s="10"/>
      <c r="N927" s="10"/>
      <c r="O927" s="59"/>
      <c r="P927" s="1"/>
      <c r="Q927" s="1"/>
      <c r="R927" s="1"/>
      <c r="S927" s="1"/>
      <c r="T927" s="1"/>
      <c r="U927" s="1"/>
      <c r="V927" s="1"/>
      <c r="W927" s="1"/>
      <c r="X927" s="1"/>
      <c r="Y927" s="1"/>
      <c r="Z927" s="1"/>
      <c r="AA927" s="1"/>
    </row>
    <row r="928" spans="1:27" ht="12.75" hidden="1" customHeight="1">
      <c r="A928" s="1"/>
      <c r="B928" s="10"/>
      <c r="C928" s="10"/>
      <c r="D928" s="26"/>
      <c r="E928" s="10"/>
      <c r="F928" s="10"/>
      <c r="G928" s="71"/>
      <c r="H928" s="10"/>
      <c r="I928" s="10"/>
      <c r="J928" s="10"/>
      <c r="K928" s="71"/>
      <c r="L928" s="27"/>
      <c r="M928" s="10"/>
      <c r="N928" s="10"/>
      <c r="O928" s="59"/>
      <c r="P928" s="1"/>
      <c r="Q928" s="1"/>
      <c r="R928" s="1"/>
      <c r="S928" s="1"/>
      <c r="T928" s="1"/>
      <c r="U928" s="1"/>
      <c r="V928" s="1"/>
      <c r="W928" s="1"/>
      <c r="X928" s="1"/>
      <c r="Y928" s="1"/>
      <c r="Z928" s="1"/>
      <c r="AA928" s="1"/>
    </row>
    <row r="929" spans="1:27" ht="12.75" hidden="1" customHeight="1">
      <c r="A929" s="1"/>
      <c r="B929" s="10"/>
      <c r="C929" s="10"/>
      <c r="D929" s="26"/>
      <c r="E929" s="10"/>
      <c r="F929" s="10"/>
      <c r="G929" s="71"/>
      <c r="H929" s="10"/>
      <c r="I929" s="10"/>
      <c r="J929" s="10"/>
      <c r="K929" s="71"/>
      <c r="L929" s="27"/>
      <c r="M929" s="10"/>
      <c r="N929" s="10"/>
      <c r="O929" s="59"/>
      <c r="P929" s="1"/>
      <c r="Q929" s="1"/>
      <c r="R929" s="1"/>
      <c r="S929" s="1"/>
      <c r="T929" s="1"/>
      <c r="U929" s="1"/>
      <c r="V929" s="1"/>
      <c r="W929" s="1"/>
      <c r="X929" s="1"/>
      <c r="Y929" s="1"/>
      <c r="Z929" s="1"/>
      <c r="AA929" s="1"/>
    </row>
    <row r="930" spans="1:27" ht="12.75" hidden="1" customHeight="1">
      <c r="A930" s="1"/>
      <c r="B930" s="10"/>
      <c r="C930" s="10"/>
      <c r="D930" s="26"/>
      <c r="E930" s="10"/>
      <c r="F930" s="10"/>
      <c r="G930" s="71"/>
      <c r="H930" s="10"/>
      <c r="I930" s="10"/>
      <c r="J930" s="10"/>
      <c r="K930" s="71"/>
      <c r="L930" s="27"/>
      <c r="M930" s="10"/>
      <c r="N930" s="10"/>
      <c r="O930" s="59"/>
      <c r="P930" s="1"/>
      <c r="Q930" s="1"/>
      <c r="R930" s="1"/>
      <c r="S930" s="1"/>
      <c r="T930" s="1"/>
      <c r="U930" s="1"/>
      <c r="V930" s="1"/>
      <c r="W930" s="1"/>
      <c r="X930" s="1"/>
      <c r="Y930" s="1"/>
      <c r="Z930" s="1"/>
      <c r="AA930" s="1"/>
    </row>
    <row r="931" spans="1:27" ht="12.75" hidden="1" customHeight="1">
      <c r="A931" s="1"/>
      <c r="B931" s="10"/>
      <c r="C931" s="10"/>
      <c r="D931" s="26"/>
      <c r="E931" s="10"/>
      <c r="F931" s="10"/>
      <c r="G931" s="71"/>
      <c r="H931" s="10"/>
      <c r="I931" s="10"/>
      <c r="J931" s="10"/>
      <c r="K931" s="71"/>
      <c r="L931" s="27"/>
      <c r="M931" s="10"/>
      <c r="N931" s="10"/>
      <c r="O931" s="59"/>
      <c r="P931" s="1"/>
      <c r="Q931" s="1"/>
      <c r="R931" s="1"/>
      <c r="S931" s="1"/>
      <c r="T931" s="1"/>
      <c r="U931" s="1"/>
      <c r="V931" s="1"/>
      <c r="W931" s="1"/>
      <c r="X931" s="1"/>
      <c r="Y931" s="1"/>
      <c r="Z931" s="1"/>
      <c r="AA931" s="1"/>
    </row>
    <row r="932" spans="1:27" ht="12.75" hidden="1" customHeight="1">
      <c r="A932" s="1"/>
      <c r="B932" s="10"/>
      <c r="C932" s="10"/>
      <c r="D932" s="26"/>
      <c r="E932" s="10"/>
      <c r="F932" s="10"/>
      <c r="G932" s="71"/>
      <c r="H932" s="10"/>
      <c r="I932" s="10"/>
      <c r="J932" s="10"/>
      <c r="K932" s="71"/>
      <c r="L932" s="27"/>
      <c r="M932" s="10"/>
      <c r="N932" s="10"/>
      <c r="O932" s="59"/>
      <c r="P932" s="1"/>
      <c r="Q932" s="1"/>
      <c r="R932" s="1"/>
      <c r="S932" s="1"/>
      <c r="T932" s="1"/>
      <c r="U932" s="1"/>
      <c r="V932" s="1"/>
      <c r="W932" s="1"/>
      <c r="X932" s="1"/>
      <c r="Y932" s="1"/>
      <c r="Z932" s="1"/>
      <c r="AA932" s="1"/>
    </row>
    <row r="933" spans="1:27" ht="12.75" hidden="1" customHeight="1">
      <c r="A933" s="1"/>
      <c r="B933" s="10"/>
      <c r="C933" s="10"/>
      <c r="D933" s="26"/>
      <c r="E933" s="10"/>
      <c r="F933" s="10"/>
      <c r="G933" s="71"/>
      <c r="H933" s="10"/>
      <c r="I933" s="10"/>
      <c r="J933" s="10"/>
      <c r="K933" s="71"/>
      <c r="L933" s="27"/>
      <c r="M933" s="10"/>
      <c r="N933" s="10"/>
      <c r="O933" s="59"/>
      <c r="P933" s="1"/>
      <c r="Q933" s="1"/>
      <c r="R933" s="1"/>
      <c r="S933" s="1"/>
      <c r="T933" s="1"/>
      <c r="U933" s="1"/>
      <c r="V933" s="1"/>
      <c r="W933" s="1"/>
      <c r="X933" s="1"/>
      <c r="Y933" s="1"/>
      <c r="Z933" s="1"/>
      <c r="AA933" s="1"/>
    </row>
    <row r="934" spans="1:27" ht="12.75" hidden="1" customHeight="1">
      <c r="A934" s="1"/>
      <c r="B934" s="10"/>
      <c r="C934" s="10"/>
      <c r="D934" s="26"/>
      <c r="E934" s="10"/>
      <c r="F934" s="10"/>
      <c r="G934" s="71"/>
      <c r="H934" s="10"/>
      <c r="I934" s="10"/>
      <c r="J934" s="10"/>
      <c r="K934" s="71"/>
      <c r="L934" s="27"/>
      <c r="M934" s="10"/>
      <c r="N934" s="10"/>
      <c r="O934" s="59"/>
      <c r="P934" s="1"/>
      <c r="Q934" s="1"/>
      <c r="R934" s="1"/>
      <c r="S934" s="1"/>
      <c r="T934" s="1"/>
      <c r="U934" s="1"/>
      <c r="V934" s="1"/>
      <c r="W934" s="1"/>
      <c r="X934" s="1"/>
      <c r="Y934" s="1"/>
      <c r="Z934" s="1"/>
      <c r="AA934" s="1"/>
    </row>
    <row r="935" spans="1:27" ht="12.75" hidden="1" customHeight="1">
      <c r="A935" s="1"/>
      <c r="B935" s="10"/>
      <c r="C935" s="10"/>
      <c r="D935" s="26"/>
      <c r="E935" s="10"/>
      <c r="F935" s="10"/>
      <c r="G935" s="71"/>
      <c r="H935" s="10"/>
      <c r="I935" s="10"/>
      <c r="J935" s="10"/>
      <c r="K935" s="71"/>
      <c r="L935" s="27"/>
      <c r="M935" s="10"/>
      <c r="N935" s="10"/>
      <c r="O935" s="59"/>
      <c r="P935" s="1"/>
      <c r="Q935" s="1"/>
      <c r="R935" s="1"/>
      <c r="S935" s="1"/>
      <c r="T935" s="1"/>
      <c r="U935" s="1"/>
      <c r="V935" s="1"/>
      <c r="W935" s="1"/>
      <c r="X935" s="1"/>
      <c r="Y935" s="1"/>
      <c r="Z935" s="1"/>
      <c r="AA935" s="1"/>
    </row>
    <row r="936" spans="1:27" ht="12.75" hidden="1" customHeight="1">
      <c r="A936" s="1"/>
      <c r="B936" s="10"/>
      <c r="C936" s="10"/>
      <c r="D936" s="26"/>
      <c r="E936" s="10"/>
      <c r="F936" s="10"/>
      <c r="G936" s="71"/>
      <c r="H936" s="10"/>
      <c r="I936" s="10"/>
      <c r="J936" s="10"/>
      <c r="K936" s="71"/>
      <c r="L936" s="27"/>
      <c r="M936" s="10"/>
      <c r="N936" s="10"/>
      <c r="O936" s="59"/>
      <c r="P936" s="1"/>
      <c r="Q936" s="1"/>
      <c r="R936" s="1"/>
      <c r="S936" s="1"/>
      <c r="T936" s="1"/>
      <c r="U936" s="1"/>
      <c r="V936" s="1"/>
      <c r="W936" s="1"/>
      <c r="X936" s="1"/>
      <c r="Y936" s="1"/>
      <c r="Z936" s="1"/>
      <c r="AA936" s="1"/>
    </row>
    <row r="937" spans="1:27" ht="12.75" hidden="1" customHeight="1">
      <c r="A937" s="1"/>
      <c r="B937" s="10"/>
      <c r="C937" s="10"/>
      <c r="D937" s="26"/>
      <c r="E937" s="10"/>
      <c r="F937" s="10"/>
      <c r="G937" s="71"/>
      <c r="H937" s="10"/>
      <c r="I937" s="10"/>
      <c r="J937" s="10"/>
      <c r="K937" s="71"/>
      <c r="L937" s="27"/>
      <c r="M937" s="10"/>
      <c r="N937" s="10"/>
      <c r="O937" s="59"/>
      <c r="P937" s="1"/>
      <c r="Q937" s="1"/>
      <c r="R937" s="1"/>
      <c r="S937" s="1"/>
      <c r="T937" s="1"/>
      <c r="U937" s="1"/>
      <c r="V937" s="1"/>
      <c r="W937" s="1"/>
      <c r="X937" s="1"/>
      <c r="Y937" s="1"/>
      <c r="Z937" s="1"/>
      <c r="AA937" s="1"/>
    </row>
    <row r="938" spans="1:27" ht="12.75" hidden="1" customHeight="1">
      <c r="A938" s="1"/>
      <c r="B938" s="10"/>
      <c r="C938" s="10"/>
      <c r="D938" s="26"/>
      <c r="E938" s="10"/>
      <c r="F938" s="10"/>
      <c r="G938" s="71"/>
      <c r="H938" s="10"/>
      <c r="I938" s="10"/>
      <c r="J938" s="10"/>
      <c r="K938" s="71"/>
      <c r="L938" s="27"/>
      <c r="M938" s="10"/>
      <c r="N938" s="10"/>
      <c r="O938" s="59"/>
      <c r="P938" s="1"/>
      <c r="Q938" s="1"/>
      <c r="R938" s="1"/>
      <c r="S938" s="1"/>
      <c r="T938" s="1"/>
      <c r="U938" s="1"/>
      <c r="V938" s="1"/>
      <c r="W938" s="1"/>
      <c r="X938" s="1"/>
      <c r="Y938" s="1"/>
      <c r="Z938" s="1"/>
      <c r="AA938" s="1"/>
    </row>
    <row r="939" spans="1:27" ht="12.75" hidden="1" customHeight="1">
      <c r="A939" s="1"/>
      <c r="B939" s="10"/>
      <c r="C939" s="10"/>
      <c r="D939" s="26"/>
      <c r="E939" s="10"/>
      <c r="F939" s="10"/>
      <c r="G939" s="71"/>
      <c r="H939" s="10"/>
      <c r="I939" s="10"/>
      <c r="J939" s="10"/>
      <c r="K939" s="71"/>
      <c r="L939" s="27"/>
      <c r="M939" s="10"/>
      <c r="N939" s="10"/>
      <c r="O939" s="59"/>
      <c r="P939" s="1"/>
      <c r="Q939" s="1"/>
      <c r="R939" s="1"/>
      <c r="S939" s="1"/>
      <c r="T939" s="1"/>
      <c r="U939" s="1"/>
      <c r="V939" s="1"/>
      <c r="W939" s="1"/>
      <c r="X939" s="1"/>
      <c r="Y939" s="1"/>
      <c r="Z939" s="1"/>
      <c r="AA939" s="1"/>
    </row>
    <row r="940" spans="1:27" ht="12.75" hidden="1" customHeight="1">
      <c r="A940" s="1"/>
      <c r="B940" s="10"/>
      <c r="C940" s="10"/>
      <c r="D940" s="26"/>
      <c r="E940" s="10"/>
      <c r="F940" s="10"/>
      <c r="G940" s="71"/>
      <c r="H940" s="10"/>
      <c r="I940" s="10"/>
      <c r="J940" s="10"/>
      <c r="K940" s="71"/>
      <c r="L940" s="27"/>
      <c r="M940" s="10"/>
      <c r="N940" s="10"/>
      <c r="O940" s="59"/>
      <c r="P940" s="1"/>
      <c r="Q940" s="1"/>
      <c r="R940" s="1"/>
      <c r="S940" s="1"/>
      <c r="T940" s="1"/>
      <c r="U940" s="1"/>
      <c r="V940" s="1"/>
      <c r="W940" s="1"/>
      <c r="X940" s="1"/>
      <c r="Y940" s="1"/>
      <c r="Z940" s="1"/>
      <c r="AA940" s="1"/>
    </row>
    <row r="941" spans="1:27" ht="12.75" hidden="1" customHeight="1">
      <c r="A941" s="1"/>
      <c r="B941" s="10"/>
      <c r="C941" s="10"/>
      <c r="D941" s="26"/>
      <c r="E941" s="10"/>
      <c r="F941" s="10"/>
      <c r="G941" s="71"/>
      <c r="H941" s="10"/>
      <c r="I941" s="10"/>
      <c r="J941" s="10"/>
      <c r="K941" s="71"/>
      <c r="L941" s="27"/>
      <c r="M941" s="10"/>
      <c r="N941" s="10"/>
      <c r="O941" s="59"/>
      <c r="P941" s="1"/>
      <c r="Q941" s="1"/>
      <c r="R941" s="1"/>
      <c r="S941" s="1"/>
      <c r="T941" s="1"/>
      <c r="U941" s="1"/>
      <c r="V941" s="1"/>
      <c r="W941" s="1"/>
      <c r="X941" s="1"/>
      <c r="Y941" s="1"/>
      <c r="Z941" s="1"/>
      <c r="AA941" s="1"/>
    </row>
    <row r="942" spans="1:27" ht="12.75" hidden="1" customHeight="1">
      <c r="A942" s="1"/>
      <c r="B942" s="10"/>
      <c r="C942" s="10"/>
      <c r="D942" s="26"/>
      <c r="E942" s="10"/>
      <c r="F942" s="10"/>
      <c r="G942" s="71"/>
      <c r="H942" s="10"/>
      <c r="I942" s="10"/>
      <c r="J942" s="10"/>
      <c r="K942" s="71"/>
      <c r="L942" s="27"/>
      <c r="M942" s="10"/>
      <c r="N942" s="10"/>
      <c r="O942" s="59"/>
      <c r="P942" s="1"/>
      <c r="Q942" s="1"/>
      <c r="R942" s="1"/>
      <c r="S942" s="1"/>
      <c r="T942" s="1"/>
      <c r="U942" s="1"/>
      <c r="V942" s="1"/>
      <c r="W942" s="1"/>
      <c r="X942" s="1"/>
      <c r="Y942" s="1"/>
      <c r="Z942" s="1"/>
      <c r="AA942" s="1"/>
    </row>
    <row r="943" spans="1:27" ht="12.75" hidden="1" customHeight="1">
      <c r="A943" s="1"/>
      <c r="B943" s="10"/>
      <c r="C943" s="10"/>
      <c r="D943" s="26"/>
      <c r="E943" s="10"/>
      <c r="F943" s="10"/>
      <c r="G943" s="71"/>
      <c r="H943" s="10"/>
      <c r="I943" s="10"/>
      <c r="J943" s="10"/>
      <c r="K943" s="71"/>
      <c r="L943" s="27"/>
      <c r="M943" s="10"/>
      <c r="N943" s="10"/>
      <c r="O943" s="59"/>
      <c r="P943" s="1"/>
      <c r="Q943" s="1"/>
      <c r="R943" s="1"/>
      <c r="S943" s="1"/>
      <c r="T943" s="1"/>
      <c r="U943" s="1"/>
      <c r="V943" s="1"/>
      <c r="W943" s="1"/>
      <c r="X943" s="1"/>
      <c r="Y943" s="1"/>
      <c r="Z943" s="1"/>
      <c r="AA943" s="1"/>
    </row>
    <row r="944" spans="1:27" ht="12.75" hidden="1" customHeight="1">
      <c r="A944" s="1"/>
      <c r="B944" s="10"/>
      <c r="C944" s="10"/>
      <c r="D944" s="26"/>
      <c r="E944" s="10"/>
      <c r="F944" s="10"/>
      <c r="G944" s="71"/>
      <c r="H944" s="10"/>
      <c r="I944" s="10"/>
      <c r="J944" s="10"/>
      <c r="K944" s="71"/>
      <c r="L944" s="27"/>
      <c r="M944" s="10"/>
      <c r="N944" s="10"/>
      <c r="O944" s="59"/>
      <c r="P944" s="1"/>
      <c r="Q944" s="1"/>
      <c r="R944" s="1"/>
      <c r="S944" s="1"/>
      <c r="T944" s="1"/>
      <c r="U944" s="1"/>
      <c r="V944" s="1"/>
      <c r="W944" s="1"/>
      <c r="X944" s="1"/>
      <c r="Y944" s="1"/>
      <c r="Z944" s="1"/>
      <c r="AA944" s="1"/>
    </row>
    <row r="945" spans="1:27" ht="12.75" hidden="1" customHeight="1">
      <c r="A945" s="1"/>
      <c r="B945" s="10"/>
      <c r="C945" s="10"/>
      <c r="D945" s="26"/>
      <c r="E945" s="10"/>
      <c r="F945" s="10"/>
      <c r="G945" s="71"/>
      <c r="H945" s="10"/>
      <c r="I945" s="10"/>
      <c r="J945" s="10"/>
      <c r="K945" s="71"/>
      <c r="L945" s="27"/>
      <c r="M945" s="10"/>
      <c r="N945" s="10"/>
      <c r="O945" s="59"/>
      <c r="P945" s="1"/>
      <c r="Q945" s="1"/>
      <c r="R945" s="1"/>
      <c r="S945" s="1"/>
      <c r="T945" s="1"/>
      <c r="U945" s="1"/>
      <c r="V945" s="1"/>
      <c r="W945" s="1"/>
      <c r="X945" s="1"/>
      <c r="Y945" s="1"/>
      <c r="Z945" s="1"/>
      <c r="AA945" s="1"/>
    </row>
    <row r="946" spans="1:27" ht="12.75" hidden="1" customHeight="1">
      <c r="A946" s="1"/>
      <c r="B946" s="10"/>
      <c r="C946" s="10"/>
      <c r="D946" s="26"/>
      <c r="E946" s="10"/>
      <c r="F946" s="10"/>
      <c r="G946" s="71"/>
      <c r="H946" s="10"/>
      <c r="I946" s="10"/>
      <c r="J946" s="10"/>
      <c r="K946" s="71"/>
      <c r="L946" s="27"/>
      <c r="M946" s="10"/>
      <c r="N946" s="10"/>
      <c r="O946" s="59"/>
      <c r="P946" s="1"/>
      <c r="Q946" s="1"/>
      <c r="R946" s="1"/>
      <c r="S946" s="1"/>
      <c r="T946" s="1"/>
      <c r="U946" s="1"/>
      <c r="V946" s="1"/>
      <c r="W946" s="1"/>
      <c r="X946" s="1"/>
      <c r="Y946" s="1"/>
      <c r="Z946" s="1"/>
      <c r="AA946" s="1"/>
    </row>
    <row r="947" spans="1:27" ht="12.75" hidden="1" customHeight="1">
      <c r="A947" s="1"/>
      <c r="B947" s="10"/>
      <c r="C947" s="10"/>
      <c r="D947" s="26"/>
      <c r="E947" s="10"/>
      <c r="F947" s="10"/>
      <c r="G947" s="71"/>
      <c r="H947" s="10"/>
      <c r="I947" s="10"/>
      <c r="J947" s="10"/>
      <c r="K947" s="71"/>
      <c r="L947" s="27"/>
      <c r="M947" s="10"/>
      <c r="N947" s="10"/>
      <c r="O947" s="59"/>
      <c r="P947" s="1"/>
      <c r="Q947" s="1"/>
      <c r="R947" s="1"/>
      <c r="S947" s="1"/>
      <c r="T947" s="1"/>
      <c r="U947" s="1"/>
      <c r="V947" s="1"/>
      <c r="W947" s="1"/>
      <c r="X947" s="1"/>
      <c r="Y947" s="1"/>
      <c r="Z947" s="1"/>
      <c r="AA947" s="1"/>
    </row>
    <row r="948" spans="1:27" ht="12.75" hidden="1" customHeight="1">
      <c r="A948" s="1"/>
      <c r="B948" s="10"/>
      <c r="C948" s="10"/>
      <c r="D948" s="26"/>
      <c r="E948" s="10"/>
      <c r="F948" s="10"/>
      <c r="G948" s="71"/>
      <c r="H948" s="10"/>
      <c r="I948" s="10"/>
      <c r="J948" s="10"/>
      <c r="K948" s="71"/>
      <c r="L948" s="27"/>
      <c r="M948" s="10"/>
      <c r="N948" s="10"/>
      <c r="O948" s="59"/>
      <c r="P948" s="1"/>
      <c r="Q948" s="1"/>
      <c r="R948" s="1"/>
      <c r="S948" s="1"/>
      <c r="T948" s="1"/>
      <c r="U948" s="1"/>
      <c r="V948" s="1"/>
      <c r="W948" s="1"/>
      <c r="X948" s="1"/>
      <c r="Y948" s="1"/>
      <c r="Z948" s="1"/>
      <c r="AA948" s="1"/>
    </row>
    <row r="949" spans="1:27" ht="12.75" hidden="1" customHeight="1">
      <c r="A949" s="1"/>
      <c r="B949" s="10"/>
      <c r="C949" s="10"/>
      <c r="D949" s="26"/>
      <c r="E949" s="10"/>
      <c r="F949" s="10"/>
      <c r="G949" s="71"/>
      <c r="H949" s="10"/>
      <c r="I949" s="10"/>
      <c r="J949" s="10"/>
      <c r="K949" s="71"/>
      <c r="L949" s="27"/>
      <c r="M949" s="10"/>
      <c r="N949" s="10"/>
      <c r="O949" s="59"/>
      <c r="P949" s="1"/>
      <c r="Q949" s="1"/>
      <c r="R949" s="1"/>
      <c r="S949" s="1"/>
      <c r="T949" s="1"/>
      <c r="U949" s="1"/>
      <c r="V949" s="1"/>
      <c r="W949" s="1"/>
      <c r="X949" s="1"/>
      <c r="Y949" s="1"/>
      <c r="Z949" s="1"/>
      <c r="AA949" s="1"/>
    </row>
    <row r="950" spans="1:27" ht="12.75" hidden="1" customHeight="1">
      <c r="A950" s="1"/>
      <c r="B950" s="10"/>
      <c r="C950" s="10"/>
      <c r="D950" s="26"/>
      <c r="E950" s="10"/>
      <c r="F950" s="10"/>
      <c r="G950" s="71"/>
      <c r="H950" s="10"/>
      <c r="I950" s="10"/>
      <c r="J950" s="10"/>
      <c r="K950" s="71"/>
      <c r="L950" s="27"/>
      <c r="M950" s="10"/>
      <c r="N950" s="10"/>
      <c r="O950" s="59"/>
      <c r="P950" s="1"/>
      <c r="Q950" s="1"/>
      <c r="R950" s="1"/>
      <c r="S950" s="1"/>
      <c r="T950" s="1"/>
      <c r="U950" s="1"/>
      <c r="V950" s="1"/>
      <c r="W950" s="1"/>
      <c r="X950" s="1"/>
      <c r="Y950" s="1"/>
      <c r="Z950" s="1"/>
      <c r="AA950" s="1"/>
    </row>
    <row r="951" spans="1:27" ht="12.75" hidden="1" customHeight="1">
      <c r="A951" s="1"/>
      <c r="B951" s="10"/>
      <c r="C951" s="10"/>
      <c r="D951" s="26"/>
      <c r="E951" s="10"/>
      <c r="F951" s="10"/>
      <c r="G951" s="71"/>
      <c r="H951" s="10"/>
      <c r="I951" s="10"/>
      <c r="J951" s="10"/>
      <c r="K951" s="71"/>
      <c r="L951" s="27"/>
      <c r="M951" s="10"/>
      <c r="N951" s="10"/>
      <c r="O951" s="59"/>
      <c r="P951" s="1"/>
      <c r="Q951" s="1"/>
      <c r="R951" s="1"/>
      <c r="S951" s="1"/>
      <c r="T951" s="1"/>
      <c r="U951" s="1"/>
      <c r="V951" s="1"/>
      <c r="W951" s="1"/>
      <c r="X951" s="1"/>
      <c r="Y951" s="1"/>
      <c r="Z951" s="1"/>
      <c r="AA951" s="1"/>
    </row>
    <row r="952" spans="1:27" ht="12.75" hidden="1" customHeight="1">
      <c r="A952" s="1"/>
      <c r="B952" s="10"/>
      <c r="C952" s="10"/>
      <c r="D952" s="26"/>
      <c r="E952" s="10"/>
      <c r="F952" s="10"/>
      <c r="G952" s="71"/>
      <c r="H952" s="10"/>
      <c r="I952" s="10"/>
      <c r="J952" s="10"/>
      <c r="K952" s="71"/>
      <c r="L952" s="27"/>
      <c r="M952" s="10"/>
      <c r="N952" s="10"/>
      <c r="O952" s="59"/>
      <c r="P952" s="1"/>
      <c r="Q952" s="1"/>
      <c r="R952" s="1"/>
      <c r="S952" s="1"/>
      <c r="T952" s="1"/>
      <c r="U952" s="1"/>
      <c r="V952" s="1"/>
      <c r="W952" s="1"/>
      <c r="X952" s="1"/>
      <c r="Y952" s="1"/>
      <c r="Z952" s="1"/>
      <c r="AA952" s="1"/>
    </row>
    <row r="953" spans="1:27" ht="12.75" hidden="1" customHeight="1">
      <c r="A953" s="1"/>
      <c r="B953" s="10"/>
      <c r="C953" s="10"/>
      <c r="D953" s="26"/>
      <c r="E953" s="10"/>
      <c r="F953" s="10"/>
      <c r="G953" s="71"/>
      <c r="H953" s="10"/>
      <c r="I953" s="10"/>
      <c r="J953" s="10"/>
      <c r="K953" s="71"/>
      <c r="L953" s="27"/>
      <c r="M953" s="10"/>
      <c r="N953" s="10"/>
      <c r="O953" s="59"/>
      <c r="P953" s="1"/>
      <c r="Q953" s="1"/>
      <c r="R953" s="1"/>
      <c r="S953" s="1"/>
      <c r="T953" s="1"/>
      <c r="U953" s="1"/>
      <c r="V953" s="1"/>
      <c r="W953" s="1"/>
      <c r="X953" s="1"/>
      <c r="Y953" s="1"/>
      <c r="Z953" s="1"/>
      <c r="AA953" s="1"/>
    </row>
    <row r="954" spans="1:27" ht="12.75" hidden="1" customHeight="1">
      <c r="A954" s="1"/>
      <c r="B954" s="10"/>
      <c r="C954" s="10"/>
      <c r="D954" s="26"/>
      <c r="E954" s="10"/>
      <c r="F954" s="10"/>
      <c r="G954" s="71"/>
      <c r="H954" s="10"/>
      <c r="I954" s="10"/>
      <c r="J954" s="10"/>
      <c r="K954" s="71"/>
      <c r="L954" s="27"/>
      <c r="M954" s="10"/>
      <c r="N954" s="10"/>
      <c r="O954" s="59"/>
      <c r="P954" s="1"/>
      <c r="Q954" s="1"/>
      <c r="R954" s="1"/>
      <c r="S954" s="1"/>
      <c r="T954" s="1"/>
      <c r="U954" s="1"/>
      <c r="V954" s="1"/>
      <c r="W954" s="1"/>
      <c r="X954" s="1"/>
      <c r="Y954" s="1"/>
      <c r="Z954" s="1"/>
      <c r="AA954" s="1"/>
    </row>
    <row r="955" spans="1:27" ht="12.75" hidden="1" customHeight="1">
      <c r="A955" s="1"/>
      <c r="B955" s="10"/>
      <c r="C955" s="10"/>
      <c r="D955" s="26"/>
      <c r="E955" s="10"/>
      <c r="F955" s="10"/>
      <c r="G955" s="71"/>
      <c r="H955" s="10"/>
      <c r="I955" s="10"/>
      <c r="J955" s="10"/>
      <c r="K955" s="71"/>
      <c r="L955" s="27"/>
      <c r="M955" s="10"/>
      <c r="N955" s="10"/>
      <c r="O955" s="59"/>
      <c r="P955" s="1"/>
      <c r="Q955" s="1"/>
      <c r="R955" s="1"/>
      <c r="S955" s="1"/>
      <c r="T955" s="1"/>
      <c r="U955" s="1"/>
      <c r="V955" s="1"/>
      <c r="W955" s="1"/>
      <c r="X955" s="1"/>
      <c r="Y955" s="1"/>
      <c r="Z955" s="1"/>
      <c r="AA955" s="1"/>
    </row>
    <row r="956" spans="1:27" ht="12.75" hidden="1" customHeight="1">
      <c r="A956" s="1"/>
      <c r="B956" s="10"/>
      <c r="C956" s="10"/>
      <c r="D956" s="26"/>
      <c r="E956" s="10"/>
      <c r="F956" s="10"/>
      <c r="G956" s="71"/>
      <c r="H956" s="10"/>
      <c r="I956" s="10"/>
      <c r="J956" s="10"/>
      <c r="K956" s="71"/>
      <c r="L956" s="27"/>
      <c r="M956" s="10"/>
      <c r="N956" s="10"/>
      <c r="O956" s="59"/>
      <c r="P956" s="1"/>
      <c r="Q956" s="1"/>
      <c r="R956" s="1"/>
      <c r="S956" s="1"/>
      <c r="T956" s="1"/>
      <c r="U956" s="1"/>
      <c r="V956" s="1"/>
      <c r="W956" s="1"/>
      <c r="X956" s="1"/>
      <c r="Y956" s="1"/>
      <c r="Z956" s="1"/>
      <c r="AA956" s="1"/>
    </row>
    <row r="957" spans="1:27" ht="12.75" hidden="1" customHeight="1">
      <c r="A957" s="1"/>
      <c r="B957" s="10"/>
      <c r="C957" s="10"/>
      <c r="D957" s="26"/>
      <c r="E957" s="10"/>
      <c r="F957" s="10"/>
      <c r="G957" s="71"/>
      <c r="H957" s="10"/>
      <c r="I957" s="10"/>
      <c r="J957" s="10"/>
      <c r="K957" s="71"/>
      <c r="L957" s="27"/>
      <c r="M957" s="10"/>
      <c r="N957" s="10"/>
      <c r="O957" s="59"/>
      <c r="P957" s="1"/>
      <c r="Q957" s="1"/>
      <c r="R957" s="1"/>
      <c r="S957" s="1"/>
      <c r="T957" s="1"/>
      <c r="U957" s="1"/>
      <c r="V957" s="1"/>
      <c r="W957" s="1"/>
      <c r="X957" s="1"/>
      <c r="Y957" s="1"/>
      <c r="Z957" s="1"/>
      <c r="AA957" s="1"/>
    </row>
    <row r="958" spans="1:27" ht="12.75" hidden="1" customHeight="1">
      <c r="A958" s="1"/>
      <c r="B958" s="10"/>
      <c r="C958" s="10"/>
      <c r="D958" s="26"/>
      <c r="E958" s="10"/>
      <c r="F958" s="10"/>
      <c r="G958" s="71"/>
      <c r="H958" s="10"/>
      <c r="I958" s="10"/>
      <c r="J958" s="10"/>
      <c r="K958" s="71"/>
      <c r="L958" s="27"/>
      <c r="M958" s="10"/>
      <c r="N958" s="10"/>
      <c r="O958" s="59"/>
      <c r="P958" s="1"/>
      <c r="Q958" s="1"/>
      <c r="R958" s="1"/>
      <c r="S958" s="1"/>
      <c r="T958" s="1"/>
      <c r="U958" s="1"/>
      <c r="V958" s="1"/>
      <c r="W958" s="1"/>
      <c r="X958" s="1"/>
      <c r="Y958" s="1"/>
      <c r="Z958" s="1"/>
      <c r="AA958" s="1"/>
    </row>
    <row r="959" spans="1:27" ht="12.75" hidden="1" customHeight="1">
      <c r="A959" s="1"/>
      <c r="B959" s="10"/>
      <c r="C959" s="10"/>
      <c r="D959" s="26"/>
      <c r="E959" s="10"/>
      <c r="F959" s="10"/>
      <c r="G959" s="71"/>
      <c r="H959" s="10"/>
      <c r="I959" s="10"/>
      <c r="J959" s="10"/>
      <c r="K959" s="71"/>
      <c r="L959" s="27"/>
      <c r="M959" s="10"/>
      <c r="N959" s="10"/>
      <c r="O959" s="59"/>
      <c r="P959" s="1"/>
      <c r="Q959" s="1"/>
      <c r="R959" s="1"/>
      <c r="S959" s="1"/>
      <c r="T959" s="1"/>
      <c r="U959" s="1"/>
      <c r="V959" s="1"/>
      <c r="W959" s="1"/>
      <c r="X959" s="1"/>
      <c r="Y959" s="1"/>
      <c r="Z959" s="1"/>
      <c r="AA959" s="1"/>
    </row>
    <row r="960" spans="1:27" ht="12.75" hidden="1" customHeight="1">
      <c r="A960" s="1"/>
      <c r="B960" s="10"/>
      <c r="C960" s="10"/>
      <c r="D960" s="26"/>
      <c r="E960" s="10"/>
      <c r="F960" s="10"/>
      <c r="G960" s="71"/>
      <c r="H960" s="10"/>
      <c r="I960" s="10"/>
      <c r="J960" s="10"/>
      <c r="K960" s="71"/>
      <c r="L960" s="27"/>
      <c r="M960" s="10"/>
      <c r="N960" s="10"/>
      <c r="O960" s="59"/>
      <c r="P960" s="1"/>
      <c r="Q960" s="1"/>
      <c r="R960" s="1"/>
      <c r="S960" s="1"/>
      <c r="T960" s="1"/>
      <c r="U960" s="1"/>
      <c r="V960" s="1"/>
      <c r="W960" s="1"/>
      <c r="X960" s="1"/>
      <c r="Y960" s="1"/>
      <c r="Z960" s="1"/>
      <c r="AA960" s="1"/>
    </row>
    <row r="961" spans="1:27" ht="12.75" hidden="1" customHeight="1">
      <c r="A961" s="1"/>
      <c r="B961" s="10"/>
      <c r="C961" s="10"/>
      <c r="D961" s="26"/>
      <c r="E961" s="10"/>
      <c r="F961" s="10"/>
      <c r="G961" s="71"/>
      <c r="H961" s="10"/>
      <c r="I961" s="10"/>
      <c r="J961" s="10"/>
      <c r="K961" s="71"/>
      <c r="L961" s="27"/>
      <c r="M961" s="10"/>
      <c r="N961" s="10"/>
      <c r="O961" s="59"/>
      <c r="P961" s="1"/>
      <c r="Q961" s="1"/>
      <c r="R961" s="1"/>
      <c r="S961" s="1"/>
      <c r="T961" s="1"/>
      <c r="U961" s="1"/>
      <c r="V961" s="1"/>
      <c r="W961" s="1"/>
      <c r="X961" s="1"/>
      <c r="Y961" s="1"/>
      <c r="Z961" s="1"/>
      <c r="AA961" s="1"/>
    </row>
    <row r="962" spans="1:27" ht="12.75" hidden="1" customHeight="1">
      <c r="A962" s="1"/>
      <c r="B962" s="10"/>
      <c r="C962" s="10"/>
      <c r="D962" s="26"/>
      <c r="E962" s="10"/>
      <c r="F962" s="10"/>
      <c r="G962" s="71"/>
      <c r="H962" s="10"/>
      <c r="I962" s="10"/>
      <c r="J962" s="10"/>
      <c r="K962" s="71"/>
      <c r="L962" s="27"/>
      <c r="M962" s="10"/>
      <c r="N962" s="10"/>
      <c r="O962" s="59"/>
      <c r="P962" s="1"/>
      <c r="Q962" s="1"/>
      <c r="R962" s="1"/>
      <c r="S962" s="1"/>
      <c r="T962" s="1"/>
      <c r="U962" s="1"/>
      <c r="V962" s="1"/>
      <c r="W962" s="1"/>
      <c r="X962" s="1"/>
      <c r="Y962" s="1"/>
      <c r="Z962" s="1"/>
      <c r="AA962" s="1"/>
    </row>
    <row r="963" spans="1:27" ht="12.75" hidden="1" customHeight="1">
      <c r="A963" s="1"/>
      <c r="B963" s="10"/>
      <c r="C963" s="10"/>
      <c r="D963" s="26"/>
      <c r="E963" s="10"/>
      <c r="F963" s="10"/>
      <c r="G963" s="71"/>
      <c r="H963" s="10"/>
      <c r="I963" s="10"/>
      <c r="J963" s="10"/>
      <c r="K963" s="71"/>
      <c r="L963" s="27"/>
      <c r="M963" s="10"/>
      <c r="N963" s="10"/>
      <c r="O963" s="59"/>
      <c r="P963" s="1"/>
      <c r="Q963" s="1"/>
      <c r="R963" s="1"/>
      <c r="S963" s="1"/>
      <c r="T963" s="1"/>
      <c r="U963" s="1"/>
      <c r="V963" s="1"/>
      <c r="W963" s="1"/>
      <c r="X963" s="1"/>
      <c r="Y963" s="1"/>
      <c r="Z963" s="1"/>
      <c r="AA963" s="1"/>
    </row>
    <row r="964" spans="1:27" ht="12.75" hidden="1" customHeight="1">
      <c r="A964" s="1"/>
      <c r="B964" s="10"/>
      <c r="C964" s="10"/>
      <c r="D964" s="26"/>
      <c r="E964" s="10"/>
      <c r="F964" s="10"/>
      <c r="G964" s="71"/>
      <c r="H964" s="10"/>
      <c r="I964" s="10"/>
      <c r="J964" s="10"/>
      <c r="K964" s="71"/>
      <c r="L964" s="27"/>
      <c r="M964" s="10"/>
      <c r="N964" s="10"/>
      <c r="O964" s="59"/>
      <c r="P964" s="1"/>
      <c r="Q964" s="1"/>
      <c r="R964" s="1"/>
      <c r="S964" s="1"/>
      <c r="T964" s="1"/>
      <c r="U964" s="1"/>
      <c r="V964" s="1"/>
      <c r="W964" s="1"/>
      <c r="X964" s="1"/>
      <c r="Y964" s="1"/>
      <c r="Z964" s="1"/>
      <c r="AA964" s="1"/>
    </row>
    <row r="965" spans="1:27" ht="12.75" hidden="1" customHeight="1">
      <c r="A965" s="1"/>
      <c r="B965" s="10"/>
      <c r="C965" s="10"/>
      <c r="D965" s="26"/>
      <c r="E965" s="10"/>
      <c r="F965" s="10"/>
      <c r="G965" s="71"/>
      <c r="H965" s="10"/>
      <c r="I965" s="10"/>
      <c r="J965" s="10"/>
      <c r="K965" s="71"/>
      <c r="L965" s="27"/>
      <c r="M965" s="10"/>
      <c r="N965" s="10"/>
      <c r="O965" s="59"/>
      <c r="P965" s="1"/>
      <c r="Q965" s="1"/>
      <c r="R965" s="1"/>
      <c r="S965" s="1"/>
      <c r="T965" s="1"/>
      <c r="U965" s="1"/>
      <c r="V965" s="1"/>
      <c r="W965" s="1"/>
      <c r="X965" s="1"/>
      <c r="Y965" s="1"/>
      <c r="Z965" s="1"/>
      <c r="AA965" s="1"/>
    </row>
    <row r="966" spans="1:27" ht="12.75" hidden="1" customHeight="1">
      <c r="A966" s="1"/>
      <c r="B966" s="10"/>
      <c r="C966" s="10"/>
      <c r="D966" s="26"/>
      <c r="E966" s="10"/>
      <c r="F966" s="10"/>
      <c r="G966" s="71"/>
      <c r="H966" s="10"/>
      <c r="I966" s="10"/>
      <c r="J966" s="10"/>
      <c r="K966" s="71"/>
      <c r="L966" s="27"/>
      <c r="M966" s="10"/>
      <c r="N966" s="10"/>
      <c r="O966" s="59"/>
      <c r="P966" s="1"/>
      <c r="Q966" s="1"/>
      <c r="R966" s="1"/>
      <c r="S966" s="1"/>
      <c r="T966" s="1"/>
      <c r="U966" s="1"/>
      <c r="V966" s="1"/>
      <c r="W966" s="1"/>
      <c r="X966" s="1"/>
      <c r="Y966" s="1"/>
      <c r="Z966" s="1"/>
      <c r="AA966" s="1"/>
    </row>
    <row r="967" spans="1:27" ht="12.75" hidden="1" customHeight="1">
      <c r="A967" s="1"/>
      <c r="B967" s="10"/>
      <c r="C967" s="10"/>
      <c r="D967" s="26"/>
      <c r="E967" s="10"/>
      <c r="F967" s="10"/>
      <c r="G967" s="71"/>
      <c r="H967" s="10"/>
      <c r="I967" s="10"/>
      <c r="J967" s="10"/>
      <c r="K967" s="71"/>
      <c r="L967" s="27"/>
      <c r="M967" s="10"/>
      <c r="N967" s="10"/>
      <c r="O967" s="59"/>
      <c r="P967" s="1"/>
      <c r="Q967" s="1"/>
      <c r="R967" s="1"/>
      <c r="S967" s="1"/>
      <c r="T967" s="1"/>
      <c r="U967" s="1"/>
      <c r="V967" s="1"/>
      <c r="W967" s="1"/>
      <c r="X967" s="1"/>
      <c r="Y967" s="1"/>
      <c r="Z967" s="1"/>
      <c r="AA967" s="1"/>
    </row>
    <row r="968" spans="1:27" ht="12.75" hidden="1" customHeight="1">
      <c r="A968" s="1"/>
      <c r="B968" s="10"/>
      <c r="C968" s="10"/>
      <c r="D968" s="26"/>
      <c r="E968" s="10"/>
      <c r="F968" s="10"/>
      <c r="G968" s="71"/>
      <c r="H968" s="10"/>
      <c r="I968" s="10"/>
      <c r="J968" s="10"/>
      <c r="K968" s="71"/>
      <c r="L968" s="27"/>
      <c r="M968" s="10"/>
      <c r="N968" s="10"/>
      <c r="O968" s="59"/>
      <c r="P968" s="1"/>
      <c r="Q968" s="1"/>
      <c r="R968" s="1"/>
      <c r="S968" s="1"/>
      <c r="T968" s="1"/>
      <c r="U968" s="1"/>
      <c r="V968" s="1"/>
      <c r="W968" s="1"/>
      <c r="X968" s="1"/>
      <c r="Y968" s="1"/>
      <c r="Z968" s="1"/>
      <c r="AA968" s="1"/>
    </row>
    <row r="969" spans="1:27" ht="12.75" hidden="1" customHeight="1">
      <c r="A969" s="1"/>
      <c r="B969" s="10"/>
      <c r="C969" s="10"/>
      <c r="D969" s="26"/>
      <c r="E969" s="10"/>
      <c r="F969" s="10"/>
      <c r="G969" s="71"/>
      <c r="H969" s="10"/>
      <c r="I969" s="10"/>
      <c r="J969" s="10"/>
      <c r="K969" s="71"/>
      <c r="L969" s="27"/>
      <c r="M969" s="10"/>
      <c r="N969" s="10"/>
      <c r="O969" s="59"/>
      <c r="P969" s="1"/>
      <c r="Q969" s="1"/>
      <c r="R969" s="1"/>
      <c r="S969" s="1"/>
      <c r="T969" s="1"/>
      <c r="U969" s="1"/>
      <c r="V969" s="1"/>
      <c r="W969" s="1"/>
      <c r="X969" s="1"/>
      <c r="Y969" s="1"/>
      <c r="Z969" s="1"/>
      <c r="AA969" s="1"/>
    </row>
    <row r="970" spans="1:27" ht="12.75" hidden="1" customHeight="1">
      <c r="A970" s="1"/>
      <c r="B970" s="10"/>
      <c r="C970" s="10"/>
      <c r="D970" s="26"/>
      <c r="E970" s="10"/>
      <c r="F970" s="10"/>
      <c r="G970" s="71"/>
      <c r="H970" s="10"/>
      <c r="I970" s="10"/>
      <c r="J970" s="10"/>
      <c r="K970" s="71"/>
      <c r="L970" s="27"/>
      <c r="M970" s="10"/>
      <c r="N970" s="10"/>
      <c r="O970" s="59"/>
      <c r="P970" s="1"/>
      <c r="Q970" s="1"/>
      <c r="R970" s="1"/>
      <c r="S970" s="1"/>
      <c r="T970" s="1"/>
      <c r="U970" s="1"/>
      <c r="V970" s="1"/>
      <c r="W970" s="1"/>
      <c r="X970" s="1"/>
      <c r="Y970" s="1"/>
      <c r="Z970" s="1"/>
      <c r="AA970" s="1"/>
    </row>
    <row r="971" spans="1:27" ht="12.75" hidden="1" customHeight="1">
      <c r="A971" s="1"/>
      <c r="B971" s="10"/>
      <c r="C971" s="10"/>
      <c r="D971" s="26"/>
      <c r="E971" s="10"/>
      <c r="F971" s="10"/>
      <c r="G971" s="71"/>
      <c r="H971" s="10"/>
      <c r="I971" s="10"/>
      <c r="J971" s="10"/>
      <c r="K971" s="71"/>
      <c r="L971" s="27"/>
      <c r="M971" s="10"/>
      <c r="N971" s="10"/>
      <c r="O971" s="59"/>
      <c r="P971" s="1"/>
      <c r="Q971" s="1"/>
      <c r="R971" s="1"/>
      <c r="S971" s="1"/>
      <c r="T971" s="1"/>
      <c r="U971" s="1"/>
      <c r="V971" s="1"/>
      <c r="W971" s="1"/>
      <c r="X971" s="1"/>
      <c r="Y971" s="1"/>
      <c r="Z971" s="1"/>
      <c r="AA971" s="1"/>
    </row>
    <row r="972" spans="1:27" ht="12.75" hidden="1" customHeight="1">
      <c r="A972" s="1"/>
      <c r="B972" s="10"/>
      <c r="C972" s="10"/>
      <c r="D972" s="26"/>
      <c r="E972" s="10"/>
      <c r="F972" s="10"/>
      <c r="G972" s="71"/>
      <c r="H972" s="10"/>
      <c r="I972" s="10"/>
      <c r="J972" s="10"/>
      <c r="K972" s="71"/>
      <c r="L972" s="27"/>
      <c r="M972" s="10"/>
      <c r="N972" s="10"/>
      <c r="O972" s="59"/>
      <c r="P972" s="1"/>
      <c r="Q972" s="1"/>
      <c r="R972" s="1"/>
      <c r="S972" s="1"/>
      <c r="T972" s="1"/>
      <c r="U972" s="1"/>
      <c r="V972" s="1"/>
      <c r="W972" s="1"/>
      <c r="X972" s="1"/>
      <c r="Y972" s="1"/>
      <c r="Z972" s="1"/>
      <c r="AA972" s="1"/>
    </row>
    <row r="973" spans="1:27" ht="12.75" hidden="1" customHeight="1">
      <c r="A973" s="1"/>
      <c r="B973" s="10"/>
      <c r="C973" s="10"/>
      <c r="D973" s="26"/>
      <c r="E973" s="10"/>
      <c r="F973" s="10"/>
      <c r="G973" s="71"/>
      <c r="H973" s="10"/>
      <c r="I973" s="10"/>
      <c r="J973" s="10"/>
      <c r="K973" s="71"/>
      <c r="L973" s="27"/>
      <c r="M973" s="10"/>
      <c r="N973" s="10"/>
      <c r="O973" s="59"/>
      <c r="P973" s="1"/>
      <c r="Q973" s="1"/>
      <c r="R973" s="1"/>
      <c r="S973" s="1"/>
      <c r="T973" s="1"/>
      <c r="U973" s="1"/>
      <c r="V973" s="1"/>
      <c r="W973" s="1"/>
      <c r="X973" s="1"/>
      <c r="Y973" s="1"/>
      <c r="Z973" s="1"/>
      <c r="AA973" s="1"/>
    </row>
    <row r="974" spans="1:27" ht="12.75" hidden="1" customHeight="1">
      <c r="A974" s="1"/>
      <c r="B974" s="10"/>
      <c r="C974" s="10"/>
      <c r="D974" s="26"/>
      <c r="E974" s="10"/>
      <c r="F974" s="10"/>
      <c r="G974" s="71"/>
      <c r="H974" s="10"/>
      <c r="I974" s="10"/>
      <c r="J974" s="10"/>
      <c r="K974" s="71"/>
      <c r="L974" s="27"/>
      <c r="M974" s="10"/>
      <c r="N974" s="10"/>
      <c r="O974" s="59"/>
      <c r="P974" s="1"/>
      <c r="Q974" s="1"/>
      <c r="R974" s="1"/>
      <c r="S974" s="1"/>
      <c r="T974" s="1"/>
      <c r="U974" s="1"/>
      <c r="V974" s="1"/>
      <c r="W974" s="1"/>
      <c r="X974" s="1"/>
      <c r="Y974" s="1"/>
      <c r="Z974" s="1"/>
      <c r="AA974" s="1"/>
    </row>
    <row r="975" spans="1:27" ht="12.75" hidden="1" customHeight="1">
      <c r="A975" s="1"/>
      <c r="B975" s="10"/>
      <c r="C975" s="10"/>
      <c r="D975" s="26"/>
      <c r="E975" s="10"/>
      <c r="F975" s="10"/>
      <c r="G975" s="71"/>
      <c r="H975" s="10"/>
      <c r="I975" s="10"/>
      <c r="J975" s="10"/>
      <c r="K975" s="71"/>
      <c r="L975" s="27"/>
      <c r="M975" s="10"/>
      <c r="N975" s="10"/>
      <c r="O975" s="59"/>
      <c r="P975" s="1"/>
      <c r="Q975" s="1"/>
      <c r="R975" s="1"/>
      <c r="S975" s="1"/>
      <c r="T975" s="1"/>
      <c r="U975" s="1"/>
      <c r="V975" s="1"/>
      <c r="W975" s="1"/>
      <c r="X975" s="1"/>
      <c r="Y975" s="1"/>
      <c r="Z975" s="1"/>
      <c r="AA975" s="1"/>
    </row>
    <row r="976" spans="1:27" ht="12.75" hidden="1" customHeight="1">
      <c r="A976" s="1"/>
      <c r="B976" s="10"/>
      <c r="C976" s="10"/>
      <c r="D976" s="26"/>
      <c r="E976" s="10"/>
      <c r="F976" s="10"/>
      <c r="G976" s="71"/>
      <c r="H976" s="10"/>
      <c r="I976" s="10"/>
      <c r="J976" s="10"/>
      <c r="K976" s="71"/>
      <c r="L976" s="27"/>
      <c r="M976" s="10"/>
      <c r="N976" s="10"/>
      <c r="O976" s="59"/>
      <c r="P976" s="1"/>
      <c r="Q976" s="1"/>
      <c r="R976" s="1"/>
      <c r="S976" s="1"/>
      <c r="T976" s="1"/>
      <c r="U976" s="1"/>
      <c r="V976" s="1"/>
      <c r="W976" s="1"/>
      <c r="X976" s="1"/>
      <c r="Y976" s="1"/>
      <c r="Z976" s="1"/>
      <c r="AA976" s="1"/>
    </row>
    <row r="977" spans="1:27" ht="12.75" hidden="1" customHeight="1">
      <c r="A977" s="1"/>
      <c r="B977" s="10"/>
      <c r="C977" s="10"/>
      <c r="D977" s="26"/>
      <c r="E977" s="10"/>
      <c r="F977" s="10"/>
      <c r="G977" s="71"/>
      <c r="H977" s="10"/>
      <c r="I977" s="10"/>
      <c r="J977" s="10"/>
      <c r="K977" s="71"/>
      <c r="L977" s="27"/>
      <c r="M977" s="10"/>
      <c r="N977" s="10"/>
      <c r="O977" s="59"/>
      <c r="P977" s="1"/>
      <c r="Q977" s="1"/>
      <c r="R977" s="1"/>
      <c r="S977" s="1"/>
      <c r="T977" s="1"/>
      <c r="U977" s="1"/>
      <c r="V977" s="1"/>
      <c r="W977" s="1"/>
      <c r="X977" s="1"/>
      <c r="Y977" s="1"/>
      <c r="Z977" s="1"/>
      <c r="AA977" s="1"/>
    </row>
    <row r="978" spans="1:27" ht="12.75" hidden="1" customHeight="1">
      <c r="A978" s="1"/>
      <c r="B978" s="10"/>
      <c r="C978" s="10"/>
      <c r="D978" s="26"/>
      <c r="E978" s="10"/>
      <c r="F978" s="10"/>
      <c r="G978" s="71"/>
      <c r="H978" s="10"/>
      <c r="I978" s="10"/>
      <c r="J978" s="10"/>
      <c r="K978" s="71"/>
      <c r="L978" s="27"/>
      <c r="M978" s="10"/>
      <c r="N978" s="10"/>
      <c r="O978" s="59"/>
      <c r="P978" s="1"/>
      <c r="Q978" s="1"/>
      <c r="R978" s="1"/>
      <c r="S978" s="1"/>
      <c r="T978" s="1"/>
      <c r="U978" s="1"/>
      <c r="V978" s="1"/>
      <c r="W978" s="1"/>
      <c r="X978" s="1"/>
      <c r="Y978" s="1"/>
      <c r="Z978" s="1"/>
      <c r="AA978" s="1"/>
    </row>
    <row r="979" spans="1:27" ht="12.75" hidden="1" customHeight="1">
      <c r="A979" s="1"/>
      <c r="B979" s="10"/>
      <c r="C979" s="10"/>
      <c r="D979" s="26"/>
      <c r="E979" s="10"/>
      <c r="F979" s="10"/>
      <c r="G979" s="71"/>
      <c r="H979" s="10"/>
      <c r="I979" s="10"/>
      <c r="J979" s="10"/>
      <c r="K979" s="71"/>
      <c r="L979" s="27"/>
      <c r="M979" s="10"/>
      <c r="N979" s="10"/>
      <c r="O979" s="59"/>
      <c r="P979" s="1"/>
      <c r="Q979" s="1"/>
      <c r="R979" s="1"/>
      <c r="S979" s="1"/>
      <c r="T979" s="1"/>
      <c r="U979" s="1"/>
      <c r="V979" s="1"/>
      <c r="W979" s="1"/>
      <c r="X979" s="1"/>
      <c r="Y979" s="1"/>
      <c r="Z979" s="1"/>
      <c r="AA979" s="1"/>
    </row>
    <row r="980" spans="1:27" ht="12.75" hidden="1" customHeight="1">
      <c r="A980" s="1"/>
      <c r="B980" s="10"/>
      <c r="C980" s="10"/>
      <c r="D980" s="26"/>
      <c r="E980" s="10"/>
      <c r="F980" s="10"/>
      <c r="G980" s="71"/>
      <c r="H980" s="10"/>
      <c r="I980" s="10"/>
      <c r="J980" s="10"/>
      <c r="K980" s="71"/>
      <c r="L980" s="27"/>
      <c r="M980" s="10"/>
      <c r="N980" s="10"/>
      <c r="O980" s="59"/>
      <c r="P980" s="1"/>
      <c r="Q980" s="1"/>
      <c r="R980" s="1"/>
      <c r="S980" s="1"/>
      <c r="T980" s="1"/>
      <c r="U980" s="1"/>
      <c r="V980" s="1"/>
      <c r="W980" s="1"/>
      <c r="X980" s="1"/>
      <c r="Y980" s="1"/>
      <c r="Z980" s="1"/>
      <c r="AA980" s="1"/>
    </row>
    <row r="981" spans="1:27" ht="12.75" hidden="1" customHeight="1">
      <c r="A981" s="1"/>
      <c r="B981" s="10"/>
      <c r="C981" s="10"/>
      <c r="D981" s="26"/>
      <c r="E981" s="10"/>
      <c r="F981" s="10"/>
      <c r="G981" s="71"/>
      <c r="H981" s="10"/>
      <c r="I981" s="10"/>
      <c r="J981" s="10"/>
      <c r="K981" s="71"/>
      <c r="L981" s="27"/>
      <c r="M981" s="10"/>
      <c r="N981" s="10"/>
      <c r="O981" s="59"/>
      <c r="P981" s="1"/>
      <c r="Q981" s="1"/>
      <c r="R981" s="1"/>
      <c r="S981" s="1"/>
      <c r="T981" s="1"/>
      <c r="U981" s="1"/>
      <c r="V981" s="1"/>
      <c r="W981" s="1"/>
      <c r="X981" s="1"/>
      <c r="Y981" s="1"/>
      <c r="Z981" s="1"/>
      <c r="AA981" s="1"/>
    </row>
    <row r="982" spans="1:27" ht="12.75" hidden="1" customHeight="1">
      <c r="A982" s="1"/>
      <c r="B982" s="10"/>
      <c r="C982" s="10"/>
      <c r="D982" s="26"/>
      <c r="E982" s="10"/>
      <c r="F982" s="10"/>
      <c r="G982" s="71"/>
      <c r="H982" s="10"/>
      <c r="I982" s="10"/>
      <c r="J982" s="10"/>
      <c r="K982" s="71"/>
      <c r="L982" s="27"/>
      <c r="M982" s="10"/>
      <c r="N982" s="10"/>
      <c r="O982" s="59"/>
      <c r="P982" s="1"/>
      <c r="Q982" s="1"/>
      <c r="R982" s="1"/>
      <c r="S982" s="1"/>
      <c r="T982" s="1"/>
      <c r="U982" s="1"/>
      <c r="V982" s="1"/>
      <c r="W982" s="1"/>
      <c r="X982" s="1"/>
      <c r="Y982" s="1"/>
      <c r="Z982" s="1"/>
      <c r="AA982" s="1"/>
    </row>
    <row r="983" spans="1:27" ht="12.75" hidden="1" customHeight="1">
      <c r="A983" s="1"/>
      <c r="B983" s="10"/>
      <c r="C983" s="10"/>
      <c r="D983" s="26"/>
      <c r="E983" s="10"/>
      <c r="F983" s="10"/>
      <c r="G983" s="71"/>
      <c r="H983" s="10"/>
      <c r="I983" s="10"/>
      <c r="J983" s="10"/>
      <c r="K983" s="71"/>
      <c r="L983" s="27"/>
      <c r="M983" s="10"/>
      <c r="N983" s="10"/>
      <c r="O983" s="59"/>
      <c r="P983" s="1"/>
      <c r="Q983" s="1"/>
      <c r="R983" s="1"/>
      <c r="S983" s="1"/>
      <c r="T983" s="1"/>
      <c r="U983" s="1"/>
      <c r="V983" s="1"/>
      <c r="W983" s="1"/>
      <c r="X983" s="1"/>
      <c r="Y983" s="1"/>
      <c r="Z983" s="1"/>
      <c r="AA983" s="1"/>
    </row>
    <row r="984" spans="1:27" ht="12.75" hidden="1" customHeight="1">
      <c r="A984" s="1"/>
      <c r="B984" s="10"/>
      <c r="C984" s="10"/>
      <c r="D984" s="26"/>
      <c r="E984" s="10"/>
      <c r="F984" s="10"/>
      <c r="G984" s="71"/>
      <c r="H984" s="10"/>
      <c r="I984" s="10"/>
      <c r="J984" s="10"/>
      <c r="K984" s="71"/>
      <c r="L984" s="27"/>
      <c r="M984" s="10"/>
      <c r="N984" s="10"/>
      <c r="O984" s="59"/>
      <c r="P984" s="1"/>
      <c r="Q984" s="1"/>
      <c r="R984" s="1"/>
      <c r="S984" s="1"/>
      <c r="T984" s="1"/>
      <c r="U984" s="1"/>
      <c r="V984" s="1"/>
      <c r="W984" s="1"/>
      <c r="X984" s="1"/>
      <c r="Y984" s="1"/>
      <c r="Z984" s="1"/>
      <c r="AA984" s="1"/>
    </row>
    <row r="985" spans="1:27" ht="12.75" hidden="1" customHeight="1">
      <c r="A985" s="1"/>
      <c r="B985" s="10"/>
      <c r="C985" s="10"/>
      <c r="D985" s="26"/>
      <c r="E985" s="10"/>
      <c r="F985" s="10"/>
      <c r="G985" s="71"/>
      <c r="H985" s="10"/>
      <c r="I985" s="10"/>
      <c r="J985" s="10"/>
      <c r="K985" s="71"/>
      <c r="L985" s="27"/>
      <c r="M985" s="10"/>
      <c r="N985" s="10"/>
      <c r="O985" s="59"/>
      <c r="P985" s="1"/>
      <c r="Q985" s="1"/>
      <c r="R985" s="1"/>
      <c r="S985" s="1"/>
      <c r="T985" s="1"/>
      <c r="U985" s="1"/>
      <c r="V985" s="1"/>
      <c r="W985" s="1"/>
      <c r="X985" s="1"/>
      <c r="Y985" s="1"/>
      <c r="Z985" s="1"/>
      <c r="AA985" s="1"/>
    </row>
    <row r="986" spans="1:27" ht="12.75" hidden="1" customHeight="1">
      <c r="A986" s="1"/>
      <c r="B986" s="10"/>
      <c r="C986" s="10"/>
      <c r="D986" s="26"/>
      <c r="E986" s="10"/>
      <c r="F986" s="10"/>
      <c r="G986" s="71"/>
      <c r="H986" s="10"/>
      <c r="I986" s="10"/>
      <c r="J986" s="10"/>
      <c r="K986" s="71"/>
      <c r="L986" s="27"/>
      <c r="M986" s="10"/>
      <c r="N986" s="10"/>
      <c r="O986" s="59"/>
      <c r="P986" s="1"/>
      <c r="Q986" s="1"/>
      <c r="R986" s="1"/>
      <c r="S986" s="1"/>
      <c r="T986" s="1"/>
      <c r="U986" s="1"/>
      <c r="V986" s="1"/>
      <c r="W986" s="1"/>
      <c r="X986" s="1"/>
      <c r="Y986" s="1"/>
      <c r="Z986" s="1"/>
      <c r="AA986" s="1"/>
    </row>
    <row r="987" spans="1:27" ht="12.75" hidden="1" customHeight="1">
      <c r="A987" s="1"/>
      <c r="B987" s="10"/>
      <c r="C987" s="10"/>
      <c r="D987" s="26"/>
      <c r="E987" s="10"/>
      <c r="F987" s="10"/>
      <c r="G987" s="71"/>
      <c r="H987" s="10"/>
      <c r="I987" s="10"/>
      <c r="J987" s="10"/>
      <c r="K987" s="71"/>
      <c r="L987" s="27"/>
      <c r="M987" s="10"/>
      <c r="N987" s="10"/>
      <c r="O987" s="59"/>
      <c r="P987" s="1"/>
      <c r="Q987" s="1"/>
      <c r="R987" s="1"/>
      <c r="S987" s="1"/>
      <c r="T987" s="1"/>
      <c r="U987" s="1"/>
      <c r="V987" s="1"/>
      <c r="W987" s="1"/>
      <c r="X987" s="1"/>
      <c r="Y987" s="1"/>
      <c r="Z987" s="1"/>
      <c r="AA987" s="1"/>
    </row>
    <row r="988" spans="1:27" ht="12.75" hidden="1" customHeight="1">
      <c r="A988" s="1"/>
      <c r="B988" s="10"/>
      <c r="C988" s="10"/>
      <c r="D988" s="26"/>
      <c r="E988" s="10"/>
      <c r="F988" s="10"/>
      <c r="G988" s="71"/>
      <c r="H988" s="10"/>
      <c r="I988" s="10"/>
      <c r="J988" s="10"/>
      <c r="K988" s="71"/>
      <c r="L988" s="27"/>
      <c r="M988" s="10"/>
      <c r="N988" s="10"/>
      <c r="O988" s="59"/>
      <c r="P988" s="1"/>
      <c r="Q988" s="1"/>
      <c r="R988" s="1"/>
      <c r="S988" s="1"/>
      <c r="T988" s="1"/>
      <c r="U988" s="1"/>
      <c r="V988" s="1"/>
      <c r="W988" s="1"/>
      <c r="X988" s="1"/>
      <c r="Y988" s="1"/>
      <c r="Z988" s="1"/>
      <c r="AA988" s="1"/>
    </row>
    <row r="989" spans="1:27" ht="12.75" hidden="1" customHeight="1">
      <c r="A989" s="1"/>
      <c r="B989" s="10"/>
      <c r="C989" s="10"/>
      <c r="D989" s="26"/>
      <c r="E989" s="10"/>
      <c r="F989" s="10"/>
      <c r="G989" s="71"/>
      <c r="H989" s="10"/>
      <c r="I989" s="10"/>
      <c r="J989" s="10"/>
      <c r="K989" s="71"/>
      <c r="L989" s="27"/>
      <c r="M989" s="10"/>
      <c r="N989" s="10"/>
      <c r="O989" s="59"/>
      <c r="P989" s="1"/>
      <c r="Q989" s="1"/>
      <c r="R989" s="1"/>
      <c r="S989" s="1"/>
      <c r="T989" s="1"/>
      <c r="U989" s="1"/>
      <c r="V989" s="1"/>
      <c r="W989" s="1"/>
      <c r="X989" s="1"/>
      <c r="Y989" s="1"/>
      <c r="Z989" s="1"/>
      <c r="AA989" s="1"/>
    </row>
    <row r="990" spans="1:27" ht="12.75" hidden="1" customHeight="1">
      <c r="A990" s="1"/>
      <c r="B990" s="10"/>
      <c r="C990" s="10"/>
      <c r="D990" s="26"/>
      <c r="E990" s="10"/>
      <c r="F990" s="10"/>
      <c r="G990" s="71"/>
      <c r="H990" s="10"/>
      <c r="I990" s="10"/>
      <c r="J990" s="10"/>
      <c r="K990" s="71"/>
      <c r="L990" s="27"/>
      <c r="M990" s="10"/>
      <c r="N990" s="10"/>
      <c r="O990" s="59"/>
      <c r="P990" s="1"/>
      <c r="Q990" s="1"/>
      <c r="R990" s="1"/>
      <c r="S990" s="1"/>
      <c r="T990" s="1"/>
      <c r="U990" s="1"/>
      <c r="V990" s="1"/>
      <c r="W990" s="1"/>
      <c r="X990" s="1"/>
      <c r="Y990" s="1"/>
      <c r="Z990" s="1"/>
      <c r="AA990" s="1"/>
    </row>
    <row r="991" spans="1:27" ht="12.75" hidden="1" customHeight="1">
      <c r="A991" s="1"/>
      <c r="B991" s="10"/>
      <c r="C991" s="10"/>
      <c r="D991" s="26"/>
      <c r="E991" s="10"/>
      <c r="F991" s="10"/>
      <c r="G991" s="71"/>
      <c r="H991" s="10"/>
      <c r="I991" s="10"/>
      <c r="J991" s="10"/>
      <c r="K991" s="71"/>
      <c r="L991" s="27"/>
      <c r="M991" s="10"/>
      <c r="N991" s="10"/>
      <c r="O991" s="59"/>
      <c r="P991" s="1"/>
      <c r="Q991" s="1"/>
      <c r="R991" s="1"/>
      <c r="S991" s="1"/>
      <c r="T991" s="1"/>
      <c r="U991" s="1"/>
      <c r="V991" s="1"/>
      <c r="W991" s="1"/>
      <c r="X991" s="1"/>
      <c r="Y991" s="1"/>
      <c r="Z991" s="1"/>
      <c r="AA991" s="1"/>
    </row>
    <row r="992" spans="1:27" ht="12.75" hidden="1" customHeight="1">
      <c r="A992" s="1"/>
      <c r="B992" s="10"/>
      <c r="C992" s="10"/>
      <c r="D992" s="26"/>
      <c r="E992" s="10"/>
      <c r="F992" s="10"/>
      <c r="G992" s="71"/>
      <c r="H992" s="10"/>
      <c r="I992" s="10"/>
      <c r="J992" s="10"/>
      <c r="K992" s="71"/>
      <c r="L992" s="27"/>
      <c r="M992" s="10"/>
      <c r="N992" s="10"/>
      <c r="O992" s="59"/>
      <c r="P992" s="1"/>
      <c r="Q992" s="1"/>
      <c r="R992" s="1"/>
      <c r="S992" s="1"/>
      <c r="T992" s="1"/>
      <c r="U992" s="1"/>
      <c r="V992" s="1"/>
      <c r="W992" s="1"/>
      <c r="X992" s="1"/>
      <c r="Y992" s="1"/>
      <c r="Z992" s="1"/>
      <c r="AA992" s="1"/>
    </row>
    <row r="993" spans="1:27" ht="12.75" hidden="1" customHeight="1">
      <c r="A993" s="1"/>
      <c r="B993" s="10"/>
      <c r="C993" s="10"/>
      <c r="D993" s="26"/>
      <c r="E993" s="10"/>
      <c r="F993" s="10"/>
      <c r="G993" s="71"/>
      <c r="H993" s="10"/>
      <c r="I993" s="10"/>
      <c r="J993" s="10"/>
      <c r="K993" s="71"/>
      <c r="L993" s="27"/>
      <c r="M993" s="10"/>
      <c r="N993" s="10"/>
      <c r="O993" s="59"/>
      <c r="P993" s="1"/>
      <c r="Q993" s="1"/>
      <c r="R993" s="1"/>
      <c r="S993" s="1"/>
      <c r="T993" s="1"/>
      <c r="U993" s="1"/>
      <c r="V993" s="1"/>
      <c r="W993" s="1"/>
      <c r="X993" s="1"/>
      <c r="Y993" s="1"/>
      <c r="Z993" s="1"/>
      <c r="AA993" s="1"/>
    </row>
    <row r="994" spans="1:27" ht="12.75" hidden="1" customHeight="1">
      <c r="A994" s="1"/>
      <c r="B994" s="10"/>
      <c r="C994" s="10"/>
      <c r="D994" s="26"/>
      <c r="E994" s="10"/>
      <c r="F994" s="10"/>
      <c r="G994" s="71"/>
      <c r="H994" s="10"/>
      <c r="I994" s="10"/>
      <c r="J994" s="10"/>
      <c r="K994" s="71"/>
      <c r="L994" s="27"/>
      <c r="M994" s="10"/>
      <c r="N994" s="10"/>
      <c r="O994" s="59"/>
      <c r="P994" s="1"/>
      <c r="Q994" s="1"/>
      <c r="R994" s="1"/>
      <c r="S994" s="1"/>
      <c r="T994" s="1"/>
      <c r="U994" s="1"/>
      <c r="V994" s="1"/>
      <c r="W994" s="1"/>
      <c r="X994" s="1"/>
      <c r="Y994" s="1"/>
      <c r="Z994" s="1"/>
      <c r="AA994" s="1"/>
    </row>
    <row r="995" spans="1:27" ht="12.75" hidden="1" customHeight="1">
      <c r="A995" s="1"/>
      <c r="B995" s="10"/>
      <c r="C995" s="10"/>
      <c r="D995" s="26"/>
      <c r="E995" s="10"/>
      <c r="F995" s="10"/>
      <c r="G995" s="71"/>
      <c r="H995" s="10"/>
      <c r="I995" s="10"/>
      <c r="J995" s="10"/>
      <c r="K995" s="71"/>
      <c r="L995" s="27"/>
      <c r="M995" s="10"/>
      <c r="N995" s="10"/>
      <c r="O995" s="59"/>
      <c r="P995" s="1"/>
      <c r="Q995" s="1"/>
      <c r="R995" s="1"/>
      <c r="S995" s="1"/>
      <c r="T995" s="1"/>
      <c r="U995" s="1"/>
      <c r="V995" s="1"/>
      <c r="W995" s="1"/>
      <c r="X995" s="1"/>
      <c r="Y995" s="1"/>
      <c r="Z995" s="1"/>
      <c r="AA995" s="1"/>
    </row>
    <row r="996" spans="1:27" ht="12.75" hidden="1" customHeight="1">
      <c r="A996" s="1"/>
      <c r="B996" s="10"/>
      <c r="C996" s="10"/>
      <c r="D996" s="26"/>
      <c r="E996" s="10"/>
      <c r="F996" s="10"/>
      <c r="G996" s="71"/>
      <c r="H996" s="10"/>
      <c r="I996" s="10"/>
      <c r="J996" s="10"/>
      <c r="K996" s="71"/>
      <c r="L996" s="27"/>
      <c r="M996" s="10"/>
      <c r="N996" s="10"/>
      <c r="O996" s="59"/>
      <c r="P996" s="1"/>
      <c r="Q996" s="1"/>
      <c r="R996" s="1"/>
      <c r="S996" s="1"/>
      <c r="T996" s="1"/>
      <c r="U996" s="1"/>
      <c r="V996" s="1"/>
      <c r="W996" s="1"/>
      <c r="X996" s="1"/>
      <c r="Y996" s="1"/>
      <c r="Z996" s="1"/>
      <c r="AA996" s="1"/>
    </row>
    <row r="997" spans="1:27" ht="12.75" hidden="1" customHeight="1">
      <c r="A997" s="1"/>
      <c r="B997" s="10"/>
      <c r="C997" s="10"/>
      <c r="D997" s="26"/>
      <c r="E997" s="10"/>
      <c r="F997" s="10"/>
      <c r="G997" s="71"/>
      <c r="H997" s="10"/>
      <c r="I997" s="10"/>
      <c r="J997" s="10"/>
      <c r="K997" s="71"/>
      <c r="L997" s="27"/>
      <c r="M997" s="10"/>
      <c r="N997" s="10"/>
      <c r="O997" s="59"/>
      <c r="P997" s="1"/>
      <c r="Q997" s="1"/>
      <c r="R997" s="1"/>
      <c r="S997" s="1"/>
      <c r="T997" s="1"/>
      <c r="U997" s="1"/>
      <c r="V997" s="1"/>
      <c r="W997" s="1"/>
      <c r="X997" s="1"/>
      <c r="Y997" s="1"/>
      <c r="Z997" s="1"/>
      <c r="AA997" s="1"/>
    </row>
    <row r="998" spans="1:27" ht="12.75" hidden="1" customHeight="1">
      <c r="A998" s="1"/>
      <c r="B998" s="10"/>
      <c r="C998" s="10"/>
      <c r="D998" s="26"/>
      <c r="E998" s="10"/>
      <c r="F998" s="10"/>
      <c r="G998" s="71"/>
      <c r="H998" s="10"/>
      <c r="I998" s="10"/>
      <c r="J998" s="10"/>
      <c r="K998" s="71"/>
      <c r="L998" s="27"/>
      <c r="M998" s="10"/>
      <c r="N998" s="10"/>
      <c r="O998" s="59"/>
      <c r="P998" s="1"/>
      <c r="Q998" s="1"/>
      <c r="R998" s="1"/>
      <c r="S998" s="1"/>
      <c r="T998" s="1"/>
      <c r="U998" s="1"/>
      <c r="V998" s="1"/>
      <c r="W998" s="1"/>
      <c r="X998" s="1"/>
      <c r="Y998" s="1"/>
      <c r="Z998" s="1"/>
      <c r="AA998" s="1"/>
    </row>
    <row r="999" spans="1:27" ht="12.75" hidden="1" customHeight="1">
      <c r="A999" s="1"/>
      <c r="B999" s="10"/>
      <c r="C999" s="10"/>
      <c r="D999" s="26"/>
      <c r="E999" s="10"/>
      <c r="F999" s="10"/>
      <c r="G999" s="71"/>
      <c r="H999" s="10"/>
      <c r="I999" s="10"/>
      <c r="J999" s="10"/>
      <c r="K999" s="71"/>
      <c r="L999" s="27"/>
      <c r="M999" s="10"/>
      <c r="N999" s="10"/>
      <c r="O999" s="59"/>
      <c r="P999" s="1"/>
      <c r="Q999" s="1"/>
      <c r="R999" s="1"/>
      <c r="S999" s="1"/>
      <c r="T999" s="1"/>
      <c r="U999" s="1"/>
      <c r="V999" s="1"/>
      <c r="W999" s="1"/>
      <c r="X999" s="1"/>
      <c r="Y999" s="1"/>
      <c r="Z999" s="1"/>
      <c r="AA999" s="1"/>
    </row>
    <row r="1000" spans="1:27" ht="12.75" hidden="1" customHeight="1">
      <c r="A1000" s="1"/>
      <c r="B1000" s="10"/>
      <c r="C1000" s="10"/>
      <c r="D1000" s="26"/>
      <c r="E1000" s="10"/>
      <c r="F1000" s="10"/>
      <c r="G1000" s="71"/>
      <c r="H1000" s="10"/>
      <c r="I1000" s="10"/>
      <c r="J1000" s="10"/>
      <c r="K1000" s="71"/>
      <c r="L1000" s="27"/>
      <c r="M1000" s="10"/>
      <c r="N1000" s="10"/>
      <c r="O1000" s="59"/>
      <c r="P1000" s="1"/>
      <c r="Q1000" s="1"/>
      <c r="R1000" s="1"/>
      <c r="S1000" s="1"/>
      <c r="T1000" s="1"/>
      <c r="U1000" s="1"/>
      <c r="V1000" s="1"/>
      <c r="W1000" s="1"/>
      <c r="X1000" s="1"/>
      <c r="Y1000" s="1"/>
      <c r="Z1000" s="1"/>
      <c r="AA1000" s="1"/>
    </row>
    <row r="1001" spans="1:27" ht="12.75" hidden="1" customHeight="1">
      <c r="A1001" s="1"/>
      <c r="B1001" s="10"/>
      <c r="C1001" s="10"/>
      <c r="D1001" s="26"/>
      <c r="E1001" s="10"/>
      <c r="F1001" s="10"/>
      <c r="G1001" s="71"/>
      <c r="H1001" s="10"/>
      <c r="I1001" s="10"/>
      <c r="J1001" s="10"/>
      <c r="K1001" s="71"/>
      <c r="L1001" s="27"/>
      <c r="M1001" s="10"/>
      <c r="N1001" s="10"/>
      <c r="O1001" s="59"/>
      <c r="P1001" s="1"/>
      <c r="Q1001" s="1"/>
      <c r="R1001" s="1"/>
      <c r="S1001" s="1"/>
      <c r="T1001" s="1"/>
      <c r="U1001" s="1"/>
      <c r="V1001" s="1"/>
      <c r="W1001" s="1"/>
      <c r="X1001" s="1"/>
      <c r="Y1001" s="1"/>
      <c r="Z1001" s="1"/>
      <c r="AA1001" s="1"/>
    </row>
    <row r="1002" spans="1:27" ht="12.75" hidden="1" customHeight="1">
      <c r="A1002" s="1"/>
      <c r="B1002" s="10"/>
      <c r="C1002" s="10"/>
      <c r="D1002" s="26"/>
      <c r="E1002" s="10"/>
      <c r="F1002" s="10"/>
      <c r="G1002" s="71"/>
      <c r="H1002" s="10"/>
      <c r="I1002" s="10"/>
      <c r="J1002" s="10"/>
      <c r="K1002" s="71"/>
      <c r="L1002" s="27"/>
      <c r="M1002" s="10"/>
      <c r="N1002" s="10"/>
      <c r="O1002" s="59"/>
      <c r="P1002" s="1"/>
      <c r="Q1002" s="1"/>
      <c r="R1002" s="1"/>
      <c r="S1002" s="1"/>
      <c r="T1002" s="1"/>
      <c r="U1002" s="1"/>
      <c r="V1002" s="1"/>
      <c r="W1002" s="1"/>
      <c r="X1002" s="1"/>
      <c r="Y1002" s="1"/>
      <c r="Z1002" s="1"/>
      <c r="AA1002" s="1"/>
    </row>
    <row r="1003" spans="1:27" ht="12.75" hidden="1" customHeight="1">
      <c r="A1003" s="1"/>
      <c r="B1003" s="10"/>
      <c r="C1003" s="10"/>
      <c r="D1003" s="26"/>
      <c r="E1003" s="10"/>
      <c r="F1003" s="10"/>
      <c r="G1003" s="71"/>
      <c r="H1003" s="10"/>
      <c r="I1003" s="10"/>
      <c r="J1003" s="10"/>
      <c r="K1003" s="71"/>
      <c r="L1003" s="27"/>
      <c r="M1003" s="10"/>
      <c r="N1003" s="10"/>
      <c r="O1003" s="59"/>
      <c r="P1003" s="1"/>
      <c r="Q1003" s="1"/>
      <c r="R1003" s="1"/>
      <c r="S1003" s="1"/>
      <c r="T1003" s="1"/>
      <c r="U1003" s="1"/>
      <c r="V1003" s="1"/>
      <c r="W1003" s="1"/>
      <c r="X1003" s="1"/>
      <c r="Y1003" s="1"/>
      <c r="Z1003" s="1"/>
      <c r="AA1003" s="1"/>
    </row>
    <row r="1004" spans="1:27" ht="12.75" hidden="1" customHeight="1">
      <c r="A1004" s="1"/>
      <c r="B1004" s="10"/>
      <c r="C1004" s="10"/>
      <c r="D1004" s="26"/>
      <c r="E1004" s="10"/>
      <c r="F1004" s="10"/>
      <c r="G1004" s="71"/>
      <c r="H1004" s="10"/>
      <c r="I1004" s="10"/>
      <c r="J1004" s="10"/>
      <c r="K1004" s="71"/>
      <c r="L1004" s="27"/>
      <c r="M1004" s="10"/>
      <c r="N1004" s="10"/>
      <c r="O1004" s="59"/>
      <c r="P1004" s="1"/>
      <c r="Q1004" s="1"/>
      <c r="R1004" s="1"/>
      <c r="S1004" s="1"/>
      <c r="T1004" s="1"/>
      <c r="U1004" s="1"/>
      <c r="V1004" s="1"/>
      <c r="W1004" s="1"/>
      <c r="X1004" s="1"/>
      <c r="Y1004" s="1"/>
      <c r="Z1004" s="1"/>
      <c r="AA1004" s="1"/>
    </row>
    <row r="1005" spans="1:27" ht="12.75" hidden="1" customHeight="1">
      <c r="A1005" s="1"/>
      <c r="B1005" s="10"/>
      <c r="C1005" s="10"/>
      <c r="D1005" s="26"/>
      <c r="E1005" s="10"/>
      <c r="F1005" s="10"/>
      <c r="G1005" s="71"/>
      <c r="H1005" s="10"/>
      <c r="I1005" s="10"/>
      <c r="J1005" s="10"/>
      <c r="K1005" s="71"/>
      <c r="L1005" s="27"/>
      <c r="M1005" s="10"/>
      <c r="N1005" s="10"/>
      <c r="O1005" s="59"/>
      <c r="P1005" s="1"/>
      <c r="Q1005" s="1"/>
      <c r="R1005" s="1"/>
      <c r="S1005" s="1"/>
      <c r="T1005" s="1"/>
      <c r="U1005" s="1"/>
      <c r="V1005" s="1"/>
      <c r="W1005" s="1"/>
      <c r="X1005" s="1"/>
      <c r="Y1005" s="1"/>
      <c r="Z1005" s="1"/>
      <c r="AA1005" s="1"/>
    </row>
    <row r="1006" spans="1:27" ht="12.75" hidden="1" customHeight="1">
      <c r="A1006" s="1"/>
      <c r="B1006" s="10"/>
      <c r="C1006" s="10"/>
      <c r="D1006" s="26"/>
      <c r="E1006" s="10"/>
      <c r="F1006" s="10"/>
      <c r="G1006" s="71"/>
      <c r="H1006" s="10"/>
      <c r="I1006" s="10"/>
      <c r="J1006" s="10"/>
      <c r="K1006" s="71"/>
      <c r="L1006" s="27"/>
      <c r="M1006" s="10"/>
      <c r="N1006" s="10"/>
      <c r="O1006" s="59"/>
      <c r="P1006" s="1"/>
      <c r="Q1006" s="1"/>
      <c r="R1006" s="1"/>
      <c r="S1006" s="1"/>
      <c r="T1006" s="1"/>
      <c r="U1006" s="1"/>
      <c r="V1006" s="1"/>
      <c r="W1006" s="1"/>
      <c r="X1006" s="1"/>
      <c r="Y1006" s="1"/>
      <c r="Z1006" s="1"/>
      <c r="AA1006" s="1"/>
    </row>
    <row r="1007" spans="1:27" ht="12.75" hidden="1" customHeight="1">
      <c r="A1007" s="1"/>
      <c r="B1007" s="10"/>
      <c r="C1007" s="10"/>
      <c r="D1007" s="26"/>
      <c r="E1007" s="10"/>
      <c r="F1007" s="10"/>
      <c r="G1007" s="71"/>
      <c r="H1007" s="10"/>
      <c r="I1007" s="10"/>
      <c r="J1007" s="10"/>
      <c r="K1007" s="71"/>
      <c r="L1007" s="27"/>
      <c r="M1007" s="10"/>
      <c r="N1007" s="10"/>
      <c r="O1007" s="59"/>
      <c r="P1007" s="1"/>
      <c r="Q1007" s="1"/>
      <c r="R1007" s="1"/>
      <c r="S1007" s="1"/>
      <c r="T1007" s="1"/>
      <c r="U1007" s="1"/>
      <c r="V1007" s="1"/>
      <c r="W1007" s="1"/>
      <c r="X1007" s="1"/>
      <c r="Y1007" s="1"/>
      <c r="Z1007" s="1"/>
      <c r="AA1007" s="1"/>
    </row>
    <row r="1008" spans="1:27" ht="12.75" hidden="1" customHeight="1">
      <c r="A1008" s="1"/>
      <c r="B1008" s="10"/>
      <c r="C1008" s="10"/>
      <c r="D1008" s="26"/>
      <c r="E1008" s="10"/>
      <c r="F1008" s="10"/>
      <c r="G1008" s="71"/>
      <c r="H1008" s="10"/>
      <c r="I1008" s="10"/>
      <c r="J1008" s="10"/>
      <c r="K1008" s="71"/>
      <c r="L1008" s="27"/>
      <c r="M1008" s="10"/>
      <c r="N1008" s="10"/>
      <c r="O1008" s="59"/>
      <c r="P1008" s="1"/>
      <c r="Q1008" s="1"/>
      <c r="R1008" s="1"/>
      <c r="S1008" s="1"/>
      <c r="T1008" s="1"/>
      <c r="U1008" s="1"/>
      <c r="V1008" s="1"/>
      <c r="W1008" s="1"/>
      <c r="X1008" s="1"/>
      <c r="Y1008" s="1"/>
      <c r="Z1008" s="1"/>
      <c r="AA1008" s="1"/>
    </row>
    <row r="1009" spans="1:27" ht="12.75" hidden="1" customHeight="1">
      <c r="A1009" s="1"/>
      <c r="B1009" s="10"/>
      <c r="C1009" s="10"/>
      <c r="D1009" s="26"/>
      <c r="E1009" s="10"/>
      <c r="F1009" s="10"/>
      <c r="G1009" s="71"/>
      <c r="H1009" s="10"/>
      <c r="I1009" s="10"/>
      <c r="J1009" s="10"/>
      <c r="K1009" s="71"/>
      <c r="L1009" s="27"/>
      <c r="M1009" s="10"/>
      <c r="N1009" s="10"/>
      <c r="O1009" s="59"/>
      <c r="P1009" s="1"/>
      <c r="Q1009" s="1"/>
      <c r="R1009" s="1"/>
      <c r="S1009" s="1"/>
      <c r="T1009" s="1"/>
      <c r="U1009" s="1"/>
      <c r="V1009" s="1"/>
      <c r="W1009" s="1"/>
      <c r="X1009" s="1"/>
      <c r="Y1009" s="1"/>
      <c r="Z1009" s="1"/>
      <c r="AA1009" s="1"/>
    </row>
    <row r="1010" spans="1:27" ht="12.75" hidden="1" customHeight="1">
      <c r="A1010" s="1"/>
      <c r="B1010" s="10"/>
      <c r="C1010" s="10"/>
      <c r="D1010" s="26"/>
      <c r="E1010" s="10"/>
      <c r="F1010" s="10"/>
      <c r="G1010" s="71"/>
      <c r="H1010" s="10"/>
      <c r="I1010" s="10"/>
      <c r="J1010" s="10"/>
      <c r="K1010" s="71"/>
      <c r="L1010" s="27"/>
      <c r="M1010" s="10"/>
      <c r="N1010" s="10"/>
      <c r="O1010" s="59"/>
      <c r="P1010" s="1"/>
      <c r="Q1010" s="1"/>
      <c r="R1010" s="1"/>
      <c r="S1010" s="1"/>
      <c r="T1010" s="1"/>
      <c r="U1010" s="1"/>
      <c r="V1010" s="1"/>
      <c r="W1010" s="1"/>
      <c r="X1010" s="1"/>
      <c r="Y1010" s="1"/>
      <c r="Z1010" s="1"/>
      <c r="AA1010" s="1"/>
    </row>
    <row r="1011" spans="1:27" ht="12.75" hidden="1" customHeight="1">
      <c r="A1011" s="1"/>
      <c r="B1011" s="10"/>
      <c r="C1011" s="10"/>
      <c r="D1011" s="26"/>
      <c r="E1011" s="10"/>
      <c r="F1011" s="10"/>
      <c r="G1011" s="71"/>
      <c r="H1011" s="10"/>
      <c r="I1011" s="10"/>
      <c r="J1011" s="10"/>
      <c r="K1011" s="71"/>
      <c r="L1011" s="27"/>
      <c r="M1011" s="10"/>
      <c r="N1011" s="10"/>
      <c r="O1011" s="59"/>
      <c r="P1011" s="1"/>
      <c r="Q1011" s="1"/>
      <c r="R1011" s="1"/>
      <c r="S1011" s="1"/>
      <c r="T1011" s="1"/>
      <c r="U1011" s="1"/>
      <c r="V1011" s="1"/>
      <c r="W1011" s="1"/>
      <c r="X1011" s="1"/>
      <c r="Y1011" s="1"/>
      <c r="Z1011" s="1"/>
      <c r="AA1011" s="1"/>
    </row>
    <row r="1012" spans="1:27" ht="12.75" hidden="1" customHeight="1">
      <c r="A1012" s="1"/>
      <c r="B1012" s="10"/>
      <c r="C1012" s="10"/>
      <c r="D1012" s="26"/>
      <c r="E1012" s="10"/>
      <c r="F1012" s="10"/>
      <c r="G1012" s="71"/>
      <c r="H1012" s="10"/>
      <c r="I1012" s="10"/>
      <c r="J1012" s="10"/>
      <c r="K1012" s="71"/>
      <c r="L1012" s="27"/>
      <c r="M1012" s="10"/>
      <c r="N1012" s="10"/>
      <c r="O1012" s="59"/>
      <c r="P1012" s="1"/>
      <c r="Q1012" s="1"/>
      <c r="R1012" s="1"/>
      <c r="S1012" s="1"/>
      <c r="T1012" s="1"/>
      <c r="U1012" s="1"/>
      <c r="V1012" s="1"/>
      <c r="W1012" s="1"/>
      <c r="X1012" s="1"/>
      <c r="Y1012" s="1"/>
      <c r="Z1012" s="1"/>
      <c r="AA1012" s="1"/>
    </row>
    <row r="1013" spans="1:27" ht="12.75" hidden="1" customHeight="1">
      <c r="A1013" s="1"/>
      <c r="B1013" s="10"/>
      <c r="C1013" s="10"/>
      <c r="D1013" s="26"/>
      <c r="E1013" s="10"/>
      <c r="F1013" s="10"/>
      <c r="G1013" s="71"/>
      <c r="H1013" s="10"/>
      <c r="I1013" s="10"/>
      <c r="J1013" s="10"/>
      <c r="K1013" s="71"/>
      <c r="L1013" s="27"/>
      <c r="M1013" s="10"/>
      <c r="N1013" s="10"/>
      <c r="O1013" s="59"/>
      <c r="P1013" s="1"/>
      <c r="Q1013" s="1"/>
      <c r="R1013" s="1"/>
      <c r="S1013" s="1"/>
      <c r="T1013" s="1"/>
      <c r="U1013" s="1"/>
      <c r="V1013" s="1"/>
      <c r="W1013" s="1"/>
      <c r="X1013" s="1"/>
      <c r="Y1013" s="1"/>
      <c r="Z1013" s="1"/>
      <c r="AA1013" s="1"/>
    </row>
    <row r="1014" spans="1:27" ht="12.75" hidden="1" customHeight="1">
      <c r="A1014" s="1"/>
      <c r="B1014" s="10"/>
      <c r="C1014" s="10"/>
      <c r="D1014" s="26"/>
      <c r="E1014" s="10"/>
      <c r="F1014" s="10"/>
      <c r="G1014" s="71"/>
      <c r="H1014" s="10"/>
      <c r="I1014" s="10"/>
      <c r="J1014" s="10"/>
      <c r="K1014" s="71"/>
      <c r="L1014" s="27"/>
      <c r="M1014" s="10"/>
      <c r="N1014" s="10"/>
      <c r="O1014" s="59"/>
      <c r="P1014" s="1"/>
      <c r="Q1014" s="1"/>
      <c r="R1014" s="1"/>
      <c r="S1014" s="1"/>
      <c r="T1014" s="1"/>
      <c r="U1014" s="1"/>
      <c r="V1014" s="1"/>
      <c r="W1014" s="1"/>
      <c r="X1014" s="1"/>
      <c r="Y1014" s="1"/>
      <c r="Z1014" s="1"/>
      <c r="AA1014" s="1"/>
    </row>
    <row r="1015" spans="1:27" ht="12.75" hidden="1" customHeight="1">
      <c r="A1015" s="1"/>
      <c r="B1015" s="10"/>
      <c r="C1015" s="10"/>
      <c r="D1015" s="26"/>
      <c r="E1015" s="10"/>
      <c r="F1015" s="10"/>
      <c r="G1015" s="71"/>
      <c r="H1015" s="10"/>
      <c r="I1015" s="10"/>
      <c r="J1015" s="10"/>
      <c r="K1015" s="71"/>
      <c r="L1015" s="27"/>
      <c r="M1015" s="10"/>
      <c r="N1015" s="10"/>
      <c r="O1015" s="59"/>
      <c r="P1015" s="1"/>
      <c r="Q1015" s="1"/>
      <c r="R1015" s="1"/>
      <c r="S1015" s="1"/>
      <c r="T1015" s="1"/>
      <c r="U1015" s="1"/>
      <c r="V1015" s="1"/>
      <c r="W1015" s="1"/>
      <c r="X1015" s="1"/>
      <c r="Y1015" s="1"/>
      <c r="Z1015" s="1"/>
      <c r="AA1015" s="1"/>
    </row>
    <row r="1016" spans="1:27" ht="12.75" hidden="1" customHeight="1">
      <c r="A1016" s="1"/>
      <c r="B1016" s="10"/>
      <c r="C1016" s="10"/>
      <c r="D1016" s="26"/>
      <c r="E1016" s="10"/>
      <c r="F1016" s="10"/>
      <c r="G1016" s="71"/>
      <c r="H1016" s="10"/>
      <c r="I1016" s="10"/>
      <c r="J1016" s="10"/>
      <c r="K1016" s="71"/>
      <c r="L1016" s="27"/>
      <c r="M1016" s="10"/>
      <c r="N1016" s="10"/>
      <c r="O1016" s="59"/>
      <c r="P1016" s="1"/>
      <c r="Q1016" s="1"/>
      <c r="R1016" s="1"/>
      <c r="S1016" s="1"/>
      <c r="T1016" s="1"/>
      <c r="U1016" s="1"/>
      <c r="V1016" s="1"/>
      <c r="W1016" s="1"/>
      <c r="X1016" s="1"/>
      <c r="Y1016" s="1"/>
      <c r="Z1016" s="1"/>
      <c r="AA1016" s="1"/>
    </row>
    <row r="1017" spans="1:27" ht="12.75" hidden="1" customHeight="1">
      <c r="A1017" s="1"/>
      <c r="B1017" s="10"/>
      <c r="C1017" s="10"/>
      <c r="D1017" s="26"/>
      <c r="E1017" s="10"/>
      <c r="F1017" s="10"/>
      <c r="G1017" s="71"/>
      <c r="H1017" s="10"/>
      <c r="I1017" s="10"/>
      <c r="J1017" s="10"/>
      <c r="K1017" s="71"/>
      <c r="L1017" s="27"/>
      <c r="M1017" s="10"/>
      <c r="N1017" s="10"/>
      <c r="O1017" s="59"/>
      <c r="P1017" s="1"/>
      <c r="Q1017" s="1"/>
      <c r="R1017" s="1"/>
      <c r="S1017" s="1"/>
      <c r="T1017" s="1"/>
      <c r="U1017" s="1"/>
      <c r="V1017" s="1"/>
      <c r="W1017" s="1"/>
      <c r="X1017" s="1"/>
      <c r="Y1017" s="1"/>
      <c r="Z1017" s="1"/>
      <c r="AA1017" s="1"/>
    </row>
    <row r="1018" spans="1:27" ht="12.75" hidden="1" customHeight="1">
      <c r="A1018" s="1"/>
      <c r="B1018" s="10"/>
      <c r="C1018" s="10"/>
      <c r="D1018" s="26"/>
      <c r="E1018" s="10"/>
      <c r="F1018" s="10"/>
      <c r="G1018" s="71"/>
      <c r="H1018" s="10"/>
      <c r="I1018" s="10"/>
      <c r="J1018" s="10"/>
      <c r="K1018" s="71"/>
      <c r="L1018" s="27"/>
      <c r="M1018" s="10"/>
      <c r="N1018" s="10"/>
      <c r="O1018" s="59"/>
      <c r="P1018" s="1"/>
      <c r="Q1018" s="1"/>
      <c r="R1018" s="1"/>
      <c r="S1018" s="1"/>
      <c r="T1018" s="1"/>
      <c r="U1018" s="1"/>
      <c r="V1018" s="1"/>
      <c r="W1018" s="1"/>
      <c r="X1018" s="1"/>
      <c r="Y1018" s="1"/>
      <c r="Z1018" s="1"/>
      <c r="AA1018" s="1"/>
    </row>
    <row r="1019" spans="1:27" ht="12.75" hidden="1" customHeight="1">
      <c r="A1019" s="1"/>
      <c r="B1019" s="10"/>
      <c r="C1019" s="10"/>
      <c r="D1019" s="26"/>
      <c r="E1019" s="10"/>
      <c r="F1019" s="10"/>
      <c r="G1019" s="71"/>
      <c r="H1019" s="10"/>
      <c r="I1019" s="10"/>
      <c r="J1019" s="10"/>
      <c r="K1019" s="71"/>
      <c r="L1019" s="27"/>
      <c r="M1019" s="10"/>
      <c r="N1019" s="10"/>
      <c r="O1019" s="59"/>
      <c r="P1019" s="1"/>
      <c r="Q1019" s="1"/>
      <c r="R1019" s="1"/>
      <c r="S1019" s="1"/>
      <c r="T1019" s="1"/>
      <c r="U1019" s="1"/>
      <c r="V1019" s="1"/>
      <c r="W1019" s="1"/>
      <c r="X1019" s="1"/>
      <c r="Y1019" s="1"/>
      <c r="Z1019" s="1"/>
      <c r="AA1019" s="1"/>
    </row>
    <row r="1020" spans="1:27" ht="12.75" hidden="1" customHeight="1">
      <c r="A1020" s="1"/>
      <c r="B1020" s="10"/>
      <c r="C1020" s="10"/>
      <c r="D1020" s="26"/>
      <c r="E1020" s="10"/>
      <c r="F1020" s="10"/>
      <c r="G1020" s="71"/>
      <c r="H1020" s="10"/>
      <c r="I1020" s="10"/>
      <c r="J1020" s="10"/>
      <c r="K1020" s="71"/>
      <c r="L1020" s="27"/>
      <c r="M1020" s="10"/>
      <c r="N1020" s="10"/>
      <c r="O1020" s="59"/>
      <c r="P1020" s="1"/>
      <c r="Q1020" s="1"/>
      <c r="R1020" s="1"/>
      <c r="S1020" s="1"/>
      <c r="T1020" s="1"/>
      <c r="U1020" s="1"/>
      <c r="V1020" s="1"/>
      <c r="W1020" s="1"/>
      <c r="X1020" s="1"/>
      <c r="Y1020" s="1"/>
      <c r="Z1020" s="1"/>
      <c r="AA1020" s="1"/>
    </row>
    <row r="1021" spans="1:27" ht="12.75" hidden="1" customHeight="1">
      <c r="A1021" s="1"/>
      <c r="B1021" s="10"/>
      <c r="C1021" s="10"/>
      <c r="D1021" s="26"/>
      <c r="E1021" s="10"/>
      <c r="F1021" s="10"/>
      <c r="G1021" s="71"/>
      <c r="H1021" s="10"/>
      <c r="I1021" s="10"/>
      <c r="J1021" s="10"/>
      <c r="K1021" s="71"/>
      <c r="L1021" s="27"/>
      <c r="M1021" s="10"/>
      <c r="N1021" s="10"/>
      <c r="O1021" s="59"/>
      <c r="P1021" s="1"/>
      <c r="Q1021" s="1"/>
      <c r="R1021" s="1"/>
      <c r="S1021" s="1"/>
      <c r="T1021" s="1"/>
      <c r="U1021" s="1"/>
      <c r="V1021" s="1"/>
      <c r="W1021" s="1"/>
      <c r="X1021" s="1"/>
      <c r="Y1021" s="1"/>
      <c r="Z1021" s="1"/>
      <c r="AA1021" s="1"/>
    </row>
    <row r="1022" spans="1:27" ht="12.75" hidden="1" customHeight="1">
      <c r="A1022" s="1"/>
      <c r="B1022" s="10"/>
      <c r="C1022" s="10"/>
      <c r="D1022" s="26"/>
      <c r="E1022" s="10"/>
      <c r="F1022" s="10"/>
      <c r="G1022" s="71"/>
      <c r="H1022" s="10"/>
      <c r="I1022" s="10"/>
      <c r="J1022" s="10"/>
      <c r="K1022" s="71"/>
      <c r="L1022" s="27"/>
      <c r="M1022" s="10"/>
      <c r="N1022" s="10"/>
      <c r="O1022" s="59"/>
      <c r="P1022" s="1"/>
      <c r="Q1022" s="1"/>
      <c r="R1022" s="1"/>
      <c r="S1022" s="1"/>
      <c r="T1022" s="1"/>
      <c r="U1022" s="1"/>
      <c r="V1022" s="1"/>
      <c r="W1022" s="1"/>
      <c r="X1022" s="1"/>
      <c r="Y1022" s="1"/>
      <c r="Z1022" s="1"/>
      <c r="AA1022" s="1"/>
    </row>
    <row r="1023" spans="1:27" ht="12.75" customHeight="1">
      <c r="A1023" s="73"/>
      <c r="B1023" s="32"/>
      <c r="C1023" s="32"/>
      <c r="D1023" s="33"/>
      <c r="E1023" s="32"/>
      <c r="F1023" s="32"/>
      <c r="G1023" s="74"/>
      <c r="H1023" s="32"/>
      <c r="I1023" s="32"/>
      <c r="J1023" s="32"/>
      <c r="K1023" s="74"/>
      <c r="L1023" s="35"/>
      <c r="M1023" s="32"/>
      <c r="N1023" s="32"/>
      <c r="O1023" s="59"/>
      <c r="P1023" s="73"/>
      <c r="Q1023" s="73"/>
      <c r="R1023" s="73"/>
      <c r="S1023" s="73"/>
      <c r="T1023" s="73"/>
      <c r="U1023" s="73"/>
      <c r="V1023" s="73"/>
      <c r="W1023" s="73"/>
      <c r="X1023" s="73"/>
      <c r="Y1023" s="73"/>
      <c r="Z1023" s="73"/>
      <c r="AA1023" s="73"/>
    </row>
    <row r="1024" spans="1:27" ht="12.75" customHeight="1">
      <c r="A1024" s="73"/>
      <c r="B1024" s="32"/>
      <c r="C1024" s="32"/>
      <c r="D1024" s="33"/>
      <c r="E1024" s="32"/>
      <c r="F1024" s="32"/>
      <c r="G1024" s="74"/>
      <c r="H1024" s="32"/>
      <c r="I1024" s="32"/>
      <c r="J1024" s="32"/>
      <c r="K1024" s="74"/>
      <c r="L1024" s="35"/>
      <c r="M1024" s="32"/>
      <c r="N1024" s="32"/>
      <c r="O1024" s="59"/>
      <c r="P1024" s="73"/>
      <c r="Q1024" s="73"/>
      <c r="R1024" s="73"/>
      <c r="S1024" s="73"/>
      <c r="T1024" s="73"/>
      <c r="U1024" s="73"/>
      <c r="V1024" s="73"/>
      <c r="W1024" s="73"/>
      <c r="X1024" s="73"/>
      <c r="Y1024" s="73"/>
      <c r="Z1024" s="73"/>
      <c r="AA1024" s="73"/>
    </row>
    <row r="1025" spans="1:27" ht="24" customHeight="1">
      <c r="A1025" s="76"/>
      <c r="B1025" s="81" t="s">
        <v>43</v>
      </c>
      <c r="C1025" s="82"/>
      <c r="D1025" s="83"/>
      <c r="E1025" s="82"/>
      <c r="F1025" s="82"/>
      <c r="G1025" s="84">
        <f ca="1">SUM(G22:G1022)</f>
        <v>76107403350</v>
      </c>
      <c r="H1025" s="82"/>
      <c r="I1025" s="82"/>
      <c r="J1025" s="82"/>
      <c r="K1025" s="84">
        <f ca="1">SUM(K22:K1022)</f>
        <v>69781681185</v>
      </c>
      <c r="L1025" s="85"/>
      <c r="M1025" s="82"/>
      <c r="N1025" s="82"/>
      <c r="O1025" s="60"/>
      <c r="P1025" s="76"/>
      <c r="Q1025" s="76"/>
      <c r="R1025" s="76"/>
      <c r="S1025" s="76"/>
      <c r="T1025" s="76"/>
      <c r="U1025" s="76"/>
      <c r="V1025" s="76"/>
      <c r="W1025" s="76"/>
      <c r="X1025" s="76"/>
      <c r="Y1025" s="76"/>
      <c r="Z1025" s="76"/>
      <c r="AA1025" s="76"/>
    </row>
    <row r="1026" spans="1:27" ht="12.75" customHeight="1">
      <c r="A1026" s="73"/>
      <c r="B1026" s="32"/>
      <c r="C1026" s="32"/>
      <c r="D1026" s="33"/>
      <c r="E1026" s="32"/>
      <c r="F1026" s="32"/>
      <c r="G1026" s="74"/>
      <c r="H1026" s="32"/>
      <c r="I1026" s="32"/>
      <c r="J1026" s="32"/>
      <c r="K1026" s="74"/>
      <c r="L1026" s="35"/>
      <c r="M1026" s="32"/>
      <c r="N1026" s="32"/>
      <c r="O1026" s="59"/>
      <c r="P1026" s="73"/>
      <c r="Q1026" s="73"/>
      <c r="R1026" s="73"/>
      <c r="S1026" s="73"/>
      <c r="T1026" s="73"/>
      <c r="U1026" s="73"/>
      <c r="V1026" s="73"/>
      <c r="W1026" s="73"/>
      <c r="X1026" s="73"/>
      <c r="Y1026" s="73"/>
      <c r="Z1026" s="73"/>
      <c r="AA1026" s="73"/>
    </row>
    <row r="1027" spans="1:27" ht="12.75" customHeight="1">
      <c r="A1027" s="73"/>
      <c r="B1027" s="32"/>
      <c r="C1027" s="32"/>
      <c r="D1027" s="33"/>
      <c r="E1027" s="32"/>
      <c r="F1027" s="32"/>
      <c r="G1027" s="74"/>
      <c r="H1027" s="32"/>
      <c r="I1027" s="32"/>
      <c r="J1027" s="32"/>
      <c r="K1027" s="74"/>
      <c r="L1027" s="35"/>
      <c r="M1027" s="32"/>
      <c r="N1027" s="32"/>
      <c r="O1027" s="59"/>
      <c r="P1027" s="73"/>
      <c r="Q1027" s="73"/>
      <c r="R1027" s="73"/>
      <c r="S1027" s="73"/>
      <c r="T1027" s="73"/>
      <c r="U1027" s="73"/>
      <c r="V1027" s="73"/>
      <c r="W1027" s="73"/>
      <c r="X1027" s="73"/>
      <c r="Y1027" s="73"/>
      <c r="Z1027" s="73"/>
      <c r="AA1027" s="73"/>
    </row>
    <row r="1028" spans="1:27" ht="12.75" customHeight="1">
      <c r="A1028" s="73"/>
      <c r="B1028" s="32"/>
      <c r="C1028" s="32"/>
      <c r="D1028" s="33"/>
      <c r="E1028" s="32"/>
      <c r="F1028" s="32"/>
      <c r="G1028" s="74"/>
      <c r="H1028" s="32"/>
      <c r="I1028" s="32"/>
      <c r="J1028" s="32"/>
      <c r="K1028" s="74"/>
      <c r="L1028" s="35"/>
      <c r="M1028" s="32"/>
      <c r="N1028" s="32"/>
      <c r="O1028" s="59"/>
      <c r="P1028" s="73"/>
      <c r="Q1028" s="73"/>
      <c r="R1028" s="73"/>
      <c r="S1028" s="73"/>
      <c r="T1028" s="73"/>
      <c r="U1028" s="73"/>
      <c r="V1028" s="73"/>
      <c r="W1028" s="73"/>
      <c r="X1028" s="73"/>
      <c r="Y1028" s="73"/>
      <c r="Z1028" s="73"/>
      <c r="AA1028" s="73"/>
    </row>
    <row r="1029" spans="1:27" ht="12.75" customHeight="1">
      <c r="A1029" s="73"/>
      <c r="B1029" s="65" t="s">
        <v>41</v>
      </c>
      <c r="C1029" s="15" t="s">
        <v>122</v>
      </c>
      <c r="D1029" s="33"/>
      <c r="E1029" s="32"/>
      <c r="F1029" s="32"/>
      <c r="G1029" s="74"/>
      <c r="H1029" s="32"/>
      <c r="I1029" s="32"/>
      <c r="J1029" s="32"/>
      <c r="K1029" s="74"/>
      <c r="L1029" s="35"/>
      <c r="M1029" s="32"/>
      <c r="N1029" s="32"/>
      <c r="O1029" s="59"/>
      <c r="P1029" s="73"/>
      <c r="Q1029" s="73"/>
      <c r="R1029" s="73"/>
      <c r="S1029" s="73"/>
      <c r="T1029" s="73"/>
      <c r="U1029" s="73"/>
      <c r="V1029" s="73"/>
      <c r="W1029" s="73"/>
      <c r="X1029" s="73"/>
      <c r="Y1029" s="73"/>
      <c r="Z1029" s="73"/>
      <c r="AA1029" s="73"/>
    </row>
    <row r="1030" spans="1:27" ht="12.75" customHeight="1">
      <c r="A1030" s="73"/>
      <c r="B1030" s="32"/>
      <c r="C1030" s="32"/>
      <c r="D1030" s="33"/>
      <c r="E1030" s="32"/>
      <c r="F1030" s="32"/>
      <c r="G1030" s="74"/>
      <c r="H1030" s="32"/>
      <c r="I1030" s="32"/>
      <c r="J1030" s="32"/>
      <c r="K1030" s="74"/>
      <c r="L1030" s="35"/>
      <c r="M1030" s="32"/>
      <c r="N1030" s="32"/>
      <c r="O1030" s="59"/>
      <c r="P1030" s="73"/>
      <c r="Q1030" s="73"/>
      <c r="R1030" s="73"/>
      <c r="S1030" s="73"/>
      <c r="T1030" s="73"/>
      <c r="U1030" s="73"/>
      <c r="V1030" s="73"/>
      <c r="W1030" s="73"/>
      <c r="X1030" s="73"/>
      <c r="Y1030" s="73"/>
      <c r="Z1030" s="73"/>
      <c r="AA1030" s="73"/>
    </row>
    <row r="1031" spans="1:27" ht="12.75" customHeight="1">
      <c r="A1031" s="73"/>
      <c r="B1031" s="32"/>
      <c r="C1031" s="32"/>
      <c r="D1031" s="33"/>
      <c r="E1031" s="32"/>
      <c r="F1031" s="32"/>
      <c r="G1031" s="74"/>
      <c r="H1031" s="32"/>
      <c r="I1031" s="32"/>
      <c r="J1031" s="32"/>
      <c r="K1031" s="74"/>
      <c r="L1031" s="35"/>
      <c r="M1031" s="32"/>
      <c r="N1031" s="32"/>
      <c r="O1031" s="59"/>
      <c r="P1031" s="73"/>
      <c r="Q1031" s="73"/>
      <c r="R1031" s="73"/>
      <c r="S1031" s="73"/>
      <c r="T1031" s="73"/>
      <c r="U1031" s="73"/>
      <c r="V1031" s="73"/>
      <c r="W1031" s="73"/>
      <c r="X1031" s="73"/>
      <c r="Y1031" s="73"/>
      <c r="Z1031" s="73"/>
      <c r="AA1031" s="73"/>
    </row>
    <row r="1032" spans="1:27" ht="12.75" customHeight="1">
      <c r="A1032" s="73"/>
      <c r="B1032" s="32"/>
      <c r="C1032" s="32"/>
      <c r="D1032" s="33"/>
      <c r="E1032" s="32"/>
      <c r="F1032" s="32"/>
      <c r="G1032" s="74"/>
      <c r="H1032" s="32"/>
      <c r="I1032" s="32"/>
      <c r="J1032" s="32"/>
      <c r="K1032" s="74"/>
      <c r="L1032" s="35"/>
      <c r="M1032" s="32"/>
      <c r="N1032" s="32"/>
      <c r="O1032" s="59"/>
      <c r="P1032" s="73"/>
      <c r="Q1032" s="73"/>
      <c r="R1032" s="73"/>
      <c r="S1032" s="73"/>
      <c r="T1032" s="73"/>
      <c r="U1032" s="73"/>
      <c r="V1032" s="73"/>
      <c r="W1032" s="73"/>
      <c r="X1032" s="73"/>
      <c r="Y1032" s="73"/>
      <c r="Z1032" s="73"/>
      <c r="AA1032" s="73"/>
    </row>
    <row r="1033" spans="1:27" ht="12.75" customHeight="1">
      <c r="A1033" s="73"/>
      <c r="B1033" s="32"/>
      <c r="C1033" s="32"/>
      <c r="D1033" s="33"/>
      <c r="E1033" s="32"/>
      <c r="F1033" s="32"/>
      <c r="G1033" s="74"/>
      <c r="H1033" s="32"/>
      <c r="I1033" s="32"/>
      <c r="J1033" s="32"/>
      <c r="K1033" s="74"/>
      <c r="L1033" s="35"/>
      <c r="M1033" s="32"/>
      <c r="N1033" s="32"/>
      <c r="O1033" s="59"/>
      <c r="P1033" s="73"/>
      <c r="Q1033" s="73"/>
      <c r="R1033" s="73"/>
      <c r="S1033" s="73"/>
      <c r="T1033" s="73"/>
      <c r="U1033" s="73"/>
      <c r="V1033" s="73"/>
      <c r="W1033" s="73"/>
      <c r="X1033" s="73"/>
      <c r="Y1033" s="73"/>
      <c r="Z1033" s="73"/>
      <c r="AA1033" s="73"/>
    </row>
    <row r="1034" spans="1:27" ht="12.75" customHeight="1">
      <c r="A1034" s="73"/>
      <c r="B1034" s="32"/>
      <c r="C1034" s="32"/>
      <c r="D1034" s="33"/>
      <c r="E1034" s="32"/>
      <c r="F1034" s="32"/>
      <c r="G1034" s="74"/>
      <c r="H1034" s="32"/>
      <c r="I1034" s="32"/>
      <c r="J1034" s="32"/>
      <c r="K1034" s="74"/>
      <c r="L1034" s="35"/>
      <c r="M1034" s="32"/>
      <c r="N1034" s="32"/>
      <c r="O1034" s="59"/>
      <c r="P1034" s="73"/>
      <c r="Q1034" s="73"/>
      <c r="R1034" s="73"/>
      <c r="S1034" s="73"/>
      <c r="T1034" s="73"/>
      <c r="U1034" s="73"/>
      <c r="V1034" s="73"/>
      <c r="W1034" s="73"/>
      <c r="X1034" s="73"/>
      <c r="Y1034" s="73"/>
      <c r="Z1034" s="73"/>
      <c r="AA1034" s="73"/>
    </row>
    <row r="1035" spans="1:27" ht="12.75" customHeight="1">
      <c r="A1035" s="73"/>
      <c r="B1035" s="32"/>
      <c r="C1035" s="32"/>
      <c r="D1035" s="33"/>
      <c r="E1035" s="32"/>
      <c r="F1035" s="32"/>
      <c r="G1035" s="74"/>
      <c r="H1035" s="32"/>
      <c r="I1035" s="32"/>
      <c r="J1035" s="32"/>
      <c r="K1035" s="74"/>
      <c r="L1035" s="35"/>
      <c r="M1035" s="32"/>
      <c r="N1035" s="32"/>
      <c r="O1035" s="59"/>
      <c r="P1035" s="73"/>
      <c r="Q1035" s="73"/>
      <c r="R1035" s="73"/>
      <c r="S1035" s="73"/>
      <c r="T1035" s="73"/>
      <c r="U1035" s="73"/>
      <c r="V1035" s="73"/>
      <c r="W1035" s="73"/>
      <c r="X1035" s="73"/>
      <c r="Y1035" s="73"/>
      <c r="Z1035" s="73"/>
      <c r="AA1035" s="73"/>
    </row>
    <row r="1036" spans="1:27" ht="12.75" customHeight="1">
      <c r="A1036" s="73"/>
      <c r="B1036" s="32"/>
      <c r="C1036" s="32"/>
      <c r="D1036" s="33"/>
      <c r="E1036" s="32"/>
      <c r="F1036" s="32"/>
      <c r="G1036" s="74"/>
      <c r="H1036" s="32"/>
      <c r="I1036" s="32"/>
      <c r="J1036" s="32"/>
      <c r="K1036" s="74"/>
      <c r="L1036" s="35"/>
      <c r="M1036" s="32"/>
      <c r="N1036" s="32"/>
      <c r="O1036" s="59"/>
      <c r="P1036" s="73"/>
      <c r="Q1036" s="73"/>
      <c r="R1036" s="73"/>
      <c r="S1036" s="73"/>
      <c r="T1036" s="73"/>
      <c r="U1036" s="73"/>
      <c r="V1036" s="73"/>
      <c r="W1036" s="73"/>
      <c r="X1036" s="73"/>
      <c r="Y1036" s="73"/>
      <c r="Z1036" s="73"/>
      <c r="AA1036" s="73"/>
    </row>
    <row r="1037" spans="1:27" ht="12.75" customHeight="1">
      <c r="A1037" s="73"/>
      <c r="B1037" s="32"/>
      <c r="C1037" s="32"/>
      <c r="D1037" s="33"/>
      <c r="E1037" s="32"/>
      <c r="F1037" s="32"/>
      <c r="G1037" s="74"/>
      <c r="H1037" s="32"/>
      <c r="I1037" s="32"/>
      <c r="J1037" s="32"/>
      <c r="K1037" s="74"/>
      <c r="L1037" s="35"/>
      <c r="M1037" s="32"/>
      <c r="N1037" s="32"/>
      <c r="O1037" s="59"/>
      <c r="P1037" s="73"/>
      <c r="Q1037" s="73"/>
      <c r="R1037" s="73"/>
      <c r="S1037" s="73"/>
      <c r="T1037" s="73"/>
      <c r="U1037" s="73"/>
      <c r="V1037" s="73"/>
      <c r="W1037" s="73"/>
      <c r="X1037" s="73"/>
      <c r="Y1037" s="73"/>
      <c r="Z1037" s="73"/>
      <c r="AA1037" s="73"/>
    </row>
    <row r="1038" spans="1:27" ht="12.75" customHeight="1">
      <c r="A1038" s="73"/>
      <c r="B1038" s="32"/>
      <c r="C1038" s="32"/>
      <c r="D1038" s="33"/>
      <c r="E1038" s="32"/>
      <c r="F1038" s="32"/>
      <c r="G1038" s="74"/>
      <c r="H1038" s="32"/>
      <c r="I1038" s="32"/>
      <c r="J1038" s="32"/>
      <c r="K1038" s="74"/>
      <c r="L1038" s="35"/>
      <c r="M1038" s="32"/>
      <c r="N1038" s="32"/>
      <c r="O1038" s="59"/>
      <c r="P1038" s="73"/>
      <c r="Q1038" s="73"/>
      <c r="R1038" s="73"/>
      <c r="S1038" s="73"/>
      <c r="T1038" s="73"/>
      <c r="U1038" s="73"/>
      <c r="V1038" s="73"/>
      <c r="W1038" s="73"/>
      <c r="X1038" s="73"/>
      <c r="Y1038" s="73"/>
      <c r="Z1038" s="73"/>
      <c r="AA1038" s="73"/>
    </row>
    <row r="1039" spans="1:27" ht="12.75" customHeight="1">
      <c r="A1039" s="73"/>
      <c r="B1039" s="32"/>
      <c r="C1039" s="32"/>
      <c r="D1039" s="33"/>
      <c r="E1039" s="32"/>
      <c r="F1039" s="32"/>
      <c r="G1039" s="74"/>
      <c r="H1039" s="32"/>
      <c r="I1039" s="32"/>
      <c r="J1039" s="32"/>
      <c r="K1039" s="74"/>
      <c r="L1039" s="35"/>
      <c r="M1039" s="32"/>
      <c r="N1039" s="32"/>
      <c r="O1039" s="59"/>
      <c r="P1039" s="73"/>
      <c r="Q1039" s="73"/>
      <c r="R1039" s="73"/>
      <c r="S1039" s="73"/>
      <c r="T1039" s="73"/>
      <c r="U1039" s="73"/>
      <c r="V1039" s="73"/>
      <c r="W1039" s="73"/>
      <c r="X1039" s="73"/>
      <c r="Y1039" s="73"/>
      <c r="Z1039" s="73"/>
      <c r="AA1039" s="73"/>
    </row>
    <row r="1040" spans="1:27" ht="12.75" customHeight="1">
      <c r="A1040" s="73"/>
      <c r="B1040" s="32"/>
      <c r="C1040" s="32"/>
      <c r="D1040" s="33"/>
      <c r="E1040" s="32"/>
      <c r="F1040" s="32"/>
      <c r="G1040" s="74"/>
      <c r="H1040" s="32"/>
      <c r="I1040" s="32"/>
      <c r="J1040" s="32"/>
      <c r="K1040" s="74"/>
      <c r="L1040" s="35"/>
      <c r="M1040" s="32"/>
      <c r="N1040" s="32"/>
      <c r="O1040" s="59"/>
      <c r="P1040" s="73"/>
      <c r="Q1040" s="73"/>
      <c r="R1040" s="73"/>
      <c r="S1040" s="73"/>
      <c r="T1040" s="73"/>
      <c r="U1040" s="73"/>
      <c r="V1040" s="73"/>
      <c r="W1040" s="73"/>
      <c r="X1040" s="73"/>
      <c r="Y1040" s="73"/>
      <c r="Z1040" s="73"/>
      <c r="AA1040" s="73"/>
    </row>
    <row r="1041" spans="1:27" ht="12.75" customHeight="1">
      <c r="A1041" s="73"/>
      <c r="B1041" s="32"/>
      <c r="C1041" s="32"/>
      <c r="D1041" s="33"/>
      <c r="E1041" s="32"/>
      <c r="F1041" s="32"/>
      <c r="G1041" s="74"/>
      <c r="H1041" s="32"/>
      <c r="I1041" s="32"/>
      <c r="J1041" s="32"/>
      <c r="K1041" s="74"/>
      <c r="L1041" s="35"/>
      <c r="M1041" s="32"/>
      <c r="N1041" s="32"/>
      <c r="O1041" s="59"/>
      <c r="P1041" s="73"/>
      <c r="Q1041" s="73"/>
      <c r="R1041" s="73"/>
      <c r="S1041" s="73"/>
      <c r="T1041" s="73"/>
      <c r="U1041" s="73"/>
      <c r="V1041" s="73"/>
      <c r="W1041" s="73"/>
      <c r="X1041" s="73"/>
      <c r="Y1041" s="73"/>
      <c r="Z1041" s="73"/>
      <c r="AA1041" s="73"/>
    </row>
    <row r="1042" spans="1:27" ht="12.75" customHeight="1">
      <c r="A1042" s="73"/>
      <c r="B1042" s="32"/>
      <c r="C1042" s="32"/>
      <c r="D1042" s="33"/>
      <c r="E1042" s="32"/>
      <c r="F1042" s="32"/>
      <c r="G1042" s="74"/>
      <c r="H1042" s="32"/>
      <c r="I1042" s="32"/>
      <c r="J1042" s="32"/>
      <c r="K1042" s="74"/>
      <c r="L1042" s="35"/>
      <c r="M1042" s="32"/>
      <c r="N1042" s="32"/>
      <c r="O1042" s="59"/>
      <c r="P1042" s="73"/>
      <c r="Q1042" s="73"/>
      <c r="R1042" s="73"/>
      <c r="S1042" s="73"/>
      <c r="T1042" s="73"/>
      <c r="U1042" s="73"/>
      <c r="V1042" s="73"/>
      <c r="W1042" s="73"/>
      <c r="X1042" s="73"/>
      <c r="Y1042" s="73"/>
      <c r="Z1042" s="73"/>
      <c r="AA1042" s="73"/>
    </row>
    <row r="1043" spans="1:27" ht="12.75" customHeight="1">
      <c r="A1043" s="73"/>
      <c r="B1043" s="32"/>
      <c r="C1043" s="32"/>
      <c r="D1043" s="33"/>
      <c r="E1043" s="32"/>
      <c r="F1043" s="32"/>
      <c r="G1043" s="74"/>
      <c r="H1043" s="32"/>
      <c r="I1043" s="32"/>
      <c r="J1043" s="32"/>
      <c r="K1043" s="74"/>
      <c r="L1043" s="35"/>
      <c r="M1043" s="32"/>
      <c r="N1043" s="32"/>
      <c r="O1043" s="59"/>
      <c r="P1043" s="73"/>
      <c r="Q1043" s="73"/>
      <c r="R1043" s="73"/>
      <c r="S1043" s="73"/>
      <c r="T1043" s="73"/>
      <c r="U1043" s="73"/>
      <c r="V1043" s="73"/>
      <c r="W1043" s="73"/>
      <c r="X1043" s="73"/>
      <c r="Y1043" s="73"/>
      <c r="Z1043" s="73"/>
      <c r="AA1043" s="73"/>
    </row>
    <row r="1044" spans="1:27" ht="12.75" customHeight="1">
      <c r="A1044" s="73"/>
      <c r="B1044" s="32"/>
      <c r="C1044" s="32"/>
      <c r="D1044" s="33"/>
      <c r="E1044" s="32"/>
      <c r="F1044" s="32"/>
      <c r="G1044" s="74"/>
      <c r="H1044" s="32"/>
      <c r="I1044" s="32"/>
      <c r="J1044" s="32"/>
      <c r="K1044" s="74"/>
      <c r="L1044" s="35"/>
      <c r="M1044" s="32"/>
      <c r="N1044" s="32"/>
      <c r="O1044" s="59"/>
      <c r="P1044" s="73"/>
      <c r="Q1044" s="73"/>
      <c r="R1044" s="73"/>
      <c r="S1044" s="73"/>
      <c r="T1044" s="73"/>
      <c r="U1044" s="73"/>
      <c r="V1044" s="73"/>
      <c r="W1044" s="73"/>
      <c r="X1044" s="73"/>
      <c r="Y1044" s="73"/>
      <c r="Z1044" s="73"/>
      <c r="AA1044" s="73"/>
    </row>
    <row r="1045" spans="1:27" ht="12.75" customHeight="1">
      <c r="A1045" s="73"/>
      <c r="B1045" s="32"/>
      <c r="C1045" s="32"/>
      <c r="D1045" s="33"/>
      <c r="E1045" s="32"/>
      <c r="F1045" s="32"/>
      <c r="G1045" s="74"/>
      <c r="H1045" s="32"/>
      <c r="I1045" s="32"/>
      <c r="J1045" s="32"/>
      <c r="K1045" s="74"/>
      <c r="L1045" s="35"/>
      <c r="M1045" s="32"/>
      <c r="N1045" s="32"/>
      <c r="O1045" s="59"/>
      <c r="P1045" s="73"/>
      <c r="Q1045" s="73"/>
      <c r="R1045" s="73"/>
      <c r="S1045" s="73"/>
      <c r="T1045" s="73"/>
      <c r="U1045" s="73"/>
      <c r="V1045" s="73"/>
      <c r="W1045" s="73"/>
      <c r="X1045" s="73"/>
      <c r="Y1045" s="73"/>
      <c r="Z1045" s="73"/>
      <c r="AA1045" s="73"/>
    </row>
    <row r="1046" spans="1:27" ht="12.75" customHeight="1">
      <c r="A1046" s="73"/>
      <c r="B1046" s="32"/>
      <c r="C1046" s="32"/>
      <c r="D1046" s="33"/>
      <c r="E1046" s="32"/>
      <c r="F1046" s="32"/>
      <c r="G1046" s="74"/>
      <c r="H1046" s="32"/>
      <c r="I1046" s="32"/>
      <c r="J1046" s="32"/>
      <c r="K1046" s="74"/>
      <c r="L1046" s="35"/>
      <c r="M1046" s="32"/>
      <c r="N1046" s="32"/>
      <c r="O1046" s="59"/>
      <c r="P1046" s="73"/>
      <c r="Q1046" s="73"/>
      <c r="R1046" s="73"/>
      <c r="S1046" s="73"/>
      <c r="T1046" s="73"/>
      <c r="U1046" s="73"/>
      <c r="V1046" s="73"/>
      <c r="W1046" s="73"/>
      <c r="X1046" s="73"/>
      <c r="Y1046" s="73"/>
      <c r="Z1046" s="73"/>
      <c r="AA1046" s="73"/>
    </row>
    <row r="1047" spans="1:27" ht="12.75" customHeight="1">
      <c r="A1047" s="73"/>
      <c r="B1047" s="32"/>
      <c r="C1047" s="32"/>
      <c r="D1047" s="33"/>
      <c r="E1047" s="32"/>
      <c r="F1047" s="32"/>
      <c r="G1047" s="74"/>
      <c r="H1047" s="32"/>
      <c r="I1047" s="32"/>
      <c r="J1047" s="32"/>
      <c r="K1047" s="74"/>
      <c r="L1047" s="35"/>
      <c r="M1047" s="32"/>
      <c r="N1047" s="32"/>
      <c r="O1047" s="59"/>
      <c r="P1047" s="73"/>
      <c r="Q1047" s="73"/>
      <c r="R1047" s="73"/>
      <c r="S1047" s="73"/>
      <c r="T1047" s="73"/>
      <c r="U1047" s="73"/>
      <c r="V1047" s="73"/>
      <c r="W1047" s="73"/>
      <c r="X1047" s="73"/>
      <c r="Y1047" s="73"/>
      <c r="Z1047" s="73"/>
      <c r="AA1047" s="73"/>
    </row>
    <row r="1048" spans="1:27" ht="12.75" customHeight="1">
      <c r="A1048" s="73"/>
      <c r="B1048" s="32"/>
      <c r="C1048" s="32"/>
      <c r="D1048" s="33"/>
      <c r="E1048" s="32"/>
      <c r="F1048" s="32"/>
      <c r="G1048" s="74"/>
      <c r="H1048" s="32"/>
      <c r="I1048" s="32"/>
      <c r="J1048" s="32"/>
      <c r="K1048" s="74"/>
      <c r="L1048" s="35"/>
      <c r="M1048" s="32"/>
      <c r="N1048" s="32"/>
      <c r="O1048" s="59"/>
      <c r="P1048" s="73"/>
      <c r="Q1048" s="73"/>
      <c r="R1048" s="73"/>
      <c r="S1048" s="73"/>
      <c r="T1048" s="73"/>
      <c r="U1048" s="73"/>
      <c r="V1048" s="73"/>
      <c r="W1048" s="73"/>
      <c r="X1048" s="73"/>
      <c r="Y1048" s="73"/>
      <c r="Z1048" s="73"/>
      <c r="AA1048" s="73"/>
    </row>
    <row r="1049" spans="1:27" ht="12.75" customHeight="1">
      <c r="A1049" s="73"/>
      <c r="B1049" s="32"/>
      <c r="C1049" s="32"/>
      <c r="D1049" s="33"/>
      <c r="E1049" s="32"/>
      <c r="F1049" s="32"/>
      <c r="G1049" s="74"/>
      <c r="H1049" s="32"/>
      <c r="I1049" s="32"/>
      <c r="J1049" s="32"/>
      <c r="K1049" s="74"/>
      <c r="L1049" s="35"/>
      <c r="M1049" s="32"/>
      <c r="N1049" s="32"/>
      <c r="O1049" s="59"/>
      <c r="P1049" s="73"/>
      <c r="Q1049" s="73"/>
      <c r="R1049" s="73"/>
      <c r="S1049" s="73"/>
      <c r="T1049" s="73"/>
      <c r="U1049" s="73"/>
      <c r="V1049" s="73"/>
      <c r="W1049" s="73"/>
      <c r="X1049" s="73"/>
      <c r="Y1049" s="73"/>
      <c r="Z1049" s="73"/>
      <c r="AA1049" s="73"/>
    </row>
    <row r="1050" spans="1:27" ht="12.75" customHeight="1">
      <c r="A1050" s="73"/>
      <c r="B1050" s="32"/>
      <c r="C1050" s="32"/>
      <c r="D1050" s="33"/>
      <c r="E1050" s="32"/>
      <c r="F1050" s="32"/>
      <c r="G1050" s="74"/>
      <c r="H1050" s="32"/>
      <c r="I1050" s="32"/>
      <c r="J1050" s="32"/>
      <c r="K1050" s="74"/>
      <c r="L1050" s="35"/>
      <c r="M1050" s="32"/>
      <c r="N1050" s="32"/>
      <c r="O1050" s="59"/>
      <c r="P1050" s="73"/>
      <c r="Q1050" s="73"/>
      <c r="R1050" s="73"/>
      <c r="S1050" s="73"/>
      <c r="T1050" s="73"/>
      <c r="U1050" s="73"/>
      <c r="V1050" s="73"/>
      <c r="W1050" s="73"/>
      <c r="X1050" s="73"/>
      <c r="Y1050" s="73"/>
      <c r="Z1050" s="73"/>
      <c r="AA1050" s="73"/>
    </row>
    <row r="1051" spans="1:27" ht="12.75" customHeight="1">
      <c r="A1051" s="73"/>
      <c r="B1051" s="32"/>
      <c r="C1051" s="32"/>
      <c r="D1051" s="33"/>
      <c r="E1051" s="32"/>
      <c r="F1051" s="32"/>
      <c r="G1051" s="74"/>
      <c r="H1051" s="32"/>
      <c r="I1051" s="32"/>
      <c r="J1051" s="32"/>
      <c r="K1051" s="74"/>
      <c r="L1051" s="35"/>
      <c r="M1051" s="32"/>
      <c r="N1051" s="32"/>
      <c r="O1051" s="59"/>
      <c r="P1051" s="73"/>
      <c r="Q1051" s="73"/>
      <c r="R1051" s="73"/>
      <c r="S1051" s="73"/>
      <c r="T1051" s="73"/>
      <c r="U1051" s="73"/>
      <c r="V1051" s="73"/>
      <c r="W1051" s="73"/>
      <c r="X1051" s="73"/>
      <c r="Y1051" s="73"/>
      <c r="Z1051" s="73"/>
      <c r="AA1051" s="73"/>
    </row>
    <row r="1052" spans="1:27" ht="12.75" customHeight="1">
      <c r="A1052" s="73"/>
      <c r="B1052" s="32"/>
      <c r="C1052" s="32"/>
      <c r="D1052" s="33"/>
      <c r="E1052" s="32"/>
      <c r="F1052" s="32"/>
      <c r="G1052" s="74"/>
      <c r="H1052" s="32"/>
      <c r="I1052" s="32"/>
      <c r="J1052" s="32"/>
      <c r="K1052" s="74"/>
      <c r="L1052" s="35"/>
      <c r="M1052" s="32"/>
      <c r="N1052" s="32"/>
      <c r="O1052" s="59"/>
      <c r="P1052" s="73"/>
      <c r="Q1052" s="73"/>
      <c r="R1052" s="73"/>
      <c r="S1052" s="73"/>
      <c r="T1052" s="73"/>
      <c r="U1052" s="73"/>
      <c r="V1052" s="73"/>
      <c r="W1052" s="73"/>
      <c r="X1052" s="73"/>
      <c r="Y1052" s="73"/>
      <c r="Z1052" s="73"/>
      <c r="AA1052" s="73"/>
    </row>
    <row r="1053" spans="1:27" ht="12.75" customHeight="1">
      <c r="A1053" s="73"/>
      <c r="B1053" s="32"/>
      <c r="C1053" s="32"/>
      <c r="D1053" s="33"/>
      <c r="E1053" s="32"/>
      <c r="F1053" s="32"/>
      <c r="G1053" s="74"/>
      <c r="H1053" s="32"/>
      <c r="I1053" s="32"/>
      <c r="J1053" s="32"/>
      <c r="K1053" s="74"/>
      <c r="L1053" s="35"/>
      <c r="M1053" s="32"/>
      <c r="N1053" s="32"/>
      <c r="O1053" s="59"/>
      <c r="P1053" s="73"/>
      <c r="Q1053" s="73"/>
      <c r="R1053" s="73"/>
      <c r="S1053" s="73"/>
      <c r="T1053" s="73"/>
      <c r="U1053" s="73"/>
      <c r="V1053" s="73"/>
      <c r="W1053" s="73"/>
      <c r="X1053" s="73"/>
      <c r="Y1053" s="73"/>
      <c r="Z1053" s="73"/>
      <c r="AA1053" s="73"/>
    </row>
    <row r="1054" spans="1:27" ht="12.75" customHeight="1">
      <c r="A1054" s="73"/>
      <c r="B1054" s="32"/>
      <c r="C1054" s="32"/>
      <c r="D1054" s="33"/>
      <c r="E1054" s="32"/>
      <c r="F1054" s="32"/>
      <c r="G1054" s="74"/>
      <c r="H1054" s="32"/>
      <c r="I1054" s="32"/>
      <c r="J1054" s="32"/>
      <c r="K1054" s="74"/>
      <c r="L1054" s="35"/>
      <c r="M1054" s="32"/>
      <c r="N1054" s="32"/>
      <c r="O1054" s="59"/>
      <c r="P1054" s="73"/>
      <c r="Q1054" s="73"/>
      <c r="R1054" s="73"/>
      <c r="S1054" s="73"/>
      <c r="T1054" s="73"/>
      <c r="U1054" s="73"/>
      <c r="V1054" s="73"/>
      <c r="W1054" s="73"/>
      <c r="X1054" s="73"/>
      <c r="Y1054" s="73"/>
      <c r="Z1054" s="73"/>
      <c r="AA1054" s="73"/>
    </row>
    <row r="1055" spans="1:27" ht="12.75" customHeight="1">
      <c r="A1055" s="73"/>
      <c r="B1055" s="32"/>
      <c r="C1055" s="32"/>
      <c r="D1055" s="33"/>
      <c r="E1055" s="32"/>
      <c r="F1055" s="32"/>
      <c r="G1055" s="74"/>
      <c r="H1055" s="32"/>
      <c r="I1055" s="32"/>
      <c r="J1055" s="32"/>
      <c r="K1055" s="74"/>
      <c r="L1055" s="35"/>
      <c r="M1055" s="32"/>
      <c r="N1055" s="32"/>
      <c r="O1055" s="59"/>
      <c r="P1055" s="73"/>
      <c r="Q1055" s="73"/>
      <c r="R1055" s="73"/>
      <c r="S1055" s="73"/>
      <c r="T1055" s="73"/>
      <c r="U1055" s="73"/>
      <c r="V1055" s="73"/>
      <c r="W1055" s="73"/>
      <c r="X1055" s="73"/>
      <c r="Y1055" s="73"/>
      <c r="Z1055" s="73"/>
      <c r="AA1055" s="73"/>
    </row>
    <row r="1056" spans="1:27" ht="12.75" customHeight="1">
      <c r="A1056" s="73"/>
      <c r="B1056" s="32"/>
      <c r="C1056" s="32"/>
      <c r="D1056" s="33"/>
      <c r="E1056" s="32"/>
      <c r="F1056" s="32"/>
      <c r="G1056" s="74"/>
      <c r="H1056" s="32"/>
      <c r="I1056" s="32"/>
      <c r="J1056" s="32"/>
      <c r="K1056" s="74"/>
      <c r="L1056" s="35"/>
      <c r="M1056" s="32"/>
      <c r="N1056" s="32"/>
      <c r="O1056" s="59"/>
      <c r="P1056" s="73"/>
      <c r="Q1056" s="73"/>
      <c r="R1056" s="73"/>
      <c r="S1056" s="73"/>
      <c r="T1056" s="73"/>
      <c r="U1056" s="73"/>
      <c r="V1056" s="73"/>
      <c r="W1056" s="73"/>
      <c r="X1056" s="73"/>
      <c r="Y1056" s="73"/>
      <c r="Z1056" s="73"/>
      <c r="AA1056" s="73"/>
    </row>
    <row r="1057" spans="1:27" ht="12.75" customHeight="1">
      <c r="A1057" s="73"/>
      <c r="B1057" s="32"/>
      <c r="C1057" s="32"/>
      <c r="D1057" s="33"/>
      <c r="E1057" s="32"/>
      <c r="F1057" s="32"/>
      <c r="G1057" s="74"/>
      <c r="H1057" s="32"/>
      <c r="I1057" s="32"/>
      <c r="J1057" s="32"/>
      <c r="K1057" s="74"/>
      <c r="L1057" s="35"/>
      <c r="M1057" s="32"/>
      <c r="N1057" s="32"/>
      <c r="O1057" s="59"/>
      <c r="P1057" s="73"/>
      <c r="Q1057" s="73"/>
      <c r="R1057" s="73"/>
      <c r="S1057" s="73"/>
      <c r="T1057" s="73"/>
      <c r="U1057" s="73"/>
      <c r="V1057" s="73"/>
      <c r="W1057" s="73"/>
      <c r="X1057" s="73"/>
      <c r="Y1057" s="73"/>
      <c r="Z1057" s="73"/>
      <c r="AA1057" s="73"/>
    </row>
    <row r="1058" spans="1:27" ht="12.75" customHeight="1">
      <c r="A1058" s="73"/>
      <c r="B1058" s="32"/>
      <c r="C1058" s="32"/>
      <c r="D1058" s="33"/>
      <c r="E1058" s="32"/>
      <c r="F1058" s="32"/>
      <c r="G1058" s="74"/>
      <c r="H1058" s="32"/>
      <c r="I1058" s="32"/>
      <c r="J1058" s="32"/>
      <c r="K1058" s="74"/>
      <c r="L1058" s="35"/>
      <c r="M1058" s="32"/>
      <c r="N1058" s="32"/>
      <c r="O1058" s="59"/>
      <c r="P1058" s="73"/>
      <c r="Q1058" s="73"/>
      <c r="R1058" s="73"/>
      <c r="S1058" s="73"/>
      <c r="T1058" s="73"/>
      <c r="U1058" s="73"/>
      <c r="V1058" s="73"/>
      <c r="W1058" s="73"/>
      <c r="X1058" s="73"/>
      <c r="Y1058" s="73"/>
      <c r="Z1058" s="73"/>
      <c r="AA1058" s="73"/>
    </row>
    <row r="1059" spans="1:27" ht="12.75" customHeight="1">
      <c r="A1059" s="73"/>
      <c r="B1059" s="32"/>
      <c r="C1059" s="32"/>
      <c r="D1059" s="33"/>
      <c r="E1059" s="32"/>
      <c r="F1059" s="32"/>
      <c r="G1059" s="74"/>
      <c r="H1059" s="32"/>
      <c r="I1059" s="32"/>
      <c r="J1059" s="32"/>
      <c r="K1059" s="74"/>
      <c r="L1059" s="35"/>
      <c r="M1059" s="32"/>
      <c r="N1059" s="32"/>
      <c r="O1059" s="59"/>
      <c r="P1059" s="73"/>
      <c r="Q1059" s="73"/>
      <c r="R1059" s="73"/>
      <c r="S1059" s="73"/>
      <c r="T1059" s="73"/>
      <c r="U1059" s="73"/>
      <c r="V1059" s="73"/>
      <c r="W1059" s="73"/>
      <c r="X1059" s="73"/>
      <c r="Y1059" s="73"/>
      <c r="Z1059" s="73"/>
      <c r="AA1059" s="73"/>
    </row>
    <row r="1060" spans="1:27" ht="12.75" customHeight="1">
      <c r="A1060" s="73"/>
      <c r="B1060" s="32"/>
      <c r="C1060" s="32"/>
      <c r="D1060" s="33"/>
      <c r="E1060" s="32"/>
      <c r="F1060" s="32"/>
      <c r="G1060" s="74"/>
      <c r="H1060" s="32"/>
      <c r="I1060" s="32"/>
      <c r="J1060" s="32"/>
      <c r="K1060" s="74"/>
      <c r="L1060" s="35"/>
      <c r="M1060" s="32"/>
      <c r="N1060" s="32"/>
      <c r="O1060" s="59"/>
      <c r="P1060" s="73"/>
      <c r="Q1060" s="73"/>
      <c r="R1060" s="73"/>
      <c r="S1060" s="73"/>
      <c r="T1060" s="73"/>
      <c r="U1060" s="73"/>
      <c r="V1060" s="73"/>
      <c r="W1060" s="73"/>
      <c r="X1060" s="73"/>
      <c r="Y1060" s="73"/>
      <c r="Z1060" s="73"/>
      <c r="AA1060" s="73"/>
    </row>
    <row r="1061" spans="1:27" ht="12.75" customHeight="1">
      <c r="A1061" s="73"/>
      <c r="B1061" s="32"/>
      <c r="C1061" s="32"/>
      <c r="D1061" s="33"/>
      <c r="E1061" s="32"/>
      <c r="F1061" s="32"/>
      <c r="G1061" s="74"/>
      <c r="H1061" s="32"/>
      <c r="I1061" s="32"/>
      <c r="J1061" s="32"/>
      <c r="K1061" s="74"/>
      <c r="L1061" s="35"/>
      <c r="M1061" s="32"/>
      <c r="N1061" s="32"/>
      <c r="O1061" s="59"/>
      <c r="P1061" s="73"/>
      <c r="Q1061" s="73"/>
      <c r="R1061" s="73"/>
      <c r="S1061" s="73"/>
      <c r="T1061" s="73"/>
      <c r="U1061" s="73"/>
      <c r="V1061" s="73"/>
      <c r="W1061" s="73"/>
      <c r="X1061" s="73"/>
      <c r="Y1061" s="73"/>
      <c r="Z1061" s="73"/>
      <c r="AA1061" s="73"/>
    </row>
    <row r="1062" spans="1:27" ht="12.75" customHeight="1">
      <c r="A1062" s="73"/>
      <c r="B1062" s="32"/>
      <c r="C1062" s="32"/>
      <c r="D1062" s="33"/>
      <c r="E1062" s="32"/>
      <c r="F1062" s="32"/>
      <c r="G1062" s="74"/>
      <c r="H1062" s="32"/>
      <c r="I1062" s="32"/>
      <c r="J1062" s="32"/>
      <c r="K1062" s="74"/>
      <c r="L1062" s="35"/>
      <c r="M1062" s="32"/>
      <c r="N1062" s="32"/>
      <c r="O1062" s="59"/>
      <c r="P1062" s="73"/>
      <c r="Q1062" s="73"/>
      <c r="R1062" s="73"/>
      <c r="S1062" s="73"/>
      <c r="T1062" s="73"/>
      <c r="U1062" s="73"/>
      <c r="V1062" s="73"/>
      <c r="W1062" s="73"/>
      <c r="X1062" s="73"/>
      <c r="Y1062" s="73"/>
      <c r="Z1062" s="73"/>
      <c r="AA1062" s="73"/>
    </row>
    <row r="1063" spans="1:27" ht="12.75" customHeight="1">
      <c r="A1063" s="73"/>
      <c r="B1063" s="32"/>
      <c r="C1063" s="32"/>
      <c r="D1063" s="33"/>
      <c r="E1063" s="32"/>
      <c r="F1063" s="32"/>
      <c r="G1063" s="74"/>
      <c r="H1063" s="32"/>
      <c r="I1063" s="32"/>
      <c r="J1063" s="32"/>
      <c r="K1063" s="74"/>
      <c r="L1063" s="35"/>
      <c r="M1063" s="32"/>
      <c r="N1063" s="32"/>
      <c r="O1063" s="59"/>
      <c r="P1063" s="73"/>
      <c r="Q1063" s="73"/>
      <c r="R1063" s="73"/>
      <c r="S1063" s="73"/>
      <c r="T1063" s="73"/>
      <c r="U1063" s="73"/>
      <c r="V1063" s="73"/>
      <c r="W1063" s="73"/>
      <c r="X1063" s="73"/>
      <c r="Y1063" s="73"/>
      <c r="Z1063" s="73"/>
      <c r="AA1063" s="73"/>
    </row>
    <row r="1064" spans="1:27" ht="12.75" customHeight="1">
      <c r="A1064" s="73"/>
      <c r="B1064" s="32"/>
      <c r="C1064" s="32"/>
      <c r="D1064" s="33"/>
      <c r="E1064" s="32"/>
      <c r="F1064" s="32"/>
      <c r="G1064" s="74"/>
      <c r="H1064" s="32"/>
      <c r="I1064" s="32"/>
      <c r="J1064" s="32"/>
      <c r="K1064" s="74"/>
      <c r="L1064" s="35"/>
      <c r="M1064" s="32"/>
      <c r="N1064" s="32"/>
      <c r="O1064" s="59"/>
      <c r="P1064" s="73"/>
      <c r="Q1064" s="73"/>
      <c r="R1064" s="73"/>
      <c r="S1064" s="73"/>
      <c r="T1064" s="73"/>
      <c r="U1064" s="73"/>
      <c r="V1064" s="73"/>
      <c r="W1064" s="73"/>
      <c r="X1064" s="73"/>
      <c r="Y1064" s="73"/>
      <c r="Z1064" s="73"/>
      <c r="AA1064" s="73"/>
    </row>
    <row r="1065" spans="1:27" ht="12.75" customHeight="1">
      <c r="A1065" s="73"/>
      <c r="B1065" s="32"/>
      <c r="C1065" s="32"/>
      <c r="D1065" s="33"/>
      <c r="E1065" s="32"/>
      <c r="F1065" s="32"/>
      <c r="G1065" s="74"/>
      <c r="H1065" s="32"/>
      <c r="I1065" s="32"/>
      <c r="J1065" s="32"/>
      <c r="K1065" s="74"/>
      <c r="L1065" s="35"/>
      <c r="M1065" s="32"/>
      <c r="N1065" s="32"/>
      <c r="O1065" s="59"/>
      <c r="P1065" s="73"/>
      <c r="Q1065" s="73"/>
      <c r="R1065" s="73"/>
      <c r="S1065" s="73"/>
      <c r="T1065" s="73"/>
      <c r="U1065" s="73"/>
      <c r="V1065" s="73"/>
      <c r="W1065" s="73"/>
      <c r="X1065" s="73"/>
      <c r="Y1065" s="73"/>
      <c r="Z1065" s="73"/>
      <c r="AA1065" s="73"/>
    </row>
    <row r="1066" spans="1:27" ht="12.75" customHeight="1">
      <c r="A1066" s="73"/>
      <c r="B1066" s="32"/>
      <c r="C1066" s="32"/>
      <c r="D1066" s="33"/>
      <c r="E1066" s="32"/>
      <c r="F1066" s="32"/>
      <c r="G1066" s="74"/>
      <c r="H1066" s="32"/>
      <c r="I1066" s="32"/>
      <c r="J1066" s="32"/>
      <c r="K1066" s="74"/>
      <c r="L1066" s="35"/>
      <c r="M1066" s="32"/>
      <c r="N1066" s="32"/>
      <c r="O1066" s="59"/>
      <c r="P1066" s="73"/>
      <c r="Q1066" s="73"/>
      <c r="R1066" s="73"/>
      <c r="S1066" s="73"/>
      <c r="T1066" s="73"/>
      <c r="U1066" s="73"/>
      <c r="V1066" s="73"/>
      <c r="W1066" s="73"/>
      <c r="X1066" s="73"/>
      <c r="Y1066" s="73"/>
      <c r="Z1066" s="73"/>
      <c r="AA1066" s="73"/>
    </row>
    <row r="1067" spans="1:27" ht="12.75" customHeight="1">
      <c r="A1067" s="73"/>
      <c r="B1067" s="32"/>
      <c r="C1067" s="32"/>
      <c r="D1067" s="33"/>
      <c r="E1067" s="32"/>
      <c r="F1067" s="32"/>
      <c r="G1067" s="74"/>
      <c r="H1067" s="32"/>
      <c r="I1067" s="32"/>
      <c r="J1067" s="32"/>
      <c r="K1067" s="74"/>
      <c r="L1067" s="35"/>
      <c r="M1067" s="32"/>
      <c r="N1067" s="32"/>
      <c r="O1067" s="59"/>
      <c r="P1067" s="73"/>
      <c r="Q1067" s="73"/>
      <c r="R1067" s="73"/>
      <c r="S1067" s="73"/>
      <c r="T1067" s="73"/>
      <c r="U1067" s="73"/>
      <c r="V1067" s="73"/>
      <c r="W1067" s="73"/>
      <c r="X1067" s="73"/>
      <c r="Y1067" s="73"/>
      <c r="Z1067" s="73"/>
      <c r="AA1067" s="73"/>
    </row>
    <row r="1068" spans="1:27" ht="12.75" customHeight="1">
      <c r="A1068" s="73"/>
      <c r="B1068" s="32"/>
      <c r="C1068" s="32"/>
      <c r="D1068" s="33"/>
      <c r="E1068" s="32"/>
      <c r="F1068" s="32"/>
      <c r="G1068" s="74"/>
      <c r="H1068" s="32"/>
      <c r="I1068" s="32"/>
      <c r="J1068" s="32"/>
      <c r="K1068" s="74"/>
      <c r="L1068" s="35"/>
      <c r="M1068" s="32"/>
      <c r="N1068" s="32"/>
      <c r="O1068" s="59"/>
      <c r="P1068" s="73"/>
      <c r="Q1068" s="73"/>
      <c r="R1068" s="73"/>
      <c r="S1068" s="73"/>
      <c r="T1068" s="73"/>
      <c r="U1068" s="73"/>
      <c r="V1068" s="73"/>
      <c r="W1068" s="73"/>
      <c r="X1068" s="73"/>
      <c r="Y1068" s="73"/>
      <c r="Z1068" s="73"/>
      <c r="AA1068" s="73"/>
    </row>
    <row r="1069" spans="1:27" ht="12.75" customHeight="1">
      <c r="A1069" s="73"/>
      <c r="B1069" s="32"/>
      <c r="C1069" s="32"/>
      <c r="D1069" s="33"/>
      <c r="E1069" s="32"/>
      <c r="F1069" s="32"/>
      <c r="G1069" s="74"/>
      <c r="H1069" s="32"/>
      <c r="I1069" s="32"/>
      <c r="J1069" s="32"/>
      <c r="K1069" s="74"/>
      <c r="L1069" s="35"/>
      <c r="M1069" s="32"/>
      <c r="N1069" s="32"/>
      <c r="O1069" s="59"/>
      <c r="P1069" s="73"/>
      <c r="Q1069" s="73"/>
      <c r="R1069" s="73"/>
      <c r="S1069" s="73"/>
      <c r="T1069" s="73"/>
      <c r="U1069" s="73"/>
      <c r="V1069" s="73"/>
      <c r="W1069" s="73"/>
      <c r="X1069" s="73"/>
      <c r="Y1069" s="73"/>
      <c r="Z1069" s="73"/>
      <c r="AA1069" s="73"/>
    </row>
    <row r="1070" spans="1:27" ht="12.75" customHeight="1">
      <c r="A1070" s="73"/>
      <c r="B1070" s="32"/>
      <c r="C1070" s="32"/>
      <c r="D1070" s="33"/>
      <c r="E1070" s="32"/>
      <c r="F1070" s="32"/>
      <c r="G1070" s="74"/>
      <c r="H1070" s="32"/>
      <c r="I1070" s="32"/>
      <c r="J1070" s="32"/>
      <c r="K1070" s="74"/>
      <c r="L1070" s="35"/>
      <c r="M1070" s="32"/>
      <c r="N1070" s="32"/>
      <c r="O1070" s="59"/>
      <c r="P1070" s="73"/>
      <c r="Q1070" s="73"/>
      <c r="R1070" s="73"/>
      <c r="S1070" s="73"/>
      <c r="T1070" s="73"/>
      <c r="U1070" s="73"/>
      <c r="V1070" s="73"/>
      <c r="W1070" s="73"/>
      <c r="X1070" s="73"/>
      <c r="Y1070" s="73"/>
      <c r="Z1070" s="73"/>
      <c r="AA1070" s="73"/>
    </row>
    <row r="1071" spans="1:27" ht="12.75" customHeight="1">
      <c r="A1071" s="73"/>
      <c r="B1071" s="32"/>
      <c r="C1071" s="32"/>
      <c r="D1071" s="33"/>
      <c r="E1071" s="32"/>
      <c r="F1071" s="32"/>
      <c r="G1071" s="74"/>
      <c r="H1071" s="32"/>
      <c r="I1071" s="32"/>
      <c r="J1071" s="32"/>
      <c r="K1071" s="74"/>
      <c r="L1071" s="35"/>
      <c r="M1071" s="32"/>
      <c r="N1071" s="32"/>
      <c r="O1071" s="59"/>
      <c r="P1071" s="73"/>
      <c r="Q1071" s="73"/>
      <c r="R1071" s="73"/>
      <c r="S1071" s="73"/>
      <c r="T1071" s="73"/>
      <c r="U1071" s="73"/>
      <c r="V1071" s="73"/>
      <c r="W1071" s="73"/>
      <c r="X1071" s="73"/>
      <c r="Y1071" s="73"/>
      <c r="Z1071" s="73"/>
      <c r="AA1071" s="73"/>
    </row>
    <row r="1072" spans="1:27" ht="12.75" customHeight="1">
      <c r="A1072" s="73"/>
      <c r="B1072" s="32"/>
      <c r="C1072" s="32"/>
      <c r="D1072" s="33"/>
      <c r="E1072" s="32"/>
      <c r="F1072" s="32"/>
      <c r="G1072" s="74"/>
      <c r="H1072" s="32"/>
      <c r="I1072" s="32"/>
      <c r="J1072" s="32"/>
      <c r="K1072" s="74"/>
      <c r="L1072" s="35"/>
      <c r="M1072" s="32"/>
      <c r="N1072" s="32"/>
      <c r="O1072" s="59"/>
      <c r="P1072" s="73"/>
      <c r="Q1072" s="73"/>
      <c r="R1072" s="73"/>
      <c r="S1072" s="73"/>
      <c r="T1072" s="73"/>
      <c r="U1072" s="73"/>
      <c r="V1072" s="73"/>
      <c r="W1072" s="73"/>
      <c r="X1072" s="73"/>
      <c r="Y1072" s="73"/>
      <c r="Z1072" s="73"/>
      <c r="AA1072" s="73"/>
    </row>
    <row r="1073" spans="1:27" ht="12.75" customHeight="1">
      <c r="A1073" s="73"/>
      <c r="B1073" s="32"/>
      <c r="C1073" s="32"/>
      <c r="D1073" s="33"/>
      <c r="E1073" s="32"/>
      <c r="F1073" s="32"/>
      <c r="G1073" s="74"/>
      <c r="H1073" s="32"/>
      <c r="I1073" s="32"/>
      <c r="J1073" s="32"/>
      <c r="K1073" s="74"/>
      <c r="L1073" s="35"/>
      <c r="M1073" s="32"/>
      <c r="N1073" s="32"/>
      <c r="O1073" s="59"/>
      <c r="P1073" s="73"/>
      <c r="Q1073" s="73"/>
      <c r="R1073" s="73"/>
      <c r="S1073" s="73"/>
      <c r="T1073" s="73"/>
      <c r="U1073" s="73"/>
      <c r="V1073" s="73"/>
      <c r="W1073" s="73"/>
      <c r="X1073" s="73"/>
      <c r="Y1073" s="73"/>
      <c r="Z1073" s="73"/>
      <c r="AA1073" s="73"/>
    </row>
    <row r="1074" spans="1:27" ht="12.75" customHeight="1">
      <c r="A1074" s="73"/>
      <c r="B1074" s="32"/>
      <c r="C1074" s="32"/>
      <c r="D1074" s="33"/>
      <c r="E1074" s="32"/>
      <c r="F1074" s="32"/>
      <c r="G1074" s="74"/>
      <c r="H1074" s="32"/>
      <c r="I1074" s="32"/>
      <c r="J1074" s="32"/>
      <c r="K1074" s="74"/>
      <c r="L1074" s="35"/>
      <c r="M1074" s="32"/>
      <c r="N1074" s="32"/>
      <c r="O1074" s="59"/>
      <c r="P1074" s="73"/>
      <c r="Q1074" s="73"/>
      <c r="R1074" s="73"/>
      <c r="S1074" s="73"/>
      <c r="T1074" s="73"/>
      <c r="U1074" s="73"/>
      <c r="V1074" s="73"/>
      <c r="W1074" s="73"/>
      <c r="X1074" s="73"/>
      <c r="Y1074" s="73"/>
      <c r="Z1074" s="73"/>
      <c r="AA1074" s="73"/>
    </row>
    <row r="1075" spans="1:27" ht="12.75" customHeight="1">
      <c r="A1075" s="73"/>
      <c r="B1075" s="32"/>
      <c r="C1075" s="32"/>
      <c r="D1075" s="33"/>
      <c r="E1075" s="32"/>
      <c r="F1075" s="32"/>
      <c r="G1075" s="74"/>
      <c r="H1075" s="32"/>
      <c r="I1075" s="32"/>
      <c r="J1075" s="32"/>
      <c r="K1075" s="74"/>
      <c r="L1075" s="35"/>
      <c r="M1075" s="32"/>
      <c r="N1075" s="32"/>
      <c r="O1075" s="59"/>
      <c r="P1075" s="73"/>
      <c r="Q1075" s="73"/>
      <c r="R1075" s="73"/>
      <c r="S1075" s="73"/>
      <c r="T1075" s="73"/>
      <c r="U1075" s="73"/>
      <c r="V1075" s="73"/>
      <c r="W1075" s="73"/>
      <c r="X1075" s="73"/>
      <c r="Y1075" s="73"/>
      <c r="Z1075" s="73"/>
      <c r="AA1075" s="73"/>
    </row>
    <row r="1076" spans="1:27" ht="12.75" customHeight="1">
      <c r="A1076" s="73"/>
      <c r="B1076" s="32"/>
      <c r="C1076" s="32"/>
      <c r="D1076" s="33"/>
      <c r="E1076" s="32"/>
      <c r="F1076" s="32"/>
      <c r="G1076" s="74"/>
      <c r="H1076" s="32"/>
      <c r="I1076" s="32"/>
      <c r="J1076" s="32"/>
      <c r="K1076" s="74"/>
      <c r="L1076" s="35"/>
      <c r="M1076" s="32"/>
      <c r="N1076" s="32"/>
      <c r="O1076" s="59"/>
      <c r="P1076" s="73"/>
      <c r="Q1076" s="73"/>
      <c r="R1076" s="73"/>
      <c r="S1076" s="73"/>
      <c r="T1076" s="73"/>
      <c r="U1076" s="73"/>
      <c r="V1076" s="73"/>
      <c r="W1076" s="73"/>
      <c r="X1076" s="73"/>
      <c r="Y1076" s="73"/>
      <c r="Z1076" s="73"/>
      <c r="AA1076" s="73"/>
    </row>
    <row r="1077" spans="1:27" ht="12.75" customHeight="1">
      <c r="A1077" s="73"/>
      <c r="B1077" s="32"/>
      <c r="C1077" s="32"/>
      <c r="D1077" s="33"/>
      <c r="E1077" s="32"/>
      <c r="F1077" s="32"/>
      <c r="G1077" s="74"/>
      <c r="H1077" s="32"/>
      <c r="I1077" s="32"/>
      <c r="J1077" s="32"/>
      <c r="K1077" s="74"/>
      <c r="L1077" s="35"/>
      <c r="M1077" s="32"/>
      <c r="N1077" s="32"/>
      <c r="O1077" s="59"/>
      <c r="P1077" s="73"/>
      <c r="Q1077" s="73"/>
      <c r="R1077" s="73"/>
      <c r="S1077" s="73"/>
      <c r="T1077" s="73"/>
      <c r="U1077" s="73"/>
      <c r="V1077" s="73"/>
      <c r="W1077" s="73"/>
      <c r="X1077" s="73"/>
      <c r="Y1077" s="73"/>
      <c r="Z1077" s="73"/>
      <c r="AA1077" s="73"/>
    </row>
    <row r="1078" spans="1:27" ht="12.75" customHeight="1">
      <c r="A1078" s="73"/>
      <c r="B1078" s="32"/>
      <c r="C1078" s="32"/>
      <c r="D1078" s="33"/>
      <c r="E1078" s="32"/>
      <c r="F1078" s="32"/>
      <c r="G1078" s="74"/>
      <c r="H1078" s="32"/>
      <c r="I1078" s="32"/>
      <c r="J1078" s="32"/>
      <c r="K1078" s="74"/>
      <c r="L1078" s="35"/>
      <c r="M1078" s="32"/>
      <c r="N1078" s="32"/>
      <c r="O1078" s="59"/>
      <c r="P1078" s="73"/>
      <c r="Q1078" s="73"/>
      <c r="R1078" s="73"/>
      <c r="S1078" s="73"/>
      <c r="T1078" s="73"/>
      <c r="U1078" s="73"/>
      <c r="V1078" s="73"/>
      <c r="W1078" s="73"/>
      <c r="X1078" s="73"/>
      <c r="Y1078" s="73"/>
      <c r="Z1078" s="73"/>
      <c r="AA1078" s="73"/>
    </row>
    <row r="1079" spans="1:27" ht="12.75" customHeight="1">
      <c r="A1079" s="73"/>
      <c r="B1079" s="32"/>
      <c r="C1079" s="32"/>
      <c r="D1079" s="33"/>
      <c r="E1079" s="32"/>
      <c r="F1079" s="32"/>
      <c r="G1079" s="74"/>
      <c r="H1079" s="32"/>
      <c r="I1079" s="32"/>
      <c r="J1079" s="32"/>
      <c r="K1079" s="74"/>
      <c r="L1079" s="35"/>
      <c r="M1079" s="32"/>
      <c r="N1079" s="32"/>
      <c r="O1079" s="59"/>
      <c r="P1079" s="73"/>
      <c r="Q1079" s="73"/>
      <c r="R1079" s="73"/>
      <c r="S1079" s="73"/>
      <c r="T1079" s="73"/>
      <c r="U1079" s="73"/>
      <c r="V1079" s="73"/>
      <c r="W1079" s="73"/>
      <c r="X1079" s="73"/>
      <c r="Y1079" s="73"/>
      <c r="Z1079" s="73"/>
      <c r="AA1079" s="73"/>
    </row>
    <row r="1080" spans="1:27" ht="12.75" customHeight="1">
      <c r="A1080" s="73"/>
      <c r="B1080" s="32"/>
      <c r="C1080" s="32"/>
      <c r="D1080" s="33"/>
      <c r="E1080" s="32"/>
      <c r="F1080" s="32"/>
      <c r="G1080" s="74"/>
      <c r="H1080" s="32"/>
      <c r="I1080" s="32"/>
      <c r="J1080" s="32"/>
      <c r="K1080" s="74"/>
      <c r="L1080" s="35"/>
      <c r="M1080" s="32"/>
      <c r="N1080" s="32"/>
      <c r="O1080" s="59"/>
      <c r="P1080" s="73"/>
      <c r="Q1080" s="73"/>
      <c r="R1080" s="73"/>
      <c r="S1080" s="73"/>
      <c r="T1080" s="73"/>
      <c r="U1080" s="73"/>
      <c r="V1080" s="73"/>
      <c r="W1080" s="73"/>
      <c r="X1080" s="73"/>
      <c r="Y1080" s="73"/>
      <c r="Z1080" s="73"/>
      <c r="AA1080" s="73"/>
    </row>
    <row r="1081" spans="1:27" ht="12.75" customHeight="1">
      <c r="A1081" s="73"/>
      <c r="B1081" s="32"/>
      <c r="C1081" s="32"/>
      <c r="D1081" s="33"/>
      <c r="E1081" s="32"/>
      <c r="F1081" s="32"/>
      <c r="G1081" s="74"/>
      <c r="H1081" s="32"/>
      <c r="I1081" s="32"/>
      <c r="J1081" s="32"/>
      <c r="K1081" s="74"/>
      <c r="L1081" s="35"/>
      <c r="M1081" s="32"/>
      <c r="N1081" s="32"/>
      <c r="O1081" s="59"/>
      <c r="P1081" s="73"/>
      <c r="Q1081" s="73"/>
      <c r="R1081" s="73"/>
      <c r="S1081" s="73"/>
      <c r="T1081" s="73"/>
      <c r="U1081" s="73"/>
      <c r="V1081" s="73"/>
      <c r="W1081" s="73"/>
      <c r="X1081" s="73"/>
      <c r="Y1081" s="73"/>
      <c r="Z1081" s="73"/>
      <c r="AA1081" s="73"/>
    </row>
    <row r="1082" spans="1:27" ht="12.75" customHeight="1">
      <c r="A1082" s="73"/>
      <c r="B1082" s="32"/>
      <c r="C1082" s="32"/>
      <c r="D1082" s="33"/>
      <c r="E1082" s="32"/>
      <c r="F1082" s="32"/>
      <c r="G1082" s="74"/>
      <c r="H1082" s="32"/>
      <c r="I1082" s="32"/>
      <c r="J1082" s="32"/>
      <c r="K1082" s="74"/>
      <c r="L1082" s="35"/>
      <c r="M1082" s="32"/>
      <c r="N1082" s="32"/>
      <c r="O1082" s="59"/>
      <c r="P1082" s="73"/>
      <c r="Q1082" s="73"/>
      <c r="R1082" s="73"/>
      <c r="S1082" s="73"/>
      <c r="T1082" s="73"/>
      <c r="U1082" s="73"/>
      <c r="V1082" s="73"/>
      <c r="W1082" s="73"/>
      <c r="X1082" s="73"/>
      <c r="Y1082" s="73"/>
      <c r="Z1082" s="73"/>
      <c r="AA1082" s="73"/>
    </row>
    <row r="1083" spans="1:27" ht="12.75" customHeight="1">
      <c r="A1083" s="73"/>
      <c r="B1083" s="32"/>
      <c r="C1083" s="32"/>
      <c r="D1083" s="33"/>
      <c r="E1083" s="32"/>
      <c r="F1083" s="32"/>
      <c r="G1083" s="74"/>
      <c r="H1083" s="32"/>
      <c r="I1083" s="32"/>
      <c r="J1083" s="32"/>
      <c r="K1083" s="74"/>
      <c r="L1083" s="35"/>
      <c r="M1083" s="32"/>
      <c r="N1083" s="32"/>
      <c r="O1083" s="59"/>
      <c r="P1083" s="73"/>
      <c r="Q1083" s="73"/>
      <c r="R1083" s="73"/>
      <c r="S1083" s="73"/>
      <c r="T1083" s="73"/>
      <c r="U1083" s="73"/>
      <c r="V1083" s="73"/>
      <c r="W1083" s="73"/>
      <c r="X1083" s="73"/>
      <c r="Y1083" s="73"/>
      <c r="Z1083" s="73"/>
      <c r="AA1083" s="73"/>
    </row>
    <row r="1084" spans="1:27" ht="12.75" customHeight="1">
      <c r="A1084" s="73"/>
      <c r="B1084" s="32"/>
      <c r="C1084" s="32"/>
      <c r="D1084" s="33"/>
      <c r="E1084" s="32"/>
      <c r="F1084" s="32"/>
      <c r="G1084" s="74"/>
      <c r="H1084" s="32"/>
      <c r="I1084" s="32"/>
      <c r="J1084" s="32"/>
      <c r="K1084" s="74"/>
      <c r="L1084" s="35"/>
      <c r="M1084" s="32"/>
      <c r="N1084" s="32"/>
      <c r="O1084" s="59"/>
      <c r="P1084" s="73"/>
      <c r="Q1084" s="73"/>
      <c r="R1084" s="73"/>
      <c r="S1084" s="73"/>
      <c r="T1084" s="73"/>
      <c r="U1084" s="73"/>
      <c r="V1084" s="73"/>
      <c r="W1084" s="73"/>
      <c r="X1084" s="73"/>
      <c r="Y1084" s="73"/>
      <c r="Z1084" s="73"/>
      <c r="AA1084" s="73"/>
    </row>
    <row r="1085" spans="1:27" ht="12.75" customHeight="1">
      <c r="A1085" s="73"/>
      <c r="B1085" s="32"/>
      <c r="C1085" s="32"/>
      <c r="D1085" s="33"/>
      <c r="E1085" s="32"/>
      <c r="F1085" s="32"/>
      <c r="G1085" s="74"/>
      <c r="H1085" s="32"/>
      <c r="I1085" s="32"/>
      <c r="J1085" s="32"/>
      <c r="K1085" s="74"/>
      <c r="L1085" s="35"/>
      <c r="M1085" s="32"/>
      <c r="N1085" s="32"/>
      <c r="O1085" s="59"/>
      <c r="P1085" s="73"/>
      <c r="Q1085" s="73"/>
      <c r="R1085" s="73"/>
      <c r="S1085" s="73"/>
      <c r="T1085" s="73"/>
      <c r="U1085" s="73"/>
      <c r="V1085" s="73"/>
      <c r="W1085" s="73"/>
      <c r="X1085" s="73"/>
      <c r="Y1085" s="73"/>
      <c r="Z1085" s="73"/>
      <c r="AA1085" s="73"/>
    </row>
    <row r="1086" spans="1:27" ht="12.75" customHeight="1">
      <c r="A1086" s="73"/>
      <c r="B1086" s="32"/>
      <c r="C1086" s="32"/>
      <c r="D1086" s="33"/>
      <c r="E1086" s="32"/>
      <c r="F1086" s="32"/>
      <c r="G1086" s="74"/>
      <c r="H1086" s="32"/>
      <c r="I1086" s="32"/>
      <c r="J1086" s="32"/>
      <c r="K1086" s="74"/>
      <c r="L1086" s="35"/>
      <c r="M1086" s="32"/>
      <c r="N1086" s="32"/>
      <c r="O1086" s="59"/>
      <c r="P1086" s="73"/>
      <c r="Q1086" s="73"/>
      <c r="R1086" s="73"/>
      <c r="S1086" s="73"/>
      <c r="T1086" s="73"/>
      <c r="U1086" s="73"/>
      <c r="V1086" s="73"/>
      <c r="W1086" s="73"/>
      <c r="X1086" s="73"/>
      <c r="Y1086" s="73"/>
      <c r="Z1086" s="73"/>
      <c r="AA1086" s="73"/>
    </row>
    <row r="1087" spans="1:27" ht="12.75" customHeight="1">
      <c r="A1087" s="73"/>
      <c r="B1087" s="32"/>
      <c r="C1087" s="32"/>
      <c r="D1087" s="33"/>
      <c r="E1087" s="32"/>
      <c r="F1087" s="32"/>
      <c r="G1087" s="74"/>
      <c r="H1087" s="32"/>
      <c r="I1087" s="32"/>
      <c r="J1087" s="32"/>
      <c r="K1087" s="74"/>
      <c r="L1087" s="35"/>
      <c r="M1087" s="32"/>
      <c r="N1087" s="32"/>
      <c r="O1087" s="59"/>
      <c r="P1087" s="73"/>
      <c r="Q1087" s="73"/>
      <c r="R1087" s="73"/>
      <c r="S1087" s="73"/>
      <c r="T1087" s="73"/>
      <c r="U1087" s="73"/>
      <c r="V1087" s="73"/>
      <c r="W1087" s="73"/>
      <c r="X1087" s="73"/>
      <c r="Y1087" s="73"/>
      <c r="Z1087" s="73"/>
      <c r="AA1087" s="73"/>
    </row>
    <row r="1088" spans="1:27" ht="12.75" customHeight="1">
      <c r="A1088" s="73"/>
      <c r="B1088" s="32"/>
      <c r="C1088" s="32"/>
      <c r="D1088" s="33"/>
      <c r="E1088" s="32"/>
      <c r="F1088" s="32"/>
      <c r="G1088" s="74"/>
      <c r="H1088" s="32"/>
      <c r="I1088" s="32"/>
      <c r="J1088" s="32"/>
      <c r="K1088" s="74"/>
      <c r="L1088" s="35"/>
      <c r="M1088" s="32"/>
      <c r="N1088" s="32"/>
      <c r="O1088" s="59"/>
      <c r="P1088" s="73"/>
      <c r="Q1088" s="73"/>
      <c r="R1088" s="73"/>
      <c r="S1088" s="73"/>
      <c r="T1088" s="73"/>
      <c r="U1088" s="73"/>
      <c r="V1088" s="73"/>
      <c r="W1088" s="73"/>
      <c r="X1088" s="73"/>
      <c r="Y1088" s="73"/>
      <c r="Z1088" s="73"/>
      <c r="AA1088" s="73"/>
    </row>
    <row r="1089" spans="1:27" ht="12.75" customHeight="1">
      <c r="A1089" s="73"/>
      <c r="B1089" s="32"/>
      <c r="C1089" s="32"/>
      <c r="D1089" s="33"/>
      <c r="E1089" s="32"/>
      <c r="F1089" s="32"/>
      <c r="G1089" s="74"/>
      <c r="H1089" s="32"/>
      <c r="I1089" s="32"/>
      <c r="J1089" s="32"/>
      <c r="K1089" s="74"/>
      <c r="L1089" s="35"/>
      <c r="M1089" s="32"/>
      <c r="N1089" s="32"/>
      <c r="O1089" s="59"/>
      <c r="P1089" s="73"/>
      <c r="Q1089" s="73"/>
      <c r="R1089" s="73"/>
      <c r="S1089" s="73"/>
      <c r="T1089" s="73"/>
      <c r="U1089" s="73"/>
      <c r="V1089" s="73"/>
      <c r="W1089" s="73"/>
      <c r="X1089" s="73"/>
      <c r="Y1089" s="73"/>
      <c r="Z1089" s="73"/>
      <c r="AA1089" s="73"/>
    </row>
    <row r="1090" spans="1:27" ht="12.75" customHeight="1">
      <c r="A1090" s="73"/>
      <c r="B1090" s="32"/>
      <c r="C1090" s="32"/>
      <c r="D1090" s="33"/>
      <c r="E1090" s="32"/>
      <c r="F1090" s="32"/>
      <c r="G1090" s="74"/>
      <c r="H1090" s="32"/>
      <c r="I1090" s="32"/>
      <c r="J1090" s="32"/>
      <c r="K1090" s="74"/>
      <c r="L1090" s="35"/>
      <c r="M1090" s="32"/>
      <c r="N1090" s="32"/>
      <c r="O1090" s="59"/>
      <c r="P1090" s="73"/>
      <c r="Q1090" s="73"/>
      <c r="R1090" s="73"/>
      <c r="S1090" s="73"/>
      <c r="T1090" s="73"/>
      <c r="U1090" s="73"/>
      <c r="V1090" s="73"/>
      <c r="W1090" s="73"/>
      <c r="X1090" s="73"/>
      <c r="Y1090" s="73"/>
      <c r="Z1090" s="73"/>
      <c r="AA1090" s="73"/>
    </row>
    <row r="1091" spans="1:27" ht="12.75" customHeight="1">
      <c r="A1091" s="73"/>
      <c r="B1091" s="32"/>
      <c r="C1091" s="32"/>
      <c r="D1091" s="33"/>
      <c r="E1091" s="32"/>
      <c r="F1091" s="32"/>
      <c r="G1091" s="74"/>
      <c r="H1091" s="32"/>
      <c r="I1091" s="32"/>
      <c r="J1091" s="32"/>
      <c r="K1091" s="74"/>
      <c r="L1091" s="35"/>
      <c r="M1091" s="32"/>
      <c r="N1091" s="32"/>
      <c r="O1091" s="59"/>
      <c r="P1091" s="73"/>
      <c r="Q1091" s="73"/>
      <c r="R1091" s="73"/>
      <c r="S1091" s="73"/>
      <c r="T1091" s="73"/>
      <c r="U1091" s="73"/>
      <c r="V1091" s="73"/>
      <c r="W1091" s="73"/>
      <c r="X1091" s="73"/>
      <c r="Y1091" s="73"/>
      <c r="Z1091" s="73"/>
      <c r="AA1091" s="73"/>
    </row>
    <row r="1092" spans="1:27" ht="12.75" customHeight="1">
      <c r="A1092" s="73"/>
      <c r="B1092" s="32"/>
      <c r="C1092" s="32"/>
      <c r="D1092" s="33"/>
      <c r="E1092" s="32"/>
      <c r="F1092" s="32"/>
      <c r="G1092" s="74"/>
      <c r="H1092" s="32"/>
      <c r="I1092" s="32"/>
      <c r="J1092" s="32"/>
      <c r="K1092" s="74"/>
      <c r="L1092" s="35"/>
      <c r="M1092" s="32"/>
      <c r="N1092" s="32"/>
      <c r="O1092" s="59"/>
      <c r="P1092" s="73"/>
      <c r="Q1092" s="73"/>
      <c r="R1092" s="73"/>
      <c r="S1092" s="73"/>
      <c r="T1092" s="73"/>
      <c r="U1092" s="73"/>
      <c r="V1092" s="73"/>
      <c r="W1092" s="73"/>
      <c r="X1092" s="73"/>
      <c r="Y1092" s="73"/>
      <c r="Z1092" s="73"/>
      <c r="AA1092" s="73"/>
    </row>
    <row r="1093" spans="1:27" ht="12.75" customHeight="1">
      <c r="A1093" s="73"/>
      <c r="B1093" s="32"/>
      <c r="C1093" s="32"/>
      <c r="D1093" s="33"/>
      <c r="E1093" s="32"/>
      <c r="F1093" s="32"/>
      <c r="G1093" s="74"/>
      <c r="H1093" s="32"/>
      <c r="I1093" s="32"/>
      <c r="J1093" s="32"/>
      <c r="K1093" s="74"/>
      <c r="L1093" s="35"/>
      <c r="M1093" s="32"/>
      <c r="N1093" s="32"/>
      <c r="O1093" s="59"/>
      <c r="P1093" s="73"/>
      <c r="Q1093" s="73"/>
      <c r="R1093" s="73"/>
      <c r="S1093" s="73"/>
      <c r="T1093" s="73"/>
      <c r="U1093" s="73"/>
      <c r="V1093" s="73"/>
      <c r="W1093" s="73"/>
      <c r="X1093" s="73"/>
      <c r="Y1093" s="73"/>
      <c r="Z1093" s="73"/>
      <c r="AA1093" s="73"/>
    </row>
    <row r="1094" spans="1:27" ht="12.75" customHeight="1">
      <c r="A1094" s="73"/>
      <c r="B1094" s="32"/>
      <c r="C1094" s="32"/>
      <c r="D1094" s="33"/>
      <c r="E1094" s="32"/>
      <c r="F1094" s="32"/>
      <c r="G1094" s="74"/>
      <c r="H1094" s="32"/>
      <c r="I1094" s="32"/>
      <c r="J1094" s="32"/>
      <c r="K1094" s="74"/>
      <c r="L1094" s="35"/>
      <c r="M1094" s="32"/>
      <c r="N1094" s="32"/>
      <c r="O1094" s="59"/>
      <c r="P1094" s="73"/>
      <c r="Q1094" s="73"/>
      <c r="R1094" s="73"/>
      <c r="S1094" s="73"/>
      <c r="T1094" s="73"/>
      <c r="U1094" s="73"/>
      <c r="V1094" s="73"/>
      <c r="W1094" s="73"/>
      <c r="X1094" s="73"/>
      <c r="Y1094" s="73"/>
      <c r="Z1094" s="73"/>
      <c r="AA1094" s="73"/>
    </row>
    <row r="1095" spans="1:27" ht="12.75" customHeight="1">
      <c r="A1095" s="73"/>
      <c r="B1095" s="32"/>
      <c r="C1095" s="32"/>
      <c r="D1095" s="33"/>
      <c r="E1095" s="32"/>
      <c r="F1095" s="32"/>
      <c r="G1095" s="74"/>
      <c r="H1095" s="32"/>
      <c r="I1095" s="32"/>
      <c r="J1095" s="32"/>
      <c r="K1095" s="74"/>
      <c r="L1095" s="35"/>
      <c r="M1095" s="32"/>
      <c r="N1095" s="32"/>
      <c r="O1095" s="59"/>
      <c r="P1095" s="73"/>
      <c r="Q1095" s="73"/>
      <c r="R1095" s="73"/>
      <c r="S1095" s="73"/>
      <c r="T1095" s="73"/>
      <c r="U1095" s="73"/>
      <c r="V1095" s="73"/>
      <c r="W1095" s="73"/>
      <c r="X1095" s="73"/>
      <c r="Y1095" s="73"/>
      <c r="Z1095" s="73"/>
      <c r="AA1095" s="73"/>
    </row>
    <row r="1096" spans="1:27" ht="12.75" customHeight="1">
      <c r="A1096" s="73"/>
      <c r="B1096" s="32"/>
      <c r="C1096" s="32"/>
      <c r="D1096" s="33"/>
      <c r="E1096" s="32"/>
      <c r="F1096" s="32"/>
      <c r="G1096" s="74"/>
      <c r="H1096" s="32"/>
      <c r="I1096" s="32"/>
      <c r="J1096" s="32"/>
      <c r="K1096" s="74"/>
      <c r="L1096" s="35"/>
      <c r="M1096" s="32"/>
      <c r="N1096" s="32"/>
      <c r="O1096" s="59"/>
      <c r="P1096" s="73"/>
      <c r="Q1096" s="73"/>
      <c r="R1096" s="73"/>
      <c r="S1096" s="73"/>
      <c r="T1096" s="73"/>
      <c r="U1096" s="73"/>
      <c r="V1096" s="73"/>
      <c r="W1096" s="73"/>
      <c r="X1096" s="73"/>
      <c r="Y1096" s="73"/>
      <c r="Z1096" s="73"/>
      <c r="AA1096" s="73"/>
    </row>
    <row r="1097" spans="1:27" ht="12.75" customHeight="1">
      <c r="A1097" s="73"/>
      <c r="B1097" s="32"/>
      <c r="C1097" s="32"/>
      <c r="D1097" s="33"/>
      <c r="E1097" s="32"/>
      <c r="F1097" s="32"/>
      <c r="G1097" s="74"/>
      <c r="H1097" s="32"/>
      <c r="I1097" s="32"/>
      <c r="J1097" s="32"/>
      <c r="K1097" s="74"/>
      <c r="L1097" s="35"/>
      <c r="M1097" s="32"/>
      <c r="N1097" s="32"/>
      <c r="O1097" s="59"/>
      <c r="P1097" s="73"/>
      <c r="Q1097" s="73"/>
      <c r="R1097" s="73"/>
      <c r="S1097" s="73"/>
      <c r="T1097" s="73"/>
      <c r="U1097" s="73"/>
      <c r="V1097" s="73"/>
      <c r="W1097" s="73"/>
      <c r="X1097" s="73"/>
      <c r="Y1097" s="73"/>
      <c r="Z1097" s="73"/>
      <c r="AA1097" s="73"/>
    </row>
    <row r="1098" spans="1:27" ht="12.75" customHeight="1">
      <c r="A1098" s="73"/>
      <c r="B1098" s="32"/>
      <c r="C1098" s="32"/>
      <c r="D1098" s="33"/>
      <c r="E1098" s="32"/>
      <c r="F1098" s="32"/>
      <c r="G1098" s="74"/>
      <c r="H1098" s="32"/>
      <c r="I1098" s="32"/>
      <c r="J1098" s="32"/>
      <c r="K1098" s="74"/>
      <c r="L1098" s="35"/>
      <c r="M1098" s="32"/>
      <c r="N1098" s="32"/>
      <c r="O1098" s="59"/>
      <c r="P1098" s="73"/>
      <c r="Q1098" s="73"/>
      <c r="R1098" s="73"/>
      <c r="S1098" s="73"/>
      <c r="T1098" s="73"/>
      <c r="U1098" s="73"/>
      <c r="V1098" s="73"/>
      <c r="W1098" s="73"/>
      <c r="X1098" s="73"/>
      <c r="Y1098" s="73"/>
      <c r="Z1098" s="73"/>
      <c r="AA1098" s="73"/>
    </row>
    <row r="1099" spans="1:27" ht="12.75" customHeight="1">
      <c r="A1099" s="73"/>
      <c r="B1099" s="32"/>
      <c r="C1099" s="32"/>
      <c r="D1099" s="33"/>
      <c r="E1099" s="32"/>
      <c r="F1099" s="32"/>
      <c r="G1099" s="74"/>
      <c r="H1099" s="32"/>
      <c r="I1099" s="32"/>
      <c r="J1099" s="32"/>
      <c r="K1099" s="74"/>
      <c r="L1099" s="35"/>
      <c r="M1099" s="32"/>
      <c r="N1099" s="32"/>
      <c r="O1099" s="59"/>
      <c r="P1099" s="73"/>
      <c r="Q1099" s="73"/>
      <c r="R1099" s="73"/>
      <c r="S1099" s="73"/>
      <c r="T1099" s="73"/>
      <c r="U1099" s="73"/>
      <c r="V1099" s="73"/>
      <c r="W1099" s="73"/>
      <c r="X1099" s="73"/>
      <c r="Y1099" s="73"/>
      <c r="Z1099" s="73"/>
      <c r="AA1099" s="73"/>
    </row>
    <row r="1100" spans="1:27" ht="12.75" customHeight="1">
      <c r="A1100" s="73"/>
      <c r="B1100" s="32"/>
      <c r="C1100" s="32"/>
      <c r="D1100" s="33"/>
      <c r="E1100" s="32"/>
      <c r="F1100" s="32"/>
      <c r="G1100" s="74"/>
      <c r="H1100" s="32"/>
      <c r="I1100" s="32"/>
      <c r="J1100" s="32"/>
      <c r="K1100" s="74"/>
      <c r="L1100" s="35"/>
      <c r="M1100" s="32"/>
      <c r="N1100" s="32"/>
      <c r="O1100" s="59"/>
      <c r="P1100" s="73"/>
      <c r="Q1100" s="73"/>
      <c r="R1100" s="73"/>
      <c r="S1100" s="73"/>
      <c r="T1100" s="73"/>
      <c r="U1100" s="73"/>
      <c r="V1100" s="73"/>
      <c r="W1100" s="73"/>
      <c r="X1100" s="73"/>
      <c r="Y1100" s="73"/>
      <c r="Z1100" s="73"/>
      <c r="AA1100" s="73"/>
    </row>
    <row r="1101" spans="1:27" ht="12.75" customHeight="1">
      <c r="A1101" s="73"/>
      <c r="B1101" s="32"/>
      <c r="C1101" s="32"/>
      <c r="D1101" s="33"/>
      <c r="E1101" s="32"/>
      <c r="F1101" s="32"/>
      <c r="G1101" s="74"/>
      <c r="H1101" s="32"/>
      <c r="I1101" s="32"/>
      <c r="J1101" s="32"/>
      <c r="K1101" s="74"/>
      <c r="L1101" s="35"/>
      <c r="M1101" s="32"/>
      <c r="N1101" s="32"/>
      <c r="O1101" s="59"/>
      <c r="P1101" s="73"/>
      <c r="Q1101" s="73"/>
      <c r="R1101" s="73"/>
      <c r="S1101" s="73"/>
      <c r="T1101" s="73"/>
      <c r="U1101" s="73"/>
      <c r="V1101" s="73"/>
      <c r="W1101" s="73"/>
      <c r="X1101" s="73"/>
      <c r="Y1101" s="73"/>
      <c r="Z1101" s="73"/>
      <c r="AA1101" s="73"/>
    </row>
    <row r="1102" spans="1:27" ht="12.75" customHeight="1">
      <c r="A1102" s="73"/>
      <c r="B1102" s="32"/>
      <c r="C1102" s="32"/>
      <c r="D1102" s="33"/>
      <c r="E1102" s="32"/>
      <c r="F1102" s="32"/>
      <c r="G1102" s="74"/>
      <c r="H1102" s="32"/>
      <c r="I1102" s="32"/>
      <c r="J1102" s="32"/>
      <c r="K1102" s="74"/>
      <c r="L1102" s="35"/>
      <c r="M1102" s="32"/>
      <c r="N1102" s="32"/>
      <c r="O1102" s="59"/>
      <c r="P1102" s="73"/>
      <c r="Q1102" s="73"/>
      <c r="R1102" s="73"/>
      <c r="S1102" s="73"/>
      <c r="T1102" s="73"/>
      <c r="U1102" s="73"/>
      <c r="V1102" s="73"/>
      <c r="W1102" s="73"/>
      <c r="X1102" s="73"/>
      <c r="Y1102" s="73"/>
      <c r="Z1102" s="73"/>
      <c r="AA1102" s="73"/>
    </row>
    <row r="1103" spans="1:27" ht="12.75" customHeight="1">
      <c r="A1103" s="73"/>
      <c r="B1103" s="32"/>
      <c r="C1103" s="32"/>
      <c r="D1103" s="33"/>
      <c r="E1103" s="32"/>
      <c r="F1103" s="32"/>
      <c r="G1103" s="74"/>
      <c r="H1103" s="32"/>
      <c r="I1103" s="32"/>
      <c r="J1103" s="32"/>
      <c r="K1103" s="74"/>
      <c r="L1103" s="35"/>
      <c r="M1103" s="32"/>
      <c r="N1103" s="32"/>
      <c r="O1103" s="59"/>
      <c r="P1103" s="73"/>
      <c r="Q1103" s="73"/>
      <c r="R1103" s="73"/>
      <c r="S1103" s="73"/>
      <c r="T1103" s="73"/>
      <c r="U1103" s="73"/>
      <c r="V1103" s="73"/>
      <c r="W1103" s="73"/>
      <c r="X1103" s="73"/>
      <c r="Y1103" s="73"/>
      <c r="Z1103" s="73"/>
      <c r="AA1103" s="73"/>
    </row>
    <row r="1104" spans="1:27" ht="12.75" customHeight="1">
      <c r="A1104" s="73"/>
      <c r="B1104" s="32"/>
      <c r="C1104" s="32"/>
      <c r="D1104" s="33"/>
      <c r="E1104" s="32"/>
      <c r="F1104" s="32"/>
      <c r="G1104" s="74"/>
      <c r="H1104" s="32"/>
      <c r="I1104" s="32"/>
      <c r="J1104" s="32"/>
      <c r="K1104" s="74"/>
      <c r="L1104" s="35"/>
      <c r="M1104" s="32"/>
      <c r="N1104" s="32"/>
      <c r="O1104" s="59"/>
      <c r="P1104" s="73"/>
      <c r="Q1104" s="73"/>
      <c r="R1104" s="73"/>
      <c r="S1104" s="73"/>
      <c r="T1104" s="73"/>
      <c r="U1104" s="73"/>
      <c r="V1104" s="73"/>
      <c r="W1104" s="73"/>
      <c r="X1104" s="73"/>
      <c r="Y1104" s="73"/>
      <c r="Z1104" s="73"/>
      <c r="AA1104" s="73"/>
    </row>
    <row r="1105" spans="1:27" ht="12.75" customHeight="1">
      <c r="A1105" s="73"/>
      <c r="B1105" s="32"/>
      <c r="C1105" s="32"/>
      <c r="D1105" s="33"/>
      <c r="E1105" s="32"/>
      <c r="F1105" s="32"/>
      <c r="G1105" s="74"/>
      <c r="H1105" s="32"/>
      <c r="I1105" s="32"/>
      <c r="J1105" s="32"/>
      <c r="K1105" s="74"/>
      <c r="L1105" s="35"/>
      <c r="M1105" s="32"/>
      <c r="N1105" s="32"/>
      <c r="O1105" s="59"/>
      <c r="P1105" s="73"/>
      <c r="Q1105" s="73"/>
      <c r="R1105" s="73"/>
      <c r="S1105" s="73"/>
      <c r="T1105" s="73"/>
      <c r="U1105" s="73"/>
      <c r="V1105" s="73"/>
      <c r="W1105" s="73"/>
      <c r="X1105" s="73"/>
      <c r="Y1105" s="73"/>
      <c r="Z1105" s="73"/>
      <c r="AA1105" s="73"/>
    </row>
    <row r="1106" spans="1:27" ht="12.75" customHeight="1">
      <c r="A1106" s="73"/>
      <c r="B1106" s="32"/>
      <c r="C1106" s="32"/>
      <c r="D1106" s="33"/>
      <c r="E1106" s="32"/>
      <c r="F1106" s="32"/>
      <c r="G1106" s="74"/>
      <c r="H1106" s="32"/>
      <c r="I1106" s="32"/>
      <c r="J1106" s="32"/>
      <c r="K1106" s="74"/>
      <c r="L1106" s="35"/>
      <c r="M1106" s="32"/>
      <c r="N1106" s="32"/>
      <c r="O1106" s="59"/>
      <c r="P1106" s="73"/>
      <c r="Q1106" s="73"/>
      <c r="R1106" s="73"/>
      <c r="S1106" s="73"/>
      <c r="T1106" s="73"/>
      <c r="U1106" s="73"/>
      <c r="V1106" s="73"/>
      <c r="W1106" s="73"/>
      <c r="X1106" s="73"/>
      <c r="Y1106" s="73"/>
      <c r="Z1106" s="73"/>
      <c r="AA1106" s="73"/>
    </row>
    <row r="1107" spans="1:27" ht="12.75" customHeight="1">
      <c r="A1107" s="73"/>
      <c r="B1107" s="32"/>
      <c r="C1107" s="32"/>
      <c r="D1107" s="33"/>
      <c r="E1107" s="32"/>
      <c r="F1107" s="32"/>
      <c r="G1107" s="74"/>
      <c r="H1107" s="32"/>
      <c r="I1107" s="32"/>
      <c r="J1107" s="32"/>
      <c r="K1107" s="74"/>
      <c r="L1107" s="35"/>
      <c r="M1107" s="32"/>
      <c r="N1107" s="32"/>
      <c r="O1107" s="59"/>
      <c r="P1107" s="73"/>
      <c r="Q1107" s="73"/>
      <c r="R1107" s="73"/>
      <c r="S1107" s="73"/>
      <c r="T1107" s="73"/>
      <c r="U1107" s="73"/>
      <c r="V1107" s="73"/>
      <c r="W1107" s="73"/>
      <c r="X1107" s="73"/>
      <c r="Y1107" s="73"/>
      <c r="Z1107" s="73"/>
      <c r="AA1107" s="73"/>
    </row>
    <row r="1108" spans="1:27" ht="12.75" customHeight="1">
      <c r="A1108" s="73"/>
      <c r="B1108" s="32"/>
      <c r="C1108" s="32"/>
      <c r="D1108" s="33"/>
      <c r="E1108" s="32"/>
      <c r="F1108" s="32"/>
      <c r="G1108" s="74"/>
      <c r="H1108" s="32"/>
      <c r="I1108" s="32"/>
      <c r="J1108" s="32"/>
      <c r="K1108" s="74"/>
      <c r="L1108" s="35"/>
      <c r="M1108" s="32"/>
      <c r="N1108" s="32"/>
      <c r="O1108" s="59"/>
      <c r="P1108" s="73"/>
      <c r="Q1108" s="73"/>
      <c r="R1108" s="73"/>
      <c r="S1108" s="73"/>
      <c r="T1108" s="73"/>
      <c r="U1108" s="73"/>
      <c r="V1108" s="73"/>
      <c r="W1108" s="73"/>
      <c r="X1108" s="73"/>
      <c r="Y1108" s="73"/>
      <c r="Z1108" s="73"/>
      <c r="AA1108" s="73"/>
    </row>
    <row r="1109" spans="1:27" ht="12.75" customHeight="1">
      <c r="A1109" s="73"/>
      <c r="B1109" s="32"/>
      <c r="C1109" s="32"/>
      <c r="D1109" s="33"/>
      <c r="E1109" s="32"/>
      <c r="F1109" s="32"/>
      <c r="G1109" s="74"/>
      <c r="H1109" s="32"/>
      <c r="I1109" s="32"/>
      <c r="J1109" s="32"/>
      <c r="K1109" s="74"/>
      <c r="L1109" s="35"/>
      <c r="M1109" s="32"/>
      <c r="N1109" s="32"/>
      <c r="O1109" s="59"/>
      <c r="P1109" s="73"/>
      <c r="Q1109" s="73"/>
      <c r="R1109" s="73"/>
      <c r="S1109" s="73"/>
      <c r="T1109" s="73"/>
      <c r="U1109" s="73"/>
      <c r="V1109" s="73"/>
      <c r="W1109" s="73"/>
      <c r="X1109" s="73"/>
      <c r="Y1109" s="73"/>
      <c r="Z1109" s="73"/>
      <c r="AA1109" s="73"/>
    </row>
    <row r="1110" spans="1:27" ht="12.75" customHeight="1">
      <c r="A1110" s="73"/>
      <c r="B1110" s="32"/>
      <c r="C1110" s="32"/>
      <c r="D1110" s="33"/>
      <c r="E1110" s="32"/>
      <c r="F1110" s="32"/>
      <c r="G1110" s="74"/>
      <c r="H1110" s="32"/>
      <c r="I1110" s="32"/>
      <c r="J1110" s="32"/>
      <c r="K1110" s="74"/>
      <c r="L1110" s="35"/>
      <c r="M1110" s="32"/>
      <c r="N1110" s="32"/>
      <c r="O1110" s="59"/>
      <c r="P1110" s="73"/>
      <c r="Q1110" s="73"/>
      <c r="R1110" s="73"/>
      <c r="S1110" s="73"/>
      <c r="T1110" s="73"/>
      <c r="U1110" s="73"/>
      <c r="V1110" s="73"/>
      <c r="W1110" s="73"/>
      <c r="X1110" s="73"/>
      <c r="Y1110" s="73"/>
      <c r="Z1110" s="73"/>
      <c r="AA1110" s="73"/>
    </row>
    <row r="1111" spans="1:27" ht="12.75" customHeight="1">
      <c r="A1111" s="73"/>
      <c r="B1111" s="32"/>
      <c r="C1111" s="32"/>
      <c r="D1111" s="33"/>
      <c r="E1111" s="32"/>
      <c r="F1111" s="32"/>
      <c r="G1111" s="74"/>
      <c r="H1111" s="32"/>
      <c r="I1111" s="32"/>
      <c r="J1111" s="32"/>
      <c r="K1111" s="74"/>
      <c r="L1111" s="35"/>
      <c r="M1111" s="32"/>
      <c r="N1111" s="32"/>
      <c r="O1111" s="59"/>
      <c r="P1111" s="73"/>
      <c r="Q1111" s="73"/>
      <c r="R1111" s="73"/>
      <c r="S1111" s="73"/>
      <c r="T1111" s="73"/>
      <c r="U1111" s="73"/>
      <c r="V1111" s="73"/>
      <c r="W1111" s="73"/>
      <c r="X1111" s="73"/>
      <c r="Y1111" s="73"/>
      <c r="Z1111" s="73"/>
      <c r="AA1111" s="73"/>
    </row>
    <row r="1112" spans="1:27" ht="12.75" customHeight="1">
      <c r="A1112" s="73"/>
      <c r="B1112" s="32"/>
      <c r="C1112" s="32"/>
      <c r="D1112" s="33"/>
      <c r="E1112" s="32"/>
      <c r="F1112" s="32"/>
      <c r="G1112" s="74"/>
      <c r="H1112" s="32"/>
      <c r="I1112" s="32"/>
      <c r="J1112" s="32"/>
      <c r="K1112" s="74"/>
      <c r="L1112" s="35"/>
      <c r="M1112" s="32"/>
      <c r="N1112" s="32"/>
      <c r="O1112" s="59"/>
      <c r="P1112" s="73"/>
      <c r="Q1112" s="73"/>
      <c r="R1112" s="73"/>
      <c r="S1112" s="73"/>
      <c r="T1112" s="73"/>
      <c r="U1112" s="73"/>
      <c r="V1112" s="73"/>
      <c r="W1112" s="73"/>
      <c r="X1112" s="73"/>
      <c r="Y1112" s="73"/>
      <c r="Z1112" s="73"/>
      <c r="AA1112" s="73"/>
    </row>
    <row r="1113" spans="1:27" ht="12.75" customHeight="1">
      <c r="A1113" s="73"/>
      <c r="B1113" s="32"/>
      <c r="C1113" s="32"/>
      <c r="D1113" s="33"/>
      <c r="E1113" s="32"/>
      <c r="F1113" s="32"/>
      <c r="G1113" s="74"/>
      <c r="H1113" s="32"/>
      <c r="I1113" s="32"/>
      <c r="J1113" s="32"/>
      <c r="K1113" s="74"/>
      <c r="L1113" s="35"/>
      <c r="M1113" s="32"/>
      <c r="N1113" s="32"/>
      <c r="O1113" s="59"/>
      <c r="P1113" s="73"/>
      <c r="Q1113" s="73"/>
      <c r="R1113" s="73"/>
      <c r="S1113" s="73"/>
      <c r="T1113" s="73"/>
      <c r="U1113" s="73"/>
      <c r="V1113" s="73"/>
      <c r="W1113" s="73"/>
      <c r="X1113" s="73"/>
      <c r="Y1113" s="73"/>
      <c r="Z1113" s="73"/>
      <c r="AA1113" s="73"/>
    </row>
    <row r="1114" spans="1:27" ht="12.75" customHeight="1">
      <c r="A1114" s="73"/>
      <c r="B1114" s="32"/>
      <c r="C1114" s="32"/>
      <c r="D1114" s="33"/>
      <c r="E1114" s="32"/>
      <c r="F1114" s="32"/>
      <c r="G1114" s="74"/>
      <c r="H1114" s="32"/>
      <c r="I1114" s="32"/>
      <c r="J1114" s="32"/>
      <c r="K1114" s="74"/>
      <c r="L1114" s="35"/>
      <c r="M1114" s="32"/>
      <c r="N1114" s="32"/>
      <c r="O1114" s="59"/>
      <c r="P1114" s="73"/>
      <c r="Q1114" s="73"/>
      <c r="R1114" s="73"/>
      <c r="S1114" s="73"/>
      <c r="T1114" s="73"/>
      <c r="U1114" s="73"/>
      <c r="V1114" s="73"/>
      <c r="W1114" s="73"/>
      <c r="X1114" s="73"/>
      <c r="Y1114" s="73"/>
      <c r="Z1114" s="73"/>
      <c r="AA1114" s="73"/>
    </row>
    <row r="1115" spans="1:27" ht="12.75" customHeight="1">
      <c r="A1115" s="73"/>
      <c r="B1115" s="32"/>
      <c r="C1115" s="32"/>
      <c r="D1115" s="33"/>
      <c r="E1115" s="32"/>
      <c r="F1115" s="32"/>
      <c r="G1115" s="74"/>
      <c r="H1115" s="32"/>
      <c r="I1115" s="32"/>
      <c r="J1115" s="32"/>
      <c r="K1115" s="74"/>
      <c r="L1115" s="35"/>
      <c r="M1115" s="32"/>
      <c r="N1115" s="32"/>
      <c r="O1115" s="59"/>
      <c r="P1115" s="73"/>
      <c r="Q1115" s="73"/>
      <c r="R1115" s="73"/>
      <c r="S1115" s="73"/>
      <c r="T1115" s="73"/>
      <c r="U1115" s="73"/>
      <c r="V1115" s="73"/>
      <c r="W1115" s="73"/>
      <c r="X1115" s="73"/>
      <c r="Y1115" s="73"/>
      <c r="Z1115" s="73"/>
      <c r="AA1115" s="73"/>
    </row>
    <row r="1116" spans="1:27" ht="12.75" customHeight="1">
      <c r="A1116" s="73"/>
      <c r="B1116" s="32"/>
      <c r="C1116" s="32"/>
      <c r="D1116" s="33"/>
      <c r="E1116" s="32"/>
      <c r="F1116" s="32"/>
      <c r="G1116" s="74"/>
      <c r="H1116" s="32"/>
      <c r="I1116" s="32"/>
      <c r="J1116" s="32"/>
      <c r="K1116" s="74"/>
      <c r="L1116" s="35"/>
      <c r="M1116" s="32"/>
      <c r="N1116" s="32"/>
      <c r="O1116" s="59"/>
      <c r="P1116" s="73"/>
      <c r="Q1116" s="73"/>
      <c r="R1116" s="73"/>
      <c r="S1116" s="73"/>
      <c r="T1116" s="73"/>
      <c r="U1116" s="73"/>
      <c r="V1116" s="73"/>
      <c r="W1116" s="73"/>
      <c r="X1116" s="73"/>
      <c r="Y1116" s="73"/>
      <c r="Z1116" s="73"/>
      <c r="AA1116" s="73"/>
    </row>
    <row r="1117" spans="1:27" ht="12.75" customHeight="1">
      <c r="A1117" s="73"/>
      <c r="B1117" s="32"/>
      <c r="C1117" s="32"/>
      <c r="D1117" s="33"/>
      <c r="E1117" s="32"/>
      <c r="F1117" s="32"/>
      <c r="G1117" s="74"/>
      <c r="H1117" s="32"/>
      <c r="I1117" s="32"/>
      <c r="J1117" s="32"/>
      <c r="K1117" s="74"/>
      <c r="L1117" s="35"/>
      <c r="M1117" s="32"/>
      <c r="N1117" s="32"/>
      <c r="O1117" s="59"/>
      <c r="P1117" s="73"/>
      <c r="Q1117" s="73"/>
      <c r="R1117" s="73"/>
      <c r="S1117" s="73"/>
      <c r="T1117" s="73"/>
      <c r="U1117" s="73"/>
      <c r="V1117" s="73"/>
      <c r="W1117" s="73"/>
      <c r="X1117" s="73"/>
      <c r="Y1117" s="73"/>
      <c r="Z1117" s="73"/>
      <c r="AA1117" s="73"/>
    </row>
    <row r="1118" spans="1:27" ht="12.75" customHeight="1">
      <c r="A1118" s="73"/>
      <c r="B1118" s="32"/>
      <c r="C1118" s="32"/>
      <c r="D1118" s="33"/>
      <c r="E1118" s="32"/>
      <c r="F1118" s="32"/>
      <c r="G1118" s="74"/>
      <c r="H1118" s="32"/>
      <c r="I1118" s="32"/>
      <c r="J1118" s="32"/>
      <c r="K1118" s="74"/>
      <c r="L1118" s="35"/>
      <c r="M1118" s="32"/>
      <c r="N1118" s="32"/>
      <c r="O1118" s="59"/>
      <c r="P1118" s="73"/>
      <c r="Q1118" s="73"/>
      <c r="R1118" s="73"/>
      <c r="S1118" s="73"/>
      <c r="T1118" s="73"/>
      <c r="U1118" s="73"/>
      <c r="V1118" s="73"/>
      <c r="W1118" s="73"/>
      <c r="X1118" s="73"/>
      <c r="Y1118" s="73"/>
      <c r="Z1118" s="73"/>
      <c r="AA1118" s="73"/>
    </row>
    <row r="1119" spans="1:27" ht="12.75" customHeight="1">
      <c r="A1119" s="73"/>
      <c r="B1119" s="32"/>
      <c r="C1119" s="32"/>
      <c r="D1119" s="33"/>
      <c r="E1119" s="32"/>
      <c r="F1119" s="32"/>
      <c r="G1119" s="74"/>
      <c r="H1119" s="32"/>
      <c r="I1119" s="32"/>
      <c r="J1119" s="32"/>
      <c r="K1119" s="74"/>
      <c r="L1119" s="35"/>
      <c r="M1119" s="32"/>
      <c r="N1119" s="32"/>
      <c r="O1119" s="59"/>
      <c r="P1119" s="73"/>
      <c r="Q1119" s="73"/>
      <c r="R1119" s="73"/>
      <c r="S1119" s="73"/>
      <c r="T1119" s="73"/>
      <c r="U1119" s="73"/>
      <c r="V1119" s="73"/>
      <c r="W1119" s="73"/>
      <c r="X1119" s="73"/>
      <c r="Y1119" s="73"/>
      <c r="Z1119" s="73"/>
      <c r="AA1119" s="73"/>
    </row>
    <row r="1120" spans="1:27" ht="12.75" customHeight="1">
      <c r="A1120" s="73"/>
      <c r="B1120" s="32"/>
      <c r="C1120" s="32"/>
      <c r="D1120" s="33"/>
      <c r="E1120" s="32"/>
      <c r="F1120" s="32"/>
      <c r="G1120" s="74"/>
      <c r="H1120" s="32"/>
      <c r="I1120" s="32"/>
      <c r="J1120" s="32"/>
      <c r="K1120" s="74"/>
      <c r="L1120" s="35"/>
      <c r="M1120" s="32"/>
      <c r="N1120" s="32"/>
      <c r="O1120" s="59"/>
      <c r="P1120" s="73"/>
      <c r="Q1120" s="73"/>
      <c r="R1120" s="73"/>
      <c r="S1120" s="73"/>
      <c r="T1120" s="73"/>
      <c r="U1120" s="73"/>
      <c r="V1120" s="73"/>
      <c r="W1120" s="73"/>
      <c r="X1120" s="73"/>
      <c r="Y1120" s="73"/>
      <c r="Z1120" s="73"/>
      <c r="AA1120" s="73"/>
    </row>
    <row r="1121" spans="1:27" ht="12.75" customHeight="1">
      <c r="A1121" s="73"/>
      <c r="B1121" s="32"/>
      <c r="C1121" s="32"/>
      <c r="D1121" s="33"/>
      <c r="E1121" s="32"/>
      <c r="F1121" s="32"/>
      <c r="G1121" s="74"/>
      <c r="H1121" s="32"/>
      <c r="I1121" s="32"/>
      <c r="J1121" s="32"/>
      <c r="K1121" s="74"/>
      <c r="L1121" s="35"/>
      <c r="M1121" s="32"/>
      <c r="N1121" s="32"/>
      <c r="O1121" s="59"/>
      <c r="P1121" s="73"/>
      <c r="Q1121" s="73"/>
      <c r="R1121" s="73"/>
      <c r="S1121" s="73"/>
      <c r="T1121" s="73"/>
      <c r="U1121" s="73"/>
      <c r="V1121" s="73"/>
      <c r="W1121" s="73"/>
      <c r="X1121" s="73"/>
      <c r="Y1121" s="73"/>
      <c r="Z1121" s="73"/>
      <c r="AA1121" s="73"/>
    </row>
    <row r="1122" spans="1:27" ht="12.75" customHeight="1">
      <c r="A1122" s="73"/>
      <c r="B1122" s="32"/>
      <c r="C1122" s="32"/>
      <c r="D1122" s="33"/>
      <c r="E1122" s="32"/>
      <c r="F1122" s="32"/>
      <c r="G1122" s="74"/>
      <c r="H1122" s="32"/>
      <c r="I1122" s="32"/>
      <c r="J1122" s="32"/>
      <c r="K1122" s="74"/>
      <c r="L1122" s="35"/>
      <c r="M1122" s="32"/>
      <c r="N1122" s="32"/>
      <c r="O1122" s="59"/>
      <c r="P1122" s="73"/>
      <c r="Q1122" s="73"/>
      <c r="R1122" s="73"/>
      <c r="S1122" s="73"/>
      <c r="T1122" s="73"/>
      <c r="U1122" s="73"/>
      <c r="V1122" s="73"/>
      <c r="W1122" s="73"/>
      <c r="X1122" s="73"/>
      <c r="Y1122" s="73"/>
      <c r="Z1122" s="73"/>
      <c r="AA1122" s="73"/>
    </row>
    <row r="1123" spans="1:27" ht="12.75" customHeight="1">
      <c r="A1123" s="73"/>
      <c r="B1123" s="32"/>
      <c r="C1123" s="32"/>
      <c r="D1123" s="33"/>
      <c r="E1123" s="32"/>
      <c r="F1123" s="32"/>
      <c r="G1123" s="74"/>
      <c r="H1123" s="32"/>
      <c r="I1123" s="32"/>
      <c r="J1123" s="32"/>
      <c r="K1123" s="74"/>
      <c r="L1123" s="35"/>
      <c r="M1123" s="32"/>
      <c r="N1123" s="32"/>
      <c r="O1123" s="59"/>
      <c r="P1123" s="73"/>
      <c r="Q1123" s="73"/>
      <c r="R1123" s="73"/>
      <c r="S1123" s="73"/>
      <c r="T1123" s="73"/>
      <c r="U1123" s="73"/>
      <c r="V1123" s="73"/>
      <c r="W1123" s="73"/>
      <c r="X1123" s="73"/>
      <c r="Y1123" s="73"/>
      <c r="Z1123" s="73"/>
      <c r="AA1123" s="73"/>
    </row>
    <row r="1124" spans="1:27" ht="12.75" customHeight="1">
      <c r="A1124" s="73"/>
      <c r="B1124" s="32"/>
      <c r="C1124" s="32"/>
      <c r="D1124" s="33"/>
      <c r="E1124" s="32"/>
      <c r="F1124" s="32"/>
      <c r="G1124" s="74"/>
      <c r="H1124" s="32"/>
      <c r="I1124" s="32"/>
      <c r="J1124" s="32"/>
      <c r="K1124" s="74"/>
      <c r="L1124" s="35"/>
      <c r="M1124" s="32"/>
      <c r="N1124" s="32"/>
      <c r="O1124" s="59"/>
      <c r="P1124" s="73"/>
      <c r="Q1124" s="73"/>
      <c r="R1124" s="73"/>
      <c r="S1124" s="73"/>
      <c r="T1124" s="73"/>
      <c r="U1124" s="73"/>
      <c r="V1124" s="73"/>
      <c r="W1124" s="73"/>
      <c r="X1124" s="73"/>
      <c r="Y1124" s="73"/>
      <c r="Z1124" s="73"/>
      <c r="AA1124" s="73"/>
    </row>
    <row r="1125" spans="1:27" ht="12.75" customHeight="1">
      <c r="A1125" s="73"/>
      <c r="B1125" s="32"/>
      <c r="C1125" s="32"/>
      <c r="D1125" s="33"/>
      <c r="E1125" s="32"/>
      <c r="F1125" s="32"/>
      <c r="G1125" s="74"/>
      <c r="H1125" s="32"/>
      <c r="I1125" s="32"/>
      <c r="J1125" s="32"/>
      <c r="K1125" s="74"/>
      <c r="L1125" s="35"/>
      <c r="M1125" s="32"/>
      <c r="N1125" s="32"/>
      <c r="O1125" s="59"/>
      <c r="P1125" s="73"/>
      <c r="Q1125" s="73"/>
      <c r="R1125" s="73"/>
      <c r="S1125" s="73"/>
      <c r="T1125" s="73"/>
      <c r="U1125" s="73"/>
      <c r="V1125" s="73"/>
      <c r="W1125" s="73"/>
      <c r="X1125" s="73"/>
      <c r="Y1125" s="73"/>
      <c r="Z1125" s="73"/>
      <c r="AA1125" s="73"/>
    </row>
    <row r="1126" spans="1:27" ht="12.75" customHeight="1">
      <c r="A1126" s="73"/>
      <c r="B1126" s="32"/>
      <c r="C1126" s="32"/>
      <c r="D1126" s="33"/>
      <c r="E1126" s="32"/>
      <c r="F1126" s="32"/>
      <c r="G1126" s="74"/>
      <c r="H1126" s="32"/>
      <c r="I1126" s="32"/>
      <c r="J1126" s="32"/>
      <c r="K1126" s="74"/>
      <c r="L1126" s="35"/>
      <c r="M1126" s="32"/>
      <c r="N1126" s="32"/>
      <c r="O1126" s="59"/>
      <c r="P1126" s="73"/>
      <c r="Q1126" s="73"/>
      <c r="R1126" s="73"/>
      <c r="S1126" s="73"/>
      <c r="T1126" s="73"/>
      <c r="U1126" s="73"/>
      <c r="V1126" s="73"/>
      <c r="W1126" s="73"/>
      <c r="X1126" s="73"/>
      <c r="Y1126" s="73"/>
      <c r="Z1126" s="73"/>
      <c r="AA1126" s="73"/>
    </row>
    <row r="1127" spans="1:27" ht="12.75" customHeight="1">
      <c r="A1127" s="73"/>
      <c r="B1127" s="32"/>
      <c r="C1127" s="32"/>
      <c r="D1127" s="33"/>
      <c r="E1127" s="32"/>
      <c r="F1127" s="32"/>
      <c r="G1127" s="74"/>
      <c r="H1127" s="32"/>
      <c r="I1127" s="32"/>
      <c r="J1127" s="32"/>
      <c r="K1127" s="74"/>
      <c r="L1127" s="35"/>
      <c r="M1127" s="32"/>
      <c r="N1127" s="32"/>
      <c r="O1127" s="59"/>
      <c r="P1127" s="73"/>
      <c r="Q1127" s="73"/>
      <c r="R1127" s="73"/>
      <c r="S1127" s="73"/>
      <c r="T1127" s="73"/>
      <c r="U1127" s="73"/>
      <c r="V1127" s="73"/>
      <c r="W1127" s="73"/>
      <c r="X1127" s="73"/>
      <c r="Y1127" s="73"/>
      <c r="Z1127" s="73"/>
      <c r="AA1127" s="73"/>
    </row>
    <row r="1128" spans="1:27" ht="12.75" customHeight="1">
      <c r="A1128" s="73"/>
      <c r="B1128" s="32"/>
      <c r="C1128" s="32"/>
      <c r="D1128" s="33"/>
      <c r="E1128" s="32"/>
      <c r="F1128" s="32"/>
      <c r="G1128" s="74"/>
      <c r="H1128" s="32"/>
      <c r="I1128" s="32"/>
      <c r="J1128" s="32"/>
      <c r="K1128" s="74"/>
      <c r="L1128" s="35"/>
      <c r="M1128" s="32"/>
      <c r="N1128" s="32"/>
      <c r="O1128" s="59"/>
      <c r="P1128" s="73"/>
      <c r="Q1128" s="73"/>
      <c r="R1128" s="73"/>
      <c r="S1128" s="73"/>
      <c r="T1128" s="73"/>
      <c r="U1128" s="73"/>
      <c r="V1128" s="73"/>
      <c r="W1128" s="73"/>
      <c r="X1128" s="73"/>
      <c r="Y1128" s="73"/>
      <c r="Z1128" s="73"/>
      <c r="AA1128" s="73"/>
    </row>
    <row r="1129" spans="1:27" ht="12.75" customHeight="1">
      <c r="A1129" s="73"/>
      <c r="B1129" s="32"/>
      <c r="C1129" s="32"/>
      <c r="D1129" s="33"/>
      <c r="E1129" s="32"/>
      <c r="F1129" s="32"/>
      <c r="G1129" s="74"/>
      <c r="H1129" s="32"/>
      <c r="I1129" s="32"/>
      <c r="J1129" s="32"/>
      <c r="K1129" s="74"/>
      <c r="L1129" s="35"/>
      <c r="M1129" s="32"/>
      <c r="N1129" s="32"/>
      <c r="O1129" s="59"/>
      <c r="P1129" s="73"/>
      <c r="Q1129" s="73"/>
      <c r="R1129" s="73"/>
      <c r="S1129" s="73"/>
      <c r="T1129" s="73"/>
      <c r="U1129" s="73"/>
      <c r="V1129" s="73"/>
      <c r="W1129" s="73"/>
      <c r="X1129" s="73"/>
      <c r="Y1129" s="73"/>
      <c r="Z1129" s="73"/>
      <c r="AA1129" s="73"/>
    </row>
    <row r="1130" spans="1:27" ht="12.75" customHeight="1">
      <c r="A1130" s="73"/>
      <c r="B1130" s="32"/>
      <c r="C1130" s="32"/>
      <c r="D1130" s="33"/>
      <c r="E1130" s="32"/>
      <c r="F1130" s="32"/>
      <c r="G1130" s="74"/>
      <c r="H1130" s="32"/>
      <c r="I1130" s="32"/>
      <c r="J1130" s="32"/>
      <c r="K1130" s="74"/>
      <c r="L1130" s="35"/>
      <c r="M1130" s="32"/>
      <c r="N1130" s="32"/>
      <c r="O1130" s="59"/>
      <c r="P1130" s="73"/>
      <c r="Q1130" s="73"/>
      <c r="R1130" s="73"/>
      <c r="S1130" s="73"/>
      <c r="T1130" s="73"/>
      <c r="U1130" s="73"/>
      <c r="V1130" s="73"/>
      <c r="W1130" s="73"/>
      <c r="X1130" s="73"/>
      <c r="Y1130" s="73"/>
      <c r="Z1130" s="73"/>
      <c r="AA1130" s="73"/>
    </row>
    <row r="1131" spans="1:27" ht="12.75" customHeight="1">
      <c r="A1131" s="73"/>
      <c r="B1131" s="32"/>
      <c r="C1131" s="32"/>
      <c r="D1131" s="33"/>
      <c r="E1131" s="32"/>
      <c r="F1131" s="32"/>
      <c r="G1131" s="74"/>
      <c r="H1131" s="32"/>
      <c r="I1131" s="32"/>
      <c r="J1131" s="32"/>
      <c r="K1131" s="74"/>
      <c r="L1131" s="35"/>
      <c r="M1131" s="32"/>
      <c r="N1131" s="32"/>
      <c r="O1131" s="59"/>
      <c r="P1131" s="73"/>
      <c r="Q1131" s="73"/>
      <c r="R1131" s="73"/>
      <c r="S1131" s="73"/>
      <c r="T1131" s="73"/>
      <c r="U1131" s="73"/>
      <c r="V1131" s="73"/>
      <c r="W1131" s="73"/>
      <c r="X1131" s="73"/>
      <c r="Y1131" s="73"/>
      <c r="Z1131" s="73"/>
      <c r="AA1131" s="73"/>
    </row>
    <row r="1132" spans="1:27" ht="12.75" customHeight="1">
      <c r="A1132" s="73"/>
      <c r="B1132" s="32"/>
      <c r="C1132" s="32"/>
      <c r="D1132" s="33"/>
      <c r="E1132" s="32"/>
      <c r="F1132" s="32"/>
      <c r="G1132" s="74"/>
      <c r="H1132" s="32"/>
      <c r="I1132" s="32"/>
      <c r="J1132" s="32"/>
      <c r="K1132" s="74"/>
      <c r="L1132" s="35"/>
      <c r="M1132" s="32"/>
      <c r="N1132" s="32"/>
      <c r="O1132" s="59"/>
      <c r="P1132" s="73"/>
      <c r="Q1132" s="73"/>
      <c r="R1132" s="73"/>
      <c r="S1132" s="73"/>
      <c r="T1132" s="73"/>
      <c r="U1132" s="73"/>
      <c r="V1132" s="73"/>
      <c r="W1132" s="73"/>
      <c r="X1132" s="73"/>
      <c r="Y1132" s="73"/>
      <c r="Z1132" s="73"/>
      <c r="AA1132" s="73"/>
    </row>
    <row r="1133" spans="1:27" ht="12.75" customHeight="1">
      <c r="A1133" s="73"/>
      <c r="B1133" s="32"/>
      <c r="C1133" s="32"/>
      <c r="D1133" s="33"/>
      <c r="E1133" s="32"/>
      <c r="F1133" s="32"/>
      <c r="G1133" s="74"/>
      <c r="H1133" s="32"/>
      <c r="I1133" s="32"/>
      <c r="J1133" s="32"/>
      <c r="K1133" s="74"/>
      <c r="L1133" s="35"/>
      <c r="M1133" s="32"/>
      <c r="N1133" s="32"/>
      <c r="O1133" s="59"/>
      <c r="P1133" s="73"/>
      <c r="Q1133" s="73"/>
      <c r="R1133" s="73"/>
      <c r="S1133" s="73"/>
      <c r="T1133" s="73"/>
      <c r="U1133" s="73"/>
      <c r="V1133" s="73"/>
      <c r="W1133" s="73"/>
      <c r="X1133" s="73"/>
      <c r="Y1133" s="73"/>
      <c r="Z1133" s="73"/>
      <c r="AA1133" s="73"/>
    </row>
    <row r="1134" spans="1:27" ht="12.75" customHeight="1">
      <c r="A1134" s="73"/>
      <c r="B1134" s="32"/>
      <c r="C1134" s="32"/>
      <c r="D1134" s="33"/>
      <c r="E1134" s="32"/>
      <c r="F1134" s="32"/>
      <c r="G1134" s="74"/>
      <c r="H1134" s="32"/>
      <c r="I1134" s="32"/>
      <c r="J1134" s="32"/>
      <c r="K1134" s="74"/>
      <c r="L1134" s="35"/>
      <c r="M1134" s="32"/>
      <c r="N1134" s="32"/>
      <c r="O1134" s="59"/>
      <c r="P1134" s="73"/>
      <c r="Q1134" s="73"/>
      <c r="R1134" s="73"/>
      <c r="S1134" s="73"/>
      <c r="T1134" s="73"/>
      <c r="U1134" s="73"/>
      <c r="V1134" s="73"/>
      <c r="W1134" s="73"/>
      <c r="X1134" s="73"/>
      <c r="Y1134" s="73"/>
      <c r="Z1134" s="73"/>
      <c r="AA1134" s="73"/>
    </row>
    <row r="1135" spans="1:27" ht="12.75" customHeight="1">
      <c r="A1135" s="73"/>
      <c r="B1135" s="32"/>
      <c r="C1135" s="32"/>
      <c r="D1135" s="33"/>
      <c r="E1135" s="32"/>
      <c r="F1135" s="32"/>
      <c r="G1135" s="74"/>
      <c r="H1135" s="32"/>
      <c r="I1135" s="32"/>
      <c r="J1135" s="32"/>
      <c r="K1135" s="74"/>
      <c r="L1135" s="35"/>
      <c r="M1135" s="32"/>
      <c r="N1135" s="32"/>
      <c r="O1135" s="59"/>
      <c r="P1135" s="73"/>
      <c r="Q1135" s="73"/>
      <c r="R1135" s="73"/>
      <c r="S1135" s="73"/>
      <c r="T1135" s="73"/>
      <c r="U1135" s="73"/>
      <c r="V1135" s="73"/>
      <c r="W1135" s="73"/>
      <c r="X1135" s="73"/>
      <c r="Y1135" s="73"/>
      <c r="Z1135" s="73"/>
      <c r="AA1135" s="73"/>
    </row>
    <row r="1136" spans="1:27" ht="12.75" customHeight="1">
      <c r="A1136" s="73"/>
      <c r="B1136" s="32"/>
      <c r="C1136" s="32"/>
      <c r="D1136" s="33"/>
      <c r="E1136" s="32"/>
      <c r="F1136" s="32"/>
      <c r="G1136" s="74"/>
      <c r="H1136" s="32"/>
      <c r="I1136" s="32"/>
      <c r="J1136" s="32"/>
      <c r="K1136" s="74"/>
      <c r="L1136" s="35"/>
      <c r="M1136" s="32"/>
      <c r="N1136" s="32"/>
      <c r="O1136" s="59"/>
      <c r="P1136" s="73"/>
      <c r="Q1136" s="73"/>
      <c r="R1136" s="73"/>
      <c r="S1136" s="73"/>
      <c r="T1136" s="73"/>
      <c r="U1136" s="73"/>
      <c r="V1136" s="73"/>
      <c r="W1136" s="73"/>
      <c r="X1136" s="73"/>
      <c r="Y1136" s="73"/>
      <c r="Z1136" s="73"/>
      <c r="AA1136" s="73"/>
    </row>
    <row r="1137" spans="1:27" ht="12.75" customHeight="1">
      <c r="A1137" s="73"/>
      <c r="B1137" s="32"/>
      <c r="C1137" s="32"/>
      <c r="D1137" s="33"/>
      <c r="E1137" s="32"/>
      <c r="F1137" s="32"/>
      <c r="G1137" s="74"/>
      <c r="H1137" s="32"/>
      <c r="I1137" s="32"/>
      <c r="J1137" s="32"/>
      <c r="K1137" s="74"/>
      <c r="L1137" s="35"/>
      <c r="M1137" s="32"/>
      <c r="N1137" s="32"/>
      <c r="O1137" s="59"/>
      <c r="P1137" s="73"/>
      <c r="Q1137" s="73"/>
      <c r="R1137" s="73"/>
      <c r="S1137" s="73"/>
      <c r="T1137" s="73"/>
      <c r="U1137" s="73"/>
      <c r="V1137" s="73"/>
      <c r="W1137" s="73"/>
      <c r="X1137" s="73"/>
      <c r="Y1137" s="73"/>
      <c r="Z1137" s="73"/>
      <c r="AA1137" s="73"/>
    </row>
    <row r="1138" spans="1:27" ht="12.75" customHeight="1">
      <c r="A1138" s="73"/>
      <c r="B1138" s="32"/>
      <c r="C1138" s="32"/>
      <c r="D1138" s="33"/>
      <c r="E1138" s="32"/>
      <c r="F1138" s="32"/>
      <c r="G1138" s="74"/>
      <c r="H1138" s="32"/>
      <c r="I1138" s="32"/>
      <c r="J1138" s="32"/>
      <c r="K1138" s="74"/>
      <c r="L1138" s="35"/>
      <c r="M1138" s="32"/>
      <c r="N1138" s="32"/>
      <c r="O1138" s="59"/>
      <c r="P1138" s="73"/>
      <c r="Q1138" s="73"/>
      <c r="R1138" s="73"/>
      <c r="S1138" s="73"/>
      <c r="T1138" s="73"/>
      <c r="U1138" s="73"/>
      <c r="V1138" s="73"/>
      <c r="W1138" s="73"/>
      <c r="X1138" s="73"/>
      <c r="Y1138" s="73"/>
      <c r="Z1138" s="73"/>
      <c r="AA1138" s="73"/>
    </row>
    <row r="1139" spans="1:27" ht="12.75" customHeight="1">
      <c r="A1139" s="73"/>
      <c r="B1139" s="32"/>
      <c r="C1139" s="32"/>
      <c r="D1139" s="33"/>
      <c r="E1139" s="32"/>
      <c r="F1139" s="32"/>
      <c r="G1139" s="74"/>
      <c r="H1139" s="32"/>
      <c r="I1139" s="32"/>
      <c r="J1139" s="32"/>
      <c r="K1139" s="74"/>
      <c r="L1139" s="35"/>
      <c r="M1139" s="32"/>
      <c r="N1139" s="32"/>
      <c r="O1139" s="59"/>
      <c r="P1139" s="73"/>
      <c r="Q1139" s="73"/>
      <c r="R1139" s="73"/>
      <c r="S1139" s="73"/>
      <c r="T1139" s="73"/>
      <c r="U1139" s="73"/>
      <c r="V1139" s="73"/>
      <c r="W1139" s="73"/>
      <c r="X1139" s="73"/>
      <c r="Y1139" s="73"/>
      <c r="Z1139" s="73"/>
      <c r="AA1139" s="73"/>
    </row>
    <row r="1140" spans="1:27" ht="12.75" customHeight="1">
      <c r="A1140" s="73"/>
      <c r="B1140" s="32"/>
      <c r="C1140" s="32"/>
      <c r="D1140" s="33"/>
      <c r="E1140" s="32"/>
      <c r="F1140" s="32"/>
      <c r="G1140" s="74"/>
      <c r="H1140" s="32"/>
      <c r="I1140" s="32"/>
      <c r="J1140" s="32"/>
      <c r="K1140" s="74"/>
      <c r="L1140" s="35"/>
      <c r="M1140" s="32"/>
      <c r="N1140" s="32"/>
      <c r="O1140" s="59"/>
      <c r="P1140" s="73"/>
      <c r="Q1140" s="73"/>
      <c r="R1140" s="73"/>
      <c r="S1140" s="73"/>
      <c r="T1140" s="73"/>
      <c r="U1140" s="73"/>
      <c r="V1140" s="73"/>
      <c r="W1140" s="73"/>
      <c r="X1140" s="73"/>
      <c r="Y1140" s="73"/>
      <c r="Z1140" s="73"/>
      <c r="AA1140" s="73"/>
    </row>
    <row r="1141" spans="1:27" ht="12.75" customHeight="1">
      <c r="A1141" s="73"/>
      <c r="B1141" s="32"/>
      <c r="C1141" s="32"/>
      <c r="D1141" s="33"/>
      <c r="E1141" s="32"/>
      <c r="F1141" s="32"/>
      <c r="G1141" s="74"/>
      <c r="H1141" s="32"/>
      <c r="I1141" s="32"/>
      <c r="J1141" s="32"/>
      <c r="K1141" s="74"/>
      <c r="L1141" s="35"/>
      <c r="M1141" s="32"/>
      <c r="N1141" s="32"/>
      <c r="O1141" s="59"/>
      <c r="P1141" s="73"/>
      <c r="Q1141" s="73"/>
      <c r="R1141" s="73"/>
      <c r="S1141" s="73"/>
      <c r="T1141" s="73"/>
      <c r="U1141" s="73"/>
      <c r="V1141" s="73"/>
      <c r="W1141" s="73"/>
      <c r="X1141" s="73"/>
      <c r="Y1141" s="73"/>
      <c r="Z1141" s="73"/>
      <c r="AA1141" s="73"/>
    </row>
    <row r="1142" spans="1:27" ht="12.75" customHeight="1">
      <c r="A1142" s="73"/>
      <c r="B1142" s="32"/>
      <c r="C1142" s="32"/>
      <c r="D1142" s="33"/>
      <c r="E1142" s="32"/>
      <c r="F1142" s="32"/>
      <c r="G1142" s="74"/>
      <c r="H1142" s="32"/>
      <c r="I1142" s="32"/>
      <c r="J1142" s="32"/>
      <c r="K1142" s="74"/>
      <c r="L1142" s="35"/>
      <c r="M1142" s="32"/>
      <c r="N1142" s="32"/>
      <c r="O1142" s="59"/>
      <c r="P1142" s="73"/>
      <c r="Q1142" s="73"/>
      <c r="R1142" s="73"/>
      <c r="S1142" s="73"/>
      <c r="T1142" s="73"/>
      <c r="U1142" s="73"/>
      <c r="V1142" s="73"/>
      <c r="W1142" s="73"/>
      <c r="X1142" s="73"/>
      <c r="Y1142" s="73"/>
      <c r="Z1142" s="73"/>
      <c r="AA1142" s="73"/>
    </row>
    <row r="1143" spans="1:27" ht="12.75" customHeight="1">
      <c r="A1143" s="73"/>
      <c r="B1143" s="32"/>
      <c r="C1143" s="32"/>
      <c r="D1143" s="33"/>
      <c r="E1143" s="32"/>
      <c r="F1143" s="32"/>
      <c r="G1143" s="74"/>
      <c r="H1143" s="32"/>
      <c r="I1143" s="32"/>
      <c r="J1143" s="32"/>
      <c r="K1143" s="74"/>
      <c r="L1143" s="35"/>
      <c r="M1143" s="32"/>
      <c r="N1143" s="32"/>
      <c r="O1143" s="59"/>
      <c r="P1143" s="73"/>
      <c r="Q1143" s="73"/>
      <c r="R1143" s="73"/>
      <c r="S1143" s="73"/>
      <c r="T1143" s="73"/>
      <c r="U1143" s="73"/>
      <c r="V1143" s="73"/>
      <c r="W1143" s="73"/>
      <c r="X1143" s="73"/>
      <c r="Y1143" s="73"/>
      <c r="Z1143" s="73"/>
      <c r="AA1143" s="73"/>
    </row>
    <row r="1144" spans="1:27" ht="12.75" customHeight="1">
      <c r="A1144" s="73"/>
      <c r="B1144" s="32"/>
      <c r="C1144" s="32"/>
      <c r="D1144" s="33"/>
      <c r="E1144" s="32"/>
      <c r="F1144" s="32"/>
      <c r="G1144" s="74"/>
      <c r="H1144" s="32"/>
      <c r="I1144" s="32"/>
      <c r="J1144" s="32"/>
      <c r="K1144" s="74"/>
      <c r="L1144" s="35"/>
      <c r="M1144" s="32"/>
      <c r="N1144" s="32"/>
      <c r="O1144" s="59"/>
      <c r="P1144" s="73"/>
      <c r="Q1144" s="73"/>
      <c r="R1144" s="73"/>
      <c r="S1144" s="73"/>
      <c r="T1144" s="73"/>
      <c r="U1144" s="73"/>
      <c r="V1144" s="73"/>
      <c r="W1144" s="73"/>
      <c r="X1144" s="73"/>
      <c r="Y1144" s="73"/>
      <c r="Z1144" s="73"/>
      <c r="AA1144" s="73"/>
    </row>
    <row r="1145" spans="1:27" ht="12.75" customHeight="1">
      <c r="A1145" s="73"/>
      <c r="B1145" s="32"/>
      <c r="C1145" s="32"/>
      <c r="D1145" s="33"/>
      <c r="E1145" s="32"/>
      <c r="F1145" s="32"/>
      <c r="G1145" s="74"/>
      <c r="H1145" s="32"/>
      <c r="I1145" s="32"/>
      <c r="J1145" s="32"/>
      <c r="K1145" s="74"/>
      <c r="L1145" s="35"/>
      <c r="M1145" s="32"/>
      <c r="N1145" s="32"/>
      <c r="O1145" s="59"/>
      <c r="P1145" s="73"/>
      <c r="Q1145" s="73"/>
      <c r="R1145" s="73"/>
      <c r="S1145" s="73"/>
      <c r="T1145" s="73"/>
      <c r="U1145" s="73"/>
      <c r="V1145" s="73"/>
      <c r="W1145" s="73"/>
      <c r="X1145" s="73"/>
      <c r="Y1145" s="73"/>
      <c r="Z1145" s="73"/>
      <c r="AA1145" s="73"/>
    </row>
    <row r="1146" spans="1:27" ht="12.75" customHeight="1">
      <c r="A1146" s="73"/>
      <c r="B1146" s="32"/>
      <c r="C1146" s="32"/>
      <c r="D1146" s="33"/>
      <c r="E1146" s="32"/>
      <c r="F1146" s="32"/>
      <c r="G1146" s="74"/>
      <c r="H1146" s="32"/>
      <c r="I1146" s="32"/>
      <c r="J1146" s="32"/>
      <c r="K1146" s="74"/>
      <c r="L1146" s="35"/>
      <c r="M1146" s="32"/>
      <c r="N1146" s="32"/>
      <c r="O1146" s="59"/>
      <c r="P1146" s="73"/>
      <c r="Q1146" s="73"/>
      <c r="R1146" s="73"/>
      <c r="S1146" s="73"/>
      <c r="T1146" s="73"/>
      <c r="U1146" s="73"/>
      <c r="V1146" s="73"/>
      <c r="W1146" s="73"/>
      <c r="X1146" s="73"/>
      <c r="Y1146" s="73"/>
      <c r="Z1146" s="73"/>
      <c r="AA1146" s="73"/>
    </row>
    <row r="1147" spans="1:27" ht="12.75" customHeight="1">
      <c r="A1147" s="73"/>
      <c r="B1147" s="32"/>
      <c r="C1147" s="32"/>
      <c r="D1147" s="33"/>
      <c r="E1147" s="32"/>
      <c r="F1147" s="32"/>
      <c r="G1147" s="74"/>
      <c r="H1147" s="32"/>
      <c r="I1147" s="32"/>
      <c r="J1147" s="32"/>
      <c r="K1147" s="74"/>
      <c r="L1147" s="35"/>
      <c r="M1147" s="32"/>
      <c r="N1147" s="32"/>
      <c r="O1147" s="59"/>
      <c r="P1147" s="73"/>
      <c r="Q1147" s="73"/>
      <c r="R1147" s="73"/>
      <c r="S1147" s="73"/>
      <c r="T1147" s="73"/>
      <c r="U1147" s="73"/>
      <c r="V1147" s="73"/>
      <c r="W1147" s="73"/>
      <c r="X1147" s="73"/>
      <c r="Y1147" s="73"/>
      <c r="Z1147" s="73"/>
      <c r="AA1147" s="73"/>
    </row>
    <row r="1148" spans="1:27" ht="12.75" customHeight="1">
      <c r="A1148" s="73"/>
      <c r="B1148" s="32"/>
      <c r="C1148" s="32"/>
      <c r="D1148" s="33"/>
      <c r="E1148" s="32"/>
      <c r="F1148" s="32"/>
      <c r="G1148" s="74"/>
      <c r="H1148" s="32"/>
      <c r="I1148" s="32"/>
      <c r="J1148" s="32"/>
      <c r="K1148" s="74"/>
      <c r="L1148" s="35"/>
      <c r="M1148" s="32"/>
      <c r="N1148" s="32"/>
      <c r="O1148" s="59"/>
      <c r="P1148" s="73"/>
      <c r="Q1148" s="73"/>
      <c r="R1148" s="73"/>
      <c r="S1148" s="73"/>
      <c r="T1148" s="73"/>
      <c r="U1148" s="73"/>
      <c r="V1148" s="73"/>
      <c r="W1148" s="73"/>
      <c r="X1148" s="73"/>
      <c r="Y1148" s="73"/>
      <c r="Z1148" s="73"/>
      <c r="AA1148" s="73"/>
    </row>
    <row r="1149" spans="1:27" ht="12.75" customHeight="1">
      <c r="A1149" s="73"/>
      <c r="B1149" s="32"/>
      <c r="C1149" s="32"/>
      <c r="D1149" s="33"/>
      <c r="E1149" s="32"/>
      <c r="F1149" s="32"/>
      <c r="G1149" s="74"/>
      <c r="H1149" s="32"/>
      <c r="I1149" s="32"/>
      <c r="J1149" s="32"/>
      <c r="K1149" s="74"/>
      <c r="L1149" s="35"/>
      <c r="M1149" s="32"/>
      <c r="N1149" s="32"/>
      <c r="O1149" s="59"/>
      <c r="P1149" s="73"/>
      <c r="Q1149" s="73"/>
      <c r="R1149" s="73"/>
      <c r="S1149" s="73"/>
      <c r="T1149" s="73"/>
      <c r="U1149" s="73"/>
      <c r="V1149" s="73"/>
      <c r="W1149" s="73"/>
      <c r="X1149" s="73"/>
      <c r="Y1149" s="73"/>
      <c r="Z1149" s="73"/>
      <c r="AA1149" s="73"/>
    </row>
    <row r="1150" spans="1:27" ht="12.75" customHeight="1">
      <c r="A1150" s="73"/>
      <c r="B1150" s="32"/>
      <c r="C1150" s="32"/>
      <c r="D1150" s="33"/>
      <c r="E1150" s="32"/>
      <c r="F1150" s="32"/>
      <c r="G1150" s="74"/>
      <c r="H1150" s="32"/>
      <c r="I1150" s="32"/>
      <c r="J1150" s="32"/>
      <c r="K1150" s="74"/>
      <c r="L1150" s="35"/>
      <c r="M1150" s="32"/>
      <c r="N1150" s="32"/>
      <c r="O1150" s="59"/>
      <c r="P1150" s="73"/>
      <c r="Q1150" s="73"/>
      <c r="R1150" s="73"/>
      <c r="S1150" s="73"/>
      <c r="T1150" s="73"/>
      <c r="U1150" s="73"/>
      <c r="V1150" s="73"/>
      <c r="W1150" s="73"/>
      <c r="X1150" s="73"/>
      <c r="Y1150" s="73"/>
      <c r="Z1150" s="73"/>
      <c r="AA1150" s="73"/>
    </row>
    <row r="1151" spans="1:27" ht="12.75" customHeight="1">
      <c r="A1151" s="73"/>
      <c r="B1151" s="32"/>
      <c r="C1151" s="32"/>
      <c r="D1151" s="33"/>
      <c r="E1151" s="32"/>
      <c r="F1151" s="32"/>
      <c r="G1151" s="74"/>
      <c r="H1151" s="32"/>
      <c r="I1151" s="32"/>
      <c r="J1151" s="32"/>
      <c r="K1151" s="74"/>
      <c r="L1151" s="35"/>
      <c r="M1151" s="32"/>
      <c r="N1151" s="32"/>
      <c r="O1151" s="59"/>
      <c r="P1151" s="73"/>
      <c r="Q1151" s="73"/>
      <c r="R1151" s="73"/>
      <c r="S1151" s="73"/>
      <c r="T1151" s="73"/>
      <c r="U1151" s="73"/>
      <c r="V1151" s="73"/>
      <c r="W1151" s="73"/>
      <c r="X1151" s="73"/>
      <c r="Y1151" s="73"/>
      <c r="Z1151" s="73"/>
      <c r="AA1151" s="73"/>
    </row>
    <row r="1152" spans="1:27" ht="12.75" customHeight="1">
      <c r="A1152" s="73"/>
      <c r="B1152" s="32"/>
      <c r="C1152" s="32"/>
      <c r="D1152" s="33"/>
      <c r="E1152" s="32"/>
      <c r="F1152" s="32"/>
      <c r="G1152" s="74"/>
      <c r="H1152" s="32"/>
      <c r="I1152" s="32"/>
      <c r="J1152" s="32"/>
      <c r="K1152" s="74"/>
      <c r="L1152" s="35"/>
      <c r="M1152" s="32"/>
      <c r="N1152" s="32"/>
      <c r="O1152" s="59"/>
      <c r="P1152" s="73"/>
      <c r="Q1152" s="73"/>
      <c r="R1152" s="73"/>
      <c r="S1152" s="73"/>
      <c r="T1152" s="73"/>
      <c r="U1152" s="73"/>
      <c r="V1152" s="73"/>
      <c r="W1152" s="73"/>
      <c r="X1152" s="73"/>
      <c r="Y1152" s="73"/>
      <c r="Z1152" s="73"/>
      <c r="AA1152" s="73"/>
    </row>
    <row r="1153" spans="1:27" ht="12.75" customHeight="1">
      <c r="A1153" s="73"/>
      <c r="B1153" s="32"/>
      <c r="C1153" s="32"/>
      <c r="D1153" s="33"/>
      <c r="E1153" s="32"/>
      <c r="F1153" s="32"/>
      <c r="G1153" s="74"/>
      <c r="H1153" s="32"/>
      <c r="I1153" s="32"/>
      <c r="J1153" s="32"/>
      <c r="K1153" s="74"/>
      <c r="L1153" s="35"/>
      <c r="M1153" s="32"/>
      <c r="N1153" s="32"/>
      <c r="O1153" s="59"/>
      <c r="P1153" s="73"/>
      <c r="Q1153" s="73"/>
      <c r="R1153" s="73"/>
      <c r="S1153" s="73"/>
      <c r="T1153" s="73"/>
      <c r="U1153" s="73"/>
      <c r="V1153" s="73"/>
      <c r="W1153" s="73"/>
      <c r="X1153" s="73"/>
      <c r="Y1153" s="73"/>
      <c r="Z1153" s="73"/>
      <c r="AA1153" s="73"/>
    </row>
    <row r="1154" spans="1:27" ht="12.75" customHeight="1">
      <c r="A1154" s="73"/>
      <c r="B1154" s="32"/>
      <c r="C1154" s="32"/>
      <c r="D1154" s="33"/>
      <c r="E1154" s="32"/>
      <c r="F1154" s="32"/>
      <c r="G1154" s="74"/>
      <c r="H1154" s="32"/>
      <c r="I1154" s="32"/>
      <c r="J1154" s="32"/>
      <c r="K1154" s="74"/>
      <c r="L1154" s="35"/>
      <c r="M1154" s="32"/>
      <c r="N1154" s="32"/>
      <c r="O1154" s="59"/>
      <c r="P1154" s="73"/>
      <c r="Q1154" s="73"/>
      <c r="R1154" s="73"/>
      <c r="S1154" s="73"/>
      <c r="T1154" s="73"/>
      <c r="U1154" s="73"/>
      <c r="V1154" s="73"/>
      <c r="W1154" s="73"/>
      <c r="X1154" s="73"/>
      <c r="Y1154" s="73"/>
      <c r="Z1154" s="73"/>
      <c r="AA1154" s="73"/>
    </row>
    <row r="1155" spans="1:27" ht="12.75" customHeight="1">
      <c r="A1155" s="73"/>
      <c r="B1155" s="32"/>
      <c r="C1155" s="32"/>
      <c r="D1155" s="33"/>
      <c r="E1155" s="32"/>
      <c r="F1155" s="32"/>
      <c r="G1155" s="74"/>
      <c r="H1155" s="32"/>
      <c r="I1155" s="32"/>
      <c r="J1155" s="32"/>
      <c r="K1155" s="74"/>
      <c r="L1155" s="35"/>
      <c r="M1155" s="32"/>
      <c r="N1155" s="32"/>
      <c r="O1155" s="59"/>
      <c r="P1155" s="73"/>
      <c r="Q1155" s="73"/>
      <c r="R1155" s="73"/>
      <c r="S1155" s="73"/>
      <c r="T1155" s="73"/>
      <c r="U1155" s="73"/>
      <c r="V1155" s="73"/>
      <c r="W1155" s="73"/>
      <c r="X1155" s="73"/>
      <c r="Y1155" s="73"/>
      <c r="Z1155" s="73"/>
      <c r="AA1155" s="73"/>
    </row>
    <row r="1156" spans="1:27" ht="12.75" customHeight="1">
      <c r="A1156" s="73"/>
      <c r="B1156" s="32"/>
      <c r="C1156" s="32"/>
      <c r="D1156" s="33"/>
      <c r="E1156" s="32"/>
      <c r="F1156" s="32"/>
      <c r="G1156" s="74"/>
      <c r="H1156" s="32"/>
      <c r="I1156" s="32"/>
      <c r="J1156" s="32"/>
      <c r="K1156" s="74"/>
      <c r="L1156" s="35"/>
      <c r="M1156" s="32"/>
      <c r="N1156" s="32"/>
      <c r="O1156" s="59"/>
      <c r="P1156" s="73"/>
      <c r="Q1156" s="73"/>
      <c r="R1156" s="73"/>
      <c r="S1156" s="73"/>
      <c r="T1156" s="73"/>
      <c r="U1156" s="73"/>
      <c r="V1156" s="73"/>
      <c r="W1156" s="73"/>
      <c r="X1156" s="73"/>
      <c r="Y1156" s="73"/>
      <c r="Z1156" s="73"/>
      <c r="AA1156" s="73"/>
    </row>
    <row r="1157" spans="1:27" ht="12.75" customHeight="1">
      <c r="A1157" s="73"/>
      <c r="B1157" s="32"/>
      <c r="C1157" s="32"/>
      <c r="D1157" s="33"/>
      <c r="E1157" s="32"/>
      <c r="F1157" s="32"/>
      <c r="G1157" s="74"/>
      <c r="H1157" s="32"/>
      <c r="I1157" s="32"/>
      <c r="J1157" s="32"/>
      <c r="K1157" s="74"/>
      <c r="L1157" s="35"/>
      <c r="M1157" s="32"/>
      <c r="N1157" s="32"/>
      <c r="O1157" s="59"/>
      <c r="P1157" s="73"/>
      <c r="Q1157" s="73"/>
      <c r="R1157" s="73"/>
      <c r="S1157" s="73"/>
      <c r="T1157" s="73"/>
      <c r="U1157" s="73"/>
      <c r="V1157" s="73"/>
      <c r="W1157" s="73"/>
      <c r="X1157" s="73"/>
      <c r="Y1157" s="73"/>
      <c r="Z1157" s="73"/>
      <c r="AA1157" s="73"/>
    </row>
    <row r="1158" spans="1:27" ht="12.75" customHeight="1">
      <c r="A1158" s="73"/>
      <c r="B1158" s="32"/>
      <c r="C1158" s="32"/>
      <c r="D1158" s="33"/>
      <c r="E1158" s="32"/>
      <c r="F1158" s="32"/>
      <c r="G1158" s="74"/>
      <c r="H1158" s="32"/>
      <c r="I1158" s="32"/>
      <c r="J1158" s="32"/>
      <c r="K1158" s="74"/>
      <c r="L1158" s="35"/>
      <c r="M1158" s="32"/>
      <c r="N1158" s="32"/>
      <c r="O1158" s="59"/>
      <c r="P1158" s="73"/>
      <c r="Q1158" s="73"/>
      <c r="R1158" s="73"/>
      <c r="S1158" s="73"/>
      <c r="T1158" s="73"/>
      <c r="U1158" s="73"/>
      <c r="V1158" s="73"/>
      <c r="W1158" s="73"/>
      <c r="X1158" s="73"/>
      <c r="Y1158" s="73"/>
      <c r="Z1158" s="73"/>
      <c r="AA1158" s="73"/>
    </row>
    <row r="1159" spans="1:27" ht="12.75" customHeight="1">
      <c r="A1159" s="73"/>
      <c r="B1159" s="32"/>
      <c r="C1159" s="32"/>
      <c r="D1159" s="33"/>
      <c r="E1159" s="32"/>
      <c r="F1159" s="32"/>
      <c r="G1159" s="74"/>
      <c r="H1159" s="32"/>
      <c r="I1159" s="32"/>
      <c r="J1159" s="32"/>
      <c r="K1159" s="74"/>
      <c r="L1159" s="35"/>
      <c r="M1159" s="32"/>
      <c r="N1159" s="32"/>
      <c r="O1159" s="59"/>
      <c r="P1159" s="73"/>
      <c r="Q1159" s="73"/>
      <c r="R1159" s="73"/>
      <c r="S1159" s="73"/>
      <c r="T1159" s="73"/>
      <c r="U1159" s="73"/>
      <c r="V1159" s="73"/>
      <c r="W1159" s="73"/>
      <c r="X1159" s="73"/>
      <c r="Y1159" s="73"/>
      <c r="Z1159" s="73"/>
      <c r="AA1159" s="73"/>
    </row>
    <row r="1160" spans="1:27" ht="12.75" customHeight="1">
      <c r="A1160" s="73"/>
      <c r="B1160" s="32"/>
      <c r="C1160" s="32"/>
      <c r="D1160" s="33"/>
      <c r="E1160" s="32"/>
      <c r="F1160" s="32"/>
      <c r="G1160" s="74"/>
      <c r="H1160" s="32"/>
      <c r="I1160" s="32"/>
      <c r="J1160" s="32"/>
      <c r="K1160" s="74"/>
      <c r="L1160" s="35"/>
      <c r="M1160" s="32"/>
      <c r="N1160" s="32"/>
      <c r="O1160" s="59"/>
      <c r="P1160" s="73"/>
      <c r="Q1160" s="73"/>
      <c r="R1160" s="73"/>
      <c r="S1160" s="73"/>
      <c r="T1160" s="73"/>
      <c r="U1160" s="73"/>
      <c r="V1160" s="73"/>
      <c r="W1160" s="73"/>
      <c r="X1160" s="73"/>
      <c r="Y1160" s="73"/>
      <c r="Z1160" s="73"/>
      <c r="AA1160" s="73"/>
    </row>
    <row r="1161" spans="1:27" ht="12.75" customHeight="1">
      <c r="A1161" s="73"/>
      <c r="B1161" s="32"/>
      <c r="C1161" s="32"/>
      <c r="D1161" s="33"/>
      <c r="E1161" s="32"/>
      <c r="F1161" s="32"/>
      <c r="G1161" s="74"/>
      <c r="H1161" s="32"/>
      <c r="I1161" s="32"/>
      <c r="J1161" s="32"/>
      <c r="K1161" s="74"/>
      <c r="L1161" s="35"/>
      <c r="M1161" s="32"/>
      <c r="N1161" s="32"/>
      <c r="O1161" s="59"/>
      <c r="P1161" s="73"/>
      <c r="Q1161" s="73"/>
      <c r="R1161" s="73"/>
      <c r="S1161" s="73"/>
      <c r="T1161" s="73"/>
      <c r="U1161" s="73"/>
      <c r="V1161" s="73"/>
      <c r="W1161" s="73"/>
      <c r="X1161" s="73"/>
      <c r="Y1161" s="73"/>
      <c r="Z1161" s="73"/>
      <c r="AA1161" s="73"/>
    </row>
    <row r="1162" spans="1:27" ht="12.75" customHeight="1">
      <c r="A1162" s="73"/>
      <c r="B1162" s="32"/>
      <c r="C1162" s="32"/>
      <c r="D1162" s="33"/>
      <c r="E1162" s="32"/>
      <c r="F1162" s="32"/>
      <c r="G1162" s="74"/>
      <c r="H1162" s="32"/>
      <c r="I1162" s="32"/>
      <c r="J1162" s="32"/>
      <c r="K1162" s="74"/>
      <c r="L1162" s="35"/>
      <c r="M1162" s="32"/>
      <c r="N1162" s="32"/>
      <c r="O1162" s="59"/>
      <c r="P1162" s="73"/>
      <c r="Q1162" s="73"/>
      <c r="R1162" s="73"/>
      <c r="S1162" s="73"/>
      <c r="T1162" s="73"/>
      <c r="U1162" s="73"/>
      <c r="V1162" s="73"/>
      <c r="W1162" s="73"/>
      <c r="X1162" s="73"/>
      <c r="Y1162" s="73"/>
      <c r="Z1162" s="73"/>
      <c r="AA1162" s="73"/>
    </row>
    <row r="1163" spans="1:27" ht="12.75" customHeight="1">
      <c r="A1163" s="73"/>
      <c r="B1163" s="32"/>
      <c r="C1163" s="32"/>
      <c r="D1163" s="33"/>
      <c r="E1163" s="32"/>
      <c r="F1163" s="32"/>
      <c r="G1163" s="74"/>
      <c r="H1163" s="32"/>
      <c r="I1163" s="32"/>
      <c r="J1163" s="32"/>
      <c r="K1163" s="74"/>
      <c r="L1163" s="35"/>
      <c r="M1163" s="32"/>
      <c r="N1163" s="32"/>
      <c r="O1163" s="59"/>
      <c r="P1163" s="73"/>
      <c r="Q1163" s="73"/>
      <c r="R1163" s="73"/>
      <c r="S1163" s="73"/>
      <c r="T1163" s="73"/>
      <c r="U1163" s="73"/>
      <c r="V1163" s="73"/>
      <c r="W1163" s="73"/>
      <c r="X1163" s="73"/>
      <c r="Y1163" s="73"/>
      <c r="Z1163" s="73"/>
      <c r="AA1163" s="73"/>
    </row>
    <row r="1164" spans="1:27" ht="12.75" customHeight="1">
      <c r="A1164" s="73"/>
      <c r="B1164" s="32"/>
      <c r="C1164" s="32"/>
      <c r="D1164" s="33"/>
      <c r="E1164" s="32"/>
      <c r="F1164" s="32"/>
      <c r="G1164" s="74"/>
      <c r="H1164" s="32"/>
      <c r="I1164" s="32"/>
      <c r="J1164" s="32"/>
      <c r="K1164" s="74"/>
      <c r="L1164" s="35"/>
      <c r="M1164" s="32"/>
      <c r="N1164" s="32"/>
      <c r="O1164" s="59"/>
      <c r="P1164" s="73"/>
      <c r="Q1164" s="73"/>
      <c r="R1164" s="73"/>
      <c r="S1164" s="73"/>
      <c r="T1164" s="73"/>
      <c r="U1164" s="73"/>
      <c r="V1164" s="73"/>
      <c r="W1164" s="73"/>
      <c r="X1164" s="73"/>
      <c r="Y1164" s="73"/>
      <c r="Z1164" s="73"/>
      <c r="AA1164" s="73"/>
    </row>
    <row r="1165" spans="1:27" ht="12.75" customHeight="1">
      <c r="A1165" s="73"/>
      <c r="B1165" s="32"/>
      <c r="C1165" s="32"/>
      <c r="D1165" s="33"/>
      <c r="E1165" s="32"/>
      <c r="F1165" s="32"/>
      <c r="G1165" s="74"/>
      <c r="H1165" s="32"/>
      <c r="I1165" s="32"/>
      <c r="J1165" s="32"/>
      <c r="K1165" s="74"/>
      <c r="L1165" s="35"/>
      <c r="M1165" s="32"/>
      <c r="N1165" s="32"/>
      <c r="O1165" s="59"/>
      <c r="P1165" s="73"/>
      <c r="Q1165" s="73"/>
      <c r="R1165" s="73"/>
      <c r="S1165" s="73"/>
      <c r="T1165" s="73"/>
      <c r="U1165" s="73"/>
      <c r="V1165" s="73"/>
      <c r="W1165" s="73"/>
      <c r="X1165" s="73"/>
      <c r="Y1165" s="73"/>
      <c r="Z1165" s="73"/>
      <c r="AA1165" s="73"/>
    </row>
    <row r="1166" spans="1:27" ht="12.75" customHeight="1">
      <c r="A1166" s="73"/>
      <c r="B1166" s="32"/>
      <c r="C1166" s="32"/>
      <c r="D1166" s="33"/>
      <c r="E1166" s="32"/>
      <c r="F1166" s="32"/>
      <c r="G1166" s="74"/>
      <c r="H1166" s="32"/>
      <c r="I1166" s="32"/>
      <c r="J1166" s="32"/>
      <c r="K1166" s="74"/>
      <c r="L1166" s="35"/>
      <c r="M1166" s="32"/>
      <c r="N1166" s="32"/>
      <c r="O1166" s="59"/>
      <c r="P1166" s="73"/>
      <c r="Q1166" s="73"/>
      <c r="R1166" s="73"/>
      <c r="S1166" s="73"/>
      <c r="T1166" s="73"/>
      <c r="U1166" s="73"/>
      <c r="V1166" s="73"/>
      <c r="W1166" s="73"/>
      <c r="X1166" s="73"/>
      <c r="Y1166" s="73"/>
      <c r="Z1166" s="73"/>
      <c r="AA1166" s="73"/>
    </row>
    <row r="1167" spans="1:27" ht="12.75" customHeight="1">
      <c r="A1167" s="73"/>
      <c r="B1167" s="32"/>
      <c r="C1167" s="32"/>
      <c r="D1167" s="33"/>
      <c r="E1167" s="32"/>
      <c r="F1167" s="32"/>
      <c r="G1167" s="74"/>
      <c r="H1167" s="32"/>
      <c r="I1167" s="32"/>
      <c r="J1167" s="32"/>
      <c r="K1167" s="74"/>
      <c r="L1167" s="35"/>
      <c r="M1167" s="32"/>
      <c r="N1167" s="32"/>
      <c r="O1167" s="59"/>
      <c r="P1167" s="73"/>
      <c r="Q1167" s="73"/>
      <c r="R1167" s="73"/>
      <c r="S1167" s="73"/>
      <c r="T1167" s="73"/>
      <c r="U1167" s="73"/>
      <c r="V1167" s="73"/>
      <c r="W1167" s="73"/>
      <c r="X1167" s="73"/>
      <c r="Y1167" s="73"/>
      <c r="Z1167" s="73"/>
      <c r="AA1167" s="73"/>
    </row>
    <row r="1168" spans="1:27" ht="12.75" customHeight="1">
      <c r="A1168" s="73"/>
      <c r="B1168" s="32"/>
      <c r="C1168" s="32"/>
      <c r="D1168" s="33"/>
      <c r="E1168" s="32"/>
      <c r="F1168" s="32"/>
      <c r="G1168" s="74"/>
      <c r="H1168" s="32"/>
      <c r="I1168" s="32"/>
      <c r="J1168" s="32"/>
      <c r="K1168" s="74"/>
      <c r="L1168" s="35"/>
      <c r="M1168" s="32"/>
      <c r="N1168" s="32"/>
      <c r="O1168" s="59"/>
      <c r="P1168" s="73"/>
      <c r="Q1168" s="73"/>
      <c r="R1168" s="73"/>
      <c r="S1168" s="73"/>
      <c r="T1168" s="73"/>
      <c r="U1168" s="73"/>
      <c r="V1168" s="73"/>
      <c r="W1168" s="73"/>
      <c r="X1168" s="73"/>
      <c r="Y1168" s="73"/>
      <c r="Z1168" s="73"/>
      <c r="AA1168" s="73"/>
    </row>
    <row r="1169" spans="1:27" ht="12.75" customHeight="1">
      <c r="A1169" s="73"/>
      <c r="B1169" s="32"/>
      <c r="C1169" s="32"/>
      <c r="D1169" s="33"/>
      <c r="E1169" s="32"/>
      <c r="F1169" s="32"/>
      <c r="G1169" s="74"/>
      <c r="H1169" s="32"/>
      <c r="I1169" s="32"/>
      <c r="J1169" s="32"/>
      <c r="K1169" s="74"/>
      <c r="L1169" s="35"/>
      <c r="M1169" s="32"/>
      <c r="N1169" s="32"/>
      <c r="O1169" s="59"/>
      <c r="P1169" s="73"/>
      <c r="Q1169" s="73"/>
      <c r="R1169" s="73"/>
      <c r="S1169" s="73"/>
      <c r="T1169" s="73"/>
      <c r="U1169" s="73"/>
      <c r="V1169" s="73"/>
      <c r="W1169" s="73"/>
      <c r="X1169" s="73"/>
      <c r="Y1169" s="73"/>
      <c r="Z1169" s="73"/>
      <c r="AA1169" s="73"/>
    </row>
    <row r="1170" spans="1:27" ht="12.75" customHeight="1">
      <c r="A1170" s="73"/>
      <c r="B1170" s="32"/>
      <c r="C1170" s="32"/>
      <c r="D1170" s="33"/>
      <c r="E1170" s="32"/>
      <c r="F1170" s="32"/>
      <c r="G1170" s="74"/>
      <c r="H1170" s="32"/>
      <c r="I1170" s="32"/>
      <c r="J1170" s="32"/>
      <c r="K1170" s="74"/>
      <c r="L1170" s="35"/>
      <c r="M1170" s="32"/>
      <c r="N1170" s="32"/>
      <c r="O1170" s="59"/>
      <c r="P1170" s="73"/>
      <c r="Q1170" s="73"/>
      <c r="R1170" s="73"/>
      <c r="S1170" s="73"/>
      <c r="T1170" s="73"/>
      <c r="U1170" s="73"/>
      <c r="V1170" s="73"/>
      <c r="W1170" s="73"/>
      <c r="X1170" s="73"/>
      <c r="Y1170" s="73"/>
      <c r="Z1170" s="73"/>
      <c r="AA1170" s="73"/>
    </row>
    <row r="1171" spans="1:27" ht="12.75" customHeight="1">
      <c r="A1171" s="73"/>
      <c r="B1171" s="32"/>
      <c r="C1171" s="32"/>
      <c r="D1171" s="33"/>
      <c r="E1171" s="32"/>
      <c r="F1171" s="32"/>
      <c r="G1171" s="74"/>
      <c r="H1171" s="32"/>
      <c r="I1171" s="32"/>
      <c r="J1171" s="32"/>
      <c r="K1171" s="74"/>
      <c r="L1171" s="35"/>
      <c r="M1171" s="32"/>
      <c r="N1171" s="32"/>
      <c r="O1171" s="59"/>
      <c r="P1171" s="73"/>
      <c r="Q1171" s="73"/>
      <c r="R1171" s="73"/>
      <c r="S1171" s="73"/>
      <c r="T1171" s="73"/>
      <c r="U1171" s="73"/>
      <c r="V1171" s="73"/>
      <c r="W1171" s="73"/>
      <c r="X1171" s="73"/>
      <c r="Y1171" s="73"/>
      <c r="Z1171" s="73"/>
      <c r="AA1171" s="73"/>
    </row>
    <row r="1172" spans="1:27" ht="12.75" customHeight="1">
      <c r="A1172" s="73"/>
      <c r="B1172" s="32"/>
      <c r="C1172" s="32"/>
      <c r="D1172" s="33"/>
      <c r="E1172" s="32"/>
      <c r="F1172" s="32"/>
      <c r="G1172" s="74"/>
      <c r="H1172" s="32"/>
      <c r="I1172" s="32"/>
      <c r="J1172" s="32"/>
      <c r="K1172" s="74"/>
      <c r="L1172" s="35"/>
      <c r="M1172" s="32"/>
      <c r="N1172" s="32"/>
      <c r="O1172" s="59"/>
      <c r="P1172" s="73"/>
      <c r="Q1172" s="73"/>
      <c r="R1172" s="73"/>
      <c r="S1172" s="73"/>
      <c r="T1172" s="73"/>
      <c r="U1172" s="73"/>
      <c r="V1172" s="73"/>
      <c r="W1172" s="73"/>
      <c r="X1172" s="73"/>
      <c r="Y1172" s="73"/>
      <c r="Z1172" s="73"/>
      <c r="AA1172" s="73"/>
    </row>
    <row r="1173" spans="1:27" ht="12.75" customHeight="1">
      <c r="A1173" s="73"/>
      <c r="B1173" s="32"/>
      <c r="C1173" s="32"/>
      <c r="D1173" s="33"/>
      <c r="E1173" s="32"/>
      <c r="F1173" s="32"/>
      <c r="G1173" s="74"/>
      <c r="H1173" s="32"/>
      <c r="I1173" s="32"/>
      <c r="J1173" s="32"/>
      <c r="K1173" s="74"/>
      <c r="L1173" s="35"/>
      <c r="M1173" s="32"/>
      <c r="N1173" s="32"/>
      <c r="O1173" s="59"/>
      <c r="P1173" s="73"/>
      <c r="Q1173" s="73"/>
      <c r="R1173" s="73"/>
      <c r="S1173" s="73"/>
      <c r="T1173" s="73"/>
      <c r="U1173" s="73"/>
      <c r="V1173" s="73"/>
      <c r="W1173" s="73"/>
      <c r="X1173" s="73"/>
      <c r="Y1173" s="73"/>
      <c r="Z1173" s="73"/>
      <c r="AA1173" s="73"/>
    </row>
    <row r="1174" spans="1:27" ht="12.75" customHeight="1">
      <c r="A1174" s="73"/>
      <c r="B1174" s="32"/>
      <c r="C1174" s="32"/>
      <c r="D1174" s="33"/>
      <c r="E1174" s="32"/>
      <c r="F1174" s="32"/>
      <c r="G1174" s="74"/>
      <c r="H1174" s="32"/>
      <c r="I1174" s="32"/>
      <c r="J1174" s="32"/>
      <c r="K1174" s="74"/>
      <c r="L1174" s="35"/>
      <c r="M1174" s="32"/>
      <c r="N1174" s="32"/>
      <c r="O1174" s="59"/>
      <c r="P1174" s="73"/>
      <c r="Q1174" s="73"/>
      <c r="R1174" s="73"/>
      <c r="S1174" s="73"/>
      <c r="T1174" s="73"/>
      <c r="U1174" s="73"/>
      <c r="V1174" s="73"/>
      <c r="W1174" s="73"/>
      <c r="X1174" s="73"/>
      <c r="Y1174" s="73"/>
      <c r="Z1174" s="73"/>
      <c r="AA1174" s="73"/>
    </row>
    <row r="1175" spans="1:27" ht="12.75" customHeight="1">
      <c r="A1175" s="73"/>
      <c r="B1175" s="32"/>
      <c r="C1175" s="32"/>
      <c r="D1175" s="33"/>
      <c r="E1175" s="32"/>
      <c r="F1175" s="32"/>
      <c r="G1175" s="74"/>
      <c r="H1175" s="32"/>
      <c r="I1175" s="32"/>
      <c r="J1175" s="32"/>
      <c r="K1175" s="74"/>
      <c r="L1175" s="35"/>
      <c r="M1175" s="32"/>
      <c r="N1175" s="32"/>
      <c r="O1175" s="59"/>
      <c r="P1175" s="73"/>
      <c r="Q1175" s="73"/>
      <c r="R1175" s="73"/>
      <c r="S1175" s="73"/>
      <c r="T1175" s="73"/>
      <c r="U1175" s="73"/>
      <c r="V1175" s="73"/>
      <c r="W1175" s="73"/>
      <c r="X1175" s="73"/>
      <c r="Y1175" s="73"/>
      <c r="Z1175" s="73"/>
      <c r="AA1175" s="73"/>
    </row>
    <row r="1176" spans="1:27" ht="12.75" customHeight="1">
      <c r="A1176" s="73"/>
      <c r="B1176" s="32"/>
      <c r="C1176" s="32"/>
      <c r="D1176" s="33"/>
      <c r="E1176" s="32"/>
      <c r="F1176" s="32"/>
      <c r="G1176" s="74"/>
      <c r="H1176" s="32"/>
      <c r="I1176" s="32"/>
      <c r="J1176" s="32"/>
      <c r="K1176" s="74"/>
      <c r="L1176" s="35"/>
      <c r="M1176" s="32"/>
      <c r="N1176" s="32"/>
      <c r="O1176" s="59"/>
      <c r="P1176" s="73"/>
      <c r="Q1176" s="73"/>
      <c r="R1176" s="73"/>
      <c r="S1176" s="73"/>
      <c r="T1176" s="73"/>
      <c r="U1176" s="73"/>
      <c r="V1176" s="73"/>
      <c r="W1176" s="73"/>
      <c r="X1176" s="73"/>
      <c r="Y1176" s="73"/>
      <c r="Z1176" s="73"/>
      <c r="AA1176" s="73"/>
    </row>
    <row r="1177" spans="1:27" ht="12.75" customHeight="1">
      <c r="A1177" s="73"/>
      <c r="B1177" s="32"/>
      <c r="C1177" s="32"/>
      <c r="D1177" s="33"/>
      <c r="E1177" s="32"/>
      <c r="F1177" s="32"/>
      <c r="G1177" s="74"/>
      <c r="H1177" s="32"/>
      <c r="I1177" s="32"/>
      <c r="J1177" s="32"/>
      <c r="K1177" s="74"/>
      <c r="L1177" s="35"/>
      <c r="M1177" s="32"/>
      <c r="N1177" s="32"/>
      <c r="O1177" s="59"/>
      <c r="P1177" s="73"/>
      <c r="Q1177" s="73"/>
      <c r="R1177" s="73"/>
      <c r="S1177" s="73"/>
      <c r="T1177" s="73"/>
      <c r="U1177" s="73"/>
      <c r="V1177" s="73"/>
      <c r="W1177" s="73"/>
      <c r="X1177" s="73"/>
      <c r="Y1177" s="73"/>
      <c r="Z1177" s="73"/>
      <c r="AA1177" s="73"/>
    </row>
    <row r="1178" spans="1:27" ht="12.75" customHeight="1">
      <c r="A1178" s="73"/>
      <c r="B1178" s="32"/>
      <c r="C1178" s="32"/>
      <c r="D1178" s="33"/>
      <c r="E1178" s="32"/>
      <c r="F1178" s="32"/>
      <c r="G1178" s="74"/>
      <c r="H1178" s="32"/>
      <c r="I1178" s="32"/>
      <c r="J1178" s="32"/>
      <c r="K1178" s="74"/>
      <c r="L1178" s="35"/>
      <c r="M1178" s="32"/>
      <c r="N1178" s="32"/>
      <c r="O1178" s="59"/>
      <c r="P1178" s="73"/>
      <c r="Q1178" s="73"/>
      <c r="R1178" s="73"/>
      <c r="S1178" s="73"/>
      <c r="T1178" s="73"/>
      <c r="U1178" s="73"/>
      <c r="V1178" s="73"/>
      <c r="W1178" s="73"/>
      <c r="X1178" s="73"/>
      <c r="Y1178" s="73"/>
      <c r="Z1178" s="73"/>
      <c r="AA1178" s="73"/>
    </row>
    <row r="1179" spans="1:27" ht="12.75" customHeight="1">
      <c r="A1179" s="73"/>
      <c r="B1179" s="32"/>
      <c r="C1179" s="32"/>
      <c r="D1179" s="33"/>
      <c r="E1179" s="32"/>
      <c r="F1179" s="32"/>
      <c r="G1179" s="74"/>
      <c r="H1179" s="32"/>
      <c r="I1179" s="32"/>
      <c r="J1179" s="32"/>
      <c r="K1179" s="74"/>
      <c r="L1179" s="35"/>
      <c r="M1179" s="32"/>
      <c r="N1179" s="32"/>
      <c r="O1179" s="59"/>
      <c r="P1179" s="73"/>
      <c r="Q1179" s="73"/>
      <c r="R1179" s="73"/>
      <c r="S1179" s="73"/>
      <c r="T1179" s="73"/>
      <c r="U1179" s="73"/>
      <c r="V1179" s="73"/>
      <c r="W1179" s="73"/>
      <c r="X1179" s="73"/>
      <c r="Y1179" s="73"/>
      <c r="Z1179" s="73"/>
      <c r="AA1179" s="73"/>
    </row>
    <row r="1180" spans="1:27" ht="12.75" customHeight="1">
      <c r="A1180" s="73"/>
      <c r="B1180" s="32"/>
      <c r="C1180" s="32"/>
      <c r="D1180" s="33"/>
      <c r="E1180" s="32"/>
      <c r="F1180" s="32"/>
      <c r="G1180" s="74"/>
      <c r="H1180" s="32"/>
      <c r="I1180" s="32"/>
      <c r="J1180" s="32"/>
      <c r="K1180" s="74"/>
      <c r="L1180" s="35"/>
      <c r="M1180" s="32"/>
      <c r="N1180" s="32"/>
      <c r="O1180" s="59"/>
      <c r="P1180" s="73"/>
      <c r="Q1180" s="73"/>
      <c r="R1180" s="73"/>
      <c r="S1180" s="73"/>
      <c r="T1180" s="73"/>
      <c r="U1180" s="73"/>
      <c r="V1180" s="73"/>
      <c r="W1180" s="73"/>
      <c r="X1180" s="73"/>
      <c r="Y1180" s="73"/>
      <c r="Z1180" s="73"/>
      <c r="AA1180" s="73"/>
    </row>
    <row r="1181" spans="1:27" ht="12.75" customHeight="1">
      <c r="A1181" s="73"/>
      <c r="B1181" s="32"/>
      <c r="C1181" s="32"/>
      <c r="D1181" s="33"/>
      <c r="E1181" s="32"/>
      <c r="F1181" s="32"/>
      <c r="G1181" s="74"/>
      <c r="H1181" s="32"/>
      <c r="I1181" s="32"/>
      <c r="J1181" s="32"/>
      <c r="K1181" s="74"/>
      <c r="L1181" s="35"/>
      <c r="M1181" s="32"/>
      <c r="N1181" s="32"/>
      <c r="O1181" s="59"/>
      <c r="P1181" s="73"/>
      <c r="Q1181" s="73"/>
      <c r="R1181" s="73"/>
      <c r="S1181" s="73"/>
      <c r="T1181" s="73"/>
      <c r="U1181" s="73"/>
      <c r="V1181" s="73"/>
      <c r="W1181" s="73"/>
      <c r="X1181" s="73"/>
      <c r="Y1181" s="73"/>
      <c r="Z1181" s="73"/>
      <c r="AA1181" s="73"/>
    </row>
    <row r="1182" spans="1:27" ht="12.75" customHeight="1">
      <c r="A1182" s="73"/>
      <c r="B1182" s="32"/>
      <c r="C1182" s="32"/>
      <c r="D1182" s="33"/>
      <c r="E1182" s="32"/>
      <c r="F1182" s="32"/>
      <c r="G1182" s="74"/>
      <c r="H1182" s="32"/>
      <c r="I1182" s="32"/>
      <c r="J1182" s="32"/>
      <c r="K1182" s="74"/>
      <c r="L1182" s="35"/>
      <c r="M1182" s="32"/>
      <c r="N1182" s="32"/>
      <c r="O1182" s="59"/>
      <c r="P1182" s="73"/>
      <c r="Q1182" s="73"/>
      <c r="R1182" s="73"/>
      <c r="S1182" s="73"/>
      <c r="T1182" s="73"/>
      <c r="U1182" s="73"/>
      <c r="V1182" s="73"/>
      <c r="W1182" s="73"/>
      <c r="X1182" s="73"/>
      <c r="Y1182" s="73"/>
      <c r="Z1182" s="73"/>
      <c r="AA1182" s="73"/>
    </row>
    <row r="1183" spans="1:27" ht="12.75" customHeight="1">
      <c r="A1183" s="73"/>
      <c r="B1183" s="32"/>
      <c r="C1183" s="32"/>
      <c r="D1183" s="33"/>
      <c r="E1183" s="32"/>
      <c r="F1183" s="32"/>
      <c r="G1183" s="74"/>
      <c r="H1183" s="32"/>
      <c r="I1183" s="32"/>
      <c r="J1183" s="32"/>
      <c r="K1183" s="74"/>
      <c r="L1183" s="35"/>
      <c r="M1183" s="32"/>
      <c r="N1183" s="32"/>
      <c r="O1183" s="59"/>
      <c r="P1183" s="73"/>
      <c r="Q1183" s="73"/>
      <c r="R1183" s="73"/>
      <c r="S1183" s="73"/>
      <c r="T1183" s="73"/>
      <c r="U1183" s="73"/>
      <c r="V1183" s="73"/>
      <c r="W1183" s="73"/>
      <c r="X1183" s="73"/>
      <c r="Y1183" s="73"/>
      <c r="Z1183" s="73"/>
      <c r="AA1183" s="73"/>
    </row>
    <row r="1184" spans="1:27" ht="12.75" customHeight="1">
      <c r="A1184" s="73"/>
      <c r="B1184" s="32"/>
      <c r="C1184" s="32"/>
      <c r="D1184" s="33"/>
      <c r="E1184" s="32"/>
      <c r="F1184" s="32"/>
      <c r="G1184" s="74"/>
      <c r="H1184" s="32"/>
      <c r="I1184" s="32"/>
      <c r="J1184" s="32"/>
      <c r="K1184" s="74"/>
      <c r="L1184" s="35"/>
      <c r="M1184" s="32"/>
      <c r="N1184" s="32"/>
      <c r="O1184" s="59"/>
      <c r="P1184" s="73"/>
      <c r="Q1184" s="73"/>
      <c r="R1184" s="73"/>
      <c r="S1184" s="73"/>
      <c r="T1184" s="73"/>
      <c r="U1184" s="73"/>
      <c r="V1184" s="73"/>
      <c r="W1184" s="73"/>
      <c r="X1184" s="73"/>
      <c r="Y1184" s="73"/>
      <c r="Z1184" s="73"/>
      <c r="AA1184" s="73"/>
    </row>
    <row r="1185" spans="1:27" ht="12.75" customHeight="1">
      <c r="A1185" s="73"/>
      <c r="B1185" s="32"/>
      <c r="C1185" s="32"/>
      <c r="D1185" s="33"/>
      <c r="E1185" s="32"/>
      <c r="F1185" s="32"/>
      <c r="G1185" s="74"/>
      <c r="H1185" s="32"/>
      <c r="I1185" s="32"/>
      <c r="J1185" s="32"/>
      <c r="K1185" s="74"/>
      <c r="L1185" s="35"/>
      <c r="M1185" s="32"/>
      <c r="N1185" s="32"/>
      <c r="O1185" s="59"/>
      <c r="P1185" s="73"/>
      <c r="Q1185" s="73"/>
      <c r="R1185" s="73"/>
      <c r="S1185" s="73"/>
      <c r="T1185" s="73"/>
      <c r="U1185" s="73"/>
      <c r="V1185" s="73"/>
      <c r="W1185" s="73"/>
      <c r="X1185" s="73"/>
      <c r="Y1185" s="73"/>
      <c r="Z1185" s="73"/>
      <c r="AA1185" s="73"/>
    </row>
    <row r="1186" spans="1:27" ht="12.75" customHeight="1">
      <c r="A1186" s="73"/>
      <c r="B1186" s="32"/>
      <c r="C1186" s="32"/>
      <c r="D1186" s="33"/>
      <c r="E1186" s="32"/>
      <c r="F1186" s="32"/>
      <c r="G1186" s="74"/>
      <c r="H1186" s="32"/>
      <c r="I1186" s="32"/>
      <c r="J1186" s="32"/>
      <c r="K1186" s="74"/>
      <c r="L1186" s="35"/>
      <c r="M1186" s="32"/>
      <c r="N1186" s="32"/>
      <c r="O1186" s="59"/>
      <c r="P1186" s="73"/>
      <c r="Q1186" s="73"/>
      <c r="R1186" s="73"/>
      <c r="S1186" s="73"/>
      <c r="T1186" s="73"/>
      <c r="U1186" s="73"/>
      <c r="V1186" s="73"/>
      <c r="W1186" s="73"/>
      <c r="X1186" s="73"/>
      <c r="Y1186" s="73"/>
      <c r="Z1186" s="73"/>
      <c r="AA1186" s="73"/>
    </row>
    <row r="1187" spans="1:27" ht="12.75" customHeight="1">
      <c r="A1187" s="73"/>
      <c r="B1187" s="32"/>
      <c r="C1187" s="32"/>
      <c r="D1187" s="33"/>
      <c r="E1187" s="32"/>
      <c r="F1187" s="32"/>
      <c r="G1187" s="74"/>
      <c r="H1187" s="32"/>
      <c r="I1187" s="32"/>
      <c r="J1187" s="32"/>
      <c r="K1187" s="74"/>
      <c r="L1187" s="35"/>
      <c r="M1187" s="32"/>
      <c r="N1187" s="32"/>
      <c r="O1187" s="59"/>
      <c r="P1187" s="73"/>
      <c r="Q1187" s="73"/>
      <c r="R1187" s="73"/>
      <c r="S1187" s="73"/>
      <c r="T1187" s="73"/>
      <c r="U1187" s="73"/>
      <c r="V1187" s="73"/>
      <c r="W1187" s="73"/>
      <c r="X1187" s="73"/>
      <c r="Y1187" s="73"/>
      <c r="Z1187" s="73"/>
      <c r="AA1187" s="73"/>
    </row>
    <row r="1188" spans="1:27" ht="12.75" customHeight="1">
      <c r="A1188" s="73"/>
      <c r="B1188" s="32"/>
      <c r="C1188" s="32"/>
      <c r="D1188" s="33"/>
      <c r="E1188" s="32"/>
      <c r="F1188" s="32"/>
      <c r="G1188" s="74"/>
      <c r="H1188" s="32"/>
      <c r="I1188" s="32"/>
      <c r="J1188" s="32"/>
      <c r="K1188" s="74"/>
      <c r="L1188" s="35"/>
      <c r="M1188" s="32"/>
      <c r="N1188" s="32"/>
      <c r="O1188" s="59"/>
      <c r="P1188" s="73"/>
      <c r="Q1188" s="73"/>
      <c r="R1188" s="73"/>
      <c r="S1188" s="73"/>
      <c r="T1188" s="73"/>
      <c r="U1188" s="73"/>
      <c r="V1188" s="73"/>
      <c r="W1188" s="73"/>
      <c r="X1188" s="73"/>
      <c r="Y1188" s="73"/>
      <c r="Z1188" s="73"/>
      <c r="AA1188" s="73"/>
    </row>
    <row r="1189" spans="1:27" ht="12.75" customHeight="1">
      <c r="A1189" s="73"/>
      <c r="B1189" s="32"/>
      <c r="C1189" s="32"/>
      <c r="D1189" s="33"/>
      <c r="E1189" s="32"/>
      <c r="F1189" s="32"/>
      <c r="G1189" s="74"/>
      <c r="H1189" s="32"/>
      <c r="I1189" s="32"/>
      <c r="J1189" s="32"/>
      <c r="K1189" s="74"/>
      <c r="L1189" s="35"/>
      <c r="M1189" s="32"/>
      <c r="N1189" s="32"/>
      <c r="O1189" s="59"/>
      <c r="P1189" s="73"/>
      <c r="Q1189" s="73"/>
      <c r="R1189" s="73"/>
      <c r="S1189" s="73"/>
      <c r="T1189" s="73"/>
      <c r="U1189" s="73"/>
      <c r="V1189" s="73"/>
      <c r="W1189" s="73"/>
      <c r="X1189" s="73"/>
      <c r="Y1189" s="73"/>
      <c r="Z1189" s="73"/>
      <c r="AA1189" s="73"/>
    </row>
    <row r="1190" spans="1:27" ht="12.75" customHeight="1">
      <c r="A1190" s="73"/>
      <c r="B1190" s="32"/>
      <c r="C1190" s="32"/>
      <c r="D1190" s="33"/>
      <c r="E1190" s="32"/>
      <c r="F1190" s="32"/>
      <c r="G1190" s="74"/>
      <c r="H1190" s="32"/>
      <c r="I1190" s="32"/>
      <c r="J1190" s="32"/>
      <c r="K1190" s="74"/>
      <c r="L1190" s="35"/>
      <c r="M1190" s="32"/>
      <c r="N1190" s="32"/>
      <c r="O1190" s="59"/>
      <c r="P1190" s="73"/>
      <c r="Q1190" s="73"/>
      <c r="R1190" s="73"/>
      <c r="S1190" s="73"/>
      <c r="T1190" s="73"/>
      <c r="U1190" s="73"/>
      <c r="V1190" s="73"/>
      <c r="W1190" s="73"/>
      <c r="X1190" s="73"/>
      <c r="Y1190" s="73"/>
      <c r="Z1190" s="73"/>
      <c r="AA1190" s="73"/>
    </row>
    <row r="1191" spans="1:27" ht="12.75" customHeight="1">
      <c r="A1191" s="73"/>
      <c r="B1191" s="32"/>
      <c r="C1191" s="32"/>
      <c r="D1191" s="33"/>
      <c r="E1191" s="32"/>
      <c r="F1191" s="32"/>
      <c r="G1191" s="74"/>
      <c r="H1191" s="32"/>
      <c r="I1191" s="32"/>
      <c r="J1191" s="32"/>
      <c r="K1191" s="74"/>
      <c r="L1191" s="35"/>
      <c r="M1191" s="32"/>
      <c r="N1191" s="32"/>
      <c r="O1191" s="59"/>
      <c r="P1191" s="73"/>
      <c r="Q1191" s="73"/>
      <c r="R1191" s="73"/>
      <c r="S1191" s="73"/>
      <c r="T1191" s="73"/>
      <c r="U1191" s="73"/>
      <c r="V1191" s="73"/>
      <c r="W1191" s="73"/>
      <c r="X1191" s="73"/>
      <c r="Y1191" s="73"/>
      <c r="Z1191" s="73"/>
      <c r="AA1191" s="73"/>
    </row>
    <row r="1192" spans="1:27" ht="12.75" customHeight="1">
      <c r="A1192" s="73"/>
      <c r="B1192" s="32"/>
      <c r="C1192" s="32"/>
      <c r="D1192" s="33"/>
      <c r="E1192" s="32"/>
      <c r="F1192" s="32"/>
      <c r="G1192" s="74"/>
      <c r="H1192" s="32"/>
      <c r="I1192" s="32"/>
      <c r="J1192" s="32"/>
      <c r="K1192" s="74"/>
      <c r="L1192" s="35"/>
      <c r="M1192" s="32"/>
      <c r="N1192" s="32"/>
      <c r="O1192" s="59"/>
      <c r="P1192" s="73"/>
      <c r="Q1192" s="73"/>
      <c r="R1192" s="73"/>
      <c r="S1192" s="73"/>
      <c r="T1192" s="73"/>
      <c r="U1192" s="73"/>
      <c r="V1192" s="73"/>
      <c r="W1192" s="73"/>
      <c r="X1192" s="73"/>
      <c r="Y1192" s="73"/>
      <c r="Z1192" s="73"/>
      <c r="AA1192" s="73"/>
    </row>
    <row r="1193" spans="1:27" ht="12.75" customHeight="1">
      <c r="A1193" s="73"/>
      <c r="B1193" s="32"/>
      <c r="C1193" s="32"/>
      <c r="D1193" s="33"/>
      <c r="E1193" s="32"/>
      <c r="F1193" s="32"/>
      <c r="G1193" s="74"/>
      <c r="H1193" s="32"/>
      <c r="I1193" s="32"/>
      <c r="J1193" s="32"/>
      <c r="K1193" s="74"/>
      <c r="L1193" s="35"/>
      <c r="M1193" s="32"/>
      <c r="N1193" s="32"/>
      <c r="O1193" s="59"/>
      <c r="P1193" s="73"/>
      <c r="Q1193" s="73"/>
      <c r="R1193" s="73"/>
      <c r="S1193" s="73"/>
      <c r="T1193" s="73"/>
      <c r="U1193" s="73"/>
      <c r="V1193" s="73"/>
      <c r="W1193" s="73"/>
      <c r="X1193" s="73"/>
      <c r="Y1193" s="73"/>
      <c r="Z1193" s="73"/>
      <c r="AA1193" s="73"/>
    </row>
    <row r="1194" spans="1:27" ht="12.75" customHeight="1">
      <c r="A1194" s="73"/>
      <c r="B1194" s="32"/>
      <c r="C1194" s="32"/>
      <c r="D1194" s="33"/>
      <c r="E1194" s="32"/>
      <c r="F1194" s="32"/>
      <c r="G1194" s="74"/>
      <c r="H1194" s="32"/>
      <c r="I1194" s="32"/>
      <c r="J1194" s="32"/>
      <c r="K1194" s="74"/>
      <c r="L1194" s="35"/>
      <c r="M1194" s="32"/>
      <c r="N1194" s="32"/>
      <c r="O1194" s="59"/>
      <c r="P1194" s="73"/>
      <c r="Q1194" s="73"/>
      <c r="R1194" s="73"/>
      <c r="S1194" s="73"/>
      <c r="T1194" s="73"/>
      <c r="U1194" s="73"/>
      <c r="V1194" s="73"/>
      <c r="W1194" s="73"/>
      <c r="X1194" s="73"/>
      <c r="Y1194" s="73"/>
      <c r="Z1194" s="73"/>
      <c r="AA1194" s="73"/>
    </row>
    <row r="1195" spans="1:27" ht="12.75" customHeight="1">
      <c r="A1195" s="73"/>
      <c r="B1195" s="32"/>
      <c r="C1195" s="32"/>
      <c r="D1195" s="33"/>
      <c r="E1195" s="32"/>
      <c r="F1195" s="32"/>
      <c r="G1195" s="74"/>
      <c r="H1195" s="32"/>
      <c r="I1195" s="32"/>
      <c r="J1195" s="32"/>
      <c r="K1195" s="74"/>
      <c r="L1195" s="35"/>
      <c r="M1195" s="32"/>
      <c r="N1195" s="32"/>
      <c r="O1195" s="59"/>
      <c r="P1195" s="73"/>
      <c r="Q1195" s="73"/>
      <c r="R1195" s="73"/>
      <c r="S1195" s="73"/>
      <c r="T1195" s="73"/>
      <c r="U1195" s="73"/>
      <c r="V1195" s="73"/>
      <c r="W1195" s="73"/>
      <c r="X1195" s="73"/>
      <c r="Y1195" s="73"/>
      <c r="Z1195" s="73"/>
      <c r="AA1195" s="73"/>
    </row>
    <row r="1196" spans="1:27" ht="12.75" customHeight="1">
      <c r="A1196" s="73"/>
      <c r="B1196" s="32"/>
      <c r="C1196" s="32"/>
      <c r="D1196" s="33"/>
      <c r="E1196" s="32"/>
      <c r="F1196" s="32"/>
      <c r="G1196" s="74"/>
      <c r="H1196" s="32"/>
      <c r="I1196" s="32"/>
      <c r="J1196" s="32"/>
      <c r="K1196" s="74"/>
      <c r="L1196" s="35"/>
      <c r="M1196" s="32"/>
      <c r="N1196" s="32"/>
      <c r="O1196" s="59"/>
      <c r="P1196" s="73"/>
      <c r="Q1196" s="73"/>
      <c r="R1196" s="73"/>
      <c r="S1196" s="73"/>
      <c r="T1196" s="73"/>
      <c r="U1196" s="73"/>
      <c r="V1196" s="73"/>
      <c r="W1196" s="73"/>
      <c r="X1196" s="73"/>
      <c r="Y1196" s="73"/>
      <c r="Z1196" s="73"/>
      <c r="AA1196" s="73"/>
    </row>
    <row r="1197" spans="1:27" ht="12.75" customHeight="1">
      <c r="A1197" s="73"/>
      <c r="B1197" s="32"/>
      <c r="C1197" s="32"/>
      <c r="D1197" s="33"/>
      <c r="E1197" s="32"/>
      <c r="F1197" s="32"/>
      <c r="G1197" s="74"/>
      <c r="H1197" s="32"/>
      <c r="I1197" s="32"/>
      <c r="J1197" s="32"/>
      <c r="K1197" s="74"/>
      <c r="L1197" s="35"/>
      <c r="M1197" s="32"/>
      <c r="N1197" s="32"/>
      <c r="O1197" s="59"/>
      <c r="P1197" s="73"/>
      <c r="Q1197" s="73"/>
      <c r="R1197" s="73"/>
      <c r="S1197" s="73"/>
      <c r="T1197" s="73"/>
      <c r="U1197" s="73"/>
      <c r="V1197" s="73"/>
      <c r="W1197" s="73"/>
      <c r="X1197" s="73"/>
      <c r="Y1197" s="73"/>
      <c r="Z1197" s="73"/>
      <c r="AA1197" s="73"/>
    </row>
    <row r="1198" spans="1:27" ht="12.75" customHeight="1">
      <c r="A1198" s="73"/>
      <c r="B1198" s="32"/>
      <c r="C1198" s="32"/>
      <c r="D1198" s="33"/>
      <c r="E1198" s="32"/>
      <c r="F1198" s="32"/>
      <c r="G1198" s="74"/>
      <c r="H1198" s="32"/>
      <c r="I1198" s="32"/>
      <c r="J1198" s="32"/>
      <c r="K1198" s="74"/>
      <c r="L1198" s="35"/>
      <c r="M1198" s="32"/>
      <c r="N1198" s="32"/>
      <c r="O1198" s="59"/>
      <c r="P1198" s="73"/>
      <c r="Q1198" s="73"/>
      <c r="R1198" s="73"/>
      <c r="S1198" s="73"/>
      <c r="T1198" s="73"/>
      <c r="U1198" s="73"/>
      <c r="V1198" s="73"/>
      <c r="W1198" s="73"/>
      <c r="X1198" s="73"/>
      <c r="Y1198" s="73"/>
      <c r="Z1198" s="73"/>
      <c r="AA1198" s="73"/>
    </row>
    <row r="1199" spans="1:27" ht="12.75" customHeight="1">
      <c r="A1199" s="73"/>
      <c r="B1199" s="32"/>
      <c r="C1199" s="32"/>
      <c r="D1199" s="33"/>
      <c r="E1199" s="32"/>
      <c r="F1199" s="32"/>
      <c r="G1199" s="74"/>
      <c r="H1199" s="32"/>
      <c r="I1199" s="32"/>
      <c r="J1199" s="32"/>
      <c r="K1199" s="74"/>
      <c r="L1199" s="35"/>
      <c r="M1199" s="32"/>
      <c r="N1199" s="32"/>
      <c r="O1199" s="59"/>
      <c r="P1199" s="73"/>
      <c r="Q1199" s="73"/>
      <c r="R1199" s="73"/>
      <c r="S1199" s="73"/>
      <c r="T1199" s="73"/>
      <c r="U1199" s="73"/>
      <c r="V1199" s="73"/>
      <c r="W1199" s="73"/>
      <c r="X1199" s="73"/>
      <c r="Y1199" s="73"/>
      <c r="Z1199" s="73"/>
      <c r="AA1199" s="73"/>
    </row>
    <row r="1200" spans="1:27" ht="12.75" customHeight="1">
      <c r="A1200" s="73"/>
      <c r="B1200" s="32"/>
      <c r="C1200" s="32"/>
      <c r="D1200" s="33"/>
      <c r="E1200" s="32"/>
      <c r="F1200" s="32"/>
      <c r="G1200" s="74"/>
      <c r="H1200" s="32"/>
      <c r="I1200" s="32"/>
      <c r="J1200" s="32"/>
      <c r="K1200" s="74"/>
      <c r="L1200" s="35"/>
      <c r="M1200" s="32"/>
      <c r="N1200" s="32"/>
      <c r="O1200" s="59"/>
      <c r="P1200" s="73"/>
      <c r="Q1200" s="73"/>
      <c r="R1200" s="73"/>
      <c r="S1200" s="73"/>
      <c r="T1200" s="73"/>
      <c r="U1200" s="73"/>
      <c r="V1200" s="73"/>
      <c r="W1200" s="73"/>
      <c r="X1200" s="73"/>
      <c r="Y1200" s="73"/>
      <c r="Z1200" s="73"/>
      <c r="AA1200" s="73"/>
    </row>
    <row r="1201" spans="1:27" ht="12.75" customHeight="1">
      <c r="A1201" s="73"/>
      <c r="B1201" s="32"/>
      <c r="C1201" s="32"/>
      <c r="D1201" s="33"/>
      <c r="E1201" s="32"/>
      <c r="F1201" s="32"/>
      <c r="G1201" s="74"/>
      <c r="H1201" s="32"/>
      <c r="I1201" s="32"/>
      <c r="J1201" s="32"/>
      <c r="K1201" s="74"/>
      <c r="L1201" s="35"/>
      <c r="M1201" s="32"/>
      <c r="N1201" s="32"/>
      <c r="O1201" s="59"/>
      <c r="P1201" s="73"/>
      <c r="Q1201" s="73"/>
      <c r="R1201" s="73"/>
      <c r="S1201" s="73"/>
      <c r="T1201" s="73"/>
      <c r="U1201" s="73"/>
      <c r="V1201" s="73"/>
      <c r="W1201" s="73"/>
      <c r="X1201" s="73"/>
      <c r="Y1201" s="73"/>
      <c r="Z1201" s="73"/>
      <c r="AA1201" s="73"/>
    </row>
    <row r="1202" spans="1:27" ht="12.75" customHeight="1">
      <c r="A1202" s="73"/>
      <c r="B1202" s="32"/>
      <c r="C1202" s="32"/>
      <c r="D1202" s="33"/>
      <c r="E1202" s="32"/>
      <c r="F1202" s="32"/>
      <c r="G1202" s="74"/>
      <c r="H1202" s="32"/>
      <c r="I1202" s="32"/>
      <c r="J1202" s="32"/>
      <c r="K1202" s="74"/>
      <c r="L1202" s="35"/>
      <c r="M1202" s="32"/>
      <c r="N1202" s="32"/>
      <c r="O1202" s="59"/>
      <c r="P1202" s="73"/>
      <c r="Q1202" s="73"/>
      <c r="R1202" s="73"/>
      <c r="S1202" s="73"/>
      <c r="T1202" s="73"/>
      <c r="U1202" s="73"/>
      <c r="V1202" s="73"/>
      <c r="W1202" s="73"/>
      <c r="X1202" s="73"/>
      <c r="Y1202" s="73"/>
      <c r="Z1202" s="73"/>
      <c r="AA1202" s="73"/>
    </row>
    <row r="1203" spans="1:27" ht="12.75" customHeight="1">
      <c r="A1203" s="73"/>
      <c r="B1203" s="32"/>
      <c r="C1203" s="32"/>
      <c r="D1203" s="33"/>
      <c r="E1203" s="32"/>
      <c r="F1203" s="32"/>
      <c r="G1203" s="74"/>
      <c r="H1203" s="32"/>
      <c r="I1203" s="32"/>
      <c r="J1203" s="32"/>
      <c r="K1203" s="74"/>
      <c r="L1203" s="35"/>
      <c r="M1203" s="32"/>
      <c r="N1203" s="32"/>
      <c r="O1203" s="59"/>
      <c r="P1203" s="73"/>
      <c r="Q1203" s="73"/>
      <c r="R1203" s="73"/>
      <c r="S1203" s="73"/>
      <c r="T1203" s="73"/>
      <c r="U1203" s="73"/>
      <c r="V1203" s="73"/>
      <c r="W1203" s="73"/>
      <c r="X1203" s="73"/>
      <c r="Y1203" s="73"/>
      <c r="Z1203" s="73"/>
      <c r="AA1203" s="73"/>
    </row>
    <row r="1204" spans="1:27" ht="12.75" customHeight="1">
      <c r="A1204" s="73"/>
      <c r="B1204" s="32"/>
      <c r="C1204" s="32"/>
      <c r="D1204" s="33"/>
      <c r="E1204" s="32"/>
      <c r="F1204" s="32"/>
      <c r="G1204" s="74"/>
      <c r="H1204" s="32"/>
      <c r="I1204" s="32"/>
      <c r="J1204" s="32"/>
      <c r="K1204" s="74"/>
      <c r="L1204" s="35"/>
      <c r="M1204" s="32"/>
      <c r="N1204" s="32"/>
      <c r="O1204" s="59"/>
      <c r="P1204" s="73"/>
      <c r="Q1204" s="73"/>
      <c r="R1204" s="73"/>
      <c r="S1204" s="73"/>
      <c r="T1204" s="73"/>
      <c r="U1204" s="73"/>
      <c r="V1204" s="73"/>
      <c r="W1204" s="73"/>
      <c r="X1204" s="73"/>
      <c r="Y1204" s="73"/>
      <c r="Z1204" s="73"/>
      <c r="AA1204" s="73"/>
    </row>
    <row r="1205" spans="1:27" ht="12.75" customHeight="1">
      <c r="A1205" s="73"/>
      <c r="B1205" s="32"/>
      <c r="C1205" s="32"/>
      <c r="D1205" s="33"/>
      <c r="E1205" s="32"/>
      <c r="F1205" s="32"/>
      <c r="G1205" s="74"/>
      <c r="H1205" s="32"/>
      <c r="I1205" s="32"/>
      <c r="J1205" s="32"/>
      <c r="K1205" s="74"/>
      <c r="L1205" s="35"/>
      <c r="M1205" s="32"/>
      <c r="N1205" s="32"/>
      <c r="O1205" s="59"/>
      <c r="P1205" s="73"/>
      <c r="Q1205" s="73"/>
      <c r="R1205" s="73"/>
      <c r="S1205" s="73"/>
      <c r="T1205" s="73"/>
      <c r="U1205" s="73"/>
      <c r="V1205" s="73"/>
      <c r="W1205" s="73"/>
      <c r="X1205" s="73"/>
      <c r="Y1205" s="73"/>
      <c r="Z1205" s="73"/>
      <c r="AA1205" s="73"/>
    </row>
    <row r="1206" spans="1:27" ht="12.75" customHeight="1">
      <c r="A1206" s="73"/>
      <c r="B1206" s="32"/>
      <c r="C1206" s="32"/>
      <c r="D1206" s="33"/>
      <c r="E1206" s="32"/>
      <c r="F1206" s="32"/>
      <c r="G1206" s="74"/>
      <c r="H1206" s="32"/>
      <c r="I1206" s="32"/>
      <c r="J1206" s="32"/>
      <c r="K1206" s="74"/>
      <c r="L1206" s="35"/>
      <c r="M1206" s="32"/>
      <c r="N1206" s="32"/>
      <c r="O1206" s="59"/>
      <c r="P1206" s="73"/>
      <c r="Q1206" s="73"/>
      <c r="R1206" s="73"/>
      <c r="S1206" s="73"/>
      <c r="T1206" s="73"/>
      <c r="U1206" s="73"/>
      <c r="V1206" s="73"/>
      <c r="W1206" s="73"/>
      <c r="X1206" s="73"/>
      <c r="Y1206" s="73"/>
      <c r="Z1206" s="73"/>
      <c r="AA1206" s="73"/>
    </row>
    <row r="1207" spans="1:27" ht="12.75" customHeight="1">
      <c r="A1207" s="73"/>
      <c r="B1207" s="32"/>
      <c r="C1207" s="32"/>
      <c r="D1207" s="33"/>
      <c r="E1207" s="32"/>
      <c r="F1207" s="32"/>
      <c r="G1207" s="74"/>
      <c r="H1207" s="32"/>
      <c r="I1207" s="32"/>
      <c r="J1207" s="32"/>
      <c r="K1207" s="74"/>
      <c r="L1207" s="35"/>
      <c r="M1207" s="32"/>
      <c r="N1207" s="32"/>
      <c r="O1207" s="59"/>
      <c r="P1207" s="73"/>
      <c r="Q1207" s="73"/>
      <c r="R1207" s="73"/>
      <c r="S1207" s="73"/>
      <c r="T1207" s="73"/>
      <c r="U1207" s="73"/>
      <c r="V1207" s="73"/>
      <c r="W1207" s="73"/>
      <c r="X1207" s="73"/>
      <c r="Y1207" s="73"/>
      <c r="Z1207" s="73"/>
      <c r="AA1207" s="73"/>
    </row>
    <row r="1208" spans="1:27" ht="12.75" customHeight="1">
      <c r="A1208" s="73"/>
      <c r="B1208" s="32"/>
      <c r="C1208" s="32"/>
      <c r="D1208" s="33"/>
      <c r="E1208" s="32"/>
      <c r="F1208" s="32"/>
      <c r="G1208" s="74"/>
      <c r="H1208" s="32"/>
      <c r="I1208" s="32"/>
      <c r="J1208" s="32"/>
      <c r="K1208" s="74"/>
      <c r="L1208" s="35"/>
      <c r="M1208" s="32"/>
      <c r="N1208" s="32"/>
      <c r="O1208" s="59"/>
      <c r="P1208" s="73"/>
      <c r="Q1208" s="73"/>
      <c r="R1208" s="73"/>
      <c r="S1208" s="73"/>
      <c r="T1208" s="73"/>
      <c r="U1208" s="73"/>
      <c r="V1208" s="73"/>
      <c r="W1208" s="73"/>
      <c r="X1208" s="73"/>
      <c r="Y1208" s="73"/>
      <c r="Z1208" s="73"/>
      <c r="AA1208" s="73"/>
    </row>
    <row r="1209" spans="1:27" ht="12.75" customHeight="1">
      <c r="A1209" s="73"/>
      <c r="B1209" s="32"/>
      <c r="C1209" s="32"/>
      <c r="D1209" s="33"/>
      <c r="E1209" s="32"/>
      <c r="F1209" s="32"/>
      <c r="G1209" s="74"/>
      <c r="H1209" s="32"/>
      <c r="I1209" s="32"/>
      <c r="J1209" s="32"/>
      <c r="K1209" s="74"/>
      <c r="L1209" s="35"/>
      <c r="M1209" s="32"/>
      <c r="N1209" s="32"/>
      <c r="O1209" s="59"/>
      <c r="P1209" s="73"/>
      <c r="Q1209" s="73"/>
      <c r="R1209" s="73"/>
      <c r="S1209" s="73"/>
      <c r="T1209" s="73"/>
      <c r="U1209" s="73"/>
      <c r="V1209" s="73"/>
      <c r="W1209" s="73"/>
      <c r="X1209" s="73"/>
      <c r="Y1209" s="73"/>
      <c r="Z1209" s="73"/>
      <c r="AA1209" s="73"/>
    </row>
    <row r="1210" spans="1:27" ht="12.75" customHeight="1">
      <c r="A1210" s="73"/>
      <c r="B1210" s="32"/>
      <c r="C1210" s="32"/>
      <c r="D1210" s="33"/>
      <c r="E1210" s="32"/>
      <c r="F1210" s="32"/>
      <c r="G1210" s="74"/>
      <c r="H1210" s="32"/>
      <c r="I1210" s="32"/>
      <c r="J1210" s="32"/>
      <c r="K1210" s="74"/>
      <c r="L1210" s="35"/>
      <c r="M1210" s="32"/>
      <c r="N1210" s="32"/>
      <c r="O1210" s="59"/>
      <c r="P1210" s="73"/>
      <c r="Q1210" s="73"/>
      <c r="R1210" s="73"/>
      <c r="S1210" s="73"/>
      <c r="T1210" s="73"/>
      <c r="U1210" s="73"/>
      <c r="V1210" s="73"/>
      <c r="W1210" s="73"/>
      <c r="X1210" s="73"/>
      <c r="Y1210" s="73"/>
      <c r="Z1210" s="73"/>
      <c r="AA1210" s="73"/>
    </row>
    <row r="1211" spans="1:27" ht="12.75" customHeight="1">
      <c r="A1211" s="73"/>
      <c r="B1211" s="32"/>
      <c r="C1211" s="32"/>
      <c r="D1211" s="33"/>
      <c r="E1211" s="32"/>
      <c r="F1211" s="32"/>
      <c r="G1211" s="74"/>
      <c r="H1211" s="32"/>
      <c r="I1211" s="32"/>
      <c r="J1211" s="32"/>
      <c r="K1211" s="74"/>
      <c r="L1211" s="35"/>
      <c r="M1211" s="32"/>
      <c r="N1211" s="32"/>
      <c r="O1211" s="59"/>
      <c r="P1211" s="73"/>
      <c r="Q1211" s="73"/>
      <c r="R1211" s="73"/>
      <c r="S1211" s="73"/>
      <c r="T1211" s="73"/>
      <c r="U1211" s="73"/>
      <c r="V1211" s="73"/>
      <c r="W1211" s="73"/>
      <c r="X1211" s="73"/>
      <c r="Y1211" s="73"/>
      <c r="Z1211" s="73"/>
      <c r="AA1211" s="73"/>
    </row>
    <row r="1212" spans="1:27" ht="12.75" customHeight="1">
      <c r="A1212" s="73"/>
      <c r="B1212" s="32"/>
      <c r="C1212" s="32"/>
      <c r="D1212" s="33"/>
      <c r="E1212" s="32"/>
      <c r="F1212" s="32"/>
      <c r="G1212" s="74"/>
      <c r="H1212" s="32"/>
      <c r="I1212" s="32"/>
      <c r="J1212" s="32"/>
      <c r="K1212" s="74"/>
      <c r="L1212" s="35"/>
      <c r="M1212" s="32"/>
      <c r="N1212" s="32"/>
      <c r="O1212" s="59"/>
      <c r="P1212" s="73"/>
      <c r="Q1212" s="73"/>
      <c r="R1212" s="73"/>
      <c r="S1212" s="73"/>
      <c r="T1212" s="73"/>
      <c r="U1212" s="73"/>
      <c r="V1212" s="73"/>
      <c r="W1212" s="73"/>
      <c r="X1212" s="73"/>
      <c r="Y1212" s="73"/>
      <c r="Z1212" s="73"/>
      <c r="AA1212" s="73"/>
    </row>
    <row r="1213" spans="1:27" ht="12.75" customHeight="1">
      <c r="A1213" s="73"/>
      <c r="B1213" s="32"/>
      <c r="C1213" s="32"/>
      <c r="D1213" s="33"/>
      <c r="E1213" s="32"/>
      <c r="F1213" s="32"/>
      <c r="G1213" s="74"/>
      <c r="H1213" s="32"/>
      <c r="I1213" s="32"/>
      <c r="J1213" s="32"/>
      <c r="K1213" s="74"/>
      <c r="L1213" s="35"/>
      <c r="M1213" s="32"/>
      <c r="N1213" s="32"/>
      <c r="O1213" s="59"/>
      <c r="P1213" s="73"/>
      <c r="Q1213" s="73"/>
      <c r="R1213" s="73"/>
      <c r="S1213" s="73"/>
      <c r="T1213" s="73"/>
      <c r="U1213" s="73"/>
      <c r="V1213" s="73"/>
      <c r="W1213" s="73"/>
      <c r="X1213" s="73"/>
      <c r="Y1213" s="73"/>
      <c r="Z1213" s="73"/>
      <c r="AA1213" s="73"/>
    </row>
    <row r="1214" spans="1:27" ht="12.75" customHeight="1">
      <c r="A1214" s="73"/>
      <c r="B1214" s="32"/>
      <c r="C1214" s="32"/>
      <c r="D1214" s="33"/>
      <c r="E1214" s="32"/>
      <c r="F1214" s="32"/>
      <c r="G1214" s="74"/>
      <c r="H1214" s="32"/>
      <c r="I1214" s="32"/>
      <c r="J1214" s="32"/>
      <c r="K1214" s="74"/>
      <c r="L1214" s="35"/>
      <c r="M1214" s="32"/>
      <c r="N1214" s="32"/>
      <c r="O1214" s="59"/>
      <c r="P1214" s="73"/>
      <c r="Q1214" s="73"/>
      <c r="R1214" s="73"/>
      <c r="S1214" s="73"/>
      <c r="T1214" s="73"/>
      <c r="U1214" s="73"/>
      <c r="V1214" s="73"/>
      <c r="W1214" s="73"/>
      <c r="X1214" s="73"/>
      <c r="Y1214" s="73"/>
      <c r="Z1214" s="73"/>
      <c r="AA1214" s="73"/>
    </row>
    <row r="1215" spans="1:27" ht="12.75" customHeight="1">
      <c r="A1215" s="73"/>
      <c r="B1215" s="32"/>
      <c r="C1215" s="32"/>
      <c r="D1215" s="33"/>
      <c r="E1215" s="32"/>
      <c r="F1215" s="32"/>
      <c r="G1215" s="74"/>
      <c r="H1215" s="32"/>
      <c r="I1215" s="32"/>
      <c r="J1215" s="32"/>
      <c r="K1215" s="74"/>
      <c r="L1215" s="35"/>
      <c r="M1215" s="32"/>
      <c r="N1215" s="32"/>
      <c r="O1215" s="59"/>
      <c r="P1215" s="73"/>
      <c r="Q1215" s="73"/>
      <c r="R1215" s="73"/>
      <c r="S1215" s="73"/>
      <c r="T1215" s="73"/>
      <c r="U1215" s="73"/>
      <c r="V1215" s="73"/>
      <c r="W1215" s="73"/>
      <c r="X1215" s="73"/>
      <c r="Y1215" s="73"/>
      <c r="Z1215" s="73"/>
      <c r="AA1215" s="73"/>
    </row>
    <row r="1216" spans="1:27" ht="12.75" customHeight="1">
      <c r="A1216" s="73"/>
      <c r="B1216" s="32"/>
      <c r="C1216" s="32"/>
      <c r="D1216" s="33"/>
      <c r="E1216" s="32"/>
      <c r="F1216" s="32"/>
      <c r="G1216" s="74"/>
      <c r="H1216" s="32"/>
      <c r="I1216" s="32"/>
      <c r="J1216" s="32"/>
      <c r="K1216" s="74"/>
      <c r="L1216" s="35"/>
      <c r="M1216" s="32"/>
      <c r="N1216" s="32"/>
      <c r="O1216" s="59"/>
      <c r="P1216" s="73"/>
      <c r="Q1216" s="73"/>
      <c r="R1216" s="73"/>
      <c r="S1216" s="73"/>
      <c r="T1216" s="73"/>
      <c r="U1216" s="73"/>
      <c r="V1216" s="73"/>
      <c r="W1216" s="73"/>
      <c r="X1216" s="73"/>
      <c r="Y1216" s="73"/>
      <c r="Z1216" s="73"/>
      <c r="AA1216" s="73"/>
    </row>
    <row r="1217" spans="1:27" ht="12.75" customHeight="1">
      <c r="A1217" s="73"/>
      <c r="B1217" s="32"/>
      <c r="C1217" s="32"/>
      <c r="D1217" s="33"/>
      <c r="E1217" s="32"/>
      <c r="F1217" s="32"/>
      <c r="G1217" s="74"/>
      <c r="H1217" s="32"/>
      <c r="I1217" s="32"/>
      <c r="J1217" s="32"/>
      <c r="K1217" s="74"/>
      <c r="L1217" s="35"/>
      <c r="M1217" s="32"/>
      <c r="N1217" s="32"/>
      <c r="O1217" s="59"/>
      <c r="P1217" s="73"/>
      <c r="Q1217" s="73"/>
      <c r="R1217" s="73"/>
      <c r="S1217" s="73"/>
      <c r="T1217" s="73"/>
      <c r="U1217" s="73"/>
      <c r="V1217" s="73"/>
      <c r="W1217" s="73"/>
      <c r="X1217" s="73"/>
      <c r="Y1217" s="73"/>
      <c r="Z1217" s="73"/>
      <c r="AA1217" s="73"/>
    </row>
    <row r="1218" spans="1:27" ht="12.75" customHeight="1">
      <c r="A1218" s="73"/>
      <c r="B1218" s="32"/>
      <c r="C1218" s="32"/>
      <c r="D1218" s="33"/>
      <c r="E1218" s="32"/>
      <c r="F1218" s="32"/>
      <c r="G1218" s="74"/>
      <c r="H1218" s="32"/>
      <c r="I1218" s="32"/>
      <c r="J1218" s="32"/>
      <c r="K1218" s="74"/>
      <c r="L1218" s="35"/>
      <c r="M1218" s="32"/>
      <c r="N1218" s="32"/>
      <c r="O1218" s="59"/>
      <c r="P1218" s="73"/>
      <c r="Q1218" s="73"/>
      <c r="R1218" s="73"/>
      <c r="S1218" s="73"/>
      <c r="T1218" s="73"/>
      <c r="U1218" s="73"/>
      <c r="V1218" s="73"/>
      <c r="W1218" s="73"/>
      <c r="X1218" s="73"/>
      <c r="Y1218" s="73"/>
      <c r="Z1218" s="73"/>
      <c r="AA1218" s="73"/>
    </row>
    <row r="1219" spans="1:27" ht="12.75" customHeight="1">
      <c r="A1219" s="73"/>
      <c r="B1219" s="32"/>
      <c r="C1219" s="32"/>
      <c r="D1219" s="33"/>
      <c r="E1219" s="32"/>
      <c r="F1219" s="32"/>
      <c r="G1219" s="74"/>
      <c r="H1219" s="32"/>
      <c r="I1219" s="32"/>
      <c r="J1219" s="32"/>
      <c r="K1219" s="74"/>
      <c r="L1219" s="35"/>
      <c r="M1219" s="32"/>
      <c r="N1219" s="32"/>
      <c r="O1219" s="59"/>
      <c r="P1219" s="73"/>
      <c r="Q1219" s="73"/>
      <c r="R1219" s="73"/>
      <c r="S1219" s="73"/>
      <c r="T1219" s="73"/>
      <c r="U1219" s="73"/>
      <c r="V1219" s="73"/>
      <c r="W1219" s="73"/>
      <c r="X1219" s="73"/>
      <c r="Y1219" s="73"/>
      <c r="Z1219" s="73"/>
      <c r="AA1219" s="73"/>
    </row>
    <row r="1220" spans="1:27" ht="12.75" customHeight="1">
      <c r="A1220" s="73"/>
      <c r="B1220" s="32"/>
      <c r="C1220" s="32"/>
      <c r="D1220" s="33"/>
      <c r="E1220" s="32"/>
      <c r="F1220" s="32"/>
      <c r="G1220" s="74"/>
      <c r="H1220" s="32"/>
      <c r="I1220" s="32"/>
      <c r="J1220" s="32"/>
      <c r="K1220" s="74"/>
      <c r="L1220" s="35"/>
      <c r="M1220" s="32"/>
      <c r="N1220" s="32"/>
      <c r="O1220" s="59"/>
      <c r="P1220" s="73"/>
      <c r="Q1220" s="73"/>
      <c r="R1220" s="73"/>
      <c r="S1220" s="73"/>
      <c r="T1220" s="73"/>
      <c r="U1220" s="73"/>
      <c r="V1220" s="73"/>
      <c r="W1220" s="73"/>
      <c r="X1220" s="73"/>
      <c r="Y1220" s="73"/>
      <c r="Z1220" s="73"/>
      <c r="AA1220" s="73"/>
    </row>
    <row r="1221" spans="1:27" ht="12.75" customHeight="1">
      <c r="A1221" s="73"/>
      <c r="B1221" s="32"/>
      <c r="C1221" s="32"/>
      <c r="D1221" s="33"/>
      <c r="E1221" s="32"/>
      <c r="F1221" s="32"/>
      <c r="G1221" s="74"/>
      <c r="H1221" s="32"/>
      <c r="I1221" s="32"/>
      <c r="J1221" s="32"/>
      <c r="K1221" s="74"/>
      <c r="L1221" s="35"/>
      <c r="M1221" s="32"/>
      <c r="N1221" s="32"/>
      <c r="O1221" s="59"/>
      <c r="P1221" s="73"/>
      <c r="Q1221" s="73"/>
      <c r="R1221" s="73"/>
      <c r="S1221" s="73"/>
      <c r="T1221" s="73"/>
      <c r="U1221" s="73"/>
      <c r="V1221" s="73"/>
      <c r="W1221" s="73"/>
      <c r="X1221" s="73"/>
      <c r="Y1221" s="73"/>
      <c r="Z1221" s="73"/>
      <c r="AA1221" s="73"/>
    </row>
    <row r="1222" spans="1:27" ht="12.75" customHeight="1">
      <c r="A1222" s="73"/>
      <c r="B1222" s="32"/>
      <c r="C1222" s="32"/>
      <c r="D1222" s="33"/>
      <c r="E1222" s="32"/>
      <c r="F1222" s="32"/>
      <c r="G1222" s="74"/>
      <c r="H1222" s="32"/>
      <c r="I1222" s="32"/>
      <c r="J1222" s="32"/>
      <c r="K1222" s="74"/>
      <c r="L1222" s="35"/>
      <c r="M1222" s="32"/>
      <c r="N1222" s="32"/>
      <c r="O1222" s="59"/>
      <c r="P1222" s="73"/>
      <c r="Q1222" s="73"/>
      <c r="R1222" s="73"/>
      <c r="S1222" s="73"/>
      <c r="T1222" s="73"/>
      <c r="U1222" s="73"/>
      <c r="V1222" s="73"/>
      <c r="W1222" s="73"/>
      <c r="X1222" s="73"/>
      <c r="Y1222" s="73"/>
      <c r="Z1222" s="73"/>
      <c r="AA1222" s="73"/>
    </row>
    <row r="1223" spans="1:27" ht="12.75" customHeight="1">
      <c r="A1223" s="73"/>
      <c r="B1223" s="32"/>
      <c r="C1223" s="32"/>
      <c r="D1223" s="33"/>
      <c r="E1223" s="32"/>
      <c r="F1223" s="32"/>
      <c r="G1223" s="74"/>
      <c r="H1223" s="32"/>
      <c r="I1223" s="32"/>
      <c r="J1223" s="32"/>
      <c r="K1223" s="74"/>
      <c r="L1223" s="35"/>
      <c r="M1223" s="32"/>
      <c r="N1223" s="32"/>
      <c r="O1223" s="59"/>
      <c r="P1223" s="73"/>
      <c r="Q1223" s="73"/>
      <c r="R1223" s="73"/>
      <c r="S1223" s="73"/>
      <c r="T1223" s="73"/>
      <c r="U1223" s="73"/>
      <c r="V1223" s="73"/>
      <c r="W1223" s="73"/>
      <c r="X1223" s="73"/>
      <c r="Y1223" s="73"/>
      <c r="Z1223" s="73"/>
      <c r="AA1223" s="73"/>
    </row>
    <row r="1224" spans="1:27" ht="12.75" customHeight="1">
      <c r="A1224" s="73"/>
      <c r="B1224" s="32"/>
      <c r="C1224" s="32"/>
      <c r="D1224" s="33"/>
      <c r="E1224" s="32"/>
      <c r="F1224" s="32"/>
      <c r="G1224" s="74"/>
      <c r="H1224" s="32"/>
      <c r="I1224" s="32"/>
      <c r="J1224" s="32"/>
      <c r="K1224" s="74"/>
      <c r="L1224" s="35"/>
      <c r="M1224" s="32"/>
      <c r="N1224" s="32"/>
      <c r="O1224" s="59"/>
      <c r="P1224" s="73"/>
      <c r="Q1224" s="73"/>
      <c r="R1224" s="73"/>
      <c r="S1224" s="73"/>
      <c r="T1224" s="73"/>
      <c r="U1224" s="73"/>
      <c r="V1224" s="73"/>
      <c r="W1224" s="73"/>
      <c r="X1224" s="73"/>
      <c r="Y1224" s="73"/>
      <c r="Z1224" s="73"/>
      <c r="AA1224" s="73"/>
    </row>
    <row r="1225" spans="1:27" ht="12.75" customHeight="1">
      <c r="A1225" s="73"/>
      <c r="B1225" s="32"/>
      <c r="C1225" s="32"/>
      <c r="D1225" s="33"/>
      <c r="E1225" s="32"/>
      <c r="F1225" s="32"/>
      <c r="G1225" s="74"/>
      <c r="H1225" s="32"/>
      <c r="I1225" s="32"/>
      <c r="J1225" s="32"/>
      <c r="K1225" s="74"/>
      <c r="L1225" s="35"/>
      <c r="M1225" s="32"/>
      <c r="N1225" s="32"/>
      <c r="O1225" s="59"/>
      <c r="P1225" s="73"/>
      <c r="Q1225" s="73"/>
      <c r="R1225" s="73"/>
      <c r="S1225" s="73"/>
      <c r="T1225" s="73"/>
      <c r="U1225" s="73"/>
      <c r="V1225" s="73"/>
      <c r="W1225" s="73"/>
      <c r="X1225" s="73"/>
      <c r="Y1225" s="73"/>
      <c r="Z1225" s="73"/>
      <c r="AA1225" s="73"/>
    </row>
    <row r="1226" spans="1:27" ht="12.75" customHeight="1">
      <c r="A1226" s="73"/>
      <c r="B1226" s="32"/>
      <c r="C1226" s="32"/>
      <c r="D1226" s="33"/>
      <c r="E1226" s="32"/>
      <c r="F1226" s="32"/>
      <c r="G1226" s="74"/>
      <c r="H1226" s="32"/>
      <c r="I1226" s="32"/>
      <c r="J1226" s="32"/>
      <c r="K1226" s="74"/>
      <c r="L1226" s="35"/>
      <c r="M1226" s="32"/>
      <c r="N1226" s="32"/>
      <c r="O1226" s="59"/>
      <c r="P1226" s="73"/>
      <c r="Q1226" s="73"/>
      <c r="R1226" s="73"/>
      <c r="S1226" s="73"/>
      <c r="T1226" s="73"/>
      <c r="U1226" s="73"/>
      <c r="V1226" s="73"/>
      <c r="W1226" s="73"/>
      <c r="X1226" s="73"/>
      <c r="Y1226" s="73"/>
      <c r="Z1226" s="73"/>
      <c r="AA1226" s="73"/>
    </row>
    <row r="1227" spans="1:27" ht="12.75" customHeight="1">
      <c r="A1227" s="73"/>
      <c r="B1227" s="32"/>
      <c r="C1227" s="32"/>
      <c r="D1227" s="33"/>
      <c r="E1227" s="32"/>
      <c r="F1227" s="32"/>
      <c r="G1227" s="74"/>
      <c r="H1227" s="32"/>
      <c r="I1227" s="32"/>
      <c r="J1227" s="32"/>
      <c r="K1227" s="74"/>
      <c r="L1227" s="35"/>
      <c r="M1227" s="32"/>
      <c r="N1227" s="32"/>
      <c r="O1227" s="59"/>
      <c r="P1227" s="73"/>
      <c r="Q1227" s="73"/>
      <c r="R1227" s="73"/>
      <c r="S1227" s="73"/>
      <c r="T1227" s="73"/>
      <c r="U1227" s="73"/>
      <c r="V1227" s="73"/>
      <c r="W1227" s="73"/>
      <c r="X1227" s="73"/>
      <c r="Y1227" s="73"/>
      <c r="Z1227" s="73"/>
      <c r="AA1227" s="73"/>
    </row>
    <row r="1228" spans="1:27" ht="12.75" customHeight="1">
      <c r="A1228" s="73"/>
      <c r="B1228" s="32"/>
      <c r="C1228" s="32"/>
      <c r="D1228" s="33"/>
      <c r="E1228" s="32"/>
      <c r="F1228" s="32"/>
      <c r="G1228" s="74"/>
      <c r="H1228" s="32"/>
      <c r="I1228" s="32"/>
      <c r="J1228" s="32"/>
      <c r="K1228" s="74"/>
      <c r="L1228" s="35"/>
      <c r="M1228" s="32"/>
      <c r="N1228" s="32"/>
      <c r="O1228" s="59"/>
      <c r="P1228" s="73"/>
      <c r="Q1228" s="73"/>
      <c r="R1228" s="73"/>
      <c r="S1228" s="73"/>
      <c r="T1228" s="73"/>
      <c r="U1228" s="73"/>
      <c r="V1228" s="73"/>
      <c r="W1228" s="73"/>
      <c r="X1228" s="73"/>
      <c r="Y1228" s="73"/>
      <c r="Z1228" s="73"/>
      <c r="AA1228" s="73"/>
    </row>
    <row r="1229" spans="1:27" ht="12.75" customHeight="1">
      <c r="A1229" s="73"/>
      <c r="B1229" s="32"/>
      <c r="C1229" s="32"/>
      <c r="D1229" s="33"/>
      <c r="E1229" s="32"/>
      <c r="F1229" s="32"/>
      <c r="G1229" s="74"/>
      <c r="H1229" s="32"/>
      <c r="I1229" s="32"/>
      <c r="J1229" s="32"/>
      <c r="K1229" s="74"/>
      <c r="L1229" s="35"/>
      <c r="M1229" s="32"/>
      <c r="N1229" s="32"/>
      <c r="O1229" s="59"/>
      <c r="P1229" s="73"/>
      <c r="Q1229" s="73"/>
      <c r="R1229" s="73"/>
      <c r="S1229" s="73"/>
      <c r="T1229" s="73"/>
      <c r="U1229" s="73"/>
      <c r="V1229" s="73"/>
      <c r="W1229" s="73"/>
      <c r="X1229" s="73"/>
      <c r="Y1229" s="73"/>
      <c r="Z1229" s="73"/>
      <c r="AA1229" s="73"/>
    </row>
    <row r="1230" spans="1:27" ht="12.75" customHeight="1">
      <c r="A1230" s="73"/>
      <c r="B1230" s="32"/>
      <c r="C1230" s="32"/>
      <c r="D1230" s="33"/>
      <c r="E1230" s="32"/>
      <c r="F1230" s="32"/>
      <c r="G1230" s="74"/>
      <c r="H1230" s="32"/>
      <c r="I1230" s="32"/>
      <c r="J1230" s="32"/>
      <c r="K1230" s="74"/>
      <c r="L1230" s="35"/>
      <c r="M1230" s="32"/>
      <c r="N1230" s="32"/>
      <c r="O1230" s="59"/>
      <c r="P1230" s="73"/>
      <c r="Q1230" s="73"/>
      <c r="R1230" s="73"/>
      <c r="S1230" s="73"/>
      <c r="T1230" s="73"/>
      <c r="U1230" s="73"/>
      <c r="V1230" s="73"/>
      <c r="W1230" s="73"/>
      <c r="X1230" s="73"/>
      <c r="Y1230" s="73"/>
      <c r="Z1230" s="73"/>
      <c r="AA1230" s="73"/>
    </row>
    <row r="1231" spans="1:27" ht="12.75" customHeight="1">
      <c r="A1231" s="73"/>
      <c r="B1231" s="32"/>
      <c r="C1231" s="32"/>
      <c r="D1231" s="33"/>
      <c r="E1231" s="32"/>
      <c r="F1231" s="32"/>
      <c r="G1231" s="74"/>
      <c r="H1231" s="32"/>
      <c r="I1231" s="32"/>
      <c r="J1231" s="32"/>
      <c r="K1231" s="74"/>
      <c r="L1231" s="35"/>
      <c r="M1231" s="32"/>
      <c r="N1231" s="32"/>
      <c r="O1231" s="59"/>
      <c r="P1231" s="73"/>
      <c r="Q1231" s="73"/>
      <c r="R1231" s="73"/>
      <c r="S1231" s="73"/>
      <c r="T1231" s="73"/>
      <c r="U1231" s="73"/>
      <c r="V1231" s="73"/>
      <c r="W1231" s="73"/>
      <c r="X1231" s="73"/>
      <c r="Y1231" s="73"/>
      <c r="Z1231" s="73"/>
      <c r="AA1231" s="73"/>
    </row>
    <row r="1232" spans="1:27" ht="12.75" customHeight="1">
      <c r="A1232" s="73"/>
      <c r="B1232" s="32"/>
      <c r="C1232" s="32"/>
      <c r="D1232" s="33"/>
      <c r="E1232" s="32"/>
      <c r="F1232" s="32"/>
      <c r="G1232" s="74"/>
      <c r="H1232" s="32"/>
      <c r="I1232" s="32"/>
      <c r="J1232" s="32"/>
      <c r="K1232" s="74"/>
      <c r="L1232" s="35"/>
      <c r="M1232" s="32"/>
      <c r="N1232" s="32"/>
      <c r="O1232" s="59"/>
      <c r="P1232" s="73"/>
      <c r="Q1232" s="73"/>
      <c r="R1232" s="73"/>
      <c r="S1232" s="73"/>
      <c r="T1232" s="73"/>
      <c r="U1232" s="73"/>
      <c r="V1232" s="73"/>
      <c r="W1232" s="73"/>
      <c r="X1232" s="73"/>
      <c r="Y1232" s="73"/>
      <c r="Z1232" s="73"/>
      <c r="AA1232" s="73"/>
    </row>
    <row r="1233" spans="1:27" ht="12.75" customHeight="1">
      <c r="A1233" s="73"/>
      <c r="B1233" s="32"/>
      <c r="C1233" s="32"/>
      <c r="D1233" s="33"/>
      <c r="E1233" s="32"/>
      <c r="F1233" s="32"/>
      <c r="G1233" s="74"/>
      <c r="H1233" s="32"/>
      <c r="I1233" s="32"/>
      <c r="J1233" s="32"/>
      <c r="K1233" s="74"/>
      <c r="L1233" s="35"/>
      <c r="M1233" s="32"/>
      <c r="N1233" s="32"/>
      <c r="O1233" s="59"/>
      <c r="P1233" s="73"/>
      <c r="Q1233" s="73"/>
      <c r="R1233" s="73"/>
      <c r="S1233" s="73"/>
      <c r="T1233" s="73"/>
      <c r="U1233" s="73"/>
      <c r="V1233" s="73"/>
      <c r="W1233" s="73"/>
      <c r="X1233" s="73"/>
      <c r="Y1233" s="73"/>
      <c r="Z1233" s="73"/>
      <c r="AA1233" s="73"/>
    </row>
    <row r="1234" spans="1:27" ht="12.75" customHeight="1">
      <c r="A1234" s="73"/>
      <c r="B1234" s="32"/>
      <c r="C1234" s="32"/>
      <c r="D1234" s="33"/>
      <c r="E1234" s="32"/>
      <c r="F1234" s="32"/>
      <c r="G1234" s="74"/>
      <c r="H1234" s="32"/>
      <c r="I1234" s="32"/>
      <c r="J1234" s="32"/>
      <c r="K1234" s="74"/>
      <c r="L1234" s="35"/>
      <c r="M1234" s="32"/>
      <c r="N1234" s="32"/>
      <c r="O1234" s="59"/>
      <c r="P1234" s="73"/>
      <c r="Q1234" s="73"/>
      <c r="R1234" s="73"/>
      <c r="S1234" s="73"/>
      <c r="T1234" s="73"/>
      <c r="U1234" s="73"/>
      <c r="V1234" s="73"/>
      <c r="W1234" s="73"/>
      <c r="X1234" s="73"/>
      <c r="Y1234" s="73"/>
      <c r="Z1234" s="73"/>
      <c r="AA1234" s="73"/>
    </row>
    <row r="1235" spans="1:27" ht="12.75" customHeight="1">
      <c r="A1235" s="73"/>
      <c r="B1235" s="32"/>
      <c r="C1235" s="32"/>
      <c r="D1235" s="33"/>
      <c r="E1235" s="32"/>
      <c r="F1235" s="32"/>
      <c r="G1235" s="74"/>
      <c r="H1235" s="32"/>
      <c r="I1235" s="32"/>
      <c r="J1235" s="32"/>
      <c r="K1235" s="74"/>
      <c r="L1235" s="35"/>
      <c r="M1235" s="32"/>
      <c r="N1235" s="32"/>
      <c r="O1235" s="59"/>
      <c r="P1235" s="73"/>
      <c r="Q1235" s="73"/>
      <c r="R1235" s="73"/>
      <c r="S1235" s="73"/>
      <c r="T1235" s="73"/>
      <c r="U1235" s="73"/>
      <c r="V1235" s="73"/>
      <c r="W1235" s="73"/>
      <c r="X1235" s="73"/>
      <c r="Y1235" s="73"/>
      <c r="Z1235" s="73"/>
      <c r="AA1235" s="73"/>
    </row>
    <row r="1236" spans="1:27" ht="12.75" customHeight="1">
      <c r="A1236" s="73"/>
      <c r="B1236" s="32"/>
      <c r="C1236" s="32"/>
      <c r="D1236" s="33"/>
      <c r="E1236" s="32"/>
      <c r="F1236" s="32"/>
      <c r="G1236" s="74"/>
      <c r="H1236" s="32"/>
      <c r="I1236" s="32"/>
      <c r="J1236" s="32"/>
      <c r="K1236" s="74"/>
      <c r="L1236" s="35"/>
      <c r="M1236" s="32"/>
      <c r="N1236" s="32"/>
      <c r="O1236" s="59"/>
      <c r="P1236" s="73"/>
      <c r="Q1236" s="73"/>
      <c r="R1236" s="73"/>
      <c r="S1236" s="73"/>
      <c r="T1236" s="73"/>
      <c r="U1236" s="73"/>
      <c r="V1236" s="73"/>
      <c r="W1236" s="73"/>
      <c r="X1236" s="73"/>
      <c r="Y1236" s="73"/>
      <c r="Z1236" s="73"/>
      <c r="AA1236" s="73"/>
    </row>
    <row r="1237" spans="1:27" ht="12.75" customHeight="1">
      <c r="A1237" s="73"/>
      <c r="B1237" s="32"/>
      <c r="C1237" s="32"/>
      <c r="D1237" s="33"/>
      <c r="E1237" s="32"/>
      <c r="F1237" s="32"/>
      <c r="G1237" s="74"/>
      <c r="H1237" s="32"/>
      <c r="I1237" s="32"/>
      <c r="J1237" s="32"/>
      <c r="K1237" s="74"/>
      <c r="L1237" s="35"/>
      <c r="M1237" s="32"/>
      <c r="N1237" s="32"/>
      <c r="O1237" s="59"/>
      <c r="P1237" s="73"/>
      <c r="Q1237" s="73"/>
      <c r="R1237" s="73"/>
      <c r="S1237" s="73"/>
      <c r="T1237" s="73"/>
      <c r="U1237" s="73"/>
      <c r="V1237" s="73"/>
      <c r="W1237" s="73"/>
      <c r="X1237" s="73"/>
      <c r="Y1237" s="73"/>
      <c r="Z1237" s="73"/>
      <c r="AA1237" s="73"/>
    </row>
    <row r="1238" spans="1:27" ht="12.75" customHeight="1">
      <c r="A1238" s="73"/>
      <c r="B1238" s="32"/>
      <c r="C1238" s="32"/>
      <c r="D1238" s="33"/>
      <c r="E1238" s="32"/>
      <c r="F1238" s="32"/>
      <c r="G1238" s="74"/>
      <c r="H1238" s="32"/>
      <c r="I1238" s="32"/>
      <c r="J1238" s="32"/>
      <c r="K1238" s="74"/>
      <c r="L1238" s="35"/>
      <c r="M1238" s="32"/>
      <c r="N1238" s="32"/>
      <c r="O1238" s="59"/>
      <c r="P1238" s="73"/>
      <c r="Q1238" s="73"/>
      <c r="R1238" s="73"/>
      <c r="S1238" s="73"/>
      <c r="T1238" s="73"/>
      <c r="U1238" s="73"/>
      <c r="V1238" s="73"/>
      <c r="W1238" s="73"/>
      <c r="X1238" s="73"/>
      <c r="Y1238" s="73"/>
      <c r="Z1238" s="73"/>
      <c r="AA1238" s="73"/>
    </row>
    <row r="1239" spans="1:27" ht="12.75" customHeight="1">
      <c r="A1239" s="73"/>
      <c r="B1239" s="32"/>
      <c r="C1239" s="32"/>
      <c r="D1239" s="33"/>
      <c r="E1239" s="32"/>
      <c r="F1239" s="32"/>
      <c r="G1239" s="74"/>
      <c r="H1239" s="32"/>
      <c r="I1239" s="32"/>
      <c r="J1239" s="32"/>
      <c r="K1239" s="74"/>
      <c r="L1239" s="35"/>
      <c r="M1239" s="32"/>
      <c r="N1239" s="32"/>
      <c r="O1239" s="59"/>
      <c r="P1239" s="73"/>
      <c r="Q1239" s="73"/>
      <c r="R1239" s="73"/>
      <c r="S1239" s="73"/>
      <c r="T1239" s="73"/>
      <c r="U1239" s="73"/>
      <c r="V1239" s="73"/>
      <c r="W1239" s="73"/>
      <c r="X1239" s="73"/>
      <c r="Y1239" s="73"/>
      <c r="Z1239" s="73"/>
      <c r="AA1239" s="73"/>
    </row>
    <row r="1240" spans="1:27" ht="12.75" customHeight="1">
      <c r="A1240" s="73"/>
      <c r="B1240" s="32"/>
      <c r="C1240" s="32"/>
      <c r="D1240" s="33"/>
      <c r="E1240" s="32"/>
      <c r="F1240" s="32"/>
      <c r="G1240" s="74"/>
      <c r="H1240" s="32"/>
      <c r="I1240" s="32"/>
      <c r="J1240" s="32"/>
      <c r="K1240" s="74"/>
      <c r="L1240" s="35"/>
      <c r="M1240" s="32"/>
      <c r="N1240" s="32"/>
      <c r="O1240" s="59"/>
      <c r="P1240" s="73"/>
      <c r="Q1240" s="73"/>
      <c r="R1240" s="73"/>
      <c r="S1240" s="73"/>
      <c r="T1240" s="73"/>
      <c r="U1240" s="73"/>
      <c r="V1240" s="73"/>
      <c r="W1240" s="73"/>
      <c r="X1240" s="73"/>
      <c r="Y1240" s="73"/>
      <c r="Z1240" s="73"/>
      <c r="AA1240" s="73"/>
    </row>
    <row r="1241" spans="1:27" ht="12.75" customHeight="1">
      <c r="A1241" s="73"/>
      <c r="B1241" s="32"/>
      <c r="C1241" s="32"/>
      <c r="D1241" s="33"/>
      <c r="E1241" s="32"/>
      <c r="F1241" s="32"/>
      <c r="G1241" s="74"/>
      <c r="H1241" s="32"/>
      <c r="I1241" s="32"/>
      <c r="J1241" s="32"/>
      <c r="K1241" s="74"/>
      <c r="L1241" s="35"/>
      <c r="M1241" s="32"/>
      <c r="N1241" s="32"/>
      <c r="O1241" s="59"/>
      <c r="P1241" s="73"/>
      <c r="Q1241" s="73"/>
      <c r="R1241" s="73"/>
      <c r="S1241" s="73"/>
      <c r="T1241" s="73"/>
      <c r="U1241" s="73"/>
      <c r="V1241" s="73"/>
      <c r="W1241" s="73"/>
      <c r="X1241" s="73"/>
      <c r="Y1241" s="73"/>
      <c r="Z1241" s="73"/>
      <c r="AA1241" s="73"/>
    </row>
    <row r="1242" spans="1:27" ht="12.75" customHeight="1">
      <c r="A1242" s="73"/>
      <c r="B1242" s="32"/>
      <c r="C1242" s="32"/>
      <c r="D1242" s="33"/>
      <c r="E1242" s="32"/>
      <c r="F1242" s="32"/>
      <c r="G1242" s="74"/>
      <c r="H1242" s="32"/>
      <c r="I1242" s="32"/>
      <c r="J1242" s="32"/>
      <c r="K1242" s="74"/>
      <c r="L1242" s="35"/>
      <c r="M1242" s="32"/>
      <c r="N1242" s="32"/>
      <c r="O1242" s="59"/>
      <c r="P1242" s="73"/>
      <c r="Q1242" s="73"/>
      <c r="R1242" s="73"/>
      <c r="S1242" s="73"/>
      <c r="T1242" s="73"/>
      <c r="U1242" s="73"/>
      <c r="V1242" s="73"/>
      <c r="W1242" s="73"/>
      <c r="X1242" s="73"/>
      <c r="Y1242" s="73"/>
      <c r="Z1242" s="73"/>
      <c r="AA1242" s="73"/>
    </row>
    <row r="1243" spans="1:27" ht="12.75" customHeight="1">
      <c r="A1243" s="73"/>
      <c r="B1243" s="32"/>
      <c r="C1243" s="32"/>
      <c r="D1243" s="33"/>
      <c r="E1243" s="32"/>
      <c r="F1243" s="32"/>
      <c r="G1243" s="74"/>
      <c r="H1243" s="32"/>
      <c r="I1243" s="32"/>
      <c r="J1243" s="32"/>
      <c r="K1243" s="74"/>
      <c r="L1243" s="35"/>
      <c r="M1243" s="32"/>
      <c r="N1243" s="32"/>
      <c r="O1243" s="59"/>
      <c r="P1243" s="73"/>
      <c r="Q1243" s="73"/>
      <c r="R1243" s="73"/>
      <c r="S1243" s="73"/>
      <c r="T1243" s="73"/>
      <c r="U1243" s="73"/>
      <c r="V1243" s="73"/>
      <c r="W1243" s="73"/>
      <c r="X1243" s="73"/>
      <c r="Y1243" s="73"/>
      <c r="Z1243" s="73"/>
      <c r="AA1243" s="73"/>
    </row>
    <row r="1244" spans="1:27" ht="12.75" customHeight="1">
      <c r="A1244" s="73"/>
      <c r="B1244" s="32"/>
      <c r="C1244" s="32"/>
      <c r="D1244" s="33"/>
      <c r="E1244" s="32"/>
      <c r="F1244" s="32"/>
      <c r="G1244" s="74"/>
      <c r="H1244" s="32"/>
      <c r="I1244" s="32"/>
      <c r="J1244" s="32"/>
      <c r="K1244" s="74"/>
      <c r="L1244" s="35"/>
      <c r="M1244" s="32"/>
      <c r="N1244" s="32"/>
      <c r="O1244" s="59"/>
      <c r="P1244" s="73"/>
      <c r="Q1244" s="73"/>
      <c r="R1244" s="73"/>
      <c r="S1244" s="73"/>
      <c r="T1244" s="73"/>
      <c r="U1244" s="73"/>
      <c r="V1244" s="73"/>
      <c r="W1244" s="73"/>
      <c r="X1244" s="73"/>
      <c r="Y1244" s="73"/>
      <c r="Z1244" s="73"/>
      <c r="AA1244" s="73"/>
    </row>
    <row r="1245" spans="1:27" ht="12.75" customHeight="1">
      <c r="A1245" s="73"/>
      <c r="B1245" s="32"/>
      <c r="C1245" s="32"/>
      <c r="D1245" s="33"/>
      <c r="E1245" s="32"/>
      <c r="F1245" s="32"/>
      <c r="G1245" s="74"/>
      <c r="H1245" s="32"/>
      <c r="I1245" s="32"/>
      <c r="J1245" s="32"/>
      <c r="K1245" s="74"/>
      <c r="L1245" s="35"/>
      <c r="M1245" s="32"/>
      <c r="N1245" s="32"/>
      <c r="O1245" s="59"/>
      <c r="P1245" s="73"/>
      <c r="Q1245" s="73"/>
      <c r="R1245" s="73"/>
      <c r="S1245" s="73"/>
      <c r="T1245" s="73"/>
      <c r="U1245" s="73"/>
      <c r="V1245" s="73"/>
      <c r="W1245" s="73"/>
      <c r="X1245" s="73"/>
      <c r="Y1245" s="73"/>
      <c r="Z1245" s="73"/>
      <c r="AA1245" s="73"/>
    </row>
    <row r="1246" spans="1:27" ht="12.75" customHeight="1">
      <c r="A1246" s="73"/>
      <c r="B1246" s="32"/>
      <c r="C1246" s="32"/>
      <c r="D1246" s="33"/>
      <c r="E1246" s="32"/>
      <c r="F1246" s="32"/>
      <c r="G1246" s="74"/>
      <c r="H1246" s="32"/>
      <c r="I1246" s="32"/>
      <c r="J1246" s="32"/>
      <c r="K1246" s="74"/>
      <c r="L1246" s="35"/>
      <c r="M1246" s="32"/>
      <c r="N1246" s="32"/>
      <c r="O1246" s="59"/>
      <c r="P1246" s="73"/>
      <c r="Q1246" s="73"/>
      <c r="R1246" s="73"/>
      <c r="S1246" s="73"/>
      <c r="T1246" s="73"/>
      <c r="U1246" s="73"/>
      <c r="V1246" s="73"/>
      <c r="W1246" s="73"/>
      <c r="X1246" s="73"/>
      <c r="Y1246" s="73"/>
      <c r="Z1246" s="73"/>
      <c r="AA1246" s="73"/>
    </row>
    <row r="1247" spans="1:27" ht="12.75" customHeight="1">
      <c r="A1247" s="73"/>
      <c r="B1247" s="32"/>
      <c r="C1247" s="32"/>
      <c r="D1247" s="33"/>
      <c r="E1247" s="32"/>
      <c r="F1247" s="32"/>
      <c r="G1247" s="74"/>
      <c r="H1247" s="32"/>
      <c r="I1247" s="32"/>
      <c r="J1247" s="32"/>
      <c r="K1247" s="74"/>
      <c r="L1247" s="35"/>
      <c r="M1247" s="32"/>
      <c r="N1247" s="32"/>
      <c r="O1247" s="59"/>
      <c r="P1247" s="73"/>
      <c r="Q1247" s="73"/>
      <c r="R1247" s="73"/>
      <c r="S1247" s="73"/>
      <c r="T1247" s="73"/>
      <c r="U1247" s="73"/>
      <c r="V1247" s="73"/>
      <c r="W1247" s="73"/>
      <c r="X1247" s="73"/>
      <c r="Y1247" s="73"/>
      <c r="Z1247" s="73"/>
      <c r="AA1247" s="73"/>
    </row>
    <row r="1248" spans="1:27" ht="12.75" customHeight="1">
      <c r="A1248" s="73"/>
      <c r="B1248" s="32"/>
      <c r="C1248" s="32"/>
      <c r="D1248" s="33"/>
      <c r="E1248" s="32"/>
      <c r="F1248" s="32"/>
      <c r="G1248" s="74"/>
      <c r="H1248" s="32"/>
      <c r="I1248" s="32"/>
      <c r="J1248" s="32"/>
      <c r="K1248" s="74"/>
      <c r="L1248" s="35"/>
      <c r="M1248" s="32"/>
      <c r="N1248" s="32"/>
      <c r="O1248" s="59"/>
      <c r="P1248" s="73"/>
      <c r="Q1248" s="73"/>
      <c r="R1248" s="73"/>
      <c r="S1248" s="73"/>
      <c r="T1248" s="73"/>
      <c r="U1248" s="73"/>
      <c r="V1248" s="73"/>
      <c r="W1248" s="73"/>
      <c r="X1248" s="73"/>
      <c r="Y1248" s="73"/>
      <c r="Z1248" s="73"/>
      <c r="AA1248" s="73"/>
    </row>
    <row r="1249" spans="1:27" ht="12.75" customHeight="1">
      <c r="A1249" s="73"/>
      <c r="B1249" s="32"/>
      <c r="C1249" s="32"/>
      <c r="D1249" s="33"/>
      <c r="E1249" s="32"/>
      <c r="F1249" s="32"/>
      <c r="G1249" s="74"/>
      <c r="H1249" s="32"/>
      <c r="I1249" s="32"/>
      <c r="J1249" s="32"/>
      <c r="K1249" s="74"/>
      <c r="L1249" s="35"/>
      <c r="M1249" s="32"/>
      <c r="N1249" s="32"/>
      <c r="O1249" s="59"/>
      <c r="P1249" s="73"/>
      <c r="Q1249" s="73"/>
      <c r="R1249" s="73"/>
      <c r="S1249" s="73"/>
      <c r="T1249" s="73"/>
      <c r="U1249" s="73"/>
      <c r="V1249" s="73"/>
      <c r="W1249" s="73"/>
      <c r="X1249" s="73"/>
      <c r="Y1249" s="73"/>
      <c r="Z1249" s="73"/>
      <c r="AA1249" s="73"/>
    </row>
    <row r="1250" spans="1:27" ht="12.75" customHeight="1">
      <c r="A1250" s="73"/>
      <c r="B1250" s="32"/>
      <c r="C1250" s="32"/>
      <c r="D1250" s="33"/>
      <c r="E1250" s="32"/>
      <c r="F1250" s="32"/>
      <c r="G1250" s="74"/>
      <c r="H1250" s="32"/>
      <c r="I1250" s="32"/>
      <c r="J1250" s="32"/>
      <c r="K1250" s="74"/>
      <c r="L1250" s="35"/>
      <c r="M1250" s="32"/>
      <c r="N1250" s="32"/>
      <c r="O1250" s="59"/>
      <c r="P1250" s="73"/>
      <c r="Q1250" s="73"/>
      <c r="R1250" s="73"/>
      <c r="S1250" s="73"/>
      <c r="T1250" s="73"/>
      <c r="U1250" s="73"/>
      <c r="V1250" s="73"/>
      <c r="W1250" s="73"/>
      <c r="X1250" s="73"/>
      <c r="Y1250" s="73"/>
      <c r="Z1250" s="73"/>
      <c r="AA1250" s="73"/>
    </row>
    <row r="1251" spans="1:27" ht="12.75" customHeight="1">
      <c r="A1251" s="73"/>
      <c r="B1251" s="32"/>
      <c r="C1251" s="32"/>
      <c r="D1251" s="33"/>
      <c r="E1251" s="32"/>
      <c r="F1251" s="32"/>
      <c r="G1251" s="74"/>
      <c r="H1251" s="32"/>
      <c r="I1251" s="32"/>
      <c r="J1251" s="32"/>
      <c r="K1251" s="74"/>
      <c r="L1251" s="35"/>
      <c r="M1251" s="32"/>
      <c r="N1251" s="32"/>
      <c r="O1251" s="59"/>
      <c r="P1251" s="73"/>
      <c r="Q1251" s="73"/>
      <c r="R1251" s="73"/>
      <c r="S1251" s="73"/>
      <c r="T1251" s="73"/>
      <c r="U1251" s="73"/>
      <c r="V1251" s="73"/>
      <c r="W1251" s="73"/>
      <c r="X1251" s="73"/>
      <c r="Y1251" s="73"/>
      <c r="Z1251" s="73"/>
      <c r="AA1251" s="73"/>
    </row>
    <row r="1252" spans="1:27" ht="12.75" customHeight="1">
      <c r="A1252" s="73"/>
      <c r="B1252" s="32"/>
      <c r="C1252" s="32"/>
      <c r="D1252" s="33"/>
      <c r="E1252" s="32"/>
      <c r="F1252" s="32"/>
      <c r="G1252" s="74"/>
      <c r="H1252" s="32"/>
      <c r="I1252" s="32"/>
      <c r="J1252" s="32"/>
      <c r="K1252" s="74"/>
      <c r="L1252" s="35"/>
      <c r="M1252" s="32"/>
      <c r="N1252" s="32"/>
      <c r="O1252" s="59"/>
      <c r="P1252" s="73"/>
      <c r="Q1252" s="73"/>
      <c r="R1252" s="73"/>
      <c r="S1252" s="73"/>
      <c r="T1252" s="73"/>
      <c r="U1252" s="73"/>
      <c r="V1252" s="73"/>
      <c r="W1252" s="73"/>
      <c r="X1252" s="73"/>
      <c r="Y1252" s="73"/>
      <c r="Z1252" s="73"/>
      <c r="AA1252" s="73"/>
    </row>
    <row r="1253" spans="1:27" ht="12.75" customHeight="1">
      <c r="A1253" s="73"/>
      <c r="B1253" s="32"/>
      <c r="C1253" s="32"/>
      <c r="D1253" s="33"/>
      <c r="E1253" s="32"/>
      <c r="F1253" s="32"/>
      <c r="G1253" s="74"/>
      <c r="H1253" s="32"/>
      <c r="I1253" s="32"/>
      <c r="J1253" s="32"/>
      <c r="K1253" s="74"/>
      <c r="L1253" s="35"/>
      <c r="M1253" s="32"/>
      <c r="N1253" s="32"/>
      <c r="O1253" s="59"/>
      <c r="P1253" s="73"/>
      <c r="Q1253" s="73"/>
      <c r="R1253" s="73"/>
      <c r="S1253" s="73"/>
      <c r="T1253" s="73"/>
      <c r="U1253" s="73"/>
      <c r="V1253" s="73"/>
      <c r="W1253" s="73"/>
      <c r="X1253" s="73"/>
      <c r="Y1253" s="73"/>
      <c r="Z1253" s="73"/>
      <c r="AA1253" s="73"/>
    </row>
    <row r="1254" spans="1:27" ht="12.75" customHeight="1">
      <c r="A1254" s="73"/>
      <c r="B1254" s="32"/>
      <c r="C1254" s="32"/>
      <c r="D1254" s="33"/>
      <c r="E1254" s="32"/>
      <c r="F1254" s="32"/>
      <c r="G1254" s="74"/>
      <c r="H1254" s="32"/>
      <c r="I1254" s="32"/>
      <c r="J1254" s="32"/>
      <c r="K1254" s="74"/>
      <c r="L1254" s="35"/>
      <c r="M1254" s="32"/>
      <c r="N1254" s="32"/>
      <c r="O1254" s="59"/>
      <c r="P1254" s="73"/>
      <c r="Q1254" s="73"/>
      <c r="R1254" s="73"/>
      <c r="S1254" s="73"/>
      <c r="T1254" s="73"/>
      <c r="U1254" s="73"/>
      <c r="V1254" s="73"/>
      <c r="W1254" s="73"/>
      <c r="X1254" s="73"/>
      <c r="Y1254" s="73"/>
      <c r="Z1254" s="73"/>
      <c r="AA1254" s="73"/>
    </row>
    <row r="1255" spans="1:27" ht="12.75" customHeight="1">
      <c r="A1255" s="73"/>
      <c r="B1255" s="32"/>
      <c r="C1255" s="32"/>
      <c r="D1255" s="33"/>
      <c r="E1255" s="32"/>
      <c r="F1255" s="32"/>
      <c r="G1255" s="74"/>
      <c r="H1255" s="32"/>
      <c r="I1255" s="32"/>
      <c r="J1255" s="32"/>
      <c r="K1255" s="74"/>
      <c r="L1255" s="35"/>
      <c r="M1255" s="32"/>
      <c r="N1255" s="32"/>
      <c r="O1255" s="59"/>
      <c r="P1255" s="73"/>
      <c r="Q1255" s="73"/>
      <c r="R1255" s="73"/>
      <c r="S1255" s="73"/>
      <c r="T1255" s="73"/>
      <c r="U1255" s="73"/>
      <c r="V1255" s="73"/>
      <c r="W1255" s="73"/>
      <c r="X1255" s="73"/>
      <c r="Y1255" s="73"/>
      <c r="Z1255" s="73"/>
      <c r="AA1255" s="73"/>
    </row>
    <row r="1256" spans="1:27" ht="12.75" customHeight="1">
      <c r="A1256" s="73"/>
      <c r="B1256" s="32"/>
      <c r="C1256" s="32"/>
      <c r="D1256" s="33"/>
      <c r="E1256" s="32"/>
      <c r="F1256" s="32"/>
      <c r="G1256" s="74"/>
      <c r="H1256" s="32"/>
      <c r="I1256" s="32"/>
      <c r="J1256" s="32"/>
      <c r="K1256" s="74"/>
      <c r="L1256" s="35"/>
      <c r="M1256" s="32"/>
      <c r="N1256" s="32"/>
      <c r="O1256" s="59"/>
      <c r="P1256" s="73"/>
      <c r="Q1256" s="73"/>
      <c r="R1256" s="73"/>
      <c r="S1256" s="73"/>
      <c r="T1256" s="73"/>
      <c r="U1256" s="73"/>
      <c r="V1256" s="73"/>
      <c r="W1256" s="73"/>
      <c r="X1256" s="73"/>
      <c r="Y1256" s="73"/>
      <c r="Z1256" s="73"/>
      <c r="AA1256" s="73"/>
    </row>
    <row r="1257" spans="1:27" ht="12.75" customHeight="1">
      <c r="A1257" s="73"/>
      <c r="B1257" s="32"/>
      <c r="C1257" s="32"/>
      <c r="D1257" s="33"/>
      <c r="E1257" s="32"/>
      <c r="F1257" s="32"/>
      <c r="G1257" s="74"/>
      <c r="H1257" s="32"/>
      <c r="I1257" s="32"/>
      <c r="J1257" s="32"/>
      <c r="K1257" s="74"/>
      <c r="L1257" s="35"/>
      <c r="M1257" s="32"/>
      <c r="N1257" s="32"/>
      <c r="O1257" s="59"/>
      <c r="P1257" s="73"/>
      <c r="Q1257" s="73"/>
      <c r="R1257" s="73"/>
      <c r="S1257" s="73"/>
      <c r="T1257" s="73"/>
      <c r="U1257" s="73"/>
      <c r="V1257" s="73"/>
      <c r="W1257" s="73"/>
      <c r="X1257" s="73"/>
      <c r="Y1257" s="73"/>
      <c r="Z1257" s="73"/>
      <c r="AA1257" s="73"/>
    </row>
    <row r="1258" spans="1:27" ht="12.75" customHeight="1">
      <c r="A1258" s="73"/>
      <c r="B1258" s="32"/>
      <c r="C1258" s="32"/>
      <c r="D1258" s="33"/>
      <c r="E1258" s="32"/>
      <c r="F1258" s="32"/>
      <c r="G1258" s="74"/>
      <c r="H1258" s="32"/>
      <c r="I1258" s="32"/>
      <c r="J1258" s="32"/>
      <c r="K1258" s="74"/>
      <c r="L1258" s="35"/>
      <c r="M1258" s="32"/>
      <c r="N1258" s="32"/>
      <c r="O1258" s="59"/>
      <c r="P1258" s="73"/>
      <c r="Q1258" s="73"/>
      <c r="R1258" s="73"/>
      <c r="S1258" s="73"/>
      <c r="T1258" s="73"/>
      <c r="U1258" s="73"/>
      <c r="V1258" s="73"/>
      <c r="W1258" s="73"/>
      <c r="X1258" s="73"/>
      <c r="Y1258" s="73"/>
      <c r="Z1258" s="73"/>
      <c r="AA1258" s="73"/>
    </row>
    <row r="1259" spans="1:27" ht="12.75" customHeight="1">
      <c r="A1259" s="73"/>
      <c r="B1259" s="32"/>
      <c r="C1259" s="32"/>
      <c r="D1259" s="33"/>
      <c r="E1259" s="32"/>
      <c r="F1259" s="32"/>
      <c r="G1259" s="74"/>
      <c r="H1259" s="32"/>
      <c r="I1259" s="32"/>
      <c r="J1259" s="32"/>
      <c r="K1259" s="74"/>
      <c r="L1259" s="35"/>
      <c r="M1259" s="32"/>
      <c r="N1259" s="32"/>
      <c r="O1259" s="59"/>
      <c r="P1259" s="73"/>
      <c r="Q1259" s="73"/>
      <c r="R1259" s="73"/>
      <c r="S1259" s="73"/>
      <c r="T1259" s="73"/>
      <c r="U1259" s="73"/>
      <c r="V1259" s="73"/>
      <c r="W1259" s="73"/>
      <c r="X1259" s="73"/>
      <c r="Y1259" s="73"/>
      <c r="Z1259" s="73"/>
      <c r="AA1259" s="73"/>
    </row>
    <row r="1260" spans="1:27" ht="12.75" customHeight="1">
      <c r="A1260" s="73"/>
      <c r="B1260" s="32"/>
      <c r="C1260" s="32"/>
      <c r="D1260" s="33"/>
      <c r="E1260" s="32"/>
      <c r="F1260" s="32"/>
      <c r="G1260" s="74"/>
      <c r="H1260" s="32"/>
      <c r="I1260" s="32"/>
      <c r="J1260" s="32"/>
      <c r="K1260" s="74"/>
      <c r="L1260" s="35"/>
      <c r="M1260" s="32"/>
      <c r="N1260" s="32"/>
      <c r="O1260" s="59"/>
      <c r="P1260" s="73"/>
      <c r="Q1260" s="73"/>
      <c r="R1260" s="73"/>
      <c r="S1260" s="73"/>
      <c r="T1260" s="73"/>
      <c r="U1260" s="73"/>
      <c r="V1260" s="73"/>
      <c r="W1260" s="73"/>
      <c r="X1260" s="73"/>
      <c r="Y1260" s="73"/>
      <c r="Z1260" s="73"/>
      <c r="AA1260" s="73"/>
    </row>
    <row r="1261" spans="1:27" ht="12.75" customHeight="1">
      <c r="A1261" s="73"/>
      <c r="B1261" s="32"/>
      <c r="C1261" s="32"/>
      <c r="D1261" s="33"/>
      <c r="E1261" s="32"/>
      <c r="F1261" s="32"/>
      <c r="G1261" s="74"/>
      <c r="H1261" s="32"/>
      <c r="I1261" s="32"/>
      <c r="J1261" s="32"/>
      <c r="K1261" s="74"/>
      <c r="L1261" s="35"/>
      <c r="M1261" s="32"/>
      <c r="N1261" s="32"/>
      <c r="O1261" s="59"/>
      <c r="P1261" s="73"/>
      <c r="Q1261" s="73"/>
      <c r="R1261" s="73"/>
      <c r="S1261" s="73"/>
      <c r="T1261" s="73"/>
      <c r="U1261" s="73"/>
      <c r="V1261" s="73"/>
      <c r="W1261" s="73"/>
      <c r="X1261" s="73"/>
      <c r="Y1261" s="73"/>
      <c r="Z1261" s="73"/>
      <c r="AA1261" s="73"/>
    </row>
    <row r="1262" spans="1:27" ht="12.75" customHeight="1">
      <c r="A1262" s="73"/>
      <c r="B1262" s="32"/>
      <c r="C1262" s="32"/>
      <c r="D1262" s="33"/>
      <c r="E1262" s="32"/>
      <c r="F1262" s="32"/>
      <c r="G1262" s="74"/>
      <c r="H1262" s="32"/>
      <c r="I1262" s="32"/>
      <c r="J1262" s="32"/>
      <c r="K1262" s="74"/>
      <c r="L1262" s="35"/>
      <c r="M1262" s="32"/>
      <c r="N1262" s="32"/>
      <c r="O1262" s="59"/>
      <c r="P1262" s="73"/>
      <c r="Q1262" s="73"/>
      <c r="R1262" s="73"/>
      <c r="S1262" s="73"/>
      <c r="T1262" s="73"/>
      <c r="U1262" s="73"/>
      <c r="V1262" s="73"/>
      <c r="W1262" s="73"/>
      <c r="X1262" s="73"/>
      <c r="Y1262" s="73"/>
      <c r="Z1262" s="73"/>
      <c r="AA1262" s="73"/>
    </row>
    <row r="1263" spans="1:27" ht="12.75" customHeight="1">
      <c r="A1263" s="73"/>
      <c r="B1263" s="32"/>
      <c r="C1263" s="32"/>
      <c r="D1263" s="33"/>
      <c r="E1263" s="32"/>
      <c r="F1263" s="32"/>
      <c r="G1263" s="74"/>
      <c r="H1263" s="32"/>
      <c r="I1263" s="32"/>
      <c r="J1263" s="32"/>
      <c r="K1263" s="74"/>
      <c r="L1263" s="35"/>
      <c r="M1263" s="32"/>
      <c r="N1263" s="32"/>
      <c r="O1263" s="59"/>
      <c r="P1263" s="73"/>
      <c r="Q1263" s="73"/>
      <c r="R1263" s="73"/>
      <c r="S1263" s="73"/>
      <c r="T1263" s="73"/>
      <c r="U1263" s="73"/>
      <c r="V1263" s="73"/>
      <c r="W1263" s="73"/>
      <c r="X1263" s="73"/>
      <c r="Y1263" s="73"/>
      <c r="Z1263" s="73"/>
      <c r="AA1263" s="73"/>
    </row>
    <row r="1264" spans="1:27" ht="12.75" customHeight="1">
      <c r="A1264" s="73"/>
      <c r="B1264" s="32"/>
      <c r="C1264" s="32"/>
      <c r="D1264" s="33"/>
      <c r="E1264" s="32"/>
      <c r="F1264" s="32"/>
      <c r="G1264" s="74"/>
      <c r="H1264" s="32"/>
      <c r="I1264" s="32"/>
      <c r="J1264" s="32"/>
      <c r="K1264" s="74"/>
      <c r="L1264" s="35"/>
      <c r="M1264" s="32"/>
      <c r="N1264" s="32"/>
      <c r="O1264" s="59"/>
      <c r="P1264" s="73"/>
      <c r="Q1264" s="73"/>
      <c r="R1264" s="73"/>
      <c r="S1264" s="73"/>
      <c r="T1264" s="73"/>
      <c r="U1264" s="73"/>
      <c r="V1264" s="73"/>
      <c r="W1264" s="73"/>
      <c r="X1264" s="73"/>
      <c r="Y1264" s="73"/>
      <c r="Z1264" s="73"/>
      <c r="AA1264" s="73"/>
    </row>
    <row r="1265" spans="1:27" ht="12.75" customHeight="1">
      <c r="A1265" s="73"/>
      <c r="B1265" s="32"/>
      <c r="C1265" s="32"/>
      <c r="D1265" s="33"/>
      <c r="E1265" s="32"/>
      <c r="F1265" s="32"/>
      <c r="G1265" s="74"/>
      <c r="H1265" s="32"/>
      <c r="I1265" s="32"/>
      <c r="J1265" s="32"/>
      <c r="K1265" s="74"/>
      <c r="L1265" s="35"/>
      <c r="M1265" s="32"/>
      <c r="N1265" s="32"/>
      <c r="O1265" s="59"/>
      <c r="P1265" s="73"/>
      <c r="Q1265" s="73"/>
      <c r="R1265" s="73"/>
      <c r="S1265" s="73"/>
      <c r="T1265" s="73"/>
      <c r="U1265" s="73"/>
      <c r="V1265" s="73"/>
      <c r="W1265" s="73"/>
      <c r="X1265" s="73"/>
      <c r="Y1265" s="73"/>
      <c r="Z1265" s="73"/>
      <c r="AA1265" s="73"/>
    </row>
    <row r="1266" spans="1:27" ht="12.75" customHeight="1">
      <c r="A1266" s="73"/>
      <c r="B1266" s="32"/>
      <c r="C1266" s="32"/>
      <c r="D1266" s="33"/>
      <c r="E1266" s="32"/>
      <c r="F1266" s="32"/>
      <c r="G1266" s="74"/>
      <c r="H1266" s="32"/>
      <c r="I1266" s="32"/>
      <c r="J1266" s="32"/>
      <c r="K1266" s="74"/>
      <c r="L1266" s="35"/>
      <c r="M1266" s="32"/>
      <c r="N1266" s="32"/>
      <c r="O1266" s="59"/>
      <c r="P1266" s="73"/>
      <c r="Q1266" s="73"/>
      <c r="R1266" s="73"/>
      <c r="S1266" s="73"/>
      <c r="T1266" s="73"/>
      <c r="U1266" s="73"/>
      <c r="V1266" s="73"/>
      <c r="W1266" s="73"/>
      <c r="X1266" s="73"/>
      <c r="Y1266" s="73"/>
      <c r="Z1266" s="73"/>
      <c r="AA1266" s="73"/>
    </row>
    <row r="1267" spans="1:27" ht="12.75" customHeight="1">
      <c r="A1267" s="73"/>
      <c r="B1267" s="32"/>
      <c r="C1267" s="32"/>
      <c r="D1267" s="33"/>
      <c r="E1267" s="32"/>
      <c r="F1267" s="32"/>
      <c r="G1267" s="74"/>
      <c r="H1267" s="32"/>
      <c r="I1267" s="32"/>
      <c r="J1267" s="32"/>
      <c r="K1267" s="74"/>
      <c r="L1267" s="35"/>
      <c r="M1267" s="32"/>
      <c r="N1267" s="32"/>
      <c r="O1267" s="59"/>
      <c r="P1267" s="73"/>
      <c r="Q1267" s="73"/>
      <c r="R1267" s="73"/>
      <c r="S1267" s="73"/>
      <c r="T1267" s="73"/>
      <c r="U1267" s="73"/>
      <c r="V1267" s="73"/>
      <c r="W1267" s="73"/>
      <c r="X1267" s="73"/>
      <c r="Y1267" s="73"/>
      <c r="Z1267" s="73"/>
      <c r="AA1267" s="73"/>
    </row>
    <row r="1268" spans="1:27" ht="12.75" customHeight="1">
      <c r="A1268" s="73"/>
      <c r="B1268" s="32"/>
      <c r="C1268" s="32"/>
      <c r="D1268" s="33"/>
      <c r="E1268" s="32"/>
      <c r="F1268" s="32"/>
      <c r="G1268" s="74"/>
      <c r="H1268" s="32"/>
      <c r="I1268" s="32"/>
      <c r="J1268" s="32"/>
      <c r="K1268" s="74"/>
      <c r="L1268" s="35"/>
      <c r="M1268" s="32"/>
      <c r="N1268" s="32"/>
      <c r="O1268" s="59"/>
      <c r="P1268" s="73"/>
      <c r="Q1268" s="73"/>
      <c r="R1268" s="73"/>
      <c r="S1268" s="73"/>
      <c r="T1268" s="73"/>
      <c r="U1268" s="73"/>
      <c r="V1268" s="73"/>
      <c r="W1268" s="73"/>
      <c r="X1268" s="73"/>
      <c r="Y1268" s="73"/>
      <c r="Z1268" s="73"/>
      <c r="AA1268" s="73"/>
    </row>
    <row r="1269" spans="1:27" ht="12.75" customHeight="1">
      <c r="A1269" s="73"/>
      <c r="B1269" s="32"/>
      <c r="C1269" s="32"/>
      <c r="D1269" s="33"/>
      <c r="E1269" s="32"/>
      <c r="F1269" s="32"/>
      <c r="G1269" s="74"/>
      <c r="H1269" s="32"/>
      <c r="I1269" s="32"/>
      <c r="J1269" s="32"/>
      <c r="K1269" s="74"/>
      <c r="L1269" s="35"/>
      <c r="M1269" s="32"/>
      <c r="N1269" s="32"/>
      <c r="O1269" s="59"/>
      <c r="P1269" s="73"/>
      <c r="Q1269" s="73"/>
      <c r="R1269" s="73"/>
      <c r="S1269" s="73"/>
      <c r="T1269" s="73"/>
      <c r="U1269" s="73"/>
      <c r="V1269" s="73"/>
      <c r="W1269" s="73"/>
      <c r="X1269" s="73"/>
      <c r="Y1269" s="73"/>
      <c r="Z1269" s="73"/>
      <c r="AA1269" s="73"/>
    </row>
    <row r="1270" spans="1:27" ht="12.75" customHeight="1">
      <c r="A1270" s="73"/>
      <c r="B1270" s="32"/>
      <c r="C1270" s="32"/>
      <c r="D1270" s="33"/>
      <c r="E1270" s="32"/>
      <c r="F1270" s="32"/>
      <c r="G1270" s="74"/>
      <c r="H1270" s="32"/>
      <c r="I1270" s="32"/>
      <c r="J1270" s="32"/>
      <c r="K1270" s="74"/>
      <c r="L1270" s="35"/>
      <c r="M1270" s="32"/>
      <c r="N1270" s="32"/>
      <c r="O1270" s="59"/>
      <c r="P1270" s="73"/>
      <c r="Q1270" s="73"/>
      <c r="R1270" s="73"/>
      <c r="S1270" s="73"/>
      <c r="T1270" s="73"/>
      <c r="U1270" s="73"/>
      <c r="V1270" s="73"/>
      <c r="W1270" s="73"/>
      <c r="X1270" s="73"/>
      <c r="Y1270" s="73"/>
      <c r="Z1270" s="73"/>
      <c r="AA1270" s="73"/>
    </row>
    <row r="1271" spans="1:27" ht="12.75" customHeight="1">
      <c r="A1271" s="73"/>
      <c r="B1271" s="32"/>
      <c r="C1271" s="32"/>
      <c r="D1271" s="33"/>
      <c r="E1271" s="32"/>
      <c r="F1271" s="32"/>
      <c r="G1271" s="74"/>
      <c r="H1271" s="32"/>
      <c r="I1271" s="32"/>
      <c r="J1271" s="32"/>
      <c r="K1271" s="74"/>
      <c r="L1271" s="35"/>
      <c r="M1271" s="32"/>
      <c r="N1271" s="32"/>
      <c r="O1271" s="59"/>
      <c r="P1271" s="73"/>
      <c r="Q1271" s="73"/>
      <c r="R1271" s="73"/>
      <c r="S1271" s="73"/>
      <c r="T1271" s="73"/>
      <c r="U1271" s="73"/>
      <c r="V1271" s="73"/>
      <c r="W1271" s="73"/>
      <c r="X1271" s="73"/>
      <c r="Y1271" s="73"/>
      <c r="Z1271" s="73"/>
      <c r="AA1271" s="73"/>
    </row>
    <row r="1272" spans="1:27" ht="12.75" customHeight="1">
      <c r="A1272" s="73"/>
      <c r="B1272" s="32"/>
      <c r="C1272" s="32"/>
      <c r="D1272" s="33"/>
      <c r="E1272" s="32"/>
      <c r="F1272" s="32"/>
      <c r="G1272" s="74"/>
      <c r="H1272" s="32"/>
      <c r="I1272" s="32"/>
      <c r="J1272" s="32"/>
      <c r="K1272" s="74"/>
      <c r="L1272" s="35"/>
      <c r="M1272" s="32"/>
      <c r="N1272" s="32"/>
      <c r="O1272" s="59"/>
      <c r="P1272" s="73"/>
      <c r="Q1272" s="73"/>
      <c r="R1272" s="73"/>
      <c r="S1272" s="73"/>
      <c r="T1272" s="73"/>
      <c r="U1272" s="73"/>
      <c r="V1272" s="73"/>
      <c r="W1272" s="73"/>
      <c r="X1272" s="73"/>
      <c r="Y1272" s="73"/>
      <c r="Z1272" s="73"/>
      <c r="AA1272" s="73"/>
    </row>
    <row r="1273" spans="1:27" ht="12.75" customHeight="1">
      <c r="A1273" s="73"/>
      <c r="B1273" s="32"/>
      <c r="C1273" s="32"/>
      <c r="D1273" s="33"/>
      <c r="E1273" s="32"/>
      <c r="F1273" s="32"/>
      <c r="G1273" s="74"/>
      <c r="H1273" s="32"/>
      <c r="I1273" s="32"/>
      <c r="J1273" s="32"/>
      <c r="K1273" s="74"/>
      <c r="L1273" s="35"/>
      <c r="M1273" s="32"/>
      <c r="N1273" s="32"/>
      <c r="O1273" s="59"/>
      <c r="P1273" s="73"/>
      <c r="Q1273" s="73"/>
      <c r="R1273" s="73"/>
      <c r="S1273" s="73"/>
      <c r="T1273" s="73"/>
      <c r="U1273" s="73"/>
      <c r="V1273" s="73"/>
      <c r="W1273" s="73"/>
      <c r="X1273" s="73"/>
      <c r="Y1273" s="73"/>
      <c r="Z1273" s="73"/>
      <c r="AA1273" s="73"/>
    </row>
    <row r="1274" spans="1:27" ht="12.75" customHeight="1">
      <c r="A1274" s="73"/>
      <c r="B1274" s="32"/>
      <c r="C1274" s="32"/>
      <c r="D1274" s="33"/>
      <c r="E1274" s="32"/>
      <c r="F1274" s="32"/>
      <c r="G1274" s="74"/>
      <c r="H1274" s="32"/>
      <c r="I1274" s="32"/>
      <c r="J1274" s="32"/>
      <c r="K1274" s="74"/>
      <c r="L1274" s="35"/>
      <c r="M1274" s="32"/>
      <c r="N1274" s="32"/>
      <c r="O1274" s="59"/>
      <c r="P1274" s="73"/>
      <c r="Q1274" s="73"/>
      <c r="R1274" s="73"/>
      <c r="S1274" s="73"/>
      <c r="T1274" s="73"/>
      <c r="U1274" s="73"/>
      <c r="V1274" s="73"/>
      <c r="W1274" s="73"/>
      <c r="X1274" s="73"/>
      <c r="Y1274" s="73"/>
      <c r="Z1274" s="73"/>
      <c r="AA1274" s="73"/>
    </row>
    <row r="1275" spans="1:27" ht="12.75" customHeight="1">
      <c r="A1275" s="73"/>
      <c r="B1275" s="32"/>
      <c r="C1275" s="32"/>
      <c r="D1275" s="33"/>
      <c r="E1275" s="32"/>
      <c r="F1275" s="32"/>
      <c r="G1275" s="74"/>
      <c r="H1275" s="32"/>
      <c r="I1275" s="32"/>
      <c r="J1275" s="32"/>
      <c r="K1275" s="74"/>
      <c r="L1275" s="35"/>
      <c r="M1275" s="32"/>
      <c r="N1275" s="32"/>
      <c r="O1275" s="59"/>
      <c r="P1275" s="73"/>
      <c r="Q1275" s="73"/>
      <c r="R1275" s="73"/>
      <c r="S1275" s="73"/>
      <c r="T1275" s="73"/>
      <c r="U1275" s="73"/>
      <c r="V1275" s="73"/>
      <c r="W1275" s="73"/>
      <c r="X1275" s="73"/>
      <c r="Y1275" s="73"/>
      <c r="Z1275" s="73"/>
      <c r="AA1275" s="73"/>
    </row>
    <row r="1276" spans="1:27" ht="12.75" customHeight="1">
      <c r="A1276" s="73"/>
      <c r="B1276" s="32"/>
      <c r="C1276" s="32"/>
      <c r="D1276" s="33"/>
      <c r="E1276" s="32"/>
      <c r="F1276" s="32"/>
      <c r="G1276" s="74"/>
      <c r="H1276" s="32"/>
      <c r="I1276" s="32"/>
      <c r="J1276" s="32"/>
      <c r="K1276" s="74"/>
      <c r="L1276" s="35"/>
      <c r="M1276" s="32"/>
      <c r="N1276" s="32"/>
      <c r="O1276" s="59"/>
      <c r="P1276" s="73"/>
      <c r="Q1276" s="73"/>
      <c r="R1276" s="73"/>
      <c r="S1276" s="73"/>
      <c r="T1276" s="73"/>
      <c r="U1276" s="73"/>
      <c r="V1276" s="73"/>
      <c r="W1276" s="73"/>
      <c r="X1276" s="73"/>
      <c r="Y1276" s="73"/>
      <c r="Z1276" s="73"/>
      <c r="AA1276" s="73"/>
    </row>
    <row r="1277" spans="1:27" ht="12.75" customHeight="1">
      <c r="A1277" s="73"/>
      <c r="B1277" s="32"/>
      <c r="C1277" s="32"/>
      <c r="D1277" s="33"/>
      <c r="E1277" s="32"/>
      <c r="F1277" s="32"/>
      <c r="G1277" s="74"/>
      <c r="H1277" s="32"/>
      <c r="I1277" s="32"/>
      <c r="J1277" s="32"/>
      <c r="K1277" s="74"/>
      <c r="L1277" s="35"/>
      <c r="M1277" s="32"/>
      <c r="N1277" s="32"/>
      <c r="O1277" s="59"/>
      <c r="P1277" s="73"/>
      <c r="Q1277" s="73"/>
      <c r="R1277" s="73"/>
      <c r="S1277" s="73"/>
      <c r="T1277" s="73"/>
      <c r="U1277" s="73"/>
      <c r="V1277" s="73"/>
      <c r="W1277" s="73"/>
      <c r="X1277" s="73"/>
      <c r="Y1277" s="73"/>
      <c r="Z1277" s="73"/>
      <c r="AA1277" s="73"/>
    </row>
    <row r="1278" spans="1:27" ht="12.75" customHeight="1">
      <c r="A1278" s="73"/>
      <c r="B1278" s="32"/>
      <c r="C1278" s="32"/>
      <c r="D1278" s="33"/>
      <c r="E1278" s="32"/>
      <c r="F1278" s="32"/>
      <c r="G1278" s="74"/>
      <c r="H1278" s="32"/>
      <c r="I1278" s="32"/>
      <c r="J1278" s="32"/>
      <c r="K1278" s="74"/>
      <c r="L1278" s="35"/>
      <c r="M1278" s="32"/>
      <c r="N1278" s="32"/>
      <c r="O1278" s="59"/>
      <c r="P1278" s="73"/>
      <c r="Q1278" s="73"/>
      <c r="R1278" s="73"/>
      <c r="S1278" s="73"/>
      <c r="T1278" s="73"/>
      <c r="U1278" s="73"/>
      <c r="V1278" s="73"/>
      <c r="W1278" s="73"/>
      <c r="X1278" s="73"/>
      <c r="Y1278" s="73"/>
      <c r="Z1278" s="73"/>
      <c r="AA1278" s="73"/>
    </row>
    <row r="1279" spans="1:27" ht="12.75" customHeight="1">
      <c r="A1279" s="73"/>
      <c r="B1279" s="32"/>
      <c r="C1279" s="32"/>
      <c r="D1279" s="33"/>
      <c r="E1279" s="32"/>
      <c r="F1279" s="32"/>
      <c r="G1279" s="74"/>
      <c r="H1279" s="32"/>
      <c r="I1279" s="32"/>
      <c r="J1279" s="32"/>
      <c r="K1279" s="74"/>
      <c r="L1279" s="35"/>
      <c r="M1279" s="32"/>
      <c r="N1279" s="32"/>
      <c r="O1279" s="59"/>
      <c r="P1279" s="73"/>
      <c r="Q1279" s="73"/>
      <c r="R1279" s="73"/>
      <c r="S1279" s="73"/>
      <c r="T1279" s="73"/>
      <c r="U1279" s="73"/>
      <c r="V1279" s="73"/>
      <c r="W1279" s="73"/>
      <c r="X1279" s="73"/>
      <c r="Y1279" s="73"/>
      <c r="Z1279" s="73"/>
      <c r="AA1279" s="73"/>
    </row>
    <row r="1280" spans="1:27" ht="12.75" customHeight="1">
      <c r="A1280" s="73"/>
      <c r="B1280" s="32"/>
      <c r="C1280" s="32"/>
      <c r="D1280" s="33"/>
      <c r="E1280" s="32"/>
      <c r="F1280" s="32"/>
      <c r="G1280" s="74"/>
      <c r="H1280" s="32"/>
      <c r="I1280" s="32"/>
      <c r="J1280" s="32"/>
      <c r="K1280" s="74"/>
      <c r="L1280" s="35"/>
      <c r="M1280" s="32"/>
      <c r="N1280" s="32"/>
      <c r="O1280" s="59"/>
      <c r="P1280" s="73"/>
      <c r="Q1280" s="73"/>
      <c r="R1280" s="73"/>
      <c r="S1280" s="73"/>
      <c r="T1280" s="73"/>
      <c r="U1280" s="73"/>
      <c r="V1280" s="73"/>
      <c r="W1280" s="73"/>
      <c r="X1280" s="73"/>
      <c r="Y1280" s="73"/>
      <c r="Z1280" s="73"/>
      <c r="AA1280" s="73"/>
    </row>
    <row r="1281" spans="1:27" ht="12.75" customHeight="1">
      <c r="A1281" s="73"/>
      <c r="B1281" s="32"/>
      <c r="C1281" s="32"/>
      <c r="D1281" s="33"/>
      <c r="E1281" s="32"/>
      <c r="F1281" s="32"/>
      <c r="G1281" s="74"/>
      <c r="H1281" s="32"/>
      <c r="I1281" s="32"/>
      <c r="J1281" s="32"/>
      <c r="K1281" s="74"/>
      <c r="L1281" s="35"/>
      <c r="M1281" s="32"/>
      <c r="N1281" s="32"/>
      <c r="O1281" s="59"/>
      <c r="P1281" s="73"/>
      <c r="Q1281" s="73"/>
      <c r="R1281" s="73"/>
      <c r="S1281" s="73"/>
      <c r="T1281" s="73"/>
      <c r="U1281" s="73"/>
      <c r="V1281" s="73"/>
      <c r="W1281" s="73"/>
      <c r="X1281" s="73"/>
      <c r="Y1281" s="73"/>
      <c r="Z1281" s="73"/>
      <c r="AA1281" s="73"/>
    </row>
    <row r="1282" spans="1:27" ht="12.75" customHeight="1">
      <c r="A1282" s="73"/>
      <c r="B1282" s="32"/>
      <c r="C1282" s="32"/>
      <c r="D1282" s="33"/>
      <c r="E1282" s="32"/>
      <c r="F1282" s="32"/>
      <c r="G1282" s="74"/>
      <c r="H1282" s="32"/>
      <c r="I1282" s="32"/>
      <c r="J1282" s="32"/>
      <c r="K1282" s="74"/>
      <c r="L1282" s="35"/>
      <c r="M1282" s="32"/>
      <c r="N1282" s="32"/>
      <c r="O1282" s="59"/>
      <c r="P1282" s="73"/>
      <c r="Q1282" s="73"/>
      <c r="R1282" s="73"/>
      <c r="S1282" s="73"/>
      <c r="T1282" s="73"/>
      <c r="U1282" s="73"/>
      <c r="V1282" s="73"/>
      <c r="W1282" s="73"/>
      <c r="X1282" s="73"/>
      <c r="Y1282" s="73"/>
      <c r="Z1282" s="73"/>
      <c r="AA1282" s="73"/>
    </row>
    <row r="1283" spans="1:27" ht="12.75" customHeight="1">
      <c r="A1283" s="73"/>
      <c r="B1283" s="32"/>
      <c r="C1283" s="32"/>
      <c r="D1283" s="33"/>
      <c r="E1283" s="32"/>
      <c r="F1283" s="32"/>
      <c r="G1283" s="74"/>
      <c r="H1283" s="32"/>
      <c r="I1283" s="32"/>
      <c r="J1283" s="32"/>
      <c r="K1283" s="74"/>
      <c r="L1283" s="35"/>
      <c r="M1283" s="32"/>
      <c r="N1283" s="32"/>
      <c r="O1283" s="59"/>
      <c r="P1283" s="73"/>
      <c r="Q1283" s="73"/>
      <c r="R1283" s="73"/>
      <c r="S1283" s="73"/>
      <c r="T1283" s="73"/>
      <c r="U1283" s="73"/>
      <c r="V1283" s="73"/>
      <c r="W1283" s="73"/>
      <c r="X1283" s="73"/>
      <c r="Y1283" s="73"/>
      <c r="Z1283" s="73"/>
      <c r="AA1283" s="73"/>
    </row>
    <row r="1284" spans="1:27" ht="12.75" customHeight="1">
      <c r="A1284" s="73"/>
      <c r="B1284" s="32"/>
      <c r="C1284" s="32"/>
      <c r="D1284" s="33"/>
      <c r="E1284" s="32"/>
      <c r="F1284" s="32"/>
      <c r="G1284" s="74"/>
      <c r="H1284" s="32"/>
      <c r="I1284" s="32"/>
      <c r="J1284" s="32"/>
      <c r="K1284" s="74"/>
      <c r="L1284" s="35"/>
      <c r="M1284" s="32"/>
      <c r="N1284" s="32"/>
      <c r="O1284" s="59"/>
      <c r="P1284" s="73"/>
      <c r="Q1284" s="73"/>
      <c r="R1284" s="73"/>
      <c r="S1284" s="73"/>
      <c r="T1284" s="73"/>
      <c r="U1284" s="73"/>
      <c r="V1284" s="73"/>
      <c r="W1284" s="73"/>
      <c r="X1284" s="73"/>
      <c r="Y1284" s="73"/>
      <c r="Z1284" s="73"/>
      <c r="AA1284" s="73"/>
    </row>
    <row r="1285" spans="1:27" ht="12.75" customHeight="1">
      <c r="A1285" s="73"/>
      <c r="B1285" s="32"/>
      <c r="C1285" s="32"/>
      <c r="D1285" s="33"/>
      <c r="E1285" s="32"/>
      <c r="F1285" s="32"/>
      <c r="G1285" s="74"/>
      <c r="H1285" s="32"/>
      <c r="I1285" s="32"/>
      <c r="J1285" s="32"/>
      <c r="K1285" s="74"/>
      <c r="L1285" s="35"/>
      <c r="M1285" s="32"/>
      <c r="N1285" s="32"/>
      <c r="O1285" s="59"/>
      <c r="P1285" s="73"/>
      <c r="Q1285" s="73"/>
      <c r="R1285" s="73"/>
      <c r="S1285" s="73"/>
      <c r="T1285" s="73"/>
      <c r="U1285" s="73"/>
      <c r="V1285" s="73"/>
      <c r="W1285" s="73"/>
      <c r="X1285" s="73"/>
      <c r="Y1285" s="73"/>
      <c r="Z1285" s="73"/>
      <c r="AA1285" s="73"/>
    </row>
    <row r="1286" spans="1:27" ht="12.75" customHeight="1">
      <c r="A1286" s="73"/>
      <c r="B1286" s="32"/>
      <c r="C1286" s="32"/>
      <c r="D1286" s="33"/>
      <c r="E1286" s="32"/>
      <c r="F1286" s="32"/>
      <c r="G1286" s="74"/>
      <c r="H1286" s="32"/>
      <c r="I1286" s="32"/>
      <c r="J1286" s="32"/>
      <c r="K1286" s="74"/>
      <c r="L1286" s="35"/>
      <c r="M1286" s="32"/>
      <c r="N1286" s="32"/>
      <c r="O1286" s="59"/>
      <c r="P1286" s="73"/>
      <c r="Q1286" s="73"/>
      <c r="R1286" s="73"/>
      <c r="S1286" s="73"/>
      <c r="T1286" s="73"/>
      <c r="U1286" s="73"/>
      <c r="V1286" s="73"/>
      <c r="W1286" s="73"/>
      <c r="X1286" s="73"/>
      <c r="Y1286" s="73"/>
      <c r="Z1286" s="73"/>
      <c r="AA1286" s="73"/>
    </row>
    <row r="1287" spans="1:27" ht="12.75" customHeight="1">
      <c r="A1287" s="73"/>
      <c r="B1287" s="32"/>
      <c r="C1287" s="32"/>
      <c r="D1287" s="33"/>
      <c r="E1287" s="32"/>
      <c r="F1287" s="32"/>
      <c r="G1287" s="74"/>
      <c r="H1287" s="32"/>
      <c r="I1287" s="32"/>
      <c r="J1287" s="32"/>
      <c r="K1287" s="74"/>
      <c r="L1287" s="35"/>
      <c r="M1287" s="32"/>
      <c r="N1287" s="32"/>
      <c r="O1287" s="59"/>
      <c r="P1287" s="73"/>
      <c r="Q1287" s="73"/>
      <c r="R1287" s="73"/>
      <c r="S1287" s="73"/>
      <c r="T1287" s="73"/>
      <c r="U1287" s="73"/>
      <c r="V1287" s="73"/>
      <c r="W1287" s="73"/>
      <c r="X1287" s="73"/>
      <c r="Y1287" s="73"/>
      <c r="Z1287" s="73"/>
      <c r="AA1287" s="73"/>
    </row>
    <row r="1288" spans="1:27" ht="12.75" customHeight="1">
      <c r="A1288" s="73"/>
      <c r="B1288" s="32"/>
      <c r="C1288" s="32"/>
      <c r="D1288" s="33"/>
      <c r="E1288" s="32"/>
      <c r="F1288" s="32"/>
      <c r="G1288" s="74"/>
      <c r="H1288" s="32"/>
      <c r="I1288" s="32"/>
      <c r="J1288" s="32"/>
      <c r="K1288" s="74"/>
      <c r="L1288" s="35"/>
      <c r="M1288" s="32"/>
      <c r="N1288" s="32"/>
      <c r="O1288" s="59"/>
      <c r="P1288" s="73"/>
      <c r="Q1288" s="73"/>
      <c r="R1288" s="73"/>
      <c r="S1288" s="73"/>
      <c r="T1288" s="73"/>
      <c r="U1288" s="73"/>
      <c r="V1288" s="73"/>
      <c r="W1288" s="73"/>
      <c r="X1288" s="73"/>
      <c r="Y1288" s="73"/>
      <c r="Z1288" s="73"/>
      <c r="AA1288" s="73"/>
    </row>
    <row r="1289" spans="1:27" ht="12.75" customHeight="1">
      <c r="A1289" s="73"/>
      <c r="B1289" s="32"/>
      <c r="C1289" s="32"/>
      <c r="D1289" s="33"/>
      <c r="E1289" s="32"/>
      <c r="F1289" s="32"/>
      <c r="G1289" s="74"/>
      <c r="H1289" s="32"/>
      <c r="I1289" s="32"/>
      <c r="J1289" s="32"/>
      <c r="K1289" s="74"/>
      <c r="L1289" s="35"/>
      <c r="M1289" s="32"/>
      <c r="N1289" s="32"/>
      <c r="O1289" s="59"/>
      <c r="P1289" s="73"/>
      <c r="Q1289" s="73"/>
      <c r="R1289" s="73"/>
      <c r="S1289" s="73"/>
      <c r="T1289" s="73"/>
      <c r="U1289" s="73"/>
      <c r="V1289" s="73"/>
      <c r="W1289" s="73"/>
      <c r="X1289" s="73"/>
      <c r="Y1289" s="73"/>
      <c r="Z1289" s="73"/>
      <c r="AA1289" s="73"/>
    </row>
    <row r="1290" spans="1:27" ht="12.75" customHeight="1">
      <c r="A1290" s="73"/>
      <c r="B1290" s="32"/>
      <c r="C1290" s="32"/>
      <c r="D1290" s="33"/>
      <c r="E1290" s="32"/>
      <c r="F1290" s="32"/>
      <c r="G1290" s="74"/>
      <c r="H1290" s="32"/>
      <c r="I1290" s="32"/>
      <c r="J1290" s="32"/>
      <c r="K1290" s="74"/>
      <c r="L1290" s="35"/>
      <c r="M1290" s="32"/>
      <c r="N1290" s="32"/>
      <c r="O1290" s="59"/>
      <c r="P1290" s="73"/>
      <c r="Q1290" s="73"/>
      <c r="R1290" s="73"/>
      <c r="S1290" s="73"/>
      <c r="T1290" s="73"/>
      <c r="U1290" s="73"/>
      <c r="V1290" s="73"/>
      <c r="W1290" s="73"/>
      <c r="X1290" s="73"/>
      <c r="Y1290" s="73"/>
      <c r="Z1290" s="73"/>
      <c r="AA1290" s="73"/>
    </row>
    <row r="1291" spans="1:27" ht="12.75" customHeight="1">
      <c r="A1291" s="73"/>
      <c r="B1291" s="32"/>
      <c r="C1291" s="32"/>
      <c r="D1291" s="33"/>
      <c r="E1291" s="32"/>
      <c r="F1291" s="32"/>
      <c r="G1291" s="74"/>
      <c r="H1291" s="32"/>
      <c r="I1291" s="32"/>
      <c r="J1291" s="32"/>
      <c r="K1291" s="74"/>
      <c r="L1291" s="35"/>
      <c r="M1291" s="32"/>
      <c r="N1291" s="32"/>
      <c r="O1291" s="59"/>
      <c r="P1291" s="73"/>
      <c r="Q1291" s="73"/>
      <c r="R1291" s="73"/>
      <c r="S1291" s="73"/>
      <c r="T1291" s="73"/>
      <c r="U1291" s="73"/>
      <c r="V1291" s="73"/>
      <c r="W1291" s="73"/>
      <c r="X1291" s="73"/>
      <c r="Y1291" s="73"/>
      <c r="Z1291" s="73"/>
      <c r="AA1291" s="73"/>
    </row>
    <row r="1292" spans="1:27" ht="12.75" customHeight="1">
      <c r="A1292" s="73"/>
      <c r="B1292" s="32"/>
      <c r="C1292" s="32"/>
      <c r="D1292" s="33"/>
      <c r="E1292" s="32"/>
      <c r="F1292" s="32"/>
      <c r="G1292" s="74"/>
      <c r="H1292" s="32"/>
      <c r="I1292" s="32"/>
      <c r="J1292" s="32"/>
      <c r="K1292" s="74"/>
      <c r="L1292" s="35"/>
      <c r="M1292" s="32"/>
      <c r="N1292" s="32"/>
      <c r="O1292" s="59"/>
      <c r="P1292" s="73"/>
      <c r="Q1292" s="73"/>
      <c r="R1292" s="73"/>
      <c r="S1292" s="73"/>
      <c r="T1292" s="73"/>
      <c r="U1292" s="73"/>
      <c r="V1292" s="73"/>
      <c r="W1292" s="73"/>
      <c r="X1292" s="73"/>
      <c r="Y1292" s="73"/>
      <c r="Z1292" s="73"/>
      <c r="AA1292" s="73"/>
    </row>
    <row r="1293" spans="1:27" ht="12.75" customHeight="1">
      <c r="A1293" s="73"/>
      <c r="B1293" s="32"/>
      <c r="C1293" s="32"/>
      <c r="D1293" s="33"/>
      <c r="E1293" s="32"/>
      <c r="F1293" s="32"/>
      <c r="G1293" s="74"/>
      <c r="H1293" s="32"/>
      <c r="I1293" s="32"/>
      <c r="J1293" s="32"/>
      <c r="K1293" s="74"/>
      <c r="L1293" s="35"/>
      <c r="M1293" s="32"/>
      <c r="N1293" s="32"/>
      <c r="O1293" s="59"/>
      <c r="P1293" s="73"/>
      <c r="Q1293" s="73"/>
      <c r="R1293" s="73"/>
      <c r="S1293" s="73"/>
      <c r="T1293" s="73"/>
      <c r="U1293" s="73"/>
      <c r="V1293" s="73"/>
      <c r="W1293" s="73"/>
      <c r="X1293" s="73"/>
      <c r="Y1293" s="73"/>
      <c r="Z1293" s="73"/>
      <c r="AA1293" s="73"/>
    </row>
    <row r="1294" spans="1:27" ht="12.75" customHeight="1">
      <c r="A1294" s="73"/>
      <c r="B1294" s="32"/>
      <c r="C1294" s="32"/>
      <c r="D1294" s="33"/>
      <c r="E1294" s="32"/>
      <c r="F1294" s="32"/>
      <c r="G1294" s="74"/>
      <c r="H1294" s="32"/>
      <c r="I1294" s="32"/>
      <c r="J1294" s="32"/>
      <c r="K1294" s="74"/>
      <c r="L1294" s="35"/>
      <c r="M1294" s="32"/>
      <c r="N1294" s="32"/>
      <c r="O1294" s="59"/>
      <c r="P1294" s="73"/>
      <c r="Q1294" s="73"/>
      <c r="R1294" s="73"/>
      <c r="S1294" s="73"/>
      <c r="T1294" s="73"/>
      <c r="U1294" s="73"/>
      <c r="V1294" s="73"/>
      <c r="W1294" s="73"/>
      <c r="X1294" s="73"/>
      <c r="Y1294" s="73"/>
      <c r="Z1294" s="73"/>
      <c r="AA1294" s="73"/>
    </row>
    <row r="1295" spans="1:27" ht="12.75" customHeight="1">
      <c r="A1295" s="73"/>
      <c r="B1295" s="32"/>
      <c r="C1295" s="32"/>
      <c r="D1295" s="33"/>
      <c r="E1295" s="32"/>
      <c r="F1295" s="32"/>
      <c r="G1295" s="74"/>
      <c r="H1295" s="32"/>
      <c r="I1295" s="32"/>
      <c r="J1295" s="32"/>
      <c r="K1295" s="74"/>
      <c r="L1295" s="35"/>
      <c r="M1295" s="32"/>
      <c r="N1295" s="32"/>
      <c r="O1295" s="59"/>
      <c r="P1295" s="73"/>
      <c r="Q1295" s="73"/>
      <c r="R1295" s="73"/>
      <c r="S1295" s="73"/>
      <c r="T1295" s="73"/>
      <c r="U1295" s="73"/>
      <c r="V1295" s="73"/>
      <c r="W1295" s="73"/>
      <c r="X1295" s="73"/>
      <c r="Y1295" s="73"/>
      <c r="Z1295" s="73"/>
      <c r="AA1295" s="73"/>
    </row>
    <row r="1296" spans="1:27" ht="12.75" customHeight="1">
      <c r="A1296" s="73"/>
      <c r="B1296" s="32"/>
      <c r="C1296" s="32"/>
      <c r="D1296" s="33"/>
      <c r="E1296" s="32"/>
      <c r="F1296" s="32"/>
      <c r="G1296" s="74"/>
      <c r="H1296" s="32"/>
      <c r="I1296" s="32"/>
      <c r="J1296" s="32"/>
      <c r="K1296" s="74"/>
      <c r="L1296" s="35"/>
      <c r="M1296" s="32"/>
      <c r="N1296" s="32"/>
      <c r="O1296" s="59"/>
      <c r="P1296" s="73"/>
      <c r="Q1296" s="73"/>
      <c r="R1296" s="73"/>
      <c r="S1296" s="73"/>
      <c r="T1296" s="73"/>
      <c r="U1296" s="73"/>
      <c r="V1296" s="73"/>
      <c r="W1296" s="73"/>
      <c r="X1296" s="73"/>
      <c r="Y1296" s="73"/>
      <c r="Z1296" s="73"/>
      <c r="AA1296" s="73"/>
    </row>
    <row r="1297" spans="1:27" ht="12.75" customHeight="1">
      <c r="A1297" s="73"/>
      <c r="B1297" s="32"/>
      <c r="C1297" s="32"/>
      <c r="D1297" s="33"/>
      <c r="E1297" s="32"/>
      <c r="F1297" s="32"/>
      <c r="G1297" s="74"/>
      <c r="H1297" s="32"/>
      <c r="I1297" s="32"/>
      <c r="J1297" s="32"/>
      <c r="K1297" s="74"/>
      <c r="L1297" s="35"/>
      <c r="M1297" s="32"/>
      <c r="N1297" s="32"/>
      <c r="O1297" s="59"/>
      <c r="P1297" s="73"/>
      <c r="Q1297" s="73"/>
      <c r="R1297" s="73"/>
      <c r="S1297" s="73"/>
      <c r="T1297" s="73"/>
      <c r="U1297" s="73"/>
      <c r="V1297" s="73"/>
      <c r="W1297" s="73"/>
      <c r="X1297" s="73"/>
      <c r="Y1297" s="73"/>
      <c r="Z1297" s="73"/>
      <c r="AA1297" s="73"/>
    </row>
    <row r="1298" spans="1:27" ht="12.75" customHeight="1">
      <c r="A1298" s="73"/>
      <c r="B1298" s="32"/>
      <c r="C1298" s="32"/>
      <c r="D1298" s="33"/>
      <c r="E1298" s="32"/>
      <c r="F1298" s="32"/>
      <c r="G1298" s="74"/>
      <c r="H1298" s="32"/>
      <c r="I1298" s="32"/>
      <c r="J1298" s="32"/>
      <c r="K1298" s="74"/>
      <c r="L1298" s="35"/>
      <c r="M1298" s="32"/>
      <c r="N1298" s="32"/>
      <c r="O1298" s="59"/>
      <c r="P1298" s="73"/>
      <c r="Q1298" s="73"/>
      <c r="R1298" s="73"/>
      <c r="S1298" s="73"/>
      <c r="T1298" s="73"/>
      <c r="U1298" s="73"/>
      <c r="V1298" s="73"/>
      <c r="W1298" s="73"/>
      <c r="X1298" s="73"/>
      <c r="Y1298" s="73"/>
      <c r="Z1298" s="73"/>
      <c r="AA1298" s="73"/>
    </row>
    <row r="1299" spans="1:27" ht="12.75" customHeight="1">
      <c r="A1299" s="73"/>
      <c r="B1299" s="32"/>
      <c r="C1299" s="32"/>
      <c r="D1299" s="33"/>
      <c r="E1299" s="32"/>
      <c r="F1299" s="32"/>
      <c r="G1299" s="74"/>
      <c r="H1299" s="32"/>
      <c r="I1299" s="32"/>
      <c r="J1299" s="32"/>
      <c r="K1299" s="74"/>
      <c r="L1299" s="35"/>
      <c r="M1299" s="32"/>
      <c r="N1299" s="32"/>
      <c r="O1299" s="59"/>
      <c r="P1299" s="73"/>
      <c r="Q1299" s="73"/>
      <c r="R1299" s="73"/>
      <c r="S1299" s="73"/>
      <c r="T1299" s="73"/>
      <c r="U1299" s="73"/>
      <c r="V1299" s="73"/>
      <c r="W1299" s="73"/>
      <c r="X1299" s="73"/>
      <c r="Y1299" s="73"/>
      <c r="Z1299" s="73"/>
      <c r="AA1299" s="73"/>
    </row>
    <row r="1300" spans="1:27" ht="12.75" customHeight="1">
      <c r="A1300" s="73"/>
      <c r="B1300" s="32"/>
      <c r="C1300" s="32"/>
      <c r="D1300" s="33"/>
      <c r="E1300" s="32"/>
      <c r="F1300" s="32"/>
      <c r="G1300" s="74"/>
      <c r="H1300" s="32"/>
      <c r="I1300" s="32"/>
      <c r="J1300" s="32"/>
      <c r="K1300" s="74"/>
      <c r="L1300" s="35"/>
      <c r="M1300" s="32"/>
      <c r="N1300" s="32"/>
      <c r="O1300" s="59"/>
      <c r="P1300" s="73"/>
      <c r="Q1300" s="73"/>
      <c r="R1300" s="73"/>
      <c r="S1300" s="73"/>
      <c r="T1300" s="73"/>
      <c r="U1300" s="73"/>
      <c r="V1300" s="73"/>
      <c r="W1300" s="73"/>
      <c r="X1300" s="73"/>
      <c r="Y1300" s="73"/>
      <c r="Z1300" s="73"/>
      <c r="AA1300" s="73"/>
    </row>
    <row r="1301" spans="1:27" ht="12.75" customHeight="1">
      <c r="A1301" s="73"/>
      <c r="B1301" s="32"/>
      <c r="C1301" s="32"/>
      <c r="D1301" s="33"/>
      <c r="E1301" s="32"/>
      <c r="F1301" s="32"/>
      <c r="G1301" s="74"/>
      <c r="H1301" s="32"/>
      <c r="I1301" s="32"/>
      <c r="J1301" s="32"/>
      <c r="K1301" s="74"/>
      <c r="L1301" s="35"/>
      <c r="M1301" s="32"/>
      <c r="N1301" s="32"/>
      <c r="O1301" s="59"/>
      <c r="P1301" s="73"/>
      <c r="Q1301" s="73"/>
      <c r="R1301" s="73"/>
      <c r="S1301" s="73"/>
      <c r="T1301" s="73"/>
      <c r="U1301" s="73"/>
      <c r="V1301" s="73"/>
      <c r="W1301" s="73"/>
      <c r="X1301" s="73"/>
      <c r="Y1301" s="73"/>
      <c r="Z1301" s="73"/>
      <c r="AA1301" s="73"/>
    </row>
    <row r="1302" spans="1:27" ht="12.75" customHeight="1">
      <c r="A1302" s="73"/>
      <c r="B1302" s="32"/>
      <c r="C1302" s="32"/>
      <c r="D1302" s="33"/>
      <c r="E1302" s="32"/>
      <c r="F1302" s="32"/>
      <c r="G1302" s="74"/>
      <c r="H1302" s="32"/>
      <c r="I1302" s="32"/>
      <c r="J1302" s="32"/>
      <c r="K1302" s="74"/>
      <c r="L1302" s="35"/>
      <c r="M1302" s="32"/>
      <c r="N1302" s="32"/>
      <c r="O1302" s="59"/>
      <c r="P1302" s="73"/>
      <c r="Q1302" s="73"/>
      <c r="R1302" s="73"/>
      <c r="S1302" s="73"/>
      <c r="T1302" s="73"/>
      <c r="U1302" s="73"/>
      <c r="V1302" s="73"/>
      <c r="W1302" s="73"/>
      <c r="X1302" s="73"/>
      <c r="Y1302" s="73"/>
      <c r="Z1302" s="73"/>
      <c r="AA1302" s="73"/>
    </row>
    <row r="1303" spans="1:27" ht="12.75" customHeight="1">
      <c r="A1303" s="73"/>
      <c r="B1303" s="32"/>
      <c r="C1303" s="32"/>
      <c r="D1303" s="33"/>
      <c r="E1303" s="32"/>
      <c r="F1303" s="32"/>
      <c r="G1303" s="74"/>
      <c r="H1303" s="32"/>
      <c r="I1303" s="32"/>
      <c r="J1303" s="32"/>
      <c r="K1303" s="74"/>
      <c r="L1303" s="35"/>
      <c r="M1303" s="32"/>
      <c r="N1303" s="32"/>
      <c r="O1303" s="59"/>
      <c r="P1303" s="73"/>
      <c r="Q1303" s="73"/>
      <c r="R1303" s="73"/>
      <c r="S1303" s="73"/>
      <c r="T1303" s="73"/>
      <c r="U1303" s="73"/>
      <c r="V1303" s="73"/>
      <c r="W1303" s="73"/>
      <c r="X1303" s="73"/>
      <c r="Y1303" s="73"/>
      <c r="Z1303" s="73"/>
      <c r="AA1303" s="73"/>
    </row>
    <row r="1304" spans="1:27" ht="12.75" customHeight="1">
      <c r="A1304" s="73"/>
      <c r="B1304" s="32"/>
      <c r="C1304" s="32"/>
      <c r="D1304" s="33"/>
      <c r="E1304" s="32"/>
      <c r="F1304" s="32"/>
      <c r="G1304" s="74"/>
      <c r="H1304" s="32"/>
      <c r="I1304" s="32"/>
      <c r="J1304" s="32"/>
      <c r="K1304" s="74"/>
      <c r="L1304" s="35"/>
      <c r="M1304" s="32"/>
      <c r="N1304" s="32"/>
      <c r="O1304" s="59"/>
      <c r="P1304" s="73"/>
      <c r="Q1304" s="73"/>
      <c r="R1304" s="73"/>
      <c r="S1304" s="73"/>
      <c r="T1304" s="73"/>
      <c r="U1304" s="73"/>
      <c r="V1304" s="73"/>
      <c r="W1304" s="73"/>
      <c r="X1304" s="73"/>
      <c r="Y1304" s="73"/>
      <c r="Z1304" s="73"/>
      <c r="AA1304" s="73"/>
    </row>
    <row r="1305" spans="1:27" ht="12.75" customHeight="1">
      <c r="A1305" s="73"/>
      <c r="B1305" s="32"/>
      <c r="C1305" s="32"/>
      <c r="D1305" s="33"/>
      <c r="E1305" s="32"/>
      <c r="F1305" s="32"/>
      <c r="G1305" s="74"/>
      <c r="H1305" s="32"/>
      <c r="I1305" s="32"/>
      <c r="J1305" s="32"/>
      <c r="K1305" s="74"/>
      <c r="L1305" s="35"/>
      <c r="M1305" s="32"/>
      <c r="N1305" s="32"/>
      <c r="O1305" s="59"/>
      <c r="P1305" s="73"/>
      <c r="Q1305" s="73"/>
      <c r="R1305" s="73"/>
      <c r="S1305" s="73"/>
      <c r="T1305" s="73"/>
      <c r="U1305" s="73"/>
      <c r="V1305" s="73"/>
      <c r="W1305" s="73"/>
      <c r="X1305" s="73"/>
      <c r="Y1305" s="73"/>
      <c r="Z1305" s="73"/>
      <c r="AA1305" s="73"/>
    </row>
    <row r="1306" spans="1:27" ht="12.75" customHeight="1">
      <c r="A1306" s="73"/>
      <c r="B1306" s="32"/>
      <c r="C1306" s="32"/>
      <c r="D1306" s="33"/>
      <c r="E1306" s="32"/>
      <c r="F1306" s="32"/>
      <c r="G1306" s="74"/>
      <c r="H1306" s="32"/>
      <c r="I1306" s="32"/>
      <c r="J1306" s="32"/>
      <c r="K1306" s="74"/>
      <c r="L1306" s="35"/>
      <c r="M1306" s="32"/>
      <c r="N1306" s="32"/>
      <c r="O1306" s="59"/>
      <c r="P1306" s="73"/>
      <c r="Q1306" s="73"/>
      <c r="R1306" s="73"/>
      <c r="S1306" s="73"/>
      <c r="T1306" s="73"/>
      <c r="U1306" s="73"/>
      <c r="V1306" s="73"/>
      <c r="W1306" s="73"/>
      <c r="X1306" s="73"/>
      <c r="Y1306" s="73"/>
      <c r="Z1306" s="73"/>
      <c r="AA1306" s="73"/>
    </row>
    <row r="1307" spans="1:27" ht="12.75" customHeight="1">
      <c r="A1307" s="73"/>
      <c r="B1307" s="32"/>
      <c r="C1307" s="32"/>
      <c r="D1307" s="33"/>
      <c r="E1307" s="32"/>
      <c r="F1307" s="32"/>
      <c r="G1307" s="74"/>
      <c r="H1307" s="32"/>
      <c r="I1307" s="32"/>
      <c r="J1307" s="32"/>
      <c r="K1307" s="74"/>
      <c r="L1307" s="35"/>
      <c r="M1307" s="32"/>
      <c r="N1307" s="32"/>
      <c r="O1307" s="59"/>
      <c r="P1307" s="73"/>
      <c r="Q1307" s="73"/>
      <c r="R1307" s="73"/>
      <c r="S1307" s="73"/>
      <c r="T1307" s="73"/>
      <c r="U1307" s="73"/>
      <c r="V1307" s="73"/>
      <c r="W1307" s="73"/>
      <c r="X1307" s="73"/>
      <c r="Y1307" s="73"/>
      <c r="Z1307" s="73"/>
      <c r="AA1307" s="73"/>
    </row>
    <row r="1308" spans="1:27" ht="12.75" customHeight="1">
      <c r="A1308" s="73"/>
      <c r="B1308" s="32"/>
      <c r="C1308" s="32"/>
      <c r="D1308" s="33"/>
      <c r="E1308" s="32"/>
      <c r="F1308" s="32"/>
      <c r="G1308" s="74"/>
      <c r="H1308" s="32"/>
      <c r="I1308" s="32"/>
      <c r="J1308" s="32"/>
      <c r="K1308" s="74"/>
      <c r="L1308" s="35"/>
      <c r="M1308" s="32"/>
      <c r="N1308" s="32"/>
      <c r="O1308" s="59"/>
      <c r="P1308" s="73"/>
      <c r="Q1308" s="73"/>
      <c r="R1308" s="73"/>
      <c r="S1308" s="73"/>
      <c r="T1308" s="73"/>
      <c r="U1308" s="73"/>
      <c r="V1308" s="73"/>
      <c r="W1308" s="73"/>
      <c r="X1308" s="73"/>
      <c r="Y1308" s="73"/>
      <c r="Z1308" s="73"/>
      <c r="AA1308" s="73"/>
    </row>
    <row r="1309" spans="1:27" ht="12.75" customHeight="1">
      <c r="A1309" s="73"/>
      <c r="B1309" s="32"/>
      <c r="C1309" s="32"/>
      <c r="D1309" s="33"/>
      <c r="E1309" s="32"/>
      <c r="F1309" s="32"/>
      <c r="G1309" s="74"/>
      <c r="H1309" s="32"/>
      <c r="I1309" s="32"/>
      <c r="J1309" s="32"/>
      <c r="K1309" s="74"/>
      <c r="L1309" s="35"/>
      <c r="M1309" s="32"/>
      <c r="N1309" s="32"/>
      <c r="O1309" s="59"/>
      <c r="P1309" s="73"/>
      <c r="Q1309" s="73"/>
      <c r="R1309" s="73"/>
      <c r="S1309" s="73"/>
      <c r="T1309" s="73"/>
      <c r="U1309" s="73"/>
      <c r="V1309" s="73"/>
      <c r="W1309" s="73"/>
      <c r="X1309" s="73"/>
      <c r="Y1309" s="73"/>
      <c r="Z1309" s="73"/>
      <c r="AA1309" s="73"/>
    </row>
    <row r="1310" spans="1:27" ht="12.75" customHeight="1">
      <c r="A1310" s="73"/>
      <c r="B1310" s="32"/>
      <c r="C1310" s="32"/>
      <c r="D1310" s="33"/>
      <c r="E1310" s="32"/>
      <c r="F1310" s="32"/>
      <c r="G1310" s="74"/>
      <c r="H1310" s="32"/>
      <c r="I1310" s="32"/>
      <c r="J1310" s="32"/>
      <c r="K1310" s="74"/>
      <c r="L1310" s="35"/>
      <c r="M1310" s="32"/>
      <c r="N1310" s="32"/>
      <c r="O1310" s="59"/>
      <c r="P1310" s="73"/>
      <c r="Q1310" s="73"/>
      <c r="R1310" s="73"/>
      <c r="S1310" s="73"/>
      <c r="T1310" s="73"/>
      <c r="U1310" s="73"/>
      <c r="V1310" s="73"/>
      <c r="W1310" s="73"/>
      <c r="X1310" s="73"/>
      <c r="Y1310" s="73"/>
      <c r="Z1310" s="73"/>
      <c r="AA1310" s="73"/>
    </row>
    <row r="1311" spans="1:27" ht="12.75" customHeight="1">
      <c r="A1311" s="73"/>
      <c r="B1311" s="32"/>
      <c r="C1311" s="32"/>
      <c r="D1311" s="33"/>
      <c r="E1311" s="32"/>
      <c r="F1311" s="32"/>
      <c r="G1311" s="74"/>
      <c r="H1311" s="32"/>
      <c r="I1311" s="32"/>
      <c r="J1311" s="32"/>
      <c r="K1311" s="74"/>
      <c r="L1311" s="35"/>
      <c r="M1311" s="32"/>
      <c r="N1311" s="32"/>
      <c r="O1311" s="59"/>
      <c r="P1311" s="73"/>
      <c r="Q1311" s="73"/>
      <c r="R1311" s="73"/>
      <c r="S1311" s="73"/>
      <c r="T1311" s="73"/>
      <c r="U1311" s="73"/>
      <c r="V1311" s="73"/>
      <c r="W1311" s="73"/>
      <c r="X1311" s="73"/>
      <c r="Y1311" s="73"/>
      <c r="Z1311" s="73"/>
      <c r="AA1311" s="73"/>
    </row>
    <row r="1312" spans="1:27" ht="12.75" customHeight="1">
      <c r="A1312" s="73"/>
      <c r="B1312" s="32"/>
      <c r="C1312" s="32"/>
      <c r="D1312" s="33"/>
      <c r="E1312" s="32"/>
      <c r="F1312" s="32"/>
      <c r="G1312" s="74"/>
      <c r="H1312" s="32"/>
      <c r="I1312" s="32"/>
      <c r="J1312" s="32"/>
      <c r="K1312" s="74"/>
      <c r="L1312" s="35"/>
      <c r="M1312" s="32"/>
      <c r="N1312" s="32"/>
      <c r="O1312" s="59"/>
      <c r="P1312" s="73"/>
      <c r="Q1312" s="73"/>
      <c r="R1312" s="73"/>
      <c r="S1312" s="73"/>
      <c r="T1312" s="73"/>
      <c r="U1312" s="73"/>
      <c r="V1312" s="73"/>
      <c r="W1312" s="73"/>
      <c r="X1312" s="73"/>
      <c r="Y1312" s="73"/>
      <c r="Z1312" s="73"/>
      <c r="AA1312" s="73"/>
    </row>
    <row r="1313" spans="1:27" ht="12.75" customHeight="1">
      <c r="A1313" s="73"/>
      <c r="B1313" s="32"/>
      <c r="C1313" s="32"/>
      <c r="D1313" s="33"/>
      <c r="E1313" s="32"/>
      <c r="F1313" s="32"/>
      <c r="G1313" s="74"/>
      <c r="H1313" s="32"/>
      <c r="I1313" s="32"/>
      <c r="J1313" s="32"/>
      <c r="K1313" s="74"/>
      <c r="L1313" s="35"/>
      <c r="M1313" s="32"/>
      <c r="N1313" s="32"/>
      <c r="O1313" s="59"/>
      <c r="P1313" s="73"/>
      <c r="Q1313" s="73"/>
      <c r="R1313" s="73"/>
      <c r="S1313" s="73"/>
      <c r="T1313" s="73"/>
      <c r="U1313" s="73"/>
      <c r="V1313" s="73"/>
      <c r="W1313" s="73"/>
      <c r="X1313" s="73"/>
      <c r="Y1313" s="73"/>
      <c r="Z1313" s="73"/>
      <c r="AA1313" s="73"/>
    </row>
    <row r="1314" spans="1:27" ht="12.75" customHeight="1">
      <c r="A1314" s="73"/>
      <c r="B1314" s="32"/>
      <c r="C1314" s="32"/>
      <c r="D1314" s="33"/>
      <c r="E1314" s="32"/>
      <c r="F1314" s="32"/>
      <c r="G1314" s="74"/>
      <c r="H1314" s="32"/>
      <c r="I1314" s="32"/>
      <c r="J1314" s="32"/>
      <c r="K1314" s="74"/>
      <c r="L1314" s="35"/>
      <c r="M1314" s="32"/>
      <c r="N1314" s="32"/>
      <c r="O1314" s="59"/>
      <c r="P1314" s="73"/>
      <c r="Q1314" s="73"/>
      <c r="R1314" s="73"/>
      <c r="S1314" s="73"/>
      <c r="T1314" s="73"/>
      <c r="U1314" s="73"/>
      <c r="V1314" s="73"/>
      <c r="W1314" s="73"/>
      <c r="X1314" s="73"/>
      <c r="Y1314" s="73"/>
      <c r="Z1314" s="73"/>
      <c r="AA1314" s="73"/>
    </row>
    <row r="1315" spans="1:27" ht="12.75" customHeight="1">
      <c r="A1315" s="73"/>
      <c r="B1315" s="32"/>
      <c r="C1315" s="32"/>
      <c r="D1315" s="33"/>
      <c r="E1315" s="32"/>
      <c r="F1315" s="32"/>
      <c r="G1315" s="74"/>
      <c r="H1315" s="32"/>
      <c r="I1315" s="32"/>
      <c r="J1315" s="32"/>
      <c r="K1315" s="74"/>
      <c r="L1315" s="35"/>
      <c r="M1315" s="32"/>
      <c r="N1315" s="32"/>
      <c r="O1315" s="59"/>
      <c r="P1315" s="73"/>
      <c r="Q1315" s="73"/>
      <c r="R1315" s="73"/>
      <c r="S1315" s="73"/>
      <c r="T1315" s="73"/>
      <c r="U1315" s="73"/>
      <c r="V1315" s="73"/>
      <c r="W1315" s="73"/>
      <c r="X1315" s="73"/>
      <c r="Y1315" s="73"/>
      <c r="Z1315" s="73"/>
      <c r="AA1315" s="73"/>
    </row>
    <row r="1316" spans="1:27" ht="12.75" customHeight="1">
      <c r="A1316" s="73"/>
      <c r="B1316" s="32"/>
      <c r="C1316" s="32"/>
      <c r="D1316" s="33"/>
      <c r="E1316" s="32"/>
      <c r="F1316" s="32"/>
      <c r="G1316" s="74"/>
      <c r="H1316" s="32"/>
      <c r="I1316" s="32"/>
      <c r="J1316" s="32"/>
      <c r="K1316" s="74"/>
      <c r="L1316" s="35"/>
      <c r="M1316" s="32"/>
      <c r="N1316" s="32"/>
      <c r="O1316" s="59"/>
      <c r="P1316" s="73"/>
      <c r="Q1316" s="73"/>
      <c r="R1316" s="73"/>
      <c r="S1316" s="73"/>
      <c r="T1316" s="73"/>
      <c r="U1316" s="73"/>
      <c r="V1316" s="73"/>
      <c r="W1316" s="73"/>
      <c r="X1316" s="73"/>
      <c r="Y1316" s="73"/>
      <c r="Z1316" s="73"/>
      <c r="AA1316" s="73"/>
    </row>
    <row r="1317" spans="1:27" ht="12.75" customHeight="1">
      <c r="A1317" s="73"/>
      <c r="B1317" s="32"/>
      <c r="C1317" s="32"/>
      <c r="D1317" s="33"/>
      <c r="E1317" s="32"/>
      <c r="F1317" s="32"/>
      <c r="G1317" s="74"/>
      <c r="H1317" s="32"/>
      <c r="I1317" s="32"/>
      <c r="J1317" s="32"/>
      <c r="K1317" s="74"/>
      <c r="L1317" s="35"/>
      <c r="M1317" s="32"/>
      <c r="N1317" s="32"/>
      <c r="O1317" s="59"/>
      <c r="P1317" s="73"/>
      <c r="Q1317" s="73"/>
      <c r="R1317" s="73"/>
      <c r="S1317" s="73"/>
      <c r="T1317" s="73"/>
      <c r="U1317" s="73"/>
      <c r="V1317" s="73"/>
      <c r="W1317" s="73"/>
      <c r="X1317" s="73"/>
      <c r="Y1317" s="73"/>
      <c r="Z1317" s="73"/>
      <c r="AA1317" s="73"/>
    </row>
    <row r="1318" spans="1:27" ht="12.75" customHeight="1">
      <c r="A1318" s="73"/>
      <c r="B1318" s="32"/>
      <c r="C1318" s="32"/>
      <c r="D1318" s="33"/>
      <c r="E1318" s="32"/>
      <c r="F1318" s="32"/>
      <c r="G1318" s="74"/>
      <c r="H1318" s="32"/>
      <c r="I1318" s="32"/>
      <c r="J1318" s="32"/>
      <c r="K1318" s="74"/>
      <c r="L1318" s="35"/>
      <c r="M1318" s="32"/>
      <c r="N1318" s="32"/>
      <c r="O1318" s="59"/>
      <c r="P1318" s="73"/>
      <c r="Q1318" s="73"/>
      <c r="R1318" s="73"/>
      <c r="S1318" s="73"/>
      <c r="T1318" s="73"/>
      <c r="U1318" s="73"/>
      <c r="V1318" s="73"/>
      <c r="W1318" s="73"/>
      <c r="X1318" s="73"/>
      <c r="Y1318" s="73"/>
      <c r="Z1318" s="73"/>
      <c r="AA1318" s="73"/>
    </row>
    <row r="1319" spans="1:27" ht="12.75" customHeight="1">
      <c r="A1319" s="73"/>
      <c r="B1319" s="32"/>
      <c r="C1319" s="32"/>
      <c r="D1319" s="33"/>
      <c r="E1319" s="32"/>
      <c r="F1319" s="32"/>
      <c r="G1319" s="74"/>
      <c r="H1319" s="32"/>
      <c r="I1319" s="32"/>
      <c r="J1319" s="32"/>
      <c r="K1319" s="74"/>
      <c r="L1319" s="35"/>
      <c r="M1319" s="32"/>
      <c r="N1319" s="32"/>
      <c r="O1319" s="59"/>
      <c r="P1319" s="73"/>
      <c r="Q1319" s="73"/>
      <c r="R1319" s="73"/>
      <c r="S1319" s="73"/>
      <c r="T1319" s="73"/>
      <c r="U1319" s="73"/>
      <c r="V1319" s="73"/>
      <c r="W1319" s="73"/>
      <c r="X1319" s="73"/>
      <c r="Y1319" s="73"/>
      <c r="Z1319" s="73"/>
      <c r="AA1319" s="73"/>
    </row>
    <row r="1320" spans="1:27" ht="12.75" customHeight="1">
      <c r="A1320" s="73"/>
      <c r="B1320" s="32"/>
      <c r="C1320" s="32"/>
      <c r="D1320" s="33"/>
      <c r="E1320" s="32"/>
      <c r="F1320" s="32"/>
      <c r="G1320" s="74"/>
      <c r="H1320" s="32"/>
      <c r="I1320" s="32"/>
      <c r="J1320" s="32"/>
      <c r="K1320" s="74"/>
      <c r="L1320" s="35"/>
      <c r="M1320" s="32"/>
      <c r="N1320" s="32"/>
      <c r="O1320" s="59"/>
      <c r="P1320" s="73"/>
      <c r="Q1320" s="73"/>
      <c r="R1320" s="73"/>
      <c r="S1320" s="73"/>
      <c r="T1320" s="73"/>
      <c r="U1320" s="73"/>
      <c r="V1320" s="73"/>
      <c r="W1320" s="73"/>
      <c r="X1320" s="73"/>
      <c r="Y1320" s="73"/>
      <c r="Z1320" s="73"/>
      <c r="AA1320" s="73"/>
    </row>
    <row r="1321" spans="1:27" ht="12.75" customHeight="1">
      <c r="A1321" s="73"/>
      <c r="B1321" s="32"/>
      <c r="C1321" s="32"/>
      <c r="D1321" s="33"/>
      <c r="E1321" s="32"/>
      <c r="F1321" s="32"/>
      <c r="G1321" s="74"/>
      <c r="H1321" s="32"/>
      <c r="I1321" s="32"/>
      <c r="J1321" s="32"/>
      <c r="K1321" s="74"/>
      <c r="L1321" s="35"/>
      <c r="M1321" s="32"/>
      <c r="N1321" s="32"/>
      <c r="O1321" s="59"/>
      <c r="P1321" s="73"/>
      <c r="Q1321" s="73"/>
      <c r="R1321" s="73"/>
      <c r="S1321" s="73"/>
      <c r="T1321" s="73"/>
      <c r="U1321" s="73"/>
      <c r="V1321" s="73"/>
      <c r="W1321" s="73"/>
      <c r="X1321" s="73"/>
      <c r="Y1321" s="73"/>
      <c r="Z1321" s="73"/>
      <c r="AA1321" s="73"/>
    </row>
    <row r="1322" spans="1:27" ht="12.75" customHeight="1">
      <c r="A1322" s="73"/>
      <c r="B1322" s="32"/>
      <c r="C1322" s="32"/>
      <c r="D1322" s="33"/>
      <c r="E1322" s="32"/>
      <c r="F1322" s="32"/>
      <c r="G1322" s="74"/>
      <c r="H1322" s="32"/>
      <c r="I1322" s="32"/>
      <c r="J1322" s="32"/>
      <c r="K1322" s="74"/>
      <c r="L1322" s="35"/>
      <c r="M1322" s="32"/>
      <c r="N1322" s="32"/>
      <c r="O1322" s="59"/>
      <c r="P1322" s="73"/>
      <c r="Q1322" s="73"/>
      <c r="R1322" s="73"/>
      <c r="S1322" s="73"/>
      <c r="T1322" s="73"/>
      <c r="U1322" s="73"/>
      <c r="V1322" s="73"/>
      <c r="W1322" s="73"/>
      <c r="X1322" s="73"/>
      <c r="Y1322" s="73"/>
      <c r="Z1322" s="73"/>
      <c r="AA1322" s="73"/>
    </row>
    <row r="1323" spans="1:27" ht="12.75" customHeight="1">
      <c r="A1323" s="73"/>
      <c r="B1323" s="32"/>
      <c r="C1323" s="32"/>
      <c r="D1323" s="33"/>
      <c r="E1323" s="32"/>
      <c r="F1323" s="32"/>
      <c r="G1323" s="74"/>
      <c r="H1323" s="32"/>
      <c r="I1323" s="32"/>
      <c r="J1323" s="32"/>
      <c r="K1323" s="74"/>
      <c r="L1323" s="35"/>
      <c r="M1323" s="32"/>
      <c r="N1323" s="32"/>
      <c r="O1323" s="59"/>
      <c r="P1323" s="73"/>
      <c r="Q1323" s="73"/>
      <c r="R1323" s="73"/>
      <c r="S1323" s="73"/>
      <c r="T1323" s="73"/>
      <c r="U1323" s="73"/>
      <c r="V1323" s="73"/>
      <c r="W1323" s="73"/>
      <c r="X1323" s="73"/>
      <c r="Y1323" s="73"/>
      <c r="Z1323" s="73"/>
      <c r="AA1323" s="73"/>
    </row>
    <row r="1324" spans="1:27" ht="12.75" customHeight="1">
      <c r="A1324" s="73"/>
      <c r="B1324" s="32"/>
      <c r="C1324" s="32"/>
      <c r="D1324" s="33"/>
      <c r="E1324" s="32"/>
      <c r="F1324" s="32"/>
      <c r="G1324" s="74"/>
      <c r="H1324" s="32"/>
      <c r="I1324" s="32"/>
      <c r="J1324" s="32"/>
      <c r="K1324" s="74"/>
      <c r="L1324" s="35"/>
      <c r="M1324" s="32"/>
      <c r="N1324" s="32"/>
      <c r="O1324" s="59"/>
      <c r="P1324" s="73"/>
      <c r="Q1324" s="73"/>
      <c r="R1324" s="73"/>
      <c r="S1324" s="73"/>
      <c r="T1324" s="73"/>
      <c r="U1324" s="73"/>
      <c r="V1324" s="73"/>
      <c r="W1324" s="73"/>
      <c r="X1324" s="73"/>
      <c r="Y1324" s="73"/>
      <c r="Z1324" s="73"/>
      <c r="AA1324" s="73"/>
    </row>
    <row r="1325" spans="1:27" ht="12.75" customHeight="1">
      <c r="A1325" s="73"/>
      <c r="B1325" s="32"/>
      <c r="C1325" s="32"/>
      <c r="D1325" s="33"/>
      <c r="E1325" s="32"/>
      <c r="F1325" s="32"/>
      <c r="G1325" s="74"/>
      <c r="H1325" s="32"/>
      <c r="I1325" s="32"/>
      <c r="J1325" s="32"/>
      <c r="K1325" s="74"/>
      <c r="L1325" s="35"/>
      <c r="M1325" s="32"/>
      <c r="N1325" s="32"/>
      <c r="O1325" s="59"/>
      <c r="P1325" s="73"/>
      <c r="Q1325" s="73"/>
      <c r="R1325" s="73"/>
      <c r="S1325" s="73"/>
      <c r="T1325" s="73"/>
      <c r="U1325" s="73"/>
      <c r="V1325" s="73"/>
      <c r="W1325" s="73"/>
      <c r="X1325" s="73"/>
      <c r="Y1325" s="73"/>
      <c r="Z1325" s="73"/>
      <c r="AA1325" s="73"/>
    </row>
    <row r="1326" spans="1:27" ht="12.75" customHeight="1">
      <c r="A1326" s="73"/>
      <c r="B1326" s="32"/>
      <c r="C1326" s="32"/>
      <c r="D1326" s="33"/>
      <c r="E1326" s="32"/>
      <c r="F1326" s="32"/>
      <c r="G1326" s="74"/>
      <c r="H1326" s="32"/>
      <c r="I1326" s="32"/>
      <c r="J1326" s="32"/>
      <c r="K1326" s="74"/>
      <c r="L1326" s="35"/>
      <c r="M1326" s="32"/>
      <c r="N1326" s="32"/>
      <c r="O1326" s="59"/>
      <c r="P1326" s="73"/>
      <c r="Q1326" s="73"/>
      <c r="R1326" s="73"/>
      <c r="S1326" s="73"/>
      <c r="T1326" s="73"/>
      <c r="U1326" s="73"/>
      <c r="V1326" s="73"/>
      <c r="W1326" s="73"/>
      <c r="X1326" s="73"/>
      <c r="Y1326" s="73"/>
      <c r="Z1326" s="73"/>
      <c r="AA1326" s="73"/>
    </row>
    <row r="1327" spans="1:27" ht="12.75" customHeight="1">
      <c r="A1327" s="73"/>
      <c r="B1327" s="32"/>
      <c r="C1327" s="32"/>
      <c r="D1327" s="33"/>
      <c r="E1327" s="32"/>
      <c r="F1327" s="32"/>
      <c r="G1327" s="74"/>
      <c r="H1327" s="32"/>
      <c r="I1327" s="32"/>
      <c r="J1327" s="32"/>
      <c r="K1327" s="74"/>
      <c r="L1327" s="35"/>
      <c r="M1327" s="32"/>
      <c r="N1327" s="32"/>
      <c r="O1327" s="59"/>
      <c r="P1327" s="73"/>
      <c r="Q1327" s="73"/>
      <c r="R1327" s="73"/>
      <c r="S1327" s="73"/>
      <c r="T1327" s="73"/>
      <c r="U1327" s="73"/>
      <c r="V1327" s="73"/>
      <c r="W1327" s="73"/>
      <c r="X1327" s="73"/>
      <c r="Y1327" s="73"/>
      <c r="Z1327" s="73"/>
      <c r="AA1327" s="73"/>
    </row>
    <row r="1328" spans="1:27" ht="12.75" customHeight="1">
      <c r="A1328" s="73"/>
      <c r="B1328" s="32"/>
      <c r="C1328" s="32"/>
      <c r="D1328" s="33"/>
      <c r="E1328" s="32"/>
      <c r="F1328" s="32"/>
      <c r="G1328" s="74"/>
      <c r="H1328" s="32"/>
      <c r="I1328" s="32"/>
      <c r="J1328" s="32"/>
      <c r="K1328" s="74"/>
      <c r="L1328" s="35"/>
      <c r="M1328" s="32"/>
      <c r="N1328" s="32"/>
      <c r="O1328" s="59"/>
      <c r="P1328" s="73"/>
      <c r="Q1328" s="73"/>
      <c r="R1328" s="73"/>
      <c r="S1328" s="73"/>
      <c r="T1328" s="73"/>
      <c r="U1328" s="73"/>
      <c r="V1328" s="73"/>
      <c r="W1328" s="73"/>
      <c r="X1328" s="73"/>
      <c r="Y1328" s="73"/>
      <c r="Z1328" s="73"/>
      <c r="AA1328" s="73"/>
    </row>
    <row r="1329" spans="1:27" ht="12.75" customHeight="1">
      <c r="A1329" s="73"/>
      <c r="B1329" s="32"/>
      <c r="C1329" s="32"/>
      <c r="D1329" s="33"/>
      <c r="E1329" s="32"/>
      <c r="F1329" s="32"/>
      <c r="G1329" s="74"/>
      <c r="H1329" s="32"/>
      <c r="I1329" s="32"/>
      <c r="J1329" s="32"/>
      <c r="K1329" s="74"/>
      <c r="L1329" s="35"/>
      <c r="M1329" s="32"/>
      <c r="N1329" s="32"/>
      <c r="O1329" s="59"/>
      <c r="P1329" s="73"/>
      <c r="Q1329" s="73"/>
      <c r="R1329" s="73"/>
      <c r="S1329" s="73"/>
      <c r="T1329" s="73"/>
      <c r="U1329" s="73"/>
      <c r="V1329" s="73"/>
      <c r="W1329" s="73"/>
      <c r="X1329" s="73"/>
      <c r="Y1329" s="73"/>
      <c r="Z1329" s="73"/>
      <c r="AA1329" s="73"/>
    </row>
    <row r="1330" spans="1:27" ht="12.75" customHeight="1">
      <c r="A1330" s="73"/>
      <c r="B1330" s="32"/>
      <c r="C1330" s="32"/>
      <c r="D1330" s="33"/>
      <c r="E1330" s="32"/>
      <c r="F1330" s="32"/>
      <c r="G1330" s="74"/>
      <c r="H1330" s="32"/>
      <c r="I1330" s="32"/>
      <c r="J1330" s="32"/>
      <c r="K1330" s="74"/>
      <c r="L1330" s="35"/>
      <c r="M1330" s="32"/>
      <c r="N1330" s="32"/>
      <c r="O1330" s="59"/>
      <c r="P1330" s="73"/>
      <c r="Q1330" s="73"/>
      <c r="R1330" s="73"/>
      <c r="S1330" s="73"/>
      <c r="T1330" s="73"/>
      <c r="U1330" s="73"/>
      <c r="V1330" s="73"/>
      <c r="W1330" s="73"/>
      <c r="X1330" s="73"/>
      <c r="Y1330" s="73"/>
      <c r="Z1330" s="73"/>
      <c r="AA1330" s="73"/>
    </row>
    <row r="1331" spans="1:27" ht="12.75" customHeight="1">
      <c r="A1331" s="73"/>
      <c r="B1331" s="32"/>
      <c r="C1331" s="32"/>
      <c r="D1331" s="33"/>
      <c r="E1331" s="32"/>
      <c r="F1331" s="32"/>
      <c r="G1331" s="74"/>
      <c r="H1331" s="32"/>
      <c r="I1331" s="32"/>
      <c r="J1331" s="32"/>
      <c r="K1331" s="74"/>
      <c r="L1331" s="35"/>
      <c r="M1331" s="32"/>
      <c r="N1331" s="32"/>
      <c r="O1331" s="59"/>
      <c r="P1331" s="73"/>
      <c r="Q1331" s="73"/>
      <c r="R1331" s="73"/>
      <c r="S1331" s="73"/>
      <c r="T1331" s="73"/>
      <c r="U1331" s="73"/>
      <c r="V1331" s="73"/>
      <c r="W1331" s="73"/>
      <c r="X1331" s="73"/>
      <c r="Y1331" s="73"/>
      <c r="Z1331" s="73"/>
      <c r="AA1331" s="73"/>
    </row>
    <row r="1332" spans="1:27" ht="12.75" customHeight="1">
      <c r="A1332" s="73"/>
      <c r="B1332" s="32"/>
      <c r="C1332" s="32"/>
      <c r="D1332" s="33"/>
      <c r="E1332" s="32"/>
      <c r="F1332" s="32"/>
      <c r="G1332" s="74"/>
      <c r="H1332" s="32"/>
      <c r="I1332" s="32"/>
      <c r="J1332" s="32"/>
      <c r="K1332" s="74"/>
      <c r="L1332" s="35"/>
      <c r="M1332" s="32"/>
      <c r="N1332" s="32"/>
      <c r="O1332" s="59"/>
      <c r="P1332" s="73"/>
      <c r="Q1332" s="73"/>
      <c r="R1332" s="73"/>
      <c r="S1332" s="73"/>
      <c r="T1332" s="73"/>
      <c r="U1332" s="73"/>
      <c r="V1332" s="73"/>
      <c r="W1332" s="73"/>
      <c r="X1332" s="73"/>
      <c r="Y1332" s="73"/>
      <c r="Z1332" s="73"/>
      <c r="AA1332" s="73"/>
    </row>
    <row r="1333" spans="1:27" ht="12.75" customHeight="1">
      <c r="A1333" s="73"/>
      <c r="B1333" s="32"/>
      <c r="C1333" s="32"/>
      <c r="D1333" s="33"/>
      <c r="E1333" s="32"/>
      <c r="F1333" s="32"/>
      <c r="G1333" s="74"/>
      <c r="H1333" s="32"/>
      <c r="I1333" s="32"/>
      <c r="J1333" s="32"/>
      <c r="K1333" s="74"/>
      <c r="L1333" s="35"/>
      <c r="M1333" s="32"/>
      <c r="N1333" s="32"/>
      <c r="O1333" s="59"/>
      <c r="P1333" s="73"/>
      <c r="Q1333" s="73"/>
      <c r="R1333" s="73"/>
      <c r="S1333" s="73"/>
      <c r="T1333" s="73"/>
      <c r="U1333" s="73"/>
      <c r="V1333" s="73"/>
      <c r="W1333" s="73"/>
      <c r="X1333" s="73"/>
      <c r="Y1333" s="73"/>
      <c r="Z1333" s="73"/>
      <c r="AA1333" s="73"/>
    </row>
    <row r="1334" spans="1:27" ht="12.75" customHeight="1">
      <c r="A1334" s="73"/>
      <c r="B1334" s="32"/>
      <c r="C1334" s="32"/>
      <c r="D1334" s="33"/>
      <c r="E1334" s="32"/>
      <c r="F1334" s="32"/>
      <c r="G1334" s="74"/>
      <c r="H1334" s="32"/>
      <c r="I1334" s="32"/>
      <c r="J1334" s="32"/>
      <c r="K1334" s="74"/>
      <c r="L1334" s="35"/>
      <c r="M1334" s="32"/>
      <c r="N1334" s="32"/>
      <c r="O1334" s="59"/>
      <c r="P1334" s="73"/>
      <c r="Q1334" s="73"/>
      <c r="R1334" s="73"/>
      <c r="S1334" s="73"/>
      <c r="T1334" s="73"/>
      <c r="U1334" s="73"/>
      <c r="V1334" s="73"/>
      <c r="W1334" s="73"/>
      <c r="X1334" s="73"/>
      <c r="Y1334" s="73"/>
      <c r="Z1334" s="73"/>
      <c r="AA1334" s="73"/>
    </row>
    <row r="1335" spans="1:27" ht="12.75" customHeight="1">
      <c r="A1335" s="73"/>
      <c r="B1335" s="32"/>
      <c r="C1335" s="32"/>
      <c r="D1335" s="33"/>
      <c r="E1335" s="32"/>
      <c r="F1335" s="32"/>
      <c r="G1335" s="74"/>
      <c r="H1335" s="32"/>
      <c r="I1335" s="32"/>
      <c r="J1335" s="32"/>
      <c r="K1335" s="74"/>
      <c r="L1335" s="35"/>
      <c r="M1335" s="32"/>
      <c r="N1335" s="32"/>
      <c r="O1335" s="59"/>
      <c r="P1335" s="73"/>
      <c r="Q1335" s="73"/>
      <c r="R1335" s="73"/>
      <c r="S1335" s="73"/>
      <c r="T1335" s="73"/>
      <c r="U1335" s="73"/>
      <c r="V1335" s="73"/>
      <c r="W1335" s="73"/>
      <c r="X1335" s="73"/>
      <c r="Y1335" s="73"/>
      <c r="Z1335" s="73"/>
      <c r="AA1335" s="73"/>
    </row>
    <row r="1336" spans="1:27" ht="12.75" customHeight="1">
      <c r="A1336" s="73"/>
      <c r="B1336" s="32"/>
      <c r="C1336" s="32"/>
      <c r="D1336" s="33"/>
      <c r="E1336" s="32"/>
      <c r="F1336" s="32"/>
      <c r="G1336" s="74"/>
      <c r="H1336" s="32"/>
      <c r="I1336" s="32"/>
      <c r="J1336" s="32"/>
      <c r="K1336" s="74"/>
      <c r="L1336" s="35"/>
      <c r="M1336" s="32"/>
      <c r="N1336" s="32"/>
      <c r="O1336" s="59"/>
      <c r="P1336" s="73"/>
      <c r="Q1336" s="73"/>
      <c r="R1336" s="73"/>
      <c r="S1336" s="73"/>
      <c r="T1336" s="73"/>
      <c r="U1336" s="73"/>
      <c r="V1336" s="73"/>
      <c r="W1336" s="73"/>
      <c r="X1336" s="73"/>
      <c r="Y1336" s="73"/>
      <c r="Z1336" s="73"/>
      <c r="AA1336" s="73"/>
    </row>
    <row r="1337" spans="1:27" ht="12.75" customHeight="1">
      <c r="A1337" s="73"/>
      <c r="B1337" s="32"/>
      <c r="C1337" s="32"/>
      <c r="D1337" s="33"/>
      <c r="E1337" s="32"/>
      <c r="F1337" s="32"/>
      <c r="G1337" s="74"/>
      <c r="H1337" s="32"/>
      <c r="I1337" s="32"/>
      <c r="J1337" s="32"/>
      <c r="K1337" s="74"/>
      <c r="L1337" s="35"/>
      <c r="M1337" s="32"/>
      <c r="N1337" s="32"/>
      <c r="O1337" s="59"/>
      <c r="P1337" s="73"/>
      <c r="Q1337" s="73"/>
      <c r="R1337" s="73"/>
      <c r="S1337" s="73"/>
      <c r="T1337" s="73"/>
      <c r="U1337" s="73"/>
      <c r="V1337" s="73"/>
      <c r="W1337" s="73"/>
      <c r="X1337" s="73"/>
      <c r="Y1337" s="73"/>
      <c r="Z1337" s="73"/>
      <c r="AA1337" s="73"/>
    </row>
    <row r="1338" spans="1:27" ht="12.75" customHeight="1">
      <c r="A1338" s="73"/>
      <c r="B1338" s="32"/>
      <c r="C1338" s="32"/>
      <c r="D1338" s="33"/>
      <c r="E1338" s="32"/>
      <c r="F1338" s="32"/>
      <c r="G1338" s="74"/>
      <c r="H1338" s="32"/>
      <c r="I1338" s="32"/>
      <c r="J1338" s="32"/>
      <c r="K1338" s="74"/>
      <c r="L1338" s="35"/>
      <c r="M1338" s="32"/>
      <c r="N1338" s="32"/>
      <c r="O1338" s="59"/>
      <c r="P1338" s="73"/>
      <c r="Q1338" s="73"/>
      <c r="R1338" s="73"/>
      <c r="S1338" s="73"/>
      <c r="T1338" s="73"/>
      <c r="U1338" s="73"/>
      <c r="V1338" s="73"/>
      <c r="W1338" s="73"/>
      <c r="X1338" s="73"/>
      <c r="Y1338" s="73"/>
      <c r="Z1338" s="73"/>
      <c r="AA1338" s="73"/>
    </row>
    <row r="1339" spans="1:27" ht="12.75" customHeight="1">
      <c r="A1339" s="73"/>
      <c r="B1339" s="32"/>
      <c r="C1339" s="32"/>
      <c r="D1339" s="33"/>
      <c r="E1339" s="32"/>
      <c r="F1339" s="32"/>
      <c r="G1339" s="74"/>
      <c r="H1339" s="32"/>
      <c r="I1339" s="32"/>
      <c r="J1339" s="32"/>
      <c r="K1339" s="74"/>
      <c r="L1339" s="35"/>
      <c r="M1339" s="32"/>
      <c r="N1339" s="32"/>
      <c r="O1339" s="59"/>
      <c r="P1339" s="73"/>
      <c r="Q1339" s="73"/>
      <c r="R1339" s="73"/>
      <c r="S1339" s="73"/>
      <c r="T1339" s="73"/>
      <c r="U1339" s="73"/>
      <c r="V1339" s="73"/>
      <c r="W1339" s="73"/>
      <c r="X1339" s="73"/>
      <c r="Y1339" s="73"/>
      <c r="Z1339" s="73"/>
      <c r="AA1339" s="73"/>
    </row>
    <row r="1340" spans="1:27" ht="12.75" customHeight="1">
      <c r="A1340" s="73"/>
      <c r="B1340" s="32"/>
      <c r="C1340" s="32"/>
      <c r="D1340" s="33"/>
      <c r="E1340" s="32"/>
      <c r="F1340" s="32"/>
      <c r="G1340" s="74"/>
      <c r="H1340" s="32"/>
      <c r="I1340" s="32"/>
      <c r="J1340" s="32"/>
      <c r="K1340" s="74"/>
      <c r="L1340" s="35"/>
      <c r="M1340" s="32"/>
      <c r="N1340" s="32"/>
      <c r="O1340" s="59"/>
      <c r="P1340" s="73"/>
      <c r="Q1340" s="73"/>
      <c r="R1340" s="73"/>
      <c r="S1340" s="73"/>
      <c r="T1340" s="73"/>
      <c r="U1340" s="73"/>
      <c r="V1340" s="73"/>
      <c r="W1340" s="73"/>
      <c r="X1340" s="73"/>
      <c r="Y1340" s="73"/>
      <c r="Z1340" s="73"/>
      <c r="AA1340" s="73"/>
    </row>
    <row r="1341" spans="1:27" ht="12.75" customHeight="1">
      <c r="A1341" s="73"/>
      <c r="B1341" s="32"/>
      <c r="C1341" s="32"/>
      <c r="D1341" s="33"/>
      <c r="E1341" s="32"/>
      <c r="F1341" s="32"/>
      <c r="G1341" s="74"/>
      <c r="H1341" s="32"/>
      <c r="I1341" s="32"/>
      <c r="J1341" s="32"/>
      <c r="K1341" s="74"/>
      <c r="L1341" s="35"/>
      <c r="M1341" s="32"/>
      <c r="N1341" s="32"/>
      <c r="O1341" s="59"/>
      <c r="P1341" s="73"/>
      <c r="Q1341" s="73"/>
      <c r="R1341" s="73"/>
      <c r="S1341" s="73"/>
      <c r="T1341" s="73"/>
      <c r="U1341" s="73"/>
      <c r="V1341" s="73"/>
      <c r="W1341" s="73"/>
      <c r="X1341" s="73"/>
      <c r="Y1341" s="73"/>
      <c r="Z1341" s="73"/>
      <c r="AA1341" s="73"/>
    </row>
    <row r="1342" spans="1:27" ht="12.75" customHeight="1">
      <c r="A1342" s="73"/>
      <c r="B1342" s="32"/>
      <c r="C1342" s="32"/>
      <c r="D1342" s="33"/>
      <c r="E1342" s="32"/>
      <c r="F1342" s="32"/>
      <c r="G1342" s="74"/>
      <c r="H1342" s="32"/>
      <c r="I1342" s="32"/>
      <c r="J1342" s="32"/>
      <c r="K1342" s="74"/>
      <c r="L1342" s="35"/>
      <c r="M1342" s="32"/>
      <c r="N1342" s="32"/>
      <c r="O1342" s="59"/>
      <c r="P1342" s="73"/>
      <c r="Q1342" s="73"/>
      <c r="R1342" s="73"/>
      <c r="S1342" s="73"/>
      <c r="T1342" s="73"/>
      <c r="U1342" s="73"/>
      <c r="V1342" s="73"/>
      <c r="W1342" s="73"/>
      <c r="X1342" s="73"/>
      <c r="Y1342" s="73"/>
      <c r="Z1342" s="73"/>
      <c r="AA1342" s="73"/>
    </row>
    <row r="1343" spans="1:27" ht="12.75" customHeight="1">
      <c r="A1343" s="73"/>
      <c r="B1343" s="32"/>
      <c r="C1343" s="32"/>
      <c r="D1343" s="33"/>
      <c r="E1343" s="32"/>
      <c r="F1343" s="32"/>
      <c r="G1343" s="74"/>
      <c r="H1343" s="32"/>
      <c r="I1343" s="32"/>
      <c r="J1343" s="32"/>
      <c r="K1343" s="74"/>
      <c r="L1343" s="35"/>
      <c r="M1343" s="32"/>
      <c r="N1343" s="32"/>
      <c r="O1343" s="59"/>
      <c r="P1343" s="73"/>
      <c r="Q1343" s="73"/>
      <c r="R1343" s="73"/>
      <c r="S1343" s="73"/>
      <c r="T1343" s="73"/>
      <c r="U1343" s="73"/>
      <c r="V1343" s="73"/>
      <c r="W1343" s="73"/>
      <c r="X1343" s="73"/>
      <c r="Y1343" s="73"/>
      <c r="Z1343" s="73"/>
      <c r="AA1343" s="73"/>
    </row>
    <row r="1344" spans="1:27" ht="12.75" customHeight="1">
      <c r="A1344" s="73"/>
      <c r="B1344" s="32"/>
      <c r="C1344" s="32"/>
      <c r="D1344" s="33"/>
      <c r="E1344" s="32"/>
      <c r="F1344" s="32"/>
      <c r="G1344" s="74"/>
      <c r="H1344" s="32"/>
      <c r="I1344" s="32"/>
      <c r="J1344" s="32"/>
      <c r="K1344" s="74"/>
      <c r="L1344" s="35"/>
      <c r="M1344" s="32"/>
      <c r="N1344" s="32"/>
      <c r="O1344" s="59"/>
      <c r="P1344" s="73"/>
      <c r="Q1344" s="73"/>
      <c r="R1344" s="73"/>
      <c r="S1344" s="73"/>
      <c r="T1344" s="73"/>
      <c r="U1344" s="73"/>
      <c r="V1344" s="73"/>
      <c r="W1344" s="73"/>
      <c r="X1344" s="73"/>
      <c r="Y1344" s="73"/>
      <c r="Z1344" s="73"/>
      <c r="AA1344" s="73"/>
    </row>
    <row r="1345" spans="1:27" ht="12.75" customHeight="1">
      <c r="A1345" s="73"/>
      <c r="B1345" s="32"/>
      <c r="C1345" s="32"/>
      <c r="D1345" s="33"/>
      <c r="E1345" s="32"/>
      <c r="F1345" s="32"/>
      <c r="G1345" s="74"/>
      <c r="H1345" s="32"/>
      <c r="I1345" s="32"/>
      <c r="J1345" s="32"/>
      <c r="K1345" s="74"/>
      <c r="L1345" s="35"/>
      <c r="M1345" s="32"/>
      <c r="N1345" s="32"/>
      <c r="O1345" s="59"/>
      <c r="P1345" s="73"/>
      <c r="Q1345" s="73"/>
      <c r="R1345" s="73"/>
      <c r="S1345" s="73"/>
      <c r="T1345" s="73"/>
      <c r="U1345" s="73"/>
      <c r="V1345" s="73"/>
      <c r="W1345" s="73"/>
      <c r="X1345" s="73"/>
      <c r="Y1345" s="73"/>
      <c r="Z1345" s="73"/>
      <c r="AA1345" s="73"/>
    </row>
    <row r="1346" spans="1:27" ht="12.75" customHeight="1">
      <c r="A1346" s="73"/>
      <c r="B1346" s="32"/>
      <c r="C1346" s="32"/>
      <c r="D1346" s="33"/>
      <c r="E1346" s="32"/>
      <c r="F1346" s="32"/>
      <c r="G1346" s="74"/>
      <c r="H1346" s="32"/>
      <c r="I1346" s="32"/>
      <c r="J1346" s="32"/>
      <c r="K1346" s="74"/>
      <c r="L1346" s="35"/>
      <c r="M1346" s="32"/>
      <c r="N1346" s="32"/>
      <c r="O1346" s="59"/>
      <c r="P1346" s="73"/>
      <c r="Q1346" s="73"/>
      <c r="R1346" s="73"/>
      <c r="S1346" s="73"/>
      <c r="T1346" s="73"/>
      <c r="U1346" s="73"/>
      <c r="V1346" s="73"/>
      <c r="W1346" s="73"/>
      <c r="X1346" s="73"/>
      <c r="Y1346" s="73"/>
      <c r="Z1346" s="73"/>
      <c r="AA1346" s="73"/>
    </row>
    <row r="1347" spans="1:27" ht="12.75" customHeight="1">
      <c r="A1347" s="73"/>
      <c r="B1347" s="32"/>
      <c r="C1347" s="32"/>
      <c r="D1347" s="33"/>
      <c r="E1347" s="32"/>
      <c r="F1347" s="32"/>
      <c r="G1347" s="74"/>
      <c r="H1347" s="32"/>
      <c r="I1347" s="32"/>
      <c r="J1347" s="32"/>
      <c r="K1347" s="74"/>
      <c r="L1347" s="35"/>
      <c r="M1347" s="32"/>
      <c r="N1347" s="32"/>
      <c r="O1347" s="59"/>
      <c r="P1347" s="73"/>
      <c r="Q1347" s="73"/>
      <c r="R1347" s="73"/>
      <c r="S1347" s="73"/>
      <c r="T1347" s="73"/>
      <c r="U1347" s="73"/>
      <c r="V1347" s="73"/>
      <c r="W1347" s="73"/>
      <c r="X1347" s="73"/>
      <c r="Y1347" s="73"/>
      <c r="Z1347" s="73"/>
      <c r="AA1347" s="73"/>
    </row>
    <row r="1348" spans="1:27" ht="12.75" customHeight="1">
      <c r="A1348" s="73"/>
      <c r="B1348" s="32"/>
      <c r="C1348" s="32"/>
      <c r="D1348" s="33"/>
      <c r="E1348" s="32"/>
      <c r="F1348" s="32"/>
      <c r="G1348" s="74"/>
      <c r="H1348" s="32"/>
      <c r="I1348" s="32"/>
      <c r="J1348" s="32"/>
      <c r="K1348" s="74"/>
      <c r="L1348" s="35"/>
      <c r="M1348" s="32"/>
      <c r="N1348" s="32"/>
      <c r="O1348" s="59"/>
      <c r="P1348" s="73"/>
      <c r="Q1348" s="73"/>
      <c r="R1348" s="73"/>
      <c r="S1348" s="73"/>
      <c r="T1348" s="73"/>
      <c r="U1348" s="73"/>
      <c r="V1348" s="73"/>
      <c r="W1348" s="73"/>
      <c r="X1348" s="73"/>
      <c r="Y1348" s="73"/>
      <c r="Z1348" s="73"/>
      <c r="AA1348" s="73"/>
    </row>
    <row r="1349" spans="1:27" ht="12.75" customHeight="1">
      <c r="A1349" s="73"/>
      <c r="B1349" s="32"/>
      <c r="C1349" s="32"/>
      <c r="D1349" s="33"/>
      <c r="E1349" s="32"/>
      <c r="F1349" s="32"/>
      <c r="G1349" s="74"/>
      <c r="H1349" s="32"/>
      <c r="I1349" s="32"/>
      <c r="J1349" s="32"/>
      <c r="K1349" s="74"/>
      <c r="L1349" s="35"/>
      <c r="M1349" s="32"/>
      <c r="N1349" s="32"/>
      <c r="O1349" s="59"/>
      <c r="P1349" s="73"/>
      <c r="Q1349" s="73"/>
      <c r="R1349" s="73"/>
      <c r="S1349" s="73"/>
      <c r="T1349" s="73"/>
      <c r="U1349" s="73"/>
      <c r="V1349" s="73"/>
      <c r="W1349" s="73"/>
      <c r="X1349" s="73"/>
      <c r="Y1349" s="73"/>
      <c r="Z1349" s="73"/>
      <c r="AA1349" s="73"/>
    </row>
    <row r="1350" spans="1:27" ht="12.75" customHeight="1">
      <c r="A1350" s="73"/>
      <c r="B1350" s="32"/>
      <c r="C1350" s="32"/>
      <c r="D1350" s="33"/>
      <c r="E1350" s="32"/>
      <c r="F1350" s="32"/>
      <c r="G1350" s="74"/>
      <c r="H1350" s="32"/>
      <c r="I1350" s="32"/>
      <c r="J1350" s="32"/>
      <c r="K1350" s="74"/>
      <c r="L1350" s="35"/>
      <c r="M1350" s="32"/>
      <c r="N1350" s="32"/>
      <c r="O1350" s="59"/>
      <c r="P1350" s="73"/>
      <c r="Q1350" s="73"/>
      <c r="R1350" s="73"/>
      <c r="S1350" s="73"/>
      <c r="T1350" s="73"/>
      <c r="U1350" s="73"/>
      <c r="V1350" s="73"/>
      <c r="W1350" s="73"/>
      <c r="X1350" s="73"/>
      <c r="Y1350" s="73"/>
      <c r="Z1350" s="73"/>
      <c r="AA1350" s="73"/>
    </row>
    <row r="1351" spans="1:27" ht="12.75" customHeight="1">
      <c r="A1351" s="73"/>
      <c r="B1351" s="32"/>
      <c r="C1351" s="32"/>
      <c r="D1351" s="33"/>
      <c r="E1351" s="32"/>
      <c r="F1351" s="32"/>
      <c r="G1351" s="74"/>
      <c r="H1351" s="32"/>
      <c r="I1351" s="32"/>
      <c r="J1351" s="32"/>
      <c r="K1351" s="74"/>
      <c r="L1351" s="35"/>
      <c r="M1351" s="32"/>
      <c r="N1351" s="32"/>
      <c r="O1351" s="59"/>
      <c r="P1351" s="73"/>
      <c r="Q1351" s="73"/>
      <c r="R1351" s="73"/>
      <c r="S1351" s="73"/>
      <c r="T1351" s="73"/>
      <c r="U1351" s="73"/>
      <c r="V1351" s="73"/>
      <c r="W1351" s="73"/>
      <c r="X1351" s="73"/>
      <c r="Y1351" s="73"/>
      <c r="Z1351" s="73"/>
      <c r="AA1351" s="73"/>
    </row>
    <row r="1352" spans="1:27" ht="12.75" customHeight="1">
      <c r="A1352" s="73"/>
      <c r="B1352" s="32"/>
      <c r="C1352" s="32"/>
      <c r="D1352" s="33"/>
      <c r="E1352" s="32"/>
      <c r="F1352" s="32"/>
      <c r="G1352" s="74"/>
      <c r="H1352" s="32"/>
      <c r="I1352" s="32"/>
      <c r="J1352" s="32"/>
      <c r="K1352" s="74"/>
      <c r="L1352" s="35"/>
      <c r="M1352" s="32"/>
      <c r="N1352" s="32"/>
      <c r="O1352" s="59"/>
      <c r="P1352" s="73"/>
      <c r="Q1352" s="73"/>
      <c r="R1352" s="73"/>
      <c r="S1352" s="73"/>
      <c r="T1352" s="73"/>
      <c r="U1352" s="73"/>
      <c r="V1352" s="73"/>
      <c r="W1352" s="73"/>
      <c r="X1352" s="73"/>
      <c r="Y1352" s="73"/>
      <c r="Z1352" s="73"/>
      <c r="AA1352" s="73"/>
    </row>
    <row r="1353" spans="1:27" ht="12.75" customHeight="1">
      <c r="A1353" s="73"/>
      <c r="B1353" s="32"/>
      <c r="C1353" s="32"/>
      <c r="D1353" s="33"/>
      <c r="E1353" s="32"/>
      <c r="F1353" s="32"/>
      <c r="G1353" s="74"/>
      <c r="H1353" s="32"/>
      <c r="I1353" s="32"/>
      <c r="J1353" s="32"/>
      <c r="K1353" s="74"/>
      <c r="L1353" s="35"/>
      <c r="M1353" s="32"/>
      <c r="N1353" s="32"/>
      <c r="O1353" s="59"/>
      <c r="P1353" s="73"/>
      <c r="Q1353" s="73"/>
      <c r="R1353" s="73"/>
      <c r="S1353" s="73"/>
      <c r="T1353" s="73"/>
      <c r="U1353" s="73"/>
      <c r="V1353" s="73"/>
      <c r="W1353" s="73"/>
      <c r="X1353" s="73"/>
      <c r="Y1353" s="73"/>
      <c r="Z1353" s="73"/>
      <c r="AA1353" s="73"/>
    </row>
    <row r="1354" spans="1:27" ht="12.75" customHeight="1">
      <c r="A1354" s="73"/>
      <c r="B1354" s="32"/>
      <c r="C1354" s="32"/>
      <c r="D1354" s="33"/>
      <c r="E1354" s="32"/>
      <c r="F1354" s="32"/>
      <c r="G1354" s="74"/>
      <c r="H1354" s="32"/>
      <c r="I1354" s="32"/>
      <c r="J1354" s="32"/>
      <c r="K1354" s="74"/>
      <c r="L1354" s="35"/>
      <c r="M1354" s="32"/>
      <c r="N1354" s="32"/>
      <c r="O1354" s="59"/>
      <c r="P1354" s="73"/>
      <c r="Q1354" s="73"/>
      <c r="R1354" s="73"/>
      <c r="S1354" s="73"/>
      <c r="T1354" s="73"/>
      <c r="U1354" s="73"/>
      <c r="V1354" s="73"/>
      <c r="W1354" s="73"/>
      <c r="X1354" s="73"/>
      <c r="Y1354" s="73"/>
      <c r="Z1354" s="73"/>
      <c r="AA1354" s="73"/>
    </row>
    <row r="1355" spans="1:27" ht="12.75" customHeight="1">
      <c r="A1355" s="73"/>
      <c r="B1355" s="32"/>
      <c r="C1355" s="32"/>
      <c r="D1355" s="33"/>
      <c r="E1355" s="32"/>
      <c r="F1355" s="32"/>
      <c r="G1355" s="74"/>
      <c r="H1355" s="32"/>
      <c r="I1355" s="32"/>
      <c r="J1355" s="32"/>
      <c r="K1355" s="74"/>
      <c r="L1355" s="35"/>
      <c r="M1355" s="32"/>
      <c r="N1355" s="32"/>
      <c r="O1355" s="59"/>
      <c r="P1355" s="73"/>
      <c r="Q1355" s="73"/>
      <c r="R1355" s="73"/>
      <c r="S1355" s="73"/>
      <c r="T1355" s="73"/>
      <c r="U1355" s="73"/>
      <c r="V1355" s="73"/>
      <c r="W1355" s="73"/>
      <c r="X1355" s="73"/>
      <c r="Y1355" s="73"/>
      <c r="Z1355" s="73"/>
      <c r="AA1355" s="73"/>
    </row>
    <row r="1356" spans="1:27" ht="12.75" customHeight="1">
      <c r="A1356" s="73"/>
      <c r="B1356" s="32"/>
      <c r="C1356" s="32"/>
      <c r="D1356" s="33"/>
      <c r="E1356" s="32"/>
      <c r="F1356" s="32"/>
      <c r="G1356" s="74"/>
      <c r="H1356" s="32"/>
      <c r="I1356" s="32"/>
      <c r="J1356" s="32"/>
      <c r="K1356" s="74"/>
      <c r="L1356" s="35"/>
      <c r="M1356" s="32"/>
      <c r="N1356" s="32"/>
      <c r="O1356" s="59"/>
      <c r="P1356" s="73"/>
      <c r="Q1356" s="73"/>
      <c r="R1356" s="73"/>
      <c r="S1356" s="73"/>
      <c r="T1356" s="73"/>
      <c r="U1356" s="73"/>
      <c r="V1356" s="73"/>
      <c r="W1356" s="73"/>
      <c r="X1356" s="73"/>
      <c r="Y1356" s="73"/>
      <c r="Z1356" s="73"/>
      <c r="AA1356" s="73"/>
    </row>
    <row r="1357" spans="1:27" ht="12.75" customHeight="1">
      <c r="A1357" s="73"/>
      <c r="B1357" s="32"/>
      <c r="C1357" s="32"/>
      <c r="D1357" s="33"/>
      <c r="E1357" s="32"/>
      <c r="F1357" s="32"/>
      <c r="G1357" s="74"/>
      <c r="H1357" s="32"/>
      <c r="I1357" s="32"/>
      <c r="J1357" s="32"/>
      <c r="K1357" s="74"/>
      <c r="L1357" s="35"/>
      <c r="M1357" s="32"/>
      <c r="N1357" s="32"/>
      <c r="O1357" s="59"/>
      <c r="P1357" s="73"/>
      <c r="Q1357" s="73"/>
      <c r="R1357" s="73"/>
      <c r="S1357" s="73"/>
      <c r="T1357" s="73"/>
      <c r="U1357" s="73"/>
      <c r="V1357" s="73"/>
      <c r="W1357" s="73"/>
      <c r="X1357" s="73"/>
      <c r="Y1357" s="73"/>
      <c r="Z1357" s="73"/>
      <c r="AA1357" s="73"/>
    </row>
    <row r="1358" spans="1:27" ht="12.75" customHeight="1">
      <c r="A1358" s="73"/>
      <c r="B1358" s="32"/>
      <c r="C1358" s="32"/>
      <c r="D1358" s="33"/>
      <c r="E1358" s="32"/>
      <c r="F1358" s="32"/>
      <c r="G1358" s="74"/>
      <c r="H1358" s="32"/>
      <c r="I1358" s="32"/>
      <c r="J1358" s="32"/>
      <c r="K1358" s="74"/>
      <c r="L1358" s="35"/>
      <c r="M1358" s="32"/>
      <c r="N1358" s="32"/>
      <c r="O1358" s="59"/>
      <c r="P1358" s="73"/>
      <c r="Q1358" s="73"/>
      <c r="R1358" s="73"/>
      <c r="S1358" s="73"/>
      <c r="T1358" s="73"/>
      <c r="U1358" s="73"/>
      <c r="V1358" s="73"/>
      <c r="W1358" s="73"/>
      <c r="X1358" s="73"/>
      <c r="Y1358" s="73"/>
      <c r="Z1358" s="73"/>
      <c r="AA1358" s="73"/>
    </row>
    <row r="1359" spans="1:27" ht="12.75" customHeight="1">
      <c r="A1359" s="73"/>
      <c r="B1359" s="32"/>
      <c r="C1359" s="32"/>
      <c r="D1359" s="33"/>
      <c r="E1359" s="32"/>
      <c r="F1359" s="32"/>
      <c r="G1359" s="74"/>
      <c r="H1359" s="32"/>
      <c r="I1359" s="32"/>
      <c r="J1359" s="32"/>
      <c r="K1359" s="74"/>
      <c r="L1359" s="35"/>
      <c r="M1359" s="32"/>
      <c r="N1359" s="32"/>
      <c r="O1359" s="59"/>
      <c r="P1359" s="73"/>
      <c r="Q1359" s="73"/>
      <c r="R1359" s="73"/>
      <c r="S1359" s="73"/>
      <c r="T1359" s="73"/>
      <c r="U1359" s="73"/>
      <c r="V1359" s="73"/>
      <c r="W1359" s="73"/>
      <c r="X1359" s="73"/>
      <c r="Y1359" s="73"/>
      <c r="Z1359" s="73"/>
      <c r="AA1359" s="73"/>
    </row>
    <row r="1360" spans="1:27" ht="12.75" customHeight="1">
      <c r="A1360" s="73"/>
      <c r="B1360" s="32"/>
      <c r="C1360" s="32"/>
      <c r="D1360" s="33"/>
      <c r="E1360" s="32"/>
      <c r="F1360" s="32"/>
      <c r="G1360" s="74"/>
      <c r="H1360" s="32"/>
      <c r="I1360" s="32"/>
      <c r="J1360" s="32"/>
      <c r="K1360" s="74"/>
      <c r="L1360" s="35"/>
      <c r="M1360" s="32"/>
      <c r="N1360" s="32"/>
      <c r="O1360" s="59"/>
      <c r="P1360" s="73"/>
      <c r="Q1360" s="73"/>
      <c r="R1360" s="73"/>
      <c r="S1360" s="73"/>
      <c r="T1360" s="73"/>
      <c r="U1360" s="73"/>
      <c r="V1360" s="73"/>
      <c r="W1360" s="73"/>
      <c r="X1360" s="73"/>
      <c r="Y1360" s="73"/>
      <c r="Z1360" s="73"/>
      <c r="AA1360" s="73"/>
    </row>
    <row r="1361" spans="1:27" ht="12.75" customHeight="1">
      <c r="A1361" s="73"/>
      <c r="B1361" s="32"/>
      <c r="C1361" s="32"/>
      <c r="D1361" s="33"/>
      <c r="E1361" s="32"/>
      <c r="F1361" s="32"/>
      <c r="G1361" s="74"/>
      <c r="H1361" s="32"/>
      <c r="I1361" s="32"/>
      <c r="J1361" s="32"/>
      <c r="K1361" s="74"/>
      <c r="L1361" s="35"/>
      <c r="M1361" s="32"/>
      <c r="N1361" s="32"/>
      <c r="O1361" s="59"/>
      <c r="P1361" s="73"/>
      <c r="Q1361" s="73"/>
      <c r="R1361" s="73"/>
      <c r="S1361" s="73"/>
      <c r="T1361" s="73"/>
      <c r="U1361" s="73"/>
      <c r="V1361" s="73"/>
      <c r="W1361" s="73"/>
      <c r="X1361" s="73"/>
      <c r="Y1361" s="73"/>
      <c r="Z1361" s="73"/>
      <c r="AA1361" s="73"/>
    </row>
    <row r="1362" spans="1:27" ht="12.75" customHeight="1">
      <c r="A1362" s="73"/>
      <c r="B1362" s="32"/>
      <c r="C1362" s="32"/>
      <c r="D1362" s="33"/>
      <c r="E1362" s="32"/>
      <c r="F1362" s="32"/>
      <c r="G1362" s="74"/>
      <c r="H1362" s="32"/>
      <c r="I1362" s="32"/>
      <c r="J1362" s="32"/>
      <c r="K1362" s="74"/>
      <c r="L1362" s="35"/>
      <c r="M1362" s="32"/>
      <c r="N1362" s="32"/>
      <c r="O1362" s="59"/>
      <c r="P1362" s="73"/>
      <c r="Q1362" s="73"/>
      <c r="R1362" s="73"/>
      <c r="S1362" s="73"/>
      <c r="T1362" s="73"/>
      <c r="U1362" s="73"/>
      <c r="V1362" s="73"/>
      <c r="W1362" s="73"/>
      <c r="X1362" s="73"/>
      <c r="Y1362" s="73"/>
      <c r="Z1362" s="73"/>
      <c r="AA1362" s="73"/>
    </row>
    <row r="1363" spans="1:27" ht="12.75" customHeight="1">
      <c r="A1363" s="73"/>
      <c r="B1363" s="32"/>
      <c r="C1363" s="32"/>
      <c r="D1363" s="33"/>
      <c r="E1363" s="32"/>
      <c r="F1363" s="32"/>
      <c r="G1363" s="74"/>
      <c r="H1363" s="32"/>
      <c r="I1363" s="32"/>
      <c r="J1363" s="32"/>
      <c r="K1363" s="74"/>
      <c r="L1363" s="35"/>
      <c r="M1363" s="32"/>
      <c r="N1363" s="32"/>
      <c r="O1363" s="59"/>
      <c r="P1363" s="73"/>
      <c r="Q1363" s="73"/>
      <c r="R1363" s="73"/>
      <c r="S1363" s="73"/>
      <c r="T1363" s="73"/>
      <c r="U1363" s="73"/>
      <c r="V1363" s="73"/>
      <c r="W1363" s="73"/>
      <c r="X1363" s="73"/>
      <c r="Y1363" s="73"/>
      <c r="Z1363" s="73"/>
      <c r="AA1363" s="73"/>
    </row>
    <row r="1364" spans="1:27" ht="12.75" customHeight="1">
      <c r="A1364" s="73"/>
      <c r="B1364" s="32"/>
      <c r="C1364" s="32"/>
      <c r="D1364" s="33"/>
      <c r="E1364" s="32"/>
      <c r="F1364" s="32"/>
      <c r="G1364" s="74"/>
      <c r="H1364" s="32"/>
      <c r="I1364" s="32"/>
      <c r="J1364" s="32"/>
      <c r="K1364" s="74"/>
      <c r="L1364" s="35"/>
      <c r="M1364" s="32"/>
      <c r="N1364" s="32"/>
      <c r="O1364" s="59"/>
      <c r="P1364" s="73"/>
      <c r="Q1364" s="73"/>
      <c r="R1364" s="73"/>
      <c r="S1364" s="73"/>
      <c r="T1364" s="73"/>
      <c r="U1364" s="73"/>
      <c r="V1364" s="73"/>
      <c r="W1364" s="73"/>
      <c r="X1364" s="73"/>
      <c r="Y1364" s="73"/>
      <c r="Z1364" s="73"/>
      <c r="AA1364" s="73"/>
    </row>
    <row r="1365" spans="1:27" ht="12.75" customHeight="1">
      <c r="A1365" s="73"/>
      <c r="B1365" s="32"/>
      <c r="C1365" s="32"/>
      <c r="D1365" s="33"/>
      <c r="E1365" s="32"/>
      <c r="F1365" s="32"/>
      <c r="G1365" s="74"/>
      <c r="H1365" s="32"/>
      <c r="I1365" s="32"/>
      <c r="J1365" s="32"/>
      <c r="K1365" s="74"/>
      <c r="L1365" s="35"/>
      <c r="M1365" s="32"/>
      <c r="N1365" s="32"/>
      <c r="O1365" s="59"/>
      <c r="P1365" s="73"/>
      <c r="Q1365" s="73"/>
      <c r="R1365" s="73"/>
      <c r="S1365" s="73"/>
      <c r="T1365" s="73"/>
      <c r="U1365" s="73"/>
      <c r="V1365" s="73"/>
      <c r="W1365" s="73"/>
      <c r="X1365" s="73"/>
      <c r="Y1365" s="73"/>
      <c r="Z1365" s="73"/>
      <c r="AA1365" s="73"/>
    </row>
    <row r="1366" spans="1:27" ht="12.75" customHeight="1">
      <c r="A1366" s="73"/>
      <c r="B1366" s="32"/>
      <c r="C1366" s="32"/>
      <c r="D1366" s="33"/>
      <c r="E1366" s="32"/>
      <c r="F1366" s="32"/>
      <c r="G1366" s="74"/>
      <c r="H1366" s="32"/>
      <c r="I1366" s="32"/>
      <c r="J1366" s="32"/>
      <c r="K1366" s="74"/>
      <c r="L1366" s="35"/>
      <c r="M1366" s="32"/>
      <c r="N1366" s="32"/>
      <c r="O1366" s="59"/>
      <c r="P1366" s="73"/>
      <c r="Q1366" s="73"/>
      <c r="R1366" s="73"/>
      <c r="S1366" s="73"/>
      <c r="T1366" s="73"/>
      <c r="U1366" s="73"/>
      <c r="V1366" s="73"/>
      <c r="W1366" s="73"/>
      <c r="X1366" s="73"/>
      <c r="Y1366" s="73"/>
      <c r="Z1366" s="73"/>
      <c r="AA1366" s="73"/>
    </row>
    <row r="1367" spans="1:27" ht="12.75" customHeight="1">
      <c r="A1367" s="73"/>
      <c r="B1367" s="32"/>
      <c r="C1367" s="32"/>
      <c r="D1367" s="33"/>
      <c r="E1367" s="32"/>
      <c r="F1367" s="32"/>
      <c r="G1367" s="74"/>
      <c r="H1367" s="32"/>
      <c r="I1367" s="32"/>
      <c r="J1367" s="32"/>
      <c r="K1367" s="74"/>
      <c r="L1367" s="35"/>
      <c r="M1367" s="32"/>
      <c r="N1367" s="32"/>
      <c r="O1367" s="59"/>
      <c r="P1367" s="73"/>
      <c r="Q1367" s="73"/>
      <c r="R1367" s="73"/>
      <c r="S1367" s="73"/>
      <c r="T1367" s="73"/>
      <c r="U1367" s="73"/>
      <c r="V1367" s="73"/>
      <c r="W1367" s="73"/>
      <c r="X1367" s="73"/>
      <c r="Y1367" s="73"/>
      <c r="Z1367" s="73"/>
      <c r="AA1367" s="73"/>
    </row>
    <row r="1368" spans="1:27" ht="12.75" customHeight="1">
      <c r="A1368" s="73"/>
      <c r="B1368" s="32"/>
      <c r="C1368" s="32"/>
      <c r="D1368" s="33"/>
      <c r="E1368" s="32"/>
      <c r="F1368" s="32"/>
      <c r="G1368" s="74"/>
      <c r="H1368" s="32"/>
      <c r="I1368" s="32"/>
      <c r="J1368" s="32"/>
      <c r="K1368" s="74"/>
      <c r="L1368" s="35"/>
      <c r="M1368" s="32"/>
      <c r="N1368" s="32"/>
      <c r="O1368" s="59"/>
      <c r="P1368" s="73"/>
      <c r="Q1368" s="73"/>
      <c r="R1368" s="73"/>
      <c r="S1368" s="73"/>
      <c r="T1368" s="73"/>
      <c r="U1368" s="73"/>
      <c r="V1368" s="73"/>
      <c r="W1368" s="73"/>
      <c r="X1368" s="73"/>
      <c r="Y1368" s="73"/>
      <c r="Z1368" s="73"/>
      <c r="AA1368" s="73"/>
    </row>
    <row r="1369" spans="1:27" ht="12.75" customHeight="1">
      <c r="A1369" s="73"/>
      <c r="B1369" s="32"/>
      <c r="C1369" s="32"/>
      <c r="D1369" s="33"/>
      <c r="E1369" s="32"/>
      <c r="F1369" s="32"/>
      <c r="G1369" s="74"/>
      <c r="H1369" s="32"/>
      <c r="I1369" s="32"/>
      <c r="J1369" s="32"/>
      <c r="K1369" s="74"/>
      <c r="L1369" s="35"/>
      <c r="M1369" s="32"/>
      <c r="N1369" s="32"/>
      <c r="O1369" s="59"/>
      <c r="P1369" s="73"/>
      <c r="Q1369" s="73"/>
      <c r="R1369" s="73"/>
      <c r="S1369" s="73"/>
      <c r="T1369" s="73"/>
      <c r="U1369" s="73"/>
      <c r="V1369" s="73"/>
      <c r="W1369" s="73"/>
      <c r="X1369" s="73"/>
      <c r="Y1369" s="73"/>
      <c r="Z1369" s="73"/>
      <c r="AA1369" s="73"/>
    </row>
    <row r="1370" spans="1:27" ht="12.75" customHeight="1">
      <c r="A1370" s="73"/>
      <c r="B1370" s="32"/>
      <c r="C1370" s="32"/>
      <c r="D1370" s="33"/>
      <c r="E1370" s="32"/>
      <c r="F1370" s="32"/>
      <c r="G1370" s="74"/>
      <c r="H1370" s="32"/>
      <c r="I1370" s="32"/>
      <c r="J1370" s="32"/>
      <c r="K1370" s="74"/>
      <c r="L1370" s="35"/>
      <c r="M1370" s="32"/>
      <c r="N1370" s="32"/>
      <c r="O1370" s="59"/>
      <c r="P1370" s="73"/>
      <c r="Q1370" s="73"/>
      <c r="R1370" s="73"/>
      <c r="S1370" s="73"/>
      <c r="T1370" s="73"/>
      <c r="U1370" s="73"/>
      <c r="V1370" s="73"/>
      <c r="W1370" s="73"/>
      <c r="X1370" s="73"/>
      <c r="Y1370" s="73"/>
      <c r="Z1370" s="73"/>
      <c r="AA1370" s="73"/>
    </row>
    <row r="1371" spans="1:27" ht="12.75" customHeight="1">
      <c r="A1371" s="73"/>
      <c r="B1371" s="32"/>
      <c r="C1371" s="32"/>
      <c r="D1371" s="33"/>
      <c r="E1371" s="32"/>
      <c r="F1371" s="32"/>
      <c r="G1371" s="74"/>
      <c r="H1371" s="32"/>
      <c r="I1371" s="32"/>
      <c r="J1371" s="32"/>
      <c r="K1371" s="74"/>
      <c r="L1371" s="35"/>
      <c r="M1371" s="32"/>
      <c r="N1371" s="32"/>
      <c r="O1371" s="59"/>
      <c r="P1371" s="73"/>
      <c r="Q1371" s="73"/>
      <c r="R1371" s="73"/>
      <c r="S1371" s="73"/>
      <c r="T1371" s="73"/>
      <c r="U1371" s="73"/>
      <c r="V1371" s="73"/>
      <c r="W1371" s="73"/>
      <c r="X1371" s="73"/>
      <c r="Y1371" s="73"/>
      <c r="Z1371" s="73"/>
      <c r="AA1371" s="73"/>
    </row>
    <row r="1372" spans="1:27" ht="12.75" customHeight="1">
      <c r="A1372" s="73"/>
      <c r="B1372" s="32"/>
      <c r="C1372" s="32"/>
      <c r="D1372" s="33"/>
      <c r="E1372" s="32"/>
      <c r="F1372" s="32"/>
      <c r="G1372" s="74"/>
      <c r="H1372" s="32"/>
      <c r="I1372" s="32"/>
      <c r="J1372" s="32"/>
      <c r="K1372" s="74"/>
      <c r="L1372" s="35"/>
      <c r="M1372" s="32"/>
      <c r="N1372" s="32"/>
      <c r="O1372" s="59"/>
      <c r="P1372" s="73"/>
      <c r="Q1372" s="73"/>
      <c r="R1372" s="73"/>
      <c r="S1372" s="73"/>
      <c r="T1372" s="73"/>
      <c r="U1372" s="73"/>
      <c r="V1372" s="73"/>
      <c r="W1372" s="73"/>
      <c r="X1372" s="73"/>
      <c r="Y1372" s="73"/>
      <c r="Z1372" s="73"/>
      <c r="AA1372" s="73"/>
    </row>
    <row r="1373" spans="1:27" ht="12.75" customHeight="1">
      <c r="A1373" s="73"/>
      <c r="B1373" s="32"/>
      <c r="C1373" s="32"/>
      <c r="D1373" s="33"/>
      <c r="E1373" s="32"/>
      <c r="F1373" s="32"/>
      <c r="G1373" s="74"/>
      <c r="H1373" s="32"/>
      <c r="I1373" s="32"/>
      <c r="J1373" s="32"/>
      <c r="K1373" s="74"/>
      <c r="L1373" s="35"/>
      <c r="M1373" s="32"/>
      <c r="N1373" s="32"/>
      <c r="O1373" s="59"/>
      <c r="P1373" s="73"/>
      <c r="Q1373" s="73"/>
      <c r="R1373" s="73"/>
      <c r="S1373" s="73"/>
      <c r="T1373" s="73"/>
      <c r="U1373" s="73"/>
      <c r="V1373" s="73"/>
      <c r="W1373" s="73"/>
      <c r="X1373" s="73"/>
      <c r="Y1373" s="73"/>
      <c r="Z1373" s="73"/>
      <c r="AA1373" s="73"/>
    </row>
    <row r="1374" spans="1:27" ht="12.75" customHeight="1">
      <c r="A1374" s="73"/>
      <c r="B1374" s="32"/>
      <c r="C1374" s="32"/>
      <c r="D1374" s="33"/>
      <c r="E1374" s="32"/>
      <c r="F1374" s="32"/>
      <c r="G1374" s="74"/>
      <c r="H1374" s="32"/>
      <c r="I1374" s="32"/>
      <c r="J1374" s="32"/>
      <c r="K1374" s="74"/>
      <c r="L1374" s="35"/>
      <c r="M1374" s="32"/>
      <c r="N1374" s="32"/>
      <c r="O1374" s="59"/>
      <c r="P1374" s="73"/>
      <c r="Q1374" s="73"/>
      <c r="R1374" s="73"/>
      <c r="S1374" s="73"/>
      <c r="T1374" s="73"/>
      <c r="U1374" s="73"/>
      <c r="V1374" s="73"/>
      <c r="W1374" s="73"/>
      <c r="X1374" s="73"/>
      <c r="Y1374" s="73"/>
      <c r="Z1374" s="73"/>
      <c r="AA1374" s="73"/>
    </row>
    <row r="1375" spans="1:27" ht="12.75" customHeight="1">
      <c r="A1375" s="73"/>
      <c r="B1375" s="32"/>
      <c r="C1375" s="32"/>
      <c r="D1375" s="33"/>
      <c r="E1375" s="32"/>
      <c r="F1375" s="32"/>
      <c r="G1375" s="74"/>
      <c r="H1375" s="32"/>
      <c r="I1375" s="32"/>
      <c r="J1375" s="32"/>
      <c r="K1375" s="74"/>
      <c r="L1375" s="35"/>
      <c r="M1375" s="32"/>
      <c r="N1375" s="32"/>
      <c r="O1375" s="59"/>
      <c r="P1375" s="73"/>
      <c r="Q1375" s="73"/>
      <c r="R1375" s="73"/>
      <c r="S1375" s="73"/>
      <c r="T1375" s="73"/>
      <c r="U1375" s="73"/>
      <c r="V1375" s="73"/>
      <c r="W1375" s="73"/>
      <c r="X1375" s="73"/>
      <c r="Y1375" s="73"/>
      <c r="Z1375" s="73"/>
      <c r="AA1375" s="73"/>
    </row>
    <row r="1376" spans="1:27" ht="12.75" customHeight="1">
      <c r="A1376" s="73"/>
      <c r="B1376" s="32"/>
      <c r="C1376" s="32"/>
      <c r="D1376" s="33"/>
      <c r="E1376" s="32"/>
      <c r="F1376" s="32"/>
      <c r="G1376" s="74"/>
      <c r="H1376" s="32"/>
      <c r="I1376" s="32"/>
      <c r="J1376" s="32"/>
      <c r="K1376" s="74"/>
      <c r="L1376" s="35"/>
      <c r="M1376" s="32"/>
      <c r="N1376" s="32"/>
      <c r="O1376" s="59"/>
      <c r="P1376" s="73"/>
      <c r="Q1376" s="73"/>
      <c r="R1376" s="73"/>
      <c r="S1376" s="73"/>
      <c r="T1376" s="73"/>
      <c r="U1376" s="73"/>
      <c r="V1376" s="73"/>
      <c r="W1376" s="73"/>
      <c r="X1376" s="73"/>
      <c r="Y1376" s="73"/>
      <c r="Z1376" s="73"/>
      <c r="AA1376" s="73"/>
    </row>
    <row r="1377" spans="1:27" ht="12.75" customHeight="1">
      <c r="A1377" s="73"/>
      <c r="B1377" s="32"/>
      <c r="C1377" s="32"/>
      <c r="D1377" s="33"/>
      <c r="E1377" s="32"/>
      <c r="F1377" s="32"/>
      <c r="G1377" s="74"/>
      <c r="H1377" s="32"/>
      <c r="I1377" s="32"/>
      <c r="J1377" s="32"/>
      <c r="K1377" s="74"/>
      <c r="L1377" s="35"/>
      <c r="M1377" s="32"/>
      <c r="N1377" s="32"/>
      <c r="O1377" s="59"/>
      <c r="P1377" s="73"/>
      <c r="Q1377" s="73"/>
      <c r="R1377" s="73"/>
      <c r="S1377" s="73"/>
      <c r="T1377" s="73"/>
      <c r="U1377" s="73"/>
      <c r="V1377" s="73"/>
      <c r="W1377" s="73"/>
      <c r="X1377" s="73"/>
      <c r="Y1377" s="73"/>
      <c r="Z1377" s="73"/>
      <c r="AA1377" s="73"/>
    </row>
    <row r="1378" spans="1:27" ht="12.75" customHeight="1">
      <c r="A1378" s="73"/>
      <c r="B1378" s="32"/>
      <c r="C1378" s="32"/>
      <c r="D1378" s="33"/>
      <c r="E1378" s="32"/>
      <c r="F1378" s="32"/>
      <c r="G1378" s="74"/>
      <c r="H1378" s="32"/>
      <c r="I1378" s="32"/>
      <c r="J1378" s="32"/>
      <c r="K1378" s="74"/>
      <c r="L1378" s="35"/>
      <c r="M1378" s="32"/>
      <c r="N1378" s="32"/>
      <c r="O1378" s="59"/>
      <c r="P1378" s="73"/>
      <c r="Q1378" s="73"/>
      <c r="R1378" s="73"/>
      <c r="S1378" s="73"/>
      <c r="T1378" s="73"/>
      <c r="U1378" s="73"/>
      <c r="V1378" s="73"/>
      <c r="W1378" s="73"/>
      <c r="X1378" s="73"/>
      <c r="Y1378" s="73"/>
      <c r="Z1378" s="73"/>
      <c r="AA1378" s="73"/>
    </row>
    <row r="1379" spans="1:27" ht="12.75" customHeight="1">
      <c r="A1379" s="73"/>
      <c r="B1379" s="32"/>
      <c r="C1379" s="32"/>
      <c r="D1379" s="33"/>
      <c r="E1379" s="32"/>
      <c r="F1379" s="32"/>
      <c r="G1379" s="74"/>
      <c r="H1379" s="32"/>
      <c r="I1379" s="32"/>
      <c r="J1379" s="32"/>
      <c r="K1379" s="74"/>
      <c r="L1379" s="35"/>
      <c r="M1379" s="32"/>
      <c r="N1379" s="32"/>
      <c r="O1379" s="59"/>
      <c r="P1379" s="73"/>
      <c r="Q1379" s="73"/>
      <c r="R1379" s="73"/>
      <c r="S1379" s="73"/>
      <c r="T1379" s="73"/>
      <c r="U1379" s="73"/>
      <c r="V1379" s="73"/>
      <c r="W1379" s="73"/>
      <c r="X1379" s="73"/>
      <c r="Y1379" s="73"/>
      <c r="Z1379" s="73"/>
      <c r="AA1379" s="73"/>
    </row>
    <row r="1380" spans="1:27" ht="12.75" customHeight="1">
      <c r="A1380" s="73"/>
      <c r="B1380" s="32"/>
      <c r="C1380" s="32"/>
      <c r="D1380" s="33"/>
      <c r="E1380" s="32"/>
      <c r="F1380" s="32"/>
      <c r="G1380" s="74"/>
      <c r="H1380" s="32"/>
      <c r="I1380" s="32"/>
      <c r="J1380" s="32"/>
      <c r="K1380" s="74"/>
      <c r="L1380" s="35"/>
      <c r="M1380" s="32"/>
      <c r="N1380" s="32"/>
      <c r="O1380" s="59"/>
      <c r="P1380" s="73"/>
      <c r="Q1380" s="73"/>
      <c r="R1380" s="73"/>
      <c r="S1380" s="73"/>
      <c r="T1380" s="73"/>
      <c r="U1380" s="73"/>
      <c r="V1380" s="73"/>
      <c r="W1380" s="73"/>
      <c r="X1380" s="73"/>
      <c r="Y1380" s="73"/>
      <c r="Z1380" s="73"/>
      <c r="AA1380" s="73"/>
    </row>
    <row r="1381" spans="1:27" ht="12.75" customHeight="1">
      <c r="A1381" s="73"/>
      <c r="B1381" s="32"/>
      <c r="C1381" s="32"/>
      <c r="D1381" s="33"/>
      <c r="E1381" s="32"/>
      <c r="F1381" s="32"/>
      <c r="G1381" s="74"/>
      <c r="H1381" s="32"/>
      <c r="I1381" s="32"/>
      <c r="J1381" s="32"/>
      <c r="K1381" s="74"/>
      <c r="L1381" s="35"/>
      <c r="M1381" s="32"/>
      <c r="N1381" s="32"/>
      <c r="O1381" s="59"/>
      <c r="P1381" s="73"/>
      <c r="Q1381" s="73"/>
      <c r="R1381" s="73"/>
      <c r="S1381" s="73"/>
      <c r="T1381" s="73"/>
      <c r="U1381" s="73"/>
      <c r="V1381" s="73"/>
      <c r="W1381" s="73"/>
      <c r="X1381" s="73"/>
      <c r="Y1381" s="73"/>
      <c r="Z1381" s="73"/>
      <c r="AA1381" s="73"/>
    </row>
    <row r="1382" spans="1:27" ht="12.75" customHeight="1">
      <c r="A1382" s="73"/>
      <c r="B1382" s="32"/>
      <c r="C1382" s="32"/>
      <c r="D1382" s="33"/>
      <c r="E1382" s="32"/>
      <c r="F1382" s="32"/>
      <c r="G1382" s="74"/>
      <c r="H1382" s="32"/>
      <c r="I1382" s="32"/>
      <c r="J1382" s="32"/>
      <c r="K1382" s="74"/>
      <c r="L1382" s="35"/>
      <c r="M1382" s="32"/>
      <c r="N1382" s="32"/>
      <c r="O1382" s="59"/>
      <c r="P1382" s="73"/>
      <c r="Q1382" s="73"/>
      <c r="R1382" s="73"/>
      <c r="S1382" s="73"/>
      <c r="T1382" s="73"/>
      <c r="U1382" s="73"/>
      <c r="V1382" s="73"/>
      <c r="W1382" s="73"/>
      <c r="X1382" s="73"/>
      <c r="Y1382" s="73"/>
      <c r="Z1382" s="73"/>
      <c r="AA1382" s="73"/>
    </row>
    <row r="1383" spans="1:27" ht="12.75" customHeight="1">
      <c r="A1383" s="73"/>
      <c r="B1383" s="32"/>
      <c r="C1383" s="32"/>
      <c r="D1383" s="33"/>
      <c r="E1383" s="32"/>
      <c r="F1383" s="32"/>
      <c r="G1383" s="74"/>
      <c r="H1383" s="32"/>
      <c r="I1383" s="32"/>
      <c r="J1383" s="32"/>
      <c r="K1383" s="74"/>
      <c r="L1383" s="35"/>
      <c r="M1383" s="32"/>
      <c r="N1383" s="32"/>
      <c r="O1383" s="59"/>
      <c r="P1383" s="73"/>
      <c r="Q1383" s="73"/>
      <c r="R1383" s="73"/>
      <c r="S1383" s="73"/>
      <c r="T1383" s="73"/>
      <c r="U1383" s="73"/>
      <c r="V1383" s="73"/>
      <c r="W1383" s="73"/>
      <c r="X1383" s="73"/>
      <c r="Y1383" s="73"/>
      <c r="Z1383" s="73"/>
      <c r="AA1383" s="73"/>
    </row>
    <row r="1384" spans="1:27" ht="12.75" customHeight="1">
      <c r="A1384" s="73"/>
      <c r="B1384" s="32"/>
      <c r="C1384" s="32"/>
      <c r="D1384" s="33"/>
      <c r="E1384" s="32"/>
      <c r="F1384" s="32"/>
      <c r="G1384" s="74"/>
      <c r="H1384" s="32"/>
      <c r="I1384" s="32"/>
      <c r="J1384" s="32"/>
      <c r="K1384" s="74"/>
      <c r="L1384" s="35"/>
      <c r="M1384" s="32"/>
      <c r="N1384" s="32"/>
      <c r="O1384" s="59"/>
      <c r="P1384" s="73"/>
      <c r="Q1384" s="73"/>
      <c r="R1384" s="73"/>
      <c r="S1384" s="73"/>
      <c r="T1384" s="73"/>
      <c r="U1384" s="73"/>
      <c r="V1384" s="73"/>
      <c r="W1384" s="73"/>
      <c r="X1384" s="73"/>
      <c r="Y1384" s="73"/>
      <c r="Z1384" s="73"/>
      <c r="AA1384" s="73"/>
    </row>
    <row r="1385" spans="1:27" ht="12.75" customHeight="1">
      <c r="A1385" s="73"/>
      <c r="B1385" s="32"/>
      <c r="C1385" s="32"/>
      <c r="D1385" s="33"/>
      <c r="E1385" s="32"/>
      <c r="F1385" s="32"/>
      <c r="G1385" s="74"/>
      <c r="H1385" s="32"/>
      <c r="I1385" s="32"/>
      <c r="J1385" s="32"/>
      <c r="K1385" s="74"/>
      <c r="L1385" s="35"/>
      <c r="M1385" s="32"/>
      <c r="N1385" s="32"/>
      <c r="O1385" s="59"/>
      <c r="P1385" s="73"/>
      <c r="Q1385" s="73"/>
      <c r="R1385" s="73"/>
      <c r="S1385" s="73"/>
      <c r="T1385" s="73"/>
      <c r="U1385" s="73"/>
      <c r="V1385" s="73"/>
      <c r="W1385" s="73"/>
      <c r="X1385" s="73"/>
      <c r="Y1385" s="73"/>
      <c r="Z1385" s="73"/>
      <c r="AA1385" s="73"/>
    </row>
    <row r="1386" spans="1:27" ht="12.75" customHeight="1">
      <c r="A1386" s="73"/>
      <c r="B1386" s="32"/>
      <c r="C1386" s="32"/>
      <c r="D1386" s="33"/>
      <c r="E1386" s="32"/>
      <c r="F1386" s="32"/>
      <c r="G1386" s="74"/>
      <c r="H1386" s="32"/>
      <c r="I1386" s="32"/>
      <c r="J1386" s="32"/>
      <c r="K1386" s="74"/>
      <c r="L1386" s="35"/>
      <c r="M1386" s="32"/>
      <c r="N1386" s="32"/>
      <c r="O1386" s="59"/>
      <c r="P1386" s="73"/>
      <c r="Q1386" s="73"/>
      <c r="R1386" s="73"/>
      <c r="S1386" s="73"/>
      <c r="T1386" s="73"/>
      <c r="U1386" s="73"/>
      <c r="V1386" s="73"/>
      <c r="W1386" s="73"/>
      <c r="X1386" s="73"/>
      <c r="Y1386" s="73"/>
      <c r="Z1386" s="73"/>
      <c r="AA1386" s="73"/>
    </row>
    <row r="1387" spans="1:27" ht="12.75" customHeight="1">
      <c r="A1387" s="73"/>
      <c r="B1387" s="32"/>
      <c r="C1387" s="32"/>
      <c r="D1387" s="33"/>
      <c r="E1387" s="32"/>
      <c r="F1387" s="32"/>
      <c r="G1387" s="74"/>
      <c r="H1387" s="32"/>
      <c r="I1387" s="32"/>
      <c r="J1387" s="32"/>
      <c r="K1387" s="74"/>
      <c r="L1387" s="35"/>
      <c r="M1387" s="32"/>
      <c r="N1387" s="32"/>
      <c r="O1387" s="59"/>
      <c r="P1387" s="73"/>
      <c r="Q1387" s="73"/>
      <c r="R1387" s="73"/>
      <c r="S1387" s="73"/>
      <c r="T1387" s="73"/>
      <c r="U1387" s="73"/>
      <c r="V1387" s="73"/>
      <c r="W1387" s="73"/>
      <c r="X1387" s="73"/>
      <c r="Y1387" s="73"/>
      <c r="Z1387" s="73"/>
      <c r="AA1387" s="73"/>
    </row>
    <row r="1388" spans="1:27" ht="12.75" customHeight="1">
      <c r="A1388" s="73"/>
      <c r="B1388" s="32"/>
      <c r="C1388" s="32"/>
      <c r="D1388" s="33"/>
      <c r="E1388" s="32"/>
      <c r="F1388" s="32"/>
      <c r="G1388" s="74"/>
      <c r="H1388" s="32"/>
      <c r="I1388" s="32"/>
      <c r="J1388" s="32"/>
      <c r="K1388" s="74"/>
      <c r="L1388" s="35"/>
      <c r="M1388" s="32"/>
      <c r="N1388" s="32"/>
      <c r="O1388" s="59"/>
      <c r="P1388" s="73"/>
      <c r="Q1388" s="73"/>
      <c r="R1388" s="73"/>
      <c r="S1388" s="73"/>
      <c r="T1388" s="73"/>
      <c r="U1388" s="73"/>
      <c r="V1388" s="73"/>
      <c r="W1388" s="73"/>
      <c r="X1388" s="73"/>
      <c r="Y1388" s="73"/>
      <c r="Z1388" s="73"/>
      <c r="AA1388" s="73"/>
    </row>
    <row r="1389" spans="1:27" ht="12.75" customHeight="1">
      <c r="A1389" s="73"/>
      <c r="B1389" s="32"/>
      <c r="C1389" s="32"/>
      <c r="D1389" s="33"/>
      <c r="E1389" s="32"/>
      <c r="F1389" s="32"/>
      <c r="G1389" s="74"/>
      <c r="H1389" s="32"/>
      <c r="I1389" s="32"/>
      <c r="J1389" s="32"/>
      <c r="K1389" s="74"/>
      <c r="L1389" s="35"/>
      <c r="M1389" s="32"/>
      <c r="N1389" s="32"/>
      <c r="O1389" s="59"/>
      <c r="P1389" s="73"/>
      <c r="Q1389" s="73"/>
      <c r="R1389" s="73"/>
      <c r="S1389" s="73"/>
      <c r="T1389" s="73"/>
      <c r="U1389" s="73"/>
      <c r="V1389" s="73"/>
      <c r="W1389" s="73"/>
      <c r="X1389" s="73"/>
      <c r="Y1389" s="73"/>
      <c r="Z1389" s="73"/>
      <c r="AA1389" s="73"/>
    </row>
    <row r="1390" spans="1:27" ht="12.75" customHeight="1">
      <c r="A1390" s="73"/>
      <c r="B1390" s="32"/>
      <c r="C1390" s="32"/>
      <c r="D1390" s="33"/>
      <c r="E1390" s="32"/>
      <c r="F1390" s="32"/>
      <c r="G1390" s="74"/>
      <c r="H1390" s="32"/>
      <c r="I1390" s="32"/>
      <c r="J1390" s="32"/>
      <c r="K1390" s="74"/>
      <c r="L1390" s="35"/>
      <c r="M1390" s="32"/>
      <c r="N1390" s="32"/>
      <c r="O1390" s="59"/>
      <c r="P1390" s="73"/>
      <c r="Q1390" s="73"/>
      <c r="R1390" s="73"/>
      <c r="S1390" s="73"/>
      <c r="T1390" s="73"/>
      <c r="U1390" s="73"/>
      <c r="V1390" s="73"/>
      <c r="W1390" s="73"/>
      <c r="X1390" s="73"/>
      <c r="Y1390" s="73"/>
      <c r="Z1390" s="73"/>
      <c r="AA1390" s="73"/>
    </row>
    <row r="1391" spans="1:27" ht="12.75" customHeight="1">
      <c r="A1391" s="73"/>
      <c r="B1391" s="32"/>
      <c r="C1391" s="32"/>
      <c r="D1391" s="33"/>
      <c r="E1391" s="32"/>
      <c r="F1391" s="32"/>
      <c r="G1391" s="74"/>
      <c r="H1391" s="32"/>
      <c r="I1391" s="32"/>
      <c r="J1391" s="32"/>
      <c r="K1391" s="74"/>
      <c r="L1391" s="35"/>
      <c r="M1391" s="32"/>
      <c r="N1391" s="32"/>
      <c r="O1391" s="59"/>
      <c r="P1391" s="73"/>
      <c r="Q1391" s="73"/>
      <c r="R1391" s="73"/>
      <c r="S1391" s="73"/>
      <c r="T1391" s="73"/>
      <c r="U1391" s="73"/>
      <c r="V1391" s="73"/>
      <c r="W1391" s="73"/>
      <c r="X1391" s="73"/>
      <c r="Y1391" s="73"/>
      <c r="Z1391" s="73"/>
      <c r="AA1391" s="73"/>
    </row>
    <row r="1392" spans="1:27" ht="12.75" customHeight="1">
      <c r="A1392" s="73"/>
      <c r="B1392" s="32"/>
      <c r="C1392" s="32"/>
      <c r="D1392" s="33"/>
      <c r="E1392" s="32"/>
      <c r="F1392" s="32"/>
      <c r="G1392" s="74"/>
      <c r="H1392" s="32"/>
      <c r="I1392" s="32"/>
      <c r="J1392" s="32"/>
      <c r="K1392" s="74"/>
      <c r="L1392" s="35"/>
      <c r="M1392" s="32"/>
      <c r="N1392" s="32"/>
      <c r="O1392" s="59"/>
      <c r="P1392" s="73"/>
      <c r="Q1392" s="73"/>
      <c r="R1392" s="73"/>
      <c r="S1392" s="73"/>
      <c r="T1392" s="73"/>
      <c r="U1392" s="73"/>
      <c r="V1392" s="73"/>
      <c r="W1392" s="73"/>
      <c r="X1392" s="73"/>
      <c r="Y1392" s="73"/>
      <c r="Z1392" s="73"/>
      <c r="AA1392" s="73"/>
    </row>
    <row r="1393" spans="1:27" ht="12.75" customHeight="1">
      <c r="A1393" s="73"/>
      <c r="B1393" s="32"/>
      <c r="C1393" s="32"/>
      <c r="D1393" s="33"/>
      <c r="E1393" s="32"/>
      <c r="F1393" s="32"/>
      <c r="G1393" s="74"/>
      <c r="H1393" s="32"/>
      <c r="I1393" s="32"/>
      <c r="J1393" s="32"/>
      <c r="K1393" s="74"/>
      <c r="L1393" s="35"/>
      <c r="M1393" s="32"/>
      <c r="N1393" s="32"/>
      <c r="O1393" s="59"/>
      <c r="P1393" s="73"/>
      <c r="Q1393" s="73"/>
      <c r="R1393" s="73"/>
      <c r="S1393" s="73"/>
      <c r="T1393" s="73"/>
      <c r="U1393" s="73"/>
      <c r="V1393" s="73"/>
      <c r="W1393" s="73"/>
      <c r="X1393" s="73"/>
      <c r="Y1393" s="73"/>
      <c r="Z1393" s="73"/>
      <c r="AA1393" s="73"/>
    </row>
    <row r="1394" spans="1:27" ht="12.75" customHeight="1">
      <c r="A1394" s="73"/>
      <c r="B1394" s="32"/>
      <c r="C1394" s="32"/>
      <c r="D1394" s="33"/>
      <c r="E1394" s="32"/>
      <c r="F1394" s="32"/>
      <c r="G1394" s="74"/>
      <c r="H1394" s="32"/>
      <c r="I1394" s="32"/>
      <c r="J1394" s="32"/>
      <c r="K1394" s="74"/>
      <c r="L1394" s="35"/>
      <c r="M1394" s="32"/>
      <c r="N1394" s="32"/>
      <c r="O1394" s="59"/>
      <c r="P1394" s="73"/>
      <c r="Q1394" s="73"/>
      <c r="R1394" s="73"/>
      <c r="S1394" s="73"/>
      <c r="T1394" s="73"/>
      <c r="U1394" s="73"/>
      <c r="V1394" s="73"/>
      <c r="W1394" s="73"/>
      <c r="X1394" s="73"/>
      <c r="Y1394" s="73"/>
      <c r="Z1394" s="73"/>
      <c r="AA1394" s="73"/>
    </row>
    <row r="1395" spans="1:27" ht="12.75" customHeight="1">
      <c r="A1395" s="73"/>
      <c r="B1395" s="32"/>
      <c r="C1395" s="32"/>
      <c r="D1395" s="33"/>
      <c r="E1395" s="32"/>
      <c r="F1395" s="32"/>
      <c r="G1395" s="74"/>
      <c r="H1395" s="32"/>
      <c r="I1395" s="32"/>
      <c r="J1395" s="32"/>
      <c r="K1395" s="74"/>
      <c r="L1395" s="35"/>
      <c r="M1395" s="32"/>
      <c r="N1395" s="32"/>
      <c r="O1395" s="59"/>
      <c r="P1395" s="73"/>
      <c r="Q1395" s="73"/>
      <c r="R1395" s="73"/>
      <c r="S1395" s="73"/>
      <c r="T1395" s="73"/>
      <c r="U1395" s="73"/>
      <c r="V1395" s="73"/>
      <c r="W1395" s="73"/>
      <c r="X1395" s="73"/>
      <c r="Y1395" s="73"/>
      <c r="Z1395" s="73"/>
      <c r="AA1395" s="73"/>
    </row>
    <row r="1396" spans="1:27" ht="12.75" customHeight="1">
      <c r="A1396" s="73"/>
      <c r="B1396" s="32"/>
      <c r="C1396" s="32"/>
      <c r="D1396" s="33"/>
      <c r="E1396" s="32"/>
      <c r="F1396" s="32"/>
      <c r="G1396" s="74"/>
      <c r="H1396" s="32"/>
      <c r="I1396" s="32"/>
      <c r="J1396" s="32"/>
      <c r="K1396" s="74"/>
      <c r="L1396" s="35"/>
      <c r="M1396" s="32"/>
      <c r="N1396" s="32"/>
      <c r="O1396" s="59"/>
      <c r="P1396" s="73"/>
      <c r="Q1396" s="73"/>
      <c r="R1396" s="73"/>
      <c r="S1396" s="73"/>
      <c r="T1396" s="73"/>
      <c r="U1396" s="73"/>
      <c r="V1396" s="73"/>
      <c r="W1396" s="73"/>
      <c r="X1396" s="73"/>
      <c r="Y1396" s="73"/>
      <c r="Z1396" s="73"/>
      <c r="AA1396" s="73"/>
    </row>
    <row r="1397" spans="1:27" ht="12.75" customHeight="1">
      <c r="A1397" s="73"/>
      <c r="B1397" s="32"/>
      <c r="C1397" s="32"/>
      <c r="D1397" s="33"/>
      <c r="E1397" s="32"/>
      <c r="F1397" s="32"/>
      <c r="G1397" s="74"/>
      <c r="H1397" s="32"/>
      <c r="I1397" s="32"/>
      <c r="J1397" s="32"/>
      <c r="K1397" s="74"/>
      <c r="L1397" s="35"/>
      <c r="M1397" s="32"/>
      <c r="N1397" s="32"/>
      <c r="O1397" s="59"/>
      <c r="P1397" s="73"/>
      <c r="Q1397" s="73"/>
      <c r="R1397" s="73"/>
      <c r="S1397" s="73"/>
      <c r="T1397" s="73"/>
      <c r="U1397" s="73"/>
      <c r="V1397" s="73"/>
      <c r="W1397" s="73"/>
      <c r="X1397" s="73"/>
      <c r="Y1397" s="73"/>
      <c r="Z1397" s="73"/>
      <c r="AA1397" s="73"/>
    </row>
    <row r="1398" spans="1:27" ht="12.75" customHeight="1">
      <c r="A1398" s="73"/>
      <c r="B1398" s="32"/>
      <c r="C1398" s="32"/>
      <c r="D1398" s="33"/>
      <c r="E1398" s="32"/>
      <c r="F1398" s="32"/>
      <c r="G1398" s="74"/>
      <c r="H1398" s="32"/>
      <c r="I1398" s="32"/>
      <c r="J1398" s="32"/>
      <c r="K1398" s="74"/>
      <c r="L1398" s="35"/>
      <c r="M1398" s="32"/>
      <c r="N1398" s="32"/>
      <c r="O1398" s="59"/>
      <c r="P1398" s="73"/>
      <c r="Q1398" s="73"/>
      <c r="R1398" s="73"/>
      <c r="S1398" s="73"/>
      <c r="T1398" s="73"/>
      <c r="U1398" s="73"/>
      <c r="V1398" s="73"/>
      <c r="W1398" s="73"/>
      <c r="X1398" s="73"/>
      <c r="Y1398" s="73"/>
      <c r="Z1398" s="73"/>
      <c r="AA1398" s="73"/>
    </row>
    <row r="1399" spans="1:27" ht="12.75" customHeight="1">
      <c r="A1399" s="73"/>
      <c r="B1399" s="32"/>
      <c r="C1399" s="32"/>
      <c r="D1399" s="33"/>
      <c r="E1399" s="32"/>
      <c r="F1399" s="32"/>
      <c r="G1399" s="74"/>
      <c r="H1399" s="32"/>
      <c r="I1399" s="32"/>
      <c r="J1399" s="32"/>
      <c r="K1399" s="74"/>
      <c r="L1399" s="35"/>
      <c r="M1399" s="32"/>
      <c r="N1399" s="32"/>
      <c r="O1399" s="59"/>
      <c r="P1399" s="73"/>
      <c r="Q1399" s="73"/>
      <c r="R1399" s="73"/>
      <c r="S1399" s="73"/>
      <c r="T1399" s="73"/>
      <c r="U1399" s="73"/>
      <c r="V1399" s="73"/>
      <c r="W1399" s="73"/>
      <c r="X1399" s="73"/>
      <c r="Y1399" s="73"/>
      <c r="Z1399" s="73"/>
      <c r="AA1399" s="73"/>
    </row>
    <row r="1400" spans="1:27" ht="12.75" customHeight="1">
      <c r="A1400" s="73"/>
      <c r="B1400" s="32"/>
      <c r="C1400" s="32"/>
      <c r="D1400" s="33"/>
      <c r="E1400" s="32"/>
      <c r="F1400" s="32"/>
      <c r="G1400" s="74"/>
      <c r="H1400" s="32"/>
      <c r="I1400" s="32"/>
      <c r="J1400" s="32"/>
      <c r="K1400" s="74"/>
      <c r="L1400" s="35"/>
      <c r="M1400" s="32"/>
      <c r="N1400" s="32"/>
      <c r="O1400" s="59"/>
      <c r="P1400" s="73"/>
      <c r="Q1400" s="73"/>
      <c r="R1400" s="73"/>
      <c r="S1400" s="73"/>
      <c r="T1400" s="73"/>
      <c r="U1400" s="73"/>
      <c r="V1400" s="73"/>
      <c r="W1400" s="73"/>
      <c r="X1400" s="73"/>
      <c r="Y1400" s="73"/>
      <c r="Z1400" s="73"/>
      <c r="AA1400" s="73"/>
    </row>
    <row r="1401" spans="1:27" ht="12.75" customHeight="1">
      <c r="A1401" s="73"/>
      <c r="B1401" s="32"/>
      <c r="C1401" s="32"/>
      <c r="D1401" s="33"/>
      <c r="E1401" s="32"/>
      <c r="F1401" s="32"/>
      <c r="G1401" s="74"/>
      <c r="H1401" s="32"/>
      <c r="I1401" s="32"/>
      <c r="J1401" s="32"/>
      <c r="K1401" s="74"/>
      <c r="L1401" s="35"/>
      <c r="M1401" s="32"/>
      <c r="N1401" s="32"/>
      <c r="O1401" s="59"/>
      <c r="P1401" s="73"/>
      <c r="Q1401" s="73"/>
      <c r="R1401" s="73"/>
      <c r="S1401" s="73"/>
      <c r="T1401" s="73"/>
      <c r="U1401" s="73"/>
      <c r="V1401" s="73"/>
      <c r="W1401" s="73"/>
      <c r="X1401" s="73"/>
      <c r="Y1401" s="73"/>
      <c r="Z1401" s="73"/>
      <c r="AA1401" s="73"/>
    </row>
    <row r="1402" spans="1:27" ht="12.75" customHeight="1">
      <c r="A1402" s="73"/>
      <c r="B1402" s="32"/>
      <c r="C1402" s="32"/>
      <c r="D1402" s="33"/>
      <c r="E1402" s="32"/>
      <c r="F1402" s="32"/>
      <c r="G1402" s="74"/>
      <c r="H1402" s="32"/>
      <c r="I1402" s="32"/>
      <c r="J1402" s="32"/>
      <c r="K1402" s="74"/>
      <c r="L1402" s="35"/>
      <c r="M1402" s="32"/>
      <c r="N1402" s="32"/>
      <c r="O1402" s="59"/>
      <c r="P1402" s="73"/>
      <c r="Q1402" s="73"/>
      <c r="R1402" s="73"/>
      <c r="S1402" s="73"/>
      <c r="T1402" s="73"/>
      <c r="U1402" s="73"/>
      <c r="V1402" s="73"/>
      <c r="W1402" s="73"/>
      <c r="X1402" s="73"/>
      <c r="Y1402" s="73"/>
      <c r="Z1402" s="73"/>
      <c r="AA1402" s="73"/>
    </row>
    <row r="1403" spans="1:27" ht="12.75" customHeight="1">
      <c r="A1403" s="73"/>
      <c r="B1403" s="32"/>
      <c r="C1403" s="32"/>
      <c r="D1403" s="33"/>
      <c r="E1403" s="32"/>
      <c r="F1403" s="32"/>
      <c r="G1403" s="74"/>
      <c r="H1403" s="32"/>
      <c r="I1403" s="32"/>
      <c r="J1403" s="32"/>
      <c r="K1403" s="74"/>
      <c r="L1403" s="35"/>
      <c r="M1403" s="32"/>
      <c r="N1403" s="32"/>
      <c r="O1403" s="59"/>
      <c r="P1403" s="73"/>
      <c r="Q1403" s="73"/>
      <c r="R1403" s="73"/>
      <c r="S1403" s="73"/>
      <c r="T1403" s="73"/>
      <c r="U1403" s="73"/>
      <c r="V1403" s="73"/>
      <c r="W1403" s="73"/>
      <c r="X1403" s="73"/>
      <c r="Y1403" s="73"/>
      <c r="Z1403" s="73"/>
      <c r="AA1403" s="73"/>
    </row>
    <row r="1404" spans="1:27" ht="12.75" customHeight="1">
      <c r="A1404" s="73"/>
      <c r="B1404" s="32"/>
      <c r="C1404" s="32"/>
      <c r="D1404" s="33"/>
      <c r="E1404" s="32"/>
      <c r="F1404" s="32"/>
      <c r="G1404" s="74"/>
      <c r="H1404" s="32"/>
      <c r="I1404" s="32"/>
      <c r="J1404" s="32"/>
      <c r="K1404" s="74"/>
      <c r="L1404" s="35"/>
      <c r="M1404" s="32"/>
      <c r="N1404" s="32"/>
      <c r="O1404" s="59"/>
      <c r="P1404" s="73"/>
      <c r="Q1404" s="73"/>
      <c r="R1404" s="73"/>
      <c r="S1404" s="73"/>
      <c r="T1404" s="73"/>
      <c r="U1404" s="73"/>
      <c r="V1404" s="73"/>
      <c r="W1404" s="73"/>
      <c r="X1404" s="73"/>
      <c r="Y1404" s="73"/>
      <c r="Z1404" s="73"/>
      <c r="AA1404" s="73"/>
    </row>
    <row r="1405" spans="1:27" ht="12.75" customHeight="1">
      <c r="A1405" s="73"/>
      <c r="B1405" s="32"/>
      <c r="C1405" s="32"/>
      <c r="D1405" s="33"/>
      <c r="E1405" s="32"/>
      <c r="F1405" s="32"/>
      <c r="G1405" s="74"/>
      <c r="H1405" s="32"/>
      <c r="I1405" s="32"/>
      <c r="J1405" s="32"/>
      <c r="K1405" s="74"/>
      <c r="L1405" s="35"/>
      <c r="M1405" s="32"/>
      <c r="N1405" s="32"/>
      <c r="O1405" s="59"/>
      <c r="P1405" s="73"/>
      <c r="Q1405" s="73"/>
      <c r="R1405" s="73"/>
      <c r="S1405" s="73"/>
      <c r="T1405" s="73"/>
      <c r="U1405" s="73"/>
      <c r="V1405" s="73"/>
      <c r="W1405" s="73"/>
      <c r="X1405" s="73"/>
      <c r="Y1405" s="73"/>
      <c r="Z1405" s="73"/>
      <c r="AA1405" s="73"/>
    </row>
    <row r="1406" spans="1:27" ht="12.75" customHeight="1">
      <c r="A1406" s="73"/>
      <c r="B1406" s="32"/>
      <c r="C1406" s="32"/>
      <c r="D1406" s="33"/>
      <c r="E1406" s="32"/>
      <c r="F1406" s="32"/>
      <c r="G1406" s="74"/>
      <c r="H1406" s="32"/>
      <c r="I1406" s="32"/>
      <c r="J1406" s="32"/>
      <c r="K1406" s="74"/>
      <c r="L1406" s="35"/>
      <c r="M1406" s="32"/>
      <c r="N1406" s="32"/>
      <c r="O1406" s="59"/>
      <c r="P1406" s="73"/>
      <c r="Q1406" s="73"/>
      <c r="R1406" s="73"/>
      <c r="S1406" s="73"/>
      <c r="T1406" s="73"/>
      <c r="U1406" s="73"/>
      <c r="V1406" s="73"/>
      <c r="W1406" s="73"/>
      <c r="X1406" s="73"/>
      <c r="Y1406" s="73"/>
      <c r="Z1406" s="73"/>
      <c r="AA1406" s="73"/>
    </row>
    <row r="1407" spans="1:27" ht="12.75" customHeight="1">
      <c r="A1407" s="73"/>
      <c r="B1407" s="32"/>
      <c r="C1407" s="32"/>
      <c r="D1407" s="33"/>
      <c r="E1407" s="32"/>
      <c r="F1407" s="32"/>
      <c r="G1407" s="74"/>
      <c r="H1407" s="32"/>
      <c r="I1407" s="32"/>
      <c r="J1407" s="32"/>
      <c r="K1407" s="74"/>
      <c r="L1407" s="35"/>
      <c r="M1407" s="32"/>
      <c r="N1407" s="32"/>
      <c r="O1407" s="59"/>
      <c r="P1407" s="73"/>
      <c r="Q1407" s="73"/>
      <c r="R1407" s="73"/>
      <c r="S1407" s="73"/>
      <c r="T1407" s="73"/>
      <c r="U1407" s="73"/>
      <c r="V1407" s="73"/>
      <c r="W1407" s="73"/>
      <c r="X1407" s="73"/>
      <c r="Y1407" s="73"/>
      <c r="Z1407" s="73"/>
      <c r="AA1407" s="73"/>
    </row>
    <row r="1408" spans="1:27" ht="12.75" customHeight="1">
      <c r="A1408" s="73"/>
      <c r="B1408" s="32"/>
      <c r="C1408" s="32"/>
      <c r="D1408" s="33"/>
      <c r="E1408" s="32"/>
      <c r="F1408" s="32"/>
      <c r="G1408" s="74"/>
      <c r="H1408" s="32"/>
      <c r="I1408" s="32"/>
      <c r="J1408" s="32"/>
      <c r="K1408" s="74"/>
      <c r="L1408" s="35"/>
      <c r="M1408" s="32"/>
      <c r="N1408" s="32"/>
      <c r="O1408" s="59"/>
      <c r="P1408" s="73"/>
      <c r="Q1408" s="73"/>
      <c r="R1408" s="73"/>
      <c r="S1408" s="73"/>
      <c r="T1408" s="73"/>
      <c r="U1408" s="73"/>
      <c r="V1408" s="73"/>
      <c r="W1408" s="73"/>
      <c r="X1408" s="73"/>
      <c r="Y1408" s="73"/>
      <c r="Z1408" s="73"/>
      <c r="AA1408" s="73"/>
    </row>
    <row r="1409" spans="1:27" ht="12.75" customHeight="1">
      <c r="A1409" s="73"/>
      <c r="B1409" s="32"/>
      <c r="C1409" s="32"/>
      <c r="D1409" s="33"/>
      <c r="E1409" s="32"/>
      <c r="F1409" s="32"/>
      <c r="G1409" s="74"/>
      <c r="H1409" s="32"/>
      <c r="I1409" s="32"/>
      <c r="J1409" s="32"/>
      <c r="K1409" s="74"/>
      <c r="L1409" s="35"/>
      <c r="M1409" s="32"/>
      <c r="N1409" s="32"/>
      <c r="O1409" s="59"/>
      <c r="P1409" s="73"/>
      <c r="Q1409" s="73"/>
      <c r="R1409" s="73"/>
      <c r="S1409" s="73"/>
      <c r="T1409" s="73"/>
      <c r="U1409" s="73"/>
      <c r="V1409" s="73"/>
      <c r="W1409" s="73"/>
      <c r="X1409" s="73"/>
      <c r="Y1409" s="73"/>
      <c r="Z1409" s="73"/>
      <c r="AA1409" s="73"/>
    </row>
    <row r="1410" spans="1:27" ht="12.75" customHeight="1">
      <c r="A1410" s="73"/>
      <c r="B1410" s="32"/>
      <c r="C1410" s="32"/>
      <c r="D1410" s="33"/>
      <c r="E1410" s="32"/>
      <c r="F1410" s="32"/>
      <c r="G1410" s="74"/>
      <c r="H1410" s="32"/>
      <c r="I1410" s="32"/>
      <c r="J1410" s="32"/>
      <c r="K1410" s="74"/>
      <c r="L1410" s="35"/>
      <c r="M1410" s="32"/>
      <c r="N1410" s="32"/>
      <c r="O1410" s="59"/>
      <c r="P1410" s="73"/>
      <c r="Q1410" s="73"/>
      <c r="R1410" s="73"/>
      <c r="S1410" s="73"/>
      <c r="T1410" s="73"/>
      <c r="U1410" s="73"/>
      <c r="V1410" s="73"/>
      <c r="W1410" s="73"/>
      <c r="X1410" s="73"/>
      <c r="Y1410" s="73"/>
      <c r="Z1410" s="73"/>
      <c r="AA1410" s="73"/>
    </row>
    <row r="1411" spans="1:27" ht="12.75" customHeight="1">
      <c r="A1411" s="73"/>
      <c r="B1411" s="32"/>
      <c r="C1411" s="32"/>
      <c r="D1411" s="33"/>
      <c r="E1411" s="32"/>
      <c r="F1411" s="32"/>
      <c r="G1411" s="74"/>
      <c r="H1411" s="32"/>
      <c r="I1411" s="32"/>
      <c r="J1411" s="32"/>
      <c r="K1411" s="74"/>
      <c r="L1411" s="35"/>
      <c r="M1411" s="32"/>
      <c r="N1411" s="32"/>
      <c r="O1411" s="59"/>
      <c r="P1411" s="73"/>
      <c r="Q1411" s="73"/>
      <c r="R1411" s="73"/>
      <c r="S1411" s="73"/>
      <c r="T1411" s="73"/>
      <c r="U1411" s="73"/>
      <c r="V1411" s="73"/>
      <c r="W1411" s="73"/>
      <c r="X1411" s="73"/>
      <c r="Y1411" s="73"/>
      <c r="Z1411" s="73"/>
      <c r="AA1411" s="73"/>
    </row>
    <row r="1412" spans="1:27" ht="12.75" customHeight="1">
      <c r="A1412" s="73"/>
      <c r="B1412" s="32"/>
      <c r="C1412" s="32"/>
      <c r="D1412" s="33"/>
      <c r="E1412" s="32"/>
      <c r="F1412" s="32"/>
      <c r="G1412" s="74"/>
      <c r="H1412" s="32"/>
      <c r="I1412" s="32"/>
      <c r="J1412" s="32"/>
      <c r="K1412" s="74"/>
      <c r="L1412" s="35"/>
      <c r="M1412" s="32"/>
      <c r="N1412" s="32"/>
      <c r="O1412" s="59"/>
      <c r="P1412" s="73"/>
      <c r="Q1412" s="73"/>
      <c r="R1412" s="73"/>
      <c r="S1412" s="73"/>
      <c r="T1412" s="73"/>
      <c r="U1412" s="73"/>
      <c r="V1412" s="73"/>
      <c r="W1412" s="73"/>
      <c r="X1412" s="73"/>
      <c r="Y1412" s="73"/>
      <c r="Z1412" s="73"/>
      <c r="AA1412" s="73"/>
    </row>
    <row r="1413" spans="1:27" ht="12.75" customHeight="1">
      <c r="A1413" s="73"/>
      <c r="B1413" s="32"/>
      <c r="C1413" s="32"/>
      <c r="D1413" s="33"/>
      <c r="E1413" s="32"/>
      <c r="F1413" s="32"/>
      <c r="G1413" s="74"/>
      <c r="H1413" s="32"/>
      <c r="I1413" s="32"/>
      <c r="J1413" s="32"/>
      <c r="K1413" s="74"/>
      <c r="L1413" s="35"/>
      <c r="M1413" s="32"/>
      <c r="N1413" s="32"/>
      <c r="O1413" s="59"/>
      <c r="P1413" s="73"/>
      <c r="Q1413" s="73"/>
      <c r="R1413" s="73"/>
      <c r="S1413" s="73"/>
      <c r="T1413" s="73"/>
      <c r="U1413" s="73"/>
      <c r="V1413" s="73"/>
      <c r="W1413" s="73"/>
      <c r="X1413" s="73"/>
      <c r="Y1413" s="73"/>
      <c r="Z1413" s="73"/>
      <c r="AA1413" s="73"/>
    </row>
    <row r="1414" spans="1:27" ht="12.75" customHeight="1">
      <c r="A1414" s="73"/>
      <c r="B1414" s="32"/>
      <c r="C1414" s="32"/>
      <c r="D1414" s="33"/>
      <c r="E1414" s="32"/>
      <c r="F1414" s="32"/>
      <c r="G1414" s="74"/>
      <c r="H1414" s="32"/>
      <c r="I1414" s="32"/>
      <c r="J1414" s="32"/>
      <c r="K1414" s="74"/>
      <c r="L1414" s="35"/>
      <c r="M1414" s="32"/>
      <c r="N1414" s="32"/>
      <c r="O1414" s="59"/>
      <c r="P1414" s="73"/>
      <c r="Q1414" s="73"/>
      <c r="R1414" s="73"/>
      <c r="S1414" s="73"/>
      <c r="T1414" s="73"/>
      <c r="U1414" s="73"/>
      <c r="V1414" s="73"/>
      <c r="W1414" s="73"/>
      <c r="X1414" s="73"/>
      <c r="Y1414" s="73"/>
      <c r="Z1414" s="73"/>
      <c r="AA1414" s="73"/>
    </row>
    <row r="1415" spans="1:27" ht="12.75" customHeight="1">
      <c r="A1415" s="73"/>
      <c r="B1415" s="32"/>
      <c r="C1415" s="32"/>
      <c r="D1415" s="33"/>
      <c r="E1415" s="32"/>
      <c r="F1415" s="32"/>
      <c r="G1415" s="74"/>
      <c r="H1415" s="32"/>
      <c r="I1415" s="32"/>
      <c r="J1415" s="32"/>
      <c r="K1415" s="74"/>
      <c r="L1415" s="35"/>
      <c r="M1415" s="32"/>
      <c r="N1415" s="32"/>
      <c r="O1415" s="59"/>
      <c r="P1415" s="73"/>
      <c r="Q1415" s="73"/>
      <c r="R1415" s="73"/>
      <c r="S1415" s="73"/>
      <c r="T1415" s="73"/>
      <c r="U1415" s="73"/>
      <c r="V1415" s="73"/>
      <c r="W1415" s="73"/>
      <c r="X1415" s="73"/>
      <c r="Y1415" s="73"/>
      <c r="Z1415" s="73"/>
      <c r="AA1415" s="73"/>
    </row>
    <row r="1416" spans="1:27" ht="12.75" customHeight="1">
      <c r="A1416" s="73"/>
      <c r="B1416" s="32"/>
      <c r="C1416" s="32"/>
      <c r="D1416" s="33"/>
      <c r="E1416" s="32"/>
      <c r="F1416" s="32"/>
      <c r="G1416" s="74"/>
      <c r="H1416" s="32"/>
      <c r="I1416" s="32"/>
      <c r="J1416" s="32"/>
      <c r="K1416" s="74"/>
      <c r="L1416" s="35"/>
      <c r="M1416" s="32"/>
      <c r="N1416" s="32"/>
      <c r="O1416" s="59"/>
      <c r="P1416" s="73"/>
      <c r="Q1416" s="73"/>
      <c r="R1416" s="73"/>
      <c r="S1416" s="73"/>
      <c r="T1416" s="73"/>
      <c r="U1416" s="73"/>
      <c r="V1416" s="73"/>
      <c r="W1416" s="73"/>
      <c r="X1416" s="73"/>
      <c r="Y1416" s="73"/>
      <c r="Z1416" s="73"/>
      <c r="AA1416" s="73"/>
    </row>
    <row r="1417" spans="1:27" ht="12.75" customHeight="1">
      <c r="A1417" s="73"/>
      <c r="B1417" s="32"/>
      <c r="C1417" s="32"/>
      <c r="D1417" s="33"/>
      <c r="E1417" s="32"/>
      <c r="F1417" s="32"/>
      <c r="G1417" s="74"/>
      <c r="H1417" s="32"/>
      <c r="I1417" s="32"/>
      <c r="J1417" s="32"/>
      <c r="K1417" s="74"/>
      <c r="L1417" s="35"/>
      <c r="M1417" s="32"/>
      <c r="N1417" s="32"/>
      <c r="O1417" s="59"/>
      <c r="P1417" s="73"/>
      <c r="Q1417" s="73"/>
      <c r="R1417" s="73"/>
      <c r="S1417" s="73"/>
      <c r="T1417" s="73"/>
      <c r="U1417" s="73"/>
      <c r="V1417" s="73"/>
      <c r="W1417" s="73"/>
      <c r="X1417" s="73"/>
      <c r="Y1417" s="73"/>
      <c r="Z1417" s="73"/>
      <c r="AA1417" s="73"/>
    </row>
    <row r="1418" spans="1:27" ht="12.75" customHeight="1">
      <c r="A1418" s="73"/>
      <c r="B1418" s="32"/>
      <c r="C1418" s="32"/>
      <c r="D1418" s="33"/>
      <c r="E1418" s="32"/>
      <c r="F1418" s="32"/>
      <c r="G1418" s="74"/>
      <c r="H1418" s="32"/>
      <c r="I1418" s="32"/>
      <c r="J1418" s="32"/>
      <c r="K1418" s="74"/>
      <c r="L1418" s="35"/>
      <c r="M1418" s="32"/>
      <c r="N1418" s="32"/>
      <c r="O1418" s="59"/>
      <c r="P1418" s="73"/>
      <c r="Q1418" s="73"/>
      <c r="R1418" s="73"/>
      <c r="S1418" s="73"/>
      <c r="T1418" s="73"/>
      <c r="U1418" s="73"/>
      <c r="V1418" s="73"/>
      <c r="W1418" s="73"/>
      <c r="X1418" s="73"/>
      <c r="Y1418" s="73"/>
      <c r="Z1418" s="73"/>
      <c r="AA1418" s="73"/>
    </row>
    <row r="1419" spans="1:27" ht="12.75" customHeight="1">
      <c r="A1419" s="73"/>
      <c r="B1419" s="32"/>
      <c r="C1419" s="32"/>
      <c r="D1419" s="33"/>
      <c r="E1419" s="32"/>
      <c r="F1419" s="32"/>
      <c r="G1419" s="74"/>
      <c r="H1419" s="32"/>
      <c r="I1419" s="32"/>
      <c r="J1419" s="32"/>
      <c r="K1419" s="74"/>
      <c r="L1419" s="35"/>
      <c r="M1419" s="32"/>
      <c r="N1419" s="32"/>
      <c r="O1419" s="59"/>
      <c r="P1419" s="73"/>
      <c r="Q1419" s="73"/>
      <c r="R1419" s="73"/>
      <c r="S1419" s="73"/>
      <c r="T1419" s="73"/>
      <c r="U1419" s="73"/>
      <c r="V1419" s="73"/>
      <c r="W1419" s="73"/>
      <c r="X1419" s="73"/>
      <c r="Y1419" s="73"/>
      <c r="Z1419" s="73"/>
      <c r="AA1419" s="73"/>
    </row>
    <row r="1420" spans="1:27" ht="12.75" customHeight="1">
      <c r="A1420" s="73"/>
      <c r="B1420" s="32"/>
      <c r="C1420" s="32"/>
      <c r="D1420" s="33"/>
      <c r="E1420" s="32"/>
      <c r="F1420" s="32"/>
      <c r="G1420" s="74"/>
      <c r="H1420" s="32"/>
      <c r="I1420" s="32"/>
      <c r="J1420" s="32"/>
      <c r="K1420" s="74"/>
      <c r="L1420" s="35"/>
      <c r="M1420" s="32"/>
      <c r="N1420" s="32"/>
      <c r="O1420" s="59"/>
      <c r="P1420" s="73"/>
      <c r="Q1420" s="73"/>
      <c r="R1420" s="73"/>
      <c r="S1420" s="73"/>
      <c r="T1420" s="73"/>
      <c r="U1420" s="73"/>
      <c r="V1420" s="73"/>
      <c r="W1420" s="73"/>
      <c r="X1420" s="73"/>
      <c r="Y1420" s="73"/>
      <c r="Z1420" s="73"/>
      <c r="AA1420" s="73"/>
    </row>
    <row r="1421" spans="1:27" ht="12.75" customHeight="1">
      <c r="A1421" s="73"/>
      <c r="B1421" s="32"/>
      <c r="C1421" s="32"/>
      <c r="D1421" s="33"/>
      <c r="E1421" s="32"/>
      <c r="F1421" s="32"/>
      <c r="G1421" s="74"/>
      <c r="H1421" s="32"/>
      <c r="I1421" s="32"/>
      <c r="J1421" s="32"/>
      <c r="K1421" s="74"/>
      <c r="L1421" s="35"/>
      <c r="M1421" s="32"/>
      <c r="N1421" s="32"/>
      <c r="O1421" s="59"/>
      <c r="P1421" s="73"/>
      <c r="Q1421" s="73"/>
      <c r="R1421" s="73"/>
      <c r="S1421" s="73"/>
      <c r="T1421" s="73"/>
      <c r="U1421" s="73"/>
      <c r="V1421" s="73"/>
      <c r="W1421" s="73"/>
      <c r="X1421" s="73"/>
      <c r="Y1421" s="73"/>
      <c r="Z1421" s="73"/>
      <c r="AA1421" s="73"/>
    </row>
    <row r="1422" spans="1:27" ht="12.75" customHeight="1">
      <c r="A1422" s="73"/>
      <c r="B1422" s="32"/>
      <c r="C1422" s="32"/>
      <c r="D1422" s="33"/>
      <c r="E1422" s="32"/>
      <c r="F1422" s="32"/>
      <c r="G1422" s="74"/>
      <c r="H1422" s="32"/>
      <c r="I1422" s="32"/>
      <c r="J1422" s="32"/>
      <c r="K1422" s="74"/>
      <c r="L1422" s="35"/>
      <c r="M1422" s="32"/>
      <c r="N1422" s="32"/>
      <c r="O1422" s="59"/>
      <c r="P1422" s="73"/>
      <c r="Q1422" s="73"/>
      <c r="R1422" s="73"/>
      <c r="S1422" s="73"/>
      <c r="T1422" s="73"/>
      <c r="U1422" s="73"/>
      <c r="V1422" s="73"/>
      <c r="W1422" s="73"/>
      <c r="X1422" s="73"/>
      <c r="Y1422" s="73"/>
      <c r="Z1422" s="73"/>
      <c r="AA1422" s="73"/>
    </row>
    <row r="1423" spans="1:27" ht="12.75" customHeight="1">
      <c r="A1423" s="73"/>
      <c r="B1423" s="32"/>
      <c r="C1423" s="32"/>
      <c r="D1423" s="33"/>
      <c r="E1423" s="32"/>
      <c r="F1423" s="32"/>
      <c r="G1423" s="74"/>
      <c r="H1423" s="32"/>
      <c r="I1423" s="32"/>
      <c r="J1423" s="32"/>
      <c r="K1423" s="74"/>
      <c r="L1423" s="35"/>
      <c r="M1423" s="32"/>
      <c r="N1423" s="32"/>
      <c r="O1423" s="59"/>
      <c r="P1423" s="73"/>
      <c r="Q1423" s="73"/>
      <c r="R1423" s="73"/>
      <c r="S1423" s="73"/>
      <c r="T1423" s="73"/>
      <c r="U1423" s="73"/>
      <c r="V1423" s="73"/>
      <c r="W1423" s="73"/>
      <c r="X1423" s="73"/>
      <c r="Y1423" s="73"/>
      <c r="Z1423" s="73"/>
      <c r="AA1423" s="73"/>
    </row>
    <row r="1424" spans="1:27" ht="12.75" customHeight="1">
      <c r="A1424" s="73"/>
      <c r="B1424" s="32"/>
      <c r="C1424" s="32"/>
      <c r="D1424" s="33"/>
      <c r="E1424" s="32"/>
      <c r="F1424" s="32"/>
      <c r="G1424" s="74"/>
      <c r="H1424" s="32"/>
      <c r="I1424" s="32"/>
      <c r="J1424" s="32"/>
      <c r="K1424" s="74"/>
      <c r="L1424" s="35"/>
      <c r="M1424" s="32"/>
      <c r="N1424" s="32"/>
      <c r="O1424" s="59"/>
      <c r="P1424" s="73"/>
      <c r="Q1424" s="73"/>
      <c r="R1424" s="73"/>
      <c r="S1424" s="73"/>
      <c r="T1424" s="73"/>
      <c r="U1424" s="73"/>
      <c r="V1424" s="73"/>
      <c r="W1424" s="73"/>
      <c r="X1424" s="73"/>
      <c r="Y1424" s="73"/>
      <c r="Z1424" s="73"/>
      <c r="AA1424" s="73"/>
    </row>
    <row r="1425" spans="1:27" ht="12.75" customHeight="1">
      <c r="A1425" s="73"/>
      <c r="B1425" s="32"/>
      <c r="C1425" s="32"/>
      <c r="D1425" s="33"/>
      <c r="E1425" s="32"/>
      <c r="F1425" s="32"/>
      <c r="G1425" s="74"/>
      <c r="H1425" s="32"/>
      <c r="I1425" s="32"/>
      <c r="J1425" s="32"/>
      <c r="K1425" s="74"/>
      <c r="L1425" s="35"/>
      <c r="M1425" s="32"/>
      <c r="N1425" s="32"/>
      <c r="O1425" s="59"/>
      <c r="P1425" s="73"/>
      <c r="Q1425" s="73"/>
      <c r="R1425" s="73"/>
      <c r="S1425" s="73"/>
      <c r="T1425" s="73"/>
      <c r="U1425" s="73"/>
      <c r="V1425" s="73"/>
      <c r="W1425" s="73"/>
      <c r="X1425" s="73"/>
      <c r="Y1425" s="73"/>
      <c r="Z1425" s="73"/>
      <c r="AA1425" s="73"/>
    </row>
    <row r="1426" spans="1:27" ht="12.75" customHeight="1">
      <c r="A1426" s="73"/>
      <c r="B1426" s="32"/>
      <c r="C1426" s="32"/>
      <c r="D1426" s="33"/>
      <c r="E1426" s="32"/>
      <c r="F1426" s="32"/>
      <c r="G1426" s="74"/>
      <c r="H1426" s="32"/>
      <c r="I1426" s="32"/>
      <c r="J1426" s="32"/>
      <c r="K1426" s="74"/>
      <c r="L1426" s="35"/>
      <c r="M1426" s="32"/>
      <c r="N1426" s="32"/>
      <c r="O1426" s="59"/>
      <c r="P1426" s="73"/>
      <c r="Q1426" s="73"/>
      <c r="R1426" s="73"/>
      <c r="S1426" s="73"/>
      <c r="T1426" s="73"/>
      <c r="U1426" s="73"/>
      <c r="V1426" s="73"/>
      <c r="W1426" s="73"/>
      <c r="X1426" s="73"/>
      <c r="Y1426" s="73"/>
      <c r="Z1426" s="73"/>
      <c r="AA1426" s="73"/>
    </row>
    <row r="1427" spans="1:27" ht="12.75" customHeight="1">
      <c r="A1427" s="73"/>
      <c r="B1427" s="32"/>
      <c r="C1427" s="32"/>
      <c r="D1427" s="33"/>
      <c r="E1427" s="32"/>
      <c r="F1427" s="32"/>
      <c r="G1427" s="74"/>
      <c r="H1427" s="32"/>
      <c r="I1427" s="32"/>
      <c r="J1427" s="32"/>
      <c r="K1427" s="74"/>
      <c r="L1427" s="35"/>
      <c r="M1427" s="32"/>
      <c r="N1427" s="32"/>
      <c r="O1427" s="59"/>
      <c r="P1427" s="73"/>
      <c r="Q1427" s="73"/>
      <c r="R1427" s="73"/>
      <c r="S1427" s="73"/>
      <c r="T1427" s="73"/>
      <c r="U1427" s="73"/>
      <c r="V1427" s="73"/>
      <c r="W1427" s="73"/>
      <c r="X1427" s="73"/>
      <c r="Y1427" s="73"/>
      <c r="Z1427" s="73"/>
      <c r="AA1427" s="73"/>
    </row>
    <row r="1428" spans="1:27" ht="12.75" customHeight="1">
      <c r="A1428" s="73"/>
      <c r="B1428" s="32"/>
      <c r="C1428" s="32"/>
      <c r="D1428" s="33"/>
      <c r="E1428" s="32"/>
      <c r="F1428" s="32"/>
      <c r="G1428" s="74"/>
      <c r="H1428" s="32"/>
      <c r="I1428" s="32"/>
      <c r="J1428" s="32"/>
      <c r="K1428" s="74"/>
      <c r="L1428" s="35"/>
      <c r="M1428" s="32"/>
      <c r="N1428" s="32"/>
      <c r="O1428" s="59"/>
      <c r="P1428" s="73"/>
      <c r="Q1428" s="73"/>
      <c r="R1428" s="73"/>
      <c r="S1428" s="73"/>
      <c r="T1428" s="73"/>
      <c r="U1428" s="73"/>
      <c r="V1428" s="73"/>
      <c r="W1428" s="73"/>
      <c r="X1428" s="73"/>
      <c r="Y1428" s="73"/>
      <c r="Z1428" s="73"/>
      <c r="AA1428" s="73"/>
    </row>
    <row r="1429" spans="1:27" ht="12.75" customHeight="1">
      <c r="A1429" s="73"/>
      <c r="B1429" s="32"/>
      <c r="C1429" s="32"/>
      <c r="D1429" s="33"/>
      <c r="E1429" s="32"/>
      <c r="F1429" s="32"/>
      <c r="G1429" s="74"/>
      <c r="H1429" s="32"/>
      <c r="I1429" s="32"/>
      <c r="J1429" s="32"/>
      <c r="K1429" s="74"/>
      <c r="L1429" s="35"/>
      <c r="M1429" s="32"/>
      <c r="N1429" s="32"/>
      <c r="O1429" s="59"/>
      <c r="P1429" s="73"/>
      <c r="Q1429" s="73"/>
      <c r="R1429" s="73"/>
      <c r="S1429" s="73"/>
      <c r="T1429" s="73"/>
      <c r="U1429" s="73"/>
      <c r="V1429" s="73"/>
      <c r="W1429" s="73"/>
      <c r="X1429" s="73"/>
      <c r="Y1429" s="73"/>
      <c r="Z1429" s="73"/>
      <c r="AA1429" s="73"/>
    </row>
    <row r="1430" spans="1:27" ht="12.75" customHeight="1">
      <c r="A1430" s="73"/>
      <c r="B1430" s="32"/>
      <c r="C1430" s="32"/>
      <c r="D1430" s="33"/>
      <c r="E1430" s="32"/>
      <c r="F1430" s="32"/>
      <c r="G1430" s="74"/>
      <c r="H1430" s="32"/>
      <c r="I1430" s="32"/>
      <c r="J1430" s="32"/>
      <c r="K1430" s="74"/>
      <c r="L1430" s="35"/>
      <c r="M1430" s="32"/>
      <c r="N1430" s="32"/>
      <c r="O1430" s="59"/>
      <c r="P1430" s="73"/>
      <c r="Q1430" s="73"/>
      <c r="R1430" s="73"/>
      <c r="S1430" s="73"/>
      <c r="T1430" s="73"/>
      <c r="U1430" s="73"/>
      <c r="V1430" s="73"/>
      <c r="W1430" s="73"/>
      <c r="X1430" s="73"/>
      <c r="Y1430" s="73"/>
      <c r="Z1430" s="73"/>
      <c r="AA1430" s="73"/>
    </row>
    <row r="1431" spans="1:27" ht="12.75" customHeight="1">
      <c r="A1431" s="73"/>
      <c r="B1431" s="32"/>
      <c r="C1431" s="32"/>
      <c r="D1431" s="33"/>
      <c r="E1431" s="32"/>
      <c r="F1431" s="32"/>
      <c r="G1431" s="74"/>
      <c r="H1431" s="32"/>
      <c r="I1431" s="32"/>
      <c r="J1431" s="32"/>
      <c r="K1431" s="74"/>
      <c r="L1431" s="35"/>
      <c r="M1431" s="32"/>
      <c r="N1431" s="32"/>
      <c r="O1431" s="59"/>
      <c r="P1431" s="73"/>
      <c r="Q1431" s="73"/>
      <c r="R1431" s="73"/>
      <c r="S1431" s="73"/>
      <c r="T1431" s="73"/>
      <c r="U1431" s="73"/>
      <c r="V1431" s="73"/>
      <c r="W1431" s="73"/>
      <c r="X1431" s="73"/>
      <c r="Y1431" s="73"/>
      <c r="Z1431" s="73"/>
      <c r="AA1431" s="73"/>
    </row>
    <row r="1432" spans="1:27" ht="12.75" customHeight="1">
      <c r="A1432" s="73"/>
      <c r="B1432" s="32"/>
      <c r="C1432" s="32"/>
      <c r="D1432" s="33"/>
      <c r="E1432" s="32"/>
      <c r="F1432" s="32"/>
      <c r="G1432" s="74"/>
      <c r="H1432" s="32"/>
      <c r="I1432" s="32"/>
      <c r="J1432" s="32"/>
      <c r="K1432" s="74"/>
      <c r="L1432" s="35"/>
      <c r="M1432" s="32"/>
      <c r="N1432" s="32"/>
      <c r="O1432" s="59"/>
      <c r="P1432" s="73"/>
      <c r="Q1432" s="73"/>
      <c r="R1432" s="73"/>
      <c r="S1432" s="73"/>
      <c r="T1432" s="73"/>
      <c r="U1432" s="73"/>
      <c r="V1432" s="73"/>
      <c r="W1432" s="73"/>
      <c r="X1432" s="73"/>
      <c r="Y1432" s="73"/>
      <c r="Z1432" s="73"/>
      <c r="AA1432" s="73"/>
    </row>
    <row r="1433" spans="1:27" ht="12.75" customHeight="1">
      <c r="A1433" s="73"/>
      <c r="B1433" s="32"/>
      <c r="C1433" s="32"/>
      <c r="D1433" s="33"/>
      <c r="E1433" s="32"/>
      <c r="F1433" s="32"/>
      <c r="G1433" s="74"/>
      <c r="H1433" s="32"/>
      <c r="I1433" s="32"/>
      <c r="J1433" s="32"/>
      <c r="K1433" s="74"/>
      <c r="L1433" s="35"/>
      <c r="M1433" s="32"/>
      <c r="N1433" s="32"/>
      <c r="O1433" s="59"/>
      <c r="P1433" s="73"/>
      <c r="Q1433" s="73"/>
      <c r="R1433" s="73"/>
      <c r="S1433" s="73"/>
      <c r="T1433" s="73"/>
      <c r="U1433" s="73"/>
      <c r="V1433" s="73"/>
      <c r="W1433" s="73"/>
      <c r="X1433" s="73"/>
      <c r="Y1433" s="73"/>
      <c r="Z1433" s="73"/>
      <c r="AA1433" s="73"/>
    </row>
    <row r="1434" spans="1:27" ht="12.75" customHeight="1">
      <c r="A1434" s="73"/>
      <c r="B1434" s="32"/>
      <c r="C1434" s="32"/>
      <c r="D1434" s="33"/>
      <c r="E1434" s="32"/>
      <c r="F1434" s="32"/>
      <c r="G1434" s="74"/>
      <c r="H1434" s="32"/>
      <c r="I1434" s="32"/>
      <c r="J1434" s="32"/>
      <c r="K1434" s="74"/>
      <c r="L1434" s="35"/>
      <c r="M1434" s="32"/>
      <c r="N1434" s="32"/>
      <c r="O1434" s="59"/>
      <c r="P1434" s="73"/>
      <c r="Q1434" s="73"/>
      <c r="R1434" s="73"/>
      <c r="S1434" s="73"/>
      <c r="T1434" s="73"/>
      <c r="U1434" s="73"/>
      <c r="V1434" s="73"/>
      <c r="W1434" s="73"/>
      <c r="X1434" s="73"/>
      <c r="Y1434" s="73"/>
      <c r="Z1434" s="73"/>
      <c r="AA1434" s="73"/>
    </row>
    <row r="1435" spans="1:27" ht="12.75" customHeight="1">
      <c r="A1435" s="73"/>
      <c r="B1435" s="32"/>
      <c r="C1435" s="32"/>
      <c r="D1435" s="33"/>
      <c r="E1435" s="32"/>
      <c r="F1435" s="32"/>
      <c r="G1435" s="74"/>
      <c r="H1435" s="32"/>
      <c r="I1435" s="32"/>
      <c r="J1435" s="32"/>
      <c r="K1435" s="74"/>
      <c r="L1435" s="35"/>
      <c r="M1435" s="32"/>
      <c r="N1435" s="32"/>
      <c r="O1435" s="59"/>
      <c r="P1435" s="73"/>
      <c r="Q1435" s="73"/>
      <c r="R1435" s="73"/>
      <c r="S1435" s="73"/>
      <c r="T1435" s="73"/>
      <c r="U1435" s="73"/>
      <c r="V1435" s="73"/>
      <c r="W1435" s="73"/>
      <c r="X1435" s="73"/>
      <c r="Y1435" s="73"/>
      <c r="Z1435" s="73"/>
      <c r="AA1435" s="73"/>
    </row>
    <row r="1436" spans="1:27" ht="12.75" customHeight="1">
      <c r="A1436" s="73"/>
      <c r="B1436" s="32"/>
      <c r="C1436" s="32"/>
      <c r="D1436" s="33"/>
      <c r="E1436" s="32"/>
      <c r="F1436" s="32"/>
      <c r="G1436" s="74"/>
      <c r="H1436" s="32"/>
      <c r="I1436" s="32"/>
      <c r="J1436" s="32"/>
      <c r="K1436" s="74"/>
      <c r="L1436" s="35"/>
      <c r="M1436" s="32"/>
      <c r="N1436" s="32"/>
      <c r="O1436" s="59"/>
      <c r="P1436" s="73"/>
      <c r="Q1436" s="73"/>
      <c r="R1436" s="73"/>
      <c r="S1436" s="73"/>
      <c r="T1436" s="73"/>
      <c r="U1436" s="73"/>
      <c r="V1436" s="73"/>
      <c r="W1436" s="73"/>
      <c r="X1436" s="73"/>
      <c r="Y1436" s="73"/>
      <c r="Z1436" s="73"/>
      <c r="AA1436" s="73"/>
    </row>
    <row r="1437" spans="1:27" ht="12.75" customHeight="1">
      <c r="A1437" s="73"/>
      <c r="B1437" s="32"/>
      <c r="C1437" s="32"/>
      <c r="D1437" s="33"/>
      <c r="E1437" s="32"/>
      <c r="F1437" s="32"/>
      <c r="G1437" s="74"/>
      <c r="H1437" s="32"/>
      <c r="I1437" s="32"/>
      <c r="J1437" s="32"/>
      <c r="K1437" s="74"/>
      <c r="L1437" s="35"/>
      <c r="M1437" s="32"/>
      <c r="N1437" s="32"/>
      <c r="O1437" s="59"/>
      <c r="P1437" s="73"/>
      <c r="Q1437" s="73"/>
      <c r="R1437" s="73"/>
      <c r="S1437" s="73"/>
      <c r="T1437" s="73"/>
      <c r="U1437" s="73"/>
      <c r="V1437" s="73"/>
      <c r="W1437" s="73"/>
      <c r="X1437" s="73"/>
      <c r="Y1437" s="73"/>
      <c r="Z1437" s="73"/>
      <c r="AA1437" s="73"/>
    </row>
    <row r="1438" spans="1:27" ht="12.75" customHeight="1">
      <c r="A1438" s="73"/>
      <c r="B1438" s="32"/>
      <c r="C1438" s="32"/>
      <c r="D1438" s="33"/>
      <c r="E1438" s="32"/>
      <c r="F1438" s="32"/>
      <c r="G1438" s="74"/>
      <c r="H1438" s="32"/>
      <c r="I1438" s="32"/>
      <c r="J1438" s="32"/>
      <c r="K1438" s="74"/>
      <c r="L1438" s="35"/>
      <c r="M1438" s="32"/>
      <c r="N1438" s="32"/>
      <c r="O1438" s="59"/>
      <c r="P1438" s="73"/>
      <c r="Q1438" s="73"/>
      <c r="R1438" s="73"/>
      <c r="S1438" s="73"/>
      <c r="T1438" s="73"/>
      <c r="U1438" s="73"/>
      <c r="V1438" s="73"/>
      <c r="W1438" s="73"/>
      <c r="X1438" s="73"/>
      <c r="Y1438" s="73"/>
      <c r="Z1438" s="73"/>
      <c r="AA1438" s="73"/>
    </row>
    <row r="1439" spans="1:27" ht="12.75" customHeight="1">
      <c r="A1439" s="73"/>
      <c r="B1439" s="32"/>
      <c r="C1439" s="32"/>
      <c r="D1439" s="33"/>
      <c r="E1439" s="32"/>
      <c r="F1439" s="32"/>
      <c r="G1439" s="74"/>
      <c r="H1439" s="32"/>
      <c r="I1439" s="32"/>
      <c r="J1439" s="32"/>
      <c r="K1439" s="74"/>
      <c r="L1439" s="35"/>
      <c r="M1439" s="32"/>
      <c r="N1439" s="32"/>
      <c r="O1439" s="59"/>
      <c r="P1439" s="73"/>
      <c r="Q1439" s="73"/>
      <c r="R1439" s="73"/>
      <c r="S1439" s="73"/>
      <c r="T1439" s="73"/>
      <c r="U1439" s="73"/>
      <c r="V1439" s="73"/>
      <c r="W1439" s="73"/>
      <c r="X1439" s="73"/>
      <c r="Y1439" s="73"/>
      <c r="Z1439" s="73"/>
      <c r="AA1439" s="73"/>
    </row>
    <row r="1440" spans="1:27" ht="12.75" customHeight="1">
      <c r="A1440" s="73"/>
      <c r="B1440" s="32"/>
      <c r="C1440" s="32"/>
      <c r="D1440" s="33"/>
      <c r="E1440" s="32"/>
      <c r="F1440" s="32"/>
      <c r="G1440" s="74"/>
      <c r="H1440" s="32"/>
      <c r="I1440" s="32"/>
      <c r="J1440" s="32"/>
      <c r="K1440" s="74"/>
      <c r="L1440" s="35"/>
      <c r="M1440" s="32"/>
      <c r="N1440" s="32"/>
      <c r="O1440" s="59"/>
      <c r="P1440" s="73"/>
      <c r="Q1440" s="73"/>
      <c r="R1440" s="73"/>
      <c r="S1440" s="73"/>
      <c r="T1440" s="73"/>
      <c r="U1440" s="73"/>
      <c r="V1440" s="73"/>
      <c r="W1440" s="73"/>
      <c r="X1440" s="73"/>
      <c r="Y1440" s="73"/>
      <c r="Z1440" s="73"/>
      <c r="AA1440" s="73"/>
    </row>
    <row r="1441" spans="1:27" ht="12.75" customHeight="1">
      <c r="A1441" s="73"/>
      <c r="B1441" s="32"/>
      <c r="C1441" s="32"/>
      <c r="D1441" s="33"/>
      <c r="E1441" s="32"/>
      <c r="F1441" s="32"/>
      <c r="G1441" s="74"/>
      <c r="H1441" s="32"/>
      <c r="I1441" s="32"/>
      <c r="J1441" s="32"/>
      <c r="K1441" s="74"/>
      <c r="L1441" s="35"/>
      <c r="M1441" s="32"/>
      <c r="N1441" s="32"/>
      <c r="O1441" s="59"/>
      <c r="P1441" s="73"/>
      <c r="Q1441" s="73"/>
      <c r="R1441" s="73"/>
      <c r="S1441" s="73"/>
      <c r="T1441" s="73"/>
      <c r="U1441" s="73"/>
      <c r="V1441" s="73"/>
      <c r="W1441" s="73"/>
      <c r="X1441" s="73"/>
      <c r="Y1441" s="73"/>
      <c r="Z1441" s="73"/>
      <c r="AA1441" s="73"/>
    </row>
    <row r="1442" spans="1:27" ht="12.75" customHeight="1">
      <c r="A1442" s="73"/>
      <c r="B1442" s="32"/>
      <c r="C1442" s="32"/>
      <c r="D1442" s="33"/>
      <c r="E1442" s="32"/>
      <c r="F1442" s="32"/>
      <c r="G1442" s="74"/>
      <c r="H1442" s="32"/>
      <c r="I1442" s="32"/>
      <c r="J1442" s="32"/>
      <c r="K1442" s="74"/>
      <c r="L1442" s="35"/>
      <c r="M1442" s="32"/>
      <c r="N1442" s="32"/>
      <c r="O1442" s="59"/>
      <c r="P1442" s="73"/>
      <c r="Q1442" s="73"/>
      <c r="R1442" s="73"/>
      <c r="S1442" s="73"/>
      <c r="T1442" s="73"/>
      <c r="U1442" s="73"/>
      <c r="V1442" s="73"/>
      <c r="W1442" s="73"/>
      <c r="X1442" s="73"/>
      <c r="Y1442" s="73"/>
      <c r="Z1442" s="73"/>
      <c r="AA1442" s="73"/>
    </row>
    <row r="1443" spans="1:27" ht="12.75" customHeight="1">
      <c r="A1443" s="73"/>
      <c r="B1443" s="32"/>
      <c r="C1443" s="32"/>
      <c r="D1443" s="33"/>
      <c r="E1443" s="32"/>
      <c r="F1443" s="32"/>
      <c r="G1443" s="74"/>
      <c r="H1443" s="32"/>
      <c r="I1443" s="32"/>
      <c r="J1443" s="32"/>
      <c r="K1443" s="74"/>
      <c r="L1443" s="35"/>
      <c r="M1443" s="32"/>
      <c r="N1443" s="32"/>
      <c r="O1443" s="59"/>
      <c r="P1443" s="73"/>
      <c r="Q1443" s="73"/>
      <c r="R1443" s="73"/>
      <c r="S1443" s="73"/>
      <c r="T1443" s="73"/>
      <c r="U1443" s="73"/>
      <c r="V1443" s="73"/>
      <c r="W1443" s="73"/>
      <c r="X1443" s="73"/>
      <c r="Y1443" s="73"/>
      <c r="Z1443" s="73"/>
      <c r="AA1443" s="73"/>
    </row>
    <row r="1444" spans="1:27" ht="12.75" customHeight="1">
      <c r="A1444" s="73"/>
      <c r="B1444" s="32"/>
      <c r="C1444" s="32"/>
      <c r="D1444" s="33"/>
      <c r="E1444" s="32"/>
      <c r="F1444" s="32"/>
      <c r="G1444" s="74"/>
      <c r="H1444" s="32"/>
      <c r="I1444" s="32"/>
      <c r="J1444" s="32"/>
      <c r="K1444" s="74"/>
      <c r="L1444" s="35"/>
      <c r="M1444" s="32"/>
      <c r="N1444" s="32"/>
      <c r="O1444" s="59"/>
      <c r="P1444" s="73"/>
      <c r="Q1444" s="73"/>
      <c r="R1444" s="73"/>
      <c r="S1444" s="73"/>
      <c r="T1444" s="73"/>
      <c r="U1444" s="73"/>
      <c r="V1444" s="73"/>
      <c r="W1444" s="73"/>
      <c r="X1444" s="73"/>
      <c r="Y1444" s="73"/>
      <c r="Z1444" s="73"/>
      <c r="AA1444" s="73"/>
    </row>
    <row r="1445" spans="1:27" ht="12.75" customHeight="1">
      <c r="A1445" s="73"/>
      <c r="B1445" s="32"/>
      <c r="C1445" s="32"/>
      <c r="D1445" s="33"/>
      <c r="E1445" s="32"/>
      <c r="F1445" s="32"/>
      <c r="G1445" s="74"/>
      <c r="H1445" s="32"/>
      <c r="I1445" s="32"/>
      <c r="J1445" s="32"/>
      <c r="K1445" s="74"/>
      <c r="L1445" s="35"/>
      <c r="M1445" s="32"/>
      <c r="N1445" s="32"/>
      <c r="O1445" s="59"/>
      <c r="P1445" s="73"/>
      <c r="Q1445" s="73"/>
      <c r="R1445" s="73"/>
      <c r="S1445" s="73"/>
      <c r="T1445" s="73"/>
      <c r="U1445" s="73"/>
      <c r="V1445" s="73"/>
      <c r="W1445" s="73"/>
      <c r="X1445" s="73"/>
      <c r="Y1445" s="73"/>
      <c r="Z1445" s="73"/>
      <c r="AA1445" s="73"/>
    </row>
    <row r="1446" spans="1:27" ht="12.75" customHeight="1">
      <c r="A1446" s="73"/>
      <c r="B1446" s="32"/>
      <c r="C1446" s="32"/>
      <c r="D1446" s="33"/>
      <c r="E1446" s="32"/>
      <c r="F1446" s="32"/>
      <c r="G1446" s="74"/>
      <c r="H1446" s="32"/>
      <c r="I1446" s="32"/>
      <c r="J1446" s="32"/>
      <c r="K1446" s="74"/>
      <c r="L1446" s="35"/>
      <c r="M1446" s="32"/>
      <c r="N1446" s="32"/>
      <c r="O1446" s="59"/>
      <c r="P1446" s="73"/>
      <c r="Q1446" s="73"/>
      <c r="R1446" s="73"/>
      <c r="S1446" s="73"/>
      <c r="T1446" s="73"/>
      <c r="U1446" s="73"/>
      <c r="V1446" s="73"/>
      <c r="W1446" s="73"/>
      <c r="X1446" s="73"/>
      <c r="Y1446" s="73"/>
      <c r="Z1446" s="73"/>
      <c r="AA1446" s="73"/>
    </row>
    <row r="1447" spans="1:27" ht="12.75" customHeight="1">
      <c r="A1447" s="73"/>
      <c r="B1447" s="32"/>
      <c r="C1447" s="32"/>
      <c r="D1447" s="33"/>
      <c r="E1447" s="32"/>
      <c r="F1447" s="32"/>
      <c r="G1447" s="74"/>
      <c r="H1447" s="32"/>
      <c r="I1447" s="32"/>
      <c r="J1447" s="32"/>
      <c r="K1447" s="74"/>
      <c r="L1447" s="35"/>
      <c r="M1447" s="32"/>
      <c r="N1447" s="32"/>
      <c r="O1447" s="59"/>
      <c r="P1447" s="73"/>
      <c r="Q1447" s="73"/>
      <c r="R1447" s="73"/>
      <c r="S1447" s="73"/>
      <c r="T1447" s="73"/>
      <c r="U1447" s="73"/>
      <c r="V1447" s="73"/>
      <c r="W1447" s="73"/>
      <c r="X1447" s="73"/>
      <c r="Y1447" s="73"/>
      <c r="Z1447" s="73"/>
      <c r="AA1447" s="73"/>
    </row>
    <row r="1448" spans="1:27" ht="12.75" customHeight="1">
      <c r="A1448" s="73"/>
      <c r="B1448" s="32"/>
      <c r="C1448" s="32"/>
      <c r="D1448" s="33"/>
      <c r="E1448" s="32"/>
      <c r="F1448" s="32"/>
      <c r="G1448" s="74"/>
      <c r="H1448" s="32"/>
      <c r="I1448" s="32"/>
      <c r="J1448" s="32"/>
      <c r="K1448" s="74"/>
      <c r="L1448" s="35"/>
      <c r="M1448" s="32"/>
      <c r="N1448" s="32"/>
      <c r="O1448" s="59"/>
      <c r="P1448" s="73"/>
      <c r="Q1448" s="73"/>
      <c r="R1448" s="73"/>
      <c r="S1448" s="73"/>
      <c r="T1448" s="73"/>
      <c r="U1448" s="73"/>
      <c r="V1448" s="73"/>
      <c r="W1448" s="73"/>
      <c r="X1448" s="73"/>
      <c r="Y1448" s="73"/>
      <c r="Z1448" s="73"/>
      <c r="AA1448" s="73"/>
    </row>
    <row r="1449" spans="1:27" ht="12.75" customHeight="1">
      <c r="A1449" s="73"/>
      <c r="B1449" s="32"/>
      <c r="C1449" s="32"/>
      <c r="D1449" s="33"/>
      <c r="E1449" s="32"/>
      <c r="F1449" s="32"/>
      <c r="G1449" s="74"/>
      <c r="H1449" s="32"/>
      <c r="I1449" s="32"/>
      <c r="J1449" s="32"/>
      <c r="K1449" s="74"/>
      <c r="L1449" s="35"/>
      <c r="M1449" s="32"/>
      <c r="N1449" s="32"/>
      <c r="O1449" s="59"/>
      <c r="P1449" s="73"/>
      <c r="Q1449" s="73"/>
      <c r="R1449" s="73"/>
      <c r="S1449" s="73"/>
      <c r="T1449" s="73"/>
      <c r="U1449" s="73"/>
      <c r="V1449" s="73"/>
      <c r="W1449" s="73"/>
      <c r="X1449" s="73"/>
      <c r="Y1449" s="73"/>
      <c r="Z1449" s="73"/>
      <c r="AA1449" s="73"/>
    </row>
    <row r="1450" spans="1:27" ht="12.75" customHeight="1">
      <c r="A1450" s="73"/>
      <c r="B1450" s="32"/>
      <c r="C1450" s="32"/>
      <c r="D1450" s="33"/>
      <c r="E1450" s="32"/>
      <c r="F1450" s="32"/>
      <c r="G1450" s="74"/>
      <c r="H1450" s="32"/>
      <c r="I1450" s="32"/>
      <c r="J1450" s="32"/>
      <c r="K1450" s="74"/>
      <c r="L1450" s="35"/>
      <c r="M1450" s="32"/>
      <c r="N1450" s="32"/>
      <c r="O1450" s="59"/>
      <c r="P1450" s="73"/>
      <c r="Q1450" s="73"/>
      <c r="R1450" s="73"/>
      <c r="S1450" s="73"/>
      <c r="T1450" s="73"/>
      <c r="U1450" s="73"/>
      <c r="V1450" s="73"/>
      <c r="W1450" s="73"/>
      <c r="X1450" s="73"/>
      <c r="Y1450" s="73"/>
      <c r="Z1450" s="73"/>
      <c r="AA1450" s="73"/>
    </row>
    <row r="1451" spans="1:27" ht="12.75" customHeight="1">
      <c r="A1451" s="73"/>
      <c r="B1451" s="32"/>
      <c r="C1451" s="32"/>
      <c r="D1451" s="33"/>
      <c r="E1451" s="32"/>
      <c r="F1451" s="32"/>
      <c r="G1451" s="74"/>
      <c r="H1451" s="32"/>
      <c r="I1451" s="32"/>
      <c r="J1451" s="32"/>
      <c r="K1451" s="74"/>
      <c r="L1451" s="35"/>
      <c r="M1451" s="32"/>
      <c r="N1451" s="32"/>
      <c r="O1451" s="59"/>
      <c r="P1451" s="73"/>
      <c r="Q1451" s="73"/>
      <c r="R1451" s="73"/>
      <c r="S1451" s="73"/>
      <c r="T1451" s="73"/>
      <c r="U1451" s="73"/>
      <c r="V1451" s="73"/>
      <c r="W1451" s="73"/>
      <c r="X1451" s="73"/>
      <c r="Y1451" s="73"/>
      <c r="Z1451" s="73"/>
      <c r="AA1451" s="73"/>
    </row>
    <row r="1452" spans="1:27" ht="12.75" customHeight="1">
      <c r="A1452" s="73"/>
      <c r="B1452" s="32"/>
      <c r="C1452" s="32"/>
      <c r="D1452" s="33"/>
      <c r="E1452" s="32"/>
      <c r="F1452" s="32"/>
      <c r="G1452" s="74"/>
      <c r="H1452" s="32"/>
      <c r="I1452" s="32"/>
      <c r="J1452" s="32"/>
      <c r="K1452" s="74"/>
      <c r="L1452" s="35"/>
      <c r="M1452" s="32"/>
      <c r="N1452" s="32"/>
      <c r="O1452" s="59"/>
      <c r="P1452" s="73"/>
      <c r="Q1452" s="73"/>
      <c r="R1452" s="73"/>
      <c r="S1452" s="73"/>
      <c r="T1452" s="73"/>
      <c r="U1452" s="73"/>
      <c r="V1452" s="73"/>
      <c r="W1452" s="73"/>
      <c r="X1452" s="73"/>
      <c r="Y1452" s="73"/>
      <c r="Z1452" s="73"/>
      <c r="AA1452" s="73"/>
    </row>
    <row r="1453" spans="1:27" ht="12.75" customHeight="1">
      <c r="A1453" s="73"/>
      <c r="B1453" s="32"/>
      <c r="C1453" s="32"/>
      <c r="D1453" s="33"/>
      <c r="E1453" s="32"/>
      <c r="F1453" s="32"/>
      <c r="G1453" s="74"/>
      <c r="H1453" s="32"/>
      <c r="I1453" s="32"/>
      <c r="J1453" s="32"/>
      <c r="K1453" s="74"/>
      <c r="L1453" s="35"/>
      <c r="M1453" s="32"/>
      <c r="N1453" s="32"/>
      <c r="O1453" s="59"/>
      <c r="P1453" s="73"/>
      <c r="Q1453" s="73"/>
      <c r="R1453" s="73"/>
      <c r="S1453" s="73"/>
      <c r="T1453" s="73"/>
      <c r="U1453" s="73"/>
      <c r="V1453" s="73"/>
      <c r="W1453" s="73"/>
      <c r="X1453" s="73"/>
      <c r="Y1453" s="73"/>
      <c r="Z1453" s="73"/>
      <c r="AA1453" s="73"/>
    </row>
    <row r="1454" spans="1:27" ht="12.75" customHeight="1">
      <c r="A1454" s="73"/>
      <c r="B1454" s="32"/>
      <c r="C1454" s="32"/>
      <c r="D1454" s="33"/>
      <c r="E1454" s="32"/>
      <c r="F1454" s="32"/>
      <c r="G1454" s="74"/>
      <c r="H1454" s="32"/>
      <c r="I1454" s="32"/>
      <c r="J1454" s="32"/>
      <c r="K1454" s="74"/>
      <c r="L1454" s="35"/>
      <c r="M1454" s="32"/>
      <c r="N1454" s="32"/>
      <c r="O1454" s="59"/>
      <c r="P1454" s="73"/>
      <c r="Q1454" s="73"/>
      <c r="R1454" s="73"/>
      <c r="S1454" s="73"/>
      <c r="T1454" s="73"/>
      <c r="U1454" s="73"/>
      <c r="V1454" s="73"/>
      <c r="W1454" s="73"/>
      <c r="X1454" s="73"/>
      <c r="Y1454" s="73"/>
      <c r="Z1454" s="73"/>
      <c r="AA1454" s="73"/>
    </row>
    <row r="1455" spans="1:27" ht="12.75" customHeight="1">
      <c r="A1455" s="73"/>
      <c r="B1455" s="32"/>
      <c r="C1455" s="32"/>
      <c r="D1455" s="33"/>
      <c r="E1455" s="32"/>
      <c r="F1455" s="32"/>
      <c r="G1455" s="74"/>
      <c r="H1455" s="32"/>
      <c r="I1455" s="32"/>
      <c r="J1455" s="32"/>
      <c r="K1455" s="74"/>
      <c r="L1455" s="35"/>
      <c r="M1455" s="32"/>
      <c r="N1455" s="32"/>
      <c r="O1455" s="59"/>
      <c r="P1455" s="73"/>
      <c r="Q1455" s="73"/>
      <c r="R1455" s="73"/>
      <c r="S1455" s="73"/>
      <c r="T1455" s="73"/>
      <c r="U1455" s="73"/>
      <c r="V1455" s="73"/>
      <c r="W1455" s="73"/>
      <c r="X1455" s="73"/>
      <c r="Y1455" s="73"/>
      <c r="Z1455" s="73"/>
      <c r="AA1455" s="73"/>
    </row>
    <row r="1456" spans="1:27" ht="12.75" customHeight="1">
      <c r="A1456" s="73"/>
      <c r="B1456" s="32"/>
      <c r="C1456" s="32"/>
      <c r="D1456" s="33"/>
      <c r="E1456" s="32"/>
      <c r="F1456" s="32"/>
      <c r="G1456" s="74"/>
      <c r="H1456" s="32"/>
      <c r="I1456" s="32"/>
      <c r="J1456" s="32"/>
      <c r="K1456" s="74"/>
      <c r="L1456" s="35"/>
      <c r="M1456" s="32"/>
      <c r="N1456" s="32"/>
      <c r="O1456" s="59"/>
      <c r="P1456" s="73"/>
      <c r="Q1456" s="73"/>
      <c r="R1456" s="73"/>
      <c r="S1456" s="73"/>
      <c r="T1456" s="73"/>
      <c r="U1456" s="73"/>
      <c r="V1456" s="73"/>
      <c r="W1456" s="73"/>
      <c r="X1456" s="73"/>
      <c r="Y1456" s="73"/>
      <c r="Z1456" s="73"/>
      <c r="AA1456" s="73"/>
    </row>
    <row r="1457" spans="1:27" ht="12.75" customHeight="1">
      <c r="A1457" s="73"/>
      <c r="B1457" s="32"/>
      <c r="C1457" s="32"/>
      <c r="D1457" s="33"/>
      <c r="E1457" s="32"/>
      <c r="F1457" s="32"/>
      <c r="G1457" s="74"/>
      <c r="H1457" s="32"/>
      <c r="I1457" s="32"/>
      <c r="J1457" s="32"/>
      <c r="K1457" s="74"/>
      <c r="L1457" s="35"/>
      <c r="M1457" s="32"/>
      <c r="N1457" s="32"/>
      <c r="O1457" s="59"/>
      <c r="P1457" s="73"/>
      <c r="Q1457" s="73"/>
      <c r="R1457" s="73"/>
      <c r="S1457" s="73"/>
      <c r="T1457" s="73"/>
      <c r="U1457" s="73"/>
      <c r="V1457" s="73"/>
      <c r="W1457" s="73"/>
      <c r="X1457" s="73"/>
      <c r="Y1457" s="73"/>
      <c r="Z1457" s="73"/>
      <c r="AA1457" s="73"/>
    </row>
    <row r="1458" spans="1:27" ht="12.75" customHeight="1">
      <c r="A1458" s="73"/>
      <c r="B1458" s="32"/>
      <c r="C1458" s="32"/>
      <c r="D1458" s="33"/>
      <c r="E1458" s="32"/>
      <c r="F1458" s="32"/>
      <c r="G1458" s="74"/>
      <c r="H1458" s="32"/>
      <c r="I1458" s="32"/>
      <c r="J1458" s="32"/>
      <c r="K1458" s="74"/>
      <c r="L1458" s="35"/>
      <c r="M1458" s="32"/>
      <c r="N1458" s="32"/>
      <c r="O1458" s="59"/>
      <c r="P1458" s="73"/>
      <c r="Q1458" s="73"/>
      <c r="R1458" s="73"/>
      <c r="S1458" s="73"/>
      <c r="T1458" s="73"/>
      <c r="U1458" s="73"/>
      <c r="V1458" s="73"/>
      <c r="W1458" s="73"/>
      <c r="X1458" s="73"/>
      <c r="Y1458" s="73"/>
      <c r="Z1458" s="73"/>
      <c r="AA1458" s="73"/>
    </row>
    <row r="1459" spans="1:27" ht="12.75" customHeight="1">
      <c r="A1459" s="73"/>
      <c r="B1459" s="32"/>
      <c r="C1459" s="32"/>
      <c r="D1459" s="33"/>
      <c r="E1459" s="32"/>
      <c r="F1459" s="32"/>
      <c r="G1459" s="74"/>
      <c r="H1459" s="32"/>
      <c r="I1459" s="32"/>
      <c r="J1459" s="32"/>
      <c r="K1459" s="74"/>
      <c r="L1459" s="35"/>
      <c r="M1459" s="32"/>
      <c r="N1459" s="32"/>
      <c r="O1459" s="59"/>
      <c r="P1459" s="73"/>
      <c r="Q1459" s="73"/>
      <c r="R1459" s="73"/>
      <c r="S1459" s="73"/>
      <c r="T1459" s="73"/>
      <c r="U1459" s="73"/>
      <c r="V1459" s="73"/>
      <c r="W1459" s="73"/>
      <c r="X1459" s="73"/>
      <c r="Y1459" s="73"/>
      <c r="Z1459" s="73"/>
      <c r="AA1459" s="73"/>
    </row>
    <row r="1460" spans="1:27" ht="12.75" customHeight="1">
      <c r="A1460" s="73"/>
      <c r="B1460" s="32"/>
      <c r="C1460" s="32"/>
      <c r="D1460" s="33"/>
      <c r="E1460" s="32"/>
      <c r="F1460" s="32"/>
      <c r="G1460" s="74"/>
      <c r="H1460" s="32"/>
      <c r="I1460" s="32"/>
      <c r="J1460" s="32"/>
      <c r="K1460" s="74"/>
      <c r="L1460" s="35"/>
      <c r="M1460" s="32"/>
      <c r="N1460" s="32"/>
      <c r="O1460" s="59"/>
      <c r="P1460" s="73"/>
      <c r="Q1460" s="73"/>
      <c r="R1460" s="73"/>
      <c r="S1460" s="73"/>
      <c r="T1460" s="73"/>
      <c r="U1460" s="73"/>
      <c r="V1460" s="73"/>
      <c r="W1460" s="73"/>
      <c r="X1460" s="73"/>
      <c r="Y1460" s="73"/>
      <c r="Z1460" s="73"/>
      <c r="AA1460" s="73"/>
    </row>
    <row r="1461" spans="1:27" ht="12.75" customHeight="1">
      <c r="A1461" s="73"/>
      <c r="B1461" s="32"/>
      <c r="C1461" s="32"/>
      <c r="D1461" s="33"/>
      <c r="E1461" s="32"/>
      <c r="F1461" s="32"/>
      <c r="G1461" s="74"/>
      <c r="H1461" s="32"/>
      <c r="I1461" s="32"/>
      <c r="J1461" s="32"/>
      <c r="K1461" s="74"/>
      <c r="L1461" s="35"/>
      <c r="M1461" s="32"/>
      <c r="N1461" s="32"/>
      <c r="O1461" s="59"/>
      <c r="P1461" s="73"/>
      <c r="Q1461" s="73"/>
      <c r="R1461" s="73"/>
      <c r="S1461" s="73"/>
      <c r="T1461" s="73"/>
      <c r="U1461" s="73"/>
      <c r="V1461" s="73"/>
      <c r="W1461" s="73"/>
      <c r="X1461" s="73"/>
      <c r="Y1461" s="73"/>
      <c r="Z1461" s="73"/>
      <c r="AA1461" s="73"/>
    </row>
    <row r="1462" spans="1:27" ht="12.75" customHeight="1">
      <c r="A1462" s="73"/>
      <c r="B1462" s="32"/>
      <c r="C1462" s="32"/>
      <c r="D1462" s="33"/>
      <c r="E1462" s="32"/>
      <c r="F1462" s="32"/>
      <c r="G1462" s="74"/>
      <c r="H1462" s="32"/>
      <c r="I1462" s="32"/>
      <c r="J1462" s="32"/>
      <c r="K1462" s="74"/>
      <c r="L1462" s="35"/>
      <c r="M1462" s="32"/>
      <c r="N1462" s="32"/>
      <c r="O1462" s="59"/>
      <c r="P1462" s="73"/>
      <c r="Q1462" s="73"/>
      <c r="R1462" s="73"/>
      <c r="S1462" s="73"/>
      <c r="T1462" s="73"/>
      <c r="U1462" s="73"/>
      <c r="V1462" s="73"/>
      <c r="W1462" s="73"/>
      <c r="X1462" s="73"/>
      <c r="Y1462" s="73"/>
      <c r="Z1462" s="73"/>
      <c r="AA1462" s="73"/>
    </row>
    <row r="1463" spans="1:27" ht="12.75" customHeight="1">
      <c r="A1463" s="73"/>
      <c r="B1463" s="32"/>
      <c r="C1463" s="32"/>
      <c r="D1463" s="33"/>
      <c r="E1463" s="32"/>
      <c r="F1463" s="32"/>
      <c r="G1463" s="74"/>
      <c r="H1463" s="32"/>
      <c r="I1463" s="32"/>
      <c r="J1463" s="32"/>
      <c r="K1463" s="74"/>
      <c r="L1463" s="35"/>
      <c r="M1463" s="32"/>
      <c r="N1463" s="32"/>
      <c r="O1463" s="59"/>
      <c r="P1463" s="73"/>
      <c r="Q1463" s="73"/>
      <c r="R1463" s="73"/>
      <c r="S1463" s="73"/>
      <c r="T1463" s="73"/>
      <c r="U1463" s="73"/>
      <c r="V1463" s="73"/>
      <c r="W1463" s="73"/>
      <c r="X1463" s="73"/>
      <c r="Y1463" s="73"/>
      <c r="Z1463" s="73"/>
      <c r="AA1463" s="73"/>
    </row>
    <row r="1464" spans="1:27" ht="12.75" customHeight="1">
      <c r="A1464" s="73"/>
      <c r="B1464" s="32"/>
      <c r="C1464" s="32"/>
      <c r="D1464" s="33"/>
      <c r="E1464" s="32"/>
      <c r="F1464" s="32"/>
      <c r="G1464" s="74"/>
      <c r="H1464" s="32"/>
      <c r="I1464" s="32"/>
      <c r="J1464" s="32"/>
      <c r="K1464" s="74"/>
      <c r="L1464" s="35"/>
      <c r="M1464" s="32"/>
      <c r="N1464" s="32"/>
      <c r="O1464" s="59"/>
      <c r="P1464" s="73"/>
      <c r="Q1464" s="73"/>
      <c r="R1464" s="73"/>
      <c r="S1464" s="73"/>
      <c r="T1464" s="73"/>
      <c r="U1464" s="73"/>
      <c r="V1464" s="73"/>
      <c r="W1464" s="73"/>
      <c r="X1464" s="73"/>
      <c r="Y1464" s="73"/>
      <c r="Z1464" s="73"/>
      <c r="AA1464" s="73"/>
    </row>
    <row r="1465" spans="1:27" ht="12.75" customHeight="1">
      <c r="A1465" s="73"/>
      <c r="B1465" s="32"/>
      <c r="C1465" s="32"/>
      <c r="D1465" s="33"/>
      <c r="E1465" s="32"/>
      <c r="F1465" s="32"/>
      <c r="G1465" s="74"/>
      <c r="H1465" s="32"/>
      <c r="I1465" s="32"/>
      <c r="J1465" s="32"/>
      <c r="K1465" s="74"/>
      <c r="L1465" s="35"/>
      <c r="M1465" s="32"/>
      <c r="N1465" s="32"/>
      <c r="O1465" s="59"/>
      <c r="P1465" s="73"/>
      <c r="Q1465" s="73"/>
      <c r="R1465" s="73"/>
      <c r="S1465" s="73"/>
      <c r="T1465" s="73"/>
      <c r="U1465" s="73"/>
      <c r="V1465" s="73"/>
      <c r="W1465" s="73"/>
      <c r="X1465" s="73"/>
      <c r="Y1465" s="73"/>
      <c r="Z1465" s="73"/>
      <c r="AA1465" s="73"/>
    </row>
    <row r="1466" spans="1:27" ht="12.75" customHeight="1">
      <c r="A1466" s="73"/>
      <c r="B1466" s="32"/>
      <c r="C1466" s="32"/>
      <c r="D1466" s="33"/>
      <c r="E1466" s="32"/>
      <c r="F1466" s="32"/>
      <c r="G1466" s="74"/>
      <c r="H1466" s="32"/>
      <c r="I1466" s="32"/>
      <c r="J1466" s="32"/>
      <c r="K1466" s="74"/>
      <c r="L1466" s="35"/>
      <c r="M1466" s="32"/>
      <c r="N1466" s="32"/>
      <c r="O1466" s="59"/>
      <c r="P1466" s="73"/>
      <c r="Q1466" s="73"/>
      <c r="R1466" s="73"/>
      <c r="S1466" s="73"/>
      <c r="T1466" s="73"/>
      <c r="U1466" s="73"/>
      <c r="V1466" s="73"/>
      <c r="W1466" s="73"/>
      <c r="X1466" s="73"/>
      <c r="Y1466" s="73"/>
      <c r="Z1466" s="73"/>
      <c r="AA1466" s="73"/>
    </row>
    <row r="1467" spans="1:27" ht="12.75" customHeight="1">
      <c r="A1467" s="73"/>
      <c r="B1467" s="32"/>
      <c r="C1467" s="32"/>
      <c r="D1467" s="33"/>
      <c r="E1467" s="32"/>
      <c r="F1467" s="32"/>
      <c r="G1467" s="74"/>
      <c r="H1467" s="32"/>
      <c r="I1467" s="32"/>
      <c r="J1467" s="32"/>
      <c r="K1467" s="74"/>
      <c r="L1467" s="35"/>
      <c r="M1467" s="32"/>
      <c r="N1467" s="32"/>
      <c r="O1467" s="59"/>
      <c r="P1467" s="73"/>
      <c r="Q1467" s="73"/>
      <c r="R1467" s="73"/>
      <c r="S1467" s="73"/>
      <c r="T1467" s="73"/>
      <c r="U1467" s="73"/>
      <c r="V1467" s="73"/>
      <c r="W1467" s="73"/>
      <c r="X1467" s="73"/>
      <c r="Y1467" s="73"/>
      <c r="Z1467" s="73"/>
      <c r="AA1467" s="73"/>
    </row>
    <row r="1468" spans="1:27" ht="12.75" customHeight="1">
      <c r="A1468" s="73"/>
      <c r="B1468" s="32"/>
      <c r="C1468" s="32"/>
      <c r="D1468" s="33"/>
      <c r="E1468" s="32"/>
      <c r="F1468" s="32"/>
      <c r="G1468" s="74"/>
      <c r="H1468" s="32"/>
      <c r="I1468" s="32"/>
      <c r="J1468" s="32"/>
      <c r="K1468" s="74"/>
      <c r="L1468" s="35"/>
      <c r="M1468" s="32"/>
      <c r="N1468" s="32"/>
      <c r="O1468" s="59"/>
      <c r="P1468" s="73"/>
      <c r="Q1468" s="73"/>
      <c r="R1468" s="73"/>
      <c r="S1468" s="73"/>
      <c r="T1468" s="73"/>
      <c r="U1468" s="73"/>
      <c r="V1468" s="73"/>
      <c r="W1468" s="73"/>
      <c r="X1468" s="73"/>
      <c r="Y1468" s="73"/>
      <c r="Z1468" s="73"/>
      <c r="AA1468" s="73"/>
    </row>
    <row r="1469" spans="1:27" ht="12.75" customHeight="1">
      <c r="A1469" s="73"/>
      <c r="B1469" s="32"/>
      <c r="C1469" s="32"/>
      <c r="D1469" s="33"/>
      <c r="E1469" s="32"/>
      <c r="F1469" s="32"/>
      <c r="G1469" s="74"/>
      <c r="H1469" s="32"/>
      <c r="I1469" s="32"/>
      <c r="J1469" s="32"/>
      <c r="K1469" s="74"/>
      <c r="L1469" s="35"/>
      <c r="M1469" s="32"/>
      <c r="N1469" s="32"/>
      <c r="O1469" s="59"/>
      <c r="P1469" s="73"/>
      <c r="Q1469" s="73"/>
      <c r="R1469" s="73"/>
      <c r="S1469" s="73"/>
      <c r="T1469" s="73"/>
      <c r="U1469" s="73"/>
      <c r="V1469" s="73"/>
      <c r="W1469" s="73"/>
      <c r="X1469" s="73"/>
      <c r="Y1469" s="73"/>
      <c r="Z1469" s="73"/>
      <c r="AA1469" s="73"/>
    </row>
    <row r="1470" spans="1:27" ht="12.75" customHeight="1">
      <c r="A1470" s="73"/>
      <c r="B1470" s="32"/>
      <c r="C1470" s="32"/>
      <c r="D1470" s="33"/>
      <c r="E1470" s="32"/>
      <c r="F1470" s="32"/>
      <c r="G1470" s="74"/>
      <c r="H1470" s="32"/>
      <c r="I1470" s="32"/>
      <c r="J1470" s="32"/>
      <c r="K1470" s="74"/>
      <c r="L1470" s="35"/>
      <c r="M1470" s="32"/>
      <c r="N1470" s="32"/>
      <c r="O1470" s="59"/>
      <c r="P1470" s="73"/>
      <c r="Q1470" s="73"/>
      <c r="R1470" s="73"/>
      <c r="S1470" s="73"/>
      <c r="T1470" s="73"/>
      <c r="U1470" s="73"/>
      <c r="V1470" s="73"/>
      <c r="W1470" s="73"/>
      <c r="X1470" s="73"/>
      <c r="Y1470" s="73"/>
      <c r="Z1470" s="73"/>
      <c r="AA1470" s="73"/>
    </row>
    <row r="1471" spans="1:27" ht="12.75" customHeight="1">
      <c r="A1471" s="73"/>
      <c r="B1471" s="32"/>
      <c r="C1471" s="32"/>
      <c r="D1471" s="33"/>
      <c r="E1471" s="32"/>
      <c r="F1471" s="32"/>
      <c r="G1471" s="74"/>
      <c r="H1471" s="32"/>
      <c r="I1471" s="32"/>
      <c r="J1471" s="32"/>
      <c r="K1471" s="74"/>
      <c r="L1471" s="35"/>
      <c r="M1471" s="32"/>
      <c r="N1471" s="32"/>
      <c r="O1471" s="59"/>
      <c r="P1471" s="73"/>
      <c r="Q1471" s="73"/>
      <c r="R1471" s="73"/>
      <c r="S1471" s="73"/>
      <c r="T1471" s="73"/>
      <c r="U1471" s="73"/>
      <c r="V1471" s="73"/>
      <c r="W1471" s="73"/>
      <c r="X1471" s="73"/>
      <c r="Y1471" s="73"/>
      <c r="Z1471" s="73"/>
      <c r="AA1471" s="73"/>
    </row>
    <row r="1472" spans="1:27" ht="12.75" customHeight="1">
      <c r="A1472" s="73"/>
      <c r="B1472" s="32"/>
      <c r="C1472" s="32"/>
      <c r="D1472" s="33"/>
      <c r="E1472" s="32"/>
      <c r="F1472" s="32"/>
      <c r="G1472" s="74"/>
      <c r="H1472" s="32"/>
      <c r="I1472" s="32"/>
      <c r="J1472" s="32"/>
      <c r="K1472" s="74"/>
      <c r="L1472" s="35"/>
      <c r="M1472" s="32"/>
      <c r="N1472" s="32"/>
      <c r="O1472" s="59"/>
      <c r="P1472" s="73"/>
      <c r="Q1472" s="73"/>
      <c r="R1472" s="73"/>
      <c r="S1472" s="73"/>
      <c r="T1472" s="73"/>
      <c r="U1472" s="73"/>
      <c r="V1472" s="73"/>
      <c r="W1472" s="73"/>
      <c r="X1472" s="73"/>
      <c r="Y1472" s="73"/>
      <c r="Z1472" s="73"/>
      <c r="AA1472" s="73"/>
    </row>
    <row r="1473" spans="1:27" ht="12.75" customHeight="1">
      <c r="A1473" s="73"/>
      <c r="B1473" s="32"/>
      <c r="C1473" s="32"/>
      <c r="D1473" s="33"/>
      <c r="E1473" s="32"/>
      <c r="F1473" s="32"/>
      <c r="G1473" s="74"/>
      <c r="H1473" s="32"/>
      <c r="I1473" s="32"/>
      <c r="J1473" s="32"/>
      <c r="K1473" s="74"/>
      <c r="L1473" s="35"/>
      <c r="M1473" s="32"/>
      <c r="N1473" s="32"/>
      <c r="O1473" s="59"/>
      <c r="P1473" s="73"/>
      <c r="Q1473" s="73"/>
      <c r="R1473" s="73"/>
      <c r="S1473" s="73"/>
      <c r="T1473" s="73"/>
      <c r="U1473" s="73"/>
      <c r="V1473" s="73"/>
      <c r="W1473" s="73"/>
      <c r="X1473" s="73"/>
      <c r="Y1473" s="73"/>
      <c r="Z1473" s="73"/>
      <c r="AA1473" s="73"/>
    </row>
    <row r="1474" spans="1:27" ht="12.75" customHeight="1">
      <c r="A1474" s="73"/>
      <c r="B1474" s="32"/>
      <c r="C1474" s="32"/>
      <c r="D1474" s="33"/>
      <c r="E1474" s="32"/>
      <c r="F1474" s="32"/>
      <c r="G1474" s="74"/>
      <c r="H1474" s="32"/>
      <c r="I1474" s="32"/>
      <c r="J1474" s="32"/>
      <c r="K1474" s="74"/>
      <c r="L1474" s="35"/>
      <c r="M1474" s="32"/>
      <c r="N1474" s="32"/>
      <c r="O1474" s="59"/>
      <c r="P1474" s="73"/>
      <c r="Q1474" s="73"/>
      <c r="R1474" s="73"/>
      <c r="S1474" s="73"/>
      <c r="T1474" s="73"/>
      <c r="U1474" s="73"/>
      <c r="V1474" s="73"/>
      <c r="W1474" s="73"/>
      <c r="X1474" s="73"/>
      <c r="Y1474" s="73"/>
      <c r="Z1474" s="73"/>
      <c r="AA1474" s="73"/>
    </row>
    <row r="1475" spans="1:27" ht="12.75" customHeight="1">
      <c r="A1475" s="73"/>
      <c r="B1475" s="32"/>
      <c r="C1475" s="32"/>
      <c r="D1475" s="33"/>
      <c r="E1475" s="32"/>
      <c r="F1475" s="32"/>
      <c r="G1475" s="74"/>
      <c r="H1475" s="32"/>
      <c r="I1475" s="32"/>
      <c r="J1475" s="32"/>
      <c r="K1475" s="74"/>
      <c r="L1475" s="35"/>
      <c r="M1475" s="32"/>
      <c r="N1475" s="32"/>
      <c r="O1475" s="59"/>
      <c r="P1475" s="73"/>
      <c r="Q1475" s="73"/>
      <c r="R1475" s="73"/>
      <c r="S1475" s="73"/>
      <c r="T1475" s="73"/>
      <c r="U1475" s="73"/>
      <c r="V1475" s="73"/>
      <c r="W1475" s="73"/>
      <c r="X1475" s="73"/>
      <c r="Y1475" s="73"/>
      <c r="Z1475" s="73"/>
      <c r="AA1475" s="73"/>
    </row>
    <row r="1476" spans="1:27" ht="12.75" customHeight="1">
      <c r="A1476" s="73"/>
      <c r="B1476" s="32"/>
      <c r="C1476" s="32"/>
      <c r="D1476" s="33"/>
      <c r="E1476" s="32"/>
      <c r="F1476" s="32"/>
      <c r="G1476" s="74"/>
      <c r="H1476" s="32"/>
      <c r="I1476" s="32"/>
      <c r="J1476" s="32"/>
      <c r="K1476" s="74"/>
      <c r="L1476" s="35"/>
      <c r="M1476" s="32"/>
      <c r="N1476" s="32"/>
      <c r="O1476" s="59"/>
      <c r="P1476" s="73"/>
      <c r="Q1476" s="73"/>
      <c r="R1476" s="73"/>
      <c r="S1476" s="73"/>
      <c r="T1476" s="73"/>
      <c r="U1476" s="73"/>
      <c r="V1476" s="73"/>
      <c r="W1476" s="73"/>
      <c r="X1476" s="73"/>
      <c r="Y1476" s="73"/>
      <c r="Z1476" s="73"/>
      <c r="AA1476" s="73"/>
    </row>
    <row r="1477" spans="1:27" ht="12.75" customHeight="1">
      <c r="A1477" s="73"/>
      <c r="B1477" s="32"/>
      <c r="C1477" s="32"/>
      <c r="D1477" s="33"/>
      <c r="E1477" s="32"/>
      <c r="F1477" s="32"/>
      <c r="G1477" s="74"/>
      <c r="H1477" s="32"/>
      <c r="I1477" s="32"/>
      <c r="J1477" s="32"/>
      <c r="K1477" s="74"/>
      <c r="L1477" s="35"/>
      <c r="M1477" s="32"/>
      <c r="N1477" s="32"/>
      <c r="O1477" s="59"/>
      <c r="P1477" s="73"/>
      <c r="Q1477" s="73"/>
      <c r="R1477" s="73"/>
      <c r="S1477" s="73"/>
      <c r="T1477" s="73"/>
      <c r="U1477" s="73"/>
      <c r="V1477" s="73"/>
      <c r="W1477" s="73"/>
      <c r="X1477" s="73"/>
      <c r="Y1477" s="73"/>
      <c r="Z1477" s="73"/>
      <c r="AA1477" s="73"/>
    </row>
    <row r="1478" spans="1:27" ht="12.75" customHeight="1">
      <c r="A1478" s="73"/>
      <c r="B1478" s="32"/>
      <c r="C1478" s="32"/>
      <c r="D1478" s="33"/>
      <c r="E1478" s="32"/>
      <c r="F1478" s="32"/>
      <c r="G1478" s="74"/>
      <c r="H1478" s="32"/>
      <c r="I1478" s="32"/>
      <c r="J1478" s="32"/>
      <c r="K1478" s="74"/>
      <c r="L1478" s="35"/>
      <c r="M1478" s="32"/>
      <c r="N1478" s="32"/>
      <c r="O1478" s="59"/>
      <c r="P1478" s="73"/>
      <c r="Q1478" s="73"/>
      <c r="R1478" s="73"/>
      <c r="S1478" s="73"/>
      <c r="T1478" s="73"/>
      <c r="U1478" s="73"/>
      <c r="V1478" s="73"/>
      <c r="W1478" s="73"/>
      <c r="X1478" s="73"/>
      <c r="Y1478" s="73"/>
      <c r="Z1478" s="73"/>
      <c r="AA1478" s="73"/>
    </row>
    <row r="1479" spans="1:27" ht="12.75" customHeight="1">
      <c r="A1479" s="73"/>
      <c r="B1479" s="32"/>
      <c r="C1479" s="32"/>
      <c r="D1479" s="33"/>
      <c r="E1479" s="32"/>
      <c r="F1479" s="32"/>
      <c r="G1479" s="74"/>
      <c r="H1479" s="32"/>
      <c r="I1479" s="32"/>
      <c r="J1479" s="32"/>
      <c r="K1479" s="74"/>
      <c r="L1479" s="35"/>
      <c r="M1479" s="32"/>
      <c r="N1479" s="32"/>
      <c r="O1479" s="59"/>
      <c r="P1479" s="73"/>
      <c r="Q1479" s="73"/>
      <c r="R1479" s="73"/>
      <c r="S1479" s="73"/>
      <c r="T1479" s="73"/>
      <c r="U1479" s="73"/>
      <c r="V1479" s="73"/>
      <c r="W1479" s="73"/>
      <c r="X1479" s="73"/>
      <c r="Y1479" s="73"/>
      <c r="Z1479" s="73"/>
      <c r="AA1479" s="73"/>
    </row>
    <row r="1480" spans="1:27" ht="12.75" customHeight="1">
      <c r="A1480" s="73"/>
      <c r="B1480" s="32"/>
      <c r="C1480" s="32"/>
      <c r="D1480" s="33"/>
      <c r="E1480" s="32"/>
      <c r="F1480" s="32"/>
      <c r="G1480" s="74"/>
      <c r="H1480" s="32"/>
      <c r="I1480" s="32"/>
      <c r="J1480" s="32"/>
      <c r="K1480" s="74"/>
      <c r="L1480" s="35"/>
      <c r="M1480" s="32"/>
      <c r="N1480" s="32"/>
      <c r="O1480" s="59"/>
      <c r="P1480" s="73"/>
      <c r="Q1480" s="73"/>
      <c r="R1480" s="73"/>
      <c r="S1480" s="73"/>
      <c r="T1480" s="73"/>
      <c r="U1480" s="73"/>
      <c r="V1480" s="73"/>
      <c r="W1480" s="73"/>
      <c r="X1480" s="73"/>
      <c r="Y1480" s="73"/>
      <c r="Z1480" s="73"/>
      <c r="AA1480" s="73"/>
    </row>
    <row r="1481" spans="1:27" ht="12.75" customHeight="1">
      <c r="A1481" s="73"/>
      <c r="B1481" s="32"/>
      <c r="C1481" s="32"/>
      <c r="D1481" s="33"/>
      <c r="E1481" s="32"/>
      <c r="F1481" s="32"/>
      <c r="G1481" s="74"/>
      <c r="H1481" s="32"/>
      <c r="I1481" s="32"/>
      <c r="J1481" s="32"/>
      <c r="K1481" s="74"/>
      <c r="L1481" s="35"/>
      <c r="M1481" s="32"/>
      <c r="N1481" s="32"/>
      <c r="O1481" s="59"/>
      <c r="P1481" s="73"/>
      <c r="Q1481" s="73"/>
      <c r="R1481" s="73"/>
      <c r="S1481" s="73"/>
      <c r="T1481" s="73"/>
      <c r="U1481" s="73"/>
      <c r="V1481" s="73"/>
      <c r="W1481" s="73"/>
      <c r="X1481" s="73"/>
      <c r="Y1481" s="73"/>
      <c r="Z1481" s="73"/>
      <c r="AA1481" s="73"/>
    </row>
    <row r="1482" spans="1:27" ht="12.75" customHeight="1">
      <c r="A1482" s="73"/>
      <c r="B1482" s="32"/>
      <c r="C1482" s="32"/>
      <c r="D1482" s="33"/>
      <c r="E1482" s="32"/>
      <c r="F1482" s="32"/>
      <c r="G1482" s="74"/>
      <c r="H1482" s="32"/>
      <c r="I1482" s="32"/>
      <c r="J1482" s="32"/>
      <c r="K1482" s="74"/>
      <c r="L1482" s="35"/>
      <c r="M1482" s="32"/>
      <c r="N1482" s="32"/>
      <c r="O1482" s="59"/>
      <c r="P1482" s="73"/>
      <c r="Q1482" s="73"/>
      <c r="R1482" s="73"/>
      <c r="S1482" s="73"/>
      <c r="T1482" s="73"/>
      <c r="U1482" s="73"/>
      <c r="V1482" s="73"/>
      <c r="W1482" s="73"/>
      <c r="X1482" s="73"/>
      <c r="Y1482" s="73"/>
      <c r="Z1482" s="73"/>
      <c r="AA1482" s="73"/>
    </row>
    <row r="1483" spans="1:27" ht="12.75" customHeight="1">
      <c r="A1483" s="73"/>
      <c r="B1483" s="32"/>
      <c r="C1483" s="32"/>
      <c r="D1483" s="33"/>
      <c r="E1483" s="32"/>
      <c r="F1483" s="32"/>
      <c r="G1483" s="74"/>
      <c r="H1483" s="32"/>
      <c r="I1483" s="32"/>
      <c r="J1483" s="32"/>
      <c r="K1483" s="74"/>
      <c r="L1483" s="35"/>
      <c r="M1483" s="32"/>
      <c r="N1483" s="32"/>
      <c r="O1483" s="59"/>
      <c r="P1483" s="73"/>
      <c r="Q1483" s="73"/>
      <c r="R1483" s="73"/>
      <c r="S1483" s="73"/>
      <c r="T1483" s="73"/>
      <c r="U1483" s="73"/>
      <c r="V1483" s="73"/>
      <c r="W1483" s="73"/>
      <c r="X1483" s="73"/>
      <c r="Y1483" s="73"/>
      <c r="Z1483" s="73"/>
      <c r="AA1483" s="73"/>
    </row>
    <row r="1484" spans="1:27" ht="12.75" customHeight="1">
      <c r="A1484" s="73"/>
      <c r="B1484" s="32"/>
      <c r="C1484" s="32"/>
      <c r="D1484" s="33"/>
      <c r="E1484" s="32"/>
      <c r="F1484" s="32"/>
      <c r="G1484" s="74"/>
      <c r="H1484" s="32"/>
      <c r="I1484" s="32"/>
      <c r="J1484" s="32"/>
      <c r="K1484" s="74"/>
      <c r="L1484" s="35"/>
      <c r="M1484" s="32"/>
      <c r="N1484" s="32"/>
      <c r="O1484" s="59"/>
      <c r="P1484" s="73"/>
      <c r="Q1484" s="73"/>
      <c r="R1484" s="73"/>
      <c r="S1484" s="73"/>
      <c r="T1484" s="73"/>
      <c r="U1484" s="73"/>
      <c r="V1484" s="73"/>
      <c r="W1484" s="73"/>
      <c r="X1484" s="73"/>
      <c r="Y1484" s="73"/>
      <c r="Z1484" s="73"/>
      <c r="AA1484" s="73"/>
    </row>
    <row r="1485" spans="1:27" ht="12.75" customHeight="1">
      <c r="A1485" s="73"/>
      <c r="B1485" s="32"/>
      <c r="C1485" s="32"/>
      <c r="D1485" s="33"/>
      <c r="E1485" s="32"/>
      <c r="F1485" s="32"/>
      <c r="G1485" s="74"/>
      <c r="H1485" s="32"/>
      <c r="I1485" s="32"/>
      <c r="J1485" s="32"/>
      <c r="K1485" s="74"/>
      <c r="L1485" s="35"/>
      <c r="M1485" s="32"/>
      <c r="N1485" s="32"/>
      <c r="O1485" s="59"/>
      <c r="P1485" s="73"/>
      <c r="Q1485" s="73"/>
      <c r="R1485" s="73"/>
      <c r="S1485" s="73"/>
      <c r="T1485" s="73"/>
      <c r="U1485" s="73"/>
      <c r="V1485" s="73"/>
      <c r="W1485" s="73"/>
      <c r="X1485" s="73"/>
      <c r="Y1485" s="73"/>
      <c r="Z1485" s="73"/>
      <c r="AA1485" s="73"/>
    </row>
    <row r="1486" spans="1:27" ht="12.75" customHeight="1">
      <c r="A1486" s="73"/>
      <c r="B1486" s="32"/>
      <c r="C1486" s="32"/>
      <c r="D1486" s="33"/>
      <c r="E1486" s="32"/>
      <c r="F1486" s="32"/>
      <c r="G1486" s="74"/>
      <c r="H1486" s="32"/>
      <c r="I1486" s="32"/>
      <c r="J1486" s="32"/>
      <c r="K1486" s="74"/>
      <c r="L1486" s="35"/>
      <c r="M1486" s="32"/>
      <c r="N1486" s="32"/>
      <c r="O1486" s="59"/>
      <c r="P1486" s="73"/>
      <c r="Q1486" s="73"/>
      <c r="R1486" s="73"/>
      <c r="S1486" s="73"/>
      <c r="T1486" s="73"/>
      <c r="U1486" s="73"/>
      <c r="V1486" s="73"/>
      <c r="W1486" s="73"/>
      <c r="X1486" s="73"/>
      <c r="Y1486" s="73"/>
      <c r="Z1486" s="73"/>
      <c r="AA1486" s="73"/>
    </row>
    <row r="1487" spans="1:27" ht="12.75" customHeight="1">
      <c r="A1487" s="73"/>
      <c r="B1487" s="32"/>
      <c r="C1487" s="32"/>
      <c r="D1487" s="33"/>
      <c r="E1487" s="32"/>
      <c r="F1487" s="32"/>
      <c r="G1487" s="74"/>
      <c r="H1487" s="32"/>
      <c r="I1487" s="32"/>
      <c r="J1487" s="32"/>
      <c r="K1487" s="74"/>
      <c r="L1487" s="35"/>
      <c r="M1487" s="32"/>
      <c r="N1487" s="32"/>
      <c r="O1487" s="59"/>
      <c r="P1487" s="73"/>
      <c r="Q1487" s="73"/>
      <c r="R1487" s="73"/>
      <c r="S1487" s="73"/>
      <c r="T1487" s="73"/>
      <c r="U1487" s="73"/>
      <c r="V1487" s="73"/>
      <c r="W1487" s="73"/>
      <c r="X1487" s="73"/>
      <c r="Y1487" s="73"/>
      <c r="Z1487" s="73"/>
      <c r="AA1487" s="73"/>
    </row>
    <row r="1488" spans="1:27" ht="12.75" customHeight="1">
      <c r="A1488" s="73"/>
      <c r="B1488" s="32"/>
      <c r="C1488" s="32"/>
      <c r="D1488" s="33"/>
      <c r="E1488" s="32"/>
      <c r="F1488" s="32"/>
      <c r="G1488" s="74"/>
      <c r="H1488" s="32"/>
      <c r="I1488" s="32"/>
      <c r="J1488" s="32"/>
      <c r="K1488" s="74"/>
      <c r="L1488" s="35"/>
      <c r="M1488" s="32"/>
      <c r="N1488" s="32"/>
      <c r="O1488" s="59"/>
      <c r="P1488" s="73"/>
      <c r="Q1488" s="73"/>
      <c r="R1488" s="73"/>
      <c r="S1488" s="73"/>
      <c r="T1488" s="73"/>
      <c r="U1488" s="73"/>
      <c r="V1488" s="73"/>
      <c r="W1488" s="73"/>
      <c r="X1488" s="73"/>
      <c r="Y1488" s="73"/>
      <c r="Z1488" s="73"/>
      <c r="AA1488" s="73"/>
    </row>
    <row r="1489" spans="1:27" ht="12.75" customHeight="1">
      <c r="A1489" s="73"/>
      <c r="B1489" s="32"/>
      <c r="C1489" s="32"/>
      <c r="D1489" s="33"/>
      <c r="E1489" s="32"/>
      <c r="F1489" s="32"/>
      <c r="G1489" s="74"/>
      <c r="H1489" s="32"/>
      <c r="I1489" s="32"/>
      <c r="J1489" s="32"/>
      <c r="K1489" s="74"/>
      <c r="L1489" s="35"/>
      <c r="M1489" s="32"/>
      <c r="N1489" s="32"/>
      <c r="O1489" s="59"/>
      <c r="P1489" s="73"/>
      <c r="Q1489" s="73"/>
      <c r="R1489" s="73"/>
      <c r="S1489" s="73"/>
      <c r="T1489" s="73"/>
      <c r="U1489" s="73"/>
      <c r="V1489" s="73"/>
      <c r="W1489" s="73"/>
      <c r="X1489" s="73"/>
      <c r="Y1489" s="73"/>
      <c r="Z1489" s="73"/>
      <c r="AA1489" s="73"/>
    </row>
    <row r="1490" spans="1:27" ht="12.75" customHeight="1">
      <c r="A1490" s="73"/>
      <c r="B1490" s="32"/>
      <c r="C1490" s="32"/>
      <c r="D1490" s="33"/>
      <c r="E1490" s="32"/>
      <c r="F1490" s="32"/>
      <c r="G1490" s="74"/>
      <c r="H1490" s="32"/>
      <c r="I1490" s="32"/>
      <c r="J1490" s="32"/>
      <c r="K1490" s="74"/>
      <c r="L1490" s="35"/>
      <c r="M1490" s="32"/>
      <c r="N1490" s="32"/>
      <c r="O1490" s="59"/>
      <c r="P1490" s="73"/>
      <c r="Q1490" s="73"/>
      <c r="R1490" s="73"/>
      <c r="S1490" s="73"/>
      <c r="T1490" s="73"/>
      <c r="U1490" s="73"/>
      <c r="V1490" s="73"/>
      <c r="W1490" s="73"/>
      <c r="X1490" s="73"/>
      <c r="Y1490" s="73"/>
      <c r="Z1490" s="73"/>
      <c r="AA1490" s="73"/>
    </row>
    <row r="1491" spans="1:27" ht="12.75" customHeight="1">
      <c r="A1491" s="73"/>
      <c r="B1491" s="32"/>
      <c r="C1491" s="32"/>
      <c r="D1491" s="33"/>
      <c r="E1491" s="32"/>
      <c r="F1491" s="32"/>
      <c r="G1491" s="74"/>
      <c r="H1491" s="32"/>
      <c r="I1491" s="32"/>
      <c r="J1491" s="32"/>
      <c r="K1491" s="74"/>
      <c r="L1491" s="35"/>
      <c r="M1491" s="32"/>
      <c r="N1491" s="32"/>
      <c r="O1491" s="59"/>
      <c r="P1491" s="73"/>
      <c r="Q1491" s="73"/>
      <c r="R1491" s="73"/>
      <c r="S1491" s="73"/>
      <c r="T1491" s="73"/>
      <c r="U1491" s="73"/>
      <c r="V1491" s="73"/>
      <c r="W1491" s="73"/>
      <c r="X1491" s="73"/>
      <c r="Y1491" s="73"/>
      <c r="Z1491" s="73"/>
      <c r="AA1491" s="73"/>
    </row>
    <row r="1492" spans="1:27" ht="12.75" customHeight="1">
      <c r="A1492" s="73"/>
      <c r="B1492" s="32"/>
      <c r="C1492" s="32"/>
      <c r="D1492" s="33"/>
      <c r="E1492" s="32"/>
      <c r="F1492" s="32"/>
      <c r="G1492" s="74"/>
      <c r="H1492" s="32"/>
      <c r="I1492" s="32"/>
      <c r="J1492" s="32"/>
      <c r="K1492" s="74"/>
      <c r="L1492" s="35"/>
      <c r="M1492" s="32"/>
      <c r="N1492" s="32"/>
      <c r="O1492" s="59"/>
      <c r="P1492" s="73"/>
      <c r="Q1492" s="73"/>
      <c r="R1492" s="73"/>
      <c r="S1492" s="73"/>
      <c r="T1492" s="73"/>
      <c r="U1492" s="73"/>
      <c r="V1492" s="73"/>
      <c r="W1492" s="73"/>
      <c r="X1492" s="73"/>
      <c r="Y1492" s="73"/>
      <c r="Z1492" s="73"/>
      <c r="AA1492" s="73"/>
    </row>
    <row r="1493" spans="1:27" ht="12.75" customHeight="1">
      <c r="A1493" s="73"/>
      <c r="B1493" s="32"/>
      <c r="C1493" s="32"/>
      <c r="D1493" s="33"/>
      <c r="E1493" s="32"/>
      <c r="F1493" s="32"/>
      <c r="G1493" s="74"/>
      <c r="H1493" s="32"/>
      <c r="I1493" s="32"/>
      <c r="J1493" s="32"/>
      <c r="K1493" s="74"/>
      <c r="L1493" s="35"/>
      <c r="M1493" s="32"/>
      <c r="N1493" s="32"/>
      <c r="O1493" s="59"/>
      <c r="P1493" s="73"/>
      <c r="Q1493" s="73"/>
      <c r="R1493" s="73"/>
      <c r="S1493" s="73"/>
      <c r="T1493" s="73"/>
      <c r="U1493" s="73"/>
      <c r="V1493" s="73"/>
      <c r="W1493" s="73"/>
      <c r="X1493" s="73"/>
      <c r="Y1493" s="73"/>
      <c r="Z1493" s="73"/>
      <c r="AA1493" s="73"/>
    </row>
    <row r="1494" spans="1:27" ht="12.75" customHeight="1">
      <c r="A1494" s="73"/>
      <c r="B1494" s="32"/>
      <c r="C1494" s="32"/>
      <c r="D1494" s="33"/>
      <c r="E1494" s="32"/>
      <c r="F1494" s="32"/>
      <c r="G1494" s="74"/>
      <c r="H1494" s="32"/>
      <c r="I1494" s="32"/>
      <c r="J1494" s="32"/>
      <c r="K1494" s="74"/>
      <c r="L1494" s="35"/>
      <c r="M1494" s="32"/>
      <c r="N1494" s="32"/>
      <c r="O1494" s="59"/>
      <c r="P1494" s="73"/>
      <c r="Q1494" s="73"/>
      <c r="R1494" s="73"/>
      <c r="S1494" s="73"/>
      <c r="T1494" s="73"/>
      <c r="U1494" s="73"/>
      <c r="V1494" s="73"/>
      <c r="W1494" s="73"/>
      <c r="X1494" s="73"/>
      <c r="Y1494" s="73"/>
      <c r="Z1494" s="73"/>
      <c r="AA1494" s="73"/>
    </row>
    <row r="1495" spans="1:27" ht="12.75" customHeight="1">
      <c r="A1495" s="73"/>
      <c r="B1495" s="32"/>
      <c r="C1495" s="32"/>
      <c r="D1495" s="33"/>
      <c r="E1495" s="32"/>
      <c r="F1495" s="32"/>
      <c r="G1495" s="74"/>
      <c r="H1495" s="32"/>
      <c r="I1495" s="32"/>
      <c r="J1495" s="32"/>
      <c r="K1495" s="74"/>
      <c r="L1495" s="35"/>
      <c r="M1495" s="32"/>
      <c r="N1495" s="32"/>
      <c r="O1495" s="59"/>
      <c r="P1495" s="73"/>
      <c r="Q1495" s="73"/>
      <c r="R1495" s="73"/>
      <c r="S1495" s="73"/>
      <c r="T1495" s="73"/>
      <c r="U1495" s="73"/>
      <c r="V1495" s="73"/>
      <c r="W1495" s="73"/>
      <c r="X1495" s="73"/>
      <c r="Y1495" s="73"/>
      <c r="Z1495" s="73"/>
      <c r="AA1495" s="73"/>
    </row>
    <row r="1496" spans="1:27" ht="12.75" customHeight="1">
      <c r="A1496" s="73"/>
      <c r="B1496" s="32"/>
      <c r="C1496" s="32"/>
      <c r="D1496" s="33"/>
      <c r="E1496" s="32"/>
      <c r="F1496" s="32"/>
      <c r="G1496" s="74"/>
      <c r="H1496" s="32"/>
      <c r="I1496" s="32"/>
      <c r="J1496" s="32"/>
      <c r="K1496" s="74"/>
      <c r="L1496" s="35"/>
      <c r="M1496" s="32"/>
      <c r="N1496" s="32"/>
      <c r="O1496" s="59"/>
      <c r="P1496" s="73"/>
      <c r="Q1496" s="73"/>
      <c r="R1496" s="73"/>
      <c r="S1496" s="73"/>
      <c r="T1496" s="73"/>
      <c r="U1496" s="73"/>
      <c r="V1496" s="73"/>
      <c r="W1496" s="73"/>
      <c r="X1496" s="73"/>
      <c r="Y1496" s="73"/>
      <c r="Z1496" s="73"/>
      <c r="AA1496" s="73"/>
    </row>
    <row r="1497" spans="1:27" ht="12.75" customHeight="1">
      <c r="A1497" s="73"/>
      <c r="B1497" s="32"/>
      <c r="C1497" s="32"/>
      <c r="D1497" s="33"/>
      <c r="E1497" s="32"/>
      <c r="F1497" s="32"/>
      <c r="G1497" s="74"/>
      <c r="H1497" s="32"/>
      <c r="I1497" s="32"/>
      <c r="J1497" s="32"/>
      <c r="K1497" s="74"/>
      <c r="L1497" s="35"/>
      <c r="M1497" s="32"/>
      <c r="N1497" s="32"/>
      <c r="O1497" s="59"/>
      <c r="P1497" s="73"/>
      <c r="Q1497" s="73"/>
      <c r="R1497" s="73"/>
      <c r="S1497" s="73"/>
      <c r="T1497" s="73"/>
      <c r="U1497" s="73"/>
      <c r="V1497" s="73"/>
      <c r="W1497" s="73"/>
      <c r="X1497" s="73"/>
      <c r="Y1497" s="73"/>
      <c r="Z1497" s="73"/>
      <c r="AA1497" s="73"/>
    </row>
    <row r="1498" spans="1:27" ht="12.75" customHeight="1">
      <c r="A1498" s="73"/>
      <c r="B1498" s="32"/>
      <c r="C1498" s="32"/>
      <c r="D1498" s="33"/>
      <c r="E1498" s="32"/>
      <c r="F1498" s="32"/>
      <c r="G1498" s="74"/>
      <c r="H1498" s="32"/>
      <c r="I1498" s="32"/>
      <c r="J1498" s="32"/>
      <c r="K1498" s="74"/>
      <c r="L1498" s="35"/>
      <c r="M1498" s="32"/>
      <c r="N1498" s="32"/>
      <c r="O1498" s="59"/>
      <c r="P1498" s="73"/>
      <c r="Q1498" s="73"/>
      <c r="R1498" s="73"/>
      <c r="S1498" s="73"/>
      <c r="T1498" s="73"/>
      <c r="U1498" s="73"/>
      <c r="V1498" s="73"/>
      <c r="W1498" s="73"/>
      <c r="X1498" s="73"/>
      <c r="Y1498" s="73"/>
      <c r="Z1498" s="73"/>
      <c r="AA1498" s="73"/>
    </row>
    <row r="1499" spans="1:27" ht="12.75" customHeight="1">
      <c r="A1499" s="73"/>
      <c r="B1499" s="32"/>
      <c r="C1499" s="32"/>
      <c r="D1499" s="33"/>
      <c r="E1499" s="32"/>
      <c r="F1499" s="32"/>
      <c r="G1499" s="74"/>
      <c r="H1499" s="32"/>
      <c r="I1499" s="32"/>
      <c r="J1499" s="32"/>
      <c r="K1499" s="74"/>
      <c r="L1499" s="35"/>
      <c r="M1499" s="32"/>
      <c r="N1499" s="32"/>
      <c r="O1499" s="59"/>
      <c r="P1499" s="73"/>
      <c r="Q1499" s="73"/>
      <c r="R1499" s="73"/>
      <c r="S1499" s="73"/>
      <c r="T1499" s="73"/>
      <c r="U1499" s="73"/>
      <c r="V1499" s="73"/>
      <c r="W1499" s="73"/>
      <c r="X1499" s="73"/>
      <c r="Y1499" s="73"/>
      <c r="Z1499" s="73"/>
      <c r="AA1499" s="73"/>
    </row>
    <row r="1500" spans="1:27" ht="12.75" customHeight="1">
      <c r="A1500" s="73"/>
      <c r="B1500" s="32"/>
      <c r="C1500" s="32"/>
      <c r="D1500" s="33"/>
      <c r="E1500" s="32"/>
      <c r="F1500" s="32"/>
      <c r="G1500" s="74"/>
      <c r="H1500" s="32"/>
      <c r="I1500" s="32"/>
      <c r="J1500" s="32"/>
      <c r="K1500" s="74"/>
      <c r="L1500" s="35"/>
      <c r="M1500" s="32"/>
      <c r="N1500" s="32"/>
      <c r="O1500" s="59"/>
      <c r="P1500" s="73"/>
      <c r="Q1500" s="73"/>
      <c r="R1500" s="73"/>
      <c r="S1500" s="73"/>
      <c r="T1500" s="73"/>
      <c r="U1500" s="73"/>
      <c r="V1500" s="73"/>
      <c r="W1500" s="73"/>
      <c r="X1500" s="73"/>
      <c r="Y1500" s="73"/>
      <c r="Z1500" s="73"/>
      <c r="AA1500" s="73"/>
    </row>
    <row r="1501" spans="1:27" ht="12.75" customHeight="1">
      <c r="A1501" s="73"/>
      <c r="B1501" s="32"/>
      <c r="C1501" s="32"/>
      <c r="D1501" s="33"/>
      <c r="E1501" s="32"/>
      <c r="F1501" s="32"/>
      <c r="G1501" s="74"/>
      <c r="H1501" s="32"/>
      <c r="I1501" s="32"/>
      <c r="J1501" s="32"/>
      <c r="K1501" s="74"/>
      <c r="L1501" s="35"/>
      <c r="M1501" s="32"/>
      <c r="N1501" s="32"/>
      <c r="O1501" s="59"/>
      <c r="P1501" s="73"/>
      <c r="Q1501" s="73"/>
      <c r="R1501" s="73"/>
      <c r="S1501" s="73"/>
      <c r="T1501" s="73"/>
      <c r="U1501" s="73"/>
      <c r="V1501" s="73"/>
      <c r="W1501" s="73"/>
      <c r="X1501" s="73"/>
      <c r="Y1501" s="73"/>
      <c r="Z1501" s="73"/>
      <c r="AA1501" s="73"/>
    </row>
    <row r="1502" spans="1:27" ht="12.75" customHeight="1">
      <c r="A1502" s="73"/>
      <c r="B1502" s="32"/>
      <c r="C1502" s="32"/>
      <c r="D1502" s="33"/>
      <c r="E1502" s="32"/>
      <c r="F1502" s="32"/>
      <c r="G1502" s="74"/>
      <c r="H1502" s="32"/>
      <c r="I1502" s="32"/>
      <c r="J1502" s="32"/>
      <c r="K1502" s="74"/>
      <c r="L1502" s="35"/>
      <c r="M1502" s="32"/>
      <c r="N1502" s="32"/>
      <c r="O1502" s="59"/>
      <c r="P1502" s="73"/>
      <c r="Q1502" s="73"/>
      <c r="R1502" s="73"/>
      <c r="S1502" s="73"/>
      <c r="T1502" s="73"/>
      <c r="U1502" s="73"/>
      <c r="V1502" s="73"/>
      <c r="W1502" s="73"/>
      <c r="X1502" s="73"/>
      <c r="Y1502" s="73"/>
      <c r="Z1502" s="73"/>
      <c r="AA1502" s="73"/>
    </row>
    <row r="1503" spans="1:27" ht="12.75" customHeight="1">
      <c r="A1503" s="73"/>
      <c r="B1503" s="32"/>
      <c r="C1503" s="32"/>
      <c r="D1503" s="33"/>
      <c r="E1503" s="32"/>
      <c r="F1503" s="32"/>
      <c r="G1503" s="74"/>
      <c r="H1503" s="32"/>
      <c r="I1503" s="32"/>
      <c r="J1503" s="32"/>
      <c r="K1503" s="74"/>
      <c r="L1503" s="35"/>
      <c r="M1503" s="32"/>
      <c r="N1503" s="32"/>
      <c r="O1503" s="59"/>
      <c r="P1503" s="73"/>
      <c r="Q1503" s="73"/>
      <c r="R1503" s="73"/>
      <c r="S1503" s="73"/>
      <c r="T1503" s="73"/>
      <c r="U1503" s="73"/>
      <c r="V1503" s="73"/>
      <c r="W1503" s="73"/>
      <c r="X1503" s="73"/>
      <c r="Y1503" s="73"/>
      <c r="Z1503" s="73"/>
      <c r="AA1503" s="73"/>
    </row>
    <row r="1504" spans="1:27" ht="12.75" customHeight="1">
      <c r="A1504" s="73"/>
      <c r="B1504" s="32"/>
      <c r="C1504" s="32"/>
      <c r="D1504" s="33"/>
      <c r="E1504" s="32"/>
      <c r="F1504" s="32"/>
      <c r="G1504" s="74"/>
      <c r="H1504" s="32"/>
      <c r="I1504" s="32"/>
      <c r="J1504" s="32"/>
      <c r="K1504" s="74"/>
      <c r="L1504" s="35"/>
      <c r="M1504" s="32"/>
      <c r="N1504" s="32"/>
      <c r="O1504" s="59"/>
      <c r="P1504" s="73"/>
      <c r="Q1504" s="73"/>
      <c r="R1504" s="73"/>
      <c r="S1504" s="73"/>
      <c r="T1504" s="73"/>
      <c r="U1504" s="73"/>
      <c r="V1504" s="73"/>
      <c r="W1504" s="73"/>
      <c r="X1504" s="73"/>
      <c r="Y1504" s="73"/>
      <c r="Z1504" s="73"/>
      <c r="AA1504" s="73"/>
    </row>
    <row r="1505" spans="1:27" ht="12.75" customHeight="1">
      <c r="A1505" s="73"/>
      <c r="B1505" s="32"/>
      <c r="C1505" s="32"/>
      <c r="D1505" s="33"/>
      <c r="E1505" s="32"/>
      <c r="F1505" s="32"/>
      <c r="G1505" s="74"/>
      <c r="H1505" s="32"/>
      <c r="I1505" s="32"/>
      <c r="J1505" s="32"/>
      <c r="K1505" s="74"/>
      <c r="L1505" s="35"/>
      <c r="M1505" s="32"/>
      <c r="N1505" s="32"/>
      <c r="O1505" s="59"/>
      <c r="P1505" s="73"/>
      <c r="Q1505" s="73"/>
      <c r="R1505" s="73"/>
      <c r="S1505" s="73"/>
      <c r="T1505" s="73"/>
      <c r="U1505" s="73"/>
      <c r="V1505" s="73"/>
      <c r="W1505" s="73"/>
      <c r="X1505" s="73"/>
      <c r="Y1505" s="73"/>
      <c r="Z1505" s="73"/>
      <c r="AA1505" s="73"/>
    </row>
    <row r="1506" spans="1:27" ht="12.75" customHeight="1">
      <c r="A1506" s="73"/>
      <c r="B1506" s="32"/>
      <c r="C1506" s="32"/>
      <c r="D1506" s="33"/>
      <c r="E1506" s="32"/>
      <c r="F1506" s="32"/>
      <c r="G1506" s="74"/>
      <c r="H1506" s="32"/>
      <c r="I1506" s="32"/>
      <c r="J1506" s="32"/>
      <c r="K1506" s="74"/>
      <c r="L1506" s="35"/>
      <c r="M1506" s="32"/>
      <c r="N1506" s="32"/>
      <c r="O1506" s="59"/>
      <c r="P1506" s="73"/>
      <c r="Q1506" s="73"/>
      <c r="R1506" s="73"/>
      <c r="S1506" s="73"/>
      <c r="T1506" s="73"/>
      <c r="U1506" s="73"/>
      <c r="V1506" s="73"/>
      <c r="W1506" s="73"/>
      <c r="X1506" s="73"/>
      <c r="Y1506" s="73"/>
      <c r="Z1506" s="73"/>
      <c r="AA1506" s="73"/>
    </row>
    <row r="1507" spans="1:27" ht="12.75" customHeight="1">
      <c r="A1507" s="73"/>
      <c r="B1507" s="32"/>
      <c r="C1507" s="32"/>
      <c r="D1507" s="33"/>
      <c r="E1507" s="32"/>
      <c r="F1507" s="32"/>
      <c r="G1507" s="74"/>
      <c r="H1507" s="32"/>
      <c r="I1507" s="32"/>
      <c r="J1507" s="32"/>
      <c r="K1507" s="74"/>
      <c r="L1507" s="35"/>
      <c r="M1507" s="32"/>
      <c r="N1507" s="32"/>
      <c r="O1507" s="59"/>
      <c r="P1507" s="73"/>
      <c r="Q1507" s="73"/>
      <c r="R1507" s="73"/>
      <c r="S1507" s="73"/>
      <c r="T1507" s="73"/>
      <c r="U1507" s="73"/>
      <c r="V1507" s="73"/>
      <c r="W1507" s="73"/>
      <c r="X1507" s="73"/>
      <c r="Y1507" s="73"/>
      <c r="Z1507" s="73"/>
      <c r="AA1507" s="73"/>
    </row>
    <row r="1508" spans="1:27" ht="12.75" customHeight="1">
      <c r="A1508" s="73"/>
      <c r="B1508" s="32"/>
      <c r="C1508" s="32"/>
      <c r="D1508" s="33"/>
      <c r="E1508" s="32"/>
      <c r="F1508" s="32"/>
      <c r="G1508" s="74"/>
      <c r="H1508" s="32"/>
      <c r="I1508" s="32"/>
      <c r="J1508" s="32"/>
      <c r="K1508" s="74"/>
      <c r="L1508" s="35"/>
      <c r="M1508" s="32"/>
      <c r="N1508" s="32"/>
      <c r="O1508" s="59"/>
      <c r="P1508" s="73"/>
      <c r="Q1508" s="73"/>
      <c r="R1508" s="73"/>
      <c r="S1508" s="73"/>
      <c r="T1508" s="73"/>
      <c r="U1508" s="73"/>
      <c r="V1508" s="73"/>
      <c r="W1508" s="73"/>
      <c r="X1508" s="73"/>
      <c r="Y1508" s="73"/>
      <c r="Z1508" s="73"/>
      <c r="AA1508" s="73"/>
    </row>
    <row r="1509" spans="1:27" ht="12.75" customHeight="1">
      <c r="A1509" s="73"/>
      <c r="B1509" s="32"/>
      <c r="C1509" s="32"/>
      <c r="D1509" s="33"/>
      <c r="E1509" s="32"/>
      <c r="F1509" s="32"/>
      <c r="G1509" s="74"/>
      <c r="H1509" s="32"/>
      <c r="I1509" s="32"/>
      <c r="J1509" s="32"/>
      <c r="K1509" s="74"/>
      <c r="L1509" s="35"/>
      <c r="M1509" s="32"/>
      <c r="N1509" s="32"/>
      <c r="O1509" s="59"/>
      <c r="P1509" s="73"/>
      <c r="Q1509" s="73"/>
      <c r="R1509" s="73"/>
      <c r="S1509" s="73"/>
      <c r="T1509" s="73"/>
      <c r="U1509" s="73"/>
      <c r="V1509" s="73"/>
      <c r="W1509" s="73"/>
      <c r="X1509" s="73"/>
      <c r="Y1509" s="73"/>
      <c r="Z1509" s="73"/>
      <c r="AA1509" s="73"/>
    </row>
    <row r="1510" spans="1:27" ht="12.75" customHeight="1">
      <c r="A1510" s="73"/>
      <c r="B1510" s="32"/>
      <c r="C1510" s="32"/>
      <c r="D1510" s="33"/>
      <c r="E1510" s="32"/>
      <c r="F1510" s="32"/>
      <c r="G1510" s="74"/>
      <c r="H1510" s="32"/>
      <c r="I1510" s="32"/>
      <c r="J1510" s="32"/>
      <c r="K1510" s="74"/>
      <c r="L1510" s="35"/>
      <c r="M1510" s="32"/>
      <c r="N1510" s="32"/>
      <c r="O1510" s="59"/>
      <c r="P1510" s="73"/>
      <c r="Q1510" s="73"/>
      <c r="R1510" s="73"/>
      <c r="S1510" s="73"/>
      <c r="T1510" s="73"/>
      <c r="U1510" s="73"/>
      <c r="V1510" s="73"/>
      <c r="W1510" s="73"/>
      <c r="X1510" s="73"/>
      <c r="Y1510" s="73"/>
      <c r="Z1510" s="73"/>
      <c r="AA1510" s="73"/>
    </row>
    <row r="1511" spans="1:27" ht="12.75" customHeight="1">
      <c r="A1511" s="73"/>
      <c r="B1511" s="32"/>
      <c r="C1511" s="32"/>
      <c r="D1511" s="33"/>
      <c r="E1511" s="32"/>
      <c r="F1511" s="32"/>
      <c r="G1511" s="74"/>
      <c r="H1511" s="32"/>
      <c r="I1511" s="32"/>
      <c r="J1511" s="32"/>
      <c r="K1511" s="74"/>
      <c r="L1511" s="35"/>
      <c r="M1511" s="32"/>
      <c r="N1511" s="32"/>
      <c r="O1511" s="59"/>
      <c r="P1511" s="73"/>
      <c r="Q1511" s="73"/>
      <c r="R1511" s="73"/>
      <c r="S1511" s="73"/>
      <c r="T1511" s="73"/>
      <c r="U1511" s="73"/>
      <c r="V1511" s="73"/>
      <c r="W1511" s="73"/>
      <c r="X1511" s="73"/>
      <c r="Y1511" s="73"/>
      <c r="Z1511" s="73"/>
      <c r="AA1511" s="73"/>
    </row>
    <row r="1512" spans="1:27" ht="12.75" customHeight="1">
      <c r="A1512" s="73"/>
      <c r="B1512" s="32"/>
      <c r="C1512" s="32"/>
      <c r="D1512" s="33"/>
      <c r="E1512" s="32"/>
      <c r="F1512" s="32"/>
      <c r="G1512" s="74"/>
      <c r="H1512" s="32"/>
      <c r="I1512" s="32"/>
      <c r="J1512" s="32"/>
      <c r="K1512" s="74"/>
      <c r="L1512" s="35"/>
      <c r="M1512" s="32"/>
      <c r="N1512" s="32"/>
      <c r="O1512" s="59"/>
      <c r="P1512" s="73"/>
      <c r="Q1512" s="73"/>
      <c r="R1512" s="73"/>
      <c r="S1512" s="73"/>
      <c r="T1512" s="73"/>
      <c r="U1512" s="73"/>
      <c r="V1512" s="73"/>
      <c r="W1512" s="73"/>
      <c r="X1512" s="73"/>
      <c r="Y1512" s="73"/>
      <c r="Z1512" s="73"/>
      <c r="AA1512" s="73"/>
    </row>
    <row r="1513" spans="1:27" ht="12.75" customHeight="1">
      <c r="A1513" s="73"/>
      <c r="B1513" s="32"/>
      <c r="C1513" s="32"/>
      <c r="D1513" s="33"/>
      <c r="E1513" s="32"/>
      <c r="F1513" s="32"/>
      <c r="G1513" s="74"/>
      <c r="H1513" s="32"/>
      <c r="I1513" s="32"/>
      <c r="J1513" s="32"/>
      <c r="K1513" s="74"/>
      <c r="L1513" s="35"/>
      <c r="M1513" s="32"/>
      <c r="N1513" s="32"/>
      <c r="O1513" s="59"/>
      <c r="P1513" s="73"/>
      <c r="Q1513" s="73"/>
      <c r="R1513" s="73"/>
      <c r="S1513" s="73"/>
      <c r="T1513" s="73"/>
      <c r="U1513" s="73"/>
      <c r="V1513" s="73"/>
      <c r="W1513" s="73"/>
      <c r="X1513" s="73"/>
      <c r="Y1513" s="73"/>
      <c r="Z1513" s="73"/>
      <c r="AA1513" s="73"/>
    </row>
    <row r="1514" spans="1:27" ht="12.75" customHeight="1">
      <c r="A1514" s="73"/>
      <c r="B1514" s="32"/>
      <c r="C1514" s="32"/>
      <c r="D1514" s="33"/>
      <c r="E1514" s="32"/>
      <c r="F1514" s="32"/>
      <c r="G1514" s="74"/>
      <c r="H1514" s="32"/>
      <c r="I1514" s="32"/>
      <c r="J1514" s="32"/>
      <c r="K1514" s="74"/>
      <c r="L1514" s="35"/>
      <c r="M1514" s="32"/>
      <c r="N1514" s="32"/>
      <c r="O1514" s="59"/>
      <c r="P1514" s="73"/>
      <c r="Q1514" s="73"/>
      <c r="R1514" s="73"/>
      <c r="S1514" s="73"/>
      <c r="T1514" s="73"/>
      <c r="U1514" s="73"/>
      <c r="V1514" s="73"/>
      <c r="W1514" s="73"/>
      <c r="X1514" s="73"/>
      <c r="Y1514" s="73"/>
      <c r="Z1514" s="73"/>
      <c r="AA1514" s="73"/>
    </row>
    <row r="1515" spans="1:27" ht="12.75" customHeight="1">
      <c r="A1515" s="73"/>
      <c r="B1515" s="32"/>
      <c r="C1515" s="32"/>
      <c r="D1515" s="33"/>
      <c r="E1515" s="32"/>
      <c r="F1515" s="32"/>
      <c r="G1515" s="74"/>
      <c r="H1515" s="32"/>
      <c r="I1515" s="32"/>
      <c r="J1515" s="32"/>
      <c r="K1515" s="74"/>
      <c r="L1515" s="35"/>
      <c r="M1515" s="32"/>
      <c r="N1515" s="32"/>
      <c r="O1515" s="59"/>
      <c r="P1515" s="73"/>
      <c r="Q1515" s="73"/>
      <c r="R1515" s="73"/>
      <c r="S1515" s="73"/>
      <c r="T1515" s="73"/>
      <c r="U1515" s="73"/>
      <c r="V1515" s="73"/>
      <c r="W1515" s="73"/>
      <c r="X1515" s="73"/>
      <c r="Y1515" s="73"/>
      <c r="Z1515" s="73"/>
      <c r="AA1515" s="73"/>
    </row>
    <row r="1516" spans="1:27" ht="12.75" customHeight="1">
      <c r="A1516" s="73"/>
      <c r="B1516" s="32"/>
      <c r="C1516" s="32"/>
      <c r="D1516" s="33"/>
      <c r="E1516" s="32"/>
      <c r="F1516" s="32"/>
      <c r="G1516" s="74"/>
      <c r="H1516" s="32"/>
      <c r="I1516" s="32"/>
      <c r="J1516" s="32"/>
      <c r="K1516" s="74"/>
      <c r="L1516" s="35"/>
      <c r="M1516" s="32"/>
      <c r="N1516" s="32"/>
      <c r="O1516" s="59"/>
      <c r="P1516" s="73"/>
      <c r="Q1516" s="73"/>
      <c r="R1516" s="73"/>
      <c r="S1516" s="73"/>
      <c r="T1516" s="73"/>
      <c r="U1516" s="73"/>
      <c r="V1516" s="73"/>
      <c r="W1516" s="73"/>
      <c r="X1516" s="73"/>
      <c r="Y1516" s="73"/>
      <c r="Z1516" s="73"/>
      <c r="AA1516" s="73"/>
    </row>
    <row r="1517" spans="1:27" ht="12.75" customHeight="1">
      <c r="A1517" s="73"/>
      <c r="B1517" s="32"/>
      <c r="C1517" s="32"/>
      <c r="D1517" s="33"/>
      <c r="E1517" s="32"/>
      <c r="F1517" s="32"/>
      <c r="G1517" s="74"/>
      <c r="H1517" s="32"/>
      <c r="I1517" s="32"/>
      <c r="J1517" s="32"/>
      <c r="K1517" s="74"/>
      <c r="L1517" s="35"/>
      <c r="M1517" s="32"/>
      <c r="N1517" s="32"/>
      <c r="O1517" s="59"/>
      <c r="P1517" s="73"/>
      <c r="Q1517" s="73"/>
      <c r="R1517" s="73"/>
      <c r="S1517" s="73"/>
      <c r="T1517" s="73"/>
      <c r="U1517" s="73"/>
      <c r="V1517" s="73"/>
      <c r="W1517" s="73"/>
      <c r="X1517" s="73"/>
      <c r="Y1517" s="73"/>
      <c r="Z1517" s="73"/>
      <c r="AA1517" s="73"/>
    </row>
    <row r="1518" spans="1:27" ht="12.75" customHeight="1">
      <c r="A1518" s="73"/>
      <c r="B1518" s="32"/>
      <c r="C1518" s="32"/>
      <c r="D1518" s="33"/>
      <c r="E1518" s="32"/>
      <c r="F1518" s="32"/>
      <c r="G1518" s="74"/>
      <c r="H1518" s="32"/>
      <c r="I1518" s="32"/>
      <c r="J1518" s="32"/>
      <c r="K1518" s="74"/>
      <c r="L1518" s="35"/>
      <c r="M1518" s="32"/>
      <c r="N1518" s="32"/>
      <c r="O1518" s="59"/>
      <c r="P1518" s="73"/>
      <c r="Q1518" s="73"/>
      <c r="R1518" s="73"/>
      <c r="S1518" s="73"/>
      <c r="T1518" s="73"/>
      <c r="U1518" s="73"/>
      <c r="V1518" s="73"/>
      <c r="W1518" s="73"/>
      <c r="X1518" s="73"/>
      <c r="Y1518" s="73"/>
      <c r="Z1518" s="73"/>
      <c r="AA1518" s="73"/>
    </row>
    <row r="1519" spans="1:27" ht="12.75" customHeight="1">
      <c r="A1519" s="73"/>
      <c r="B1519" s="32"/>
      <c r="C1519" s="32"/>
      <c r="D1519" s="33"/>
      <c r="E1519" s="32"/>
      <c r="F1519" s="32"/>
      <c r="G1519" s="74"/>
      <c r="H1519" s="32"/>
      <c r="I1519" s="32"/>
      <c r="J1519" s="32"/>
      <c r="K1519" s="74"/>
      <c r="L1519" s="35"/>
      <c r="M1519" s="32"/>
      <c r="N1519" s="32"/>
      <c r="O1519" s="59"/>
      <c r="P1519" s="73"/>
      <c r="Q1519" s="73"/>
      <c r="R1519" s="73"/>
      <c r="S1519" s="73"/>
      <c r="T1519" s="73"/>
      <c r="U1519" s="73"/>
      <c r="V1519" s="73"/>
      <c r="W1519" s="73"/>
      <c r="X1519" s="73"/>
      <c r="Y1519" s="73"/>
      <c r="Z1519" s="73"/>
      <c r="AA1519" s="73"/>
    </row>
    <row r="1520" spans="1:27" ht="12.75" customHeight="1">
      <c r="A1520" s="73"/>
      <c r="B1520" s="32"/>
      <c r="C1520" s="32"/>
      <c r="D1520" s="33"/>
      <c r="E1520" s="32"/>
      <c r="F1520" s="32"/>
      <c r="G1520" s="74"/>
      <c r="H1520" s="32"/>
      <c r="I1520" s="32"/>
      <c r="J1520" s="32"/>
      <c r="K1520" s="74"/>
      <c r="L1520" s="35"/>
      <c r="M1520" s="32"/>
      <c r="N1520" s="32"/>
      <c r="O1520" s="59"/>
      <c r="P1520" s="73"/>
      <c r="Q1520" s="73"/>
      <c r="R1520" s="73"/>
      <c r="S1520" s="73"/>
      <c r="T1520" s="73"/>
      <c r="U1520" s="73"/>
      <c r="V1520" s="73"/>
      <c r="W1520" s="73"/>
      <c r="X1520" s="73"/>
      <c r="Y1520" s="73"/>
      <c r="Z1520" s="73"/>
      <c r="AA1520" s="73"/>
    </row>
    <row r="1521" spans="1:27" ht="12.75" customHeight="1">
      <c r="A1521" s="73"/>
      <c r="B1521" s="32"/>
      <c r="C1521" s="32"/>
      <c r="D1521" s="33"/>
      <c r="E1521" s="32"/>
      <c r="F1521" s="32"/>
      <c r="G1521" s="74"/>
      <c r="H1521" s="32"/>
      <c r="I1521" s="32"/>
      <c r="J1521" s="32"/>
      <c r="K1521" s="74"/>
      <c r="L1521" s="35"/>
      <c r="M1521" s="32"/>
      <c r="N1521" s="32"/>
      <c r="O1521" s="59"/>
      <c r="P1521" s="73"/>
      <c r="Q1521" s="73"/>
      <c r="R1521" s="73"/>
      <c r="S1521" s="73"/>
      <c r="T1521" s="73"/>
      <c r="U1521" s="73"/>
      <c r="V1521" s="73"/>
      <c r="W1521" s="73"/>
      <c r="X1521" s="73"/>
      <c r="Y1521" s="73"/>
      <c r="Z1521" s="73"/>
      <c r="AA1521" s="73"/>
    </row>
    <row r="1522" spans="1:27" ht="12.75" customHeight="1">
      <c r="A1522" s="73"/>
      <c r="B1522" s="32"/>
      <c r="C1522" s="32"/>
      <c r="D1522" s="33"/>
      <c r="E1522" s="32"/>
      <c r="F1522" s="32"/>
      <c r="G1522" s="74"/>
      <c r="H1522" s="32"/>
      <c r="I1522" s="32"/>
      <c r="J1522" s="32"/>
      <c r="K1522" s="74"/>
      <c r="L1522" s="35"/>
      <c r="M1522" s="32"/>
      <c r="N1522" s="32"/>
      <c r="O1522" s="59"/>
      <c r="P1522" s="73"/>
      <c r="Q1522" s="73"/>
      <c r="R1522" s="73"/>
      <c r="S1522" s="73"/>
      <c r="T1522" s="73"/>
      <c r="U1522" s="73"/>
      <c r="V1522" s="73"/>
      <c r="W1522" s="73"/>
      <c r="X1522" s="73"/>
      <c r="Y1522" s="73"/>
      <c r="Z1522" s="73"/>
      <c r="AA1522" s="73"/>
    </row>
    <row r="1523" spans="1:27" ht="12.75" customHeight="1">
      <c r="A1523" s="73"/>
      <c r="B1523" s="32"/>
      <c r="C1523" s="32"/>
      <c r="D1523" s="33"/>
      <c r="E1523" s="32"/>
      <c r="F1523" s="32"/>
      <c r="G1523" s="74"/>
      <c r="H1523" s="32"/>
      <c r="I1523" s="32"/>
      <c r="J1523" s="32"/>
      <c r="K1523" s="74"/>
      <c r="L1523" s="35"/>
      <c r="M1523" s="32"/>
      <c r="N1523" s="32"/>
      <c r="O1523" s="59"/>
      <c r="P1523" s="73"/>
      <c r="Q1523" s="73"/>
      <c r="R1523" s="73"/>
      <c r="S1523" s="73"/>
      <c r="T1523" s="73"/>
      <c r="U1523" s="73"/>
      <c r="V1523" s="73"/>
      <c r="W1523" s="73"/>
      <c r="X1523" s="73"/>
      <c r="Y1523" s="73"/>
      <c r="Z1523" s="73"/>
      <c r="AA1523" s="73"/>
    </row>
    <row r="1524" spans="1:27" ht="12.75" customHeight="1">
      <c r="A1524" s="73"/>
      <c r="B1524" s="32"/>
      <c r="C1524" s="32"/>
      <c r="D1524" s="33"/>
      <c r="E1524" s="32"/>
      <c r="F1524" s="32"/>
      <c r="G1524" s="74"/>
      <c r="H1524" s="32"/>
      <c r="I1524" s="32"/>
      <c r="J1524" s="32"/>
      <c r="K1524" s="74"/>
      <c r="L1524" s="35"/>
      <c r="M1524" s="32"/>
      <c r="N1524" s="32"/>
      <c r="O1524" s="59"/>
      <c r="P1524" s="73"/>
      <c r="Q1524" s="73"/>
      <c r="R1524" s="73"/>
      <c r="S1524" s="73"/>
      <c r="T1524" s="73"/>
      <c r="U1524" s="73"/>
      <c r="V1524" s="73"/>
      <c r="W1524" s="73"/>
      <c r="X1524" s="73"/>
      <c r="Y1524" s="73"/>
      <c r="Z1524" s="73"/>
      <c r="AA1524" s="73"/>
    </row>
    <row r="1525" spans="1:27" ht="12.75" customHeight="1">
      <c r="A1525" s="73"/>
      <c r="B1525" s="32"/>
      <c r="C1525" s="32"/>
      <c r="D1525" s="33"/>
      <c r="E1525" s="32"/>
      <c r="F1525" s="32"/>
      <c r="G1525" s="74"/>
      <c r="H1525" s="32"/>
      <c r="I1525" s="32"/>
      <c r="J1525" s="32"/>
      <c r="K1525" s="74"/>
      <c r="L1525" s="35"/>
      <c r="M1525" s="32"/>
      <c r="N1525" s="32"/>
      <c r="O1525" s="59"/>
      <c r="P1525" s="73"/>
      <c r="Q1525" s="73"/>
      <c r="R1525" s="73"/>
      <c r="S1525" s="73"/>
      <c r="T1525" s="73"/>
      <c r="U1525" s="73"/>
      <c r="V1525" s="73"/>
      <c r="W1525" s="73"/>
      <c r="X1525" s="73"/>
      <c r="Y1525" s="73"/>
      <c r="Z1525" s="73"/>
      <c r="AA1525" s="73"/>
    </row>
    <row r="1526" spans="1:27" ht="12.75" customHeight="1">
      <c r="A1526" s="73"/>
      <c r="B1526" s="32"/>
      <c r="C1526" s="32"/>
      <c r="D1526" s="33"/>
      <c r="E1526" s="32"/>
      <c r="F1526" s="32"/>
      <c r="G1526" s="74"/>
      <c r="H1526" s="32"/>
      <c r="I1526" s="32"/>
      <c r="J1526" s="32"/>
      <c r="K1526" s="74"/>
      <c r="L1526" s="35"/>
      <c r="M1526" s="32"/>
      <c r="N1526" s="32"/>
      <c r="O1526" s="59"/>
      <c r="P1526" s="73"/>
      <c r="Q1526" s="73"/>
      <c r="R1526" s="73"/>
      <c r="S1526" s="73"/>
      <c r="T1526" s="73"/>
      <c r="U1526" s="73"/>
      <c r="V1526" s="73"/>
      <c r="W1526" s="73"/>
      <c r="X1526" s="73"/>
      <c r="Y1526" s="73"/>
      <c r="Z1526" s="73"/>
      <c r="AA1526" s="73"/>
    </row>
    <row r="1527" spans="1:27" ht="12.75" customHeight="1">
      <c r="A1527" s="73"/>
      <c r="B1527" s="32"/>
      <c r="C1527" s="32"/>
      <c r="D1527" s="33"/>
      <c r="E1527" s="32"/>
      <c r="F1527" s="32"/>
      <c r="G1527" s="74"/>
      <c r="H1527" s="32"/>
      <c r="I1527" s="32"/>
      <c r="J1527" s="32"/>
      <c r="K1527" s="74"/>
      <c r="L1527" s="35"/>
      <c r="M1527" s="32"/>
      <c r="N1527" s="32"/>
      <c r="O1527" s="59"/>
      <c r="P1527" s="73"/>
      <c r="Q1527" s="73"/>
      <c r="R1527" s="73"/>
      <c r="S1527" s="73"/>
      <c r="T1527" s="73"/>
      <c r="U1527" s="73"/>
      <c r="V1527" s="73"/>
      <c r="W1527" s="73"/>
      <c r="X1527" s="73"/>
      <c r="Y1527" s="73"/>
      <c r="Z1527" s="73"/>
      <c r="AA1527" s="73"/>
    </row>
    <row r="1528" spans="1:27" ht="12.75" customHeight="1">
      <c r="A1528" s="73"/>
      <c r="B1528" s="32"/>
      <c r="C1528" s="32"/>
      <c r="D1528" s="33"/>
      <c r="E1528" s="32"/>
      <c r="F1528" s="32"/>
      <c r="G1528" s="74"/>
      <c r="H1528" s="32"/>
      <c r="I1528" s="32"/>
      <c r="J1528" s="32"/>
      <c r="K1528" s="74"/>
      <c r="L1528" s="35"/>
      <c r="M1528" s="32"/>
      <c r="N1528" s="32"/>
      <c r="O1528" s="59"/>
      <c r="P1528" s="73"/>
      <c r="Q1528" s="73"/>
      <c r="R1528" s="73"/>
      <c r="S1528" s="73"/>
      <c r="T1528" s="73"/>
      <c r="U1528" s="73"/>
      <c r="V1528" s="73"/>
      <c r="W1528" s="73"/>
      <c r="X1528" s="73"/>
      <c r="Y1528" s="73"/>
      <c r="Z1528" s="73"/>
      <c r="AA1528" s="73"/>
    </row>
    <row r="1529" spans="1:27" ht="12.75" customHeight="1">
      <c r="A1529" s="73"/>
      <c r="B1529" s="32"/>
      <c r="C1529" s="32"/>
      <c r="D1529" s="33"/>
      <c r="E1529" s="32"/>
      <c r="F1529" s="32"/>
      <c r="G1529" s="74"/>
      <c r="H1529" s="32"/>
      <c r="I1529" s="32"/>
      <c r="J1529" s="32"/>
      <c r="K1529" s="74"/>
      <c r="L1529" s="35"/>
      <c r="M1529" s="32"/>
      <c r="N1529" s="32"/>
      <c r="O1529" s="59"/>
      <c r="P1529" s="73"/>
      <c r="Q1529" s="73"/>
      <c r="R1529" s="73"/>
      <c r="S1529" s="73"/>
      <c r="T1529" s="73"/>
      <c r="U1529" s="73"/>
      <c r="V1529" s="73"/>
      <c r="W1529" s="73"/>
      <c r="X1529" s="73"/>
      <c r="Y1529" s="73"/>
      <c r="Z1529" s="73"/>
      <c r="AA1529" s="73"/>
    </row>
    <row r="1530" spans="1:27" ht="12.75" customHeight="1">
      <c r="A1530" s="73"/>
      <c r="B1530" s="32"/>
      <c r="C1530" s="32"/>
      <c r="D1530" s="33"/>
      <c r="E1530" s="32"/>
      <c r="F1530" s="32"/>
      <c r="G1530" s="74"/>
      <c r="H1530" s="32"/>
      <c r="I1530" s="32"/>
      <c r="J1530" s="32"/>
      <c r="K1530" s="74"/>
      <c r="L1530" s="35"/>
      <c r="M1530" s="32"/>
      <c r="N1530" s="32"/>
      <c r="O1530" s="59"/>
      <c r="P1530" s="73"/>
      <c r="Q1530" s="73"/>
      <c r="R1530" s="73"/>
      <c r="S1530" s="73"/>
      <c r="T1530" s="73"/>
      <c r="U1530" s="73"/>
      <c r="V1530" s="73"/>
      <c r="W1530" s="73"/>
      <c r="X1530" s="73"/>
      <c r="Y1530" s="73"/>
      <c r="Z1530" s="73"/>
      <c r="AA1530" s="73"/>
    </row>
    <row r="1531" spans="1:27" ht="12.75" customHeight="1">
      <c r="A1531" s="73"/>
      <c r="B1531" s="32"/>
      <c r="C1531" s="32"/>
      <c r="D1531" s="33"/>
      <c r="E1531" s="32"/>
      <c r="F1531" s="32"/>
      <c r="G1531" s="74"/>
      <c r="H1531" s="32"/>
      <c r="I1531" s="32"/>
      <c r="J1531" s="32"/>
      <c r="K1531" s="74"/>
      <c r="L1531" s="35"/>
      <c r="M1531" s="32"/>
      <c r="N1531" s="32"/>
      <c r="O1531" s="59"/>
      <c r="P1531" s="73"/>
      <c r="Q1531" s="73"/>
      <c r="R1531" s="73"/>
      <c r="S1531" s="73"/>
      <c r="T1531" s="73"/>
      <c r="U1531" s="73"/>
      <c r="V1531" s="73"/>
      <c r="W1531" s="73"/>
      <c r="X1531" s="73"/>
      <c r="Y1531" s="73"/>
      <c r="Z1531" s="73"/>
      <c r="AA1531" s="73"/>
    </row>
    <row r="1532" spans="1:27" ht="12.75" customHeight="1">
      <c r="A1532" s="73"/>
      <c r="B1532" s="32"/>
      <c r="C1532" s="32"/>
      <c r="D1532" s="33"/>
      <c r="E1532" s="32"/>
      <c r="F1532" s="32"/>
      <c r="G1532" s="74"/>
      <c r="H1532" s="32"/>
      <c r="I1532" s="32"/>
      <c r="J1532" s="32"/>
      <c r="K1532" s="74"/>
      <c r="L1532" s="35"/>
      <c r="M1532" s="32"/>
      <c r="N1532" s="32"/>
      <c r="O1532" s="59"/>
      <c r="P1532" s="73"/>
      <c r="Q1532" s="73"/>
      <c r="R1532" s="73"/>
      <c r="S1532" s="73"/>
      <c r="T1532" s="73"/>
      <c r="U1532" s="73"/>
      <c r="V1532" s="73"/>
      <c r="W1532" s="73"/>
      <c r="X1532" s="73"/>
      <c r="Y1532" s="73"/>
      <c r="Z1532" s="73"/>
      <c r="AA1532" s="73"/>
    </row>
    <row r="1533" spans="1:27" ht="12.75" customHeight="1">
      <c r="A1533" s="73"/>
      <c r="B1533" s="32"/>
      <c r="C1533" s="32"/>
      <c r="D1533" s="33"/>
      <c r="E1533" s="32"/>
      <c r="F1533" s="32"/>
      <c r="G1533" s="74"/>
      <c r="H1533" s="32"/>
      <c r="I1533" s="32"/>
      <c r="J1533" s="32"/>
      <c r="K1533" s="74"/>
      <c r="L1533" s="35"/>
      <c r="M1533" s="32"/>
      <c r="N1533" s="32"/>
      <c r="O1533" s="59"/>
      <c r="P1533" s="73"/>
      <c r="Q1533" s="73"/>
      <c r="R1533" s="73"/>
      <c r="S1533" s="73"/>
      <c r="T1533" s="73"/>
      <c r="U1533" s="73"/>
      <c r="V1533" s="73"/>
      <c r="W1533" s="73"/>
      <c r="X1533" s="73"/>
      <c r="Y1533" s="73"/>
      <c r="Z1533" s="73"/>
      <c r="AA1533" s="73"/>
    </row>
    <row r="1534" spans="1:27" ht="12.75" customHeight="1">
      <c r="A1534" s="73"/>
      <c r="B1534" s="32"/>
      <c r="C1534" s="32"/>
      <c r="D1534" s="33"/>
      <c r="E1534" s="32"/>
      <c r="F1534" s="32"/>
      <c r="G1534" s="74"/>
      <c r="H1534" s="32"/>
      <c r="I1534" s="32"/>
      <c r="J1534" s="32"/>
      <c r="K1534" s="74"/>
      <c r="L1534" s="35"/>
      <c r="M1534" s="32"/>
      <c r="N1534" s="32"/>
      <c r="O1534" s="59"/>
      <c r="P1534" s="73"/>
      <c r="Q1534" s="73"/>
      <c r="R1534" s="73"/>
      <c r="S1534" s="73"/>
      <c r="T1534" s="73"/>
      <c r="U1534" s="73"/>
      <c r="V1534" s="73"/>
      <c r="W1534" s="73"/>
      <c r="X1534" s="73"/>
      <c r="Y1534" s="73"/>
      <c r="Z1534" s="73"/>
      <c r="AA1534" s="73"/>
    </row>
    <row r="1535" spans="1:27" ht="12.75" customHeight="1">
      <c r="A1535" s="73"/>
      <c r="B1535" s="32"/>
      <c r="C1535" s="32"/>
      <c r="D1535" s="33"/>
      <c r="E1535" s="32"/>
      <c r="F1535" s="32"/>
      <c r="G1535" s="74"/>
      <c r="H1535" s="32"/>
      <c r="I1535" s="32"/>
      <c r="J1535" s="32"/>
      <c r="K1535" s="74"/>
      <c r="L1535" s="35"/>
      <c r="M1535" s="32"/>
      <c r="N1535" s="32"/>
      <c r="O1535" s="59"/>
      <c r="P1535" s="73"/>
      <c r="Q1535" s="73"/>
      <c r="R1535" s="73"/>
      <c r="S1535" s="73"/>
      <c r="T1535" s="73"/>
      <c r="U1535" s="73"/>
      <c r="V1535" s="73"/>
      <c r="W1535" s="73"/>
      <c r="X1535" s="73"/>
      <c r="Y1535" s="73"/>
      <c r="Z1535" s="73"/>
      <c r="AA1535" s="73"/>
    </row>
    <row r="1536" spans="1:27" ht="12.75" customHeight="1">
      <c r="A1536" s="73"/>
      <c r="B1536" s="32"/>
      <c r="C1536" s="32"/>
      <c r="D1536" s="33"/>
      <c r="E1536" s="32"/>
      <c r="F1536" s="32"/>
      <c r="G1536" s="74"/>
      <c r="H1536" s="32"/>
      <c r="I1536" s="32"/>
      <c r="J1536" s="32"/>
      <c r="K1536" s="74"/>
      <c r="L1536" s="35"/>
      <c r="M1536" s="32"/>
      <c r="N1536" s="32"/>
      <c r="O1536" s="59"/>
      <c r="P1536" s="73"/>
      <c r="Q1536" s="73"/>
      <c r="R1536" s="73"/>
      <c r="S1536" s="73"/>
      <c r="T1536" s="73"/>
      <c r="U1536" s="73"/>
      <c r="V1536" s="73"/>
      <c r="W1536" s="73"/>
      <c r="X1536" s="73"/>
      <c r="Y1536" s="73"/>
      <c r="Z1536" s="73"/>
      <c r="AA1536" s="73"/>
    </row>
    <row r="1537" spans="1:27" ht="12.75" customHeight="1">
      <c r="A1537" s="73"/>
      <c r="B1537" s="32"/>
      <c r="C1537" s="32"/>
      <c r="D1537" s="33"/>
      <c r="E1537" s="32"/>
      <c r="F1537" s="32"/>
      <c r="G1537" s="74"/>
      <c r="H1537" s="32"/>
      <c r="I1537" s="32"/>
      <c r="J1537" s="32"/>
      <c r="K1537" s="74"/>
      <c r="L1537" s="35"/>
      <c r="M1537" s="32"/>
      <c r="N1537" s="32"/>
      <c r="O1537" s="59"/>
      <c r="P1537" s="73"/>
      <c r="Q1537" s="73"/>
      <c r="R1537" s="73"/>
      <c r="S1537" s="73"/>
      <c r="T1537" s="73"/>
      <c r="U1537" s="73"/>
      <c r="V1537" s="73"/>
      <c r="W1537" s="73"/>
      <c r="X1537" s="73"/>
      <c r="Y1537" s="73"/>
      <c r="Z1537" s="73"/>
      <c r="AA1537" s="73"/>
    </row>
    <row r="1538" spans="1:27" ht="12.75" customHeight="1">
      <c r="A1538" s="73"/>
      <c r="B1538" s="32"/>
      <c r="C1538" s="32"/>
      <c r="D1538" s="33"/>
      <c r="E1538" s="32"/>
      <c r="F1538" s="32"/>
      <c r="G1538" s="74"/>
      <c r="H1538" s="32"/>
      <c r="I1538" s="32"/>
      <c r="J1538" s="32"/>
      <c r="K1538" s="74"/>
      <c r="L1538" s="35"/>
      <c r="M1538" s="32"/>
      <c r="N1538" s="32"/>
      <c r="O1538" s="59"/>
      <c r="P1538" s="73"/>
      <c r="Q1538" s="73"/>
      <c r="R1538" s="73"/>
      <c r="S1538" s="73"/>
      <c r="T1538" s="73"/>
      <c r="U1538" s="73"/>
      <c r="V1538" s="73"/>
      <c r="W1538" s="73"/>
      <c r="X1538" s="73"/>
      <c r="Y1538" s="73"/>
      <c r="Z1538" s="73"/>
      <c r="AA1538" s="73"/>
    </row>
    <row r="1539" spans="1:27" ht="12.75" customHeight="1">
      <c r="A1539" s="73"/>
      <c r="B1539" s="32"/>
      <c r="C1539" s="32"/>
      <c r="D1539" s="33"/>
      <c r="E1539" s="32"/>
      <c r="F1539" s="32"/>
      <c r="G1539" s="74"/>
      <c r="H1539" s="32"/>
      <c r="I1539" s="32"/>
      <c r="J1539" s="32"/>
      <c r="K1539" s="74"/>
      <c r="L1539" s="35"/>
      <c r="M1539" s="32"/>
      <c r="N1539" s="32"/>
      <c r="O1539" s="59"/>
      <c r="P1539" s="73"/>
      <c r="Q1539" s="73"/>
      <c r="R1539" s="73"/>
      <c r="S1539" s="73"/>
      <c r="T1539" s="73"/>
      <c r="U1539" s="73"/>
      <c r="V1539" s="73"/>
      <c r="W1539" s="73"/>
      <c r="X1539" s="73"/>
      <c r="Y1539" s="73"/>
      <c r="Z1539" s="73"/>
      <c r="AA1539" s="73"/>
    </row>
    <row r="1540" spans="1:27" ht="12.75" customHeight="1">
      <c r="A1540" s="73"/>
      <c r="B1540" s="32"/>
      <c r="C1540" s="32"/>
      <c r="D1540" s="33"/>
      <c r="E1540" s="32"/>
      <c r="F1540" s="32"/>
      <c r="G1540" s="74"/>
      <c r="H1540" s="32"/>
      <c r="I1540" s="32"/>
      <c r="J1540" s="32"/>
      <c r="K1540" s="74"/>
      <c r="L1540" s="35"/>
      <c r="M1540" s="32"/>
      <c r="N1540" s="32"/>
      <c r="O1540" s="59"/>
      <c r="P1540" s="73"/>
      <c r="Q1540" s="73"/>
      <c r="R1540" s="73"/>
      <c r="S1540" s="73"/>
      <c r="T1540" s="73"/>
      <c r="U1540" s="73"/>
      <c r="V1540" s="73"/>
      <c r="W1540" s="73"/>
      <c r="X1540" s="73"/>
      <c r="Y1540" s="73"/>
      <c r="Z1540" s="73"/>
      <c r="AA1540" s="73"/>
    </row>
    <row r="1541" spans="1:27" ht="12.75" customHeight="1">
      <c r="A1541" s="73"/>
      <c r="B1541" s="32"/>
      <c r="C1541" s="32"/>
      <c r="D1541" s="33"/>
      <c r="E1541" s="32"/>
      <c r="F1541" s="32"/>
      <c r="G1541" s="74"/>
      <c r="H1541" s="32"/>
      <c r="I1541" s="32"/>
      <c r="J1541" s="32"/>
      <c r="K1541" s="74"/>
      <c r="L1541" s="35"/>
      <c r="M1541" s="32"/>
      <c r="N1541" s="32"/>
      <c r="O1541" s="59"/>
      <c r="P1541" s="73"/>
      <c r="Q1541" s="73"/>
      <c r="R1541" s="73"/>
      <c r="S1541" s="73"/>
      <c r="T1541" s="73"/>
      <c r="U1541" s="73"/>
      <c r="V1541" s="73"/>
      <c r="W1541" s="73"/>
      <c r="X1541" s="73"/>
      <c r="Y1541" s="73"/>
      <c r="Z1541" s="73"/>
      <c r="AA1541" s="73"/>
    </row>
    <row r="1542" spans="1:27" ht="12.75" customHeight="1">
      <c r="A1542" s="73"/>
      <c r="B1542" s="32"/>
      <c r="C1542" s="32"/>
      <c r="D1542" s="33"/>
      <c r="E1542" s="32"/>
      <c r="F1542" s="32"/>
      <c r="G1542" s="74"/>
      <c r="H1542" s="32"/>
      <c r="I1542" s="32"/>
      <c r="J1542" s="32"/>
      <c r="K1542" s="74"/>
      <c r="L1542" s="35"/>
      <c r="M1542" s="32"/>
      <c r="N1542" s="32"/>
      <c r="O1542" s="59"/>
      <c r="P1542" s="73"/>
      <c r="Q1542" s="73"/>
      <c r="R1542" s="73"/>
      <c r="S1542" s="73"/>
      <c r="T1542" s="73"/>
      <c r="U1542" s="73"/>
      <c r="V1542" s="73"/>
      <c r="W1542" s="73"/>
      <c r="X1542" s="73"/>
      <c r="Y1542" s="73"/>
      <c r="Z1542" s="73"/>
      <c r="AA1542" s="73"/>
    </row>
    <row r="1543" spans="1:27" ht="12.75" customHeight="1">
      <c r="A1543" s="73"/>
      <c r="B1543" s="32"/>
      <c r="C1543" s="32"/>
      <c r="D1543" s="33"/>
      <c r="E1543" s="32"/>
      <c r="F1543" s="32"/>
      <c r="G1543" s="74"/>
      <c r="H1543" s="32"/>
      <c r="I1543" s="32"/>
      <c r="J1543" s="32"/>
      <c r="K1543" s="74"/>
      <c r="L1543" s="35"/>
      <c r="M1543" s="32"/>
      <c r="N1543" s="32"/>
      <c r="O1543" s="59"/>
      <c r="P1543" s="73"/>
      <c r="Q1543" s="73"/>
      <c r="R1543" s="73"/>
      <c r="S1543" s="73"/>
      <c r="T1543" s="73"/>
      <c r="U1543" s="73"/>
      <c r="V1543" s="73"/>
      <c r="W1543" s="73"/>
      <c r="X1543" s="73"/>
      <c r="Y1543" s="73"/>
      <c r="Z1543" s="73"/>
      <c r="AA1543" s="73"/>
    </row>
    <row r="1544" spans="1:27" ht="12.75" customHeight="1">
      <c r="A1544" s="73"/>
      <c r="B1544" s="32"/>
      <c r="C1544" s="32"/>
      <c r="D1544" s="33"/>
      <c r="E1544" s="32"/>
      <c r="F1544" s="32"/>
      <c r="G1544" s="74"/>
      <c r="H1544" s="32"/>
      <c r="I1544" s="32"/>
      <c r="J1544" s="32"/>
      <c r="K1544" s="74"/>
      <c r="L1544" s="35"/>
      <c r="M1544" s="32"/>
      <c r="N1544" s="32"/>
      <c r="O1544" s="59"/>
      <c r="P1544" s="73"/>
      <c r="Q1544" s="73"/>
      <c r="R1544" s="73"/>
      <c r="S1544" s="73"/>
      <c r="T1544" s="73"/>
      <c r="U1544" s="73"/>
      <c r="V1544" s="73"/>
      <c r="W1544" s="73"/>
      <c r="X1544" s="73"/>
      <c r="Y1544" s="73"/>
      <c r="Z1544" s="73"/>
      <c r="AA1544" s="73"/>
    </row>
    <row r="1545" spans="1:27" ht="12.75" customHeight="1">
      <c r="A1545" s="73"/>
      <c r="B1545" s="32"/>
      <c r="C1545" s="32"/>
      <c r="D1545" s="33"/>
      <c r="E1545" s="32"/>
      <c r="F1545" s="32"/>
      <c r="G1545" s="74"/>
      <c r="H1545" s="32"/>
      <c r="I1545" s="32"/>
      <c r="J1545" s="32"/>
      <c r="K1545" s="74"/>
      <c r="L1545" s="35"/>
      <c r="M1545" s="32"/>
      <c r="N1545" s="32"/>
      <c r="O1545" s="59"/>
      <c r="P1545" s="73"/>
      <c r="Q1545" s="73"/>
      <c r="R1545" s="73"/>
      <c r="S1545" s="73"/>
      <c r="T1545" s="73"/>
      <c r="U1545" s="73"/>
      <c r="V1545" s="73"/>
      <c r="W1545" s="73"/>
      <c r="X1545" s="73"/>
      <c r="Y1545" s="73"/>
      <c r="Z1545" s="73"/>
      <c r="AA1545" s="73"/>
    </row>
    <row r="1546" spans="1:27" ht="12.75" customHeight="1">
      <c r="A1546" s="73"/>
      <c r="B1546" s="32"/>
      <c r="C1546" s="32"/>
      <c r="D1546" s="33"/>
      <c r="E1546" s="32"/>
      <c r="F1546" s="32"/>
      <c r="G1546" s="74"/>
      <c r="H1546" s="32"/>
      <c r="I1546" s="32"/>
      <c r="J1546" s="32"/>
      <c r="K1546" s="74"/>
      <c r="L1546" s="35"/>
      <c r="M1546" s="32"/>
      <c r="N1546" s="32"/>
      <c r="O1546" s="59"/>
      <c r="P1546" s="73"/>
      <c r="Q1546" s="73"/>
      <c r="R1546" s="73"/>
      <c r="S1546" s="73"/>
      <c r="T1546" s="73"/>
      <c r="U1546" s="73"/>
      <c r="V1546" s="73"/>
      <c r="W1546" s="73"/>
      <c r="X1546" s="73"/>
      <c r="Y1546" s="73"/>
      <c r="Z1546" s="73"/>
      <c r="AA1546" s="73"/>
    </row>
    <row r="1547" spans="1:27" ht="12.75" customHeight="1">
      <c r="A1547" s="73"/>
      <c r="B1547" s="32"/>
      <c r="C1547" s="32"/>
      <c r="D1547" s="33"/>
      <c r="E1547" s="32"/>
      <c r="F1547" s="32"/>
      <c r="G1547" s="74"/>
      <c r="H1547" s="32"/>
      <c r="I1547" s="32"/>
      <c r="J1547" s="32"/>
      <c r="K1547" s="74"/>
      <c r="L1547" s="35"/>
      <c r="M1547" s="32"/>
      <c r="N1547" s="32"/>
      <c r="O1547" s="59"/>
      <c r="P1547" s="73"/>
      <c r="Q1547" s="73"/>
      <c r="R1547" s="73"/>
      <c r="S1547" s="73"/>
      <c r="T1547" s="73"/>
      <c r="U1547" s="73"/>
      <c r="V1547" s="73"/>
      <c r="W1547" s="73"/>
      <c r="X1547" s="73"/>
      <c r="Y1547" s="73"/>
      <c r="Z1547" s="73"/>
      <c r="AA1547" s="73"/>
    </row>
    <row r="1548" spans="1:27" ht="12.75" customHeight="1">
      <c r="A1548" s="73"/>
      <c r="B1548" s="32"/>
      <c r="C1548" s="32"/>
      <c r="D1548" s="33"/>
      <c r="E1548" s="32"/>
      <c r="F1548" s="32"/>
      <c r="G1548" s="74"/>
      <c r="H1548" s="32"/>
      <c r="I1548" s="32"/>
      <c r="J1548" s="32"/>
      <c r="K1548" s="74"/>
      <c r="L1548" s="35"/>
      <c r="M1548" s="32"/>
      <c r="N1548" s="32"/>
      <c r="O1548" s="59"/>
      <c r="P1548" s="73"/>
      <c r="Q1548" s="73"/>
      <c r="R1548" s="73"/>
      <c r="S1548" s="73"/>
      <c r="T1548" s="73"/>
      <c r="U1548" s="73"/>
      <c r="V1548" s="73"/>
      <c r="W1548" s="73"/>
      <c r="X1548" s="73"/>
      <c r="Y1548" s="73"/>
      <c r="Z1548" s="73"/>
      <c r="AA1548" s="73"/>
    </row>
    <row r="1549" spans="1:27" ht="12.75" customHeight="1">
      <c r="A1549" s="73"/>
      <c r="B1549" s="32"/>
      <c r="C1549" s="32"/>
      <c r="D1549" s="33"/>
      <c r="E1549" s="32"/>
      <c r="F1549" s="32"/>
      <c r="G1549" s="74"/>
      <c r="H1549" s="32"/>
      <c r="I1549" s="32"/>
      <c r="J1549" s="32"/>
      <c r="K1549" s="74"/>
      <c r="L1549" s="35"/>
      <c r="M1549" s="32"/>
      <c r="N1549" s="32"/>
      <c r="O1549" s="59"/>
      <c r="P1549" s="73"/>
      <c r="Q1549" s="73"/>
      <c r="R1549" s="73"/>
      <c r="S1549" s="73"/>
      <c r="T1549" s="73"/>
      <c r="U1549" s="73"/>
      <c r="V1549" s="73"/>
      <c r="W1549" s="73"/>
      <c r="X1549" s="73"/>
      <c r="Y1549" s="73"/>
      <c r="Z1549" s="73"/>
      <c r="AA1549" s="73"/>
    </row>
    <row r="1550" spans="1:27" ht="12.75" customHeight="1">
      <c r="A1550" s="73"/>
      <c r="B1550" s="32"/>
      <c r="C1550" s="32"/>
      <c r="D1550" s="33"/>
      <c r="E1550" s="32"/>
      <c r="F1550" s="32"/>
      <c r="G1550" s="74"/>
      <c r="H1550" s="32"/>
      <c r="I1550" s="32"/>
      <c r="J1550" s="32"/>
      <c r="K1550" s="74"/>
      <c r="L1550" s="35"/>
      <c r="M1550" s="32"/>
      <c r="N1550" s="32"/>
      <c r="O1550" s="59"/>
      <c r="P1550" s="73"/>
      <c r="Q1550" s="73"/>
      <c r="R1550" s="73"/>
      <c r="S1550" s="73"/>
      <c r="T1550" s="73"/>
      <c r="U1550" s="73"/>
      <c r="V1550" s="73"/>
      <c r="W1550" s="73"/>
      <c r="X1550" s="73"/>
      <c r="Y1550" s="73"/>
      <c r="Z1550" s="73"/>
      <c r="AA1550" s="73"/>
    </row>
    <row r="1551" spans="1:27" ht="12.75" customHeight="1">
      <c r="A1551" s="73"/>
      <c r="B1551" s="32"/>
      <c r="C1551" s="32"/>
      <c r="D1551" s="33"/>
      <c r="E1551" s="32"/>
      <c r="F1551" s="32"/>
      <c r="G1551" s="74"/>
      <c r="H1551" s="32"/>
      <c r="I1551" s="32"/>
      <c r="J1551" s="32"/>
      <c r="K1551" s="74"/>
      <c r="L1551" s="35"/>
      <c r="M1551" s="32"/>
      <c r="N1551" s="32"/>
      <c r="O1551" s="59"/>
      <c r="P1551" s="73"/>
      <c r="Q1551" s="73"/>
      <c r="R1551" s="73"/>
      <c r="S1551" s="73"/>
      <c r="T1551" s="73"/>
      <c r="U1551" s="73"/>
      <c r="V1551" s="73"/>
      <c r="W1551" s="73"/>
      <c r="X1551" s="73"/>
      <c r="Y1551" s="73"/>
      <c r="Z1551" s="73"/>
      <c r="AA1551" s="73"/>
    </row>
    <row r="1552" spans="1:27" ht="12.75" customHeight="1">
      <c r="A1552" s="73"/>
      <c r="B1552" s="32"/>
      <c r="C1552" s="32"/>
      <c r="D1552" s="33"/>
      <c r="E1552" s="32"/>
      <c r="F1552" s="32"/>
      <c r="G1552" s="74"/>
      <c r="H1552" s="32"/>
      <c r="I1552" s="32"/>
      <c r="J1552" s="32"/>
      <c r="K1552" s="74"/>
      <c r="L1552" s="35"/>
      <c r="M1552" s="32"/>
      <c r="N1552" s="32"/>
      <c r="O1552" s="59"/>
      <c r="P1552" s="73"/>
      <c r="Q1552" s="73"/>
      <c r="R1552" s="73"/>
      <c r="S1552" s="73"/>
      <c r="T1552" s="73"/>
      <c r="U1552" s="73"/>
      <c r="V1552" s="73"/>
      <c r="W1552" s="73"/>
      <c r="X1552" s="73"/>
      <c r="Y1552" s="73"/>
      <c r="Z1552" s="73"/>
      <c r="AA1552" s="73"/>
    </row>
    <row r="1553" spans="1:27" ht="12.75" customHeight="1">
      <c r="A1553" s="73"/>
      <c r="B1553" s="32"/>
      <c r="C1553" s="32"/>
      <c r="D1553" s="33"/>
      <c r="E1553" s="32"/>
      <c r="F1553" s="32"/>
      <c r="G1553" s="74"/>
      <c r="H1553" s="32"/>
      <c r="I1553" s="32"/>
      <c r="J1553" s="32"/>
      <c r="K1553" s="74"/>
      <c r="L1553" s="35"/>
      <c r="M1553" s="32"/>
      <c r="N1553" s="32"/>
      <c r="O1553" s="59"/>
      <c r="P1553" s="73"/>
      <c r="Q1553" s="73"/>
      <c r="R1553" s="73"/>
      <c r="S1553" s="73"/>
      <c r="T1553" s="73"/>
      <c r="U1553" s="73"/>
      <c r="V1553" s="73"/>
      <c r="W1553" s="73"/>
      <c r="X1553" s="73"/>
      <c r="Y1553" s="73"/>
      <c r="Z1553" s="73"/>
      <c r="AA1553" s="73"/>
    </row>
    <row r="1554" spans="1:27" ht="12.75" customHeight="1">
      <c r="A1554" s="73"/>
      <c r="B1554" s="32"/>
      <c r="C1554" s="32"/>
      <c r="D1554" s="33"/>
      <c r="E1554" s="32"/>
      <c r="F1554" s="32"/>
      <c r="G1554" s="74"/>
      <c r="H1554" s="32"/>
      <c r="I1554" s="32"/>
      <c r="J1554" s="32"/>
      <c r="K1554" s="74"/>
      <c r="L1554" s="35"/>
      <c r="M1554" s="32"/>
      <c r="N1554" s="32"/>
      <c r="O1554" s="59"/>
      <c r="P1554" s="73"/>
      <c r="Q1554" s="73"/>
      <c r="R1554" s="73"/>
      <c r="S1554" s="73"/>
      <c r="T1554" s="73"/>
      <c r="U1554" s="73"/>
      <c r="V1554" s="73"/>
      <c r="W1554" s="73"/>
      <c r="X1554" s="73"/>
      <c r="Y1554" s="73"/>
      <c r="Z1554" s="73"/>
      <c r="AA1554" s="73"/>
    </row>
    <row r="1555" spans="1:27" ht="12.75" customHeight="1">
      <c r="A1555" s="73"/>
      <c r="B1555" s="32"/>
      <c r="C1555" s="32"/>
      <c r="D1555" s="33"/>
      <c r="E1555" s="32"/>
      <c r="F1555" s="32"/>
      <c r="G1555" s="74"/>
      <c r="H1555" s="32"/>
      <c r="I1555" s="32"/>
      <c r="J1555" s="32"/>
      <c r="K1555" s="74"/>
      <c r="L1555" s="35"/>
      <c r="M1555" s="32"/>
      <c r="N1555" s="32"/>
      <c r="O1555" s="59"/>
      <c r="P1555" s="73"/>
      <c r="Q1555" s="73"/>
      <c r="R1555" s="73"/>
      <c r="S1555" s="73"/>
      <c r="T1555" s="73"/>
      <c r="U1555" s="73"/>
      <c r="V1555" s="73"/>
      <c r="W1555" s="73"/>
      <c r="X1555" s="73"/>
      <c r="Y1555" s="73"/>
      <c r="Z1555" s="73"/>
      <c r="AA1555" s="73"/>
    </row>
    <row r="1556" spans="1:27" ht="12.75" customHeight="1">
      <c r="A1556" s="73"/>
      <c r="B1556" s="32"/>
      <c r="C1556" s="32"/>
      <c r="D1556" s="33"/>
      <c r="E1556" s="32"/>
      <c r="F1556" s="32"/>
      <c r="G1556" s="74"/>
      <c r="H1556" s="32"/>
      <c r="I1556" s="32"/>
      <c r="J1556" s="32"/>
      <c r="K1556" s="74"/>
      <c r="L1556" s="35"/>
      <c r="M1556" s="32"/>
      <c r="N1556" s="32"/>
      <c r="O1556" s="59"/>
      <c r="P1556" s="73"/>
      <c r="Q1556" s="73"/>
      <c r="R1556" s="73"/>
      <c r="S1556" s="73"/>
      <c r="T1556" s="73"/>
      <c r="U1556" s="73"/>
      <c r="V1556" s="73"/>
      <c r="W1556" s="73"/>
      <c r="X1556" s="73"/>
      <c r="Y1556" s="73"/>
      <c r="Z1556" s="73"/>
      <c r="AA1556" s="73"/>
    </row>
    <row r="1557" spans="1:27" ht="12.75" customHeight="1">
      <c r="A1557" s="73"/>
      <c r="B1557" s="32"/>
      <c r="C1557" s="32"/>
      <c r="D1557" s="33"/>
      <c r="E1557" s="32"/>
      <c r="F1557" s="32"/>
      <c r="G1557" s="74"/>
      <c r="H1557" s="32"/>
      <c r="I1557" s="32"/>
      <c r="J1557" s="32"/>
      <c r="K1557" s="74"/>
      <c r="L1557" s="35"/>
      <c r="M1557" s="32"/>
      <c r="N1557" s="32"/>
      <c r="O1557" s="59"/>
      <c r="P1557" s="73"/>
      <c r="Q1557" s="73"/>
      <c r="R1557" s="73"/>
      <c r="S1557" s="73"/>
      <c r="T1557" s="73"/>
      <c r="U1557" s="73"/>
      <c r="V1557" s="73"/>
      <c r="W1557" s="73"/>
      <c r="X1557" s="73"/>
      <c r="Y1557" s="73"/>
      <c r="Z1557" s="73"/>
      <c r="AA1557" s="73"/>
    </row>
    <row r="1558" spans="1:27" ht="12.75" customHeight="1">
      <c r="A1558" s="73"/>
      <c r="B1558" s="32"/>
      <c r="C1558" s="32"/>
      <c r="D1558" s="33"/>
      <c r="E1558" s="32"/>
      <c r="F1558" s="32"/>
      <c r="G1558" s="74"/>
      <c r="H1558" s="32"/>
      <c r="I1558" s="32"/>
      <c r="J1558" s="32"/>
      <c r="K1558" s="74"/>
      <c r="L1558" s="35"/>
      <c r="M1558" s="32"/>
      <c r="N1558" s="32"/>
      <c r="O1558" s="59"/>
      <c r="P1558" s="73"/>
      <c r="Q1558" s="73"/>
      <c r="R1558" s="73"/>
      <c r="S1558" s="73"/>
      <c r="T1558" s="73"/>
      <c r="U1558" s="73"/>
      <c r="V1558" s="73"/>
      <c r="W1558" s="73"/>
      <c r="X1558" s="73"/>
      <c r="Y1558" s="73"/>
      <c r="Z1558" s="73"/>
      <c r="AA1558" s="73"/>
    </row>
    <row r="1559" spans="1:27" ht="12.75" customHeight="1">
      <c r="A1559" s="73"/>
      <c r="B1559" s="32"/>
      <c r="C1559" s="32"/>
      <c r="D1559" s="33"/>
      <c r="E1559" s="32"/>
      <c r="F1559" s="32"/>
      <c r="G1559" s="74"/>
      <c r="H1559" s="32"/>
      <c r="I1559" s="32"/>
      <c r="J1559" s="32"/>
      <c r="K1559" s="74"/>
      <c r="L1559" s="35"/>
      <c r="M1559" s="32"/>
      <c r="N1559" s="32"/>
      <c r="O1559" s="59"/>
      <c r="P1559" s="73"/>
      <c r="Q1559" s="73"/>
      <c r="R1559" s="73"/>
      <c r="S1559" s="73"/>
      <c r="T1559" s="73"/>
      <c r="U1559" s="73"/>
      <c r="V1559" s="73"/>
      <c r="W1559" s="73"/>
      <c r="X1559" s="73"/>
      <c r="Y1559" s="73"/>
      <c r="Z1559" s="73"/>
      <c r="AA1559" s="73"/>
    </row>
    <row r="1560" spans="1:27" ht="12.75" customHeight="1">
      <c r="A1560" s="73"/>
      <c r="B1560" s="32"/>
      <c r="C1560" s="32"/>
      <c r="D1560" s="33"/>
      <c r="E1560" s="32"/>
      <c r="F1560" s="32"/>
      <c r="G1560" s="74"/>
      <c r="H1560" s="32"/>
      <c r="I1560" s="32"/>
      <c r="J1560" s="32"/>
      <c r="K1560" s="74"/>
      <c r="L1560" s="35"/>
      <c r="M1560" s="32"/>
      <c r="N1560" s="32"/>
      <c r="O1560" s="59"/>
      <c r="P1560" s="73"/>
      <c r="Q1560" s="73"/>
      <c r="R1560" s="73"/>
      <c r="S1560" s="73"/>
      <c r="T1560" s="73"/>
      <c r="U1560" s="73"/>
      <c r="V1560" s="73"/>
      <c r="W1560" s="73"/>
      <c r="X1560" s="73"/>
      <c r="Y1560" s="73"/>
      <c r="Z1560" s="73"/>
      <c r="AA1560" s="73"/>
    </row>
    <row r="1561" spans="1:27" ht="12.75" customHeight="1">
      <c r="A1561" s="73"/>
      <c r="B1561" s="32"/>
      <c r="C1561" s="32"/>
      <c r="D1561" s="33"/>
      <c r="E1561" s="32"/>
      <c r="F1561" s="32"/>
      <c r="G1561" s="74"/>
      <c r="H1561" s="32"/>
      <c r="I1561" s="32"/>
      <c r="J1561" s="32"/>
      <c r="K1561" s="74"/>
      <c r="L1561" s="35"/>
      <c r="M1561" s="32"/>
      <c r="N1561" s="32"/>
      <c r="O1561" s="59"/>
      <c r="P1561" s="73"/>
      <c r="Q1561" s="73"/>
      <c r="R1561" s="73"/>
      <c r="S1561" s="73"/>
      <c r="T1561" s="73"/>
      <c r="U1561" s="73"/>
      <c r="V1561" s="73"/>
      <c r="W1561" s="73"/>
      <c r="X1561" s="73"/>
      <c r="Y1561" s="73"/>
      <c r="Z1561" s="73"/>
      <c r="AA1561" s="73"/>
    </row>
    <row r="1562" spans="1:27" ht="12.75" customHeight="1">
      <c r="A1562" s="73"/>
      <c r="B1562" s="32"/>
      <c r="C1562" s="32"/>
      <c r="D1562" s="33"/>
      <c r="E1562" s="32"/>
      <c r="F1562" s="32"/>
      <c r="G1562" s="74"/>
      <c r="H1562" s="32"/>
      <c r="I1562" s="32"/>
      <c r="J1562" s="32"/>
      <c r="K1562" s="74"/>
      <c r="L1562" s="35"/>
      <c r="M1562" s="32"/>
      <c r="N1562" s="32"/>
      <c r="O1562" s="59"/>
      <c r="P1562" s="73"/>
      <c r="Q1562" s="73"/>
      <c r="R1562" s="73"/>
      <c r="S1562" s="73"/>
      <c r="T1562" s="73"/>
      <c r="U1562" s="73"/>
      <c r="V1562" s="73"/>
      <c r="W1562" s="73"/>
      <c r="X1562" s="73"/>
      <c r="Y1562" s="73"/>
      <c r="Z1562" s="73"/>
      <c r="AA1562" s="73"/>
    </row>
    <row r="1563" spans="1:27" ht="12.75" customHeight="1">
      <c r="A1563" s="73"/>
      <c r="B1563" s="32"/>
      <c r="C1563" s="32"/>
      <c r="D1563" s="33"/>
      <c r="E1563" s="32"/>
      <c r="F1563" s="32"/>
      <c r="G1563" s="74"/>
      <c r="H1563" s="32"/>
      <c r="I1563" s="32"/>
      <c r="J1563" s="32"/>
      <c r="K1563" s="74"/>
      <c r="L1563" s="35"/>
      <c r="M1563" s="32"/>
      <c r="N1563" s="32"/>
      <c r="O1563" s="59"/>
      <c r="P1563" s="73"/>
      <c r="Q1563" s="73"/>
      <c r="R1563" s="73"/>
      <c r="S1563" s="73"/>
      <c r="T1563" s="73"/>
      <c r="U1563" s="73"/>
      <c r="V1563" s="73"/>
      <c r="W1563" s="73"/>
      <c r="X1563" s="73"/>
      <c r="Y1563" s="73"/>
      <c r="Z1563" s="73"/>
      <c r="AA1563" s="73"/>
    </row>
    <row r="1564" spans="1:27" ht="12.75" customHeight="1">
      <c r="A1564" s="73"/>
      <c r="B1564" s="32"/>
      <c r="C1564" s="32"/>
      <c r="D1564" s="33"/>
      <c r="E1564" s="32"/>
      <c r="F1564" s="32"/>
      <c r="G1564" s="74"/>
      <c r="H1564" s="32"/>
      <c r="I1564" s="32"/>
      <c r="J1564" s="32"/>
      <c r="K1564" s="74"/>
      <c r="L1564" s="35"/>
      <c r="M1564" s="32"/>
      <c r="N1564" s="32"/>
      <c r="O1564" s="59"/>
      <c r="P1564" s="73"/>
      <c r="Q1564" s="73"/>
      <c r="R1564" s="73"/>
      <c r="S1564" s="73"/>
      <c r="T1564" s="73"/>
      <c r="U1564" s="73"/>
      <c r="V1564" s="73"/>
      <c r="W1564" s="73"/>
      <c r="X1564" s="73"/>
      <c r="Y1564" s="73"/>
      <c r="Z1564" s="73"/>
      <c r="AA1564" s="73"/>
    </row>
    <row r="1565" spans="1:27" ht="12.75" customHeight="1">
      <c r="A1565" s="73"/>
      <c r="B1565" s="32"/>
      <c r="C1565" s="32"/>
      <c r="D1565" s="33"/>
      <c r="E1565" s="32"/>
      <c r="F1565" s="32"/>
      <c r="G1565" s="74"/>
      <c r="H1565" s="32"/>
      <c r="I1565" s="32"/>
      <c r="J1565" s="32"/>
      <c r="K1565" s="74"/>
      <c r="L1565" s="35"/>
      <c r="M1565" s="32"/>
      <c r="N1565" s="32"/>
      <c r="O1565" s="59"/>
      <c r="P1565" s="73"/>
      <c r="Q1565" s="73"/>
      <c r="R1565" s="73"/>
      <c r="S1565" s="73"/>
      <c r="T1565" s="73"/>
      <c r="U1565" s="73"/>
      <c r="V1565" s="73"/>
      <c r="W1565" s="73"/>
      <c r="X1565" s="73"/>
      <c r="Y1565" s="73"/>
      <c r="Z1565" s="73"/>
      <c r="AA1565" s="73"/>
    </row>
    <row r="1566" spans="1:27" ht="12.75" customHeight="1">
      <c r="A1566" s="73"/>
      <c r="B1566" s="32"/>
      <c r="C1566" s="32"/>
      <c r="D1566" s="33"/>
      <c r="E1566" s="32"/>
      <c r="F1566" s="32"/>
      <c r="G1566" s="74"/>
      <c r="H1566" s="32"/>
      <c r="I1566" s="32"/>
      <c r="J1566" s="32"/>
      <c r="K1566" s="74"/>
      <c r="L1566" s="35"/>
      <c r="M1566" s="32"/>
      <c r="N1566" s="32"/>
      <c r="O1566" s="59"/>
      <c r="P1566" s="73"/>
      <c r="Q1566" s="73"/>
      <c r="R1566" s="73"/>
      <c r="S1566" s="73"/>
      <c r="T1566" s="73"/>
      <c r="U1566" s="73"/>
      <c r="V1566" s="73"/>
      <c r="W1566" s="73"/>
      <c r="X1566" s="73"/>
      <c r="Y1566" s="73"/>
      <c r="Z1566" s="73"/>
      <c r="AA1566" s="73"/>
    </row>
    <row r="1567" spans="1:27" ht="12.75" customHeight="1">
      <c r="A1567" s="73"/>
      <c r="B1567" s="32"/>
      <c r="C1567" s="32"/>
      <c r="D1567" s="33"/>
      <c r="E1567" s="32"/>
      <c r="F1567" s="32"/>
      <c r="G1567" s="74"/>
      <c r="H1567" s="32"/>
      <c r="I1567" s="32"/>
      <c r="J1567" s="32"/>
      <c r="K1567" s="74"/>
      <c r="L1567" s="35"/>
      <c r="M1567" s="32"/>
      <c r="N1567" s="32"/>
      <c r="O1567" s="59"/>
      <c r="P1567" s="73"/>
      <c r="Q1567" s="73"/>
      <c r="R1567" s="73"/>
      <c r="S1567" s="73"/>
      <c r="T1567" s="73"/>
      <c r="U1567" s="73"/>
      <c r="V1567" s="73"/>
      <c r="W1567" s="73"/>
      <c r="X1567" s="73"/>
      <c r="Y1567" s="73"/>
      <c r="Z1567" s="73"/>
      <c r="AA1567" s="73"/>
    </row>
    <row r="1568" spans="1:27" ht="12.75" customHeight="1">
      <c r="A1568" s="73"/>
      <c r="B1568" s="32"/>
      <c r="C1568" s="32"/>
      <c r="D1568" s="33"/>
      <c r="E1568" s="32"/>
      <c r="F1568" s="32"/>
      <c r="G1568" s="74"/>
      <c r="H1568" s="32"/>
      <c r="I1568" s="32"/>
      <c r="J1568" s="32"/>
      <c r="K1568" s="74"/>
      <c r="L1568" s="35"/>
      <c r="M1568" s="32"/>
      <c r="N1568" s="32"/>
      <c r="O1568" s="59"/>
      <c r="P1568" s="73"/>
      <c r="Q1568" s="73"/>
      <c r="R1568" s="73"/>
      <c r="S1568" s="73"/>
      <c r="T1568" s="73"/>
      <c r="U1568" s="73"/>
      <c r="V1568" s="73"/>
      <c r="W1568" s="73"/>
      <c r="X1568" s="73"/>
      <c r="Y1568" s="73"/>
      <c r="Z1568" s="73"/>
      <c r="AA1568" s="73"/>
    </row>
    <row r="1569" spans="1:27" ht="12.75" customHeight="1">
      <c r="A1569" s="73"/>
      <c r="B1569" s="32"/>
      <c r="C1569" s="32"/>
      <c r="D1569" s="33"/>
      <c r="E1569" s="32"/>
      <c r="F1569" s="32"/>
      <c r="G1569" s="74"/>
      <c r="H1569" s="32"/>
      <c r="I1569" s="32"/>
      <c r="J1569" s="32"/>
      <c r="K1569" s="74"/>
      <c r="L1569" s="35"/>
      <c r="M1569" s="32"/>
      <c r="N1569" s="32"/>
      <c r="O1569" s="59"/>
      <c r="P1569" s="73"/>
      <c r="Q1569" s="73"/>
      <c r="R1569" s="73"/>
      <c r="S1569" s="73"/>
      <c r="T1569" s="73"/>
      <c r="U1569" s="73"/>
      <c r="V1569" s="73"/>
      <c r="W1569" s="73"/>
      <c r="X1569" s="73"/>
      <c r="Y1569" s="73"/>
      <c r="Z1569" s="73"/>
      <c r="AA1569" s="73"/>
    </row>
    <row r="1570" spans="1:27" ht="12.75" customHeight="1">
      <c r="A1570" s="73"/>
      <c r="B1570" s="32"/>
      <c r="C1570" s="32"/>
      <c r="D1570" s="33"/>
      <c r="E1570" s="32"/>
      <c r="F1570" s="32"/>
      <c r="G1570" s="74"/>
      <c r="H1570" s="32"/>
      <c r="I1570" s="32"/>
      <c r="J1570" s="32"/>
      <c r="K1570" s="74"/>
      <c r="L1570" s="35"/>
      <c r="M1570" s="32"/>
      <c r="N1570" s="32"/>
      <c r="O1570" s="59"/>
      <c r="P1570" s="73"/>
      <c r="Q1570" s="73"/>
      <c r="R1570" s="73"/>
      <c r="S1570" s="73"/>
      <c r="T1570" s="73"/>
      <c r="U1570" s="73"/>
      <c r="V1570" s="73"/>
      <c r="W1570" s="73"/>
      <c r="X1570" s="73"/>
      <c r="Y1570" s="73"/>
      <c r="Z1570" s="73"/>
      <c r="AA1570" s="73"/>
    </row>
    <row r="1571" spans="1:27" ht="12.75" customHeight="1">
      <c r="A1571" s="73"/>
      <c r="B1571" s="32"/>
      <c r="C1571" s="32"/>
      <c r="D1571" s="33"/>
      <c r="E1571" s="32"/>
      <c r="F1571" s="32"/>
      <c r="G1571" s="74"/>
      <c r="H1571" s="32"/>
      <c r="I1571" s="32"/>
      <c r="J1571" s="32"/>
      <c r="K1571" s="74"/>
      <c r="L1571" s="35"/>
      <c r="M1571" s="32"/>
      <c r="N1571" s="32"/>
      <c r="O1571" s="59"/>
      <c r="P1571" s="73"/>
      <c r="Q1571" s="73"/>
      <c r="R1571" s="73"/>
      <c r="S1571" s="73"/>
      <c r="T1571" s="73"/>
      <c r="U1571" s="73"/>
      <c r="V1571" s="73"/>
      <c r="W1571" s="73"/>
      <c r="X1571" s="73"/>
      <c r="Y1571" s="73"/>
      <c r="Z1571" s="73"/>
      <c r="AA1571" s="73"/>
    </row>
    <row r="1572" spans="1:27" ht="12.75" customHeight="1">
      <c r="A1572" s="73"/>
      <c r="B1572" s="32"/>
      <c r="C1572" s="32"/>
      <c r="D1572" s="33"/>
      <c r="E1572" s="32"/>
      <c r="F1572" s="32"/>
      <c r="G1572" s="74"/>
      <c r="H1572" s="32"/>
      <c r="I1572" s="32"/>
      <c r="J1572" s="32"/>
      <c r="K1572" s="74"/>
      <c r="L1572" s="35"/>
      <c r="M1572" s="32"/>
      <c r="N1572" s="32"/>
      <c r="O1572" s="59"/>
      <c r="P1572" s="73"/>
      <c r="Q1572" s="73"/>
      <c r="R1572" s="73"/>
      <c r="S1572" s="73"/>
      <c r="T1572" s="73"/>
      <c r="U1572" s="73"/>
      <c r="V1572" s="73"/>
      <c r="W1572" s="73"/>
      <c r="X1572" s="73"/>
      <c r="Y1572" s="73"/>
      <c r="Z1572" s="73"/>
      <c r="AA1572" s="73"/>
    </row>
    <row r="1573" spans="1:27" ht="12.75" customHeight="1">
      <c r="A1573" s="73"/>
      <c r="B1573" s="32"/>
      <c r="C1573" s="32"/>
      <c r="D1573" s="33"/>
      <c r="E1573" s="32"/>
      <c r="F1573" s="32"/>
      <c r="G1573" s="74"/>
      <c r="H1573" s="32"/>
      <c r="I1573" s="32"/>
      <c r="J1573" s="32"/>
      <c r="K1573" s="74"/>
      <c r="L1573" s="35"/>
      <c r="M1573" s="32"/>
      <c r="N1573" s="32"/>
      <c r="O1573" s="59"/>
      <c r="P1573" s="73"/>
      <c r="Q1573" s="73"/>
      <c r="R1573" s="73"/>
      <c r="S1573" s="73"/>
      <c r="T1573" s="73"/>
      <c r="U1573" s="73"/>
      <c r="V1573" s="73"/>
      <c r="W1573" s="73"/>
      <c r="X1573" s="73"/>
      <c r="Y1573" s="73"/>
      <c r="Z1573" s="73"/>
      <c r="AA1573" s="73"/>
    </row>
    <row r="1574" spans="1:27" ht="12.75" customHeight="1">
      <c r="A1574" s="73"/>
      <c r="B1574" s="32"/>
      <c r="C1574" s="32"/>
      <c r="D1574" s="33"/>
      <c r="E1574" s="32"/>
      <c r="F1574" s="32"/>
      <c r="G1574" s="74"/>
      <c r="H1574" s="32"/>
      <c r="I1574" s="32"/>
      <c r="J1574" s="32"/>
      <c r="K1574" s="74"/>
      <c r="L1574" s="35"/>
      <c r="M1574" s="32"/>
      <c r="N1574" s="32"/>
      <c r="O1574" s="59"/>
      <c r="P1574" s="73"/>
      <c r="Q1574" s="73"/>
      <c r="R1574" s="73"/>
      <c r="S1574" s="73"/>
      <c r="T1574" s="73"/>
      <c r="U1574" s="73"/>
      <c r="V1574" s="73"/>
      <c r="W1574" s="73"/>
      <c r="X1574" s="73"/>
      <c r="Y1574" s="73"/>
      <c r="Z1574" s="73"/>
      <c r="AA1574" s="73"/>
    </row>
    <row r="1575" spans="1:27" ht="12.75" customHeight="1">
      <c r="A1575" s="73"/>
      <c r="B1575" s="32"/>
      <c r="C1575" s="32"/>
      <c r="D1575" s="33"/>
      <c r="E1575" s="32"/>
      <c r="F1575" s="32"/>
      <c r="G1575" s="74"/>
      <c r="H1575" s="32"/>
      <c r="I1575" s="32"/>
      <c r="J1575" s="32"/>
      <c r="K1575" s="74"/>
      <c r="L1575" s="35"/>
      <c r="M1575" s="32"/>
      <c r="N1575" s="32"/>
      <c r="O1575" s="59"/>
      <c r="P1575" s="73"/>
      <c r="Q1575" s="73"/>
      <c r="R1575" s="73"/>
      <c r="S1575" s="73"/>
      <c r="T1575" s="73"/>
      <c r="U1575" s="73"/>
      <c r="V1575" s="73"/>
      <c r="W1575" s="73"/>
      <c r="X1575" s="73"/>
      <c r="Y1575" s="73"/>
      <c r="Z1575" s="73"/>
      <c r="AA1575" s="73"/>
    </row>
    <row r="1576" spans="1:27" ht="12.75" customHeight="1">
      <c r="A1576" s="73"/>
      <c r="B1576" s="32"/>
      <c r="C1576" s="32"/>
      <c r="D1576" s="33"/>
      <c r="E1576" s="32"/>
      <c r="F1576" s="32"/>
      <c r="G1576" s="74"/>
      <c r="H1576" s="32"/>
      <c r="I1576" s="32"/>
      <c r="J1576" s="32"/>
      <c r="K1576" s="74"/>
      <c r="L1576" s="35"/>
      <c r="M1576" s="32"/>
      <c r="N1576" s="32"/>
      <c r="O1576" s="59"/>
      <c r="P1576" s="73"/>
      <c r="Q1576" s="73"/>
      <c r="R1576" s="73"/>
      <c r="S1576" s="73"/>
      <c r="T1576" s="73"/>
      <c r="U1576" s="73"/>
      <c r="V1576" s="73"/>
      <c r="W1576" s="73"/>
      <c r="X1576" s="73"/>
      <c r="Y1576" s="73"/>
      <c r="Z1576" s="73"/>
      <c r="AA1576" s="73"/>
    </row>
    <row r="1577" spans="1:27" ht="12.75" customHeight="1">
      <c r="A1577" s="73"/>
      <c r="B1577" s="32"/>
      <c r="C1577" s="32"/>
      <c r="D1577" s="33"/>
      <c r="E1577" s="32"/>
      <c r="F1577" s="32"/>
      <c r="G1577" s="74"/>
      <c r="H1577" s="32"/>
      <c r="I1577" s="32"/>
      <c r="J1577" s="32"/>
      <c r="K1577" s="74"/>
      <c r="L1577" s="35"/>
      <c r="M1577" s="32"/>
      <c r="N1577" s="32"/>
      <c r="O1577" s="59"/>
      <c r="P1577" s="73"/>
      <c r="Q1577" s="73"/>
      <c r="R1577" s="73"/>
      <c r="S1577" s="73"/>
      <c r="T1577" s="73"/>
      <c r="U1577" s="73"/>
      <c r="V1577" s="73"/>
      <c r="W1577" s="73"/>
      <c r="X1577" s="73"/>
      <c r="Y1577" s="73"/>
      <c r="Z1577" s="73"/>
      <c r="AA1577" s="73"/>
    </row>
    <row r="1578" spans="1:27" ht="12.75" customHeight="1">
      <c r="A1578" s="73"/>
      <c r="B1578" s="32"/>
      <c r="C1578" s="32"/>
      <c r="D1578" s="33"/>
      <c r="E1578" s="32"/>
      <c r="F1578" s="32"/>
      <c r="G1578" s="74"/>
      <c r="H1578" s="32"/>
      <c r="I1578" s="32"/>
      <c r="J1578" s="32"/>
      <c r="K1578" s="74"/>
      <c r="L1578" s="35"/>
      <c r="M1578" s="32"/>
      <c r="N1578" s="32"/>
      <c r="O1578" s="59"/>
      <c r="P1578" s="73"/>
      <c r="Q1578" s="73"/>
      <c r="R1578" s="73"/>
      <c r="S1578" s="73"/>
      <c r="T1578" s="73"/>
      <c r="U1578" s="73"/>
      <c r="V1578" s="73"/>
      <c r="W1578" s="73"/>
      <c r="X1578" s="73"/>
      <c r="Y1578" s="73"/>
      <c r="Z1578" s="73"/>
      <c r="AA1578" s="73"/>
    </row>
    <row r="1579" spans="1:27" ht="12.75" customHeight="1">
      <c r="A1579" s="73"/>
      <c r="B1579" s="32"/>
      <c r="C1579" s="32"/>
      <c r="D1579" s="33"/>
      <c r="E1579" s="32"/>
      <c r="F1579" s="32"/>
      <c r="G1579" s="74"/>
      <c r="H1579" s="32"/>
      <c r="I1579" s="32"/>
      <c r="J1579" s="32"/>
      <c r="K1579" s="74"/>
      <c r="L1579" s="35"/>
      <c r="M1579" s="32"/>
      <c r="N1579" s="32"/>
      <c r="O1579" s="59"/>
      <c r="P1579" s="73"/>
      <c r="Q1579" s="73"/>
      <c r="R1579" s="73"/>
      <c r="S1579" s="73"/>
      <c r="T1579" s="73"/>
      <c r="U1579" s="73"/>
      <c r="V1579" s="73"/>
      <c r="W1579" s="73"/>
      <c r="X1579" s="73"/>
      <c r="Y1579" s="73"/>
      <c r="Z1579" s="73"/>
      <c r="AA1579" s="73"/>
    </row>
    <row r="1580" spans="1:27" ht="12.75" customHeight="1">
      <c r="A1580" s="73"/>
      <c r="B1580" s="32"/>
      <c r="C1580" s="32"/>
      <c r="D1580" s="33"/>
      <c r="E1580" s="32"/>
      <c r="F1580" s="32"/>
      <c r="G1580" s="74"/>
      <c r="H1580" s="32"/>
      <c r="I1580" s="32"/>
      <c r="J1580" s="32"/>
      <c r="K1580" s="74"/>
      <c r="L1580" s="35"/>
      <c r="M1580" s="32"/>
      <c r="N1580" s="32"/>
      <c r="O1580" s="59"/>
      <c r="P1580" s="73"/>
      <c r="Q1580" s="73"/>
      <c r="R1580" s="73"/>
      <c r="S1580" s="73"/>
      <c r="T1580" s="73"/>
      <c r="U1580" s="73"/>
      <c r="V1580" s="73"/>
      <c r="W1580" s="73"/>
      <c r="X1580" s="73"/>
      <c r="Y1580" s="73"/>
      <c r="Z1580" s="73"/>
      <c r="AA1580" s="73"/>
    </row>
    <row r="1581" spans="1:27" ht="12.75" customHeight="1">
      <c r="A1581" s="73"/>
      <c r="B1581" s="32"/>
      <c r="C1581" s="32"/>
      <c r="D1581" s="33"/>
      <c r="E1581" s="32"/>
      <c r="F1581" s="32"/>
      <c r="G1581" s="74"/>
      <c r="H1581" s="32"/>
      <c r="I1581" s="32"/>
      <c r="J1581" s="32"/>
      <c r="K1581" s="74"/>
      <c r="L1581" s="35"/>
      <c r="M1581" s="32"/>
      <c r="N1581" s="32"/>
      <c r="O1581" s="59"/>
      <c r="P1581" s="73"/>
      <c r="Q1581" s="73"/>
      <c r="R1581" s="73"/>
      <c r="S1581" s="73"/>
      <c r="T1581" s="73"/>
      <c r="U1581" s="73"/>
      <c r="V1581" s="73"/>
      <c r="W1581" s="73"/>
      <c r="X1581" s="73"/>
      <c r="Y1581" s="73"/>
      <c r="Z1581" s="73"/>
      <c r="AA1581" s="73"/>
    </row>
    <row r="1582" spans="1:27" ht="12.75" customHeight="1">
      <c r="A1582" s="73"/>
      <c r="B1582" s="32"/>
      <c r="C1582" s="32"/>
      <c r="D1582" s="33"/>
      <c r="E1582" s="32"/>
      <c r="F1582" s="32"/>
      <c r="G1582" s="74"/>
      <c r="H1582" s="32"/>
      <c r="I1582" s="32"/>
      <c r="J1582" s="32"/>
      <c r="K1582" s="74"/>
      <c r="L1582" s="35"/>
      <c r="M1582" s="32"/>
      <c r="N1582" s="32"/>
      <c r="O1582" s="59"/>
      <c r="P1582" s="73"/>
      <c r="Q1582" s="73"/>
      <c r="R1582" s="73"/>
      <c r="S1582" s="73"/>
      <c r="T1582" s="73"/>
      <c r="U1582" s="73"/>
      <c r="V1582" s="73"/>
      <c r="W1582" s="73"/>
      <c r="X1582" s="73"/>
      <c r="Y1582" s="73"/>
      <c r="Z1582" s="73"/>
      <c r="AA1582" s="73"/>
    </row>
    <row r="1583" spans="1:27" ht="12.75" customHeight="1">
      <c r="A1583" s="73"/>
      <c r="B1583" s="32"/>
      <c r="C1583" s="32"/>
      <c r="D1583" s="33"/>
      <c r="E1583" s="32"/>
      <c r="F1583" s="32"/>
      <c r="G1583" s="74"/>
      <c r="H1583" s="32"/>
      <c r="I1583" s="32"/>
      <c r="J1583" s="32"/>
      <c r="K1583" s="74"/>
      <c r="L1583" s="35"/>
      <c r="M1583" s="32"/>
      <c r="N1583" s="32"/>
      <c r="O1583" s="59"/>
      <c r="P1583" s="73"/>
      <c r="Q1583" s="73"/>
      <c r="R1583" s="73"/>
      <c r="S1583" s="73"/>
      <c r="T1583" s="73"/>
      <c r="U1583" s="73"/>
      <c r="V1583" s="73"/>
      <c r="W1583" s="73"/>
      <c r="X1583" s="73"/>
      <c r="Y1583" s="73"/>
      <c r="Z1583" s="73"/>
      <c r="AA1583" s="73"/>
    </row>
    <row r="1584" spans="1:27" ht="12.75" customHeight="1">
      <c r="A1584" s="73"/>
      <c r="B1584" s="32"/>
      <c r="C1584" s="32"/>
      <c r="D1584" s="33"/>
      <c r="E1584" s="32"/>
      <c r="F1584" s="32"/>
      <c r="G1584" s="74"/>
      <c r="H1584" s="32"/>
      <c r="I1584" s="32"/>
      <c r="J1584" s="32"/>
      <c r="K1584" s="74"/>
      <c r="L1584" s="35"/>
      <c r="M1584" s="32"/>
      <c r="N1584" s="32"/>
      <c r="O1584" s="59"/>
      <c r="P1584" s="73"/>
      <c r="Q1584" s="73"/>
      <c r="R1584" s="73"/>
      <c r="S1584" s="73"/>
      <c r="T1584" s="73"/>
      <c r="U1584" s="73"/>
      <c r="V1584" s="73"/>
      <c r="W1584" s="73"/>
      <c r="X1584" s="73"/>
      <c r="Y1584" s="73"/>
      <c r="Z1584" s="73"/>
      <c r="AA1584" s="73"/>
    </row>
    <row r="1585" spans="1:27" ht="12.75" customHeight="1">
      <c r="A1585" s="73"/>
      <c r="B1585" s="32"/>
      <c r="C1585" s="32"/>
      <c r="D1585" s="33"/>
      <c r="E1585" s="32"/>
      <c r="F1585" s="32"/>
      <c r="G1585" s="74"/>
      <c r="H1585" s="32"/>
      <c r="I1585" s="32"/>
      <c r="J1585" s="32"/>
      <c r="K1585" s="74"/>
      <c r="L1585" s="35"/>
      <c r="M1585" s="32"/>
      <c r="N1585" s="32"/>
      <c r="O1585" s="59"/>
      <c r="P1585" s="73"/>
      <c r="Q1585" s="73"/>
      <c r="R1585" s="73"/>
      <c r="S1585" s="73"/>
      <c r="T1585" s="73"/>
      <c r="U1585" s="73"/>
      <c r="V1585" s="73"/>
      <c r="W1585" s="73"/>
      <c r="X1585" s="73"/>
      <c r="Y1585" s="73"/>
      <c r="Z1585" s="73"/>
      <c r="AA1585" s="73"/>
    </row>
    <row r="1586" spans="1:27" ht="12.75" customHeight="1">
      <c r="A1586" s="73"/>
      <c r="B1586" s="32"/>
      <c r="C1586" s="32"/>
      <c r="D1586" s="33"/>
      <c r="E1586" s="32"/>
      <c r="F1586" s="32"/>
      <c r="G1586" s="74"/>
      <c r="H1586" s="32"/>
      <c r="I1586" s="32"/>
      <c r="J1586" s="32"/>
      <c r="K1586" s="74"/>
      <c r="L1586" s="35"/>
      <c r="M1586" s="32"/>
      <c r="N1586" s="32"/>
      <c r="O1586" s="59"/>
      <c r="P1586" s="73"/>
      <c r="Q1586" s="73"/>
      <c r="R1586" s="73"/>
      <c r="S1586" s="73"/>
      <c r="T1586" s="73"/>
      <c r="U1586" s="73"/>
      <c r="V1586" s="73"/>
      <c r="W1586" s="73"/>
      <c r="X1586" s="73"/>
      <c r="Y1586" s="73"/>
      <c r="Z1586" s="73"/>
      <c r="AA1586" s="73"/>
    </row>
    <row r="1587" spans="1:27" ht="12.75" customHeight="1">
      <c r="A1587" s="73"/>
      <c r="B1587" s="32"/>
      <c r="C1587" s="32"/>
      <c r="D1587" s="33"/>
      <c r="E1587" s="32"/>
      <c r="F1587" s="32"/>
      <c r="G1587" s="74"/>
      <c r="H1587" s="32"/>
      <c r="I1587" s="32"/>
      <c r="J1587" s="32"/>
      <c r="K1587" s="74"/>
      <c r="L1587" s="35"/>
      <c r="M1587" s="32"/>
      <c r="N1587" s="32"/>
      <c r="O1587" s="59"/>
      <c r="P1587" s="73"/>
      <c r="Q1587" s="73"/>
      <c r="R1587" s="73"/>
      <c r="S1587" s="73"/>
      <c r="T1587" s="73"/>
      <c r="U1587" s="73"/>
      <c r="V1587" s="73"/>
      <c r="W1587" s="73"/>
      <c r="X1587" s="73"/>
      <c r="Y1587" s="73"/>
      <c r="Z1587" s="73"/>
      <c r="AA1587" s="73"/>
    </row>
    <row r="1588" spans="1:27" ht="12.75" customHeight="1">
      <c r="A1588" s="73"/>
      <c r="B1588" s="32"/>
      <c r="C1588" s="32"/>
      <c r="D1588" s="33"/>
      <c r="E1588" s="32"/>
      <c r="F1588" s="32"/>
      <c r="G1588" s="74"/>
      <c r="H1588" s="32"/>
      <c r="I1588" s="32"/>
      <c r="J1588" s="32"/>
      <c r="K1588" s="74"/>
      <c r="L1588" s="35"/>
      <c r="M1588" s="32"/>
      <c r="N1588" s="32"/>
      <c r="O1588" s="59"/>
      <c r="P1588" s="73"/>
      <c r="Q1588" s="73"/>
      <c r="R1588" s="73"/>
      <c r="S1588" s="73"/>
      <c r="T1588" s="73"/>
      <c r="U1588" s="73"/>
      <c r="V1588" s="73"/>
      <c r="W1588" s="73"/>
      <c r="X1588" s="73"/>
      <c r="Y1588" s="73"/>
      <c r="Z1588" s="73"/>
      <c r="AA1588" s="73"/>
    </row>
    <row r="1589" spans="1:27" ht="12.75" customHeight="1">
      <c r="A1589" s="73"/>
      <c r="B1589" s="32"/>
      <c r="C1589" s="32"/>
      <c r="D1589" s="33"/>
      <c r="E1589" s="32"/>
      <c r="F1589" s="32"/>
      <c r="G1589" s="74"/>
      <c r="H1589" s="32"/>
      <c r="I1589" s="32"/>
      <c r="J1589" s="32"/>
      <c r="K1589" s="74"/>
      <c r="L1589" s="35"/>
      <c r="M1589" s="32"/>
      <c r="N1589" s="32"/>
      <c r="O1589" s="59"/>
      <c r="P1589" s="73"/>
      <c r="Q1589" s="73"/>
      <c r="R1589" s="73"/>
      <c r="S1589" s="73"/>
      <c r="T1589" s="73"/>
      <c r="U1589" s="73"/>
      <c r="V1589" s="73"/>
      <c r="W1589" s="73"/>
      <c r="X1589" s="73"/>
      <c r="Y1589" s="73"/>
      <c r="Z1589" s="73"/>
      <c r="AA1589" s="73"/>
    </row>
    <row r="1590" spans="1:27" ht="12.75" customHeight="1">
      <c r="A1590" s="73"/>
      <c r="B1590" s="32"/>
      <c r="C1590" s="32"/>
      <c r="D1590" s="33"/>
      <c r="E1590" s="32"/>
      <c r="F1590" s="32"/>
      <c r="G1590" s="74"/>
      <c r="H1590" s="32"/>
      <c r="I1590" s="32"/>
      <c r="J1590" s="32"/>
      <c r="K1590" s="74"/>
      <c r="L1590" s="35"/>
      <c r="M1590" s="32"/>
      <c r="N1590" s="32"/>
      <c r="O1590" s="59"/>
      <c r="P1590" s="73"/>
      <c r="Q1590" s="73"/>
      <c r="R1590" s="73"/>
      <c r="S1590" s="73"/>
      <c r="T1590" s="73"/>
      <c r="U1590" s="73"/>
      <c r="V1590" s="73"/>
      <c r="W1590" s="73"/>
      <c r="X1590" s="73"/>
      <c r="Y1590" s="73"/>
      <c r="Z1590" s="73"/>
      <c r="AA1590" s="73"/>
    </row>
    <row r="1591" spans="1:27" ht="12.75" customHeight="1">
      <c r="A1591" s="73"/>
      <c r="B1591" s="32"/>
      <c r="C1591" s="32"/>
      <c r="D1591" s="33"/>
      <c r="E1591" s="32"/>
      <c r="F1591" s="32"/>
      <c r="G1591" s="74"/>
      <c r="H1591" s="32"/>
      <c r="I1591" s="32"/>
      <c r="J1591" s="32"/>
      <c r="K1591" s="74"/>
      <c r="L1591" s="35"/>
      <c r="M1591" s="32"/>
      <c r="N1591" s="32"/>
      <c r="O1591" s="59"/>
      <c r="P1591" s="73"/>
      <c r="Q1591" s="73"/>
      <c r="R1591" s="73"/>
      <c r="S1591" s="73"/>
      <c r="T1591" s="73"/>
      <c r="U1591" s="73"/>
      <c r="V1591" s="73"/>
      <c r="W1591" s="73"/>
      <c r="X1591" s="73"/>
      <c r="Y1591" s="73"/>
      <c r="Z1591" s="73"/>
      <c r="AA1591" s="73"/>
    </row>
    <row r="1592" spans="1:27" ht="12.75" customHeight="1">
      <c r="A1592" s="73"/>
      <c r="B1592" s="32"/>
      <c r="C1592" s="32"/>
      <c r="D1592" s="33"/>
      <c r="E1592" s="32"/>
      <c r="F1592" s="32"/>
      <c r="G1592" s="74"/>
      <c r="H1592" s="32"/>
      <c r="I1592" s="32"/>
      <c r="J1592" s="32"/>
      <c r="K1592" s="74"/>
      <c r="L1592" s="35"/>
      <c r="M1592" s="32"/>
      <c r="N1592" s="32"/>
      <c r="O1592" s="59"/>
      <c r="P1592" s="73"/>
      <c r="Q1592" s="73"/>
      <c r="R1592" s="73"/>
      <c r="S1592" s="73"/>
      <c r="T1592" s="73"/>
      <c r="U1592" s="73"/>
      <c r="V1592" s="73"/>
      <c r="W1592" s="73"/>
      <c r="X1592" s="73"/>
      <c r="Y1592" s="73"/>
      <c r="Z1592" s="73"/>
      <c r="AA1592" s="73"/>
    </row>
    <row r="1593" spans="1:27" ht="12.75" customHeight="1">
      <c r="A1593" s="73"/>
      <c r="B1593" s="32"/>
      <c r="C1593" s="32"/>
      <c r="D1593" s="33"/>
      <c r="E1593" s="32"/>
      <c r="F1593" s="32"/>
      <c r="G1593" s="74"/>
      <c r="H1593" s="32"/>
      <c r="I1593" s="32"/>
      <c r="J1593" s="32"/>
      <c r="K1593" s="74"/>
      <c r="L1593" s="35"/>
      <c r="M1593" s="32"/>
      <c r="N1593" s="32"/>
      <c r="O1593" s="59"/>
      <c r="P1593" s="73"/>
      <c r="Q1593" s="73"/>
      <c r="R1593" s="73"/>
      <c r="S1593" s="73"/>
      <c r="T1593" s="73"/>
      <c r="U1593" s="73"/>
      <c r="V1593" s="73"/>
      <c r="W1593" s="73"/>
      <c r="X1593" s="73"/>
      <c r="Y1593" s="73"/>
      <c r="Z1593" s="73"/>
      <c r="AA1593" s="73"/>
    </row>
    <row r="1594" spans="1:27" ht="12.75" customHeight="1">
      <c r="A1594" s="73"/>
      <c r="B1594" s="32"/>
      <c r="C1594" s="32"/>
      <c r="D1594" s="33"/>
      <c r="E1594" s="32"/>
      <c r="F1594" s="32"/>
      <c r="G1594" s="74"/>
      <c r="H1594" s="32"/>
      <c r="I1594" s="32"/>
      <c r="J1594" s="32"/>
      <c r="K1594" s="74"/>
      <c r="L1594" s="35"/>
      <c r="M1594" s="32"/>
      <c r="N1594" s="32"/>
      <c r="O1594" s="59"/>
      <c r="P1594" s="73"/>
      <c r="Q1594" s="73"/>
      <c r="R1594" s="73"/>
      <c r="S1594" s="73"/>
      <c r="T1594" s="73"/>
      <c r="U1594" s="73"/>
      <c r="V1594" s="73"/>
      <c r="W1594" s="73"/>
      <c r="X1594" s="73"/>
      <c r="Y1594" s="73"/>
      <c r="Z1594" s="73"/>
      <c r="AA1594" s="73"/>
    </row>
    <row r="1595" spans="1:27" ht="12.75" customHeight="1">
      <c r="A1595" s="73"/>
      <c r="B1595" s="32"/>
      <c r="C1595" s="32"/>
      <c r="D1595" s="33"/>
      <c r="E1595" s="32"/>
      <c r="F1595" s="32"/>
      <c r="G1595" s="74"/>
      <c r="H1595" s="32"/>
      <c r="I1595" s="32"/>
      <c r="J1595" s="32"/>
      <c r="K1595" s="74"/>
      <c r="L1595" s="35"/>
      <c r="M1595" s="32"/>
      <c r="N1595" s="32"/>
      <c r="O1595" s="59"/>
      <c r="P1595" s="73"/>
      <c r="Q1595" s="73"/>
      <c r="R1595" s="73"/>
      <c r="S1595" s="73"/>
      <c r="T1595" s="73"/>
      <c r="U1595" s="73"/>
      <c r="V1595" s="73"/>
      <c r="W1595" s="73"/>
      <c r="X1595" s="73"/>
      <c r="Y1595" s="73"/>
      <c r="Z1595" s="73"/>
      <c r="AA1595" s="73"/>
    </row>
    <row r="1596" spans="1:27" ht="12.75" customHeight="1">
      <c r="A1596" s="73"/>
      <c r="B1596" s="32"/>
      <c r="C1596" s="32"/>
      <c r="D1596" s="33"/>
      <c r="E1596" s="32"/>
      <c r="F1596" s="32"/>
      <c r="G1596" s="74"/>
      <c r="H1596" s="32"/>
      <c r="I1596" s="32"/>
      <c r="J1596" s="32"/>
      <c r="K1596" s="74"/>
      <c r="L1596" s="35"/>
      <c r="M1596" s="32"/>
      <c r="N1596" s="32"/>
      <c r="O1596" s="59"/>
      <c r="P1596" s="73"/>
      <c r="Q1596" s="73"/>
      <c r="R1596" s="73"/>
      <c r="S1596" s="73"/>
      <c r="T1596" s="73"/>
      <c r="U1596" s="73"/>
      <c r="V1596" s="73"/>
      <c r="W1596" s="73"/>
      <c r="X1596" s="73"/>
      <c r="Y1596" s="73"/>
      <c r="Z1596" s="73"/>
      <c r="AA1596" s="73"/>
    </row>
    <row r="1597" spans="1:27" ht="12.75" customHeight="1">
      <c r="A1597" s="73"/>
      <c r="B1597" s="32"/>
      <c r="C1597" s="32"/>
      <c r="D1597" s="33"/>
      <c r="E1597" s="32"/>
      <c r="F1597" s="32"/>
      <c r="G1597" s="74"/>
      <c r="H1597" s="32"/>
      <c r="I1597" s="32"/>
      <c r="J1597" s="32"/>
      <c r="K1597" s="74"/>
      <c r="L1597" s="35"/>
      <c r="M1597" s="32"/>
      <c r="N1597" s="32"/>
      <c r="O1597" s="59"/>
      <c r="P1597" s="73"/>
      <c r="Q1597" s="73"/>
      <c r="R1597" s="73"/>
      <c r="S1597" s="73"/>
      <c r="T1597" s="73"/>
      <c r="U1597" s="73"/>
      <c r="V1597" s="73"/>
      <c r="W1597" s="73"/>
      <c r="X1597" s="73"/>
      <c r="Y1597" s="73"/>
      <c r="Z1597" s="73"/>
      <c r="AA1597" s="73"/>
    </row>
    <row r="1598" spans="1:27" ht="12.75" customHeight="1">
      <c r="A1598" s="73"/>
      <c r="B1598" s="32"/>
      <c r="C1598" s="32"/>
      <c r="D1598" s="33"/>
      <c r="E1598" s="32"/>
      <c r="F1598" s="32"/>
      <c r="G1598" s="74"/>
      <c r="H1598" s="32"/>
      <c r="I1598" s="32"/>
      <c r="J1598" s="32"/>
      <c r="K1598" s="74"/>
      <c r="L1598" s="35"/>
      <c r="M1598" s="32"/>
      <c r="N1598" s="32"/>
      <c r="O1598" s="59"/>
      <c r="P1598" s="73"/>
      <c r="Q1598" s="73"/>
      <c r="R1598" s="73"/>
      <c r="S1598" s="73"/>
      <c r="T1598" s="73"/>
      <c r="U1598" s="73"/>
      <c r="V1598" s="73"/>
      <c r="W1598" s="73"/>
      <c r="X1598" s="73"/>
      <c r="Y1598" s="73"/>
      <c r="Z1598" s="73"/>
      <c r="AA1598" s="73"/>
    </row>
    <row r="1599" spans="1:27" ht="12.75" customHeight="1">
      <c r="A1599" s="73"/>
      <c r="B1599" s="32"/>
      <c r="C1599" s="32"/>
      <c r="D1599" s="33"/>
      <c r="E1599" s="32"/>
      <c r="F1599" s="32"/>
      <c r="G1599" s="74"/>
      <c r="H1599" s="32"/>
      <c r="I1599" s="32"/>
      <c r="J1599" s="32"/>
      <c r="K1599" s="74"/>
      <c r="L1599" s="35"/>
      <c r="M1599" s="32"/>
      <c r="N1599" s="32"/>
      <c r="O1599" s="59"/>
      <c r="P1599" s="73"/>
      <c r="Q1599" s="73"/>
      <c r="R1599" s="73"/>
      <c r="S1599" s="73"/>
      <c r="T1599" s="73"/>
      <c r="U1599" s="73"/>
      <c r="V1599" s="73"/>
      <c r="W1599" s="73"/>
      <c r="X1599" s="73"/>
      <c r="Y1599" s="73"/>
      <c r="Z1599" s="73"/>
      <c r="AA1599" s="73"/>
    </row>
    <row r="1600" spans="1:27" ht="12.75" customHeight="1">
      <c r="A1600" s="73"/>
      <c r="B1600" s="32"/>
      <c r="C1600" s="32"/>
      <c r="D1600" s="33"/>
      <c r="E1600" s="32"/>
      <c r="F1600" s="32"/>
      <c r="G1600" s="74"/>
      <c r="H1600" s="32"/>
      <c r="I1600" s="32"/>
      <c r="J1600" s="32"/>
      <c r="K1600" s="74"/>
      <c r="L1600" s="35"/>
      <c r="M1600" s="32"/>
      <c r="N1600" s="32"/>
      <c r="O1600" s="59"/>
      <c r="P1600" s="73"/>
      <c r="Q1600" s="73"/>
      <c r="R1600" s="73"/>
      <c r="S1600" s="73"/>
      <c r="T1600" s="73"/>
      <c r="U1600" s="73"/>
      <c r="V1600" s="73"/>
      <c r="W1600" s="73"/>
      <c r="X1600" s="73"/>
      <c r="Y1600" s="73"/>
      <c r="Z1600" s="73"/>
      <c r="AA1600" s="73"/>
    </row>
    <row r="1601" spans="1:27" ht="12.75" customHeight="1">
      <c r="A1601" s="73"/>
      <c r="B1601" s="32"/>
      <c r="C1601" s="32"/>
      <c r="D1601" s="33"/>
      <c r="E1601" s="32"/>
      <c r="F1601" s="32"/>
      <c r="G1601" s="74"/>
      <c r="H1601" s="32"/>
      <c r="I1601" s="32"/>
      <c r="J1601" s="32"/>
      <c r="K1601" s="74"/>
      <c r="L1601" s="35"/>
      <c r="M1601" s="32"/>
      <c r="N1601" s="32"/>
      <c r="O1601" s="59"/>
      <c r="P1601" s="73"/>
      <c r="Q1601" s="73"/>
      <c r="R1601" s="73"/>
      <c r="S1601" s="73"/>
      <c r="T1601" s="73"/>
      <c r="U1601" s="73"/>
      <c r="V1601" s="73"/>
      <c r="W1601" s="73"/>
      <c r="X1601" s="73"/>
      <c r="Y1601" s="73"/>
      <c r="Z1601" s="73"/>
      <c r="AA1601" s="73"/>
    </row>
    <row r="1602" spans="1:27" ht="12.75" customHeight="1">
      <c r="A1602" s="73"/>
      <c r="B1602" s="32"/>
      <c r="C1602" s="32"/>
      <c r="D1602" s="33"/>
      <c r="E1602" s="32"/>
      <c r="F1602" s="32"/>
      <c r="G1602" s="74"/>
      <c r="H1602" s="32"/>
      <c r="I1602" s="32"/>
      <c r="J1602" s="32"/>
      <c r="K1602" s="74"/>
      <c r="L1602" s="35"/>
      <c r="M1602" s="32"/>
      <c r="N1602" s="32"/>
      <c r="O1602" s="59"/>
      <c r="P1602" s="73"/>
      <c r="Q1602" s="73"/>
      <c r="R1602" s="73"/>
      <c r="S1602" s="73"/>
      <c r="T1602" s="73"/>
      <c r="U1602" s="73"/>
      <c r="V1602" s="73"/>
      <c r="W1602" s="73"/>
      <c r="X1602" s="73"/>
      <c r="Y1602" s="73"/>
      <c r="Z1602" s="73"/>
      <c r="AA1602" s="73"/>
    </row>
    <row r="1603" spans="1:27" ht="12.75" customHeight="1">
      <c r="A1603" s="73"/>
      <c r="B1603" s="32"/>
      <c r="C1603" s="32"/>
      <c r="D1603" s="33"/>
      <c r="E1603" s="32"/>
      <c r="F1603" s="32"/>
      <c r="G1603" s="74"/>
      <c r="H1603" s="32"/>
      <c r="I1603" s="32"/>
      <c r="J1603" s="32"/>
      <c r="K1603" s="74"/>
      <c r="L1603" s="35"/>
      <c r="M1603" s="32"/>
      <c r="N1603" s="32"/>
      <c r="O1603" s="59"/>
      <c r="P1603" s="73"/>
      <c r="Q1603" s="73"/>
      <c r="R1603" s="73"/>
      <c r="S1603" s="73"/>
      <c r="T1603" s="73"/>
      <c r="U1603" s="73"/>
      <c r="V1603" s="73"/>
      <c r="W1603" s="73"/>
      <c r="X1603" s="73"/>
      <c r="Y1603" s="73"/>
      <c r="Z1603" s="73"/>
      <c r="AA1603" s="73"/>
    </row>
    <row r="1604" spans="1:27" ht="12.75" customHeight="1">
      <c r="A1604" s="73"/>
      <c r="B1604" s="32"/>
      <c r="C1604" s="32"/>
      <c r="D1604" s="33"/>
      <c r="E1604" s="32"/>
      <c r="F1604" s="32"/>
      <c r="G1604" s="74"/>
      <c r="H1604" s="32"/>
      <c r="I1604" s="32"/>
      <c r="J1604" s="32"/>
      <c r="K1604" s="74"/>
      <c r="L1604" s="35"/>
      <c r="M1604" s="32"/>
      <c r="N1604" s="32"/>
      <c r="O1604" s="59"/>
      <c r="P1604" s="73"/>
      <c r="Q1604" s="73"/>
      <c r="R1604" s="73"/>
      <c r="S1604" s="73"/>
      <c r="T1604" s="73"/>
      <c r="U1604" s="73"/>
      <c r="V1604" s="73"/>
      <c r="W1604" s="73"/>
      <c r="X1604" s="73"/>
      <c r="Y1604" s="73"/>
      <c r="Z1604" s="73"/>
      <c r="AA1604" s="73"/>
    </row>
    <row r="1605" spans="1:27" ht="12.75" customHeight="1">
      <c r="A1605" s="73"/>
      <c r="B1605" s="32"/>
      <c r="C1605" s="32"/>
      <c r="D1605" s="33"/>
      <c r="E1605" s="32"/>
      <c r="F1605" s="32"/>
      <c r="G1605" s="74"/>
      <c r="H1605" s="32"/>
      <c r="I1605" s="32"/>
      <c r="J1605" s="32"/>
      <c r="K1605" s="74"/>
      <c r="L1605" s="35"/>
      <c r="M1605" s="32"/>
      <c r="N1605" s="32"/>
      <c r="O1605" s="59"/>
      <c r="P1605" s="73"/>
      <c r="Q1605" s="73"/>
      <c r="R1605" s="73"/>
      <c r="S1605" s="73"/>
      <c r="T1605" s="73"/>
      <c r="U1605" s="73"/>
      <c r="V1605" s="73"/>
      <c r="W1605" s="73"/>
      <c r="X1605" s="73"/>
      <c r="Y1605" s="73"/>
      <c r="Z1605" s="73"/>
      <c r="AA1605" s="73"/>
    </row>
    <row r="1606" spans="1:27" ht="12.75" customHeight="1">
      <c r="A1606" s="73"/>
      <c r="B1606" s="32"/>
      <c r="C1606" s="32"/>
      <c r="D1606" s="33"/>
      <c r="E1606" s="32"/>
      <c r="F1606" s="32"/>
      <c r="G1606" s="74"/>
      <c r="H1606" s="32"/>
      <c r="I1606" s="32"/>
      <c r="J1606" s="32"/>
      <c r="K1606" s="74"/>
      <c r="L1606" s="35"/>
      <c r="M1606" s="32"/>
      <c r="N1606" s="32"/>
      <c r="O1606" s="59"/>
      <c r="P1606" s="73"/>
      <c r="Q1606" s="73"/>
      <c r="R1606" s="73"/>
      <c r="S1606" s="73"/>
      <c r="T1606" s="73"/>
      <c r="U1606" s="73"/>
      <c r="V1606" s="73"/>
      <c r="W1606" s="73"/>
      <c r="X1606" s="73"/>
      <c r="Y1606" s="73"/>
      <c r="Z1606" s="73"/>
      <c r="AA1606" s="73"/>
    </row>
    <row r="1607" spans="1:27" ht="12.75" customHeight="1">
      <c r="A1607" s="73"/>
      <c r="B1607" s="32"/>
      <c r="C1607" s="32"/>
      <c r="D1607" s="33"/>
      <c r="E1607" s="32"/>
      <c r="F1607" s="32"/>
      <c r="G1607" s="74"/>
      <c r="H1607" s="32"/>
      <c r="I1607" s="32"/>
      <c r="J1607" s="32"/>
      <c r="K1607" s="74"/>
      <c r="L1607" s="35"/>
      <c r="M1607" s="32"/>
      <c r="N1607" s="32"/>
      <c r="O1607" s="59"/>
      <c r="P1607" s="73"/>
      <c r="Q1607" s="73"/>
      <c r="R1607" s="73"/>
      <c r="S1607" s="73"/>
      <c r="T1607" s="73"/>
      <c r="U1607" s="73"/>
      <c r="V1607" s="73"/>
      <c r="W1607" s="73"/>
      <c r="X1607" s="73"/>
      <c r="Y1607" s="73"/>
      <c r="Z1607" s="73"/>
      <c r="AA1607" s="73"/>
    </row>
    <row r="1608" spans="1:27" ht="12.75" customHeight="1">
      <c r="A1608" s="73"/>
      <c r="B1608" s="32"/>
      <c r="C1608" s="32"/>
      <c r="D1608" s="33"/>
      <c r="E1608" s="32"/>
      <c r="F1608" s="32"/>
      <c r="G1608" s="74"/>
      <c r="H1608" s="32"/>
      <c r="I1608" s="32"/>
      <c r="J1608" s="32"/>
      <c r="K1608" s="74"/>
      <c r="L1608" s="35"/>
      <c r="M1608" s="32"/>
      <c r="N1608" s="32"/>
      <c r="O1608" s="59"/>
      <c r="P1608" s="73"/>
      <c r="Q1608" s="73"/>
      <c r="R1608" s="73"/>
      <c r="S1608" s="73"/>
      <c r="T1608" s="73"/>
      <c r="U1608" s="73"/>
      <c r="V1608" s="73"/>
      <c r="W1608" s="73"/>
      <c r="X1608" s="73"/>
      <c r="Y1608" s="73"/>
      <c r="Z1608" s="73"/>
      <c r="AA1608" s="73"/>
    </row>
    <row r="1609" spans="1:27" ht="12.75" customHeight="1">
      <c r="A1609" s="73"/>
      <c r="B1609" s="32"/>
      <c r="C1609" s="32"/>
      <c r="D1609" s="33"/>
      <c r="E1609" s="32"/>
      <c r="F1609" s="32"/>
      <c r="G1609" s="74"/>
      <c r="H1609" s="32"/>
      <c r="I1609" s="32"/>
      <c r="J1609" s="32"/>
      <c r="K1609" s="74"/>
      <c r="L1609" s="35"/>
      <c r="M1609" s="32"/>
      <c r="N1609" s="32"/>
      <c r="O1609" s="59"/>
      <c r="P1609" s="73"/>
      <c r="Q1609" s="73"/>
      <c r="R1609" s="73"/>
      <c r="S1609" s="73"/>
      <c r="T1609" s="73"/>
      <c r="U1609" s="73"/>
      <c r="V1609" s="73"/>
      <c r="W1609" s="73"/>
      <c r="X1609" s="73"/>
      <c r="Y1609" s="73"/>
      <c r="Z1609" s="73"/>
      <c r="AA1609" s="73"/>
    </row>
    <row r="1610" spans="1:27" ht="12.75" customHeight="1">
      <c r="A1610" s="73"/>
      <c r="B1610" s="32"/>
      <c r="C1610" s="32"/>
      <c r="D1610" s="33"/>
      <c r="E1610" s="32"/>
      <c r="F1610" s="32"/>
      <c r="G1610" s="74"/>
      <c r="H1610" s="32"/>
      <c r="I1610" s="32"/>
      <c r="J1610" s="32"/>
      <c r="K1610" s="74"/>
      <c r="L1610" s="35"/>
      <c r="M1610" s="32"/>
      <c r="N1610" s="32"/>
      <c r="O1610" s="59"/>
      <c r="P1610" s="73"/>
      <c r="Q1610" s="73"/>
      <c r="R1610" s="73"/>
      <c r="S1610" s="73"/>
      <c r="T1610" s="73"/>
      <c r="U1610" s="73"/>
      <c r="V1610" s="73"/>
      <c r="W1610" s="73"/>
      <c r="X1610" s="73"/>
      <c r="Y1610" s="73"/>
      <c r="Z1610" s="73"/>
      <c r="AA1610" s="73"/>
    </row>
    <row r="1611" spans="1:27" ht="12.75" customHeight="1">
      <c r="A1611" s="73"/>
      <c r="B1611" s="32"/>
      <c r="C1611" s="32"/>
      <c r="D1611" s="33"/>
      <c r="E1611" s="32"/>
      <c r="F1611" s="32"/>
      <c r="G1611" s="74"/>
      <c r="H1611" s="32"/>
      <c r="I1611" s="32"/>
      <c r="J1611" s="32"/>
      <c r="K1611" s="74"/>
      <c r="L1611" s="35"/>
      <c r="M1611" s="32"/>
      <c r="N1611" s="32"/>
      <c r="O1611" s="59"/>
      <c r="P1611" s="73"/>
      <c r="Q1611" s="73"/>
      <c r="R1611" s="73"/>
      <c r="S1611" s="73"/>
      <c r="T1611" s="73"/>
      <c r="U1611" s="73"/>
      <c r="V1611" s="73"/>
      <c r="W1611" s="73"/>
      <c r="X1611" s="73"/>
      <c r="Y1611" s="73"/>
      <c r="Z1611" s="73"/>
      <c r="AA1611" s="73"/>
    </row>
    <row r="1612" spans="1:27" ht="12.75" customHeight="1">
      <c r="A1612" s="73"/>
      <c r="B1612" s="32"/>
      <c r="C1612" s="32"/>
      <c r="D1612" s="33"/>
      <c r="E1612" s="32"/>
      <c r="F1612" s="32"/>
      <c r="G1612" s="74"/>
      <c r="H1612" s="32"/>
      <c r="I1612" s="32"/>
      <c r="J1612" s="32"/>
      <c r="K1612" s="74"/>
      <c r="L1612" s="35"/>
      <c r="M1612" s="32"/>
      <c r="N1612" s="32"/>
      <c r="O1612" s="59"/>
      <c r="P1612" s="73"/>
      <c r="Q1612" s="73"/>
      <c r="R1612" s="73"/>
      <c r="S1612" s="73"/>
      <c r="T1612" s="73"/>
      <c r="U1612" s="73"/>
      <c r="V1612" s="73"/>
      <c r="W1612" s="73"/>
      <c r="X1612" s="73"/>
      <c r="Y1612" s="73"/>
      <c r="Z1612" s="73"/>
      <c r="AA1612" s="73"/>
    </row>
    <row r="1613" spans="1:27" ht="12.75" customHeight="1">
      <c r="A1613" s="73"/>
      <c r="B1613" s="32"/>
      <c r="C1613" s="32"/>
      <c r="D1613" s="33"/>
      <c r="E1613" s="32"/>
      <c r="F1613" s="32"/>
      <c r="G1613" s="74"/>
      <c r="H1613" s="32"/>
      <c r="I1613" s="32"/>
      <c r="J1613" s="32"/>
      <c r="K1613" s="74"/>
      <c r="L1613" s="35"/>
      <c r="M1613" s="32"/>
      <c r="N1613" s="32"/>
      <c r="O1613" s="59"/>
      <c r="P1613" s="73"/>
      <c r="Q1613" s="73"/>
      <c r="R1613" s="73"/>
      <c r="S1613" s="73"/>
      <c r="T1613" s="73"/>
      <c r="U1613" s="73"/>
      <c r="V1613" s="73"/>
      <c r="W1613" s="73"/>
      <c r="X1613" s="73"/>
      <c r="Y1613" s="73"/>
      <c r="Z1613" s="73"/>
      <c r="AA1613" s="73"/>
    </row>
    <row r="1614" spans="1:27" ht="12.75" customHeight="1">
      <c r="A1614" s="73"/>
      <c r="B1614" s="32"/>
      <c r="C1614" s="32"/>
      <c r="D1614" s="33"/>
      <c r="E1614" s="32"/>
      <c r="F1614" s="32"/>
      <c r="G1614" s="74"/>
      <c r="H1614" s="32"/>
      <c r="I1614" s="32"/>
      <c r="J1614" s="32"/>
      <c r="K1614" s="74"/>
      <c r="L1614" s="35"/>
      <c r="M1614" s="32"/>
      <c r="N1614" s="32"/>
      <c r="O1614" s="59"/>
      <c r="P1614" s="73"/>
      <c r="Q1614" s="73"/>
      <c r="R1614" s="73"/>
      <c r="S1614" s="73"/>
      <c r="T1614" s="73"/>
      <c r="U1614" s="73"/>
      <c r="V1614" s="73"/>
      <c r="W1614" s="73"/>
      <c r="X1614" s="73"/>
      <c r="Y1614" s="73"/>
      <c r="Z1614" s="73"/>
      <c r="AA1614" s="73"/>
    </row>
    <row r="1615" spans="1:27" ht="12.75" customHeight="1">
      <c r="A1615" s="73"/>
      <c r="B1615" s="32"/>
      <c r="C1615" s="32"/>
      <c r="D1615" s="33"/>
      <c r="E1615" s="32"/>
      <c r="F1615" s="32"/>
      <c r="G1615" s="74"/>
      <c r="H1615" s="32"/>
      <c r="I1615" s="32"/>
      <c r="J1615" s="32"/>
      <c r="K1615" s="74"/>
      <c r="L1615" s="35"/>
      <c r="M1615" s="32"/>
      <c r="N1615" s="32"/>
      <c r="O1615" s="59"/>
      <c r="P1615" s="73"/>
      <c r="Q1615" s="73"/>
      <c r="R1615" s="73"/>
      <c r="S1615" s="73"/>
      <c r="T1615" s="73"/>
      <c r="U1615" s="73"/>
      <c r="V1615" s="73"/>
      <c r="W1615" s="73"/>
      <c r="X1615" s="73"/>
      <c r="Y1615" s="73"/>
      <c r="Z1615" s="73"/>
      <c r="AA1615" s="73"/>
    </row>
    <row r="1616" spans="1:27" ht="12.75" customHeight="1">
      <c r="A1616" s="73"/>
      <c r="B1616" s="32"/>
      <c r="C1616" s="32"/>
      <c r="D1616" s="33"/>
      <c r="E1616" s="32"/>
      <c r="F1616" s="32"/>
      <c r="G1616" s="74"/>
      <c r="H1616" s="32"/>
      <c r="I1616" s="32"/>
      <c r="J1616" s="32"/>
      <c r="K1616" s="74"/>
      <c r="L1616" s="35"/>
      <c r="M1616" s="32"/>
      <c r="N1616" s="32"/>
      <c r="O1616" s="59"/>
      <c r="P1616" s="73"/>
      <c r="Q1616" s="73"/>
      <c r="R1616" s="73"/>
      <c r="S1616" s="73"/>
      <c r="T1616" s="73"/>
      <c r="U1616" s="73"/>
      <c r="V1616" s="73"/>
      <c r="W1616" s="73"/>
      <c r="X1616" s="73"/>
      <c r="Y1616" s="73"/>
      <c r="Z1616" s="73"/>
      <c r="AA1616" s="73"/>
    </row>
    <row r="1617" spans="1:27" ht="12.75" customHeight="1">
      <c r="A1617" s="73"/>
      <c r="B1617" s="32"/>
      <c r="C1617" s="32"/>
      <c r="D1617" s="33"/>
      <c r="E1617" s="32"/>
      <c r="F1617" s="32"/>
      <c r="G1617" s="74"/>
      <c r="H1617" s="32"/>
      <c r="I1617" s="32"/>
      <c r="J1617" s="32"/>
      <c r="K1617" s="74"/>
      <c r="L1617" s="35"/>
      <c r="M1617" s="32"/>
      <c r="N1617" s="32"/>
      <c r="O1617" s="59"/>
      <c r="P1617" s="73"/>
      <c r="Q1617" s="73"/>
      <c r="R1617" s="73"/>
      <c r="S1617" s="73"/>
      <c r="T1617" s="73"/>
      <c r="U1617" s="73"/>
      <c r="V1617" s="73"/>
      <c r="W1617" s="73"/>
      <c r="X1617" s="73"/>
      <c r="Y1617" s="73"/>
      <c r="Z1617" s="73"/>
      <c r="AA1617" s="73"/>
    </row>
    <row r="1618" spans="1:27" ht="12.75" customHeight="1">
      <c r="A1618" s="73"/>
      <c r="B1618" s="32"/>
      <c r="C1618" s="32"/>
      <c r="D1618" s="33"/>
      <c r="E1618" s="32"/>
      <c r="F1618" s="32"/>
      <c r="G1618" s="74"/>
      <c r="H1618" s="32"/>
      <c r="I1618" s="32"/>
      <c r="J1618" s="32"/>
      <c r="K1618" s="74"/>
      <c r="L1618" s="35"/>
      <c r="M1618" s="32"/>
      <c r="N1618" s="32"/>
      <c r="O1618" s="59"/>
      <c r="P1618" s="73"/>
      <c r="Q1618" s="73"/>
      <c r="R1618" s="73"/>
      <c r="S1618" s="73"/>
      <c r="T1618" s="73"/>
      <c r="U1618" s="73"/>
      <c r="V1618" s="73"/>
      <c r="W1618" s="73"/>
      <c r="X1618" s="73"/>
      <c r="Y1618" s="73"/>
      <c r="Z1618" s="73"/>
      <c r="AA1618" s="73"/>
    </row>
    <row r="1619" spans="1:27" ht="12.75" customHeight="1">
      <c r="A1619" s="73"/>
      <c r="B1619" s="32"/>
      <c r="C1619" s="32"/>
      <c r="D1619" s="33"/>
      <c r="E1619" s="32"/>
      <c r="F1619" s="32"/>
      <c r="G1619" s="74"/>
      <c r="H1619" s="32"/>
      <c r="I1619" s="32"/>
      <c r="J1619" s="32"/>
      <c r="K1619" s="74"/>
      <c r="L1619" s="35"/>
      <c r="M1619" s="32"/>
      <c r="N1619" s="32"/>
      <c r="O1619" s="59"/>
      <c r="P1619" s="73"/>
      <c r="Q1619" s="73"/>
      <c r="R1619" s="73"/>
      <c r="S1619" s="73"/>
      <c r="T1619" s="73"/>
      <c r="U1619" s="73"/>
      <c r="V1619" s="73"/>
      <c r="W1619" s="73"/>
      <c r="X1619" s="73"/>
      <c r="Y1619" s="73"/>
      <c r="Z1619" s="73"/>
      <c r="AA1619" s="73"/>
    </row>
    <row r="1620" spans="1:27" ht="12.75" customHeight="1">
      <c r="A1620" s="73"/>
      <c r="B1620" s="32"/>
      <c r="C1620" s="32"/>
      <c r="D1620" s="33"/>
      <c r="E1620" s="32"/>
      <c r="F1620" s="32"/>
      <c r="G1620" s="74"/>
      <c r="H1620" s="32"/>
      <c r="I1620" s="32"/>
      <c r="J1620" s="32"/>
      <c r="K1620" s="74"/>
      <c r="L1620" s="35"/>
      <c r="M1620" s="32"/>
      <c r="N1620" s="32"/>
      <c r="O1620" s="59"/>
      <c r="P1620" s="73"/>
      <c r="Q1620" s="73"/>
      <c r="R1620" s="73"/>
      <c r="S1620" s="73"/>
      <c r="T1620" s="73"/>
      <c r="U1620" s="73"/>
      <c r="V1620" s="73"/>
      <c r="W1620" s="73"/>
      <c r="X1620" s="73"/>
      <c r="Y1620" s="73"/>
      <c r="Z1620" s="73"/>
      <c r="AA1620" s="73"/>
    </row>
    <row r="1621" spans="1:27" ht="12.75" customHeight="1">
      <c r="A1621" s="73"/>
      <c r="B1621" s="32"/>
      <c r="C1621" s="32"/>
      <c r="D1621" s="33"/>
      <c r="E1621" s="32"/>
      <c r="F1621" s="32"/>
      <c r="G1621" s="74"/>
      <c r="H1621" s="32"/>
      <c r="I1621" s="32"/>
      <c r="J1621" s="32"/>
      <c r="K1621" s="74"/>
      <c r="L1621" s="35"/>
      <c r="M1621" s="32"/>
      <c r="N1621" s="32"/>
      <c r="O1621" s="59"/>
      <c r="P1621" s="73"/>
      <c r="Q1621" s="73"/>
      <c r="R1621" s="73"/>
      <c r="S1621" s="73"/>
      <c r="T1621" s="73"/>
      <c r="U1621" s="73"/>
      <c r="V1621" s="73"/>
      <c r="W1621" s="73"/>
      <c r="X1621" s="73"/>
      <c r="Y1621" s="73"/>
      <c r="Z1621" s="73"/>
      <c r="AA1621" s="73"/>
    </row>
    <row r="1622" spans="1:27" ht="12.75" customHeight="1">
      <c r="A1622" s="73"/>
      <c r="B1622" s="32"/>
      <c r="C1622" s="32"/>
      <c r="D1622" s="33"/>
      <c r="E1622" s="32"/>
      <c r="F1622" s="32"/>
      <c r="G1622" s="74"/>
      <c r="H1622" s="32"/>
      <c r="I1622" s="32"/>
      <c r="J1622" s="32"/>
      <c r="K1622" s="74"/>
      <c r="L1622" s="35"/>
      <c r="M1622" s="32"/>
      <c r="N1622" s="32"/>
      <c r="O1622" s="59"/>
      <c r="P1622" s="73"/>
      <c r="Q1622" s="73"/>
      <c r="R1622" s="73"/>
      <c r="S1622" s="73"/>
      <c r="T1622" s="73"/>
      <c r="U1622" s="73"/>
      <c r="V1622" s="73"/>
      <c r="W1622" s="73"/>
      <c r="X1622" s="73"/>
      <c r="Y1622" s="73"/>
      <c r="Z1622" s="73"/>
      <c r="AA1622" s="73"/>
    </row>
    <row r="1623" spans="1:27" ht="12.75" customHeight="1">
      <c r="A1623" s="73"/>
      <c r="B1623" s="32"/>
      <c r="C1623" s="32"/>
      <c r="D1623" s="33"/>
      <c r="E1623" s="32"/>
      <c r="F1623" s="32"/>
      <c r="G1623" s="74"/>
      <c r="H1623" s="32"/>
      <c r="I1623" s="32"/>
      <c r="J1623" s="32"/>
      <c r="K1623" s="74"/>
      <c r="L1623" s="35"/>
      <c r="M1623" s="32"/>
      <c r="N1623" s="32"/>
      <c r="O1623" s="59"/>
      <c r="P1623" s="73"/>
      <c r="Q1623" s="73"/>
      <c r="R1623" s="73"/>
      <c r="S1623" s="73"/>
      <c r="T1623" s="73"/>
      <c r="U1623" s="73"/>
      <c r="V1623" s="73"/>
      <c r="W1623" s="73"/>
      <c r="X1623" s="73"/>
      <c r="Y1623" s="73"/>
      <c r="Z1623" s="73"/>
      <c r="AA1623" s="73"/>
    </row>
    <row r="1624" spans="1:27" ht="12.75" customHeight="1">
      <c r="A1624" s="73"/>
      <c r="B1624" s="32"/>
      <c r="C1624" s="32"/>
      <c r="D1624" s="33"/>
      <c r="E1624" s="32"/>
      <c r="F1624" s="32"/>
      <c r="G1624" s="74"/>
      <c r="H1624" s="32"/>
      <c r="I1624" s="32"/>
      <c r="J1624" s="32"/>
      <c r="K1624" s="74"/>
      <c r="L1624" s="35"/>
      <c r="M1624" s="32"/>
      <c r="N1624" s="32"/>
      <c r="O1624" s="59"/>
      <c r="P1624" s="73"/>
      <c r="Q1624" s="73"/>
      <c r="R1624" s="73"/>
      <c r="S1624" s="73"/>
      <c r="T1624" s="73"/>
      <c r="U1624" s="73"/>
      <c r="V1624" s="73"/>
      <c r="W1624" s="73"/>
      <c r="X1624" s="73"/>
      <c r="Y1624" s="73"/>
      <c r="Z1624" s="73"/>
      <c r="AA1624" s="73"/>
    </row>
    <row r="1625" spans="1:27" ht="12.75" customHeight="1">
      <c r="A1625" s="73"/>
      <c r="B1625" s="32"/>
      <c r="C1625" s="32"/>
      <c r="D1625" s="33"/>
      <c r="E1625" s="32"/>
      <c r="F1625" s="32"/>
      <c r="G1625" s="74"/>
      <c r="H1625" s="32"/>
      <c r="I1625" s="32"/>
      <c r="J1625" s="32"/>
      <c r="K1625" s="74"/>
      <c r="L1625" s="35"/>
      <c r="M1625" s="32"/>
      <c r="N1625" s="32"/>
      <c r="O1625" s="59"/>
      <c r="P1625" s="73"/>
      <c r="Q1625" s="73"/>
      <c r="R1625" s="73"/>
      <c r="S1625" s="73"/>
      <c r="T1625" s="73"/>
      <c r="U1625" s="73"/>
      <c r="V1625" s="73"/>
      <c r="W1625" s="73"/>
      <c r="X1625" s="73"/>
      <c r="Y1625" s="73"/>
      <c r="Z1625" s="73"/>
      <c r="AA1625" s="73"/>
    </row>
    <row r="1626" spans="1:27" ht="12.75" customHeight="1">
      <c r="A1626" s="73"/>
      <c r="B1626" s="32"/>
      <c r="C1626" s="32"/>
      <c r="D1626" s="33"/>
      <c r="E1626" s="32"/>
      <c r="F1626" s="32"/>
      <c r="G1626" s="74"/>
      <c r="H1626" s="32"/>
      <c r="I1626" s="32"/>
      <c r="J1626" s="32"/>
      <c r="K1626" s="74"/>
      <c r="L1626" s="35"/>
      <c r="M1626" s="32"/>
      <c r="N1626" s="32"/>
      <c r="O1626" s="59"/>
      <c r="P1626" s="73"/>
      <c r="Q1626" s="73"/>
      <c r="R1626" s="73"/>
      <c r="S1626" s="73"/>
      <c r="T1626" s="73"/>
      <c r="U1626" s="73"/>
      <c r="V1626" s="73"/>
      <c r="W1626" s="73"/>
      <c r="X1626" s="73"/>
      <c r="Y1626" s="73"/>
      <c r="Z1626" s="73"/>
      <c r="AA1626" s="73"/>
    </row>
    <row r="1627" spans="1:27" ht="12.75" customHeight="1">
      <c r="A1627" s="73"/>
      <c r="B1627" s="32"/>
      <c r="C1627" s="32"/>
      <c r="D1627" s="33"/>
      <c r="E1627" s="32"/>
      <c r="F1627" s="32"/>
      <c r="G1627" s="74"/>
      <c r="H1627" s="32"/>
      <c r="I1627" s="32"/>
      <c r="J1627" s="32"/>
      <c r="K1627" s="74"/>
      <c r="L1627" s="35"/>
      <c r="M1627" s="32"/>
      <c r="N1627" s="32"/>
      <c r="O1627" s="59"/>
      <c r="P1627" s="73"/>
      <c r="Q1627" s="73"/>
      <c r="R1627" s="73"/>
      <c r="S1627" s="73"/>
      <c r="T1627" s="73"/>
      <c r="U1627" s="73"/>
      <c r="V1627" s="73"/>
      <c r="W1627" s="73"/>
      <c r="X1627" s="73"/>
      <c r="Y1627" s="73"/>
      <c r="Z1627" s="73"/>
      <c r="AA1627" s="73"/>
    </row>
    <row r="1628" spans="1:27" ht="12.75" customHeight="1">
      <c r="A1628" s="73"/>
      <c r="B1628" s="32"/>
      <c r="C1628" s="32"/>
      <c r="D1628" s="33"/>
      <c r="E1628" s="32"/>
      <c r="F1628" s="32"/>
      <c r="G1628" s="74"/>
      <c r="H1628" s="32"/>
      <c r="I1628" s="32"/>
      <c r="J1628" s="32"/>
      <c r="K1628" s="74"/>
      <c r="L1628" s="35"/>
      <c r="M1628" s="32"/>
      <c r="N1628" s="32"/>
      <c r="O1628" s="59"/>
      <c r="P1628" s="73"/>
      <c r="Q1628" s="73"/>
      <c r="R1628" s="73"/>
      <c r="S1628" s="73"/>
      <c r="T1628" s="73"/>
      <c r="U1628" s="73"/>
      <c r="V1628" s="73"/>
      <c r="W1628" s="73"/>
      <c r="X1628" s="73"/>
      <c r="Y1628" s="73"/>
      <c r="Z1628" s="73"/>
      <c r="AA1628" s="73"/>
    </row>
    <row r="1629" spans="1:27" ht="12.75" customHeight="1">
      <c r="A1629" s="73"/>
      <c r="B1629" s="32"/>
      <c r="C1629" s="32"/>
      <c r="D1629" s="33"/>
      <c r="E1629" s="32"/>
      <c r="F1629" s="32"/>
      <c r="G1629" s="74"/>
      <c r="H1629" s="32"/>
      <c r="I1629" s="32"/>
      <c r="J1629" s="32"/>
      <c r="K1629" s="74"/>
      <c r="L1629" s="35"/>
      <c r="M1629" s="32"/>
      <c r="N1629" s="32"/>
      <c r="O1629" s="59"/>
      <c r="P1629" s="73"/>
      <c r="Q1629" s="73"/>
      <c r="R1629" s="73"/>
      <c r="S1629" s="73"/>
      <c r="T1629" s="73"/>
      <c r="U1629" s="73"/>
      <c r="V1629" s="73"/>
      <c r="W1629" s="73"/>
      <c r="X1629" s="73"/>
      <c r="Y1629" s="73"/>
      <c r="Z1629" s="73"/>
      <c r="AA1629" s="73"/>
    </row>
    <row r="1630" spans="1:27" ht="12.75" customHeight="1">
      <c r="A1630" s="73"/>
      <c r="B1630" s="32"/>
      <c r="C1630" s="32"/>
      <c r="D1630" s="33"/>
      <c r="E1630" s="32"/>
      <c r="F1630" s="32"/>
      <c r="G1630" s="74"/>
      <c r="H1630" s="32"/>
      <c r="I1630" s="32"/>
      <c r="J1630" s="32"/>
      <c r="K1630" s="74"/>
      <c r="L1630" s="35"/>
      <c r="M1630" s="32"/>
      <c r="N1630" s="32"/>
      <c r="O1630" s="59"/>
      <c r="P1630" s="73"/>
      <c r="Q1630" s="73"/>
      <c r="R1630" s="73"/>
      <c r="S1630" s="73"/>
      <c r="T1630" s="73"/>
      <c r="U1630" s="73"/>
      <c r="V1630" s="73"/>
      <c r="W1630" s="73"/>
      <c r="X1630" s="73"/>
      <c r="Y1630" s="73"/>
      <c r="Z1630" s="73"/>
      <c r="AA1630" s="73"/>
    </row>
    <row r="1631" spans="1:27" ht="12.75" customHeight="1">
      <c r="A1631" s="73"/>
      <c r="B1631" s="32"/>
      <c r="C1631" s="32"/>
      <c r="D1631" s="33"/>
      <c r="E1631" s="32"/>
      <c r="F1631" s="32"/>
      <c r="G1631" s="74"/>
      <c r="H1631" s="32"/>
      <c r="I1631" s="32"/>
      <c r="J1631" s="32"/>
      <c r="K1631" s="74"/>
      <c r="L1631" s="35"/>
      <c r="M1631" s="32"/>
      <c r="N1631" s="32"/>
      <c r="O1631" s="59"/>
      <c r="P1631" s="73"/>
      <c r="Q1631" s="73"/>
      <c r="R1631" s="73"/>
      <c r="S1631" s="73"/>
      <c r="T1631" s="73"/>
      <c r="U1631" s="73"/>
      <c r="V1631" s="73"/>
      <c r="W1631" s="73"/>
      <c r="X1631" s="73"/>
      <c r="Y1631" s="73"/>
      <c r="Z1631" s="73"/>
      <c r="AA1631" s="73"/>
    </row>
    <row r="1632" spans="1:27" ht="12.75" customHeight="1">
      <c r="A1632" s="73"/>
      <c r="B1632" s="32"/>
      <c r="C1632" s="32"/>
      <c r="D1632" s="33"/>
      <c r="E1632" s="32"/>
      <c r="F1632" s="32"/>
      <c r="G1632" s="74"/>
      <c r="H1632" s="32"/>
      <c r="I1632" s="32"/>
      <c r="J1632" s="32"/>
      <c r="K1632" s="74"/>
      <c r="L1632" s="35"/>
      <c r="M1632" s="32"/>
      <c r="N1632" s="32"/>
      <c r="O1632" s="59"/>
      <c r="P1632" s="73"/>
      <c r="Q1632" s="73"/>
      <c r="R1632" s="73"/>
      <c r="S1632" s="73"/>
      <c r="T1632" s="73"/>
      <c r="U1632" s="73"/>
      <c r="V1632" s="73"/>
      <c r="W1632" s="73"/>
      <c r="X1632" s="73"/>
      <c r="Y1632" s="73"/>
      <c r="Z1632" s="73"/>
      <c r="AA1632" s="73"/>
    </row>
    <row r="1633" spans="1:27" ht="12.75" customHeight="1">
      <c r="A1633" s="73"/>
      <c r="B1633" s="32"/>
      <c r="C1633" s="32"/>
      <c r="D1633" s="33"/>
      <c r="E1633" s="32"/>
      <c r="F1633" s="32"/>
      <c r="G1633" s="74"/>
      <c r="H1633" s="32"/>
      <c r="I1633" s="32"/>
      <c r="J1633" s="32"/>
      <c r="K1633" s="74"/>
      <c r="L1633" s="35"/>
      <c r="M1633" s="32"/>
      <c r="N1633" s="32"/>
      <c r="O1633" s="59"/>
      <c r="P1633" s="73"/>
      <c r="Q1633" s="73"/>
      <c r="R1633" s="73"/>
      <c r="S1633" s="73"/>
      <c r="T1633" s="73"/>
      <c r="U1633" s="73"/>
      <c r="V1633" s="73"/>
      <c r="W1633" s="73"/>
      <c r="X1633" s="73"/>
      <c r="Y1633" s="73"/>
      <c r="Z1633" s="73"/>
      <c r="AA1633" s="73"/>
    </row>
    <row r="1634" spans="1:27" ht="12.75" customHeight="1">
      <c r="A1634" s="73"/>
      <c r="B1634" s="32"/>
      <c r="C1634" s="32"/>
      <c r="D1634" s="33"/>
      <c r="E1634" s="32"/>
      <c r="F1634" s="32"/>
      <c r="G1634" s="74"/>
      <c r="H1634" s="32"/>
      <c r="I1634" s="32"/>
      <c r="J1634" s="32"/>
      <c r="K1634" s="74"/>
      <c r="L1634" s="35"/>
      <c r="M1634" s="32"/>
      <c r="N1634" s="32"/>
      <c r="O1634" s="59"/>
      <c r="P1634" s="73"/>
      <c r="Q1634" s="73"/>
      <c r="R1634" s="73"/>
      <c r="S1634" s="73"/>
      <c r="T1634" s="73"/>
      <c r="U1634" s="73"/>
      <c r="V1634" s="73"/>
      <c r="W1634" s="73"/>
      <c r="X1634" s="73"/>
      <c r="Y1634" s="73"/>
      <c r="Z1634" s="73"/>
      <c r="AA1634" s="73"/>
    </row>
    <row r="1635" spans="1:27" ht="12.75" customHeight="1">
      <c r="A1635" s="73"/>
      <c r="B1635" s="32"/>
      <c r="C1635" s="32"/>
      <c r="D1635" s="33"/>
      <c r="E1635" s="32"/>
      <c r="F1635" s="32"/>
      <c r="G1635" s="74"/>
      <c r="H1635" s="32"/>
      <c r="I1635" s="32"/>
      <c r="J1635" s="32"/>
      <c r="K1635" s="74"/>
      <c r="L1635" s="35"/>
      <c r="M1635" s="32"/>
      <c r="N1635" s="32"/>
      <c r="O1635" s="59"/>
      <c r="P1635" s="73"/>
      <c r="Q1635" s="73"/>
      <c r="R1635" s="73"/>
      <c r="S1635" s="73"/>
      <c r="T1635" s="73"/>
      <c r="U1635" s="73"/>
      <c r="V1635" s="73"/>
      <c r="W1635" s="73"/>
      <c r="X1635" s="73"/>
      <c r="Y1635" s="73"/>
      <c r="Z1635" s="73"/>
      <c r="AA1635" s="73"/>
    </row>
    <row r="1636" spans="1:27" ht="12.75" customHeight="1">
      <c r="A1636" s="73"/>
      <c r="B1636" s="32"/>
      <c r="C1636" s="32"/>
      <c r="D1636" s="33"/>
      <c r="E1636" s="32"/>
      <c r="F1636" s="32"/>
      <c r="G1636" s="74"/>
      <c r="H1636" s="32"/>
      <c r="I1636" s="32"/>
      <c r="J1636" s="32"/>
      <c r="K1636" s="74"/>
      <c r="L1636" s="35"/>
      <c r="M1636" s="32"/>
      <c r="N1636" s="32"/>
      <c r="O1636" s="59"/>
      <c r="P1636" s="73"/>
      <c r="Q1636" s="73"/>
      <c r="R1636" s="73"/>
      <c r="S1636" s="73"/>
      <c r="T1636" s="73"/>
      <c r="U1636" s="73"/>
      <c r="V1636" s="73"/>
      <c r="W1636" s="73"/>
      <c r="X1636" s="73"/>
      <c r="Y1636" s="73"/>
      <c r="Z1636" s="73"/>
      <c r="AA1636" s="73"/>
    </row>
    <row r="1637" spans="1:27" ht="12.75" customHeight="1">
      <c r="A1637" s="73"/>
      <c r="B1637" s="32"/>
      <c r="C1637" s="32"/>
      <c r="D1637" s="33"/>
      <c r="E1637" s="32"/>
      <c r="F1637" s="32"/>
      <c r="G1637" s="74"/>
      <c r="H1637" s="32"/>
      <c r="I1637" s="32"/>
      <c r="J1637" s="32"/>
      <c r="K1637" s="74"/>
      <c r="L1637" s="35"/>
      <c r="M1637" s="32"/>
      <c r="N1637" s="32"/>
      <c r="O1637" s="59"/>
      <c r="P1637" s="73"/>
      <c r="Q1637" s="73"/>
      <c r="R1637" s="73"/>
      <c r="S1637" s="73"/>
      <c r="T1637" s="73"/>
      <c r="U1637" s="73"/>
      <c r="V1637" s="73"/>
      <c r="W1637" s="73"/>
      <c r="X1637" s="73"/>
      <c r="Y1637" s="73"/>
      <c r="Z1637" s="73"/>
      <c r="AA1637" s="73"/>
    </row>
    <row r="1638" spans="1:27" ht="12.75" customHeight="1">
      <c r="A1638" s="73"/>
      <c r="B1638" s="32"/>
      <c r="C1638" s="32"/>
      <c r="D1638" s="33"/>
      <c r="E1638" s="32"/>
      <c r="F1638" s="32"/>
      <c r="G1638" s="74"/>
      <c r="H1638" s="32"/>
      <c r="I1638" s="32"/>
      <c r="J1638" s="32"/>
      <c r="K1638" s="74"/>
      <c r="L1638" s="35"/>
      <c r="M1638" s="32"/>
      <c r="N1638" s="32"/>
      <c r="O1638" s="59"/>
      <c r="P1638" s="73"/>
      <c r="Q1638" s="73"/>
      <c r="R1638" s="73"/>
      <c r="S1638" s="73"/>
      <c r="T1638" s="73"/>
      <c r="U1638" s="73"/>
      <c r="V1638" s="73"/>
      <c r="W1638" s="73"/>
      <c r="X1638" s="73"/>
      <c r="Y1638" s="73"/>
      <c r="Z1638" s="73"/>
      <c r="AA1638" s="73"/>
    </row>
    <row r="1639" spans="1:27" ht="12.75" customHeight="1">
      <c r="A1639" s="73"/>
      <c r="B1639" s="32"/>
      <c r="C1639" s="32"/>
      <c r="D1639" s="33"/>
      <c r="E1639" s="32"/>
      <c r="F1639" s="32"/>
      <c r="G1639" s="74"/>
      <c r="H1639" s="32"/>
      <c r="I1639" s="32"/>
      <c r="J1639" s="32"/>
      <c r="K1639" s="74"/>
      <c r="L1639" s="35"/>
      <c r="M1639" s="32"/>
      <c r="N1639" s="32"/>
      <c r="O1639" s="59"/>
      <c r="P1639" s="73"/>
      <c r="Q1639" s="73"/>
      <c r="R1639" s="73"/>
      <c r="S1639" s="73"/>
      <c r="T1639" s="73"/>
      <c r="U1639" s="73"/>
      <c r="V1639" s="73"/>
      <c r="W1639" s="73"/>
      <c r="X1639" s="73"/>
      <c r="Y1639" s="73"/>
      <c r="Z1639" s="73"/>
      <c r="AA1639" s="73"/>
    </row>
    <row r="1640" spans="1:27" ht="12.75" customHeight="1">
      <c r="A1640" s="73"/>
      <c r="B1640" s="32"/>
      <c r="C1640" s="32"/>
      <c r="D1640" s="33"/>
      <c r="E1640" s="32"/>
      <c r="F1640" s="32"/>
      <c r="G1640" s="74"/>
      <c r="H1640" s="32"/>
      <c r="I1640" s="32"/>
      <c r="J1640" s="32"/>
      <c r="K1640" s="74"/>
      <c r="L1640" s="35"/>
      <c r="M1640" s="32"/>
      <c r="N1640" s="32"/>
      <c r="O1640" s="59"/>
      <c r="P1640" s="73"/>
      <c r="Q1640" s="73"/>
      <c r="R1640" s="73"/>
      <c r="S1640" s="73"/>
      <c r="T1640" s="73"/>
      <c r="U1640" s="73"/>
      <c r="V1640" s="73"/>
      <c r="W1640" s="73"/>
      <c r="X1640" s="73"/>
      <c r="Y1640" s="73"/>
      <c r="Z1640" s="73"/>
      <c r="AA1640" s="73"/>
    </row>
    <row r="1641" spans="1:27" ht="12.75" customHeight="1">
      <c r="A1641" s="73"/>
      <c r="B1641" s="32"/>
      <c r="C1641" s="32"/>
      <c r="D1641" s="33"/>
      <c r="E1641" s="32"/>
      <c r="F1641" s="32"/>
      <c r="G1641" s="74"/>
      <c r="H1641" s="32"/>
      <c r="I1641" s="32"/>
      <c r="J1641" s="32"/>
      <c r="K1641" s="74"/>
      <c r="L1641" s="35"/>
      <c r="M1641" s="32"/>
      <c r="N1641" s="32"/>
      <c r="O1641" s="59"/>
      <c r="P1641" s="73"/>
      <c r="Q1641" s="73"/>
      <c r="R1641" s="73"/>
      <c r="S1641" s="73"/>
      <c r="T1641" s="73"/>
      <c r="U1641" s="73"/>
      <c r="V1641" s="73"/>
      <c r="W1641" s="73"/>
      <c r="X1641" s="73"/>
      <c r="Y1641" s="73"/>
      <c r="Z1641" s="73"/>
      <c r="AA1641" s="73"/>
    </row>
    <row r="1642" spans="1:27" ht="12.75" customHeight="1">
      <c r="A1642" s="73"/>
      <c r="B1642" s="32"/>
      <c r="C1642" s="32"/>
      <c r="D1642" s="33"/>
      <c r="E1642" s="32"/>
      <c r="F1642" s="32"/>
      <c r="G1642" s="74"/>
      <c r="H1642" s="32"/>
      <c r="I1642" s="32"/>
      <c r="J1642" s="32"/>
      <c r="K1642" s="74"/>
      <c r="L1642" s="35"/>
      <c r="M1642" s="32"/>
      <c r="N1642" s="32"/>
      <c r="O1642" s="59"/>
      <c r="P1642" s="73"/>
      <c r="Q1642" s="73"/>
      <c r="R1642" s="73"/>
      <c r="S1642" s="73"/>
      <c r="T1642" s="73"/>
      <c r="U1642" s="73"/>
      <c r="V1642" s="73"/>
      <c r="W1642" s="73"/>
      <c r="X1642" s="73"/>
      <c r="Y1642" s="73"/>
      <c r="Z1642" s="73"/>
      <c r="AA1642" s="73"/>
    </row>
    <row r="1643" spans="1:27" ht="12.75" customHeight="1">
      <c r="A1643" s="73"/>
      <c r="B1643" s="32"/>
      <c r="C1643" s="32"/>
      <c r="D1643" s="33"/>
      <c r="E1643" s="32"/>
      <c r="F1643" s="32"/>
      <c r="G1643" s="74"/>
      <c r="H1643" s="32"/>
      <c r="I1643" s="32"/>
      <c r="J1643" s="32"/>
      <c r="K1643" s="74"/>
      <c r="L1643" s="35"/>
      <c r="M1643" s="32"/>
      <c r="N1643" s="32"/>
      <c r="O1643" s="59"/>
      <c r="P1643" s="73"/>
      <c r="Q1643" s="73"/>
      <c r="R1643" s="73"/>
      <c r="S1643" s="73"/>
      <c r="T1643" s="73"/>
      <c r="U1643" s="73"/>
      <c r="V1643" s="73"/>
      <c r="W1643" s="73"/>
      <c r="X1643" s="73"/>
      <c r="Y1643" s="73"/>
      <c r="Z1643" s="73"/>
      <c r="AA1643" s="73"/>
    </row>
    <row r="1644" spans="1:27" ht="12.75" customHeight="1">
      <c r="A1644" s="73"/>
      <c r="B1644" s="32"/>
      <c r="C1644" s="32"/>
      <c r="D1644" s="33"/>
      <c r="E1644" s="32"/>
      <c r="F1644" s="32"/>
      <c r="G1644" s="74"/>
      <c r="H1644" s="32"/>
      <c r="I1644" s="32"/>
      <c r="J1644" s="32"/>
      <c r="K1644" s="74"/>
      <c r="L1644" s="35"/>
      <c r="M1644" s="32"/>
      <c r="N1644" s="32"/>
      <c r="O1644" s="59"/>
      <c r="P1644" s="73"/>
      <c r="Q1644" s="73"/>
      <c r="R1644" s="73"/>
      <c r="S1644" s="73"/>
      <c r="T1644" s="73"/>
      <c r="U1644" s="73"/>
      <c r="V1644" s="73"/>
      <c r="W1644" s="73"/>
      <c r="X1644" s="73"/>
      <c r="Y1644" s="73"/>
      <c r="Z1644" s="73"/>
      <c r="AA1644" s="73"/>
    </row>
    <row r="1645" spans="1:27" ht="12.75" customHeight="1">
      <c r="A1645" s="73"/>
      <c r="B1645" s="32"/>
      <c r="C1645" s="32"/>
      <c r="D1645" s="33"/>
      <c r="E1645" s="32"/>
      <c r="F1645" s="32"/>
      <c r="G1645" s="74"/>
      <c r="H1645" s="32"/>
      <c r="I1645" s="32"/>
      <c r="J1645" s="32"/>
      <c r="K1645" s="74"/>
      <c r="L1645" s="35"/>
      <c r="M1645" s="32"/>
      <c r="N1645" s="32"/>
      <c r="O1645" s="59"/>
      <c r="P1645" s="73"/>
      <c r="Q1645" s="73"/>
      <c r="R1645" s="73"/>
      <c r="S1645" s="73"/>
      <c r="T1645" s="73"/>
      <c r="U1645" s="73"/>
      <c r="V1645" s="73"/>
      <c r="W1645" s="73"/>
      <c r="X1645" s="73"/>
      <c r="Y1645" s="73"/>
      <c r="Z1645" s="73"/>
      <c r="AA1645" s="73"/>
    </row>
    <row r="1646" spans="1:27" ht="12.75" customHeight="1">
      <c r="A1646" s="73"/>
      <c r="B1646" s="32"/>
      <c r="C1646" s="32"/>
      <c r="D1646" s="33"/>
      <c r="E1646" s="32"/>
      <c r="F1646" s="32"/>
      <c r="G1646" s="74"/>
      <c r="H1646" s="32"/>
      <c r="I1646" s="32"/>
      <c r="J1646" s="32"/>
      <c r="K1646" s="74"/>
      <c r="L1646" s="35"/>
      <c r="M1646" s="32"/>
      <c r="N1646" s="32"/>
      <c r="O1646" s="59"/>
      <c r="P1646" s="73"/>
      <c r="Q1646" s="73"/>
      <c r="R1646" s="73"/>
      <c r="S1646" s="73"/>
      <c r="T1646" s="73"/>
      <c r="U1646" s="73"/>
      <c r="V1646" s="73"/>
      <c r="W1646" s="73"/>
      <c r="X1646" s="73"/>
      <c r="Y1646" s="73"/>
      <c r="Z1646" s="73"/>
      <c r="AA1646" s="73"/>
    </row>
    <row r="1647" spans="1:27" ht="12.75" customHeight="1">
      <c r="A1647" s="73"/>
      <c r="B1647" s="32"/>
      <c r="C1647" s="32"/>
      <c r="D1647" s="33"/>
      <c r="E1647" s="32"/>
      <c r="F1647" s="32"/>
      <c r="G1647" s="74"/>
      <c r="H1647" s="32"/>
      <c r="I1647" s="32"/>
      <c r="J1647" s="32"/>
      <c r="K1647" s="74"/>
      <c r="L1647" s="35"/>
      <c r="M1647" s="32"/>
      <c r="N1647" s="32"/>
      <c r="O1647" s="59"/>
      <c r="P1647" s="73"/>
      <c r="Q1647" s="73"/>
      <c r="R1647" s="73"/>
      <c r="S1647" s="73"/>
      <c r="T1647" s="73"/>
      <c r="U1647" s="73"/>
      <c r="V1647" s="73"/>
      <c r="W1647" s="73"/>
      <c r="X1647" s="73"/>
      <c r="Y1647" s="73"/>
      <c r="Z1647" s="73"/>
      <c r="AA1647" s="73"/>
    </row>
    <row r="1648" spans="1:27" ht="12.75" customHeight="1">
      <c r="A1648" s="73"/>
      <c r="B1648" s="32"/>
      <c r="C1648" s="32"/>
      <c r="D1648" s="33"/>
      <c r="E1648" s="32"/>
      <c r="F1648" s="32"/>
      <c r="G1648" s="74"/>
      <c r="H1648" s="32"/>
      <c r="I1648" s="32"/>
      <c r="J1648" s="32"/>
      <c r="K1648" s="74"/>
      <c r="L1648" s="35"/>
      <c r="M1648" s="32"/>
      <c r="N1648" s="32"/>
      <c r="O1648" s="59"/>
      <c r="P1648" s="73"/>
      <c r="Q1648" s="73"/>
      <c r="R1648" s="73"/>
      <c r="S1648" s="73"/>
      <c r="T1648" s="73"/>
      <c r="U1648" s="73"/>
      <c r="V1648" s="73"/>
      <c r="W1648" s="73"/>
      <c r="X1648" s="73"/>
      <c r="Y1648" s="73"/>
      <c r="Z1648" s="73"/>
      <c r="AA1648" s="73"/>
    </row>
    <row r="1649" spans="1:27" ht="12.75" customHeight="1">
      <c r="A1649" s="73"/>
      <c r="B1649" s="32"/>
      <c r="C1649" s="32"/>
      <c r="D1649" s="33"/>
      <c r="E1649" s="32"/>
      <c r="F1649" s="32"/>
      <c r="G1649" s="74"/>
      <c r="H1649" s="32"/>
      <c r="I1649" s="32"/>
      <c r="J1649" s="32"/>
      <c r="K1649" s="74"/>
      <c r="L1649" s="35"/>
      <c r="M1649" s="32"/>
      <c r="N1649" s="32"/>
      <c r="O1649" s="59"/>
      <c r="P1649" s="73"/>
      <c r="Q1649" s="73"/>
      <c r="R1649" s="73"/>
      <c r="S1649" s="73"/>
      <c r="T1649" s="73"/>
      <c r="U1649" s="73"/>
      <c r="V1649" s="73"/>
      <c r="W1649" s="73"/>
      <c r="X1649" s="73"/>
      <c r="Y1649" s="73"/>
      <c r="Z1649" s="73"/>
      <c r="AA1649" s="73"/>
    </row>
    <row r="1650" spans="1:27" ht="12.75" customHeight="1">
      <c r="A1650" s="73"/>
      <c r="B1650" s="32"/>
      <c r="C1650" s="32"/>
      <c r="D1650" s="33"/>
      <c r="E1650" s="32"/>
      <c r="F1650" s="32"/>
      <c r="G1650" s="74"/>
      <c r="H1650" s="32"/>
      <c r="I1650" s="32"/>
      <c r="J1650" s="32"/>
      <c r="K1650" s="74"/>
      <c r="L1650" s="35"/>
      <c r="M1650" s="32"/>
      <c r="N1650" s="32"/>
      <c r="O1650" s="59"/>
      <c r="P1650" s="73"/>
      <c r="Q1650" s="73"/>
      <c r="R1650" s="73"/>
      <c r="S1650" s="73"/>
      <c r="T1650" s="73"/>
      <c r="U1650" s="73"/>
      <c r="V1650" s="73"/>
      <c r="W1650" s="73"/>
      <c r="X1650" s="73"/>
      <c r="Y1650" s="73"/>
      <c r="Z1650" s="73"/>
      <c r="AA1650" s="73"/>
    </row>
    <row r="1651" spans="1:27" ht="12.75" customHeight="1">
      <c r="A1651" s="73"/>
      <c r="B1651" s="32"/>
      <c r="C1651" s="32"/>
      <c r="D1651" s="33"/>
      <c r="E1651" s="32"/>
      <c r="F1651" s="32"/>
      <c r="G1651" s="74"/>
      <c r="H1651" s="32"/>
      <c r="I1651" s="32"/>
      <c r="J1651" s="32"/>
      <c r="K1651" s="74"/>
      <c r="L1651" s="35"/>
      <c r="M1651" s="32"/>
      <c r="N1651" s="32"/>
      <c r="O1651" s="59"/>
      <c r="P1651" s="73"/>
      <c r="Q1651" s="73"/>
      <c r="R1651" s="73"/>
      <c r="S1651" s="73"/>
      <c r="T1651" s="73"/>
      <c r="U1651" s="73"/>
      <c r="V1651" s="73"/>
      <c r="W1651" s="73"/>
      <c r="X1651" s="73"/>
      <c r="Y1651" s="73"/>
      <c r="Z1651" s="73"/>
      <c r="AA1651" s="73"/>
    </row>
    <row r="1652" spans="1:27" ht="12.75" customHeight="1">
      <c r="A1652" s="73"/>
      <c r="B1652" s="32"/>
      <c r="C1652" s="32"/>
      <c r="D1652" s="33"/>
      <c r="E1652" s="32"/>
      <c r="F1652" s="32"/>
      <c r="G1652" s="74"/>
      <c r="H1652" s="32"/>
      <c r="I1652" s="32"/>
      <c r="J1652" s="32"/>
      <c r="K1652" s="74"/>
      <c r="L1652" s="35"/>
      <c r="M1652" s="32"/>
      <c r="N1652" s="32"/>
      <c r="O1652" s="59"/>
      <c r="P1652" s="73"/>
      <c r="Q1652" s="73"/>
      <c r="R1652" s="73"/>
      <c r="S1652" s="73"/>
      <c r="T1652" s="73"/>
      <c r="U1652" s="73"/>
      <c r="V1652" s="73"/>
      <c r="W1652" s="73"/>
      <c r="X1652" s="73"/>
      <c r="Y1652" s="73"/>
      <c r="Z1652" s="73"/>
      <c r="AA1652" s="73"/>
    </row>
    <row r="1653" spans="1:27" ht="12.75" customHeight="1">
      <c r="A1653" s="73"/>
      <c r="B1653" s="32"/>
      <c r="C1653" s="32"/>
      <c r="D1653" s="33"/>
      <c r="E1653" s="32"/>
      <c r="F1653" s="32"/>
      <c r="G1653" s="74"/>
      <c r="H1653" s="32"/>
      <c r="I1653" s="32"/>
      <c r="J1653" s="32"/>
      <c r="K1653" s="74"/>
      <c r="L1653" s="35"/>
      <c r="M1653" s="32"/>
      <c r="N1653" s="32"/>
      <c r="O1653" s="59"/>
      <c r="P1653" s="73"/>
      <c r="Q1653" s="73"/>
      <c r="R1653" s="73"/>
      <c r="S1653" s="73"/>
      <c r="T1653" s="73"/>
      <c r="U1653" s="73"/>
      <c r="V1653" s="73"/>
      <c r="W1653" s="73"/>
      <c r="X1653" s="73"/>
      <c r="Y1653" s="73"/>
      <c r="Z1653" s="73"/>
      <c r="AA1653" s="73"/>
    </row>
    <row r="1654" spans="1:27" ht="12.75" customHeight="1">
      <c r="A1654" s="73"/>
      <c r="B1654" s="32"/>
      <c r="C1654" s="32"/>
      <c r="D1654" s="33"/>
      <c r="E1654" s="32"/>
      <c r="F1654" s="32"/>
      <c r="G1654" s="74"/>
      <c r="H1654" s="32"/>
      <c r="I1654" s="32"/>
      <c r="J1654" s="32"/>
      <c r="K1654" s="74"/>
      <c r="L1654" s="35"/>
      <c r="M1654" s="32"/>
      <c r="N1654" s="32"/>
      <c r="O1654" s="59"/>
      <c r="P1654" s="73"/>
      <c r="Q1654" s="73"/>
      <c r="R1654" s="73"/>
      <c r="S1654" s="73"/>
      <c r="T1654" s="73"/>
      <c r="U1654" s="73"/>
      <c r="V1654" s="73"/>
      <c r="W1654" s="73"/>
      <c r="X1654" s="73"/>
      <c r="Y1654" s="73"/>
      <c r="Z1654" s="73"/>
      <c r="AA1654" s="73"/>
    </row>
    <row r="1655" spans="1:27" ht="12.75" customHeight="1">
      <c r="A1655" s="73"/>
      <c r="B1655" s="32"/>
      <c r="C1655" s="32"/>
      <c r="D1655" s="33"/>
      <c r="E1655" s="32"/>
      <c r="F1655" s="32"/>
      <c r="G1655" s="74"/>
      <c r="H1655" s="32"/>
      <c r="I1655" s="32"/>
      <c r="J1655" s="32"/>
      <c r="K1655" s="74"/>
      <c r="L1655" s="35"/>
      <c r="M1655" s="32"/>
      <c r="N1655" s="32"/>
      <c r="O1655" s="59"/>
      <c r="P1655" s="73"/>
      <c r="Q1655" s="73"/>
      <c r="R1655" s="73"/>
      <c r="S1655" s="73"/>
      <c r="T1655" s="73"/>
      <c r="U1655" s="73"/>
      <c r="V1655" s="73"/>
      <c r="W1655" s="73"/>
      <c r="X1655" s="73"/>
      <c r="Y1655" s="73"/>
      <c r="Z1655" s="73"/>
      <c r="AA1655" s="73"/>
    </row>
    <row r="1656" spans="1:27" ht="12.75" customHeight="1">
      <c r="A1656" s="73"/>
      <c r="B1656" s="32"/>
      <c r="C1656" s="32"/>
      <c r="D1656" s="33"/>
      <c r="E1656" s="32"/>
      <c r="F1656" s="32"/>
      <c r="G1656" s="74"/>
      <c r="H1656" s="32"/>
      <c r="I1656" s="32"/>
      <c r="J1656" s="32"/>
      <c r="K1656" s="74"/>
      <c r="L1656" s="35"/>
      <c r="M1656" s="32"/>
      <c r="N1656" s="32"/>
      <c r="O1656" s="59"/>
      <c r="P1656" s="73"/>
      <c r="Q1656" s="73"/>
      <c r="R1656" s="73"/>
      <c r="S1656" s="73"/>
      <c r="T1656" s="73"/>
      <c r="U1656" s="73"/>
      <c r="V1656" s="73"/>
      <c r="W1656" s="73"/>
      <c r="X1656" s="73"/>
      <c r="Y1656" s="73"/>
      <c r="Z1656" s="73"/>
      <c r="AA1656" s="73"/>
    </row>
    <row r="1657" spans="1:27" ht="12.75" customHeight="1">
      <c r="A1657" s="73"/>
      <c r="B1657" s="32"/>
      <c r="C1657" s="32"/>
      <c r="D1657" s="33"/>
      <c r="E1657" s="32"/>
      <c r="F1657" s="32"/>
      <c r="G1657" s="74"/>
      <c r="H1657" s="32"/>
      <c r="I1657" s="32"/>
      <c r="J1657" s="32"/>
      <c r="K1657" s="74"/>
      <c r="L1657" s="35"/>
      <c r="M1657" s="32"/>
      <c r="N1657" s="32"/>
      <c r="O1657" s="59"/>
      <c r="P1657" s="73"/>
      <c r="Q1657" s="73"/>
      <c r="R1657" s="73"/>
      <c r="S1657" s="73"/>
      <c r="T1657" s="73"/>
      <c r="U1657" s="73"/>
      <c r="V1657" s="73"/>
      <c r="W1657" s="73"/>
      <c r="X1657" s="73"/>
      <c r="Y1657" s="73"/>
      <c r="Z1657" s="73"/>
      <c r="AA1657" s="73"/>
    </row>
    <row r="1658" spans="1:27" ht="12.75" customHeight="1">
      <c r="A1658" s="73"/>
      <c r="B1658" s="32"/>
      <c r="C1658" s="32"/>
      <c r="D1658" s="33"/>
      <c r="E1658" s="32"/>
      <c r="F1658" s="32"/>
      <c r="G1658" s="74"/>
      <c r="H1658" s="32"/>
      <c r="I1658" s="32"/>
      <c r="J1658" s="32"/>
      <c r="K1658" s="74"/>
      <c r="L1658" s="35"/>
      <c r="M1658" s="32"/>
      <c r="N1658" s="32"/>
      <c r="O1658" s="59"/>
      <c r="P1658" s="73"/>
      <c r="Q1658" s="73"/>
      <c r="R1658" s="73"/>
      <c r="S1658" s="73"/>
      <c r="T1658" s="73"/>
      <c r="U1658" s="73"/>
      <c r="V1658" s="73"/>
      <c r="W1658" s="73"/>
      <c r="X1658" s="73"/>
      <c r="Y1658" s="73"/>
      <c r="Z1658" s="73"/>
      <c r="AA1658" s="73"/>
    </row>
    <row r="1659" spans="1:27" ht="12.75" customHeight="1">
      <c r="A1659" s="73"/>
      <c r="B1659" s="32"/>
      <c r="C1659" s="32"/>
      <c r="D1659" s="33"/>
      <c r="E1659" s="32"/>
      <c r="F1659" s="32"/>
      <c r="G1659" s="74"/>
      <c r="H1659" s="32"/>
      <c r="I1659" s="32"/>
      <c r="J1659" s="32"/>
      <c r="K1659" s="74"/>
      <c r="L1659" s="35"/>
      <c r="M1659" s="32"/>
      <c r="N1659" s="32"/>
      <c r="O1659" s="59"/>
      <c r="P1659" s="73"/>
      <c r="Q1659" s="73"/>
      <c r="R1659" s="73"/>
      <c r="S1659" s="73"/>
      <c r="T1659" s="73"/>
      <c r="U1659" s="73"/>
      <c r="V1659" s="73"/>
      <c r="W1659" s="73"/>
      <c r="X1659" s="73"/>
      <c r="Y1659" s="73"/>
      <c r="Z1659" s="73"/>
      <c r="AA1659" s="73"/>
    </row>
    <row r="1660" spans="1:27" ht="12.75" customHeight="1">
      <c r="A1660" s="73"/>
      <c r="B1660" s="32"/>
      <c r="C1660" s="32"/>
      <c r="D1660" s="33"/>
      <c r="E1660" s="32"/>
      <c r="F1660" s="32"/>
      <c r="G1660" s="74"/>
      <c r="H1660" s="32"/>
      <c r="I1660" s="32"/>
      <c r="J1660" s="32"/>
      <c r="K1660" s="74"/>
      <c r="L1660" s="35"/>
      <c r="M1660" s="32"/>
      <c r="N1660" s="32"/>
      <c r="O1660" s="59"/>
      <c r="P1660" s="73"/>
      <c r="Q1660" s="73"/>
      <c r="R1660" s="73"/>
      <c r="S1660" s="73"/>
      <c r="T1660" s="73"/>
      <c r="U1660" s="73"/>
      <c r="V1660" s="73"/>
      <c r="W1660" s="73"/>
      <c r="X1660" s="73"/>
      <c r="Y1660" s="73"/>
      <c r="Z1660" s="73"/>
      <c r="AA1660" s="73"/>
    </row>
    <row r="1661" spans="1:27" ht="12.75" customHeight="1">
      <c r="A1661" s="73"/>
      <c r="B1661" s="32"/>
      <c r="C1661" s="32"/>
      <c r="D1661" s="33"/>
      <c r="E1661" s="32"/>
      <c r="F1661" s="32"/>
      <c r="G1661" s="74"/>
      <c r="H1661" s="32"/>
      <c r="I1661" s="32"/>
      <c r="J1661" s="32"/>
      <c r="K1661" s="74"/>
      <c r="L1661" s="35"/>
      <c r="M1661" s="32"/>
      <c r="N1661" s="32"/>
      <c r="O1661" s="59"/>
      <c r="P1661" s="73"/>
      <c r="Q1661" s="73"/>
      <c r="R1661" s="73"/>
      <c r="S1661" s="73"/>
      <c r="T1661" s="73"/>
      <c r="U1661" s="73"/>
      <c r="V1661" s="73"/>
      <c r="W1661" s="73"/>
      <c r="X1661" s="73"/>
      <c r="Y1661" s="73"/>
      <c r="Z1661" s="73"/>
      <c r="AA1661" s="73"/>
    </row>
    <row r="1662" spans="1:27" ht="12.75" customHeight="1">
      <c r="A1662" s="73"/>
      <c r="B1662" s="32"/>
      <c r="C1662" s="32"/>
      <c r="D1662" s="33"/>
      <c r="E1662" s="32"/>
      <c r="F1662" s="32"/>
      <c r="G1662" s="74"/>
      <c r="H1662" s="32"/>
      <c r="I1662" s="32"/>
      <c r="J1662" s="32"/>
      <c r="K1662" s="74"/>
      <c r="L1662" s="35"/>
      <c r="M1662" s="32"/>
      <c r="N1662" s="32"/>
      <c r="O1662" s="59"/>
      <c r="P1662" s="73"/>
      <c r="Q1662" s="73"/>
      <c r="R1662" s="73"/>
      <c r="S1662" s="73"/>
      <c r="T1662" s="73"/>
      <c r="U1662" s="73"/>
      <c r="V1662" s="73"/>
      <c r="W1662" s="73"/>
      <c r="X1662" s="73"/>
      <c r="Y1662" s="73"/>
      <c r="Z1662" s="73"/>
      <c r="AA1662" s="73"/>
    </row>
    <row r="1663" spans="1:27" ht="12.75" customHeight="1">
      <c r="A1663" s="73"/>
      <c r="B1663" s="32"/>
      <c r="C1663" s="32"/>
      <c r="D1663" s="33"/>
      <c r="E1663" s="32"/>
      <c r="F1663" s="32"/>
      <c r="G1663" s="74"/>
      <c r="H1663" s="32"/>
      <c r="I1663" s="32"/>
      <c r="J1663" s="32"/>
      <c r="K1663" s="74"/>
      <c r="L1663" s="35"/>
      <c r="M1663" s="32"/>
      <c r="N1663" s="32"/>
      <c r="O1663" s="59"/>
      <c r="P1663" s="73"/>
      <c r="Q1663" s="73"/>
      <c r="R1663" s="73"/>
      <c r="S1663" s="73"/>
      <c r="T1663" s="73"/>
      <c r="U1663" s="73"/>
      <c r="V1663" s="73"/>
      <c r="W1663" s="73"/>
      <c r="X1663" s="73"/>
      <c r="Y1663" s="73"/>
      <c r="Z1663" s="73"/>
      <c r="AA1663" s="73"/>
    </row>
    <row r="1664" spans="1:27" ht="12.75" customHeight="1">
      <c r="A1664" s="73"/>
      <c r="B1664" s="32"/>
      <c r="C1664" s="32"/>
      <c r="D1664" s="33"/>
      <c r="E1664" s="32"/>
      <c r="F1664" s="32"/>
      <c r="G1664" s="74"/>
      <c r="H1664" s="32"/>
      <c r="I1664" s="32"/>
      <c r="J1664" s="32"/>
      <c r="K1664" s="74"/>
      <c r="L1664" s="35"/>
      <c r="M1664" s="32"/>
      <c r="N1664" s="32"/>
      <c r="O1664" s="59"/>
      <c r="P1664" s="73"/>
      <c r="Q1664" s="73"/>
      <c r="R1664" s="73"/>
      <c r="S1664" s="73"/>
      <c r="T1664" s="73"/>
      <c r="U1664" s="73"/>
      <c r="V1664" s="73"/>
      <c r="W1664" s="73"/>
      <c r="X1664" s="73"/>
      <c r="Y1664" s="73"/>
      <c r="Z1664" s="73"/>
      <c r="AA1664" s="73"/>
    </row>
    <row r="1665" spans="1:27" ht="12.75" customHeight="1">
      <c r="A1665" s="73"/>
      <c r="B1665" s="32"/>
      <c r="C1665" s="32"/>
      <c r="D1665" s="33"/>
      <c r="E1665" s="32"/>
      <c r="F1665" s="32"/>
      <c r="G1665" s="74"/>
      <c r="H1665" s="32"/>
      <c r="I1665" s="32"/>
      <c r="J1665" s="32"/>
      <c r="K1665" s="74"/>
      <c r="L1665" s="35"/>
      <c r="M1665" s="32"/>
      <c r="N1665" s="32"/>
      <c r="O1665" s="59"/>
      <c r="P1665" s="73"/>
      <c r="Q1665" s="73"/>
      <c r="R1665" s="73"/>
      <c r="S1665" s="73"/>
      <c r="T1665" s="73"/>
      <c r="U1665" s="73"/>
      <c r="V1665" s="73"/>
      <c r="W1665" s="73"/>
      <c r="X1665" s="73"/>
      <c r="Y1665" s="73"/>
      <c r="Z1665" s="73"/>
      <c r="AA1665" s="73"/>
    </row>
    <row r="1666" spans="1:27" ht="12.75" customHeight="1">
      <c r="A1666" s="73"/>
      <c r="B1666" s="32"/>
      <c r="C1666" s="32"/>
      <c r="D1666" s="33"/>
      <c r="E1666" s="32"/>
      <c r="F1666" s="32"/>
      <c r="G1666" s="74"/>
      <c r="H1666" s="32"/>
      <c r="I1666" s="32"/>
      <c r="J1666" s="32"/>
      <c r="K1666" s="74"/>
      <c r="L1666" s="35"/>
      <c r="M1666" s="32"/>
      <c r="N1666" s="32"/>
      <c r="O1666" s="59"/>
      <c r="P1666" s="73"/>
      <c r="Q1666" s="73"/>
      <c r="R1666" s="73"/>
      <c r="S1666" s="73"/>
      <c r="T1666" s="73"/>
      <c r="U1666" s="73"/>
      <c r="V1666" s="73"/>
      <c r="W1666" s="73"/>
      <c r="X1666" s="73"/>
      <c r="Y1666" s="73"/>
      <c r="Z1666" s="73"/>
      <c r="AA1666" s="73"/>
    </row>
    <row r="1667" spans="1:27" ht="12.75" customHeight="1">
      <c r="A1667" s="73"/>
      <c r="B1667" s="32"/>
      <c r="C1667" s="32"/>
      <c r="D1667" s="33"/>
      <c r="E1667" s="32"/>
      <c r="F1667" s="32"/>
      <c r="G1667" s="74"/>
      <c r="H1667" s="32"/>
      <c r="I1667" s="32"/>
      <c r="J1667" s="32"/>
      <c r="K1667" s="74"/>
      <c r="L1667" s="35"/>
      <c r="M1667" s="32"/>
      <c r="N1667" s="32"/>
      <c r="O1667" s="59"/>
      <c r="P1667" s="73"/>
      <c r="Q1667" s="73"/>
      <c r="R1667" s="73"/>
      <c r="S1667" s="73"/>
      <c r="T1667" s="73"/>
      <c r="U1667" s="73"/>
      <c r="V1667" s="73"/>
      <c r="W1667" s="73"/>
      <c r="X1667" s="73"/>
      <c r="Y1667" s="73"/>
      <c r="Z1667" s="73"/>
      <c r="AA1667" s="73"/>
    </row>
    <row r="1668" spans="1:27" ht="12.75" customHeight="1">
      <c r="A1668" s="73"/>
      <c r="B1668" s="32"/>
      <c r="C1668" s="32"/>
      <c r="D1668" s="33"/>
      <c r="E1668" s="32"/>
      <c r="F1668" s="32"/>
      <c r="G1668" s="74"/>
      <c r="H1668" s="32"/>
      <c r="I1668" s="32"/>
      <c r="J1668" s="32"/>
      <c r="K1668" s="74"/>
      <c r="L1668" s="35"/>
      <c r="M1668" s="32"/>
      <c r="N1668" s="32"/>
      <c r="O1668" s="59"/>
      <c r="P1668" s="73"/>
      <c r="Q1668" s="73"/>
      <c r="R1668" s="73"/>
      <c r="S1668" s="73"/>
      <c r="T1668" s="73"/>
      <c r="U1668" s="73"/>
      <c r="V1668" s="73"/>
      <c r="W1668" s="73"/>
      <c r="X1668" s="73"/>
      <c r="Y1668" s="73"/>
      <c r="Z1668" s="73"/>
      <c r="AA1668" s="73"/>
    </row>
    <row r="1669" spans="1:27" ht="12.75" customHeight="1">
      <c r="A1669" s="73"/>
      <c r="B1669" s="32"/>
      <c r="C1669" s="32"/>
      <c r="D1669" s="33"/>
      <c r="E1669" s="32"/>
      <c r="F1669" s="32"/>
      <c r="G1669" s="74"/>
      <c r="H1669" s="32"/>
      <c r="I1669" s="32"/>
      <c r="J1669" s="32"/>
      <c r="K1669" s="74"/>
      <c r="L1669" s="35"/>
      <c r="M1669" s="32"/>
      <c r="N1669" s="32"/>
      <c r="O1669" s="59"/>
      <c r="P1669" s="73"/>
      <c r="Q1669" s="73"/>
      <c r="R1669" s="73"/>
      <c r="S1669" s="73"/>
      <c r="T1669" s="73"/>
      <c r="U1669" s="73"/>
      <c r="V1669" s="73"/>
      <c r="W1669" s="73"/>
      <c r="X1669" s="73"/>
      <c r="Y1669" s="73"/>
      <c r="Z1669" s="73"/>
      <c r="AA1669" s="73"/>
    </row>
    <row r="1670" spans="1:27" ht="12.75" customHeight="1">
      <c r="A1670" s="73"/>
      <c r="B1670" s="32"/>
      <c r="C1670" s="32"/>
      <c r="D1670" s="33"/>
      <c r="E1670" s="32"/>
      <c r="F1670" s="32"/>
      <c r="G1670" s="74"/>
      <c r="H1670" s="32"/>
      <c r="I1670" s="32"/>
      <c r="J1670" s="32"/>
      <c r="K1670" s="74"/>
      <c r="L1670" s="35"/>
      <c r="M1670" s="32"/>
      <c r="N1670" s="32"/>
      <c r="O1670" s="59"/>
      <c r="P1670" s="73"/>
      <c r="Q1670" s="73"/>
      <c r="R1670" s="73"/>
      <c r="S1670" s="73"/>
      <c r="T1670" s="73"/>
      <c r="U1670" s="73"/>
      <c r="V1670" s="73"/>
      <c r="W1670" s="73"/>
      <c r="X1670" s="73"/>
      <c r="Y1670" s="73"/>
      <c r="Z1670" s="73"/>
      <c r="AA1670" s="73"/>
    </row>
    <row r="1671" spans="1:27" ht="12.75" customHeight="1">
      <c r="A1671" s="73"/>
      <c r="B1671" s="32"/>
      <c r="C1671" s="32"/>
      <c r="D1671" s="33"/>
      <c r="E1671" s="32"/>
      <c r="F1671" s="32"/>
      <c r="G1671" s="74"/>
      <c r="H1671" s="32"/>
      <c r="I1671" s="32"/>
      <c r="J1671" s="32"/>
      <c r="K1671" s="74"/>
      <c r="L1671" s="35"/>
      <c r="M1671" s="32"/>
      <c r="N1671" s="32"/>
      <c r="O1671" s="59"/>
      <c r="P1671" s="73"/>
      <c r="Q1671" s="73"/>
      <c r="R1671" s="73"/>
      <c r="S1671" s="73"/>
      <c r="T1671" s="73"/>
      <c r="U1671" s="73"/>
      <c r="V1671" s="73"/>
      <c r="W1671" s="73"/>
      <c r="X1671" s="73"/>
      <c r="Y1671" s="73"/>
      <c r="Z1671" s="73"/>
      <c r="AA1671" s="73"/>
    </row>
    <row r="1672" spans="1:27" ht="12.75" customHeight="1">
      <c r="A1672" s="73"/>
      <c r="B1672" s="32"/>
      <c r="C1672" s="32"/>
      <c r="D1672" s="33"/>
      <c r="E1672" s="32"/>
      <c r="F1672" s="32"/>
      <c r="G1672" s="74"/>
      <c r="H1672" s="32"/>
      <c r="I1672" s="32"/>
      <c r="J1672" s="32"/>
      <c r="K1672" s="74"/>
      <c r="L1672" s="35"/>
      <c r="M1672" s="32"/>
      <c r="N1672" s="32"/>
      <c r="O1672" s="59"/>
      <c r="P1672" s="73"/>
      <c r="Q1672" s="73"/>
      <c r="R1672" s="73"/>
      <c r="S1672" s="73"/>
      <c r="T1672" s="73"/>
      <c r="U1672" s="73"/>
      <c r="V1672" s="73"/>
      <c r="W1672" s="73"/>
      <c r="X1672" s="73"/>
      <c r="Y1672" s="73"/>
      <c r="Z1672" s="73"/>
      <c r="AA1672" s="73"/>
    </row>
    <row r="1673" spans="1:27" ht="12.75" customHeight="1">
      <c r="A1673" s="73"/>
      <c r="B1673" s="32"/>
      <c r="C1673" s="32"/>
      <c r="D1673" s="33"/>
      <c r="E1673" s="32"/>
      <c r="F1673" s="32"/>
      <c r="G1673" s="74"/>
      <c r="H1673" s="32"/>
      <c r="I1673" s="32"/>
      <c r="J1673" s="32"/>
      <c r="K1673" s="74"/>
      <c r="L1673" s="35"/>
      <c r="M1673" s="32"/>
      <c r="N1673" s="32"/>
      <c r="O1673" s="59"/>
      <c r="P1673" s="73"/>
      <c r="Q1673" s="73"/>
      <c r="R1673" s="73"/>
      <c r="S1673" s="73"/>
      <c r="T1673" s="73"/>
      <c r="U1673" s="73"/>
      <c r="V1673" s="73"/>
      <c r="W1673" s="73"/>
      <c r="X1673" s="73"/>
      <c r="Y1673" s="73"/>
      <c r="Z1673" s="73"/>
      <c r="AA1673" s="73"/>
    </row>
    <row r="1674" spans="1:27" ht="12.75" customHeight="1">
      <c r="A1674" s="73"/>
      <c r="B1674" s="32"/>
      <c r="C1674" s="32"/>
      <c r="D1674" s="33"/>
      <c r="E1674" s="32"/>
      <c r="F1674" s="32"/>
      <c r="G1674" s="74"/>
      <c r="H1674" s="32"/>
      <c r="I1674" s="32"/>
      <c r="J1674" s="32"/>
      <c r="K1674" s="74"/>
      <c r="L1674" s="35"/>
      <c r="M1674" s="32"/>
      <c r="N1674" s="32"/>
      <c r="O1674" s="59"/>
      <c r="P1674" s="73"/>
      <c r="Q1674" s="73"/>
      <c r="R1674" s="73"/>
      <c r="S1674" s="73"/>
      <c r="T1674" s="73"/>
      <c r="U1674" s="73"/>
      <c r="V1674" s="73"/>
      <c r="W1674" s="73"/>
      <c r="X1674" s="73"/>
      <c r="Y1674" s="73"/>
      <c r="Z1674" s="73"/>
      <c r="AA1674" s="73"/>
    </row>
    <row r="1675" spans="1:27" ht="12.75" customHeight="1">
      <c r="A1675" s="73"/>
      <c r="B1675" s="32"/>
      <c r="C1675" s="32"/>
      <c r="D1675" s="33"/>
      <c r="E1675" s="32"/>
      <c r="F1675" s="32"/>
      <c r="G1675" s="74"/>
      <c r="H1675" s="32"/>
      <c r="I1675" s="32"/>
      <c r="J1675" s="32"/>
      <c r="K1675" s="74"/>
      <c r="L1675" s="35"/>
      <c r="M1675" s="32"/>
      <c r="N1675" s="32"/>
      <c r="O1675" s="59"/>
      <c r="P1675" s="73"/>
      <c r="Q1675" s="73"/>
      <c r="R1675" s="73"/>
      <c r="S1675" s="73"/>
      <c r="T1675" s="73"/>
      <c r="U1675" s="73"/>
      <c r="V1675" s="73"/>
      <c r="W1675" s="73"/>
      <c r="X1675" s="73"/>
      <c r="Y1675" s="73"/>
      <c r="Z1675" s="73"/>
      <c r="AA1675" s="73"/>
    </row>
    <row r="1676" spans="1:27" ht="12.75" customHeight="1">
      <c r="A1676" s="73"/>
      <c r="B1676" s="32"/>
      <c r="C1676" s="32"/>
      <c r="D1676" s="33"/>
      <c r="E1676" s="32"/>
      <c r="F1676" s="32"/>
      <c r="G1676" s="74"/>
      <c r="H1676" s="32"/>
      <c r="I1676" s="32"/>
      <c r="J1676" s="32"/>
      <c r="K1676" s="74"/>
      <c r="L1676" s="35"/>
      <c r="M1676" s="32"/>
      <c r="N1676" s="32"/>
      <c r="O1676" s="59"/>
      <c r="P1676" s="73"/>
      <c r="Q1676" s="73"/>
      <c r="R1676" s="73"/>
      <c r="S1676" s="73"/>
      <c r="T1676" s="73"/>
      <c r="U1676" s="73"/>
      <c r="V1676" s="73"/>
      <c r="W1676" s="73"/>
      <c r="X1676" s="73"/>
      <c r="Y1676" s="73"/>
      <c r="Z1676" s="73"/>
      <c r="AA1676" s="73"/>
    </row>
    <row r="1677" spans="1:27" ht="12.75" customHeight="1">
      <c r="A1677" s="73"/>
      <c r="B1677" s="32"/>
      <c r="C1677" s="32"/>
      <c r="D1677" s="33"/>
      <c r="E1677" s="32"/>
      <c r="F1677" s="32"/>
      <c r="G1677" s="74"/>
      <c r="H1677" s="32"/>
      <c r="I1677" s="32"/>
      <c r="J1677" s="32"/>
      <c r="K1677" s="74"/>
      <c r="L1677" s="35"/>
      <c r="M1677" s="32"/>
      <c r="N1677" s="32"/>
      <c r="O1677" s="59"/>
      <c r="P1677" s="73"/>
      <c r="Q1677" s="73"/>
      <c r="R1677" s="73"/>
      <c r="S1677" s="73"/>
      <c r="T1677" s="73"/>
      <c r="U1677" s="73"/>
      <c r="V1677" s="73"/>
      <c r="W1677" s="73"/>
      <c r="X1677" s="73"/>
      <c r="Y1677" s="73"/>
      <c r="Z1677" s="73"/>
      <c r="AA1677" s="73"/>
    </row>
    <row r="1678" spans="1:27" ht="12.75" customHeight="1">
      <c r="A1678" s="73"/>
      <c r="B1678" s="32"/>
      <c r="C1678" s="32"/>
      <c r="D1678" s="33"/>
      <c r="E1678" s="32"/>
      <c r="F1678" s="32"/>
      <c r="G1678" s="74"/>
      <c r="H1678" s="32"/>
      <c r="I1678" s="32"/>
      <c r="J1678" s="32"/>
      <c r="K1678" s="74"/>
      <c r="L1678" s="35"/>
      <c r="M1678" s="32"/>
      <c r="N1678" s="32"/>
      <c r="O1678" s="59"/>
      <c r="P1678" s="73"/>
      <c r="Q1678" s="73"/>
      <c r="R1678" s="73"/>
      <c r="S1678" s="73"/>
      <c r="T1678" s="73"/>
      <c r="U1678" s="73"/>
      <c r="V1678" s="73"/>
      <c r="W1678" s="73"/>
      <c r="X1678" s="73"/>
      <c r="Y1678" s="73"/>
      <c r="Z1678" s="73"/>
      <c r="AA1678" s="73"/>
    </row>
    <row r="1679" spans="1:27" ht="12.75" customHeight="1">
      <c r="A1679" s="73"/>
      <c r="B1679" s="32"/>
      <c r="C1679" s="32"/>
      <c r="D1679" s="33"/>
      <c r="E1679" s="32"/>
      <c r="F1679" s="32"/>
      <c r="G1679" s="74"/>
      <c r="H1679" s="32"/>
      <c r="I1679" s="32"/>
      <c r="J1679" s="32"/>
      <c r="K1679" s="74"/>
      <c r="L1679" s="35"/>
      <c r="M1679" s="32"/>
      <c r="N1679" s="32"/>
      <c r="O1679" s="59"/>
      <c r="P1679" s="73"/>
      <c r="Q1679" s="73"/>
      <c r="R1679" s="73"/>
      <c r="S1679" s="73"/>
      <c r="T1679" s="73"/>
      <c r="U1679" s="73"/>
      <c r="V1679" s="73"/>
      <c r="W1679" s="73"/>
      <c r="X1679" s="73"/>
      <c r="Y1679" s="73"/>
      <c r="Z1679" s="73"/>
      <c r="AA1679" s="73"/>
    </row>
    <row r="1680" spans="1:27" ht="12.75" customHeight="1">
      <c r="A1680" s="73"/>
      <c r="B1680" s="32"/>
      <c r="C1680" s="32"/>
      <c r="D1680" s="33"/>
      <c r="E1680" s="32"/>
      <c r="F1680" s="32"/>
      <c r="G1680" s="74"/>
      <c r="H1680" s="32"/>
      <c r="I1680" s="32"/>
      <c r="J1680" s="32"/>
      <c r="K1680" s="74"/>
      <c r="L1680" s="35"/>
      <c r="M1680" s="32"/>
      <c r="N1680" s="32"/>
      <c r="O1680" s="59"/>
      <c r="P1680" s="73"/>
      <c r="Q1680" s="73"/>
      <c r="R1680" s="73"/>
      <c r="S1680" s="73"/>
      <c r="T1680" s="73"/>
      <c r="U1680" s="73"/>
      <c r="V1680" s="73"/>
      <c r="W1680" s="73"/>
      <c r="X1680" s="73"/>
      <c r="Y1680" s="73"/>
      <c r="Z1680" s="73"/>
      <c r="AA1680" s="73"/>
    </row>
    <row r="1681" spans="1:27" ht="12.75" customHeight="1">
      <c r="A1681" s="73"/>
      <c r="B1681" s="32"/>
      <c r="C1681" s="32"/>
      <c r="D1681" s="33"/>
      <c r="E1681" s="32"/>
      <c r="F1681" s="32"/>
      <c r="G1681" s="74"/>
      <c r="H1681" s="32"/>
      <c r="I1681" s="32"/>
      <c r="J1681" s="32"/>
      <c r="K1681" s="74"/>
      <c r="L1681" s="35"/>
      <c r="M1681" s="32"/>
      <c r="N1681" s="32"/>
      <c r="O1681" s="59"/>
      <c r="P1681" s="73"/>
      <c r="Q1681" s="73"/>
      <c r="R1681" s="73"/>
      <c r="S1681" s="73"/>
      <c r="T1681" s="73"/>
      <c r="U1681" s="73"/>
      <c r="V1681" s="73"/>
      <c r="W1681" s="73"/>
      <c r="X1681" s="73"/>
      <c r="Y1681" s="73"/>
      <c r="Z1681" s="73"/>
      <c r="AA1681" s="73"/>
    </row>
    <row r="1682" spans="1:27" ht="12.75" customHeight="1">
      <c r="A1682" s="73"/>
      <c r="B1682" s="32"/>
      <c r="C1682" s="32"/>
      <c r="D1682" s="33"/>
      <c r="E1682" s="32"/>
      <c r="F1682" s="32"/>
      <c r="G1682" s="74"/>
      <c r="H1682" s="32"/>
      <c r="I1682" s="32"/>
      <c r="J1682" s="32"/>
      <c r="K1682" s="74"/>
      <c r="L1682" s="35"/>
      <c r="M1682" s="32"/>
      <c r="N1682" s="32"/>
      <c r="O1682" s="59"/>
      <c r="P1682" s="73"/>
      <c r="Q1682" s="73"/>
      <c r="R1682" s="73"/>
      <c r="S1682" s="73"/>
      <c r="T1682" s="73"/>
      <c r="U1682" s="73"/>
      <c r="V1682" s="73"/>
      <c r="W1682" s="73"/>
      <c r="X1682" s="73"/>
      <c r="Y1682" s="73"/>
      <c r="Z1682" s="73"/>
      <c r="AA1682" s="73"/>
    </row>
    <row r="1683" spans="1:27" ht="12.75" customHeight="1">
      <c r="A1683" s="73"/>
      <c r="B1683" s="32"/>
      <c r="C1683" s="32"/>
      <c r="D1683" s="33"/>
      <c r="E1683" s="32"/>
      <c r="F1683" s="32"/>
      <c r="G1683" s="74"/>
      <c r="H1683" s="32"/>
      <c r="I1683" s="32"/>
      <c r="J1683" s="32"/>
      <c r="K1683" s="74"/>
      <c r="L1683" s="35"/>
      <c r="M1683" s="32"/>
      <c r="N1683" s="32"/>
      <c r="O1683" s="59"/>
      <c r="P1683" s="73"/>
      <c r="Q1683" s="73"/>
      <c r="R1683" s="73"/>
      <c r="S1683" s="73"/>
      <c r="T1683" s="73"/>
      <c r="U1683" s="73"/>
      <c r="V1683" s="73"/>
      <c r="W1683" s="73"/>
      <c r="X1683" s="73"/>
      <c r="Y1683" s="73"/>
      <c r="Z1683" s="73"/>
      <c r="AA1683" s="73"/>
    </row>
    <row r="1684" spans="1:27" ht="12.75" customHeight="1">
      <c r="A1684" s="73"/>
      <c r="B1684" s="32"/>
      <c r="C1684" s="32"/>
      <c r="D1684" s="33"/>
      <c r="E1684" s="32"/>
      <c r="F1684" s="32"/>
      <c r="G1684" s="74"/>
      <c r="H1684" s="32"/>
      <c r="I1684" s="32"/>
      <c r="J1684" s="32"/>
      <c r="K1684" s="74"/>
      <c r="L1684" s="35"/>
      <c r="M1684" s="32"/>
      <c r="N1684" s="32"/>
      <c r="O1684" s="59"/>
      <c r="P1684" s="73"/>
      <c r="Q1684" s="73"/>
      <c r="R1684" s="73"/>
      <c r="S1684" s="73"/>
      <c r="T1684" s="73"/>
      <c r="U1684" s="73"/>
      <c r="V1684" s="73"/>
      <c r="W1684" s="73"/>
      <c r="X1684" s="73"/>
      <c r="Y1684" s="73"/>
      <c r="Z1684" s="73"/>
      <c r="AA1684" s="73"/>
    </row>
    <row r="1685" spans="1:27" ht="12.75" customHeight="1">
      <c r="A1685" s="73"/>
      <c r="B1685" s="32"/>
      <c r="C1685" s="32"/>
      <c r="D1685" s="33"/>
      <c r="E1685" s="32"/>
      <c r="F1685" s="32"/>
      <c r="G1685" s="74"/>
      <c r="H1685" s="32"/>
      <c r="I1685" s="32"/>
      <c r="J1685" s="32"/>
      <c r="K1685" s="74"/>
      <c r="L1685" s="35"/>
      <c r="M1685" s="32"/>
      <c r="N1685" s="32"/>
      <c r="O1685" s="59"/>
      <c r="P1685" s="73"/>
      <c r="Q1685" s="73"/>
      <c r="R1685" s="73"/>
      <c r="S1685" s="73"/>
      <c r="T1685" s="73"/>
      <c r="U1685" s="73"/>
      <c r="V1685" s="73"/>
      <c r="W1685" s="73"/>
      <c r="X1685" s="73"/>
      <c r="Y1685" s="73"/>
      <c r="Z1685" s="73"/>
      <c r="AA1685" s="73"/>
    </row>
    <row r="1686" spans="1:27" ht="12.75" customHeight="1">
      <c r="A1686" s="73"/>
      <c r="B1686" s="32"/>
      <c r="C1686" s="32"/>
      <c r="D1686" s="33"/>
      <c r="E1686" s="32"/>
      <c r="F1686" s="32"/>
      <c r="G1686" s="74"/>
      <c r="H1686" s="32"/>
      <c r="I1686" s="32"/>
      <c r="J1686" s="32"/>
      <c r="K1686" s="74"/>
      <c r="L1686" s="35"/>
      <c r="M1686" s="32"/>
      <c r="N1686" s="32"/>
      <c r="O1686" s="59"/>
      <c r="P1686" s="73"/>
      <c r="Q1686" s="73"/>
      <c r="R1686" s="73"/>
      <c r="S1686" s="73"/>
      <c r="T1686" s="73"/>
      <c r="U1686" s="73"/>
      <c r="V1686" s="73"/>
      <c r="W1686" s="73"/>
      <c r="X1686" s="73"/>
      <c r="Y1686" s="73"/>
      <c r="Z1686" s="73"/>
      <c r="AA1686" s="73"/>
    </row>
    <row r="1687" spans="1:27" ht="12.75" customHeight="1">
      <c r="A1687" s="73"/>
      <c r="B1687" s="32"/>
      <c r="C1687" s="32"/>
      <c r="D1687" s="33"/>
      <c r="E1687" s="32"/>
      <c r="F1687" s="32"/>
      <c r="G1687" s="74"/>
      <c r="H1687" s="32"/>
      <c r="I1687" s="32"/>
      <c r="J1687" s="32"/>
      <c r="K1687" s="74"/>
      <c r="L1687" s="35"/>
      <c r="M1687" s="32"/>
      <c r="N1687" s="32"/>
      <c r="O1687" s="59"/>
      <c r="P1687" s="73"/>
      <c r="Q1687" s="73"/>
      <c r="R1687" s="73"/>
      <c r="S1687" s="73"/>
      <c r="T1687" s="73"/>
      <c r="U1687" s="73"/>
      <c r="V1687" s="73"/>
      <c r="W1687" s="73"/>
      <c r="X1687" s="73"/>
      <c r="Y1687" s="73"/>
      <c r="Z1687" s="73"/>
      <c r="AA1687" s="73"/>
    </row>
    <row r="1688" spans="1:27" ht="12.75" customHeight="1">
      <c r="A1688" s="73"/>
      <c r="B1688" s="32"/>
      <c r="C1688" s="32"/>
      <c r="D1688" s="33"/>
      <c r="E1688" s="32"/>
      <c r="F1688" s="32"/>
      <c r="G1688" s="74"/>
      <c r="H1688" s="32"/>
      <c r="I1688" s="32"/>
      <c r="J1688" s="32"/>
      <c r="K1688" s="74"/>
      <c r="L1688" s="35"/>
      <c r="M1688" s="32"/>
      <c r="N1688" s="32"/>
      <c r="O1688" s="59"/>
      <c r="P1688" s="73"/>
      <c r="Q1688" s="73"/>
      <c r="R1688" s="73"/>
      <c r="S1688" s="73"/>
      <c r="T1688" s="73"/>
      <c r="U1688" s="73"/>
      <c r="V1688" s="73"/>
      <c r="W1688" s="73"/>
      <c r="X1688" s="73"/>
      <c r="Y1688" s="73"/>
      <c r="Z1688" s="73"/>
      <c r="AA1688" s="73"/>
    </row>
    <row r="1689" spans="1:27" ht="12.75" customHeight="1">
      <c r="A1689" s="73"/>
      <c r="B1689" s="32"/>
      <c r="C1689" s="32"/>
      <c r="D1689" s="33"/>
      <c r="E1689" s="32"/>
      <c r="F1689" s="32"/>
      <c r="G1689" s="74"/>
      <c r="H1689" s="32"/>
      <c r="I1689" s="32"/>
      <c r="J1689" s="32"/>
      <c r="K1689" s="74"/>
      <c r="L1689" s="35"/>
      <c r="M1689" s="32"/>
      <c r="N1689" s="32"/>
      <c r="O1689" s="59"/>
      <c r="P1689" s="73"/>
      <c r="Q1689" s="73"/>
      <c r="R1689" s="73"/>
      <c r="S1689" s="73"/>
      <c r="T1689" s="73"/>
      <c r="U1689" s="73"/>
      <c r="V1689" s="73"/>
      <c r="W1689" s="73"/>
      <c r="X1689" s="73"/>
      <c r="Y1689" s="73"/>
      <c r="Z1689" s="73"/>
      <c r="AA1689" s="73"/>
    </row>
    <row r="1690" spans="1:27" ht="12.75" customHeight="1">
      <c r="A1690" s="73"/>
      <c r="B1690" s="32"/>
      <c r="C1690" s="32"/>
      <c r="D1690" s="33"/>
      <c r="E1690" s="32"/>
      <c r="F1690" s="32"/>
      <c r="G1690" s="74"/>
      <c r="H1690" s="32"/>
      <c r="I1690" s="32"/>
      <c r="J1690" s="32"/>
      <c r="K1690" s="74"/>
      <c r="L1690" s="35"/>
      <c r="M1690" s="32"/>
      <c r="N1690" s="32"/>
      <c r="O1690" s="59"/>
      <c r="P1690" s="73"/>
      <c r="Q1690" s="73"/>
      <c r="R1690" s="73"/>
      <c r="S1690" s="73"/>
      <c r="T1690" s="73"/>
      <c r="U1690" s="73"/>
      <c r="V1690" s="73"/>
      <c r="W1690" s="73"/>
      <c r="X1690" s="73"/>
      <c r="Y1690" s="73"/>
      <c r="Z1690" s="73"/>
      <c r="AA1690" s="73"/>
    </row>
    <row r="1691" spans="1:27" ht="12.75" customHeight="1">
      <c r="A1691" s="73"/>
      <c r="B1691" s="32"/>
      <c r="C1691" s="32"/>
      <c r="D1691" s="33"/>
      <c r="E1691" s="32"/>
      <c r="F1691" s="32"/>
      <c r="G1691" s="74"/>
      <c r="H1691" s="32"/>
      <c r="I1691" s="32"/>
      <c r="J1691" s="32"/>
      <c r="K1691" s="74"/>
      <c r="L1691" s="35"/>
      <c r="M1691" s="32"/>
      <c r="N1691" s="32"/>
      <c r="O1691" s="59"/>
      <c r="P1691" s="73"/>
      <c r="Q1691" s="73"/>
      <c r="R1691" s="73"/>
      <c r="S1691" s="73"/>
      <c r="T1691" s="73"/>
      <c r="U1691" s="73"/>
      <c r="V1691" s="73"/>
      <c r="W1691" s="73"/>
      <c r="X1691" s="73"/>
      <c r="Y1691" s="73"/>
      <c r="Z1691" s="73"/>
      <c r="AA1691" s="73"/>
    </row>
    <row r="1692" spans="1:27" ht="12.75" customHeight="1">
      <c r="A1692" s="73"/>
      <c r="B1692" s="32"/>
      <c r="C1692" s="32"/>
      <c r="D1692" s="33"/>
      <c r="E1692" s="32"/>
      <c r="F1692" s="32"/>
      <c r="G1692" s="74"/>
      <c r="H1692" s="32"/>
      <c r="I1692" s="32"/>
      <c r="J1692" s="32"/>
      <c r="K1692" s="74"/>
      <c r="L1692" s="35"/>
      <c r="M1692" s="32"/>
      <c r="N1692" s="32"/>
      <c r="O1692" s="59"/>
      <c r="P1692" s="73"/>
      <c r="Q1692" s="73"/>
      <c r="R1692" s="73"/>
      <c r="S1692" s="73"/>
      <c r="T1692" s="73"/>
      <c r="U1692" s="73"/>
      <c r="V1692" s="73"/>
      <c r="W1692" s="73"/>
      <c r="X1692" s="73"/>
      <c r="Y1692" s="73"/>
      <c r="Z1692" s="73"/>
      <c r="AA1692" s="73"/>
    </row>
    <row r="1693" spans="1:27" ht="12.75" customHeight="1">
      <c r="A1693" s="73"/>
      <c r="B1693" s="32"/>
      <c r="C1693" s="32"/>
      <c r="D1693" s="33"/>
      <c r="E1693" s="32"/>
      <c r="F1693" s="32"/>
      <c r="G1693" s="74"/>
      <c r="H1693" s="32"/>
      <c r="I1693" s="32"/>
      <c r="J1693" s="32"/>
      <c r="K1693" s="74"/>
      <c r="L1693" s="35"/>
      <c r="M1693" s="32"/>
      <c r="N1693" s="32"/>
      <c r="O1693" s="59"/>
      <c r="P1693" s="73"/>
      <c r="Q1693" s="73"/>
      <c r="R1693" s="73"/>
      <c r="S1693" s="73"/>
      <c r="T1693" s="73"/>
      <c r="U1693" s="73"/>
      <c r="V1693" s="73"/>
      <c r="W1693" s="73"/>
      <c r="X1693" s="73"/>
      <c r="Y1693" s="73"/>
      <c r="Z1693" s="73"/>
      <c r="AA1693" s="73"/>
    </row>
    <row r="1694" spans="1:27" ht="12.75" customHeight="1">
      <c r="A1694" s="73"/>
      <c r="B1694" s="32"/>
      <c r="C1694" s="32"/>
      <c r="D1694" s="33"/>
      <c r="E1694" s="32"/>
      <c r="F1694" s="32"/>
      <c r="G1694" s="74"/>
      <c r="H1694" s="32"/>
      <c r="I1694" s="32"/>
      <c r="J1694" s="32"/>
      <c r="K1694" s="74"/>
      <c r="L1694" s="35"/>
      <c r="M1694" s="32"/>
      <c r="N1694" s="32"/>
      <c r="O1694" s="59"/>
      <c r="P1694" s="73"/>
      <c r="Q1694" s="73"/>
      <c r="R1694" s="73"/>
      <c r="S1694" s="73"/>
      <c r="T1694" s="73"/>
      <c r="U1694" s="73"/>
      <c r="V1694" s="73"/>
      <c r="W1694" s="73"/>
      <c r="X1694" s="73"/>
      <c r="Y1694" s="73"/>
      <c r="Z1694" s="73"/>
      <c r="AA1694" s="73"/>
    </row>
    <row r="1695" spans="1:27" ht="12.75" customHeight="1">
      <c r="A1695" s="73"/>
      <c r="B1695" s="32"/>
      <c r="C1695" s="32"/>
      <c r="D1695" s="33"/>
      <c r="E1695" s="32"/>
      <c r="F1695" s="32"/>
      <c r="G1695" s="74"/>
      <c r="H1695" s="32"/>
      <c r="I1695" s="32"/>
      <c r="J1695" s="32"/>
      <c r="K1695" s="74"/>
      <c r="L1695" s="35"/>
      <c r="M1695" s="32"/>
      <c r="N1695" s="32"/>
      <c r="O1695" s="59"/>
      <c r="P1695" s="73"/>
      <c r="Q1695" s="73"/>
      <c r="R1695" s="73"/>
      <c r="S1695" s="73"/>
      <c r="T1695" s="73"/>
      <c r="U1695" s="73"/>
      <c r="V1695" s="73"/>
      <c r="W1695" s="73"/>
      <c r="X1695" s="73"/>
      <c r="Y1695" s="73"/>
      <c r="Z1695" s="73"/>
      <c r="AA1695" s="73"/>
    </row>
    <row r="1696" spans="1:27" ht="12.75" customHeight="1">
      <c r="A1696" s="73"/>
      <c r="B1696" s="32"/>
      <c r="C1696" s="32"/>
      <c r="D1696" s="33"/>
      <c r="E1696" s="32"/>
      <c r="F1696" s="32"/>
      <c r="G1696" s="74"/>
      <c r="H1696" s="32"/>
      <c r="I1696" s="32"/>
      <c r="J1696" s="32"/>
      <c r="K1696" s="74"/>
      <c r="L1696" s="35"/>
      <c r="M1696" s="32"/>
      <c r="N1696" s="32"/>
      <c r="O1696" s="59"/>
      <c r="P1696" s="73"/>
      <c r="Q1696" s="73"/>
      <c r="R1696" s="73"/>
      <c r="S1696" s="73"/>
      <c r="T1696" s="73"/>
      <c r="U1696" s="73"/>
      <c r="V1696" s="73"/>
      <c r="W1696" s="73"/>
      <c r="X1696" s="73"/>
      <c r="Y1696" s="73"/>
      <c r="Z1696" s="73"/>
      <c r="AA1696" s="73"/>
    </row>
    <row r="1697" spans="1:27" ht="12.75" customHeight="1">
      <c r="A1697" s="73"/>
      <c r="B1697" s="32"/>
      <c r="C1697" s="32"/>
      <c r="D1697" s="33"/>
      <c r="E1697" s="32"/>
      <c r="F1697" s="32"/>
      <c r="G1697" s="74"/>
      <c r="H1697" s="32"/>
      <c r="I1697" s="32"/>
      <c r="J1697" s="32"/>
      <c r="K1697" s="74"/>
      <c r="L1697" s="35"/>
      <c r="M1697" s="32"/>
      <c r="N1697" s="32"/>
      <c r="O1697" s="59"/>
      <c r="P1697" s="73"/>
      <c r="Q1697" s="73"/>
      <c r="R1697" s="73"/>
      <c r="S1697" s="73"/>
      <c r="T1697" s="73"/>
      <c r="U1697" s="73"/>
      <c r="V1697" s="73"/>
      <c r="W1697" s="73"/>
      <c r="X1697" s="73"/>
      <c r="Y1697" s="73"/>
      <c r="Z1697" s="73"/>
      <c r="AA1697" s="73"/>
    </row>
    <row r="1698" spans="1:27" ht="12.75" customHeight="1">
      <c r="A1698" s="73"/>
      <c r="B1698" s="32"/>
      <c r="C1698" s="32"/>
      <c r="D1698" s="33"/>
      <c r="E1698" s="32"/>
      <c r="F1698" s="32"/>
      <c r="G1698" s="74"/>
      <c r="H1698" s="32"/>
      <c r="I1698" s="32"/>
      <c r="J1698" s="32"/>
      <c r="K1698" s="74"/>
      <c r="L1698" s="35"/>
      <c r="M1698" s="32"/>
      <c r="N1698" s="32"/>
      <c r="O1698" s="59"/>
      <c r="P1698" s="73"/>
      <c r="Q1698" s="73"/>
      <c r="R1698" s="73"/>
      <c r="S1698" s="73"/>
      <c r="T1698" s="73"/>
      <c r="U1698" s="73"/>
      <c r="V1698" s="73"/>
      <c r="W1698" s="73"/>
      <c r="X1698" s="73"/>
      <c r="Y1698" s="73"/>
      <c r="Z1698" s="73"/>
      <c r="AA1698" s="73"/>
    </row>
    <row r="1699" spans="1:27" ht="12.75" customHeight="1">
      <c r="A1699" s="73"/>
      <c r="B1699" s="32"/>
      <c r="C1699" s="32"/>
      <c r="D1699" s="33"/>
      <c r="E1699" s="32"/>
      <c r="F1699" s="32"/>
      <c r="G1699" s="74"/>
      <c r="H1699" s="32"/>
      <c r="I1699" s="32"/>
      <c r="J1699" s="32"/>
      <c r="K1699" s="74"/>
      <c r="L1699" s="35"/>
      <c r="M1699" s="32"/>
      <c r="N1699" s="32"/>
      <c r="O1699" s="59"/>
      <c r="P1699" s="73"/>
      <c r="Q1699" s="73"/>
      <c r="R1699" s="73"/>
      <c r="S1699" s="73"/>
      <c r="T1699" s="73"/>
      <c r="U1699" s="73"/>
      <c r="V1699" s="73"/>
      <c r="W1699" s="73"/>
      <c r="X1699" s="73"/>
      <c r="Y1699" s="73"/>
      <c r="Z1699" s="73"/>
      <c r="AA1699" s="73"/>
    </row>
    <row r="1700" spans="1:27" ht="12.75" customHeight="1">
      <c r="A1700" s="73"/>
      <c r="B1700" s="32"/>
      <c r="C1700" s="32"/>
      <c r="D1700" s="33"/>
      <c r="E1700" s="32"/>
      <c r="F1700" s="32"/>
      <c r="G1700" s="74"/>
      <c r="H1700" s="32"/>
      <c r="I1700" s="32"/>
      <c r="J1700" s="32"/>
      <c r="K1700" s="74"/>
      <c r="L1700" s="35"/>
      <c r="M1700" s="32"/>
      <c r="N1700" s="32"/>
      <c r="O1700" s="59"/>
      <c r="P1700" s="73"/>
      <c r="Q1700" s="73"/>
      <c r="R1700" s="73"/>
      <c r="S1700" s="73"/>
      <c r="T1700" s="73"/>
      <c r="U1700" s="73"/>
      <c r="V1700" s="73"/>
      <c r="W1700" s="73"/>
      <c r="X1700" s="73"/>
      <c r="Y1700" s="73"/>
      <c r="Z1700" s="73"/>
      <c r="AA1700" s="73"/>
    </row>
    <row r="1701" spans="1:27" ht="12.75" customHeight="1">
      <c r="A1701" s="73"/>
      <c r="B1701" s="32"/>
      <c r="C1701" s="32"/>
      <c r="D1701" s="33"/>
      <c r="E1701" s="32"/>
      <c r="F1701" s="32"/>
      <c r="G1701" s="74"/>
      <c r="H1701" s="32"/>
      <c r="I1701" s="32"/>
      <c r="J1701" s="32"/>
      <c r="K1701" s="74"/>
      <c r="L1701" s="35"/>
      <c r="M1701" s="32"/>
      <c r="N1701" s="32"/>
      <c r="O1701" s="59"/>
      <c r="P1701" s="73"/>
      <c r="Q1701" s="73"/>
      <c r="R1701" s="73"/>
      <c r="S1701" s="73"/>
      <c r="T1701" s="73"/>
      <c r="U1701" s="73"/>
      <c r="V1701" s="73"/>
      <c r="W1701" s="73"/>
      <c r="X1701" s="73"/>
      <c r="Y1701" s="73"/>
      <c r="Z1701" s="73"/>
      <c r="AA1701" s="73"/>
    </row>
    <row r="1702" spans="1:27" ht="12.75" customHeight="1">
      <c r="A1702" s="73"/>
      <c r="B1702" s="32"/>
      <c r="C1702" s="32"/>
      <c r="D1702" s="33"/>
      <c r="E1702" s="32"/>
      <c r="F1702" s="32"/>
      <c r="G1702" s="74"/>
      <c r="H1702" s="32"/>
      <c r="I1702" s="32"/>
      <c r="J1702" s="32"/>
      <c r="K1702" s="74"/>
      <c r="L1702" s="35"/>
      <c r="M1702" s="32"/>
      <c r="N1702" s="32"/>
      <c r="O1702" s="59"/>
      <c r="P1702" s="73"/>
      <c r="Q1702" s="73"/>
      <c r="R1702" s="73"/>
      <c r="S1702" s="73"/>
      <c r="T1702" s="73"/>
      <c r="U1702" s="73"/>
      <c r="V1702" s="73"/>
      <c r="W1702" s="73"/>
      <c r="X1702" s="73"/>
      <c r="Y1702" s="73"/>
      <c r="Z1702" s="73"/>
      <c r="AA1702" s="73"/>
    </row>
    <row r="1703" spans="1:27" ht="12.75" customHeight="1">
      <c r="A1703" s="73"/>
      <c r="B1703" s="32"/>
      <c r="C1703" s="32"/>
      <c r="D1703" s="33"/>
      <c r="E1703" s="32"/>
      <c r="F1703" s="32"/>
      <c r="G1703" s="74"/>
      <c r="H1703" s="32"/>
      <c r="I1703" s="32"/>
      <c r="J1703" s="32"/>
      <c r="K1703" s="74"/>
      <c r="L1703" s="35"/>
      <c r="M1703" s="32"/>
      <c r="N1703" s="32"/>
      <c r="O1703" s="59"/>
      <c r="P1703" s="73"/>
      <c r="Q1703" s="73"/>
      <c r="R1703" s="73"/>
      <c r="S1703" s="73"/>
      <c r="T1703" s="73"/>
      <c r="U1703" s="73"/>
      <c r="V1703" s="73"/>
      <c r="W1703" s="73"/>
      <c r="X1703" s="73"/>
      <c r="Y1703" s="73"/>
      <c r="Z1703" s="73"/>
      <c r="AA1703" s="73"/>
    </row>
    <row r="1704" spans="1:27" ht="12.75" customHeight="1">
      <c r="A1704" s="73"/>
      <c r="B1704" s="32"/>
      <c r="C1704" s="32"/>
      <c r="D1704" s="33"/>
      <c r="E1704" s="32"/>
      <c r="F1704" s="32"/>
      <c r="G1704" s="74"/>
      <c r="H1704" s="32"/>
      <c r="I1704" s="32"/>
      <c r="J1704" s="32"/>
      <c r="K1704" s="74"/>
      <c r="L1704" s="35"/>
      <c r="M1704" s="32"/>
      <c r="N1704" s="32"/>
      <c r="O1704" s="59"/>
      <c r="P1704" s="73"/>
      <c r="Q1704" s="73"/>
      <c r="R1704" s="73"/>
      <c r="S1704" s="73"/>
      <c r="T1704" s="73"/>
      <c r="U1704" s="73"/>
      <c r="V1704" s="73"/>
      <c r="W1704" s="73"/>
      <c r="X1704" s="73"/>
      <c r="Y1704" s="73"/>
      <c r="Z1704" s="73"/>
      <c r="AA1704" s="73"/>
    </row>
    <row r="1705" spans="1:27" ht="12.75" customHeight="1">
      <c r="A1705" s="73"/>
      <c r="B1705" s="32"/>
      <c r="C1705" s="32"/>
      <c r="D1705" s="33"/>
      <c r="E1705" s="32"/>
      <c r="F1705" s="32"/>
      <c r="G1705" s="74"/>
      <c r="H1705" s="32"/>
      <c r="I1705" s="32"/>
      <c r="J1705" s="32"/>
      <c r="K1705" s="74"/>
      <c r="L1705" s="35"/>
      <c r="M1705" s="32"/>
      <c r="N1705" s="32"/>
      <c r="O1705" s="59"/>
      <c r="P1705" s="73"/>
      <c r="Q1705" s="73"/>
      <c r="R1705" s="73"/>
      <c r="S1705" s="73"/>
      <c r="T1705" s="73"/>
      <c r="U1705" s="73"/>
      <c r="V1705" s="73"/>
      <c r="W1705" s="73"/>
      <c r="X1705" s="73"/>
      <c r="Y1705" s="73"/>
      <c r="Z1705" s="73"/>
      <c r="AA1705" s="73"/>
    </row>
    <row r="1706" spans="1:27" ht="12.75" customHeight="1">
      <c r="A1706" s="73"/>
      <c r="B1706" s="32"/>
      <c r="C1706" s="32"/>
      <c r="D1706" s="33"/>
      <c r="E1706" s="32"/>
      <c r="F1706" s="32"/>
      <c r="G1706" s="74"/>
      <c r="H1706" s="32"/>
      <c r="I1706" s="32"/>
      <c r="J1706" s="32"/>
      <c r="K1706" s="74"/>
      <c r="L1706" s="35"/>
      <c r="M1706" s="32"/>
      <c r="N1706" s="32"/>
      <c r="O1706" s="59"/>
      <c r="P1706" s="73"/>
      <c r="Q1706" s="73"/>
      <c r="R1706" s="73"/>
      <c r="S1706" s="73"/>
      <c r="T1706" s="73"/>
      <c r="U1706" s="73"/>
      <c r="V1706" s="73"/>
      <c r="W1706" s="73"/>
      <c r="X1706" s="73"/>
      <c r="Y1706" s="73"/>
      <c r="Z1706" s="73"/>
      <c r="AA1706" s="73"/>
    </row>
    <row r="1707" spans="1:27" ht="12.75" customHeight="1">
      <c r="A1707" s="73"/>
      <c r="B1707" s="32"/>
      <c r="C1707" s="32"/>
      <c r="D1707" s="33"/>
      <c r="E1707" s="32"/>
      <c r="F1707" s="32"/>
      <c r="G1707" s="74"/>
      <c r="H1707" s="32"/>
      <c r="I1707" s="32"/>
      <c r="J1707" s="32"/>
      <c r="K1707" s="74"/>
      <c r="L1707" s="35"/>
      <c r="M1707" s="32"/>
      <c r="N1707" s="32"/>
      <c r="O1707" s="59"/>
      <c r="P1707" s="73"/>
      <c r="Q1707" s="73"/>
      <c r="R1707" s="73"/>
      <c r="S1707" s="73"/>
      <c r="T1707" s="73"/>
      <c r="U1707" s="73"/>
      <c r="V1707" s="73"/>
      <c r="W1707" s="73"/>
      <c r="X1707" s="73"/>
      <c r="Y1707" s="73"/>
      <c r="Z1707" s="73"/>
      <c r="AA1707" s="73"/>
    </row>
    <row r="1708" spans="1:27" ht="12.75" customHeight="1">
      <c r="A1708" s="73"/>
      <c r="B1708" s="32"/>
      <c r="C1708" s="32"/>
      <c r="D1708" s="33"/>
      <c r="E1708" s="32"/>
      <c r="F1708" s="32"/>
      <c r="G1708" s="74"/>
      <c r="H1708" s="32"/>
      <c r="I1708" s="32"/>
      <c r="J1708" s="32"/>
      <c r="K1708" s="74"/>
      <c r="L1708" s="35"/>
      <c r="M1708" s="32"/>
      <c r="N1708" s="32"/>
      <c r="O1708" s="59"/>
      <c r="P1708" s="73"/>
      <c r="Q1708" s="73"/>
      <c r="R1708" s="73"/>
      <c r="S1708" s="73"/>
      <c r="T1708" s="73"/>
      <c r="U1708" s="73"/>
      <c r="V1708" s="73"/>
      <c r="W1708" s="73"/>
      <c r="X1708" s="73"/>
      <c r="Y1708" s="73"/>
      <c r="Z1708" s="73"/>
      <c r="AA1708" s="73"/>
    </row>
    <row r="1709" spans="1:27" ht="12.75" customHeight="1">
      <c r="A1709" s="73"/>
      <c r="B1709" s="32"/>
      <c r="C1709" s="32"/>
      <c r="D1709" s="33"/>
      <c r="E1709" s="32"/>
      <c r="F1709" s="32"/>
      <c r="G1709" s="74"/>
      <c r="H1709" s="32"/>
      <c r="I1709" s="32"/>
      <c r="J1709" s="32"/>
      <c r="K1709" s="74"/>
      <c r="L1709" s="35"/>
      <c r="M1709" s="32"/>
      <c r="N1709" s="32"/>
      <c r="O1709" s="59"/>
      <c r="P1709" s="73"/>
      <c r="Q1709" s="73"/>
      <c r="R1709" s="73"/>
      <c r="S1709" s="73"/>
      <c r="T1709" s="73"/>
      <c r="U1709" s="73"/>
      <c r="V1709" s="73"/>
      <c r="W1709" s="73"/>
      <c r="X1709" s="73"/>
      <c r="Y1709" s="73"/>
      <c r="Z1709" s="73"/>
      <c r="AA1709" s="73"/>
    </row>
    <row r="1710" spans="1:27" ht="12.75" customHeight="1">
      <c r="A1710" s="73"/>
      <c r="B1710" s="32"/>
      <c r="C1710" s="32"/>
      <c r="D1710" s="33"/>
      <c r="E1710" s="32"/>
      <c r="F1710" s="32"/>
      <c r="G1710" s="74"/>
      <c r="H1710" s="32"/>
      <c r="I1710" s="32"/>
      <c r="J1710" s="32"/>
      <c r="K1710" s="74"/>
      <c r="L1710" s="35"/>
      <c r="M1710" s="32"/>
      <c r="N1710" s="32"/>
      <c r="O1710" s="59"/>
      <c r="P1710" s="73"/>
      <c r="Q1710" s="73"/>
      <c r="R1710" s="73"/>
      <c r="S1710" s="73"/>
      <c r="T1710" s="73"/>
      <c r="U1710" s="73"/>
      <c r="V1710" s="73"/>
      <c r="W1710" s="73"/>
      <c r="X1710" s="73"/>
      <c r="Y1710" s="73"/>
      <c r="Z1710" s="73"/>
      <c r="AA1710" s="73"/>
    </row>
    <row r="1711" spans="1:27" ht="12.75" customHeight="1">
      <c r="A1711" s="73"/>
      <c r="B1711" s="32"/>
      <c r="C1711" s="32"/>
      <c r="D1711" s="33"/>
      <c r="E1711" s="32"/>
      <c r="F1711" s="32"/>
      <c r="G1711" s="74"/>
      <c r="H1711" s="32"/>
      <c r="I1711" s="32"/>
      <c r="J1711" s="32"/>
      <c r="K1711" s="74"/>
      <c r="L1711" s="35"/>
      <c r="M1711" s="32"/>
      <c r="N1711" s="32"/>
      <c r="O1711" s="59"/>
      <c r="P1711" s="73"/>
      <c r="Q1711" s="73"/>
      <c r="R1711" s="73"/>
      <c r="S1711" s="73"/>
      <c r="T1711" s="73"/>
      <c r="U1711" s="73"/>
      <c r="V1711" s="73"/>
      <c r="W1711" s="73"/>
      <c r="X1711" s="73"/>
      <c r="Y1711" s="73"/>
      <c r="Z1711" s="73"/>
      <c r="AA1711" s="73"/>
    </row>
    <row r="1712" spans="1:27" ht="12.75" customHeight="1">
      <c r="A1712" s="73"/>
      <c r="B1712" s="32"/>
      <c r="C1712" s="32"/>
      <c r="D1712" s="33"/>
      <c r="E1712" s="32"/>
      <c r="F1712" s="32"/>
      <c r="G1712" s="74"/>
      <c r="H1712" s="32"/>
      <c r="I1712" s="32"/>
      <c r="J1712" s="32"/>
      <c r="K1712" s="74"/>
      <c r="L1712" s="35"/>
      <c r="M1712" s="32"/>
      <c r="N1712" s="32"/>
      <c r="O1712" s="59"/>
      <c r="P1712" s="73"/>
      <c r="Q1712" s="73"/>
      <c r="R1712" s="73"/>
      <c r="S1712" s="73"/>
      <c r="T1712" s="73"/>
      <c r="U1712" s="73"/>
      <c r="V1712" s="73"/>
      <c r="W1712" s="73"/>
      <c r="X1712" s="73"/>
      <c r="Y1712" s="73"/>
      <c r="Z1712" s="73"/>
      <c r="AA1712" s="73"/>
    </row>
    <row r="1713" spans="1:27" ht="12.75" customHeight="1">
      <c r="A1713" s="73"/>
      <c r="B1713" s="32"/>
      <c r="C1713" s="32"/>
      <c r="D1713" s="33"/>
      <c r="E1713" s="32"/>
      <c r="F1713" s="32"/>
      <c r="G1713" s="74"/>
      <c r="H1713" s="32"/>
      <c r="I1713" s="32"/>
      <c r="J1713" s="32"/>
      <c r="K1713" s="74"/>
      <c r="L1713" s="35"/>
      <c r="M1713" s="32"/>
      <c r="N1713" s="32"/>
      <c r="O1713" s="59"/>
      <c r="P1713" s="73"/>
      <c r="Q1713" s="73"/>
      <c r="R1713" s="73"/>
      <c r="S1713" s="73"/>
      <c r="T1713" s="73"/>
      <c r="U1713" s="73"/>
      <c r="V1713" s="73"/>
      <c r="W1713" s="73"/>
      <c r="X1713" s="73"/>
      <c r="Y1713" s="73"/>
      <c r="Z1713" s="73"/>
      <c r="AA1713" s="73"/>
    </row>
    <row r="1714" spans="1:27" ht="12.75" customHeight="1">
      <c r="A1714" s="73"/>
      <c r="B1714" s="32"/>
      <c r="C1714" s="32"/>
      <c r="D1714" s="33"/>
      <c r="E1714" s="32"/>
      <c r="F1714" s="32"/>
      <c r="G1714" s="74"/>
      <c r="H1714" s="32"/>
      <c r="I1714" s="32"/>
      <c r="J1714" s="32"/>
      <c r="K1714" s="74"/>
      <c r="L1714" s="35"/>
      <c r="M1714" s="32"/>
      <c r="N1714" s="32"/>
      <c r="O1714" s="59"/>
      <c r="P1714" s="73"/>
      <c r="Q1714" s="73"/>
      <c r="R1714" s="73"/>
      <c r="S1714" s="73"/>
      <c r="T1714" s="73"/>
      <c r="U1714" s="73"/>
      <c r="V1714" s="73"/>
      <c r="W1714" s="73"/>
      <c r="X1714" s="73"/>
      <c r="Y1714" s="73"/>
      <c r="Z1714" s="73"/>
      <c r="AA1714" s="73"/>
    </row>
    <row r="1715" spans="1:27" ht="12.75" customHeight="1">
      <c r="A1715" s="73"/>
      <c r="B1715" s="32"/>
      <c r="C1715" s="32"/>
      <c r="D1715" s="33"/>
      <c r="E1715" s="32"/>
      <c r="F1715" s="32"/>
      <c r="G1715" s="74"/>
      <c r="H1715" s="32"/>
      <c r="I1715" s="32"/>
      <c r="J1715" s="32"/>
      <c r="K1715" s="74"/>
      <c r="L1715" s="35"/>
      <c r="M1715" s="32"/>
      <c r="N1715" s="32"/>
      <c r="O1715" s="59"/>
      <c r="P1715" s="73"/>
      <c r="Q1715" s="73"/>
      <c r="R1715" s="73"/>
      <c r="S1715" s="73"/>
      <c r="T1715" s="73"/>
      <c r="U1715" s="73"/>
      <c r="V1715" s="73"/>
      <c r="W1715" s="73"/>
      <c r="X1715" s="73"/>
      <c r="Y1715" s="73"/>
      <c r="Z1715" s="73"/>
      <c r="AA1715" s="73"/>
    </row>
    <row r="1716" spans="1:27" ht="12.75" customHeight="1">
      <c r="A1716" s="73"/>
      <c r="B1716" s="32"/>
      <c r="C1716" s="32"/>
      <c r="D1716" s="33"/>
      <c r="E1716" s="32"/>
      <c r="F1716" s="32"/>
      <c r="G1716" s="74"/>
      <c r="H1716" s="32"/>
      <c r="I1716" s="32"/>
      <c r="J1716" s="32"/>
      <c r="K1716" s="74"/>
      <c r="L1716" s="35"/>
      <c r="M1716" s="32"/>
      <c r="N1716" s="32"/>
      <c r="O1716" s="59"/>
      <c r="P1716" s="73"/>
      <c r="Q1716" s="73"/>
      <c r="R1716" s="73"/>
      <c r="S1716" s="73"/>
      <c r="T1716" s="73"/>
      <c r="U1716" s="73"/>
      <c r="V1716" s="73"/>
      <c r="W1716" s="73"/>
      <c r="X1716" s="73"/>
      <c r="Y1716" s="73"/>
      <c r="Z1716" s="73"/>
      <c r="AA1716" s="73"/>
    </row>
    <row r="1717" spans="1:27" ht="12.75" customHeight="1">
      <c r="A1717" s="73"/>
      <c r="B1717" s="32"/>
      <c r="C1717" s="32"/>
      <c r="D1717" s="33"/>
      <c r="E1717" s="32"/>
      <c r="F1717" s="32"/>
      <c r="G1717" s="74"/>
      <c r="H1717" s="32"/>
      <c r="I1717" s="32"/>
      <c r="J1717" s="32"/>
      <c r="K1717" s="74"/>
      <c r="L1717" s="35"/>
      <c r="M1717" s="32"/>
      <c r="N1717" s="32"/>
      <c r="O1717" s="59"/>
      <c r="P1717" s="73"/>
      <c r="Q1717" s="73"/>
      <c r="R1717" s="73"/>
      <c r="S1717" s="73"/>
      <c r="T1717" s="73"/>
      <c r="U1717" s="73"/>
      <c r="V1717" s="73"/>
      <c r="W1717" s="73"/>
      <c r="X1717" s="73"/>
      <c r="Y1717" s="73"/>
      <c r="Z1717" s="73"/>
      <c r="AA1717" s="73"/>
    </row>
    <row r="1718" spans="1:27" ht="12.75" customHeight="1">
      <c r="A1718" s="73"/>
      <c r="B1718" s="32"/>
      <c r="C1718" s="32"/>
      <c r="D1718" s="33"/>
      <c r="E1718" s="32"/>
      <c r="F1718" s="32"/>
      <c r="G1718" s="74"/>
      <c r="H1718" s="32"/>
      <c r="I1718" s="32"/>
      <c r="J1718" s="32"/>
      <c r="K1718" s="74"/>
      <c r="L1718" s="35"/>
      <c r="M1718" s="32"/>
      <c r="N1718" s="32"/>
      <c r="O1718" s="59"/>
      <c r="P1718" s="73"/>
      <c r="Q1718" s="73"/>
      <c r="R1718" s="73"/>
      <c r="S1718" s="73"/>
      <c r="T1718" s="73"/>
      <c r="U1718" s="73"/>
      <c r="V1718" s="73"/>
      <c r="W1718" s="73"/>
      <c r="X1718" s="73"/>
      <c r="Y1718" s="73"/>
      <c r="Z1718" s="73"/>
      <c r="AA1718" s="73"/>
    </row>
    <row r="1719" spans="1:27" ht="12.75" customHeight="1">
      <c r="A1719" s="73"/>
      <c r="B1719" s="32"/>
      <c r="C1719" s="32"/>
      <c r="D1719" s="33"/>
      <c r="E1719" s="32"/>
      <c r="F1719" s="32"/>
      <c r="G1719" s="74"/>
      <c r="H1719" s="32"/>
      <c r="I1719" s="32"/>
      <c r="J1719" s="32"/>
      <c r="K1719" s="74"/>
      <c r="L1719" s="35"/>
      <c r="M1719" s="32"/>
      <c r="N1719" s="32"/>
      <c r="O1719" s="59"/>
      <c r="P1719" s="73"/>
      <c r="Q1719" s="73"/>
      <c r="R1719" s="73"/>
      <c r="S1719" s="73"/>
      <c r="T1719" s="73"/>
      <c r="U1719" s="73"/>
      <c r="V1719" s="73"/>
      <c r="W1719" s="73"/>
      <c r="X1719" s="73"/>
      <c r="Y1719" s="73"/>
      <c r="Z1719" s="73"/>
      <c r="AA1719" s="73"/>
    </row>
    <row r="1720" spans="1:27" ht="12.75" customHeight="1">
      <c r="A1720" s="73"/>
      <c r="B1720" s="32"/>
      <c r="C1720" s="32"/>
      <c r="D1720" s="33"/>
      <c r="E1720" s="32"/>
      <c r="F1720" s="32"/>
      <c r="G1720" s="74"/>
      <c r="H1720" s="32"/>
      <c r="I1720" s="32"/>
      <c r="J1720" s="32"/>
      <c r="K1720" s="74"/>
      <c r="L1720" s="35"/>
      <c r="M1720" s="32"/>
      <c r="N1720" s="32"/>
      <c r="O1720" s="59"/>
      <c r="P1720" s="73"/>
      <c r="Q1720" s="73"/>
      <c r="R1720" s="73"/>
      <c r="S1720" s="73"/>
      <c r="T1720" s="73"/>
      <c r="U1720" s="73"/>
      <c r="V1720" s="73"/>
      <c r="W1720" s="73"/>
      <c r="X1720" s="73"/>
      <c r="Y1720" s="73"/>
      <c r="Z1720" s="73"/>
      <c r="AA1720" s="73"/>
    </row>
    <row r="1721" spans="1:27" ht="12.75" customHeight="1">
      <c r="A1721" s="73"/>
      <c r="B1721" s="32"/>
      <c r="C1721" s="32"/>
      <c r="D1721" s="33"/>
      <c r="E1721" s="32"/>
      <c r="F1721" s="32"/>
      <c r="G1721" s="74"/>
      <c r="H1721" s="32"/>
      <c r="I1721" s="32"/>
      <c r="J1721" s="32"/>
      <c r="K1721" s="74"/>
      <c r="L1721" s="35"/>
      <c r="M1721" s="32"/>
      <c r="N1721" s="32"/>
      <c r="O1721" s="59"/>
      <c r="P1721" s="73"/>
      <c r="Q1721" s="73"/>
      <c r="R1721" s="73"/>
      <c r="S1721" s="73"/>
      <c r="T1721" s="73"/>
      <c r="U1721" s="73"/>
      <c r="V1721" s="73"/>
      <c r="W1721" s="73"/>
      <c r="X1721" s="73"/>
      <c r="Y1721" s="73"/>
      <c r="Z1721" s="73"/>
      <c r="AA1721" s="73"/>
    </row>
    <row r="1722" spans="1:27" ht="12.75" customHeight="1">
      <c r="A1722" s="73"/>
      <c r="B1722" s="32"/>
      <c r="C1722" s="32"/>
      <c r="D1722" s="33"/>
      <c r="E1722" s="32"/>
      <c r="F1722" s="32"/>
      <c r="G1722" s="74"/>
      <c r="H1722" s="32"/>
      <c r="I1722" s="32"/>
      <c r="J1722" s="32"/>
      <c r="K1722" s="74"/>
      <c r="L1722" s="35"/>
      <c r="M1722" s="32"/>
      <c r="N1722" s="32"/>
      <c r="O1722" s="59"/>
      <c r="P1722" s="73"/>
      <c r="Q1722" s="73"/>
      <c r="R1722" s="73"/>
      <c r="S1722" s="73"/>
      <c r="T1722" s="73"/>
      <c r="U1722" s="73"/>
      <c r="V1722" s="73"/>
      <c r="W1722" s="73"/>
      <c r="X1722" s="73"/>
      <c r="Y1722" s="73"/>
      <c r="Z1722" s="73"/>
      <c r="AA1722" s="73"/>
    </row>
    <row r="1723" spans="1:27" ht="12.75" customHeight="1">
      <c r="A1723" s="73"/>
      <c r="B1723" s="32"/>
      <c r="C1723" s="32"/>
      <c r="D1723" s="33"/>
      <c r="E1723" s="32"/>
      <c r="F1723" s="32"/>
      <c r="G1723" s="74"/>
      <c r="H1723" s="32"/>
      <c r="I1723" s="32"/>
      <c r="J1723" s="32"/>
      <c r="K1723" s="74"/>
      <c r="L1723" s="35"/>
      <c r="M1723" s="32"/>
      <c r="N1723" s="32"/>
      <c r="O1723" s="59"/>
      <c r="P1723" s="73"/>
      <c r="Q1723" s="73"/>
      <c r="R1723" s="73"/>
      <c r="S1723" s="73"/>
      <c r="T1723" s="73"/>
      <c r="U1723" s="73"/>
      <c r="V1723" s="73"/>
      <c r="W1723" s="73"/>
      <c r="X1723" s="73"/>
      <c r="Y1723" s="73"/>
      <c r="Z1723" s="73"/>
      <c r="AA1723" s="73"/>
    </row>
    <row r="1724" spans="1:27" ht="12.75" customHeight="1">
      <c r="A1724" s="73"/>
      <c r="B1724" s="32"/>
      <c r="C1724" s="32"/>
      <c r="D1724" s="33"/>
      <c r="E1724" s="32"/>
      <c r="F1724" s="32"/>
      <c r="G1724" s="74"/>
      <c r="H1724" s="32"/>
      <c r="I1724" s="32"/>
      <c r="J1724" s="32"/>
      <c r="K1724" s="74"/>
      <c r="L1724" s="35"/>
      <c r="M1724" s="32"/>
      <c r="N1724" s="32"/>
      <c r="O1724" s="59"/>
      <c r="P1724" s="73"/>
      <c r="Q1724" s="73"/>
      <c r="R1724" s="73"/>
      <c r="S1724" s="73"/>
      <c r="T1724" s="73"/>
      <c r="U1724" s="73"/>
      <c r="V1724" s="73"/>
      <c r="W1724" s="73"/>
      <c r="X1724" s="73"/>
      <c r="Y1724" s="73"/>
      <c r="Z1724" s="73"/>
      <c r="AA1724" s="73"/>
    </row>
    <row r="1725" spans="1:27" ht="12.75" customHeight="1">
      <c r="A1725" s="73"/>
      <c r="B1725" s="32"/>
      <c r="C1725" s="32"/>
      <c r="D1725" s="33"/>
      <c r="E1725" s="32"/>
      <c r="F1725" s="32"/>
      <c r="G1725" s="74"/>
      <c r="H1725" s="32"/>
      <c r="I1725" s="32"/>
      <c r="J1725" s="32"/>
      <c r="K1725" s="74"/>
      <c r="L1725" s="35"/>
      <c r="M1725" s="32"/>
      <c r="N1725" s="32"/>
      <c r="O1725" s="59"/>
      <c r="P1725" s="73"/>
      <c r="Q1725" s="73"/>
      <c r="R1725" s="73"/>
      <c r="S1725" s="73"/>
      <c r="T1725" s="73"/>
      <c r="U1725" s="73"/>
      <c r="V1725" s="73"/>
      <c r="W1725" s="73"/>
      <c r="X1725" s="73"/>
      <c r="Y1725" s="73"/>
      <c r="Z1725" s="73"/>
      <c r="AA1725" s="73"/>
    </row>
    <row r="1726" spans="1:27" ht="12.75" customHeight="1">
      <c r="A1726" s="73"/>
      <c r="B1726" s="32"/>
      <c r="C1726" s="32"/>
      <c r="D1726" s="33"/>
      <c r="E1726" s="32"/>
      <c r="F1726" s="32"/>
      <c r="G1726" s="74"/>
      <c r="H1726" s="32"/>
      <c r="I1726" s="32"/>
      <c r="J1726" s="32"/>
      <c r="K1726" s="74"/>
      <c r="L1726" s="35"/>
      <c r="M1726" s="32"/>
      <c r="N1726" s="32"/>
      <c r="O1726" s="59"/>
      <c r="P1726" s="73"/>
      <c r="Q1726" s="73"/>
      <c r="R1726" s="73"/>
      <c r="S1726" s="73"/>
      <c r="T1726" s="73"/>
      <c r="U1726" s="73"/>
      <c r="V1726" s="73"/>
      <c r="W1726" s="73"/>
      <c r="X1726" s="73"/>
      <c r="Y1726" s="73"/>
      <c r="Z1726" s="73"/>
      <c r="AA1726" s="73"/>
    </row>
    <row r="1727" spans="1:27" ht="12.75" customHeight="1">
      <c r="A1727" s="73"/>
      <c r="B1727" s="32"/>
      <c r="C1727" s="32"/>
      <c r="D1727" s="33"/>
      <c r="E1727" s="32"/>
      <c r="F1727" s="32"/>
      <c r="G1727" s="74"/>
      <c r="H1727" s="32"/>
      <c r="I1727" s="32"/>
      <c r="J1727" s="32"/>
      <c r="K1727" s="74"/>
      <c r="L1727" s="35"/>
      <c r="M1727" s="32"/>
      <c r="N1727" s="32"/>
      <c r="O1727" s="59"/>
      <c r="P1727" s="73"/>
      <c r="Q1727" s="73"/>
      <c r="R1727" s="73"/>
      <c r="S1727" s="73"/>
      <c r="T1727" s="73"/>
      <c r="U1727" s="73"/>
      <c r="V1727" s="73"/>
      <c r="W1727" s="73"/>
      <c r="X1727" s="73"/>
      <c r="Y1727" s="73"/>
      <c r="Z1727" s="73"/>
      <c r="AA1727" s="73"/>
    </row>
    <row r="1728" spans="1:27" ht="12.75" customHeight="1">
      <c r="A1728" s="73"/>
      <c r="B1728" s="32"/>
      <c r="C1728" s="32"/>
      <c r="D1728" s="33"/>
      <c r="E1728" s="32"/>
      <c r="F1728" s="32"/>
      <c r="G1728" s="74"/>
      <c r="H1728" s="32"/>
      <c r="I1728" s="32"/>
      <c r="J1728" s="32"/>
      <c r="K1728" s="74"/>
      <c r="L1728" s="35"/>
      <c r="M1728" s="32"/>
      <c r="N1728" s="32"/>
      <c r="O1728" s="59"/>
      <c r="P1728" s="73"/>
      <c r="Q1728" s="73"/>
      <c r="R1728" s="73"/>
      <c r="S1728" s="73"/>
      <c r="T1728" s="73"/>
      <c r="U1728" s="73"/>
      <c r="V1728" s="73"/>
      <c r="W1728" s="73"/>
      <c r="X1728" s="73"/>
      <c r="Y1728" s="73"/>
      <c r="Z1728" s="73"/>
      <c r="AA1728" s="73"/>
    </row>
    <row r="1729" spans="1:27" ht="12.75" customHeight="1">
      <c r="A1729" s="73"/>
      <c r="B1729" s="32"/>
      <c r="C1729" s="32"/>
      <c r="D1729" s="33"/>
      <c r="E1729" s="32"/>
      <c r="F1729" s="32"/>
      <c r="G1729" s="74"/>
      <c r="H1729" s="32"/>
      <c r="I1729" s="32"/>
      <c r="J1729" s="32"/>
      <c r="K1729" s="74"/>
      <c r="L1729" s="35"/>
      <c r="M1729" s="32"/>
      <c r="N1729" s="32"/>
      <c r="O1729" s="59"/>
      <c r="P1729" s="73"/>
      <c r="Q1729" s="73"/>
      <c r="R1729" s="73"/>
      <c r="S1729" s="73"/>
      <c r="T1729" s="73"/>
      <c r="U1729" s="73"/>
      <c r="V1729" s="73"/>
      <c r="W1729" s="73"/>
      <c r="X1729" s="73"/>
      <c r="Y1729" s="73"/>
      <c r="Z1729" s="73"/>
      <c r="AA1729" s="73"/>
    </row>
    <row r="1730" spans="1:27" ht="12.75" customHeight="1">
      <c r="A1730" s="73"/>
      <c r="B1730" s="32"/>
      <c r="C1730" s="32"/>
      <c r="D1730" s="33"/>
      <c r="E1730" s="32"/>
      <c r="F1730" s="32"/>
      <c r="G1730" s="74"/>
      <c r="H1730" s="32"/>
      <c r="I1730" s="32"/>
      <c r="J1730" s="32"/>
      <c r="K1730" s="74"/>
      <c r="L1730" s="35"/>
      <c r="M1730" s="32"/>
      <c r="N1730" s="32"/>
      <c r="O1730" s="59"/>
      <c r="P1730" s="73"/>
      <c r="Q1730" s="73"/>
      <c r="R1730" s="73"/>
      <c r="S1730" s="73"/>
      <c r="T1730" s="73"/>
      <c r="U1730" s="73"/>
      <c r="V1730" s="73"/>
      <c r="W1730" s="73"/>
      <c r="X1730" s="73"/>
      <c r="Y1730" s="73"/>
      <c r="Z1730" s="73"/>
      <c r="AA1730" s="73"/>
    </row>
    <row r="1731" spans="1:27" ht="12.75" customHeight="1">
      <c r="A1731" s="73"/>
      <c r="B1731" s="32"/>
      <c r="C1731" s="32"/>
      <c r="D1731" s="33"/>
      <c r="E1731" s="32"/>
      <c r="F1731" s="32"/>
      <c r="G1731" s="74"/>
      <c r="H1731" s="32"/>
      <c r="I1731" s="32"/>
      <c r="J1731" s="32"/>
      <c r="K1731" s="74"/>
      <c r="L1731" s="35"/>
      <c r="M1731" s="32"/>
      <c r="N1731" s="32"/>
      <c r="O1731" s="59"/>
      <c r="P1731" s="73"/>
      <c r="Q1731" s="73"/>
      <c r="R1731" s="73"/>
      <c r="S1731" s="73"/>
      <c r="T1731" s="73"/>
      <c r="U1731" s="73"/>
      <c r="V1731" s="73"/>
      <c r="W1731" s="73"/>
      <c r="X1731" s="73"/>
      <c r="Y1731" s="73"/>
      <c r="Z1731" s="73"/>
      <c r="AA1731" s="73"/>
    </row>
    <row r="1732" spans="1:27" ht="12.75" customHeight="1">
      <c r="A1732" s="73"/>
      <c r="B1732" s="32"/>
      <c r="C1732" s="32"/>
      <c r="D1732" s="33"/>
      <c r="E1732" s="32"/>
      <c r="F1732" s="32"/>
      <c r="G1732" s="74"/>
      <c r="H1732" s="32"/>
      <c r="I1732" s="32"/>
      <c r="J1732" s="32"/>
      <c r="K1732" s="74"/>
      <c r="L1732" s="35"/>
      <c r="M1732" s="32"/>
      <c r="N1732" s="32"/>
      <c r="O1732" s="59"/>
      <c r="P1732" s="73"/>
      <c r="Q1732" s="73"/>
      <c r="R1732" s="73"/>
      <c r="S1732" s="73"/>
      <c r="T1732" s="73"/>
      <c r="U1732" s="73"/>
      <c r="V1732" s="73"/>
      <c r="W1732" s="73"/>
      <c r="X1732" s="73"/>
      <c r="Y1732" s="73"/>
      <c r="Z1732" s="73"/>
      <c r="AA1732" s="73"/>
    </row>
    <row r="1733" spans="1:27" ht="12.75" customHeight="1">
      <c r="A1733" s="73"/>
      <c r="B1733" s="32"/>
      <c r="C1733" s="32"/>
      <c r="D1733" s="33"/>
      <c r="E1733" s="32"/>
      <c r="F1733" s="32"/>
      <c r="G1733" s="74"/>
      <c r="H1733" s="32"/>
      <c r="I1733" s="32"/>
      <c r="J1733" s="32"/>
      <c r="K1733" s="74"/>
      <c r="L1733" s="35"/>
      <c r="M1733" s="32"/>
      <c r="N1733" s="32"/>
      <c r="O1733" s="59"/>
      <c r="P1733" s="73"/>
      <c r="Q1733" s="73"/>
      <c r="R1733" s="73"/>
      <c r="S1733" s="73"/>
      <c r="T1733" s="73"/>
      <c r="U1733" s="73"/>
      <c r="V1733" s="73"/>
      <c r="W1733" s="73"/>
      <c r="X1733" s="73"/>
      <c r="Y1733" s="73"/>
      <c r="Z1733" s="73"/>
      <c r="AA1733" s="73"/>
    </row>
    <row r="1734" spans="1:27" ht="12.75" customHeight="1">
      <c r="A1734" s="73"/>
      <c r="B1734" s="32"/>
      <c r="C1734" s="32"/>
      <c r="D1734" s="33"/>
      <c r="E1734" s="32"/>
      <c r="F1734" s="32"/>
      <c r="G1734" s="74"/>
      <c r="H1734" s="32"/>
      <c r="I1734" s="32"/>
      <c r="J1734" s="32"/>
      <c r="K1734" s="74"/>
      <c r="L1734" s="35"/>
      <c r="M1734" s="32"/>
      <c r="N1734" s="32"/>
      <c r="O1734" s="59"/>
      <c r="P1734" s="73"/>
      <c r="Q1734" s="73"/>
      <c r="R1734" s="73"/>
      <c r="S1734" s="73"/>
      <c r="T1734" s="73"/>
      <c r="U1734" s="73"/>
      <c r="V1734" s="73"/>
      <c r="W1734" s="73"/>
      <c r="X1734" s="73"/>
      <c r="Y1734" s="73"/>
      <c r="Z1734" s="73"/>
      <c r="AA1734" s="73"/>
    </row>
    <row r="1735" spans="1:27" ht="12.75" customHeight="1">
      <c r="A1735" s="73"/>
      <c r="B1735" s="32"/>
      <c r="C1735" s="32"/>
      <c r="D1735" s="33"/>
      <c r="E1735" s="32"/>
      <c r="F1735" s="32"/>
      <c r="G1735" s="74"/>
      <c r="H1735" s="32"/>
      <c r="I1735" s="32"/>
      <c r="J1735" s="32"/>
      <c r="K1735" s="74"/>
      <c r="L1735" s="35"/>
      <c r="M1735" s="32"/>
      <c r="N1735" s="32"/>
      <c r="O1735" s="59"/>
      <c r="P1735" s="73"/>
      <c r="Q1735" s="73"/>
      <c r="R1735" s="73"/>
      <c r="S1735" s="73"/>
      <c r="T1735" s="73"/>
      <c r="U1735" s="73"/>
      <c r="V1735" s="73"/>
      <c r="W1735" s="73"/>
      <c r="X1735" s="73"/>
      <c r="Y1735" s="73"/>
      <c r="Z1735" s="73"/>
      <c r="AA1735" s="73"/>
    </row>
    <row r="1736" spans="1:27" ht="12.75" customHeight="1">
      <c r="A1736" s="73"/>
      <c r="B1736" s="32"/>
      <c r="C1736" s="32"/>
      <c r="D1736" s="33"/>
      <c r="E1736" s="32"/>
      <c r="F1736" s="32"/>
      <c r="G1736" s="74"/>
      <c r="H1736" s="32"/>
      <c r="I1736" s="32"/>
      <c r="J1736" s="32"/>
      <c r="K1736" s="74"/>
      <c r="L1736" s="35"/>
      <c r="M1736" s="32"/>
      <c r="N1736" s="32"/>
      <c r="O1736" s="59"/>
      <c r="P1736" s="73"/>
      <c r="Q1736" s="73"/>
      <c r="R1736" s="73"/>
      <c r="S1736" s="73"/>
      <c r="T1736" s="73"/>
      <c r="U1736" s="73"/>
      <c r="V1736" s="73"/>
      <c r="W1736" s="73"/>
      <c r="X1736" s="73"/>
      <c r="Y1736" s="73"/>
      <c r="Z1736" s="73"/>
      <c r="AA1736" s="73"/>
    </row>
    <row r="1737" spans="1:27" ht="12.75" customHeight="1">
      <c r="A1737" s="73"/>
      <c r="B1737" s="32"/>
      <c r="C1737" s="32"/>
      <c r="D1737" s="33"/>
      <c r="E1737" s="32"/>
      <c r="F1737" s="32"/>
      <c r="G1737" s="74"/>
      <c r="H1737" s="32"/>
      <c r="I1737" s="32"/>
      <c r="J1737" s="32"/>
      <c r="K1737" s="74"/>
      <c r="L1737" s="35"/>
      <c r="M1737" s="32"/>
      <c r="N1737" s="32"/>
      <c r="O1737" s="59"/>
      <c r="P1737" s="73"/>
      <c r="Q1737" s="73"/>
      <c r="R1737" s="73"/>
      <c r="S1737" s="73"/>
      <c r="T1737" s="73"/>
      <c r="U1737" s="73"/>
      <c r="V1737" s="73"/>
      <c r="W1737" s="73"/>
      <c r="X1737" s="73"/>
      <c r="Y1737" s="73"/>
      <c r="Z1737" s="73"/>
      <c r="AA1737" s="73"/>
    </row>
    <row r="1738" spans="1:27" ht="12.75" customHeight="1">
      <c r="A1738" s="73"/>
      <c r="B1738" s="32"/>
      <c r="C1738" s="32"/>
      <c r="D1738" s="33"/>
      <c r="E1738" s="32"/>
      <c r="F1738" s="32"/>
      <c r="G1738" s="74"/>
      <c r="H1738" s="32"/>
      <c r="I1738" s="32"/>
      <c r="J1738" s="32"/>
      <c r="K1738" s="74"/>
      <c r="L1738" s="35"/>
      <c r="M1738" s="32"/>
      <c r="N1738" s="32"/>
      <c r="O1738" s="59"/>
      <c r="P1738" s="73"/>
      <c r="Q1738" s="73"/>
      <c r="R1738" s="73"/>
      <c r="S1738" s="73"/>
      <c r="T1738" s="73"/>
      <c r="U1738" s="73"/>
      <c r="V1738" s="73"/>
      <c r="W1738" s="73"/>
      <c r="X1738" s="73"/>
      <c r="Y1738" s="73"/>
      <c r="Z1738" s="73"/>
      <c r="AA1738" s="73"/>
    </row>
    <row r="1739" spans="1:27" ht="12.75" customHeight="1">
      <c r="A1739" s="73"/>
      <c r="B1739" s="32"/>
      <c r="C1739" s="32"/>
      <c r="D1739" s="33"/>
      <c r="E1739" s="32"/>
      <c r="F1739" s="32"/>
      <c r="G1739" s="74"/>
      <c r="H1739" s="32"/>
      <c r="I1739" s="32"/>
      <c r="J1739" s="32"/>
      <c r="K1739" s="74"/>
      <c r="L1739" s="35"/>
      <c r="M1739" s="32"/>
      <c r="N1739" s="32"/>
      <c r="O1739" s="59"/>
      <c r="P1739" s="73"/>
      <c r="Q1739" s="73"/>
      <c r="R1739" s="73"/>
      <c r="S1739" s="73"/>
      <c r="T1739" s="73"/>
      <c r="U1739" s="73"/>
      <c r="V1739" s="73"/>
      <c r="W1739" s="73"/>
      <c r="X1739" s="73"/>
      <c r="Y1739" s="73"/>
      <c r="Z1739" s="73"/>
      <c r="AA1739" s="73"/>
    </row>
    <row r="1740" spans="1:27" ht="12.75" customHeight="1">
      <c r="A1740" s="73"/>
      <c r="B1740" s="32"/>
      <c r="C1740" s="32"/>
      <c r="D1740" s="33"/>
      <c r="E1740" s="32"/>
      <c r="F1740" s="32"/>
      <c r="G1740" s="74"/>
      <c r="H1740" s="32"/>
      <c r="I1740" s="32"/>
      <c r="J1740" s="32"/>
      <c r="K1740" s="74"/>
      <c r="L1740" s="35"/>
      <c r="M1740" s="32"/>
      <c r="N1740" s="32"/>
      <c r="O1740" s="59"/>
      <c r="P1740" s="73"/>
      <c r="Q1740" s="73"/>
      <c r="R1740" s="73"/>
      <c r="S1740" s="73"/>
      <c r="T1740" s="73"/>
      <c r="U1740" s="73"/>
      <c r="V1740" s="73"/>
      <c r="W1740" s="73"/>
      <c r="X1740" s="73"/>
      <c r="Y1740" s="73"/>
      <c r="Z1740" s="73"/>
      <c r="AA1740" s="73"/>
    </row>
    <row r="1741" spans="1:27" ht="12.75" customHeight="1">
      <c r="A1741" s="73"/>
      <c r="B1741" s="32"/>
      <c r="C1741" s="32"/>
      <c r="D1741" s="33"/>
      <c r="E1741" s="32"/>
      <c r="F1741" s="32"/>
      <c r="G1741" s="74"/>
      <c r="H1741" s="32"/>
      <c r="I1741" s="32"/>
      <c r="J1741" s="32"/>
      <c r="K1741" s="74"/>
      <c r="L1741" s="35"/>
      <c r="M1741" s="32"/>
      <c r="N1741" s="32"/>
      <c r="O1741" s="59"/>
      <c r="P1741" s="73"/>
      <c r="Q1741" s="73"/>
      <c r="R1741" s="73"/>
      <c r="S1741" s="73"/>
      <c r="T1741" s="73"/>
      <c r="U1741" s="73"/>
      <c r="V1741" s="73"/>
      <c r="W1741" s="73"/>
      <c r="X1741" s="73"/>
      <c r="Y1741" s="73"/>
      <c r="Z1741" s="73"/>
      <c r="AA1741" s="73"/>
    </row>
    <row r="1742" spans="1:27" ht="12.75" customHeight="1">
      <c r="A1742" s="73"/>
      <c r="B1742" s="32"/>
      <c r="C1742" s="32"/>
      <c r="D1742" s="33"/>
      <c r="E1742" s="32"/>
      <c r="F1742" s="32"/>
      <c r="G1742" s="74"/>
      <c r="H1742" s="32"/>
      <c r="I1742" s="32"/>
      <c r="J1742" s="32"/>
      <c r="K1742" s="74"/>
      <c r="L1742" s="35"/>
      <c r="M1742" s="32"/>
      <c r="N1742" s="32"/>
      <c r="O1742" s="59"/>
      <c r="P1742" s="73"/>
      <c r="Q1742" s="73"/>
      <c r="R1742" s="73"/>
      <c r="S1742" s="73"/>
      <c r="T1742" s="73"/>
      <c r="U1742" s="73"/>
      <c r="V1742" s="73"/>
      <c r="W1742" s="73"/>
      <c r="X1742" s="73"/>
      <c r="Y1742" s="73"/>
      <c r="Z1742" s="73"/>
      <c r="AA1742" s="73"/>
    </row>
    <row r="1743" spans="1:27" ht="12.75" customHeight="1">
      <c r="A1743" s="73"/>
      <c r="B1743" s="32"/>
      <c r="C1743" s="32"/>
      <c r="D1743" s="33"/>
      <c r="E1743" s="32"/>
      <c r="F1743" s="32"/>
      <c r="G1743" s="74"/>
      <c r="H1743" s="32"/>
      <c r="I1743" s="32"/>
      <c r="J1743" s="32"/>
      <c r="K1743" s="74"/>
      <c r="L1743" s="35"/>
      <c r="M1743" s="32"/>
      <c r="N1743" s="32"/>
      <c r="O1743" s="59"/>
      <c r="P1743" s="73"/>
      <c r="Q1743" s="73"/>
      <c r="R1743" s="73"/>
      <c r="S1743" s="73"/>
      <c r="T1743" s="73"/>
      <c r="U1743" s="73"/>
      <c r="V1743" s="73"/>
      <c r="W1743" s="73"/>
      <c r="X1743" s="73"/>
      <c r="Y1743" s="73"/>
      <c r="Z1743" s="73"/>
      <c r="AA1743" s="73"/>
    </row>
    <row r="1744" spans="1:27" ht="12.75" customHeight="1">
      <c r="A1744" s="73"/>
      <c r="B1744" s="32"/>
      <c r="C1744" s="32"/>
      <c r="D1744" s="33"/>
      <c r="E1744" s="32"/>
      <c r="F1744" s="32"/>
      <c r="G1744" s="74"/>
      <c r="H1744" s="32"/>
      <c r="I1744" s="32"/>
      <c r="J1744" s="32"/>
      <c r="K1744" s="74"/>
      <c r="L1744" s="35"/>
      <c r="M1744" s="32"/>
      <c r="N1744" s="32"/>
      <c r="O1744" s="59"/>
      <c r="P1744" s="73"/>
      <c r="Q1744" s="73"/>
      <c r="R1744" s="73"/>
      <c r="S1744" s="73"/>
      <c r="T1744" s="73"/>
      <c r="U1744" s="73"/>
      <c r="V1744" s="73"/>
      <c r="W1744" s="73"/>
      <c r="X1744" s="73"/>
      <c r="Y1744" s="73"/>
      <c r="Z1744" s="73"/>
      <c r="AA1744" s="73"/>
    </row>
    <row r="1745" spans="1:27" ht="12.75" customHeight="1">
      <c r="A1745" s="73"/>
      <c r="B1745" s="32"/>
      <c r="C1745" s="32"/>
      <c r="D1745" s="33"/>
      <c r="E1745" s="32"/>
      <c r="F1745" s="32"/>
      <c r="G1745" s="74"/>
      <c r="H1745" s="32"/>
      <c r="I1745" s="32"/>
      <c r="J1745" s="32"/>
      <c r="K1745" s="74"/>
      <c r="L1745" s="35"/>
      <c r="M1745" s="32"/>
      <c r="N1745" s="32"/>
      <c r="O1745" s="59"/>
      <c r="P1745" s="73"/>
      <c r="Q1745" s="73"/>
      <c r="R1745" s="73"/>
      <c r="S1745" s="73"/>
      <c r="T1745" s="73"/>
      <c r="U1745" s="73"/>
      <c r="V1745" s="73"/>
      <c r="W1745" s="73"/>
      <c r="X1745" s="73"/>
      <c r="Y1745" s="73"/>
      <c r="Z1745" s="73"/>
      <c r="AA1745" s="73"/>
    </row>
    <row r="1746" spans="1:27" ht="12.75" customHeight="1">
      <c r="A1746" s="73"/>
      <c r="B1746" s="32"/>
      <c r="C1746" s="32"/>
      <c r="D1746" s="33"/>
      <c r="E1746" s="32"/>
      <c r="F1746" s="32"/>
      <c r="G1746" s="74"/>
      <c r="H1746" s="32"/>
      <c r="I1746" s="32"/>
      <c r="J1746" s="32"/>
      <c r="K1746" s="74"/>
      <c r="L1746" s="35"/>
      <c r="M1746" s="32"/>
      <c r="N1746" s="32"/>
      <c r="O1746" s="59"/>
      <c r="P1746" s="73"/>
      <c r="Q1746" s="73"/>
      <c r="R1746" s="73"/>
      <c r="S1746" s="73"/>
      <c r="T1746" s="73"/>
      <c r="U1746" s="73"/>
      <c r="V1746" s="73"/>
      <c r="W1746" s="73"/>
      <c r="X1746" s="73"/>
      <c r="Y1746" s="73"/>
      <c r="Z1746" s="73"/>
      <c r="AA1746" s="73"/>
    </row>
    <row r="1747" spans="1:27" ht="12.75" customHeight="1">
      <c r="A1747" s="73"/>
      <c r="B1747" s="32"/>
      <c r="C1747" s="32"/>
      <c r="D1747" s="33"/>
      <c r="E1747" s="32"/>
      <c r="F1747" s="32"/>
      <c r="G1747" s="74"/>
      <c r="H1747" s="32"/>
      <c r="I1747" s="32"/>
      <c r="J1747" s="32"/>
      <c r="K1747" s="74"/>
      <c r="L1747" s="35"/>
      <c r="M1747" s="32"/>
      <c r="N1747" s="32"/>
      <c r="O1747" s="59"/>
      <c r="P1747" s="73"/>
      <c r="Q1747" s="73"/>
      <c r="R1747" s="73"/>
      <c r="S1747" s="73"/>
      <c r="T1747" s="73"/>
      <c r="U1747" s="73"/>
      <c r="V1747" s="73"/>
      <c r="W1747" s="73"/>
      <c r="X1747" s="73"/>
      <c r="Y1747" s="73"/>
      <c r="Z1747" s="73"/>
      <c r="AA1747" s="73"/>
    </row>
    <row r="1748" spans="1:27" ht="12.75" customHeight="1">
      <c r="A1748" s="73"/>
      <c r="B1748" s="32"/>
      <c r="C1748" s="32"/>
      <c r="D1748" s="33"/>
      <c r="E1748" s="32"/>
      <c r="F1748" s="32"/>
      <c r="G1748" s="74"/>
      <c r="H1748" s="32"/>
      <c r="I1748" s="32"/>
      <c r="J1748" s="32"/>
      <c r="K1748" s="74"/>
      <c r="L1748" s="35"/>
      <c r="M1748" s="32"/>
      <c r="N1748" s="32"/>
      <c r="O1748" s="59"/>
      <c r="P1748" s="73"/>
      <c r="Q1748" s="73"/>
      <c r="R1748" s="73"/>
      <c r="S1748" s="73"/>
      <c r="T1748" s="73"/>
      <c r="U1748" s="73"/>
      <c r="V1748" s="73"/>
      <c r="W1748" s="73"/>
      <c r="X1748" s="73"/>
      <c r="Y1748" s="73"/>
      <c r="Z1748" s="73"/>
      <c r="AA1748" s="73"/>
    </row>
    <row r="1749" spans="1:27" ht="12.75" customHeight="1">
      <c r="A1749" s="73"/>
      <c r="B1749" s="32"/>
      <c r="C1749" s="32"/>
      <c r="D1749" s="33"/>
      <c r="E1749" s="32"/>
      <c r="F1749" s="32"/>
      <c r="G1749" s="74"/>
      <c r="H1749" s="32"/>
      <c r="I1749" s="32"/>
      <c r="J1749" s="32"/>
      <c r="K1749" s="74"/>
      <c r="L1749" s="35"/>
      <c r="M1749" s="32"/>
      <c r="N1749" s="32"/>
      <c r="O1749" s="59"/>
      <c r="P1749" s="73"/>
      <c r="Q1749" s="73"/>
      <c r="R1749" s="73"/>
      <c r="S1749" s="73"/>
      <c r="T1749" s="73"/>
      <c r="U1749" s="73"/>
      <c r="V1749" s="73"/>
      <c r="W1749" s="73"/>
      <c r="X1749" s="73"/>
      <c r="Y1749" s="73"/>
      <c r="Z1749" s="73"/>
      <c r="AA1749" s="73"/>
    </row>
    <row r="1750" spans="1:27" ht="12.75" customHeight="1">
      <c r="A1750" s="73"/>
      <c r="B1750" s="32"/>
      <c r="C1750" s="32"/>
      <c r="D1750" s="33"/>
      <c r="E1750" s="32"/>
      <c r="F1750" s="32"/>
      <c r="G1750" s="74"/>
      <c r="H1750" s="32"/>
      <c r="I1750" s="32"/>
      <c r="J1750" s="32"/>
      <c r="K1750" s="74"/>
      <c r="L1750" s="35"/>
      <c r="M1750" s="32"/>
      <c r="N1750" s="32"/>
      <c r="O1750" s="59"/>
      <c r="P1750" s="73"/>
      <c r="Q1750" s="73"/>
      <c r="R1750" s="73"/>
      <c r="S1750" s="73"/>
      <c r="T1750" s="73"/>
      <c r="U1750" s="73"/>
      <c r="V1750" s="73"/>
      <c r="W1750" s="73"/>
      <c r="X1750" s="73"/>
      <c r="Y1750" s="73"/>
      <c r="Z1750" s="73"/>
      <c r="AA1750" s="73"/>
    </row>
    <row r="1751" spans="1:27" ht="12.75" customHeight="1">
      <c r="A1751" s="73"/>
      <c r="B1751" s="32"/>
      <c r="C1751" s="32"/>
      <c r="D1751" s="33"/>
      <c r="E1751" s="32"/>
      <c r="F1751" s="32"/>
      <c r="G1751" s="74"/>
      <c r="H1751" s="32"/>
      <c r="I1751" s="32"/>
      <c r="J1751" s="32"/>
      <c r="K1751" s="74"/>
      <c r="L1751" s="35"/>
      <c r="M1751" s="32"/>
      <c r="N1751" s="32"/>
      <c r="O1751" s="59"/>
      <c r="P1751" s="73"/>
      <c r="Q1751" s="73"/>
      <c r="R1751" s="73"/>
      <c r="S1751" s="73"/>
      <c r="T1751" s="73"/>
      <c r="U1751" s="73"/>
      <c r="V1751" s="73"/>
      <c r="W1751" s="73"/>
      <c r="X1751" s="73"/>
      <c r="Y1751" s="73"/>
      <c r="Z1751" s="73"/>
      <c r="AA1751" s="73"/>
    </row>
    <row r="1752" spans="1:27" ht="12.75" customHeight="1">
      <c r="A1752" s="73"/>
      <c r="B1752" s="32"/>
      <c r="C1752" s="32"/>
      <c r="D1752" s="33"/>
      <c r="E1752" s="32"/>
      <c r="F1752" s="32"/>
      <c r="G1752" s="74"/>
      <c r="H1752" s="32"/>
      <c r="I1752" s="32"/>
      <c r="J1752" s="32"/>
      <c r="K1752" s="74"/>
      <c r="L1752" s="35"/>
      <c r="M1752" s="32"/>
      <c r="N1752" s="32"/>
      <c r="O1752" s="59"/>
      <c r="P1752" s="73"/>
      <c r="Q1752" s="73"/>
      <c r="R1752" s="73"/>
      <c r="S1752" s="73"/>
      <c r="T1752" s="73"/>
      <c r="U1752" s="73"/>
      <c r="V1752" s="73"/>
      <c r="W1752" s="73"/>
      <c r="X1752" s="73"/>
      <c r="Y1752" s="73"/>
      <c r="Z1752" s="73"/>
      <c r="AA1752" s="73"/>
    </row>
    <row r="1753" spans="1:27" ht="12.75" customHeight="1">
      <c r="A1753" s="73"/>
      <c r="B1753" s="32"/>
      <c r="C1753" s="32"/>
      <c r="D1753" s="33"/>
      <c r="E1753" s="32"/>
      <c r="F1753" s="32"/>
      <c r="G1753" s="74"/>
      <c r="H1753" s="32"/>
      <c r="I1753" s="32"/>
      <c r="J1753" s="32"/>
      <c r="K1753" s="74"/>
      <c r="L1753" s="35"/>
      <c r="M1753" s="32"/>
      <c r="N1753" s="32"/>
      <c r="O1753" s="59"/>
      <c r="P1753" s="73"/>
      <c r="Q1753" s="73"/>
      <c r="R1753" s="73"/>
      <c r="S1753" s="73"/>
      <c r="T1753" s="73"/>
      <c r="U1753" s="73"/>
      <c r="V1753" s="73"/>
      <c r="W1753" s="73"/>
      <c r="X1753" s="73"/>
      <c r="Y1753" s="73"/>
      <c r="Z1753" s="73"/>
      <c r="AA1753" s="73"/>
    </row>
    <row r="1754" spans="1:27" ht="12.75" customHeight="1">
      <c r="A1754" s="73"/>
      <c r="B1754" s="32"/>
      <c r="C1754" s="32"/>
      <c r="D1754" s="33"/>
      <c r="E1754" s="32"/>
      <c r="F1754" s="32"/>
      <c r="G1754" s="74"/>
      <c r="H1754" s="32"/>
      <c r="I1754" s="32"/>
      <c r="J1754" s="32"/>
      <c r="K1754" s="74"/>
      <c r="L1754" s="35"/>
      <c r="M1754" s="32"/>
      <c r="N1754" s="32"/>
      <c r="O1754" s="59"/>
      <c r="P1754" s="73"/>
      <c r="Q1754" s="73"/>
      <c r="R1754" s="73"/>
      <c r="S1754" s="73"/>
      <c r="T1754" s="73"/>
      <c r="U1754" s="73"/>
      <c r="V1754" s="73"/>
      <c r="W1754" s="73"/>
      <c r="X1754" s="73"/>
      <c r="Y1754" s="73"/>
      <c r="Z1754" s="73"/>
      <c r="AA1754" s="73"/>
    </row>
    <row r="1755" spans="1:27" ht="12.75" customHeight="1">
      <c r="A1755" s="73"/>
      <c r="B1755" s="32"/>
      <c r="C1755" s="32"/>
      <c r="D1755" s="33"/>
      <c r="E1755" s="32"/>
      <c r="F1755" s="32"/>
      <c r="G1755" s="74"/>
      <c r="H1755" s="32"/>
      <c r="I1755" s="32"/>
      <c r="J1755" s="32"/>
      <c r="K1755" s="74"/>
      <c r="L1755" s="35"/>
      <c r="M1755" s="32"/>
      <c r="N1755" s="32"/>
      <c r="O1755" s="59"/>
      <c r="P1755" s="73"/>
      <c r="Q1755" s="73"/>
      <c r="R1755" s="73"/>
      <c r="S1755" s="73"/>
      <c r="T1755" s="73"/>
      <c r="U1755" s="73"/>
      <c r="V1755" s="73"/>
      <c r="W1755" s="73"/>
      <c r="X1755" s="73"/>
      <c r="Y1755" s="73"/>
      <c r="Z1755" s="73"/>
      <c r="AA1755" s="73"/>
    </row>
    <row r="1756" spans="1:27" ht="12.75" customHeight="1">
      <c r="A1756" s="73"/>
      <c r="B1756" s="32"/>
      <c r="C1756" s="32"/>
      <c r="D1756" s="33"/>
      <c r="E1756" s="32"/>
      <c r="F1756" s="32"/>
      <c r="G1756" s="74"/>
      <c r="H1756" s="32"/>
      <c r="I1756" s="32"/>
      <c r="J1756" s="32"/>
      <c r="K1756" s="74"/>
      <c r="L1756" s="35"/>
      <c r="M1756" s="32"/>
      <c r="N1756" s="32"/>
      <c r="O1756" s="59"/>
      <c r="P1756" s="73"/>
      <c r="Q1756" s="73"/>
      <c r="R1756" s="73"/>
      <c r="S1756" s="73"/>
      <c r="T1756" s="73"/>
      <c r="U1756" s="73"/>
      <c r="V1756" s="73"/>
      <c r="W1756" s="73"/>
      <c r="X1756" s="73"/>
      <c r="Y1756" s="73"/>
      <c r="Z1756" s="73"/>
      <c r="AA1756" s="73"/>
    </row>
    <row r="1757" spans="1:27" ht="12.75" customHeight="1">
      <c r="A1757" s="73"/>
      <c r="B1757" s="32"/>
      <c r="C1757" s="32"/>
      <c r="D1757" s="33"/>
      <c r="E1757" s="32"/>
      <c r="F1757" s="32"/>
      <c r="G1757" s="74"/>
      <c r="H1757" s="32"/>
      <c r="I1757" s="32"/>
      <c r="J1757" s="32"/>
      <c r="K1757" s="74"/>
      <c r="L1757" s="35"/>
      <c r="M1757" s="32"/>
      <c r="N1757" s="32"/>
      <c r="O1757" s="59"/>
      <c r="P1757" s="73"/>
      <c r="Q1757" s="73"/>
      <c r="R1757" s="73"/>
      <c r="S1757" s="73"/>
      <c r="T1757" s="73"/>
      <c r="U1757" s="73"/>
      <c r="V1757" s="73"/>
      <c r="W1757" s="73"/>
      <c r="X1757" s="73"/>
      <c r="Y1757" s="73"/>
      <c r="Z1757" s="73"/>
      <c r="AA1757" s="73"/>
    </row>
    <row r="1758" spans="1:27" ht="12.75" customHeight="1">
      <c r="A1758" s="73"/>
      <c r="B1758" s="32"/>
      <c r="C1758" s="32"/>
      <c r="D1758" s="33"/>
      <c r="E1758" s="32"/>
      <c r="F1758" s="32"/>
      <c r="G1758" s="74"/>
      <c r="H1758" s="32"/>
      <c r="I1758" s="32"/>
      <c r="J1758" s="32"/>
      <c r="K1758" s="74"/>
      <c r="L1758" s="35"/>
      <c r="M1758" s="32"/>
      <c r="N1758" s="32"/>
      <c r="O1758" s="59"/>
      <c r="P1758" s="73"/>
      <c r="Q1758" s="73"/>
      <c r="R1758" s="73"/>
      <c r="S1758" s="73"/>
      <c r="T1758" s="73"/>
      <c r="U1758" s="73"/>
      <c r="V1758" s="73"/>
      <c r="W1758" s="73"/>
      <c r="X1758" s="73"/>
      <c r="Y1758" s="73"/>
      <c r="Z1758" s="73"/>
      <c r="AA1758" s="73"/>
    </row>
    <row r="1759" spans="1:27" ht="12.75" customHeight="1">
      <c r="A1759" s="73"/>
      <c r="B1759" s="32"/>
      <c r="C1759" s="32"/>
      <c r="D1759" s="33"/>
      <c r="E1759" s="32"/>
      <c r="F1759" s="32"/>
      <c r="G1759" s="74"/>
      <c r="H1759" s="32"/>
      <c r="I1759" s="32"/>
      <c r="J1759" s="32"/>
      <c r="K1759" s="74"/>
      <c r="L1759" s="35"/>
      <c r="M1759" s="32"/>
      <c r="N1759" s="32"/>
      <c r="O1759" s="59"/>
      <c r="P1759" s="73"/>
      <c r="Q1759" s="73"/>
      <c r="R1759" s="73"/>
      <c r="S1759" s="73"/>
      <c r="T1759" s="73"/>
      <c r="U1759" s="73"/>
      <c r="V1759" s="73"/>
      <c r="W1759" s="73"/>
      <c r="X1759" s="73"/>
      <c r="Y1759" s="73"/>
      <c r="Z1759" s="73"/>
      <c r="AA1759" s="73"/>
    </row>
    <row r="1760" spans="1:27" ht="12.75" customHeight="1">
      <c r="A1760" s="73"/>
      <c r="B1760" s="32"/>
      <c r="C1760" s="32"/>
      <c r="D1760" s="33"/>
      <c r="E1760" s="32"/>
      <c r="F1760" s="32"/>
      <c r="G1760" s="74"/>
      <c r="H1760" s="32"/>
      <c r="I1760" s="32"/>
      <c r="J1760" s="32"/>
      <c r="K1760" s="74"/>
      <c r="L1760" s="35"/>
      <c r="M1760" s="32"/>
      <c r="N1760" s="32"/>
      <c r="O1760" s="59"/>
      <c r="P1760" s="73"/>
      <c r="Q1760" s="73"/>
      <c r="R1760" s="73"/>
      <c r="S1760" s="73"/>
      <c r="T1760" s="73"/>
      <c r="U1760" s="73"/>
      <c r="V1760" s="73"/>
      <c r="W1760" s="73"/>
      <c r="X1760" s="73"/>
      <c r="Y1760" s="73"/>
      <c r="Z1760" s="73"/>
      <c r="AA1760" s="73"/>
    </row>
    <row r="1761" spans="1:27" ht="12.75" customHeight="1">
      <c r="A1761" s="73"/>
      <c r="B1761" s="32"/>
      <c r="C1761" s="32"/>
      <c r="D1761" s="33"/>
      <c r="E1761" s="32"/>
      <c r="F1761" s="32"/>
      <c r="G1761" s="74"/>
      <c r="H1761" s="32"/>
      <c r="I1761" s="32"/>
      <c r="J1761" s="32"/>
      <c r="K1761" s="74"/>
      <c r="L1761" s="35"/>
      <c r="M1761" s="32"/>
      <c r="N1761" s="32"/>
      <c r="O1761" s="59"/>
      <c r="P1761" s="73"/>
      <c r="Q1761" s="73"/>
      <c r="R1761" s="73"/>
      <c r="S1761" s="73"/>
      <c r="T1761" s="73"/>
      <c r="U1761" s="73"/>
      <c r="V1761" s="73"/>
      <c r="W1761" s="73"/>
      <c r="X1761" s="73"/>
      <c r="Y1761" s="73"/>
      <c r="Z1761" s="73"/>
      <c r="AA1761" s="73"/>
    </row>
    <row r="1762" spans="1:27" ht="12.75" customHeight="1">
      <c r="A1762" s="73"/>
      <c r="B1762" s="32"/>
      <c r="C1762" s="32"/>
      <c r="D1762" s="33"/>
      <c r="E1762" s="32"/>
      <c r="F1762" s="32"/>
      <c r="G1762" s="74"/>
      <c r="H1762" s="32"/>
      <c r="I1762" s="32"/>
      <c r="J1762" s="32"/>
      <c r="K1762" s="74"/>
      <c r="L1762" s="35"/>
      <c r="M1762" s="32"/>
      <c r="N1762" s="32"/>
      <c r="O1762" s="59"/>
      <c r="P1762" s="73"/>
      <c r="Q1762" s="73"/>
      <c r="R1762" s="73"/>
      <c r="S1762" s="73"/>
      <c r="T1762" s="73"/>
      <c r="U1762" s="73"/>
      <c r="V1762" s="73"/>
      <c r="W1762" s="73"/>
      <c r="X1762" s="73"/>
      <c r="Y1762" s="73"/>
      <c r="Z1762" s="73"/>
      <c r="AA1762" s="73"/>
    </row>
    <row r="1763" spans="1:27" ht="12.75" customHeight="1">
      <c r="A1763" s="73"/>
      <c r="B1763" s="32"/>
      <c r="C1763" s="32"/>
      <c r="D1763" s="33"/>
      <c r="E1763" s="32"/>
      <c r="F1763" s="32"/>
      <c r="G1763" s="74"/>
      <c r="H1763" s="32"/>
      <c r="I1763" s="32"/>
      <c r="J1763" s="32"/>
      <c r="K1763" s="74"/>
      <c r="L1763" s="35"/>
      <c r="M1763" s="32"/>
      <c r="N1763" s="32"/>
      <c r="O1763" s="59"/>
      <c r="P1763" s="73"/>
      <c r="Q1763" s="73"/>
      <c r="R1763" s="73"/>
      <c r="S1763" s="73"/>
      <c r="T1763" s="73"/>
      <c r="U1763" s="73"/>
      <c r="V1763" s="73"/>
      <c r="W1763" s="73"/>
      <c r="X1763" s="73"/>
      <c r="Y1763" s="73"/>
      <c r="Z1763" s="73"/>
      <c r="AA1763" s="73"/>
    </row>
    <row r="1764" spans="1:27" ht="12.75" customHeight="1">
      <c r="A1764" s="73"/>
      <c r="B1764" s="32"/>
      <c r="C1764" s="32"/>
      <c r="D1764" s="33"/>
      <c r="E1764" s="32"/>
      <c r="F1764" s="32"/>
      <c r="G1764" s="74"/>
      <c r="H1764" s="32"/>
      <c r="I1764" s="32"/>
      <c r="J1764" s="32"/>
      <c r="K1764" s="74"/>
      <c r="L1764" s="35"/>
      <c r="M1764" s="32"/>
      <c r="N1764" s="32"/>
      <c r="O1764" s="59"/>
      <c r="P1764" s="73"/>
      <c r="Q1764" s="73"/>
      <c r="R1764" s="73"/>
      <c r="S1764" s="73"/>
      <c r="T1764" s="73"/>
      <c r="U1764" s="73"/>
      <c r="V1764" s="73"/>
      <c r="W1764" s="73"/>
      <c r="X1764" s="73"/>
      <c r="Y1764" s="73"/>
      <c r="Z1764" s="73"/>
      <c r="AA1764" s="73"/>
    </row>
    <row r="1765" spans="1:27" ht="12.75" customHeight="1">
      <c r="A1765" s="73"/>
      <c r="B1765" s="32"/>
      <c r="C1765" s="32"/>
      <c r="D1765" s="33"/>
      <c r="E1765" s="32"/>
      <c r="F1765" s="32"/>
      <c r="G1765" s="74"/>
      <c r="H1765" s="32"/>
      <c r="I1765" s="32"/>
      <c r="J1765" s="32"/>
      <c r="K1765" s="74"/>
      <c r="L1765" s="35"/>
      <c r="M1765" s="32"/>
      <c r="N1765" s="32"/>
      <c r="O1765" s="59"/>
      <c r="P1765" s="73"/>
      <c r="Q1765" s="73"/>
      <c r="R1765" s="73"/>
      <c r="S1765" s="73"/>
      <c r="T1765" s="73"/>
      <c r="U1765" s="73"/>
      <c r="V1765" s="73"/>
      <c r="W1765" s="73"/>
      <c r="X1765" s="73"/>
      <c r="Y1765" s="73"/>
      <c r="Z1765" s="73"/>
      <c r="AA1765" s="73"/>
    </row>
    <row r="1766" spans="1:27" ht="12.75" customHeight="1">
      <c r="A1766" s="73"/>
      <c r="B1766" s="32"/>
      <c r="C1766" s="32"/>
      <c r="D1766" s="33"/>
      <c r="E1766" s="32"/>
      <c r="F1766" s="32"/>
      <c r="G1766" s="74"/>
      <c r="H1766" s="32"/>
      <c r="I1766" s="32"/>
      <c r="J1766" s="32"/>
      <c r="K1766" s="74"/>
      <c r="L1766" s="35"/>
      <c r="M1766" s="32"/>
      <c r="N1766" s="32"/>
      <c r="O1766" s="59"/>
      <c r="P1766" s="73"/>
      <c r="Q1766" s="73"/>
      <c r="R1766" s="73"/>
      <c r="S1766" s="73"/>
      <c r="T1766" s="73"/>
      <c r="U1766" s="73"/>
      <c r="V1766" s="73"/>
      <c r="W1766" s="73"/>
      <c r="X1766" s="73"/>
      <c r="Y1766" s="73"/>
      <c r="Z1766" s="73"/>
      <c r="AA1766" s="73"/>
    </row>
    <row r="1767" spans="1:27" ht="12.75" customHeight="1">
      <c r="A1767" s="73"/>
      <c r="B1767" s="32"/>
      <c r="C1767" s="32"/>
      <c r="D1767" s="33"/>
      <c r="E1767" s="32"/>
      <c r="F1767" s="32"/>
      <c r="G1767" s="74"/>
      <c r="H1767" s="32"/>
      <c r="I1767" s="32"/>
      <c r="J1767" s="32"/>
      <c r="K1767" s="74"/>
      <c r="L1767" s="35"/>
      <c r="M1767" s="32"/>
      <c r="N1767" s="32"/>
      <c r="O1767" s="59"/>
      <c r="P1767" s="73"/>
      <c r="Q1767" s="73"/>
      <c r="R1767" s="73"/>
      <c r="S1767" s="73"/>
      <c r="T1767" s="73"/>
      <c r="U1767" s="73"/>
      <c r="V1767" s="73"/>
      <c r="W1767" s="73"/>
      <c r="X1767" s="73"/>
      <c r="Y1767" s="73"/>
      <c r="Z1767" s="73"/>
      <c r="AA1767" s="73"/>
    </row>
    <row r="1768" spans="1:27" ht="12.75" customHeight="1">
      <c r="A1768" s="73"/>
      <c r="B1768" s="32"/>
      <c r="C1768" s="32"/>
      <c r="D1768" s="33"/>
      <c r="E1768" s="32"/>
      <c r="F1768" s="32"/>
      <c r="G1768" s="74"/>
      <c r="H1768" s="32"/>
      <c r="I1768" s="32"/>
      <c r="J1768" s="32"/>
      <c r="K1768" s="74"/>
      <c r="L1768" s="35"/>
      <c r="M1768" s="32"/>
      <c r="N1768" s="32"/>
      <c r="O1768" s="59"/>
      <c r="P1768" s="73"/>
      <c r="Q1768" s="73"/>
      <c r="R1768" s="73"/>
      <c r="S1768" s="73"/>
      <c r="T1768" s="73"/>
      <c r="U1768" s="73"/>
      <c r="V1768" s="73"/>
      <c r="W1768" s="73"/>
      <c r="X1768" s="73"/>
      <c r="Y1768" s="73"/>
      <c r="Z1768" s="73"/>
      <c r="AA1768" s="73"/>
    </row>
    <row r="1769" spans="1:27" ht="12.75" customHeight="1">
      <c r="A1769" s="73"/>
      <c r="B1769" s="32"/>
      <c r="C1769" s="32"/>
      <c r="D1769" s="33"/>
      <c r="E1769" s="32"/>
      <c r="F1769" s="32"/>
      <c r="G1769" s="74"/>
      <c r="H1769" s="32"/>
      <c r="I1769" s="32"/>
      <c r="J1769" s="32"/>
      <c r="K1769" s="74"/>
      <c r="L1769" s="35"/>
      <c r="M1769" s="32"/>
      <c r="N1769" s="32"/>
      <c r="O1769" s="59"/>
      <c r="P1769" s="73"/>
      <c r="Q1769" s="73"/>
      <c r="R1769" s="73"/>
      <c r="S1769" s="73"/>
      <c r="T1769" s="73"/>
      <c r="U1769" s="73"/>
      <c r="V1769" s="73"/>
      <c r="W1769" s="73"/>
      <c r="X1769" s="73"/>
      <c r="Y1769" s="73"/>
      <c r="Z1769" s="73"/>
      <c r="AA1769" s="73"/>
    </row>
    <row r="1770" spans="1:27" ht="12.75" customHeight="1">
      <c r="A1770" s="73"/>
      <c r="B1770" s="32"/>
      <c r="C1770" s="32"/>
      <c r="D1770" s="33"/>
      <c r="E1770" s="32"/>
      <c r="F1770" s="32"/>
      <c r="G1770" s="74"/>
      <c r="H1770" s="32"/>
      <c r="I1770" s="32"/>
      <c r="J1770" s="32"/>
      <c r="K1770" s="74"/>
      <c r="L1770" s="35"/>
      <c r="M1770" s="32"/>
      <c r="N1770" s="32"/>
      <c r="O1770" s="59"/>
      <c r="P1770" s="73"/>
      <c r="Q1770" s="73"/>
      <c r="R1770" s="73"/>
      <c r="S1770" s="73"/>
      <c r="T1770" s="73"/>
      <c r="U1770" s="73"/>
      <c r="V1770" s="73"/>
      <c r="W1770" s="73"/>
      <c r="X1770" s="73"/>
      <c r="Y1770" s="73"/>
      <c r="Z1770" s="73"/>
      <c r="AA1770" s="73"/>
    </row>
    <row r="1771" spans="1:27" ht="12.75" customHeight="1">
      <c r="A1771" s="73"/>
      <c r="B1771" s="32"/>
      <c r="C1771" s="32"/>
      <c r="D1771" s="33"/>
      <c r="E1771" s="32"/>
      <c r="F1771" s="32"/>
      <c r="G1771" s="74"/>
      <c r="H1771" s="32"/>
      <c r="I1771" s="32"/>
      <c r="J1771" s="32"/>
      <c r="K1771" s="74"/>
      <c r="L1771" s="35"/>
      <c r="M1771" s="32"/>
      <c r="N1771" s="32"/>
      <c r="O1771" s="59"/>
      <c r="P1771" s="73"/>
      <c r="Q1771" s="73"/>
      <c r="R1771" s="73"/>
      <c r="S1771" s="73"/>
      <c r="T1771" s="73"/>
      <c r="U1771" s="73"/>
      <c r="V1771" s="73"/>
      <c r="W1771" s="73"/>
      <c r="X1771" s="73"/>
      <c r="Y1771" s="73"/>
      <c r="Z1771" s="73"/>
      <c r="AA1771" s="73"/>
    </row>
    <row r="1772" spans="1:27" ht="12.75" customHeight="1">
      <c r="A1772" s="73"/>
      <c r="B1772" s="32"/>
      <c r="C1772" s="32"/>
      <c r="D1772" s="33"/>
      <c r="E1772" s="32"/>
      <c r="F1772" s="32"/>
      <c r="G1772" s="74"/>
      <c r="H1772" s="32"/>
      <c r="I1772" s="32"/>
      <c r="J1772" s="32"/>
      <c r="K1772" s="74"/>
      <c r="L1772" s="35"/>
      <c r="M1772" s="32"/>
      <c r="N1772" s="32"/>
      <c r="O1772" s="59"/>
      <c r="P1772" s="73"/>
      <c r="Q1772" s="73"/>
      <c r="R1772" s="73"/>
      <c r="S1772" s="73"/>
      <c r="T1772" s="73"/>
      <c r="U1772" s="73"/>
      <c r="V1772" s="73"/>
      <c r="W1772" s="73"/>
      <c r="X1772" s="73"/>
      <c r="Y1772" s="73"/>
      <c r="Z1772" s="73"/>
      <c r="AA1772" s="73"/>
    </row>
    <row r="1773" spans="1:27" ht="12.75" customHeight="1">
      <c r="A1773" s="73"/>
      <c r="B1773" s="32"/>
      <c r="C1773" s="32"/>
      <c r="D1773" s="33"/>
      <c r="E1773" s="32"/>
      <c r="F1773" s="32"/>
      <c r="G1773" s="74"/>
      <c r="H1773" s="32"/>
      <c r="I1773" s="32"/>
      <c r="J1773" s="32"/>
      <c r="K1773" s="74"/>
      <c r="L1773" s="35"/>
      <c r="M1773" s="32"/>
      <c r="N1773" s="32"/>
      <c r="O1773" s="59"/>
      <c r="P1773" s="73"/>
      <c r="Q1773" s="73"/>
      <c r="R1773" s="73"/>
      <c r="S1773" s="73"/>
      <c r="T1773" s="73"/>
      <c r="U1773" s="73"/>
      <c r="V1773" s="73"/>
      <c r="W1773" s="73"/>
      <c r="X1773" s="73"/>
      <c r="Y1773" s="73"/>
      <c r="Z1773" s="73"/>
      <c r="AA1773" s="73"/>
    </row>
    <row r="1774" spans="1:27" ht="12.75" customHeight="1">
      <c r="A1774" s="73"/>
      <c r="B1774" s="32"/>
      <c r="C1774" s="32"/>
      <c r="D1774" s="33"/>
      <c r="E1774" s="32"/>
      <c r="F1774" s="32"/>
      <c r="G1774" s="74"/>
      <c r="H1774" s="32"/>
      <c r="I1774" s="32"/>
      <c r="J1774" s="32"/>
      <c r="K1774" s="74"/>
      <c r="L1774" s="35"/>
      <c r="M1774" s="32"/>
      <c r="N1774" s="32"/>
      <c r="O1774" s="59"/>
      <c r="P1774" s="73"/>
      <c r="Q1774" s="73"/>
      <c r="R1774" s="73"/>
      <c r="S1774" s="73"/>
      <c r="T1774" s="73"/>
      <c r="U1774" s="73"/>
      <c r="V1774" s="73"/>
      <c r="W1774" s="73"/>
      <c r="X1774" s="73"/>
      <c r="Y1774" s="73"/>
      <c r="Z1774" s="73"/>
      <c r="AA1774" s="73"/>
    </row>
    <row r="1775" spans="1:27" ht="12.75" customHeight="1">
      <c r="A1775" s="73"/>
      <c r="B1775" s="32"/>
      <c r="C1775" s="32"/>
      <c r="D1775" s="33"/>
      <c r="E1775" s="32"/>
      <c r="F1775" s="32"/>
      <c r="G1775" s="74"/>
      <c r="H1775" s="32"/>
      <c r="I1775" s="32"/>
      <c r="J1775" s="32"/>
      <c r="K1775" s="74"/>
      <c r="L1775" s="35"/>
      <c r="M1775" s="32"/>
      <c r="N1775" s="32"/>
      <c r="O1775" s="59"/>
      <c r="P1775" s="73"/>
      <c r="Q1775" s="73"/>
      <c r="R1775" s="73"/>
      <c r="S1775" s="73"/>
      <c r="T1775" s="73"/>
      <c r="U1775" s="73"/>
      <c r="V1775" s="73"/>
      <c r="W1775" s="73"/>
      <c r="X1775" s="73"/>
      <c r="Y1775" s="73"/>
      <c r="Z1775" s="73"/>
      <c r="AA1775" s="73"/>
    </row>
    <row r="1776" spans="1:27" ht="12.75" customHeight="1">
      <c r="A1776" s="73"/>
      <c r="B1776" s="32"/>
      <c r="C1776" s="32"/>
      <c r="D1776" s="33"/>
      <c r="E1776" s="32"/>
      <c r="F1776" s="32"/>
      <c r="G1776" s="74"/>
      <c r="H1776" s="32"/>
      <c r="I1776" s="32"/>
      <c r="J1776" s="32"/>
      <c r="K1776" s="74"/>
      <c r="L1776" s="35"/>
      <c r="M1776" s="32"/>
      <c r="N1776" s="32"/>
      <c r="O1776" s="59"/>
      <c r="P1776" s="73"/>
      <c r="Q1776" s="73"/>
      <c r="R1776" s="73"/>
      <c r="S1776" s="73"/>
      <c r="T1776" s="73"/>
      <c r="U1776" s="73"/>
      <c r="V1776" s="73"/>
      <c r="W1776" s="73"/>
      <c r="X1776" s="73"/>
      <c r="Y1776" s="73"/>
      <c r="Z1776" s="73"/>
      <c r="AA1776" s="73"/>
    </row>
    <row r="1777" spans="1:27" ht="12.75" customHeight="1">
      <c r="A1777" s="73"/>
      <c r="B1777" s="32"/>
      <c r="C1777" s="32"/>
      <c r="D1777" s="33"/>
      <c r="E1777" s="32"/>
      <c r="F1777" s="32"/>
      <c r="G1777" s="74"/>
      <c r="H1777" s="32"/>
      <c r="I1777" s="32"/>
      <c r="J1777" s="32"/>
      <c r="K1777" s="74"/>
      <c r="L1777" s="35"/>
      <c r="M1777" s="32"/>
      <c r="N1777" s="32"/>
      <c r="O1777" s="59"/>
      <c r="P1777" s="73"/>
      <c r="Q1777" s="73"/>
      <c r="R1777" s="73"/>
      <c r="S1777" s="73"/>
      <c r="T1777" s="73"/>
      <c r="U1777" s="73"/>
      <c r="V1777" s="73"/>
      <c r="W1777" s="73"/>
      <c r="X1777" s="73"/>
      <c r="Y1777" s="73"/>
      <c r="Z1777" s="73"/>
      <c r="AA1777" s="73"/>
    </row>
    <row r="1778" spans="1:27" ht="12.75" customHeight="1">
      <c r="A1778" s="73"/>
      <c r="B1778" s="32"/>
      <c r="C1778" s="32"/>
      <c r="D1778" s="33"/>
      <c r="E1778" s="32"/>
      <c r="F1778" s="32"/>
      <c r="G1778" s="74"/>
      <c r="H1778" s="32"/>
      <c r="I1778" s="32"/>
      <c r="J1778" s="32"/>
      <c r="K1778" s="74"/>
      <c r="L1778" s="35"/>
      <c r="M1778" s="32"/>
      <c r="N1778" s="32"/>
      <c r="O1778" s="59"/>
      <c r="P1778" s="73"/>
      <c r="Q1778" s="73"/>
      <c r="R1778" s="73"/>
      <c r="S1778" s="73"/>
      <c r="T1778" s="73"/>
      <c r="U1778" s="73"/>
      <c r="V1778" s="73"/>
      <c r="W1778" s="73"/>
      <c r="X1778" s="73"/>
      <c r="Y1778" s="73"/>
      <c r="Z1778" s="73"/>
      <c r="AA1778" s="73"/>
    </row>
    <row r="1779" spans="1:27" ht="12.75" customHeight="1">
      <c r="A1779" s="73"/>
      <c r="B1779" s="32"/>
      <c r="C1779" s="32"/>
      <c r="D1779" s="33"/>
      <c r="E1779" s="32"/>
      <c r="F1779" s="32"/>
      <c r="G1779" s="74"/>
      <c r="H1779" s="32"/>
      <c r="I1779" s="32"/>
      <c r="J1779" s="32"/>
      <c r="K1779" s="74"/>
      <c r="L1779" s="35"/>
      <c r="M1779" s="32"/>
      <c r="N1779" s="32"/>
      <c r="O1779" s="59"/>
      <c r="P1779" s="73"/>
      <c r="Q1779" s="73"/>
      <c r="R1779" s="73"/>
      <c r="S1779" s="73"/>
      <c r="T1779" s="73"/>
      <c r="U1779" s="73"/>
      <c r="V1779" s="73"/>
      <c r="W1779" s="73"/>
      <c r="X1779" s="73"/>
      <c r="Y1779" s="73"/>
      <c r="Z1779" s="73"/>
      <c r="AA1779" s="73"/>
    </row>
    <row r="1780" spans="1:27" ht="12.75" customHeight="1">
      <c r="A1780" s="73"/>
      <c r="B1780" s="32"/>
      <c r="C1780" s="32"/>
      <c r="D1780" s="33"/>
      <c r="E1780" s="32"/>
      <c r="F1780" s="32"/>
      <c r="G1780" s="74"/>
      <c r="H1780" s="32"/>
      <c r="I1780" s="32"/>
      <c r="J1780" s="32"/>
      <c r="K1780" s="74"/>
      <c r="L1780" s="35"/>
      <c r="M1780" s="32"/>
      <c r="N1780" s="32"/>
      <c r="O1780" s="59"/>
      <c r="P1780" s="73"/>
      <c r="Q1780" s="73"/>
      <c r="R1780" s="73"/>
      <c r="S1780" s="73"/>
      <c r="T1780" s="73"/>
      <c r="U1780" s="73"/>
      <c r="V1780" s="73"/>
      <c r="W1780" s="73"/>
      <c r="X1780" s="73"/>
      <c r="Y1780" s="73"/>
      <c r="Z1780" s="73"/>
      <c r="AA1780" s="73"/>
    </row>
    <row r="1781" spans="1:27" ht="12.75" customHeight="1">
      <c r="A1781" s="73"/>
      <c r="B1781" s="32"/>
      <c r="C1781" s="32"/>
      <c r="D1781" s="33"/>
      <c r="E1781" s="32"/>
      <c r="F1781" s="32"/>
      <c r="G1781" s="74"/>
      <c r="H1781" s="32"/>
      <c r="I1781" s="32"/>
      <c r="J1781" s="32"/>
      <c r="K1781" s="74"/>
      <c r="L1781" s="35"/>
      <c r="M1781" s="32"/>
      <c r="N1781" s="32"/>
      <c r="O1781" s="59"/>
      <c r="P1781" s="73"/>
      <c r="Q1781" s="73"/>
      <c r="R1781" s="73"/>
      <c r="S1781" s="73"/>
      <c r="T1781" s="73"/>
      <c r="U1781" s="73"/>
      <c r="V1781" s="73"/>
      <c r="W1781" s="73"/>
      <c r="X1781" s="73"/>
      <c r="Y1781" s="73"/>
      <c r="Z1781" s="73"/>
      <c r="AA1781" s="73"/>
    </row>
    <row r="1782" spans="1:27" ht="12.75" customHeight="1">
      <c r="A1782" s="73"/>
      <c r="B1782" s="32"/>
      <c r="C1782" s="32"/>
      <c r="D1782" s="33"/>
      <c r="E1782" s="32"/>
      <c r="F1782" s="32"/>
      <c r="G1782" s="74"/>
      <c r="H1782" s="32"/>
      <c r="I1782" s="32"/>
      <c r="J1782" s="32"/>
      <c r="K1782" s="74"/>
      <c r="L1782" s="35"/>
      <c r="M1782" s="32"/>
      <c r="N1782" s="32"/>
      <c r="O1782" s="59"/>
      <c r="P1782" s="73"/>
      <c r="Q1782" s="73"/>
      <c r="R1782" s="73"/>
      <c r="S1782" s="73"/>
      <c r="T1782" s="73"/>
      <c r="U1782" s="73"/>
      <c r="V1782" s="73"/>
      <c r="W1782" s="73"/>
      <c r="X1782" s="73"/>
      <c r="Y1782" s="73"/>
      <c r="Z1782" s="73"/>
      <c r="AA1782" s="73"/>
    </row>
    <row r="1783" spans="1:27" ht="12.75" customHeight="1">
      <c r="A1783" s="73"/>
      <c r="B1783" s="32"/>
      <c r="C1783" s="32"/>
      <c r="D1783" s="33"/>
      <c r="E1783" s="32"/>
      <c r="F1783" s="32"/>
      <c r="G1783" s="74"/>
      <c r="H1783" s="32"/>
      <c r="I1783" s="32"/>
      <c r="J1783" s="32"/>
      <c r="K1783" s="74"/>
      <c r="L1783" s="35"/>
      <c r="M1783" s="32"/>
      <c r="N1783" s="32"/>
      <c r="O1783" s="59"/>
      <c r="P1783" s="73"/>
      <c r="Q1783" s="73"/>
      <c r="R1783" s="73"/>
      <c r="S1783" s="73"/>
      <c r="T1783" s="73"/>
      <c r="U1783" s="73"/>
      <c r="V1783" s="73"/>
      <c r="W1783" s="73"/>
      <c r="X1783" s="73"/>
      <c r="Y1783" s="73"/>
      <c r="Z1783" s="73"/>
      <c r="AA1783" s="73"/>
    </row>
    <row r="1784" spans="1:27" ht="12.75" customHeight="1">
      <c r="A1784" s="73"/>
      <c r="B1784" s="32"/>
      <c r="C1784" s="32"/>
      <c r="D1784" s="33"/>
      <c r="E1784" s="32"/>
      <c r="F1784" s="32"/>
      <c r="G1784" s="74"/>
      <c r="H1784" s="32"/>
      <c r="I1784" s="32"/>
      <c r="J1784" s="32"/>
      <c r="K1784" s="74"/>
      <c r="L1784" s="35"/>
      <c r="M1784" s="32"/>
      <c r="N1784" s="32"/>
      <c r="O1784" s="59"/>
      <c r="P1784" s="73"/>
      <c r="Q1784" s="73"/>
      <c r="R1784" s="73"/>
      <c r="S1784" s="73"/>
      <c r="T1784" s="73"/>
      <c r="U1784" s="73"/>
      <c r="V1784" s="73"/>
      <c r="W1784" s="73"/>
      <c r="X1784" s="73"/>
      <c r="Y1784" s="73"/>
      <c r="Z1784" s="73"/>
      <c r="AA1784" s="73"/>
    </row>
    <row r="1785" spans="1:27" ht="12.75" customHeight="1">
      <c r="A1785" s="73"/>
      <c r="B1785" s="32"/>
      <c r="C1785" s="32"/>
      <c r="D1785" s="33"/>
      <c r="E1785" s="32"/>
      <c r="F1785" s="32"/>
      <c r="G1785" s="74"/>
      <c r="H1785" s="32"/>
      <c r="I1785" s="32"/>
      <c r="J1785" s="32"/>
      <c r="K1785" s="74"/>
      <c r="L1785" s="35"/>
      <c r="M1785" s="32"/>
      <c r="N1785" s="32"/>
      <c r="O1785" s="59"/>
      <c r="P1785" s="73"/>
      <c r="Q1785" s="73"/>
      <c r="R1785" s="73"/>
      <c r="S1785" s="73"/>
      <c r="T1785" s="73"/>
      <c r="U1785" s="73"/>
      <c r="V1785" s="73"/>
      <c r="W1785" s="73"/>
      <c r="X1785" s="73"/>
      <c r="Y1785" s="73"/>
      <c r="Z1785" s="73"/>
      <c r="AA1785" s="73"/>
    </row>
    <row r="1786" spans="1:27" ht="12.75" customHeight="1">
      <c r="A1786" s="73"/>
      <c r="B1786" s="32"/>
      <c r="C1786" s="32"/>
      <c r="D1786" s="33"/>
      <c r="E1786" s="32"/>
      <c r="F1786" s="32"/>
      <c r="G1786" s="74"/>
      <c r="H1786" s="32"/>
      <c r="I1786" s="32"/>
      <c r="J1786" s="32"/>
      <c r="K1786" s="74"/>
      <c r="L1786" s="35"/>
      <c r="M1786" s="32"/>
      <c r="N1786" s="32"/>
      <c r="O1786" s="59"/>
      <c r="P1786" s="73"/>
      <c r="Q1786" s="73"/>
      <c r="R1786" s="73"/>
      <c r="S1786" s="73"/>
      <c r="T1786" s="73"/>
      <c r="U1786" s="73"/>
      <c r="V1786" s="73"/>
      <c r="W1786" s="73"/>
      <c r="X1786" s="73"/>
      <c r="Y1786" s="73"/>
      <c r="Z1786" s="73"/>
      <c r="AA1786" s="73"/>
    </row>
    <row r="1787" spans="1:27" ht="12.75" customHeight="1">
      <c r="A1787" s="73"/>
      <c r="B1787" s="32"/>
      <c r="C1787" s="32"/>
      <c r="D1787" s="33"/>
      <c r="E1787" s="32"/>
      <c r="F1787" s="32"/>
      <c r="G1787" s="74"/>
      <c r="H1787" s="32"/>
      <c r="I1787" s="32"/>
      <c r="J1787" s="32"/>
      <c r="K1787" s="74"/>
      <c r="L1787" s="35"/>
      <c r="M1787" s="32"/>
      <c r="N1787" s="32"/>
      <c r="O1787" s="59"/>
      <c r="P1787" s="73"/>
      <c r="Q1787" s="73"/>
      <c r="R1787" s="73"/>
      <c r="S1787" s="73"/>
      <c r="T1787" s="73"/>
      <c r="U1787" s="73"/>
      <c r="V1787" s="73"/>
      <c r="W1787" s="73"/>
      <c r="X1787" s="73"/>
      <c r="Y1787" s="73"/>
      <c r="Z1787" s="73"/>
      <c r="AA1787" s="73"/>
    </row>
    <row r="1788" spans="1:27" ht="12.75" customHeight="1">
      <c r="A1788" s="73"/>
      <c r="B1788" s="32"/>
      <c r="C1788" s="32"/>
      <c r="D1788" s="33"/>
      <c r="E1788" s="32"/>
      <c r="F1788" s="32"/>
      <c r="G1788" s="74"/>
      <c r="H1788" s="32"/>
      <c r="I1788" s="32"/>
      <c r="J1788" s="32"/>
      <c r="K1788" s="74"/>
      <c r="L1788" s="35"/>
      <c r="M1788" s="32"/>
      <c r="N1788" s="32"/>
      <c r="O1788" s="59"/>
      <c r="P1788" s="73"/>
      <c r="Q1788" s="73"/>
      <c r="R1788" s="73"/>
      <c r="S1788" s="73"/>
      <c r="T1788" s="73"/>
      <c r="U1788" s="73"/>
      <c r="V1788" s="73"/>
      <c r="W1788" s="73"/>
      <c r="X1788" s="73"/>
      <c r="Y1788" s="73"/>
      <c r="Z1788" s="73"/>
      <c r="AA1788" s="73"/>
    </row>
    <row r="1789" spans="1:27" ht="12.75" customHeight="1">
      <c r="A1789" s="73"/>
      <c r="B1789" s="32"/>
      <c r="C1789" s="32"/>
      <c r="D1789" s="33"/>
      <c r="E1789" s="32"/>
      <c r="F1789" s="32"/>
      <c r="G1789" s="74"/>
      <c r="H1789" s="32"/>
      <c r="I1789" s="32"/>
      <c r="J1789" s="32"/>
      <c r="K1789" s="74"/>
      <c r="L1789" s="35"/>
      <c r="M1789" s="32"/>
      <c r="N1789" s="32"/>
      <c r="O1789" s="59"/>
      <c r="P1789" s="73"/>
      <c r="Q1789" s="73"/>
      <c r="R1789" s="73"/>
      <c r="S1789" s="73"/>
      <c r="T1789" s="73"/>
      <c r="U1789" s="73"/>
      <c r="V1789" s="73"/>
      <c r="W1789" s="73"/>
      <c r="X1789" s="73"/>
      <c r="Y1789" s="73"/>
      <c r="Z1789" s="73"/>
      <c r="AA1789" s="73"/>
    </row>
    <row r="1790" spans="1:27" ht="12.75" customHeight="1">
      <c r="A1790" s="73"/>
      <c r="B1790" s="32"/>
      <c r="C1790" s="32"/>
      <c r="D1790" s="33"/>
      <c r="E1790" s="32"/>
      <c r="F1790" s="32"/>
      <c r="G1790" s="74"/>
      <c r="H1790" s="32"/>
      <c r="I1790" s="32"/>
      <c r="J1790" s="32"/>
      <c r="K1790" s="74"/>
      <c r="L1790" s="35"/>
      <c r="M1790" s="32"/>
      <c r="N1790" s="32"/>
      <c r="O1790" s="59"/>
      <c r="P1790" s="73"/>
      <c r="Q1790" s="73"/>
      <c r="R1790" s="73"/>
      <c r="S1790" s="73"/>
      <c r="T1790" s="73"/>
      <c r="U1790" s="73"/>
      <c r="V1790" s="73"/>
      <c r="W1790" s="73"/>
      <c r="X1790" s="73"/>
      <c r="Y1790" s="73"/>
      <c r="Z1790" s="73"/>
      <c r="AA1790" s="73"/>
    </row>
    <row r="1791" spans="1:27" ht="12.75" customHeight="1">
      <c r="A1791" s="73"/>
      <c r="B1791" s="32"/>
      <c r="C1791" s="32"/>
      <c r="D1791" s="33"/>
      <c r="E1791" s="32"/>
      <c r="F1791" s="32"/>
      <c r="G1791" s="74"/>
      <c r="H1791" s="32"/>
      <c r="I1791" s="32"/>
      <c r="J1791" s="32"/>
      <c r="K1791" s="74"/>
      <c r="L1791" s="35"/>
      <c r="M1791" s="32"/>
      <c r="N1791" s="32"/>
      <c r="O1791" s="59"/>
      <c r="P1791" s="73"/>
      <c r="Q1791" s="73"/>
      <c r="R1791" s="73"/>
      <c r="S1791" s="73"/>
      <c r="T1791" s="73"/>
      <c r="U1791" s="73"/>
      <c r="V1791" s="73"/>
      <c r="W1791" s="73"/>
      <c r="X1791" s="73"/>
      <c r="Y1791" s="73"/>
      <c r="Z1791" s="73"/>
      <c r="AA1791" s="73"/>
    </row>
    <row r="1792" spans="1:27" ht="12.75" customHeight="1">
      <c r="A1792" s="73"/>
      <c r="B1792" s="32"/>
      <c r="C1792" s="32"/>
      <c r="D1792" s="33"/>
      <c r="E1792" s="32"/>
      <c r="F1792" s="32"/>
      <c r="G1792" s="74"/>
      <c r="H1792" s="32"/>
      <c r="I1792" s="32"/>
      <c r="J1792" s="32"/>
      <c r="K1792" s="74"/>
      <c r="L1792" s="35"/>
      <c r="M1792" s="32"/>
      <c r="N1792" s="32"/>
      <c r="O1792" s="59"/>
      <c r="P1792" s="73"/>
      <c r="Q1792" s="73"/>
      <c r="R1792" s="73"/>
      <c r="S1792" s="73"/>
      <c r="T1792" s="73"/>
      <c r="U1792" s="73"/>
      <c r="V1792" s="73"/>
      <c r="W1792" s="73"/>
      <c r="X1792" s="73"/>
      <c r="Y1792" s="73"/>
      <c r="Z1792" s="73"/>
      <c r="AA1792" s="73"/>
    </row>
    <row r="1793" spans="1:27" ht="12.75" customHeight="1">
      <c r="A1793" s="73"/>
      <c r="B1793" s="32"/>
      <c r="C1793" s="32"/>
      <c r="D1793" s="33"/>
      <c r="E1793" s="32"/>
      <c r="F1793" s="32"/>
      <c r="G1793" s="74"/>
      <c r="H1793" s="32"/>
      <c r="I1793" s="32"/>
      <c r="J1793" s="32"/>
      <c r="K1793" s="74"/>
      <c r="L1793" s="35"/>
      <c r="M1793" s="32"/>
      <c r="N1793" s="32"/>
      <c r="O1793" s="59"/>
      <c r="P1793" s="73"/>
      <c r="Q1793" s="73"/>
      <c r="R1793" s="73"/>
      <c r="S1793" s="73"/>
      <c r="T1793" s="73"/>
      <c r="U1793" s="73"/>
      <c r="V1793" s="73"/>
      <c r="W1793" s="73"/>
      <c r="X1793" s="73"/>
      <c r="Y1793" s="73"/>
      <c r="Z1793" s="73"/>
      <c r="AA1793" s="73"/>
    </row>
    <row r="1794" spans="1:27" ht="12.75" customHeight="1">
      <c r="A1794" s="73"/>
      <c r="B1794" s="32"/>
      <c r="C1794" s="32"/>
      <c r="D1794" s="33"/>
      <c r="E1794" s="32"/>
      <c r="F1794" s="32"/>
      <c r="G1794" s="74"/>
      <c r="H1794" s="32"/>
      <c r="I1794" s="32"/>
      <c r="J1794" s="32"/>
      <c r="K1794" s="74"/>
      <c r="L1794" s="35"/>
      <c r="M1794" s="32"/>
      <c r="N1794" s="32"/>
      <c r="O1794" s="59"/>
      <c r="P1794" s="73"/>
      <c r="Q1794" s="73"/>
      <c r="R1794" s="73"/>
      <c r="S1794" s="73"/>
      <c r="T1794" s="73"/>
      <c r="U1794" s="73"/>
      <c r="V1794" s="73"/>
      <c r="W1794" s="73"/>
      <c r="X1794" s="73"/>
      <c r="Y1794" s="73"/>
      <c r="Z1794" s="73"/>
      <c r="AA1794" s="73"/>
    </row>
    <row r="1795" spans="1:27" ht="12.75" customHeight="1">
      <c r="A1795" s="73"/>
      <c r="B1795" s="32"/>
      <c r="C1795" s="32"/>
      <c r="D1795" s="33"/>
      <c r="E1795" s="32"/>
      <c r="F1795" s="32"/>
      <c r="G1795" s="74"/>
      <c r="H1795" s="32"/>
      <c r="I1795" s="32"/>
      <c r="J1795" s="32"/>
      <c r="K1795" s="74"/>
      <c r="L1795" s="35"/>
      <c r="M1795" s="32"/>
      <c r="N1795" s="32"/>
      <c r="O1795" s="59"/>
      <c r="P1795" s="73"/>
      <c r="Q1795" s="73"/>
      <c r="R1795" s="73"/>
      <c r="S1795" s="73"/>
      <c r="T1795" s="73"/>
      <c r="U1795" s="73"/>
      <c r="V1795" s="73"/>
      <c r="W1795" s="73"/>
      <c r="X1795" s="73"/>
      <c r="Y1795" s="73"/>
      <c r="Z1795" s="73"/>
      <c r="AA1795" s="73"/>
    </row>
    <row r="1796" spans="1:27" ht="12.75" customHeight="1">
      <c r="A1796" s="73"/>
      <c r="B1796" s="32"/>
      <c r="C1796" s="32"/>
      <c r="D1796" s="33"/>
      <c r="E1796" s="32"/>
      <c r="F1796" s="32"/>
      <c r="G1796" s="74"/>
      <c r="H1796" s="32"/>
      <c r="I1796" s="32"/>
      <c r="J1796" s="32"/>
      <c r="K1796" s="74"/>
      <c r="L1796" s="35"/>
      <c r="M1796" s="32"/>
      <c r="N1796" s="32"/>
      <c r="O1796" s="59"/>
      <c r="P1796" s="73"/>
      <c r="Q1796" s="73"/>
      <c r="R1796" s="73"/>
      <c r="S1796" s="73"/>
      <c r="T1796" s="73"/>
      <c r="U1796" s="73"/>
      <c r="V1796" s="73"/>
      <c r="W1796" s="73"/>
      <c r="X1796" s="73"/>
      <c r="Y1796" s="73"/>
      <c r="Z1796" s="73"/>
      <c r="AA1796" s="73"/>
    </row>
    <row r="1797" spans="1:27" ht="12.75" customHeight="1">
      <c r="A1797" s="73"/>
      <c r="B1797" s="32"/>
      <c r="C1797" s="32"/>
      <c r="D1797" s="33"/>
      <c r="E1797" s="32"/>
      <c r="F1797" s="32"/>
      <c r="G1797" s="74"/>
      <c r="H1797" s="32"/>
      <c r="I1797" s="32"/>
      <c r="J1797" s="32"/>
      <c r="K1797" s="74"/>
      <c r="L1797" s="35"/>
      <c r="M1797" s="32"/>
      <c r="N1797" s="32"/>
      <c r="O1797" s="59"/>
      <c r="P1797" s="73"/>
      <c r="Q1797" s="73"/>
      <c r="R1797" s="73"/>
      <c r="S1797" s="73"/>
      <c r="T1797" s="73"/>
      <c r="U1797" s="73"/>
      <c r="V1797" s="73"/>
      <c r="W1797" s="73"/>
      <c r="X1797" s="73"/>
      <c r="Y1797" s="73"/>
      <c r="Z1797" s="73"/>
      <c r="AA1797" s="73"/>
    </row>
    <row r="1798" spans="1:27" ht="12.75" customHeight="1">
      <c r="A1798" s="73"/>
      <c r="B1798" s="32"/>
      <c r="C1798" s="32"/>
      <c r="D1798" s="33"/>
      <c r="E1798" s="32"/>
      <c r="F1798" s="32"/>
      <c r="G1798" s="74"/>
      <c r="H1798" s="32"/>
      <c r="I1798" s="32"/>
      <c r="J1798" s="32"/>
      <c r="K1798" s="74"/>
      <c r="L1798" s="35"/>
      <c r="M1798" s="32"/>
      <c r="N1798" s="32"/>
      <c r="O1798" s="59"/>
      <c r="P1798" s="73"/>
      <c r="Q1798" s="73"/>
      <c r="R1798" s="73"/>
      <c r="S1798" s="73"/>
      <c r="T1798" s="73"/>
      <c r="U1798" s="73"/>
      <c r="V1798" s="73"/>
      <c r="W1798" s="73"/>
      <c r="X1798" s="73"/>
      <c r="Y1798" s="73"/>
      <c r="Z1798" s="73"/>
      <c r="AA1798" s="73"/>
    </row>
    <row r="1799" spans="1:27" ht="12.75" customHeight="1">
      <c r="A1799" s="73"/>
      <c r="B1799" s="32"/>
      <c r="C1799" s="32"/>
      <c r="D1799" s="33"/>
      <c r="E1799" s="32"/>
      <c r="F1799" s="32"/>
      <c r="G1799" s="74"/>
      <c r="H1799" s="32"/>
      <c r="I1799" s="32"/>
      <c r="J1799" s="32"/>
      <c r="K1799" s="74"/>
      <c r="L1799" s="35"/>
      <c r="M1799" s="32"/>
      <c r="N1799" s="32"/>
      <c r="O1799" s="59"/>
      <c r="P1799" s="73"/>
      <c r="Q1799" s="73"/>
      <c r="R1799" s="73"/>
      <c r="S1799" s="73"/>
      <c r="T1799" s="73"/>
      <c r="U1799" s="73"/>
      <c r="V1799" s="73"/>
      <c r="W1799" s="73"/>
      <c r="X1799" s="73"/>
      <c r="Y1799" s="73"/>
      <c r="Z1799" s="73"/>
      <c r="AA1799" s="73"/>
    </row>
    <row r="1800" spans="1:27" ht="12.75" customHeight="1">
      <c r="A1800" s="73"/>
      <c r="B1800" s="32"/>
      <c r="C1800" s="32"/>
      <c r="D1800" s="33"/>
      <c r="E1800" s="32"/>
      <c r="F1800" s="32"/>
      <c r="G1800" s="74"/>
      <c r="H1800" s="32"/>
      <c r="I1800" s="32"/>
      <c r="J1800" s="32"/>
      <c r="K1800" s="74"/>
      <c r="L1800" s="35"/>
      <c r="M1800" s="32"/>
      <c r="N1800" s="32"/>
      <c r="O1800" s="59"/>
      <c r="P1800" s="73"/>
      <c r="Q1800" s="73"/>
      <c r="R1800" s="73"/>
      <c r="S1800" s="73"/>
      <c r="T1800" s="73"/>
      <c r="U1800" s="73"/>
      <c r="V1800" s="73"/>
      <c r="W1800" s="73"/>
      <c r="X1800" s="73"/>
      <c r="Y1800" s="73"/>
      <c r="Z1800" s="73"/>
      <c r="AA1800" s="73"/>
    </row>
    <row r="1801" spans="1:27" ht="12.75" customHeight="1">
      <c r="A1801" s="73"/>
      <c r="B1801" s="32"/>
      <c r="C1801" s="32"/>
      <c r="D1801" s="33"/>
      <c r="E1801" s="32"/>
      <c r="F1801" s="32"/>
      <c r="G1801" s="74"/>
      <c r="H1801" s="32"/>
      <c r="I1801" s="32"/>
      <c r="J1801" s="32"/>
      <c r="K1801" s="74"/>
      <c r="L1801" s="35"/>
      <c r="M1801" s="32"/>
      <c r="N1801" s="32"/>
      <c r="O1801" s="59"/>
      <c r="P1801" s="73"/>
      <c r="Q1801" s="73"/>
      <c r="R1801" s="73"/>
      <c r="S1801" s="73"/>
      <c r="T1801" s="73"/>
      <c r="U1801" s="73"/>
      <c r="V1801" s="73"/>
      <c r="W1801" s="73"/>
      <c r="X1801" s="73"/>
      <c r="Y1801" s="73"/>
      <c r="Z1801" s="73"/>
      <c r="AA1801" s="73"/>
    </row>
    <row r="1802" spans="1:27" ht="12.75" customHeight="1">
      <c r="A1802" s="73"/>
      <c r="B1802" s="32"/>
      <c r="C1802" s="32"/>
      <c r="D1802" s="33"/>
      <c r="E1802" s="32"/>
      <c r="F1802" s="32"/>
      <c r="G1802" s="74"/>
      <c r="H1802" s="32"/>
      <c r="I1802" s="32"/>
      <c r="J1802" s="32"/>
      <c r="K1802" s="74"/>
      <c r="L1802" s="35"/>
      <c r="M1802" s="32"/>
      <c r="N1802" s="32"/>
      <c r="O1802" s="59"/>
      <c r="P1802" s="73"/>
      <c r="Q1802" s="73"/>
      <c r="R1802" s="73"/>
      <c r="S1802" s="73"/>
      <c r="T1802" s="73"/>
      <c r="U1802" s="73"/>
      <c r="V1802" s="73"/>
      <c r="W1802" s="73"/>
      <c r="X1802" s="73"/>
      <c r="Y1802" s="73"/>
      <c r="Z1802" s="73"/>
      <c r="AA1802" s="73"/>
    </row>
    <row r="1803" spans="1:27" ht="12.75" customHeight="1">
      <c r="A1803" s="73"/>
      <c r="B1803" s="32"/>
      <c r="C1803" s="32"/>
      <c r="D1803" s="33"/>
      <c r="E1803" s="32"/>
      <c r="F1803" s="32"/>
      <c r="G1803" s="74"/>
      <c r="H1803" s="32"/>
      <c r="I1803" s="32"/>
      <c r="J1803" s="32"/>
      <c r="K1803" s="74"/>
      <c r="L1803" s="35"/>
      <c r="M1803" s="32"/>
      <c r="N1803" s="32"/>
      <c r="O1803" s="59"/>
      <c r="P1803" s="73"/>
      <c r="Q1803" s="73"/>
      <c r="R1803" s="73"/>
      <c r="S1803" s="73"/>
      <c r="T1803" s="73"/>
      <c r="U1803" s="73"/>
      <c r="V1803" s="73"/>
      <c r="W1803" s="73"/>
      <c r="X1803" s="73"/>
      <c r="Y1803" s="73"/>
      <c r="Z1803" s="73"/>
      <c r="AA1803" s="73"/>
    </row>
    <row r="1804" spans="1:27" ht="12.75" customHeight="1">
      <c r="A1804" s="73"/>
      <c r="B1804" s="32"/>
      <c r="C1804" s="32"/>
      <c r="D1804" s="33"/>
      <c r="E1804" s="32"/>
      <c r="F1804" s="32"/>
      <c r="G1804" s="74"/>
      <c r="H1804" s="32"/>
      <c r="I1804" s="32"/>
      <c r="J1804" s="32"/>
      <c r="K1804" s="74"/>
      <c r="L1804" s="35"/>
      <c r="M1804" s="32"/>
      <c r="N1804" s="32"/>
      <c r="O1804" s="59"/>
      <c r="P1804" s="73"/>
      <c r="Q1804" s="73"/>
      <c r="R1804" s="73"/>
      <c r="S1804" s="73"/>
      <c r="T1804" s="73"/>
      <c r="U1804" s="73"/>
      <c r="V1804" s="73"/>
      <c r="W1804" s="73"/>
      <c r="X1804" s="73"/>
      <c r="Y1804" s="73"/>
      <c r="Z1804" s="73"/>
      <c r="AA1804" s="73"/>
    </row>
    <row r="1805" spans="1:27" ht="12.75" customHeight="1">
      <c r="A1805" s="73"/>
      <c r="B1805" s="32"/>
      <c r="C1805" s="32"/>
      <c r="D1805" s="33"/>
      <c r="E1805" s="32"/>
      <c r="F1805" s="32"/>
      <c r="G1805" s="74"/>
      <c r="H1805" s="32"/>
      <c r="I1805" s="32"/>
      <c r="J1805" s="32"/>
      <c r="K1805" s="74"/>
      <c r="L1805" s="35"/>
      <c r="M1805" s="32"/>
      <c r="N1805" s="32"/>
      <c r="O1805" s="59"/>
      <c r="P1805" s="73"/>
      <c r="Q1805" s="73"/>
      <c r="R1805" s="73"/>
      <c r="S1805" s="73"/>
      <c r="T1805" s="73"/>
      <c r="U1805" s="73"/>
      <c r="V1805" s="73"/>
      <c r="W1805" s="73"/>
      <c r="X1805" s="73"/>
      <c r="Y1805" s="73"/>
      <c r="Z1805" s="73"/>
      <c r="AA1805" s="73"/>
    </row>
    <row r="1806" spans="1:27" ht="12.75" customHeight="1">
      <c r="A1806" s="73"/>
      <c r="B1806" s="32"/>
      <c r="C1806" s="32"/>
      <c r="D1806" s="33"/>
      <c r="E1806" s="32"/>
      <c r="F1806" s="32"/>
      <c r="G1806" s="74"/>
      <c r="H1806" s="32"/>
      <c r="I1806" s="32"/>
      <c r="J1806" s="32"/>
      <c r="K1806" s="74"/>
      <c r="L1806" s="35"/>
      <c r="M1806" s="32"/>
      <c r="N1806" s="32"/>
      <c r="O1806" s="59"/>
      <c r="P1806" s="73"/>
      <c r="Q1806" s="73"/>
      <c r="R1806" s="73"/>
      <c r="S1806" s="73"/>
      <c r="T1806" s="73"/>
      <c r="U1806" s="73"/>
      <c r="V1806" s="73"/>
      <c r="W1806" s="73"/>
      <c r="X1806" s="73"/>
      <c r="Y1806" s="73"/>
      <c r="Z1806" s="73"/>
      <c r="AA1806" s="73"/>
    </row>
    <row r="1807" spans="1:27" ht="12.75" customHeight="1">
      <c r="A1807" s="73"/>
      <c r="B1807" s="32"/>
      <c r="C1807" s="32"/>
      <c r="D1807" s="33"/>
      <c r="E1807" s="32"/>
      <c r="F1807" s="32"/>
      <c r="G1807" s="74"/>
      <c r="H1807" s="32"/>
      <c r="I1807" s="32"/>
      <c r="J1807" s="32"/>
      <c r="K1807" s="74"/>
      <c r="L1807" s="35"/>
      <c r="M1807" s="32"/>
      <c r="N1807" s="32"/>
      <c r="O1807" s="59"/>
      <c r="P1807" s="73"/>
      <c r="Q1807" s="73"/>
      <c r="R1807" s="73"/>
      <c r="S1807" s="73"/>
      <c r="T1807" s="73"/>
      <c r="U1807" s="73"/>
      <c r="V1807" s="73"/>
      <c r="W1807" s="73"/>
      <c r="X1807" s="73"/>
      <c r="Y1807" s="73"/>
      <c r="Z1807" s="73"/>
      <c r="AA1807" s="73"/>
    </row>
    <row r="1808" spans="1:27" ht="12.75" customHeight="1">
      <c r="A1808" s="73"/>
      <c r="B1808" s="32"/>
      <c r="C1808" s="32"/>
      <c r="D1808" s="33"/>
      <c r="E1808" s="32"/>
      <c r="F1808" s="32"/>
      <c r="G1808" s="74"/>
      <c r="H1808" s="32"/>
      <c r="I1808" s="32"/>
      <c r="J1808" s="32"/>
      <c r="K1808" s="74"/>
      <c r="L1808" s="35"/>
      <c r="M1808" s="32"/>
      <c r="N1808" s="32"/>
      <c r="O1808" s="59"/>
      <c r="P1808" s="73"/>
      <c r="Q1808" s="73"/>
      <c r="R1808" s="73"/>
      <c r="S1808" s="73"/>
      <c r="T1808" s="73"/>
      <c r="U1808" s="73"/>
      <c r="V1808" s="73"/>
      <c r="W1808" s="73"/>
      <c r="X1808" s="73"/>
      <c r="Y1808" s="73"/>
      <c r="Z1808" s="73"/>
      <c r="AA1808" s="73"/>
    </row>
    <row r="1809" spans="1:27" ht="12.75" customHeight="1">
      <c r="A1809" s="73"/>
      <c r="B1809" s="32"/>
      <c r="C1809" s="32"/>
      <c r="D1809" s="33"/>
      <c r="E1809" s="32"/>
      <c r="F1809" s="32"/>
      <c r="G1809" s="74"/>
      <c r="H1809" s="32"/>
      <c r="I1809" s="32"/>
      <c r="J1809" s="32"/>
      <c r="K1809" s="74"/>
      <c r="L1809" s="35"/>
      <c r="M1809" s="32"/>
      <c r="N1809" s="32"/>
      <c r="O1809" s="59"/>
      <c r="P1809" s="73"/>
      <c r="Q1809" s="73"/>
      <c r="R1809" s="73"/>
      <c r="S1809" s="73"/>
      <c r="T1809" s="73"/>
      <c r="U1809" s="73"/>
      <c r="V1809" s="73"/>
      <c r="W1809" s="73"/>
      <c r="X1809" s="73"/>
      <c r="Y1809" s="73"/>
      <c r="Z1809" s="73"/>
      <c r="AA1809" s="73"/>
    </row>
    <row r="1810" spans="1:27" ht="12.75" customHeight="1">
      <c r="A1810" s="73"/>
      <c r="B1810" s="32"/>
      <c r="C1810" s="32"/>
      <c r="D1810" s="33"/>
      <c r="E1810" s="32"/>
      <c r="F1810" s="32"/>
      <c r="G1810" s="74"/>
      <c r="H1810" s="32"/>
      <c r="I1810" s="32"/>
      <c r="J1810" s="32"/>
      <c r="K1810" s="74"/>
      <c r="L1810" s="35"/>
      <c r="M1810" s="32"/>
      <c r="N1810" s="32"/>
      <c r="O1810" s="59"/>
      <c r="P1810" s="73"/>
      <c r="Q1810" s="73"/>
      <c r="R1810" s="73"/>
      <c r="S1810" s="73"/>
      <c r="T1810" s="73"/>
      <c r="U1810" s="73"/>
      <c r="V1810" s="73"/>
      <c r="W1810" s="73"/>
      <c r="X1810" s="73"/>
      <c r="Y1810" s="73"/>
      <c r="Z1810" s="73"/>
      <c r="AA1810" s="73"/>
    </row>
    <row r="1811" spans="1:27" ht="12.75" customHeight="1">
      <c r="A1811" s="73"/>
      <c r="B1811" s="32"/>
      <c r="C1811" s="32"/>
      <c r="D1811" s="33"/>
      <c r="E1811" s="32"/>
      <c r="F1811" s="32"/>
      <c r="G1811" s="74"/>
      <c r="H1811" s="32"/>
      <c r="I1811" s="32"/>
      <c r="J1811" s="32"/>
      <c r="K1811" s="74"/>
      <c r="L1811" s="35"/>
      <c r="M1811" s="32"/>
      <c r="N1811" s="32"/>
      <c r="O1811" s="59"/>
      <c r="P1811" s="73"/>
      <c r="Q1811" s="73"/>
      <c r="R1811" s="73"/>
      <c r="S1811" s="73"/>
      <c r="T1811" s="73"/>
      <c r="U1811" s="73"/>
      <c r="V1811" s="73"/>
      <c r="W1811" s="73"/>
      <c r="X1811" s="73"/>
      <c r="Y1811" s="73"/>
      <c r="Z1811" s="73"/>
      <c r="AA1811" s="73"/>
    </row>
    <row r="1812" spans="1:27" ht="12.75" customHeight="1">
      <c r="A1812" s="73"/>
      <c r="B1812" s="32"/>
      <c r="C1812" s="32"/>
      <c r="D1812" s="33"/>
      <c r="E1812" s="32"/>
      <c r="F1812" s="32"/>
      <c r="G1812" s="74"/>
      <c r="H1812" s="32"/>
      <c r="I1812" s="32"/>
      <c r="J1812" s="32"/>
      <c r="K1812" s="74"/>
      <c r="L1812" s="35"/>
      <c r="M1812" s="32"/>
      <c r="N1812" s="32"/>
      <c r="O1812" s="59"/>
      <c r="P1812" s="73"/>
      <c r="Q1812" s="73"/>
      <c r="R1812" s="73"/>
      <c r="S1812" s="73"/>
      <c r="T1812" s="73"/>
      <c r="U1812" s="73"/>
      <c r="V1812" s="73"/>
      <c r="W1812" s="73"/>
      <c r="X1812" s="73"/>
      <c r="Y1812" s="73"/>
      <c r="Z1812" s="73"/>
      <c r="AA1812" s="73"/>
    </row>
    <row r="1813" spans="1:27" ht="12.75" customHeight="1">
      <c r="A1813" s="73"/>
      <c r="B1813" s="32"/>
      <c r="C1813" s="32"/>
      <c r="D1813" s="33"/>
      <c r="E1813" s="32"/>
      <c r="F1813" s="32"/>
      <c r="G1813" s="74"/>
      <c r="H1813" s="32"/>
      <c r="I1813" s="32"/>
      <c r="J1813" s="32"/>
      <c r="K1813" s="74"/>
      <c r="L1813" s="35"/>
      <c r="M1813" s="32"/>
      <c r="N1813" s="32"/>
      <c r="O1813" s="59"/>
      <c r="P1813" s="73"/>
      <c r="Q1813" s="73"/>
      <c r="R1813" s="73"/>
      <c r="S1813" s="73"/>
      <c r="T1813" s="73"/>
      <c r="U1813" s="73"/>
      <c r="V1813" s="73"/>
      <c r="W1813" s="73"/>
      <c r="X1813" s="73"/>
      <c r="Y1813" s="73"/>
      <c r="Z1813" s="73"/>
      <c r="AA1813" s="73"/>
    </row>
    <row r="1814" spans="1:27" ht="12.75" customHeight="1">
      <c r="A1814" s="73"/>
      <c r="B1814" s="32"/>
      <c r="C1814" s="32"/>
      <c r="D1814" s="33"/>
      <c r="E1814" s="32"/>
      <c r="F1814" s="32"/>
      <c r="G1814" s="74"/>
      <c r="H1814" s="32"/>
      <c r="I1814" s="32"/>
      <c r="J1814" s="32"/>
      <c r="K1814" s="74"/>
      <c r="L1814" s="35"/>
      <c r="M1814" s="32"/>
      <c r="N1814" s="32"/>
      <c r="O1814" s="59"/>
      <c r="P1814" s="73"/>
      <c r="Q1814" s="73"/>
      <c r="R1814" s="73"/>
      <c r="S1814" s="73"/>
      <c r="T1814" s="73"/>
      <c r="U1814" s="73"/>
      <c r="V1814" s="73"/>
      <c r="W1814" s="73"/>
      <c r="X1814" s="73"/>
      <c r="Y1814" s="73"/>
      <c r="Z1814" s="73"/>
      <c r="AA1814" s="73"/>
    </row>
    <row r="1815" spans="1:27" ht="12.75" customHeight="1">
      <c r="A1815" s="73"/>
      <c r="B1815" s="32"/>
      <c r="C1815" s="32"/>
      <c r="D1815" s="33"/>
      <c r="E1815" s="32"/>
      <c r="F1815" s="32"/>
      <c r="G1815" s="74"/>
      <c r="H1815" s="32"/>
      <c r="I1815" s="32"/>
      <c r="J1815" s="32"/>
      <c r="K1815" s="74"/>
      <c r="L1815" s="35"/>
      <c r="M1815" s="32"/>
      <c r="N1815" s="32"/>
      <c r="O1815" s="59"/>
      <c r="P1815" s="73"/>
      <c r="Q1815" s="73"/>
      <c r="R1815" s="73"/>
      <c r="S1815" s="73"/>
      <c r="T1815" s="73"/>
      <c r="U1815" s="73"/>
      <c r="V1815" s="73"/>
      <c r="W1815" s="73"/>
      <c r="X1815" s="73"/>
      <c r="Y1815" s="73"/>
      <c r="Z1815" s="73"/>
      <c r="AA1815" s="73"/>
    </row>
    <row r="1816" spans="1:27" ht="12.75" customHeight="1">
      <c r="A1816" s="73"/>
      <c r="B1816" s="32"/>
      <c r="C1816" s="32"/>
      <c r="D1816" s="33"/>
      <c r="E1816" s="32"/>
      <c r="F1816" s="32"/>
      <c r="G1816" s="74"/>
      <c r="H1816" s="32"/>
      <c r="I1816" s="32"/>
      <c r="J1816" s="32"/>
      <c r="K1816" s="74"/>
      <c r="L1816" s="35"/>
      <c r="M1816" s="32"/>
      <c r="N1816" s="32"/>
      <c r="O1816" s="59"/>
      <c r="P1816" s="73"/>
      <c r="Q1816" s="73"/>
      <c r="R1816" s="73"/>
      <c r="S1816" s="73"/>
      <c r="T1816" s="73"/>
      <c r="U1816" s="73"/>
      <c r="V1816" s="73"/>
      <c r="W1816" s="73"/>
      <c r="X1816" s="73"/>
      <c r="Y1816" s="73"/>
      <c r="Z1816" s="73"/>
      <c r="AA1816" s="73"/>
    </row>
    <row r="1817" spans="1:27" ht="12.75" customHeight="1">
      <c r="A1817" s="73"/>
      <c r="B1817" s="32"/>
      <c r="C1817" s="32"/>
      <c r="D1817" s="33"/>
      <c r="E1817" s="32"/>
      <c r="F1817" s="32"/>
      <c r="G1817" s="74"/>
      <c r="H1817" s="32"/>
      <c r="I1817" s="32"/>
      <c r="J1817" s="32"/>
      <c r="K1817" s="74"/>
      <c r="L1817" s="35"/>
      <c r="M1817" s="32"/>
      <c r="N1817" s="32"/>
      <c r="O1817" s="59"/>
      <c r="P1817" s="73"/>
      <c r="Q1817" s="73"/>
      <c r="R1817" s="73"/>
      <c r="S1817" s="73"/>
      <c r="T1817" s="73"/>
      <c r="U1817" s="73"/>
      <c r="V1817" s="73"/>
      <c r="W1817" s="73"/>
      <c r="X1817" s="73"/>
      <c r="Y1817" s="73"/>
      <c r="Z1817" s="73"/>
      <c r="AA1817" s="73"/>
    </row>
    <row r="1818" spans="1:27" ht="12.75" customHeight="1">
      <c r="A1818" s="73"/>
      <c r="B1818" s="32"/>
      <c r="C1818" s="32"/>
      <c r="D1818" s="33"/>
      <c r="E1818" s="32"/>
      <c r="F1818" s="32"/>
      <c r="G1818" s="74"/>
      <c r="H1818" s="32"/>
      <c r="I1818" s="32"/>
      <c r="J1818" s="32"/>
      <c r="K1818" s="74"/>
      <c r="L1818" s="35"/>
      <c r="M1818" s="32"/>
      <c r="N1818" s="32"/>
      <c r="O1818" s="59"/>
      <c r="P1818" s="73"/>
      <c r="Q1818" s="73"/>
      <c r="R1818" s="73"/>
      <c r="S1818" s="73"/>
      <c r="T1818" s="73"/>
      <c r="U1818" s="73"/>
      <c r="V1818" s="73"/>
      <c r="W1818" s="73"/>
      <c r="X1818" s="73"/>
      <c r="Y1818" s="73"/>
      <c r="Z1818" s="73"/>
      <c r="AA1818" s="73"/>
    </row>
    <row r="1819" spans="1:27" ht="12.75" customHeight="1">
      <c r="A1819" s="73"/>
      <c r="B1819" s="32"/>
      <c r="C1819" s="32"/>
      <c r="D1819" s="33"/>
      <c r="E1819" s="32"/>
      <c r="F1819" s="32"/>
      <c r="G1819" s="74"/>
      <c r="H1819" s="32"/>
      <c r="I1819" s="32"/>
      <c r="J1819" s="32"/>
      <c r="K1819" s="74"/>
      <c r="L1819" s="35"/>
      <c r="M1819" s="32"/>
      <c r="N1819" s="32"/>
      <c r="O1819" s="59"/>
      <c r="P1819" s="73"/>
      <c r="Q1819" s="73"/>
      <c r="R1819" s="73"/>
      <c r="S1819" s="73"/>
      <c r="T1819" s="73"/>
      <c r="U1819" s="73"/>
      <c r="V1819" s="73"/>
      <c r="W1819" s="73"/>
      <c r="X1819" s="73"/>
      <c r="Y1819" s="73"/>
      <c r="Z1819" s="73"/>
      <c r="AA1819" s="73"/>
    </row>
    <row r="1820" spans="1:27" ht="12.75" customHeight="1">
      <c r="A1820" s="73"/>
      <c r="B1820" s="32"/>
      <c r="C1820" s="32"/>
      <c r="D1820" s="33"/>
      <c r="E1820" s="32"/>
      <c r="F1820" s="32"/>
      <c r="G1820" s="74"/>
      <c r="H1820" s="32"/>
      <c r="I1820" s="32"/>
      <c r="J1820" s="32"/>
      <c r="K1820" s="74"/>
      <c r="L1820" s="35"/>
      <c r="M1820" s="32"/>
      <c r="N1820" s="32"/>
      <c r="O1820" s="59"/>
      <c r="P1820" s="73"/>
      <c r="Q1820" s="73"/>
      <c r="R1820" s="73"/>
      <c r="S1820" s="73"/>
      <c r="T1820" s="73"/>
      <c r="U1820" s="73"/>
      <c r="V1820" s="73"/>
      <c r="W1820" s="73"/>
      <c r="X1820" s="73"/>
      <c r="Y1820" s="73"/>
      <c r="Z1820" s="73"/>
      <c r="AA1820" s="73"/>
    </row>
    <row r="1821" spans="1:27" ht="12.75" customHeight="1">
      <c r="A1821" s="73"/>
      <c r="B1821" s="32"/>
      <c r="C1821" s="32"/>
      <c r="D1821" s="33"/>
      <c r="E1821" s="32"/>
      <c r="F1821" s="32"/>
      <c r="G1821" s="74"/>
      <c r="H1821" s="32"/>
      <c r="I1821" s="32"/>
      <c r="J1821" s="32"/>
      <c r="K1821" s="74"/>
      <c r="L1821" s="35"/>
      <c r="M1821" s="32"/>
      <c r="N1821" s="32"/>
      <c r="O1821" s="59"/>
      <c r="P1821" s="73"/>
      <c r="Q1821" s="73"/>
      <c r="R1821" s="73"/>
      <c r="S1821" s="73"/>
      <c r="T1821" s="73"/>
      <c r="U1821" s="73"/>
      <c r="V1821" s="73"/>
      <c r="W1821" s="73"/>
      <c r="X1821" s="73"/>
      <c r="Y1821" s="73"/>
      <c r="Z1821" s="73"/>
      <c r="AA1821" s="73"/>
    </row>
    <row r="1822" spans="1:27" ht="12.75" customHeight="1">
      <c r="A1822" s="73"/>
      <c r="B1822" s="32"/>
      <c r="C1822" s="32"/>
      <c r="D1822" s="33"/>
      <c r="E1822" s="32"/>
      <c r="F1822" s="32"/>
      <c r="G1822" s="74"/>
      <c r="H1822" s="32"/>
      <c r="I1822" s="32"/>
      <c r="J1822" s="32"/>
      <c r="K1822" s="74"/>
      <c r="L1822" s="35"/>
      <c r="M1822" s="32"/>
      <c r="N1822" s="32"/>
      <c r="O1822" s="59"/>
      <c r="P1822" s="73"/>
      <c r="Q1822" s="73"/>
      <c r="R1822" s="73"/>
      <c r="S1822" s="73"/>
      <c r="T1822" s="73"/>
      <c r="U1822" s="73"/>
      <c r="V1822" s="73"/>
      <c r="W1822" s="73"/>
      <c r="X1822" s="73"/>
      <c r="Y1822" s="73"/>
      <c r="Z1822" s="73"/>
      <c r="AA1822" s="73"/>
    </row>
    <row r="1823" spans="1:27" ht="12.75" customHeight="1">
      <c r="A1823" s="73"/>
      <c r="B1823" s="32"/>
      <c r="C1823" s="32"/>
      <c r="D1823" s="33"/>
      <c r="E1823" s="32"/>
      <c r="F1823" s="32"/>
      <c r="G1823" s="74"/>
      <c r="H1823" s="32"/>
      <c r="I1823" s="32"/>
      <c r="J1823" s="32"/>
      <c r="K1823" s="74"/>
      <c r="L1823" s="35"/>
      <c r="M1823" s="32"/>
      <c r="N1823" s="32"/>
      <c r="O1823" s="59"/>
      <c r="P1823" s="73"/>
      <c r="Q1823" s="73"/>
      <c r="R1823" s="73"/>
      <c r="S1823" s="73"/>
      <c r="T1823" s="73"/>
      <c r="U1823" s="73"/>
      <c r="V1823" s="73"/>
      <c r="W1823" s="73"/>
      <c r="X1823" s="73"/>
      <c r="Y1823" s="73"/>
      <c r="Z1823" s="73"/>
      <c r="AA1823" s="73"/>
    </row>
    <row r="1824" spans="1:27" ht="12.75" customHeight="1">
      <c r="A1824" s="73"/>
      <c r="B1824" s="32"/>
      <c r="C1824" s="32"/>
      <c r="D1824" s="33"/>
      <c r="E1824" s="32"/>
      <c r="F1824" s="32"/>
      <c r="G1824" s="74"/>
      <c r="H1824" s="32"/>
      <c r="I1824" s="32"/>
      <c r="J1824" s="32"/>
      <c r="K1824" s="74"/>
      <c r="L1824" s="35"/>
      <c r="M1824" s="32"/>
      <c r="N1824" s="32"/>
      <c r="O1824" s="59"/>
      <c r="P1824" s="73"/>
      <c r="Q1824" s="73"/>
      <c r="R1824" s="73"/>
      <c r="S1824" s="73"/>
      <c r="T1824" s="73"/>
      <c r="U1824" s="73"/>
      <c r="V1824" s="73"/>
      <c r="W1824" s="73"/>
      <c r="X1824" s="73"/>
      <c r="Y1824" s="73"/>
      <c r="Z1824" s="73"/>
      <c r="AA1824" s="73"/>
    </row>
    <row r="1825" spans="1:27" ht="12.75" customHeight="1">
      <c r="A1825" s="73"/>
      <c r="B1825" s="32"/>
      <c r="C1825" s="32"/>
      <c r="D1825" s="33"/>
      <c r="E1825" s="32"/>
      <c r="F1825" s="32"/>
      <c r="G1825" s="74"/>
      <c r="H1825" s="32"/>
      <c r="I1825" s="32"/>
      <c r="J1825" s="32"/>
      <c r="K1825" s="74"/>
      <c r="L1825" s="35"/>
      <c r="M1825" s="32"/>
      <c r="N1825" s="32"/>
      <c r="O1825" s="59"/>
      <c r="P1825" s="73"/>
      <c r="Q1825" s="73"/>
      <c r="R1825" s="73"/>
      <c r="S1825" s="73"/>
      <c r="T1825" s="73"/>
      <c r="U1825" s="73"/>
      <c r="V1825" s="73"/>
      <c r="W1825" s="73"/>
      <c r="X1825" s="73"/>
      <c r="Y1825" s="73"/>
      <c r="Z1825" s="73"/>
      <c r="AA1825" s="73"/>
    </row>
    <row r="1826" spans="1:27" ht="12.75" customHeight="1">
      <c r="A1826" s="73"/>
      <c r="B1826" s="32"/>
      <c r="C1826" s="32"/>
      <c r="D1826" s="33"/>
      <c r="E1826" s="32"/>
      <c r="F1826" s="32"/>
      <c r="G1826" s="74"/>
      <c r="H1826" s="32"/>
      <c r="I1826" s="32"/>
      <c r="J1826" s="32"/>
      <c r="K1826" s="74"/>
      <c r="L1826" s="35"/>
      <c r="M1826" s="32"/>
      <c r="N1826" s="32"/>
      <c r="O1826" s="59"/>
      <c r="P1826" s="73"/>
      <c r="Q1826" s="73"/>
      <c r="R1826" s="73"/>
      <c r="S1826" s="73"/>
      <c r="T1826" s="73"/>
      <c r="U1826" s="73"/>
      <c r="V1826" s="73"/>
      <c r="W1826" s="73"/>
      <c r="X1826" s="73"/>
      <c r="Y1826" s="73"/>
      <c r="Z1826" s="73"/>
      <c r="AA1826" s="73"/>
    </row>
    <row r="1827" spans="1:27" ht="12.75" customHeight="1">
      <c r="A1827" s="73"/>
      <c r="B1827" s="32"/>
      <c r="C1827" s="32"/>
      <c r="D1827" s="33"/>
      <c r="E1827" s="32"/>
      <c r="F1827" s="32"/>
      <c r="G1827" s="74"/>
      <c r="H1827" s="32"/>
      <c r="I1827" s="32"/>
      <c r="J1827" s="32"/>
      <c r="K1827" s="74"/>
      <c r="L1827" s="35"/>
      <c r="M1827" s="32"/>
      <c r="N1827" s="32"/>
      <c r="O1827" s="59"/>
      <c r="P1827" s="73"/>
      <c r="Q1827" s="73"/>
      <c r="R1827" s="73"/>
      <c r="S1827" s="73"/>
      <c r="T1827" s="73"/>
      <c r="U1827" s="73"/>
      <c r="V1827" s="73"/>
      <c r="W1827" s="73"/>
      <c r="X1827" s="73"/>
      <c r="Y1827" s="73"/>
      <c r="Z1827" s="73"/>
      <c r="AA1827" s="73"/>
    </row>
    <row r="1828" spans="1:27" ht="12.75" customHeight="1">
      <c r="A1828" s="73"/>
      <c r="B1828" s="32"/>
      <c r="C1828" s="32"/>
      <c r="D1828" s="33"/>
      <c r="E1828" s="32"/>
      <c r="F1828" s="32"/>
      <c r="G1828" s="74"/>
      <c r="H1828" s="32"/>
      <c r="I1828" s="32"/>
      <c r="J1828" s="32"/>
      <c r="K1828" s="74"/>
      <c r="L1828" s="35"/>
      <c r="M1828" s="32"/>
      <c r="N1828" s="32"/>
      <c r="O1828" s="59"/>
      <c r="P1828" s="73"/>
      <c r="Q1828" s="73"/>
      <c r="R1828" s="73"/>
      <c r="S1828" s="73"/>
      <c r="T1828" s="73"/>
      <c r="U1828" s="73"/>
      <c r="V1828" s="73"/>
      <c r="W1828" s="73"/>
      <c r="X1828" s="73"/>
      <c r="Y1828" s="73"/>
      <c r="Z1828" s="73"/>
      <c r="AA1828" s="73"/>
    </row>
    <row r="1829" spans="1:27" ht="12.75" customHeight="1">
      <c r="A1829" s="73"/>
      <c r="B1829" s="32"/>
      <c r="C1829" s="32"/>
      <c r="D1829" s="33"/>
      <c r="E1829" s="32"/>
      <c r="F1829" s="32"/>
      <c r="G1829" s="74"/>
      <c r="H1829" s="32"/>
      <c r="I1829" s="32"/>
      <c r="J1829" s="32"/>
      <c r="K1829" s="74"/>
      <c r="L1829" s="35"/>
      <c r="M1829" s="32"/>
      <c r="N1829" s="32"/>
      <c r="O1829" s="59"/>
      <c r="P1829" s="73"/>
      <c r="Q1829" s="73"/>
      <c r="R1829" s="73"/>
      <c r="S1829" s="73"/>
      <c r="T1829" s="73"/>
      <c r="U1829" s="73"/>
      <c r="V1829" s="73"/>
      <c r="W1829" s="73"/>
      <c r="X1829" s="73"/>
      <c r="Y1829" s="73"/>
      <c r="Z1829" s="73"/>
      <c r="AA1829" s="73"/>
    </row>
    <row r="1830" spans="1:27" ht="12.75" customHeight="1">
      <c r="A1830" s="73"/>
      <c r="B1830" s="32"/>
      <c r="C1830" s="32"/>
      <c r="D1830" s="33"/>
      <c r="E1830" s="32"/>
      <c r="F1830" s="32"/>
      <c r="G1830" s="74"/>
      <c r="H1830" s="32"/>
      <c r="I1830" s="32"/>
      <c r="J1830" s="32"/>
      <c r="K1830" s="74"/>
      <c r="L1830" s="35"/>
      <c r="M1830" s="32"/>
      <c r="N1830" s="32"/>
      <c r="O1830" s="59"/>
      <c r="P1830" s="73"/>
      <c r="Q1830" s="73"/>
      <c r="R1830" s="73"/>
      <c r="S1830" s="73"/>
      <c r="T1830" s="73"/>
      <c r="U1830" s="73"/>
      <c r="V1830" s="73"/>
      <c r="W1830" s="73"/>
      <c r="X1830" s="73"/>
      <c r="Y1830" s="73"/>
      <c r="Z1830" s="73"/>
      <c r="AA1830" s="73"/>
    </row>
    <row r="1831" spans="1:27" ht="12.75" customHeight="1">
      <c r="A1831" s="73"/>
      <c r="B1831" s="32"/>
      <c r="C1831" s="32"/>
      <c r="D1831" s="33"/>
      <c r="E1831" s="32"/>
      <c r="F1831" s="32"/>
      <c r="G1831" s="74"/>
      <c r="H1831" s="32"/>
      <c r="I1831" s="32"/>
      <c r="J1831" s="32"/>
      <c r="K1831" s="74"/>
      <c r="L1831" s="35"/>
      <c r="M1831" s="32"/>
      <c r="N1831" s="32"/>
      <c r="O1831" s="59"/>
      <c r="P1831" s="73"/>
      <c r="Q1831" s="73"/>
      <c r="R1831" s="73"/>
      <c r="S1831" s="73"/>
      <c r="T1831" s="73"/>
      <c r="U1831" s="73"/>
      <c r="V1831" s="73"/>
      <c r="W1831" s="73"/>
      <c r="X1831" s="73"/>
      <c r="Y1831" s="73"/>
      <c r="Z1831" s="73"/>
      <c r="AA1831" s="73"/>
    </row>
    <row r="1832" spans="1:27" ht="12.75" customHeight="1">
      <c r="A1832" s="73"/>
      <c r="B1832" s="32"/>
      <c r="C1832" s="32"/>
      <c r="D1832" s="33"/>
      <c r="E1832" s="32"/>
      <c r="F1832" s="32"/>
      <c r="G1832" s="74"/>
      <c r="H1832" s="32"/>
      <c r="I1832" s="32"/>
      <c r="J1832" s="32"/>
      <c r="K1832" s="74"/>
      <c r="L1832" s="35"/>
      <c r="M1832" s="32"/>
      <c r="N1832" s="32"/>
      <c r="O1832" s="59"/>
      <c r="P1832" s="73"/>
      <c r="Q1832" s="73"/>
      <c r="R1832" s="73"/>
      <c r="S1832" s="73"/>
      <c r="T1832" s="73"/>
      <c r="U1832" s="73"/>
      <c r="V1832" s="73"/>
      <c r="W1832" s="73"/>
      <c r="X1832" s="73"/>
      <c r="Y1832" s="73"/>
      <c r="Z1832" s="73"/>
      <c r="AA1832" s="73"/>
    </row>
    <row r="1833" spans="1:27" ht="12.75" customHeight="1">
      <c r="A1833" s="73"/>
      <c r="B1833" s="32"/>
      <c r="C1833" s="32"/>
      <c r="D1833" s="33"/>
      <c r="E1833" s="32"/>
      <c r="F1833" s="32"/>
      <c r="G1833" s="74"/>
      <c r="H1833" s="32"/>
      <c r="I1833" s="32"/>
      <c r="J1833" s="32"/>
      <c r="K1833" s="74"/>
      <c r="L1833" s="35"/>
      <c r="M1833" s="32"/>
      <c r="N1833" s="32"/>
      <c r="O1833" s="59"/>
      <c r="P1833" s="73"/>
      <c r="Q1833" s="73"/>
      <c r="R1833" s="73"/>
      <c r="S1833" s="73"/>
      <c r="T1833" s="73"/>
      <c r="U1833" s="73"/>
      <c r="V1833" s="73"/>
      <c r="W1833" s="73"/>
      <c r="X1833" s="73"/>
      <c r="Y1833" s="73"/>
      <c r="Z1833" s="73"/>
      <c r="AA1833" s="73"/>
    </row>
    <row r="1834" spans="1:27" ht="12.75" customHeight="1">
      <c r="A1834" s="73"/>
      <c r="B1834" s="32"/>
      <c r="C1834" s="32"/>
      <c r="D1834" s="33"/>
      <c r="E1834" s="32"/>
      <c r="F1834" s="32"/>
      <c r="G1834" s="74"/>
      <c r="H1834" s="32"/>
      <c r="I1834" s="32"/>
      <c r="J1834" s="32"/>
      <c r="K1834" s="74"/>
      <c r="L1834" s="35"/>
      <c r="M1834" s="32"/>
      <c r="N1834" s="32"/>
      <c r="O1834" s="59"/>
      <c r="P1834" s="73"/>
      <c r="Q1834" s="73"/>
      <c r="R1834" s="73"/>
      <c r="S1834" s="73"/>
      <c r="T1834" s="73"/>
      <c r="U1834" s="73"/>
      <c r="V1834" s="73"/>
      <c r="W1834" s="73"/>
      <c r="X1834" s="73"/>
      <c r="Y1834" s="73"/>
      <c r="Z1834" s="73"/>
      <c r="AA1834" s="73"/>
    </row>
    <row r="1835" spans="1:27" ht="12.75" customHeight="1">
      <c r="A1835" s="73"/>
      <c r="B1835" s="32"/>
      <c r="C1835" s="32"/>
      <c r="D1835" s="33"/>
      <c r="E1835" s="32"/>
      <c r="F1835" s="32"/>
      <c r="G1835" s="74"/>
      <c r="H1835" s="32"/>
      <c r="I1835" s="32"/>
      <c r="J1835" s="32"/>
      <c r="K1835" s="74"/>
      <c r="L1835" s="35"/>
      <c r="M1835" s="32"/>
      <c r="N1835" s="32"/>
      <c r="O1835" s="59"/>
      <c r="P1835" s="73"/>
      <c r="Q1835" s="73"/>
      <c r="R1835" s="73"/>
      <c r="S1835" s="73"/>
      <c r="T1835" s="73"/>
      <c r="U1835" s="73"/>
      <c r="V1835" s="73"/>
      <c r="W1835" s="73"/>
      <c r="X1835" s="73"/>
      <c r="Y1835" s="73"/>
      <c r="Z1835" s="73"/>
      <c r="AA1835" s="73"/>
    </row>
    <row r="1836" spans="1:27" ht="12.75" customHeight="1">
      <c r="A1836" s="73"/>
      <c r="B1836" s="32"/>
      <c r="C1836" s="32"/>
      <c r="D1836" s="33"/>
      <c r="E1836" s="32"/>
      <c r="F1836" s="32"/>
      <c r="G1836" s="74"/>
      <c r="H1836" s="32"/>
      <c r="I1836" s="32"/>
      <c r="J1836" s="32"/>
      <c r="K1836" s="74"/>
      <c r="L1836" s="35"/>
      <c r="M1836" s="32"/>
      <c r="N1836" s="32"/>
      <c r="O1836" s="59"/>
      <c r="P1836" s="73"/>
      <c r="Q1836" s="73"/>
      <c r="R1836" s="73"/>
      <c r="S1836" s="73"/>
      <c r="T1836" s="73"/>
      <c r="U1836" s="73"/>
      <c r="V1836" s="73"/>
      <c r="W1836" s="73"/>
      <c r="X1836" s="73"/>
      <c r="Y1836" s="73"/>
      <c r="Z1836" s="73"/>
      <c r="AA1836" s="73"/>
    </row>
    <row r="1837" spans="1:27" ht="12.75" customHeight="1">
      <c r="A1837" s="73"/>
      <c r="B1837" s="32"/>
      <c r="C1837" s="32"/>
      <c r="D1837" s="33"/>
      <c r="E1837" s="32"/>
      <c r="F1837" s="32"/>
      <c r="G1837" s="74"/>
      <c r="H1837" s="32"/>
      <c r="I1837" s="32"/>
      <c r="J1837" s="32"/>
      <c r="K1837" s="74"/>
      <c r="L1837" s="35"/>
      <c r="M1837" s="32"/>
      <c r="N1837" s="32"/>
      <c r="O1837" s="59"/>
      <c r="P1837" s="73"/>
      <c r="Q1837" s="73"/>
      <c r="R1837" s="73"/>
      <c r="S1837" s="73"/>
      <c r="T1837" s="73"/>
      <c r="U1837" s="73"/>
      <c r="V1837" s="73"/>
      <c r="W1837" s="73"/>
      <c r="X1837" s="73"/>
      <c r="Y1837" s="73"/>
      <c r="Z1837" s="73"/>
      <c r="AA1837" s="73"/>
    </row>
    <row r="1838" spans="1:27" ht="12.75" customHeight="1">
      <c r="A1838" s="73"/>
      <c r="B1838" s="32"/>
      <c r="C1838" s="32"/>
      <c r="D1838" s="33"/>
      <c r="E1838" s="32"/>
      <c r="F1838" s="32"/>
      <c r="G1838" s="74"/>
      <c r="H1838" s="32"/>
      <c r="I1838" s="32"/>
      <c r="J1838" s="32"/>
      <c r="K1838" s="74"/>
      <c r="L1838" s="35"/>
      <c r="M1838" s="32"/>
      <c r="N1838" s="32"/>
      <c r="O1838" s="59"/>
      <c r="P1838" s="73"/>
      <c r="Q1838" s="73"/>
      <c r="R1838" s="73"/>
      <c r="S1838" s="73"/>
      <c r="T1838" s="73"/>
      <c r="U1838" s="73"/>
      <c r="V1838" s="73"/>
      <c r="W1838" s="73"/>
      <c r="X1838" s="73"/>
      <c r="Y1838" s="73"/>
      <c r="Z1838" s="73"/>
      <c r="AA1838" s="73"/>
    </row>
    <row r="1839" spans="1:27" ht="12.75" customHeight="1">
      <c r="A1839" s="73"/>
      <c r="B1839" s="32"/>
      <c r="C1839" s="32"/>
      <c r="D1839" s="33"/>
      <c r="E1839" s="32"/>
      <c r="F1839" s="32"/>
      <c r="G1839" s="74"/>
      <c r="H1839" s="32"/>
      <c r="I1839" s="32"/>
      <c r="J1839" s="32"/>
      <c r="K1839" s="74"/>
      <c r="L1839" s="35"/>
      <c r="M1839" s="32"/>
      <c r="N1839" s="32"/>
      <c r="O1839" s="59"/>
      <c r="P1839" s="73"/>
      <c r="Q1839" s="73"/>
      <c r="R1839" s="73"/>
      <c r="S1839" s="73"/>
      <c r="T1839" s="73"/>
      <c r="U1839" s="73"/>
      <c r="V1839" s="73"/>
      <c r="W1839" s="73"/>
      <c r="X1839" s="73"/>
      <c r="Y1839" s="73"/>
      <c r="Z1839" s="73"/>
      <c r="AA1839" s="73"/>
    </row>
    <row r="1840" spans="1:27" ht="12.75" customHeight="1">
      <c r="A1840" s="73"/>
      <c r="B1840" s="32"/>
      <c r="C1840" s="32"/>
      <c r="D1840" s="33"/>
      <c r="E1840" s="32"/>
      <c r="F1840" s="32"/>
      <c r="G1840" s="74"/>
      <c r="H1840" s="32"/>
      <c r="I1840" s="32"/>
      <c r="J1840" s="32"/>
      <c r="K1840" s="74"/>
      <c r="L1840" s="35"/>
      <c r="M1840" s="32"/>
      <c r="N1840" s="32"/>
      <c r="O1840" s="59"/>
      <c r="P1840" s="73"/>
      <c r="Q1840" s="73"/>
      <c r="R1840" s="73"/>
      <c r="S1840" s="73"/>
      <c r="T1840" s="73"/>
      <c r="U1840" s="73"/>
      <c r="V1840" s="73"/>
      <c r="W1840" s="73"/>
      <c r="X1840" s="73"/>
      <c r="Y1840" s="73"/>
      <c r="Z1840" s="73"/>
      <c r="AA1840" s="73"/>
    </row>
    <row r="1841" spans="1:27" ht="12.75" customHeight="1">
      <c r="A1841" s="73"/>
      <c r="B1841" s="32"/>
      <c r="C1841" s="32"/>
      <c r="D1841" s="33"/>
      <c r="E1841" s="32"/>
      <c r="F1841" s="32"/>
      <c r="G1841" s="74"/>
      <c r="H1841" s="32"/>
      <c r="I1841" s="32"/>
      <c r="J1841" s="32"/>
      <c r="K1841" s="74"/>
      <c r="L1841" s="35"/>
      <c r="M1841" s="32"/>
      <c r="N1841" s="32"/>
      <c r="O1841" s="59"/>
      <c r="P1841" s="73"/>
      <c r="Q1841" s="73"/>
      <c r="R1841" s="73"/>
      <c r="S1841" s="73"/>
      <c r="T1841" s="73"/>
      <c r="U1841" s="73"/>
      <c r="V1841" s="73"/>
      <c r="W1841" s="73"/>
      <c r="X1841" s="73"/>
      <c r="Y1841" s="73"/>
      <c r="Z1841" s="73"/>
      <c r="AA1841" s="73"/>
    </row>
    <row r="1842" spans="1:27" ht="12.75" customHeight="1">
      <c r="A1842" s="73"/>
      <c r="B1842" s="32"/>
      <c r="C1842" s="32"/>
      <c r="D1842" s="33"/>
      <c r="E1842" s="32"/>
      <c r="F1842" s="32"/>
      <c r="G1842" s="74"/>
      <c r="H1842" s="32"/>
      <c r="I1842" s="32"/>
      <c r="J1842" s="32"/>
      <c r="K1842" s="74"/>
      <c r="L1842" s="35"/>
      <c r="M1842" s="32"/>
      <c r="N1842" s="32"/>
      <c r="O1842" s="59"/>
      <c r="P1842" s="73"/>
      <c r="Q1842" s="73"/>
      <c r="R1842" s="73"/>
      <c r="S1842" s="73"/>
      <c r="T1842" s="73"/>
      <c r="U1842" s="73"/>
      <c r="V1842" s="73"/>
      <c r="W1842" s="73"/>
      <c r="X1842" s="73"/>
      <c r="Y1842" s="73"/>
      <c r="Z1842" s="73"/>
      <c r="AA1842" s="73"/>
    </row>
    <row r="1843" spans="1:27" ht="12.75" customHeight="1">
      <c r="A1843" s="73"/>
      <c r="B1843" s="32"/>
      <c r="C1843" s="32"/>
      <c r="D1843" s="33"/>
      <c r="E1843" s="32"/>
      <c r="F1843" s="32"/>
      <c r="G1843" s="74"/>
      <c r="H1843" s="32"/>
      <c r="I1843" s="32"/>
      <c r="J1843" s="32"/>
      <c r="K1843" s="74"/>
      <c r="L1843" s="35"/>
      <c r="M1843" s="32"/>
      <c r="N1843" s="32"/>
      <c r="O1843" s="59"/>
      <c r="P1843" s="73"/>
      <c r="Q1843" s="73"/>
      <c r="R1843" s="73"/>
      <c r="S1843" s="73"/>
      <c r="T1843" s="73"/>
      <c r="U1843" s="73"/>
      <c r="V1843" s="73"/>
      <c r="W1843" s="73"/>
      <c r="X1843" s="73"/>
      <c r="Y1843" s="73"/>
      <c r="Z1843" s="73"/>
      <c r="AA1843" s="73"/>
    </row>
    <row r="1844" spans="1:27" ht="12.75" customHeight="1">
      <c r="A1844" s="73"/>
      <c r="B1844" s="32"/>
      <c r="C1844" s="32"/>
      <c r="D1844" s="33"/>
      <c r="E1844" s="32"/>
      <c r="F1844" s="32"/>
      <c r="G1844" s="74"/>
      <c r="H1844" s="32"/>
      <c r="I1844" s="32"/>
      <c r="J1844" s="32"/>
      <c r="K1844" s="74"/>
      <c r="L1844" s="35"/>
      <c r="M1844" s="32"/>
      <c r="N1844" s="32"/>
      <c r="O1844" s="59"/>
      <c r="P1844" s="73"/>
      <c r="Q1844" s="73"/>
      <c r="R1844" s="73"/>
      <c r="S1844" s="73"/>
      <c r="T1844" s="73"/>
      <c r="U1844" s="73"/>
      <c r="V1844" s="73"/>
      <c r="W1844" s="73"/>
      <c r="X1844" s="73"/>
      <c r="Y1844" s="73"/>
      <c r="Z1844" s="73"/>
      <c r="AA1844" s="73"/>
    </row>
    <row r="1845" spans="1:27" ht="12.75" customHeight="1">
      <c r="A1845" s="73"/>
      <c r="B1845" s="32"/>
      <c r="C1845" s="32"/>
      <c r="D1845" s="33"/>
      <c r="E1845" s="32"/>
      <c r="F1845" s="32"/>
      <c r="G1845" s="74"/>
      <c r="H1845" s="32"/>
      <c r="I1845" s="32"/>
      <c r="J1845" s="32"/>
      <c r="K1845" s="74"/>
      <c r="L1845" s="35"/>
      <c r="M1845" s="32"/>
      <c r="N1845" s="32"/>
      <c r="O1845" s="59"/>
      <c r="P1845" s="73"/>
      <c r="Q1845" s="73"/>
      <c r="R1845" s="73"/>
      <c r="S1845" s="73"/>
      <c r="T1845" s="73"/>
      <c r="U1845" s="73"/>
      <c r="V1845" s="73"/>
      <c r="W1845" s="73"/>
      <c r="X1845" s="73"/>
      <c r="Y1845" s="73"/>
      <c r="Z1845" s="73"/>
      <c r="AA1845" s="73"/>
    </row>
    <row r="1846" spans="1:27" ht="12.75" customHeight="1">
      <c r="A1846" s="73"/>
      <c r="B1846" s="32"/>
      <c r="C1846" s="32"/>
      <c r="D1846" s="33"/>
      <c r="E1846" s="32"/>
      <c r="F1846" s="32"/>
      <c r="G1846" s="74"/>
      <c r="H1846" s="32"/>
      <c r="I1846" s="32"/>
      <c r="J1846" s="32"/>
      <c r="K1846" s="74"/>
      <c r="L1846" s="35"/>
      <c r="M1846" s="32"/>
      <c r="N1846" s="32"/>
      <c r="O1846" s="59"/>
      <c r="P1846" s="73"/>
      <c r="Q1846" s="73"/>
      <c r="R1846" s="73"/>
      <c r="S1846" s="73"/>
      <c r="T1846" s="73"/>
      <c r="U1846" s="73"/>
      <c r="V1846" s="73"/>
      <c r="W1846" s="73"/>
      <c r="X1846" s="73"/>
      <c r="Y1846" s="73"/>
      <c r="Z1846" s="73"/>
      <c r="AA1846" s="73"/>
    </row>
    <row r="1847" spans="1:27" ht="12.75" customHeight="1">
      <c r="A1847" s="73"/>
      <c r="B1847" s="32"/>
      <c r="C1847" s="32"/>
      <c r="D1847" s="33"/>
      <c r="E1847" s="32"/>
      <c r="F1847" s="32"/>
      <c r="G1847" s="74"/>
      <c r="H1847" s="32"/>
      <c r="I1847" s="32"/>
      <c r="J1847" s="32"/>
      <c r="K1847" s="74"/>
      <c r="L1847" s="35"/>
      <c r="M1847" s="32"/>
      <c r="N1847" s="32"/>
      <c r="O1847" s="59"/>
      <c r="P1847" s="73"/>
      <c r="Q1847" s="73"/>
      <c r="R1847" s="73"/>
      <c r="S1847" s="73"/>
      <c r="T1847" s="73"/>
      <c r="U1847" s="73"/>
      <c r="V1847" s="73"/>
      <c r="W1847" s="73"/>
      <c r="X1847" s="73"/>
      <c r="Y1847" s="73"/>
      <c r="Z1847" s="73"/>
      <c r="AA1847" s="73"/>
    </row>
    <row r="1848" spans="1:27" ht="12.75" customHeight="1">
      <c r="A1848" s="73"/>
      <c r="B1848" s="32"/>
      <c r="C1848" s="32"/>
      <c r="D1848" s="33"/>
      <c r="E1848" s="32"/>
      <c r="F1848" s="32"/>
      <c r="G1848" s="74"/>
      <c r="H1848" s="32"/>
      <c r="I1848" s="32"/>
      <c r="J1848" s="32"/>
      <c r="K1848" s="74"/>
      <c r="L1848" s="35"/>
      <c r="M1848" s="32"/>
      <c r="N1848" s="32"/>
      <c r="O1848" s="59"/>
      <c r="P1848" s="73"/>
      <c r="Q1848" s="73"/>
      <c r="R1848" s="73"/>
      <c r="S1848" s="73"/>
      <c r="T1848" s="73"/>
      <c r="U1848" s="73"/>
      <c r="V1848" s="73"/>
      <c r="W1848" s="73"/>
      <c r="X1848" s="73"/>
      <c r="Y1848" s="73"/>
      <c r="Z1848" s="73"/>
      <c r="AA1848" s="73"/>
    </row>
    <row r="1849" spans="1:27" ht="12.75" customHeight="1">
      <c r="A1849" s="73"/>
      <c r="B1849" s="32"/>
      <c r="C1849" s="32"/>
      <c r="D1849" s="33"/>
      <c r="E1849" s="32"/>
      <c r="F1849" s="32"/>
      <c r="G1849" s="74"/>
      <c r="H1849" s="32"/>
      <c r="I1849" s="32"/>
      <c r="J1849" s="32"/>
      <c r="K1849" s="74"/>
      <c r="L1849" s="35"/>
      <c r="M1849" s="32"/>
      <c r="N1849" s="32"/>
      <c r="O1849" s="59"/>
      <c r="P1849" s="73"/>
      <c r="Q1849" s="73"/>
      <c r="R1849" s="73"/>
      <c r="S1849" s="73"/>
      <c r="T1849" s="73"/>
      <c r="U1849" s="73"/>
      <c r="V1849" s="73"/>
      <c r="W1849" s="73"/>
      <c r="X1849" s="73"/>
      <c r="Y1849" s="73"/>
      <c r="Z1849" s="73"/>
      <c r="AA1849" s="73"/>
    </row>
    <row r="1850" spans="1:27" ht="12.75" customHeight="1">
      <c r="A1850" s="73"/>
      <c r="B1850" s="32"/>
      <c r="C1850" s="32"/>
      <c r="D1850" s="33"/>
      <c r="E1850" s="32"/>
      <c r="F1850" s="32"/>
      <c r="G1850" s="74"/>
      <c r="H1850" s="32"/>
      <c r="I1850" s="32"/>
      <c r="J1850" s="32"/>
      <c r="K1850" s="74"/>
      <c r="L1850" s="35"/>
      <c r="M1850" s="32"/>
      <c r="N1850" s="32"/>
      <c r="O1850" s="59"/>
      <c r="P1850" s="73"/>
      <c r="Q1850" s="73"/>
      <c r="R1850" s="73"/>
      <c r="S1850" s="73"/>
      <c r="T1850" s="73"/>
      <c r="U1850" s="73"/>
      <c r="V1850" s="73"/>
      <c r="W1850" s="73"/>
      <c r="X1850" s="73"/>
      <c r="Y1850" s="73"/>
      <c r="Z1850" s="73"/>
      <c r="AA1850" s="73"/>
    </row>
    <row r="1851" spans="1:27" ht="12.75" customHeight="1">
      <c r="A1851" s="73"/>
      <c r="B1851" s="32"/>
      <c r="C1851" s="32"/>
      <c r="D1851" s="33"/>
      <c r="E1851" s="32"/>
      <c r="F1851" s="32"/>
      <c r="G1851" s="74"/>
      <c r="H1851" s="32"/>
      <c r="I1851" s="32"/>
      <c r="J1851" s="32"/>
      <c r="K1851" s="74"/>
      <c r="L1851" s="35"/>
      <c r="M1851" s="32"/>
      <c r="N1851" s="32"/>
      <c r="O1851" s="59"/>
      <c r="P1851" s="73"/>
      <c r="Q1851" s="73"/>
      <c r="R1851" s="73"/>
      <c r="S1851" s="73"/>
      <c r="T1851" s="73"/>
      <c r="U1851" s="73"/>
      <c r="V1851" s="73"/>
      <c r="W1851" s="73"/>
      <c r="X1851" s="73"/>
      <c r="Y1851" s="73"/>
      <c r="Z1851" s="73"/>
      <c r="AA1851" s="73"/>
    </row>
    <row r="1852" spans="1:27" ht="12.75" customHeight="1">
      <c r="A1852" s="73"/>
      <c r="B1852" s="32"/>
      <c r="C1852" s="32"/>
      <c r="D1852" s="33"/>
      <c r="E1852" s="32"/>
      <c r="F1852" s="32"/>
      <c r="G1852" s="74"/>
      <c r="H1852" s="32"/>
      <c r="I1852" s="32"/>
      <c r="J1852" s="32"/>
      <c r="K1852" s="74"/>
      <c r="L1852" s="35"/>
      <c r="M1852" s="32"/>
      <c r="N1852" s="32"/>
      <c r="O1852" s="59"/>
      <c r="P1852" s="73"/>
      <c r="Q1852" s="73"/>
      <c r="R1852" s="73"/>
      <c r="S1852" s="73"/>
      <c r="T1852" s="73"/>
      <c r="U1852" s="73"/>
      <c r="V1852" s="73"/>
      <c r="W1852" s="73"/>
      <c r="X1852" s="73"/>
      <c r="Y1852" s="73"/>
      <c r="Z1852" s="73"/>
      <c r="AA1852" s="73"/>
    </row>
    <row r="1853" spans="1:27" ht="12.75" customHeight="1">
      <c r="A1853" s="73"/>
      <c r="B1853" s="32"/>
      <c r="C1853" s="32"/>
      <c r="D1853" s="33"/>
      <c r="E1853" s="32"/>
      <c r="F1853" s="32"/>
      <c r="G1853" s="74"/>
      <c r="H1853" s="32"/>
      <c r="I1853" s="32"/>
      <c r="J1853" s="32"/>
      <c r="K1853" s="74"/>
      <c r="L1853" s="35"/>
      <c r="M1853" s="32"/>
      <c r="N1853" s="32"/>
      <c r="O1853" s="59"/>
      <c r="P1853" s="73"/>
      <c r="Q1853" s="73"/>
      <c r="R1853" s="73"/>
      <c r="S1853" s="73"/>
      <c r="T1853" s="73"/>
      <c r="U1853" s="73"/>
      <c r="V1853" s="73"/>
      <c r="W1853" s="73"/>
      <c r="X1853" s="73"/>
      <c r="Y1853" s="73"/>
      <c r="Z1853" s="73"/>
      <c r="AA1853" s="73"/>
    </row>
    <row r="1854" spans="1:27" ht="12.75" customHeight="1">
      <c r="A1854" s="73"/>
      <c r="B1854" s="32"/>
      <c r="C1854" s="32"/>
      <c r="D1854" s="33"/>
      <c r="E1854" s="32"/>
      <c r="F1854" s="32"/>
      <c r="G1854" s="74"/>
      <c r="H1854" s="32"/>
      <c r="I1854" s="32"/>
      <c r="J1854" s="32"/>
      <c r="K1854" s="74"/>
      <c r="L1854" s="35"/>
      <c r="M1854" s="32"/>
      <c r="N1854" s="32"/>
      <c r="O1854" s="59"/>
      <c r="P1854" s="73"/>
      <c r="Q1854" s="73"/>
      <c r="R1854" s="73"/>
      <c r="S1854" s="73"/>
      <c r="T1854" s="73"/>
      <c r="U1854" s="73"/>
      <c r="V1854" s="73"/>
      <c r="W1854" s="73"/>
      <c r="X1854" s="73"/>
      <c r="Y1854" s="73"/>
      <c r="Z1854" s="73"/>
      <c r="AA1854" s="73"/>
    </row>
    <row r="1855" spans="1:27" ht="12.75" customHeight="1">
      <c r="A1855" s="73"/>
      <c r="B1855" s="32"/>
      <c r="C1855" s="32"/>
      <c r="D1855" s="33"/>
      <c r="E1855" s="32"/>
      <c r="F1855" s="32"/>
      <c r="G1855" s="74"/>
      <c r="H1855" s="32"/>
      <c r="I1855" s="32"/>
      <c r="J1855" s="32"/>
      <c r="K1855" s="74"/>
      <c r="L1855" s="35"/>
      <c r="M1855" s="32"/>
      <c r="N1855" s="32"/>
      <c r="O1855" s="59"/>
      <c r="P1855" s="73"/>
      <c r="Q1855" s="73"/>
      <c r="R1855" s="73"/>
      <c r="S1855" s="73"/>
      <c r="T1855" s="73"/>
      <c r="U1855" s="73"/>
      <c r="V1855" s="73"/>
      <c r="W1855" s="73"/>
      <c r="X1855" s="73"/>
      <c r="Y1855" s="73"/>
      <c r="Z1855" s="73"/>
      <c r="AA1855" s="73"/>
    </row>
    <row r="1856" spans="1:27" ht="12.75" customHeight="1">
      <c r="A1856" s="73"/>
      <c r="B1856" s="32"/>
      <c r="C1856" s="32"/>
      <c r="D1856" s="33"/>
      <c r="E1856" s="32"/>
      <c r="F1856" s="32"/>
      <c r="G1856" s="74"/>
      <c r="H1856" s="32"/>
      <c r="I1856" s="32"/>
      <c r="J1856" s="32"/>
      <c r="K1856" s="74"/>
      <c r="L1856" s="35"/>
      <c r="M1856" s="32"/>
      <c r="N1856" s="32"/>
      <c r="O1856" s="59"/>
      <c r="P1856" s="73"/>
      <c r="Q1856" s="73"/>
      <c r="R1856" s="73"/>
      <c r="S1856" s="73"/>
      <c r="T1856" s="73"/>
      <c r="U1856" s="73"/>
      <c r="V1856" s="73"/>
      <c r="W1856" s="73"/>
      <c r="X1856" s="73"/>
      <c r="Y1856" s="73"/>
      <c r="Z1856" s="73"/>
      <c r="AA1856" s="73"/>
    </row>
    <row r="1857" spans="1:27" ht="12.75" customHeight="1">
      <c r="A1857" s="73"/>
      <c r="B1857" s="32"/>
      <c r="C1857" s="32"/>
      <c r="D1857" s="33"/>
      <c r="E1857" s="32"/>
      <c r="F1857" s="32"/>
      <c r="G1857" s="74"/>
      <c r="H1857" s="32"/>
      <c r="I1857" s="32"/>
      <c r="J1857" s="32"/>
      <c r="K1857" s="74"/>
      <c r="L1857" s="35"/>
      <c r="M1857" s="32"/>
      <c r="N1857" s="32"/>
      <c r="O1857" s="59"/>
      <c r="P1857" s="73"/>
      <c r="Q1857" s="73"/>
      <c r="R1857" s="73"/>
      <c r="S1857" s="73"/>
      <c r="T1857" s="73"/>
      <c r="U1857" s="73"/>
      <c r="V1857" s="73"/>
      <c r="W1857" s="73"/>
      <c r="X1857" s="73"/>
      <c r="Y1857" s="73"/>
      <c r="Z1857" s="73"/>
      <c r="AA1857" s="73"/>
    </row>
    <row r="1858" spans="1:27" ht="12.75" customHeight="1">
      <c r="A1858" s="73"/>
      <c r="B1858" s="32"/>
      <c r="C1858" s="32"/>
      <c r="D1858" s="33"/>
      <c r="E1858" s="32"/>
      <c r="F1858" s="32"/>
      <c r="G1858" s="74"/>
      <c r="H1858" s="32"/>
      <c r="I1858" s="32"/>
      <c r="J1858" s="32"/>
      <c r="K1858" s="74"/>
      <c r="L1858" s="35"/>
      <c r="M1858" s="32"/>
      <c r="N1858" s="32"/>
      <c r="O1858" s="59"/>
      <c r="P1858" s="73"/>
      <c r="Q1858" s="73"/>
      <c r="R1858" s="73"/>
      <c r="S1858" s="73"/>
      <c r="T1858" s="73"/>
      <c r="U1858" s="73"/>
      <c r="V1858" s="73"/>
      <c r="W1858" s="73"/>
      <c r="X1858" s="73"/>
      <c r="Y1858" s="73"/>
      <c r="Z1858" s="73"/>
      <c r="AA1858" s="73"/>
    </row>
    <row r="1859" spans="1:27" ht="12.75" customHeight="1">
      <c r="A1859" s="73"/>
      <c r="B1859" s="32"/>
      <c r="C1859" s="32"/>
      <c r="D1859" s="33"/>
      <c r="E1859" s="32"/>
      <c r="F1859" s="32"/>
      <c r="G1859" s="74"/>
      <c r="H1859" s="32"/>
      <c r="I1859" s="32"/>
      <c r="J1859" s="32"/>
      <c r="K1859" s="74"/>
      <c r="L1859" s="35"/>
      <c r="M1859" s="32"/>
      <c r="N1859" s="32"/>
      <c r="O1859" s="59"/>
      <c r="P1859" s="73"/>
      <c r="Q1859" s="73"/>
      <c r="R1859" s="73"/>
      <c r="S1859" s="73"/>
      <c r="T1859" s="73"/>
      <c r="U1859" s="73"/>
      <c r="V1859" s="73"/>
      <c r="W1859" s="73"/>
      <c r="X1859" s="73"/>
      <c r="Y1859" s="73"/>
      <c r="Z1859" s="73"/>
      <c r="AA1859" s="73"/>
    </row>
    <row r="1860" spans="1:27" ht="12.75" customHeight="1">
      <c r="A1860" s="73"/>
      <c r="B1860" s="32"/>
      <c r="C1860" s="32"/>
      <c r="D1860" s="33"/>
      <c r="E1860" s="32"/>
      <c r="F1860" s="32"/>
      <c r="G1860" s="74"/>
      <c r="H1860" s="32"/>
      <c r="I1860" s="32"/>
      <c r="J1860" s="32"/>
      <c r="K1860" s="74"/>
      <c r="L1860" s="35"/>
      <c r="M1860" s="32"/>
      <c r="N1860" s="32"/>
      <c r="O1860" s="59"/>
      <c r="P1860" s="73"/>
      <c r="Q1860" s="73"/>
      <c r="R1860" s="73"/>
      <c r="S1860" s="73"/>
      <c r="T1860" s="73"/>
      <c r="U1860" s="73"/>
      <c r="V1860" s="73"/>
      <c r="W1860" s="73"/>
      <c r="X1860" s="73"/>
      <c r="Y1860" s="73"/>
      <c r="Z1860" s="73"/>
      <c r="AA1860" s="73"/>
    </row>
    <row r="1861" spans="1:27" ht="12.75" customHeight="1">
      <c r="A1861" s="73"/>
      <c r="B1861" s="32"/>
      <c r="C1861" s="32"/>
      <c r="D1861" s="33"/>
      <c r="E1861" s="32"/>
      <c r="F1861" s="32"/>
      <c r="G1861" s="74"/>
      <c r="H1861" s="32"/>
      <c r="I1861" s="32"/>
      <c r="J1861" s="32"/>
      <c r="K1861" s="74"/>
      <c r="L1861" s="35"/>
      <c r="M1861" s="32"/>
      <c r="N1861" s="32"/>
      <c r="O1861" s="59"/>
      <c r="P1861" s="73"/>
      <c r="Q1861" s="73"/>
      <c r="R1861" s="73"/>
      <c r="S1861" s="73"/>
      <c r="T1861" s="73"/>
      <c r="U1861" s="73"/>
      <c r="V1861" s="73"/>
      <c r="W1861" s="73"/>
      <c r="X1861" s="73"/>
      <c r="Y1861" s="73"/>
      <c r="Z1861" s="73"/>
      <c r="AA1861" s="73"/>
    </row>
    <row r="1862" spans="1:27" ht="12.75" customHeight="1">
      <c r="A1862" s="73"/>
      <c r="B1862" s="32"/>
      <c r="C1862" s="32"/>
      <c r="D1862" s="33"/>
      <c r="E1862" s="32"/>
      <c r="F1862" s="32"/>
      <c r="G1862" s="74"/>
      <c r="H1862" s="32"/>
      <c r="I1862" s="32"/>
      <c r="J1862" s="32"/>
      <c r="K1862" s="74"/>
      <c r="L1862" s="35"/>
      <c r="M1862" s="32"/>
      <c r="N1862" s="32"/>
      <c r="O1862" s="59"/>
      <c r="P1862" s="73"/>
      <c r="Q1862" s="73"/>
      <c r="R1862" s="73"/>
      <c r="S1862" s="73"/>
      <c r="T1862" s="73"/>
      <c r="U1862" s="73"/>
      <c r="V1862" s="73"/>
      <c r="W1862" s="73"/>
      <c r="X1862" s="73"/>
      <c r="Y1862" s="73"/>
      <c r="Z1862" s="73"/>
      <c r="AA1862" s="73"/>
    </row>
    <row r="1863" spans="1:27" ht="12.75" customHeight="1">
      <c r="A1863" s="73"/>
      <c r="B1863" s="32"/>
      <c r="C1863" s="32"/>
      <c r="D1863" s="33"/>
      <c r="E1863" s="32"/>
      <c r="F1863" s="32"/>
      <c r="G1863" s="74"/>
      <c r="H1863" s="32"/>
      <c r="I1863" s="32"/>
      <c r="J1863" s="32"/>
      <c r="K1863" s="74"/>
      <c r="L1863" s="35"/>
      <c r="M1863" s="32"/>
      <c r="N1863" s="32"/>
      <c r="O1863" s="59"/>
      <c r="P1863" s="73"/>
      <c r="Q1863" s="73"/>
      <c r="R1863" s="73"/>
      <c r="S1863" s="73"/>
      <c r="T1863" s="73"/>
      <c r="U1863" s="73"/>
      <c r="V1863" s="73"/>
      <c r="W1863" s="73"/>
      <c r="X1863" s="73"/>
      <c r="Y1863" s="73"/>
      <c r="Z1863" s="73"/>
      <c r="AA1863" s="73"/>
    </row>
    <row r="1864" spans="1:27" ht="12.75" customHeight="1">
      <c r="A1864" s="73"/>
      <c r="B1864" s="32"/>
      <c r="C1864" s="32"/>
      <c r="D1864" s="33"/>
      <c r="E1864" s="32"/>
      <c r="F1864" s="32"/>
      <c r="G1864" s="74"/>
      <c r="H1864" s="32"/>
      <c r="I1864" s="32"/>
      <c r="J1864" s="32"/>
      <c r="K1864" s="74"/>
      <c r="L1864" s="35"/>
      <c r="M1864" s="32"/>
      <c r="N1864" s="32"/>
      <c r="O1864" s="59"/>
      <c r="P1864" s="73"/>
      <c r="Q1864" s="73"/>
      <c r="R1864" s="73"/>
      <c r="S1864" s="73"/>
      <c r="T1864" s="73"/>
      <c r="U1864" s="73"/>
      <c r="V1864" s="73"/>
      <c r="W1864" s="73"/>
      <c r="X1864" s="73"/>
      <c r="Y1864" s="73"/>
      <c r="Z1864" s="73"/>
      <c r="AA1864" s="73"/>
    </row>
    <row r="1865" spans="1:27" ht="12.75" customHeight="1">
      <c r="A1865" s="73"/>
      <c r="B1865" s="32"/>
      <c r="C1865" s="32"/>
      <c r="D1865" s="33"/>
      <c r="E1865" s="32"/>
      <c r="F1865" s="32"/>
      <c r="G1865" s="74"/>
      <c r="H1865" s="32"/>
      <c r="I1865" s="32"/>
      <c r="J1865" s="32"/>
      <c r="K1865" s="74"/>
      <c r="L1865" s="35"/>
      <c r="M1865" s="32"/>
      <c r="N1865" s="32"/>
      <c r="O1865" s="59"/>
      <c r="P1865" s="73"/>
      <c r="Q1865" s="73"/>
      <c r="R1865" s="73"/>
      <c r="S1865" s="73"/>
      <c r="T1865" s="73"/>
      <c r="U1865" s="73"/>
      <c r="V1865" s="73"/>
      <c r="W1865" s="73"/>
      <c r="X1865" s="73"/>
      <c r="Y1865" s="73"/>
      <c r="Z1865" s="73"/>
      <c r="AA1865" s="73"/>
    </row>
    <row r="1866" spans="1:27" ht="12.75" customHeight="1">
      <c r="A1866" s="73"/>
      <c r="B1866" s="32"/>
      <c r="C1866" s="32"/>
      <c r="D1866" s="33"/>
      <c r="E1866" s="32"/>
      <c r="F1866" s="32"/>
      <c r="G1866" s="74"/>
      <c r="H1866" s="32"/>
      <c r="I1866" s="32"/>
      <c r="J1866" s="32"/>
      <c r="K1866" s="74"/>
      <c r="L1866" s="35"/>
      <c r="M1866" s="32"/>
      <c r="N1866" s="32"/>
      <c r="O1866" s="59"/>
      <c r="P1866" s="73"/>
      <c r="Q1866" s="73"/>
      <c r="R1866" s="73"/>
      <c r="S1866" s="73"/>
      <c r="T1866" s="73"/>
      <c r="U1866" s="73"/>
      <c r="V1866" s="73"/>
      <c r="W1866" s="73"/>
      <c r="X1866" s="73"/>
      <c r="Y1866" s="73"/>
      <c r="Z1866" s="73"/>
      <c r="AA1866" s="73"/>
    </row>
    <row r="1867" spans="1:27" ht="12.75" customHeight="1">
      <c r="A1867" s="73"/>
      <c r="B1867" s="32"/>
      <c r="C1867" s="32"/>
      <c r="D1867" s="33"/>
      <c r="E1867" s="32"/>
      <c r="F1867" s="32"/>
      <c r="G1867" s="74"/>
      <c r="H1867" s="32"/>
      <c r="I1867" s="32"/>
      <c r="J1867" s="32"/>
      <c r="K1867" s="74"/>
      <c r="L1867" s="35"/>
      <c r="M1867" s="32"/>
      <c r="N1867" s="32"/>
      <c r="O1867" s="59"/>
      <c r="P1867" s="73"/>
      <c r="Q1867" s="73"/>
      <c r="R1867" s="73"/>
      <c r="S1867" s="73"/>
      <c r="T1867" s="73"/>
      <c r="U1867" s="73"/>
      <c r="V1867" s="73"/>
      <c r="W1867" s="73"/>
      <c r="X1867" s="73"/>
      <c r="Y1867" s="73"/>
      <c r="Z1867" s="73"/>
      <c r="AA1867" s="73"/>
    </row>
    <row r="1868" spans="1:27" ht="12.75" customHeight="1">
      <c r="A1868" s="73"/>
      <c r="B1868" s="32"/>
      <c r="C1868" s="32"/>
      <c r="D1868" s="33"/>
      <c r="E1868" s="32"/>
      <c r="F1868" s="32"/>
      <c r="G1868" s="74"/>
      <c r="H1868" s="32"/>
      <c r="I1868" s="32"/>
      <c r="J1868" s="32"/>
      <c r="K1868" s="74"/>
      <c r="L1868" s="35"/>
      <c r="M1868" s="32"/>
      <c r="N1868" s="32"/>
      <c r="O1868" s="59"/>
      <c r="P1868" s="73"/>
      <c r="Q1868" s="73"/>
      <c r="R1868" s="73"/>
      <c r="S1868" s="73"/>
      <c r="T1868" s="73"/>
      <c r="U1868" s="73"/>
      <c r="V1868" s="73"/>
      <c r="W1868" s="73"/>
      <c r="X1868" s="73"/>
      <c r="Y1868" s="73"/>
      <c r="Z1868" s="73"/>
      <c r="AA1868" s="73"/>
    </row>
    <row r="1869" spans="1:27" ht="12.75" customHeight="1">
      <c r="A1869" s="73"/>
      <c r="B1869" s="32"/>
      <c r="C1869" s="32"/>
      <c r="D1869" s="33"/>
      <c r="E1869" s="32"/>
      <c r="F1869" s="32"/>
      <c r="G1869" s="74"/>
      <c r="H1869" s="32"/>
      <c r="I1869" s="32"/>
      <c r="J1869" s="32"/>
      <c r="K1869" s="74"/>
      <c r="L1869" s="35"/>
      <c r="M1869" s="32"/>
      <c r="N1869" s="32"/>
      <c r="O1869" s="59"/>
      <c r="P1869" s="73"/>
      <c r="Q1869" s="73"/>
      <c r="R1869" s="73"/>
      <c r="S1869" s="73"/>
      <c r="T1869" s="73"/>
      <c r="U1869" s="73"/>
      <c r="V1869" s="73"/>
      <c r="W1869" s="73"/>
      <c r="X1869" s="73"/>
      <c r="Y1869" s="73"/>
      <c r="Z1869" s="73"/>
      <c r="AA1869" s="73"/>
    </row>
    <row r="1870" spans="1:27" ht="12.75" customHeight="1">
      <c r="A1870" s="73"/>
      <c r="B1870" s="32"/>
      <c r="C1870" s="32"/>
      <c r="D1870" s="33"/>
      <c r="E1870" s="32"/>
      <c r="F1870" s="32"/>
      <c r="G1870" s="74"/>
      <c r="H1870" s="32"/>
      <c r="I1870" s="32"/>
      <c r="J1870" s="32"/>
      <c r="K1870" s="74"/>
      <c r="L1870" s="35"/>
      <c r="M1870" s="32"/>
      <c r="N1870" s="32"/>
      <c r="O1870" s="59"/>
      <c r="P1870" s="73"/>
      <c r="Q1870" s="73"/>
      <c r="R1870" s="73"/>
      <c r="S1870" s="73"/>
      <c r="T1870" s="73"/>
      <c r="U1870" s="73"/>
      <c r="V1870" s="73"/>
      <c r="W1870" s="73"/>
      <c r="X1870" s="73"/>
      <c r="Y1870" s="73"/>
      <c r="Z1870" s="73"/>
      <c r="AA1870" s="73"/>
    </row>
    <row r="1871" spans="1:27" ht="12.75" customHeight="1">
      <c r="A1871" s="73"/>
      <c r="B1871" s="32"/>
      <c r="C1871" s="32"/>
      <c r="D1871" s="33"/>
      <c r="E1871" s="32"/>
      <c r="F1871" s="32"/>
      <c r="G1871" s="74"/>
      <c r="H1871" s="32"/>
      <c r="I1871" s="32"/>
      <c r="J1871" s="32"/>
      <c r="K1871" s="74"/>
      <c r="L1871" s="35"/>
      <c r="M1871" s="32"/>
      <c r="N1871" s="32"/>
      <c r="O1871" s="59"/>
      <c r="P1871" s="73"/>
      <c r="Q1871" s="73"/>
      <c r="R1871" s="73"/>
      <c r="S1871" s="73"/>
      <c r="T1871" s="73"/>
      <c r="U1871" s="73"/>
      <c r="V1871" s="73"/>
      <c r="W1871" s="73"/>
      <c r="X1871" s="73"/>
      <c r="Y1871" s="73"/>
      <c r="Z1871" s="73"/>
      <c r="AA1871" s="73"/>
    </row>
    <row r="1872" spans="1:27" ht="12.75" customHeight="1">
      <c r="A1872" s="73"/>
      <c r="B1872" s="32"/>
      <c r="C1872" s="32"/>
      <c r="D1872" s="33"/>
      <c r="E1872" s="32"/>
      <c r="F1872" s="32"/>
      <c r="G1872" s="74"/>
      <c r="H1872" s="32"/>
      <c r="I1872" s="32"/>
      <c r="J1872" s="32"/>
      <c r="K1872" s="74"/>
      <c r="L1872" s="35"/>
      <c r="M1872" s="32"/>
      <c r="N1872" s="32"/>
      <c r="O1872" s="59"/>
      <c r="P1872" s="73"/>
      <c r="Q1872" s="73"/>
      <c r="R1872" s="73"/>
      <c r="S1872" s="73"/>
      <c r="T1872" s="73"/>
      <c r="U1872" s="73"/>
      <c r="V1872" s="73"/>
      <c r="W1872" s="73"/>
      <c r="X1872" s="73"/>
      <c r="Y1872" s="73"/>
      <c r="Z1872" s="73"/>
      <c r="AA1872" s="73"/>
    </row>
    <row r="1873" spans="1:27" ht="12.75" customHeight="1">
      <c r="A1873" s="73"/>
      <c r="B1873" s="32"/>
      <c r="C1873" s="32"/>
      <c r="D1873" s="33"/>
      <c r="E1873" s="32"/>
      <c r="F1873" s="32"/>
      <c r="G1873" s="74"/>
      <c r="H1873" s="32"/>
      <c r="I1873" s="32"/>
      <c r="J1873" s="32"/>
      <c r="K1873" s="74"/>
      <c r="L1873" s="35"/>
      <c r="M1873" s="32"/>
      <c r="N1873" s="32"/>
      <c r="O1873" s="59"/>
      <c r="P1873" s="73"/>
      <c r="Q1873" s="73"/>
      <c r="R1873" s="73"/>
      <c r="S1873" s="73"/>
      <c r="T1873" s="73"/>
      <c r="U1873" s="73"/>
      <c r="V1873" s="73"/>
      <c r="W1873" s="73"/>
      <c r="X1873" s="73"/>
      <c r="Y1873" s="73"/>
      <c r="Z1873" s="73"/>
      <c r="AA1873" s="73"/>
    </row>
    <row r="1874" spans="1:27" ht="12.75" customHeight="1">
      <c r="A1874" s="73"/>
      <c r="B1874" s="32"/>
      <c r="C1874" s="32"/>
      <c r="D1874" s="33"/>
      <c r="E1874" s="32"/>
      <c r="F1874" s="32"/>
      <c r="G1874" s="74"/>
      <c r="H1874" s="32"/>
      <c r="I1874" s="32"/>
      <c r="J1874" s="32"/>
      <c r="K1874" s="74"/>
      <c r="L1874" s="35"/>
      <c r="M1874" s="32"/>
      <c r="N1874" s="32"/>
      <c r="O1874" s="59"/>
      <c r="P1874" s="73"/>
      <c r="Q1874" s="73"/>
      <c r="R1874" s="73"/>
      <c r="S1874" s="73"/>
      <c r="T1874" s="73"/>
      <c r="U1874" s="73"/>
      <c r="V1874" s="73"/>
      <c r="W1874" s="73"/>
      <c r="X1874" s="73"/>
      <c r="Y1874" s="73"/>
      <c r="Z1874" s="73"/>
      <c r="AA1874" s="73"/>
    </row>
    <row r="1875" spans="1:27" ht="12.75" customHeight="1">
      <c r="A1875" s="73"/>
      <c r="B1875" s="32"/>
      <c r="C1875" s="32"/>
      <c r="D1875" s="33"/>
      <c r="E1875" s="32"/>
      <c r="F1875" s="32"/>
      <c r="G1875" s="74"/>
      <c r="H1875" s="32"/>
      <c r="I1875" s="32"/>
      <c r="J1875" s="32"/>
      <c r="K1875" s="74"/>
      <c r="L1875" s="35"/>
      <c r="M1875" s="32"/>
      <c r="N1875" s="32"/>
      <c r="O1875" s="59"/>
      <c r="P1875" s="73"/>
      <c r="Q1875" s="73"/>
      <c r="R1875" s="73"/>
      <c r="S1875" s="73"/>
      <c r="T1875" s="73"/>
      <c r="U1875" s="73"/>
      <c r="V1875" s="73"/>
      <c r="W1875" s="73"/>
      <c r="X1875" s="73"/>
      <c r="Y1875" s="73"/>
      <c r="Z1875" s="73"/>
      <c r="AA1875" s="73"/>
    </row>
    <row r="1876" spans="1:27" ht="12.75" customHeight="1">
      <c r="A1876" s="73"/>
      <c r="B1876" s="32"/>
      <c r="C1876" s="32"/>
      <c r="D1876" s="33"/>
      <c r="E1876" s="32"/>
      <c r="F1876" s="32"/>
      <c r="G1876" s="74"/>
      <c r="H1876" s="32"/>
      <c r="I1876" s="32"/>
      <c r="J1876" s="32"/>
      <c r="K1876" s="74"/>
      <c r="L1876" s="35"/>
      <c r="M1876" s="32"/>
      <c r="N1876" s="32"/>
      <c r="O1876" s="59"/>
      <c r="P1876" s="73"/>
      <c r="Q1876" s="73"/>
      <c r="R1876" s="73"/>
      <c r="S1876" s="73"/>
      <c r="T1876" s="73"/>
      <c r="U1876" s="73"/>
      <c r="V1876" s="73"/>
      <c r="W1876" s="73"/>
      <c r="X1876" s="73"/>
      <c r="Y1876" s="73"/>
      <c r="Z1876" s="73"/>
      <c r="AA1876" s="73"/>
    </row>
    <row r="1877" spans="1:27" ht="12.75" customHeight="1">
      <c r="A1877" s="73"/>
      <c r="B1877" s="32"/>
      <c r="C1877" s="32"/>
      <c r="D1877" s="33"/>
      <c r="E1877" s="32"/>
      <c r="F1877" s="32"/>
      <c r="G1877" s="74"/>
      <c r="H1877" s="32"/>
      <c r="I1877" s="32"/>
      <c r="J1877" s="32"/>
      <c r="K1877" s="74"/>
      <c r="L1877" s="35"/>
      <c r="M1877" s="32"/>
      <c r="N1877" s="32"/>
      <c r="O1877" s="59"/>
      <c r="P1877" s="73"/>
      <c r="Q1877" s="73"/>
      <c r="R1877" s="73"/>
      <c r="S1877" s="73"/>
      <c r="T1877" s="73"/>
      <c r="U1877" s="73"/>
      <c r="V1877" s="73"/>
      <c r="W1877" s="73"/>
      <c r="X1877" s="73"/>
      <c r="Y1877" s="73"/>
      <c r="Z1877" s="73"/>
      <c r="AA1877" s="73"/>
    </row>
    <row r="1878" spans="1:27" ht="12.75" customHeight="1">
      <c r="A1878" s="73"/>
      <c r="B1878" s="32"/>
      <c r="C1878" s="32"/>
      <c r="D1878" s="33"/>
      <c r="E1878" s="32"/>
      <c r="F1878" s="32"/>
      <c r="G1878" s="74"/>
      <c r="H1878" s="32"/>
      <c r="I1878" s="32"/>
      <c r="J1878" s="32"/>
      <c r="K1878" s="74"/>
      <c r="L1878" s="35"/>
      <c r="M1878" s="32"/>
      <c r="N1878" s="32"/>
      <c r="O1878" s="59"/>
      <c r="P1878" s="73"/>
      <c r="Q1878" s="73"/>
      <c r="R1878" s="73"/>
      <c r="S1878" s="73"/>
      <c r="T1878" s="73"/>
      <c r="U1878" s="73"/>
      <c r="V1878" s="73"/>
      <c r="W1878" s="73"/>
      <c r="X1878" s="73"/>
      <c r="Y1878" s="73"/>
      <c r="Z1878" s="73"/>
      <c r="AA1878" s="73"/>
    </row>
    <row r="1879" spans="1:27" ht="12.75" customHeight="1">
      <c r="A1879" s="73"/>
      <c r="B1879" s="32"/>
      <c r="C1879" s="32"/>
      <c r="D1879" s="33"/>
      <c r="E1879" s="32"/>
      <c r="F1879" s="32"/>
      <c r="G1879" s="74"/>
      <c r="H1879" s="32"/>
      <c r="I1879" s="32"/>
      <c r="J1879" s="32"/>
      <c r="K1879" s="74"/>
      <c r="L1879" s="35"/>
      <c r="M1879" s="32"/>
      <c r="N1879" s="32"/>
      <c r="O1879" s="59"/>
      <c r="P1879" s="73"/>
      <c r="Q1879" s="73"/>
      <c r="R1879" s="73"/>
      <c r="S1879" s="73"/>
      <c r="T1879" s="73"/>
      <c r="U1879" s="73"/>
      <c r="V1879" s="73"/>
      <c r="W1879" s="73"/>
      <c r="X1879" s="73"/>
      <c r="Y1879" s="73"/>
      <c r="Z1879" s="73"/>
      <c r="AA1879" s="73"/>
    </row>
    <row r="1880" spans="1:27" ht="12.75" customHeight="1">
      <c r="A1880" s="73"/>
      <c r="B1880" s="32"/>
      <c r="C1880" s="32"/>
      <c r="D1880" s="33"/>
      <c r="E1880" s="32"/>
      <c r="F1880" s="32"/>
      <c r="G1880" s="74"/>
      <c r="H1880" s="32"/>
      <c r="I1880" s="32"/>
      <c r="J1880" s="32"/>
      <c r="K1880" s="74"/>
      <c r="L1880" s="35"/>
      <c r="M1880" s="32"/>
      <c r="N1880" s="32"/>
      <c r="O1880" s="59"/>
      <c r="P1880" s="73"/>
      <c r="Q1880" s="73"/>
      <c r="R1880" s="73"/>
      <c r="S1880" s="73"/>
      <c r="T1880" s="73"/>
      <c r="U1880" s="73"/>
      <c r="V1880" s="73"/>
      <c r="W1880" s="73"/>
      <c r="X1880" s="73"/>
      <c r="Y1880" s="73"/>
      <c r="Z1880" s="73"/>
      <c r="AA1880" s="73"/>
    </row>
    <row r="1881" spans="1:27" ht="12.75" customHeight="1">
      <c r="A1881" s="73"/>
      <c r="B1881" s="32"/>
      <c r="C1881" s="32"/>
      <c r="D1881" s="33"/>
      <c r="E1881" s="32"/>
      <c r="F1881" s="32"/>
      <c r="G1881" s="74"/>
      <c r="H1881" s="32"/>
      <c r="I1881" s="32"/>
      <c r="J1881" s="32"/>
      <c r="K1881" s="74"/>
      <c r="L1881" s="35"/>
      <c r="M1881" s="32"/>
      <c r="N1881" s="32"/>
      <c r="O1881" s="59"/>
      <c r="P1881" s="73"/>
      <c r="Q1881" s="73"/>
      <c r="R1881" s="73"/>
      <c r="S1881" s="73"/>
      <c r="T1881" s="73"/>
      <c r="U1881" s="73"/>
      <c r="V1881" s="73"/>
      <c r="W1881" s="73"/>
      <c r="X1881" s="73"/>
      <c r="Y1881" s="73"/>
      <c r="Z1881" s="73"/>
      <c r="AA1881" s="73"/>
    </row>
    <row r="1882" spans="1:27" ht="12.75" customHeight="1">
      <c r="A1882" s="73"/>
      <c r="B1882" s="32"/>
      <c r="C1882" s="32"/>
      <c r="D1882" s="33"/>
      <c r="E1882" s="32"/>
      <c r="F1882" s="32"/>
      <c r="G1882" s="74"/>
      <c r="H1882" s="32"/>
      <c r="I1882" s="32"/>
      <c r="J1882" s="32"/>
      <c r="K1882" s="74"/>
      <c r="L1882" s="35"/>
      <c r="M1882" s="32"/>
      <c r="N1882" s="32"/>
      <c r="O1882" s="59"/>
      <c r="P1882" s="73"/>
      <c r="Q1882" s="73"/>
      <c r="R1882" s="73"/>
      <c r="S1882" s="73"/>
      <c r="T1882" s="73"/>
      <c r="U1882" s="73"/>
      <c r="V1882" s="73"/>
      <c r="W1882" s="73"/>
      <c r="X1882" s="73"/>
      <c r="Y1882" s="73"/>
      <c r="Z1882" s="73"/>
      <c r="AA1882" s="73"/>
    </row>
    <row r="1883" spans="1:27" ht="12.75" customHeight="1">
      <c r="A1883" s="73"/>
      <c r="B1883" s="32"/>
      <c r="C1883" s="32"/>
      <c r="D1883" s="33"/>
      <c r="E1883" s="32"/>
      <c r="F1883" s="32"/>
      <c r="G1883" s="74"/>
      <c r="H1883" s="32"/>
      <c r="I1883" s="32"/>
      <c r="J1883" s="32"/>
      <c r="K1883" s="74"/>
      <c r="L1883" s="35"/>
      <c r="M1883" s="32"/>
      <c r="N1883" s="32"/>
      <c r="O1883" s="59"/>
      <c r="P1883" s="73"/>
      <c r="Q1883" s="73"/>
      <c r="R1883" s="73"/>
      <c r="S1883" s="73"/>
      <c r="T1883" s="73"/>
      <c r="U1883" s="73"/>
      <c r="V1883" s="73"/>
      <c r="W1883" s="73"/>
      <c r="X1883" s="73"/>
      <c r="Y1883" s="73"/>
      <c r="Z1883" s="73"/>
      <c r="AA1883" s="73"/>
    </row>
    <row r="1884" spans="1:27" ht="12.75" customHeight="1">
      <c r="A1884" s="73"/>
      <c r="B1884" s="32"/>
      <c r="C1884" s="32"/>
      <c r="D1884" s="33"/>
      <c r="E1884" s="32"/>
      <c r="F1884" s="32"/>
      <c r="G1884" s="74"/>
      <c r="H1884" s="32"/>
      <c r="I1884" s="32"/>
      <c r="J1884" s="32"/>
      <c r="K1884" s="74"/>
      <c r="L1884" s="35"/>
      <c r="M1884" s="32"/>
      <c r="N1884" s="32"/>
      <c r="O1884" s="59"/>
      <c r="P1884" s="73"/>
      <c r="Q1884" s="73"/>
      <c r="R1884" s="73"/>
      <c r="S1884" s="73"/>
      <c r="T1884" s="73"/>
      <c r="U1884" s="73"/>
      <c r="V1884" s="73"/>
      <c r="W1884" s="73"/>
      <c r="X1884" s="73"/>
      <c r="Y1884" s="73"/>
      <c r="Z1884" s="73"/>
      <c r="AA1884" s="73"/>
    </row>
    <row r="1885" spans="1:27" ht="12.75" customHeight="1">
      <c r="A1885" s="73"/>
      <c r="B1885" s="32"/>
      <c r="C1885" s="32"/>
      <c r="D1885" s="33"/>
      <c r="E1885" s="32"/>
      <c r="F1885" s="32"/>
      <c r="G1885" s="74"/>
      <c r="H1885" s="32"/>
      <c r="I1885" s="32"/>
      <c r="J1885" s="32"/>
      <c r="K1885" s="74"/>
      <c r="L1885" s="35"/>
      <c r="M1885" s="32"/>
      <c r="N1885" s="32"/>
      <c r="O1885" s="59"/>
      <c r="P1885" s="73"/>
      <c r="Q1885" s="73"/>
      <c r="R1885" s="73"/>
      <c r="S1885" s="73"/>
      <c r="T1885" s="73"/>
      <c r="U1885" s="73"/>
      <c r="V1885" s="73"/>
      <c r="W1885" s="73"/>
      <c r="X1885" s="73"/>
      <c r="Y1885" s="73"/>
      <c r="Z1885" s="73"/>
      <c r="AA1885" s="73"/>
    </row>
    <row r="1886" spans="1:27" ht="12.75" customHeight="1">
      <c r="A1886" s="73"/>
      <c r="B1886" s="32"/>
      <c r="C1886" s="32"/>
      <c r="D1886" s="33"/>
      <c r="E1886" s="32"/>
      <c r="F1886" s="32"/>
      <c r="G1886" s="74"/>
      <c r="H1886" s="32"/>
      <c r="I1886" s="32"/>
      <c r="J1886" s="32"/>
      <c r="K1886" s="74"/>
      <c r="L1886" s="35"/>
      <c r="M1886" s="32"/>
      <c r="N1886" s="32"/>
      <c r="O1886" s="59"/>
      <c r="P1886" s="73"/>
      <c r="Q1886" s="73"/>
      <c r="R1886" s="73"/>
      <c r="S1886" s="73"/>
      <c r="T1886" s="73"/>
      <c r="U1886" s="73"/>
      <c r="V1886" s="73"/>
      <c r="W1886" s="73"/>
      <c r="X1886" s="73"/>
      <c r="Y1886" s="73"/>
      <c r="Z1886" s="73"/>
      <c r="AA1886" s="73"/>
    </row>
    <row r="1887" spans="1:27" ht="12.75" customHeight="1">
      <c r="A1887" s="73"/>
      <c r="B1887" s="32"/>
      <c r="C1887" s="32"/>
      <c r="D1887" s="33"/>
      <c r="E1887" s="32"/>
      <c r="F1887" s="32"/>
      <c r="G1887" s="74"/>
      <c r="H1887" s="32"/>
      <c r="I1887" s="32"/>
      <c r="J1887" s="32"/>
      <c r="K1887" s="74"/>
      <c r="L1887" s="35"/>
      <c r="M1887" s="32"/>
      <c r="N1887" s="32"/>
      <c r="O1887" s="59"/>
      <c r="P1887" s="73"/>
      <c r="Q1887" s="73"/>
      <c r="R1887" s="73"/>
      <c r="S1887" s="73"/>
      <c r="T1887" s="73"/>
      <c r="U1887" s="73"/>
      <c r="V1887" s="73"/>
      <c r="W1887" s="73"/>
      <c r="X1887" s="73"/>
      <c r="Y1887" s="73"/>
      <c r="Z1887" s="73"/>
      <c r="AA1887" s="73"/>
    </row>
    <row r="1888" spans="1:27" ht="12.75" customHeight="1">
      <c r="A1888" s="73"/>
      <c r="B1888" s="32"/>
      <c r="C1888" s="32"/>
      <c r="D1888" s="33"/>
      <c r="E1888" s="32"/>
      <c r="F1888" s="32"/>
      <c r="G1888" s="74"/>
      <c r="H1888" s="32"/>
      <c r="I1888" s="32"/>
      <c r="J1888" s="32"/>
      <c r="K1888" s="74"/>
      <c r="L1888" s="35"/>
      <c r="M1888" s="32"/>
      <c r="N1888" s="32"/>
      <c r="O1888" s="59"/>
      <c r="P1888" s="73"/>
      <c r="Q1888" s="73"/>
      <c r="R1888" s="73"/>
      <c r="S1888" s="73"/>
      <c r="T1888" s="73"/>
      <c r="U1888" s="73"/>
      <c r="V1888" s="73"/>
      <c r="W1888" s="73"/>
      <c r="X1888" s="73"/>
      <c r="Y1888" s="73"/>
      <c r="Z1888" s="73"/>
      <c r="AA1888" s="73"/>
    </row>
    <row r="1889" spans="1:27" ht="12.75" customHeight="1">
      <c r="A1889" s="73"/>
      <c r="B1889" s="32"/>
      <c r="C1889" s="32"/>
      <c r="D1889" s="33"/>
      <c r="E1889" s="32"/>
      <c r="F1889" s="32"/>
      <c r="G1889" s="74"/>
      <c r="H1889" s="32"/>
      <c r="I1889" s="32"/>
      <c r="J1889" s="32"/>
      <c r="K1889" s="74"/>
      <c r="L1889" s="35"/>
      <c r="M1889" s="32"/>
      <c r="N1889" s="32"/>
      <c r="O1889" s="59"/>
      <c r="P1889" s="73"/>
      <c r="Q1889" s="73"/>
      <c r="R1889" s="73"/>
      <c r="S1889" s="73"/>
      <c r="T1889" s="73"/>
      <c r="U1889" s="73"/>
      <c r="V1889" s="73"/>
      <c r="W1889" s="73"/>
      <c r="X1889" s="73"/>
      <c r="Y1889" s="73"/>
      <c r="Z1889" s="73"/>
      <c r="AA1889" s="73"/>
    </row>
    <row r="1890" spans="1:27" ht="12.75" customHeight="1">
      <c r="A1890" s="73"/>
      <c r="B1890" s="32"/>
      <c r="C1890" s="32"/>
      <c r="D1890" s="33"/>
      <c r="E1890" s="32"/>
      <c r="F1890" s="32"/>
      <c r="G1890" s="74"/>
      <c r="H1890" s="32"/>
      <c r="I1890" s="32"/>
      <c r="J1890" s="32"/>
      <c r="K1890" s="74"/>
      <c r="L1890" s="35"/>
      <c r="M1890" s="32"/>
      <c r="N1890" s="32"/>
      <c r="O1890" s="59"/>
      <c r="P1890" s="73"/>
      <c r="Q1890" s="73"/>
      <c r="R1890" s="73"/>
      <c r="S1890" s="73"/>
      <c r="T1890" s="73"/>
      <c r="U1890" s="73"/>
      <c r="V1890" s="73"/>
      <c r="W1890" s="73"/>
      <c r="X1890" s="73"/>
      <c r="Y1890" s="73"/>
      <c r="Z1890" s="73"/>
      <c r="AA1890" s="73"/>
    </row>
    <row r="1891" spans="1:27" ht="12.75" customHeight="1">
      <c r="A1891" s="73"/>
      <c r="B1891" s="32"/>
      <c r="C1891" s="32"/>
      <c r="D1891" s="33"/>
      <c r="E1891" s="32"/>
      <c r="F1891" s="32"/>
      <c r="G1891" s="74"/>
      <c r="H1891" s="32"/>
      <c r="I1891" s="32"/>
      <c r="J1891" s="32"/>
      <c r="K1891" s="74"/>
      <c r="L1891" s="35"/>
      <c r="M1891" s="32"/>
      <c r="N1891" s="32"/>
      <c r="O1891" s="59"/>
      <c r="P1891" s="73"/>
      <c r="Q1891" s="73"/>
      <c r="R1891" s="73"/>
      <c r="S1891" s="73"/>
      <c r="T1891" s="73"/>
      <c r="U1891" s="73"/>
      <c r="V1891" s="73"/>
      <c r="W1891" s="73"/>
      <c r="X1891" s="73"/>
      <c r="Y1891" s="73"/>
      <c r="Z1891" s="73"/>
      <c r="AA1891" s="73"/>
    </row>
    <row r="1892" spans="1:27" ht="12.75" customHeight="1">
      <c r="A1892" s="73"/>
      <c r="B1892" s="32"/>
      <c r="C1892" s="32"/>
      <c r="D1892" s="33"/>
      <c r="E1892" s="32"/>
      <c r="F1892" s="32"/>
      <c r="G1892" s="74"/>
      <c r="H1892" s="32"/>
      <c r="I1892" s="32"/>
      <c r="J1892" s="32"/>
      <c r="K1892" s="74"/>
      <c r="L1892" s="35"/>
      <c r="M1892" s="32"/>
      <c r="N1892" s="32"/>
      <c r="O1892" s="59"/>
      <c r="P1892" s="73"/>
      <c r="Q1892" s="73"/>
      <c r="R1892" s="73"/>
      <c r="S1892" s="73"/>
      <c r="T1892" s="73"/>
      <c r="U1892" s="73"/>
      <c r="V1892" s="73"/>
      <c r="W1892" s="73"/>
      <c r="X1892" s="73"/>
      <c r="Y1892" s="73"/>
      <c r="Z1892" s="73"/>
      <c r="AA1892" s="73"/>
    </row>
    <row r="1893" spans="1:27" ht="12.75" customHeight="1">
      <c r="A1893" s="73"/>
      <c r="B1893" s="32"/>
      <c r="C1893" s="32"/>
      <c r="D1893" s="33"/>
      <c r="E1893" s="32"/>
      <c r="F1893" s="32"/>
      <c r="G1893" s="74"/>
      <c r="H1893" s="32"/>
      <c r="I1893" s="32"/>
      <c r="J1893" s="32"/>
      <c r="K1893" s="74"/>
      <c r="L1893" s="35"/>
      <c r="M1893" s="32"/>
      <c r="N1893" s="32"/>
      <c r="O1893" s="59"/>
      <c r="P1893" s="73"/>
      <c r="Q1893" s="73"/>
      <c r="R1893" s="73"/>
      <c r="S1893" s="73"/>
      <c r="T1893" s="73"/>
      <c r="U1893" s="73"/>
      <c r="V1893" s="73"/>
      <c r="W1893" s="73"/>
      <c r="X1893" s="73"/>
      <c r="Y1893" s="73"/>
      <c r="Z1893" s="73"/>
      <c r="AA1893" s="73"/>
    </row>
    <row r="1894" spans="1:27" ht="12.75" customHeight="1">
      <c r="A1894" s="73"/>
      <c r="B1894" s="32"/>
      <c r="C1894" s="32"/>
      <c r="D1894" s="33"/>
      <c r="E1894" s="32"/>
      <c r="F1894" s="32"/>
      <c r="G1894" s="74"/>
      <c r="H1894" s="32"/>
      <c r="I1894" s="32"/>
      <c r="J1894" s="32"/>
      <c r="K1894" s="74"/>
      <c r="L1894" s="35"/>
      <c r="M1894" s="32"/>
      <c r="N1894" s="32"/>
      <c r="O1894" s="59"/>
      <c r="P1894" s="73"/>
      <c r="Q1894" s="73"/>
      <c r="R1894" s="73"/>
      <c r="S1894" s="73"/>
      <c r="T1894" s="73"/>
      <c r="U1894" s="73"/>
      <c r="V1894" s="73"/>
      <c r="W1894" s="73"/>
      <c r="X1894" s="73"/>
      <c r="Y1894" s="73"/>
      <c r="Z1894" s="73"/>
      <c r="AA1894" s="73"/>
    </row>
    <row r="1895" spans="1:27" ht="12.75" customHeight="1">
      <c r="A1895" s="73"/>
      <c r="B1895" s="32"/>
      <c r="C1895" s="32"/>
      <c r="D1895" s="33"/>
      <c r="E1895" s="32"/>
      <c r="F1895" s="32"/>
      <c r="G1895" s="74"/>
      <c r="H1895" s="32"/>
      <c r="I1895" s="32"/>
      <c r="J1895" s="32"/>
      <c r="K1895" s="74"/>
      <c r="L1895" s="35"/>
      <c r="M1895" s="32"/>
      <c r="N1895" s="32"/>
      <c r="O1895" s="59"/>
      <c r="P1895" s="73"/>
      <c r="Q1895" s="73"/>
      <c r="R1895" s="73"/>
      <c r="S1895" s="73"/>
      <c r="T1895" s="73"/>
      <c r="U1895" s="73"/>
      <c r="V1895" s="73"/>
      <c r="W1895" s="73"/>
      <c r="X1895" s="73"/>
      <c r="Y1895" s="73"/>
      <c r="Z1895" s="73"/>
      <c r="AA1895" s="73"/>
    </row>
    <row r="1896" spans="1:27" ht="12.75" customHeight="1">
      <c r="A1896" s="73"/>
      <c r="B1896" s="32"/>
      <c r="C1896" s="32"/>
      <c r="D1896" s="33"/>
      <c r="E1896" s="32"/>
      <c r="F1896" s="32"/>
      <c r="G1896" s="74"/>
      <c r="H1896" s="32"/>
      <c r="I1896" s="32"/>
      <c r="J1896" s="32"/>
      <c r="K1896" s="74"/>
      <c r="L1896" s="35"/>
      <c r="M1896" s="32"/>
      <c r="N1896" s="32"/>
      <c r="O1896" s="59"/>
      <c r="P1896" s="73"/>
      <c r="Q1896" s="73"/>
      <c r="R1896" s="73"/>
      <c r="S1896" s="73"/>
      <c r="T1896" s="73"/>
      <c r="U1896" s="73"/>
      <c r="V1896" s="73"/>
      <c r="W1896" s="73"/>
      <c r="X1896" s="73"/>
      <c r="Y1896" s="73"/>
      <c r="Z1896" s="73"/>
      <c r="AA1896" s="73"/>
    </row>
    <row r="1897" spans="1:27" ht="12.75" customHeight="1">
      <c r="A1897" s="73"/>
      <c r="B1897" s="32"/>
      <c r="C1897" s="32"/>
      <c r="D1897" s="33"/>
      <c r="E1897" s="32"/>
      <c r="F1897" s="32"/>
      <c r="G1897" s="74"/>
      <c r="H1897" s="32"/>
      <c r="I1897" s="32"/>
      <c r="J1897" s="32"/>
      <c r="K1897" s="74"/>
      <c r="L1897" s="35"/>
      <c r="M1897" s="32"/>
      <c r="N1897" s="32"/>
      <c r="O1897" s="59"/>
      <c r="P1897" s="73"/>
      <c r="Q1897" s="73"/>
      <c r="R1897" s="73"/>
      <c r="S1897" s="73"/>
      <c r="T1897" s="73"/>
      <c r="U1897" s="73"/>
      <c r="V1897" s="73"/>
      <c r="W1897" s="73"/>
      <c r="X1897" s="73"/>
      <c r="Y1897" s="73"/>
      <c r="Z1897" s="73"/>
      <c r="AA1897" s="73"/>
    </row>
    <row r="1898" spans="1:27" ht="12.75" customHeight="1">
      <c r="A1898" s="73"/>
      <c r="B1898" s="32"/>
      <c r="C1898" s="32"/>
      <c r="D1898" s="33"/>
      <c r="E1898" s="32"/>
      <c r="F1898" s="32"/>
      <c r="G1898" s="74"/>
      <c r="H1898" s="32"/>
      <c r="I1898" s="32"/>
      <c r="J1898" s="32"/>
      <c r="K1898" s="74"/>
      <c r="L1898" s="35"/>
      <c r="M1898" s="32"/>
      <c r="N1898" s="32"/>
      <c r="O1898" s="59"/>
      <c r="P1898" s="73"/>
      <c r="Q1898" s="73"/>
      <c r="R1898" s="73"/>
      <c r="S1898" s="73"/>
      <c r="T1898" s="73"/>
      <c r="U1898" s="73"/>
      <c r="V1898" s="73"/>
      <c r="W1898" s="73"/>
      <c r="X1898" s="73"/>
      <c r="Y1898" s="73"/>
      <c r="Z1898" s="73"/>
      <c r="AA1898" s="73"/>
    </row>
    <row r="1899" spans="1:27" ht="12.75" customHeight="1">
      <c r="A1899" s="73"/>
      <c r="B1899" s="32"/>
      <c r="C1899" s="32"/>
      <c r="D1899" s="33"/>
      <c r="E1899" s="32"/>
      <c r="F1899" s="32"/>
      <c r="G1899" s="74"/>
      <c r="H1899" s="32"/>
      <c r="I1899" s="32"/>
      <c r="J1899" s="32"/>
      <c r="K1899" s="74"/>
      <c r="L1899" s="35"/>
      <c r="M1899" s="32"/>
      <c r="N1899" s="32"/>
      <c r="O1899" s="59"/>
      <c r="P1899" s="73"/>
      <c r="Q1899" s="73"/>
      <c r="R1899" s="73"/>
      <c r="S1899" s="73"/>
      <c r="T1899" s="73"/>
      <c r="U1899" s="73"/>
      <c r="V1899" s="73"/>
      <c r="W1899" s="73"/>
      <c r="X1899" s="73"/>
      <c r="Y1899" s="73"/>
      <c r="Z1899" s="73"/>
      <c r="AA1899" s="73"/>
    </row>
    <row r="1900" spans="1:27" ht="12.75" customHeight="1">
      <c r="A1900" s="73"/>
      <c r="B1900" s="32"/>
      <c r="C1900" s="32"/>
      <c r="D1900" s="33"/>
      <c r="E1900" s="32"/>
      <c r="F1900" s="32"/>
      <c r="G1900" s="74"/>
      <c r="H1900" s="32"/>
      <c r="I1900" s="32"/>
      <c r="J1900" s="32"/>
      <c r="K1900" s="74"/>
      <c r="L1900" s="35"/>
      <c r="M1900" s="32"/>
      <c r="N1900" s="32"/>
      <c r="O1900" s="59"/>
      <c r="P1900" s="73"/>
      <c r="Q1900" s="73"/>
      <c r="R1900" s="73"/>
      <c r="S1900" s="73"/>
      <c r="T1900" s="73"/>
      <c r="U1900" s="73"/>
      <c r="V1900" s="73"/>
      <c r="W1900" s="73"/>
      <c r="X1900" s="73"/>
      <c r="Y1900" s="73"/>
      <c r="Z1900" s="73"/>
      <c r="AA1900" s="73"/>
    </row>
    <row r="1901" spans="1:27" ht="12.75" customHeight="1">
      <c r="A1901" s="73"/>
      <c r="B1901" s="32"/>
      <c r="C1901" s="32"/>
      <c r="D1901" s="33"/>
      <c r="E1901" s="32"/>
      <c r="F1901" s="32"/>
      <c r="G1901" s="74"/>
      <c r="H1901" s="32"/>
      <c r="I1901" s="32"/>
      <c r="J1901" s="32"/>
      <c r="K1901" s="74"/>
      <c r="L1901" s="35"/>
      <c r="M1901" s="32"/>
      <c r="N1901" s="32"/>
      <c r="O1901" s="59"/>
      <c r="P1901" s="73"/>
      <c r="Q1901" s="73"/>
      <c r="R1901" s="73"/>
      <c r="S1901" s="73"/>
      <c r="T1901" s="73"/>
      <c r="U1901" s="73"/>
      <c r="V1901" s="73"/>
      <c r="W1901" s="73"/>
      <c r="X1901" s="73"/>
      <c r="Y1901" s="73"/>
      <c r="Z1901" s="73"/>
      <c r="AA1901" s="73"/>
    </row>
    <row r="1902" spans="1:27" ht="12.75" customHeight="1">
      <c r="A1902" s="73"/>
      <c r="B1902" s="32"/>
      <c r="C1902" s="32"/>
      <c r="D1902" s="33"/>
      <c r="E1902" s="32"/>
      <c r="F1902" s="32"/>
      <c r="G1902" s="74"/>
      <c r="H1902" s="32"/>
      <c r="I1902" s="32"/>
      <c r="J1902" s="32"/>
      <c r="K1902" s="74"/>
      <c r="L1902" s="35"/>
      <c r="M1902" s="32"/>
      <c r="N1902" s="32"/>
      <c r="O1902" s="59"/>
      <c r="P1902" s="73"/>
      <c r="Q1902" s="73"/>
      <c r="R1902" s="73"/>
      <c r="S1902" s="73"/>
      <c r="T1902" s="73"/>
      <c r="U1902" s="73"/>
      <c r="V1902" s="73"/>
      <c r="W1902" s="73"/>
      <c r="X1902" s="73"/>
      <c r="Y1902" s="73"/>
      <c r="Z1902" s="73"/>
      <c r="AA1902" s="73"/>
    </row>
    <row r="1903" spans="1:27" ht="12.75" customHeight="1">
      <c r="A1903" s="73"/>
      <c r="B1903" s="32"/>
      <c r="C1903" s="32"/>
      <c r="D1903" s="33"/>
      <c r="E1903" s="32"/>
      <c r="F1903" s="32"/>
      <c r="G1903" s="74"/>
      <c r="H1903" s="32"/>
      <c r="I1903" s="32"/>
      <c r="J1903" s="32"/>
      <c r="K1903" s="74"/>
      <c r="L1903" s="35"/>
      <c r="M1903" s="32"/>
      <c r="N1903" s="32"/>
      <c r="O1903" s="59"/>
      <c r="P1903" s="73"/>
      <c r="Q1903" s="73"/>
      <c r="R1903" s="73"/>
      <c r="S1903" s="73"/>
      <c r="T1903" s="73"/>
      <c r="U1903" s="73"/>
      <c r="V1903" s="73"/>
      <c r="W1903" s="73"/>
      <c r="X1903" s="73"/>
      <c r="Y1903" s="73"/>
      <c r="Z1903" s="73"/>
      <c r="AA1903" s="73"/>
    </row>
    <row r="1904" spans="1:27" ht="12.75" customHeight="1">
      <c r="A1904" s="73"/>
      <c r="B1904" s="32"/>
      <c r="C1904" s="32"/>
      <c r="D1904" s="33"/>
      <c r="E1904" s="32"/>
      <c r="F1904" s="32"/>
      <c r="G1904" s="74"/>
      <c r="H1904" s="32"/>
      <c r="I1904" s="32"/>
      <c r="J1904" s="32"/>
      <c r="K1904" s="74"/>
      <c r="L1904" s="35"/>
      <c r="M1904" s="32"/>
      <c r="N1904" s="32"/>
      <c r="O1904" s="59"/>
      <c r="P1904" s="73"/>
      <c r="Q1904" s="73"/>
      <c r="R1904" s="73"/>
      <c r="S1904" s="73"/>
      <c r="T1904" s="73"/>
      <c r="U1904" s="73"/>
      <c r="V1904" s="73"/>
      <c r="W1904" s="73"/>
      <c r="X1904" s="73"/>
      <c r="Y1904" s="73"/>
      <c r="Z1904" s="73"/>
      <c r="AA1904" s="73"/>
    </row>
    <row r="1905" spans="1:27" ht="12.75" customHeight="1">
      <c r="A1905" s="73"/>
      <c r="B1905" s="32"/>
      <c r="C1905" s="32"/>
      <c r="D1905" s="33"/>
      <c r="E1905" s="32"/>
      <c r="F1905" s="32"/>
      <c r="G1905" s="74"/>
      <c r="H1905" s="32"/>
      <c r="I1905" s="32"/>
      <c r="J1905" s="32"/>
      <c r="K1905" s="74"/>
      <c r="L1905" s="35"/>
      <c r="M1905" s="32"/>
      <c r="N1905" s="32"/>
      <c r="O1905" s="59"/>
      <c r="P1905" s="73"/>
      <c r="Q1905" s="73"/>
      <c r="R1905" s="73"/>
      <c r="S1905" s="73"/>
      <c r="T1905" s="73"/>
      <c r="U1905" s="73"/>
      <c r="V1905" s="73"/>
      <c r="W1905" s="73"/>
      <c r="X1905" s="73"/>
      <c r="Y1905" s="73"/>
      <c r="Z1905" s="73"/>
      <c r="AA1905" s="73"/>
    </row>
    <row r="1906" spans="1:27" ht="12.75" customHeight="1">
      <c r="A1906" s="73"/>
      <c r="B1906" s="32"/>
      <c r="C1906" s="32"/>
      <c r="D1906" s="33"/>
      <c r="E1906" s="32"/>
      <c r="F1906" s="32"/>
      <c r="G1906" s="74"/>
      <c r="H1906" s="32"/>
      <c r="I1906" s="32"/>
      <c r="J1906" s="32"/>
      <c r="K1906" s="74"/>
      <c r="L1906" s="35"/>
      <c r="M1906" s="32"/>
      <c r="N1906" s="32"/>
      <c r="O1906" s="59"/>
      <c r="P1906" s="73"/>
      <c r="Q1906" s="73"/>
      <c r="R1906" s="73"/>
      <c r="S1906" s="73"/>
      <c r="T1906" s="73"/>
      <c r="U1906" s="73"/>
      <c r="V1906" s="73"/>
      <c r="W1906" s="73"/>
      <c r="X1906" s="73"/>
      <c r="Y1906" s="73"/>
      <c r="Z1906" s="73"/>
      <c r="AA1906" s="73"/>
    </row>
    <row r="1907" spans="1:27" ht="12.75" customHeight="1">
      <c r="A1907" s="73"/>
      <c r="B1907" s="32"/>
      <c r="C1907" s="32"/>
      <c r="D1907" s="33"/>
      <c r="E1907" s="32"/>
      <c r="F1907" s="32"/>
      <c r="G1907" s="74"/>
      <c r="H1907" s="32"/>
      <c r="I1907" s="32"/>
      <c r="J1907" s="32"/>
      <c r="K1907" s="74"/>
      <c r="L1907" s="35"/>
      <c r="M1907" s="32"/>
      <c r="N1907" s="32"/>
      <c r="O1907" s="59"/>
      <c r="P1907" s="73"/>
      <c r="Q1907" s="73"/>
      <c r="R1907" s="73"/>
      <c r="S1907" s="73"/>
      <c r="T1907" s="73"/>
      <c r="U1907" s="73"/>
      <c r="V1907" s="73"/>
      <c r="W1907" s="73"/>
      <c r="X1907" s="73"/>
      <c r="Y1907" s="73"/>
      <c r="Z1907" s="73"/>
      <c r="AA1907" s="73"/>
    </row>
    <row r="1908" spans="1:27" ht="12.75" customHeight="1">
      <c r="A1908" s="73"/>
      <c r="B1908" s="32"/>
      <c r="C1908" s="32"/>
      <c r="D1908" s="33"/>
      <c r="E1908" s="32"/>
      <c r="F1908" s="32"/>
      <c r="G1908" s="74"/>
      <c r="H1908" s="32"/>
      <c r="I1908" s="32"/>
      <c r="J1908" s="32"/>
      <c r="K1908" s="74"/>
      <c r="L1908" s="35"/>
      <c r="M1908" s="32"/>
      <c r="N1908" s="32"/>
      <c r="O1908" s="59"/>
      <c r="P1908" s="73"/>
      <c r="Q1908" s="73"/>
      <c r="R1908" s="73"/>
      <c r="S1908" s="73"/>
      <c r="T1908" s="73"/>
      <c r="U1908" s="73"/>
      <c r="V1908" s="73"/>
      <c r="W1908" s="73"/>
      <c r="X1908" s="73"/>
      <c r="Y1908" s="73"/>
      <c r="Z1908" s="73"/>
      <c r="AA1908" s="73"/>
    </row>
    <row r="1909" spans="1:27" ht="12.75" customHeight="1">
      <c r="A1909" s="73"/>
      <c r="B1909" s="32"/>
      <c r="C1909" s="32"/>
      <c r="D1909" s="33"/>
      <c r="E1909" s="32"/>
      <c r="F1909" s="32"/>
      <c r="G1909" s="74"/>
      <c r="H1909" s="32"/>
      <c r="I1909" s="32"/>
      <c r="J1909" s="32"/>
      <c r="K1909" s="74"/>
      <c r="L1909" s="35"/>
      <c r="M1909" s="32"/>
      <c r="N1909" s="32"/>
      <c r="O1909" s="59"/>
      <c r="P1909" s="73"/>
      <c r="Q1909" s="73"/>
      <c r="R1909" s="73"/>
      <c r="S1909" s="73"/>
      <c r="T1909" s="73"/>
      <c r="U1909" s="73"/>
      <c r="V1909" s="73"/>
      <c r="W1909" s="73"/>
      <c r="X1909" s="73"/>
      <c r="Y1909" s="73"/>
      <c r="Z1909" s="73"/>
      <c r="AA1909" s="73"/>
    </row>
    <row r="1910" spans="1:27" ht="12.75" customHeight="1">
      <c r="A1910" s="73"/>
      <c r="B1910" s="32"/>
      <c r="C1910" s="32"/>
      <c r="D1910" s="33"/>
      <c r="E1910" s="32"/>
      <c r="F1910" s="32"/>
      <c r="G1910" s="74"/>
      <c r="H1910" s="32"/>
      <c r="I1910" s="32"/>
      <c r="J1910" s="32"/>
      <c r="K1910" s="74"/>
      <c r="L1910" s="35"/>
      <c r="M1910" s="32"/>
      <c r="N1910" s="32"/>
      <c r="O1910" s="59"/>
      <c r="P1910" s="73"/>
      <c r="Q1910" s="73"/>
      <c r="R1910" s="73"/>
      <c r="S1910" s="73"/>
      <c r="T1910" s="73"/>
      <c r="U1910" s="73"/>
      <c r="V1910" s="73"/>
      <c r="W1910" s="73"/>
      <c r="X1910" s="73"/>
      <c r="Y1910" s="73"/>
      <c r="Z1910" s="73"/>
      <c r="AA1910" s="73"/>
    </row>
    <row r="1911" spans="1:27" ht="12.75" customHeight="1">
      <c r="A1911" s="73"/>
      <c r="B1911" s="32"/>
      <c r="C1911" s="32"/>
      <c r="D1911" s="33"/>
      <c r="E1911" s="32"/>
      <c r="F1911" s="32"/>
      <c r="G1911" s="74"/>
      <c r="H1911" s="32"/>
      <c r="I1911" s="32"/>
      <c r="J1911" s="32"/>
      <c r="K1911" s="74"/>
      <c r="L1911" s="35"/>
      <c r="M1911" s="32"/>
      <c r="N1911" s="32"/>
      <c r="O1911" s="59"/>
      <c r="P1911" s="73"/>
      <c r="Q1911" s="73"/>
      <c r="R1911" s="73"/>
      <c r="S1911" s="73"/>
      <c r="T1911" s="73"/>
      <c r="U1911" s="73"/>
      <c r="V1911" s="73"/>
      <c r="W1911" s="73"/>
      <c r="X1911" s="73"/>
      <c r="Y1911" s="73"/>
      <c r="Z1911" s="73"/>
      <c r="AA1911" s="73"/>
    </row>
    <row r="1912" spans="1:27" ht="12.75" customHeight="1">
      <c r="A1912" s="73"/>
      <c r="B1912" s="32"/>
      <c r="C1912" s="32"/>
      <c r="D1912" s="33"/>
      <c r="E1912" s="32"/>
      <c r="F1912" s="32"/>
      <c r="G1912" s="74"/>
      <c r="H1912" s="32"/>
      <c r="I1912" s="32"/>
      <c r="J1912" s="32"/>
      <c r="K1912" s="74"/>
      <c r="L1912" s="35"/>
      <c r="M1912" s="32"/>
      <c r="N1912" s="32"/>
      <c r="O1912" s="59"/>
      <c r="P1912" s="73"/>
      <c r="Q1912" s="73"/>
      <c r="R1912" s="73"/>
      <c r="S1912" s="73"/>
      <c r="T1912" s="73"/>
      <c r="U1912" s="73"/>
      <c r="V1912" s="73"/>
      <c r="W1912" s="73"/>
      <c r="X1912" s="73"/>
      <c r="Y1912" s="73"/>
      <c r="Z1912" s="73"/>
      <c r="AA1912" s="73"/>
    </row>
    <row r="1913" spans="1:27" ht="12.75" customHeight="1">
      <c r="A1913" s="73"/>
      <c r="B1913" s="32"/>
      <c r="C1913" s="32"/>
      <c r="D1913" s="33"/>
      <c r="E1913" s="32"/>
      <c r="F1913" s="32"/>
      <c r="G1913" s="74"/>
      <c r="H1913" s="32"/>
      <c r="I1913" s="32"/>
      <c r="J1913" s="32"/>
      <c r="K1913" s="74"/>
      <c r="L1913" s="35"/>
      <c r="M1913" s="32"/>
      <c r="N1913" s="32"/>
      <c r="O1913" s="59"/>
      <c r="P1913" s="73"/>
      <c r="Q1913" s="73"/>
      <c r="R1913" s="73"/>
      <c r="S1913" s="73"/>
      <c r="T1913" s="73"/>
      <c r="U1913" s="73"/>
      <c r="V1913" s="73"/>
      <c r="W1913" s="73"/>
      <c r="X1913" s="73"/>
      <c r="Y1913" s="73"/>
      <c r="Z1913" s="73"/>
      <c r="AA1913" s="73"/>
    </row>
    <row r="1914" spans="1:27" ht="12.75" customHeight="1">
      <c r="A1914" s="73"/>
      <c r="B1914" s="32"/>
      <c r="C1914" s="32"/>
      <c r="D1914" s="33"/>
      <c r="E1914" s="32"/>
      <c r="F1914" s="32"/>
      <c r="G1914" s="74"/>
      <c r="H1914" s="32"/>
      <c r="I1914" s="32"/>
      <c r="J1914" s="32"/>
      <c r="K1914" s="74"/>
      <c r="L1914" s="35"/>
      <c r="M1914" s="32"/>
      <c r="N1914" s="32"/>
      <c r="O1914" s="59"/>
      <c r="P1914" s="73"/>
      <c r="Q1914" s="73"/>
      <c r="R1914" s="73"/>
      <c r="S1914" s="73"/>
      <c r="T1914" s="73"/>
      <c r="U1914" s="73"/>
      <c r="V1914" s="73"/>
      <c r="W1914" s="73"/>
      <c r="X1914" s="73"/>
      <c r="Y1914" s="73"/>
      <c r="Z1914" s="73"/>
      <c r="AA1914" s="73"/>
    </row>
    <row r="1915" spans="1:27" ht="12.75" customHeight="1">
      <c r="A1915" s="73"/>
      <c r="B1915" s="32"/>
      <c r="C1915" s="32"/>
      <c r="D1915" s="33"/>
      <c r="E1915" s="32"/>
      <c r="F1915" s="32"/>
      <c r="G1915" s="74"/>
      <c r="H1915" s="32"/>
      <c r="I1915" s="32"/>
      <c r="J1915" s="32"/>
      <c r="K1915" s="74"/>
      <c r="L1915" s="35"/>
      <c r="M1915" s="32"/>
      <c r="N1915" s="32"/>
      <c r="O1915" s="59"/>
      <c r="P1915" s="73"/>
      <c r="Q1915" s="73"/>
      <c r="R1915" s="73"/>
      <c r="S1915" s="73"/>
      <c r="T1915" s="73"/>
      <c r="U1915" s="73"/>
      <c r="V1915" s="73"/>
      <c r="W1915" s="73"/>
      <c r="X1915" s="73"/>
      <c r="Y1915" s="73"/>
      <c r="Z1915" s="73"/>
      <c r="AA1915" s="73"/>
    </row>
    <row r="1916" spans="1:27" ht="12.75" customHeight="1">
      <c r="A1916" s="73"/>
      <c r="B1916" s="32"/>
      <c r="C1916" s="32"/>
      <c r="D1916" s="33"/>
      <c r="E1916" s="32"/>
      <c r="F1916" s="32"/>
      <c r="G1916" s="74"/>
      <c r="H1916" s="32"/>
      <c r="I1916" s="32"/>
      <c r="J1916" s="32"/>
      <c r="K1916" s="74"/>
      <c r="L1916" s="35"/>
      <c r="M1916" s="32"/>
      <c r="N1916" s="32"/>
      <c r="O1916" s="59"/>
      <c r="P1916" s="73"/>
      <c r="Q1916" s="73"/>
      <c r="R1916" s="73"/>
      <c r="S1916" s="73"/>
      <c r="T1916" s="73"/>
      <c r="U1916" s="73"/>
      <c r="V1916" s="73"/>
      <c r="W1916" s="73"/>
      <c r="X1916" s="73"/>
      <c r="Y1916" s="73"/>
      <c r="Z1916" s="73"/>
      <c r="AA1916" s="73"/>
    </row>
    <row r="1917" spans="1:27" ht="12.75" customHeight="1">
      <c r="A1917" s="73"/>
      <c r="B1917" s="32"/>
      <c r="C1917" s="32"/>
      <c r="D1917" s="33"/>
      <c r="E1917" s="32"/>
      <c r="F1917" s="32"/>
      <c r="G1917" s="74"/>
      <c r="H1917" s="32"/>
      <c r="I1917" s="32"/>
      <c r="J1917" s="32"/>
      <c r="K1917" s="74"/>
      <c r="L1917" s="35"/>
      <c r="M1917" s="32"/>
      <c r="N1917" s="32"/>
      <c r="O1917" s="59"/>
      <c r="P1917" s="73"/>
      <c r="Q1917" s="73"/>
      <c r="R1917" s="73"/>
      <c r="S1917" s="73"/>
      <c r="T1917" s="73"/>
      <c r="U1917" s="73"/>
      <c r="V1917" s="73"/>
      <c r="W1917" s="73"/>
      <c r="X1917" s="73"/>
      <c r="Y1917" s="73"/>
      <c r="Z1917" s="73"/>
      <c r="AA1917" s="73"/>
    </row>
    <row r="1918" spans="1:27" ht="12.75" customHeight="1">
      <c r="A1918" s="73"/>
      <c r="B1918" s="32"/>
      <c r="C1918" s="32"/>
      <c r="D1918" s="33"/>
      <c r="E1918" s="32"/>
      <c r="F1918" s="32"/>
      <c r="G1918" s="74"/>
      <c r="H1918" s="32"/>
      <c r="I1918" s="32"/>
      <c r="J1918" s="32"/>
      <c r="K1918" s="74"/>
      <c r="L1918" s="35"/>
      <c r="M1918" s="32"/>
      <c r="N1918" s="32"/>
      <c r="O1918" s="59"/>
      <c r="P1918" s="73"/>
      <c r="Q1918" s="73"/>
      <c r="R1918" s="73"/>
      <c r="S1918" s="73"/>
      <c r="T1918" s="73"/>
      <c r="U1918" s="73"/>
      <c r="V1918" s="73"/>
      <c r="W1918" s="73"/>
      <c r="X1918" s="73"/>
      <c r="Y1918" s="73"/>
      <c r="Z1918" s="73"/>
      <c r="AA1918" s="73"/>
    </row>
    <row r="1919" spans="1:27" ht="12.75" customHeight="1">
      <c r="A1919" s="73"/>
      <c r="B1919" s="32"/>
      <c r="C1919" s="32"/>
      <c r="D1919" s="33"/>
      <c r="E1919" s="32"/>
      <c r="F1919" s="32"/>
      <c r="G1919" s="74"/>
      <c r="H1919" s="32"/>
      <c r="I1919" s="32"/>
      <c r="J1919" s="32"/>
      <c r="K1919" s="74"/>
      <c r="L1919" s="35"/>
      <c r="M1919" s="32"/>
      <c r="N1919" s="32"/>
      <c r="O1919" s="59"/>
      <c r="P1919" s="73"/>
      <c r="Q1919" s="73"/>
      <c r="R1919" s="73"/>
      <c r="S1919" s="73"/>
      <c r="T1919" s="73"/>
      <c r="U1919" s="73"/>
      <c r="V1919" s="73"/>
      <c r="W1919" s="73"/>
      <c r="X1919" s="73"/>
      <c r="Y1919" s="73"/>
      <c r="Z1919" s="73"/>
      <c r="AA1919" s="73"/>
    </row>
    <row r="1920" spans="1:27" ht="12.75" customHeight="1">
      <c r="A1920" s="73"/>
      <c r="B1920" s="32"/>
      <c r="C1920" s="32"/>
      <c r="D1920" s="33"/>
      <c r="E1920" s="32"/>
      <c r="F1920" s="32"/>
      <c r="G1920" s="74"/>
      <c r="H1920" s="32"/>
      <c r="I1920" s="32"/>
      <c r="J1920" s="32"/>
      <c r="K1920" s="74"/>
      <c r="L1920" s="35"/>
      <c r="M1920" s="32"/>
      <c r="N1920" s="32"/>
      <c r="O1920" s="59"/>
      <c r="P1920" s="73"/>
      <c r="Q1920" s="73"/>
      <c r="R1920" s="73"/>
      <c r="S1920" s="73"/>
      <c r="T1920" s="73"/>
      <c r="U1920" s="73"/>
      <c r="V1920" s="73"/>
      <c r="W1920" s="73"/>
      <c r="X1920" s="73"/>
      <c r="Y1920" s="73"/>
      <c r="Z1920" s="73"/>
      <c r="AA1920" s="73"/>
    </row>
    <row r="1921" spans="1:27" ht="12.75" customHeight="1">
      <c r="A1921" s="73"/>
      <c r="B1921" s="32"/>
      <c r="C1921" s="32"/>
      <c r="D1921" s="33"/>
      <c r="E1921" s="32"/>
      <c r="F1921" s="32"/>
      <c r="G1921" s="74"/>
      <c r="H1921" s="32"/>
      <c r="I1921" s="32"/>
      <c r="J1921" s="32"/>
      <c r="K1921" s="74"/>
      <c r="L1921" s="35"/>
      <c r="M1921" s="32"/>
      <c r="N1921" s="32"/>
      <c r="O1921" s="59"/>
      <c r="P1921" s="73"/>
      <c r="Q1921" s="73"/>
      <c r="R1921" s="73"/>
      <c r="S1921" s="73"/>
      <c r="T1921" s="73"/>
      <c r="U1921" s="73"/>
      <c r="V1921" s="73"/>
      <c r="W1921" s="73"/>
      <c r="X1921" s="73"/>
      <c r="Y1921" s="73"/>
      <c r="Z1921" s="73"/>
      <c r="AA1921" s="73"/>
    </row>
    <row r="1922" spans="1:27" ht="12.75" customHeight="1">
      <c r="A1922" s="73"/>
      <c r="B1922" s="32"/>
      <c r="C1922" s="32"/>
      <c r="D1922" s="33"/>
      <c r="E1922" s="32"/>
      <c r="F1922" s="32"/>
      <c r="G1922" s="74"/>
      <c r="H1922" s="32"/>
      <c r="I1922" s="32"/>
      <c r="J1922" s="32"/>
      <c r="K1922" s="74"/>
      <c r="L1922" s="35"/>
      <c r="M1922" s="32"/>
      <c r="N1922" s="32"/>
      <c r="O1922" s="59"/>
      <c r="P1922" s="73"/>
      <c r="Q1922" s="73"/>
      <c r="R1922" s="73"/>
      <c r="S1922" s="73"/>
      <c r="T1922" s="73"/>
      <c r="U1922" s="73"/>
      <c r="V1922" s="73"/>
      <c r="W1922" s="73"/>
      <c r="X1922" s="73"/>
      <c r="Y1922" s="73"/>
      <c r="Z1922" s="73"/>
      <c r="AA1922" s="73"/>
    </row>
    <row r="1923" spans="1:27" ht="12.75" customHeight="1">
      <c r="A1923" s="73"/>
      <c r="B1923" s="32"/>
      <c r="C1923" s="32"/>
      <c r="D1923" s="33"/>
      <c r="E1923" s="32"/>
      <c r="F1923" s="32"/>
      <c r="G1923" s="74"/>
      <c r="H1923" s="32"/>
      <c r="I1923" s="32"/>
      <c r="J1923" s="32"/>
      <c r="K1923" s="74"/>
      <c r="L1923" s="35"/>
      <c r="M1923" s="32"/>
      <c r="N1923" s="32"/>
      <c r="O1923" s="59"/>
      <c r="P1923" s="73"/>
      <c r="Q1923" s="73"/>
      <c r="R1923" s="73"/>
      <c r="S1923" s="73"/>
      <c r="T1923" s="73"/>
      <c r="U1923" s="73"/>
      <c r="V1923" s="73"/>
      <c r="W1923" s="73"/>
      <c r="X1923" s="73"/>
      <c r="Y1923" s="73"/>
      <c r="Z1923" s="73"/>
      <c r="AA1923" s="73"/>
    </row>
    <row r="1924" spans="1:27" ht="12.75" customHeight="1">
      <c r="A1924" s="73"/>
      <c r="B1924" s="32"/>
      <c r="C1924" s="32"/>
      <c r="D1924" s="33"/>
      <c r="E1924" s="32"/>
      <c r="F1924" s="32"/>
      <c r="G1924" s="74"/>
      <c r="H1924" s="32"/>
      <c r="I1924" s="32"/>
      <c r="J1924" s="32"/>
      <c r="K1924" s="74"/>
      <c r="L1924" s="35"/>
      <c r="M1924" s="32"/>
      <c r="N1924" s="32"/>
      <c r="O1924" s="59"/>
      <c r="P1924" s="73"/>
      <c r="Q1924" s="73"/>
      <c r="R1924" s="73"/>
      <c r="S1924" s="73"/>
      <c r="T1924" s="73"/>
      <c r="U1924" s="73"/>
      <c r="V1924" s="73"/>
      <c r="W1924" s="73"/>
      <c r="X1924" s="73"/>
      <c r="Y1924" s="73"/>
      <c r="Z1924" s="73"/>
      <c r="AA1924" s="73"/>
    </row>
    <row r="1925" spans="1:27" ht="12.75" customHeight="1">
      <c r="A1925" s="73"/>
      <c r="B1925" s="32"/>
      <c r="C1925" s="32"/>
      <c r="D1925" s="33"/>
      <c r="E1925" s="32"/>
      <c r="F1925" s="32"/>
      <c r="G1925" s="74"/>
      <c r="H1925" s="32"/>
      <c r="I1925" s="32"/>
      <c r="J1925" s="32"/>
      <c r="K1925" s="74"/>
      <c r="L1925" s="35"/>
      <c r="M1925" s="32"/>
      <c r="N1925" s="32"/>
      <c r="O1925" s="59"/>
      <c r="P1925" s="73"/>
      <c r="Q1925" s="73"/>
      <c r="R1925" s="73"/>
      <c r="S1925" s="73"/>
      <c r="T1925" s="73"/>
      <c r="U1925" s="73"/>
      <c r="V1925" s="73"/>
      <c r="W1925" s="73"/>
      <c r="X1925" s="73"/>
      <c r="Y1925" s="73"/>
      <c r="Z1925" s="73"/>
      <c r="AA1925" s="73"/>
    </row>
    <row r="1926" spans="1:27" ht="12.75" customHeight="1">
      <c r="A1926" s="73"/>
      <c r="B1926" s="32"/>
      <c r="C1926" s="32"/>
      <c r="D1926" s="33"/>
      <c r="E1926" s="32"/>
      <c r="F1926" s="32"/>
      <c r="G1926" s="74"/>
      <c r="H1926" s="32"/>
      <c r="I1926" s="32"/>
      <c r="J1926" s="32"/>
      <c r="K1926" s="74"/>
      <c r="L1926" s="35"/>
      <c r="M1926" s="32"/>
      <c r="N1926" s="32"/>
      <c r="O1926" s="59"/>
      <c r="P1926" s="73"/>
      <c r="Q1926" s="73"/>
      <c r="R1926" s="73"/>
      <c r="S1926" s="73"/>
      <c r="T1926" s="73"/>
      <c r="U1926" s="73"/>
      <c r="V1926" s="73"/>
      <c r="W1926" s="73"/>
      <c r="X1926" s="73"/>
      <c r="Y1926" s="73"/>
      <c r="Z1926" s="73"/>
      <c r="AA1926" s="73"/>
    </row>
    <row r="1927" spans="1:27" ht="12.75" customHeight="1">
      <c r="A1927" s="73"/>
      <c r="B1927" s="32"/>
      <c r="C1927" s="32"/>
      <c r="D1927" s="33"/>
      <c r="E1927" s="32"/>
      <c r="F1927" s="32"/>
      <c r="G1927" s="74"/>
      <c r="H1927" s="32"/>
      <c r="I1927" s="32"/>
      <c r="J1927" s="32"/>
      <c r="K1927" s="74"/>
      <c r="L1927" s="35"/>
      <c r="M1927" s="32"/>
      <c r="N1927" s="32"/>
      <c r="O1927" s="59"/>
      <c r="P1927" s="73"/>
      <c r="Q1927" s="73"/>
      <c r="R1927" s="73"/>
      <c r="S1927" s="73"/>
      <c r="T1927" s="73"/>
      <c r="U1927" s="73"/>
      <c r="V1927" s="73"/>
      <c r="W1927" s="73"/>
      <c r="X1927" s="73"/>
      <c r="Y1927" s="73"/>
      <c r="Z1927" s="73"/>
      <c r="AA1927" s="73"/>
    </row>
    <row r="1928" spans="1:27" ht="12.75" customHeight="1">
      <c r="A1928" s="73"/>
      <c r="B1928" s="32"/>
      <c r="C1928" s="32"/>
      <c r="D1928" s="33"/>
      <c r="E1928" s="32"/>
      <c r="F1928" s="32"/>
      <c r="G1928" s="74"/>
      <c r="H1928" s="32"/>
      <c r="I1928" s="32"/>
      <c r="J1928" s="32"/>
      <c r="K1928" s="74"/>
      <c r="L1928" s="35"/>
      <c r="M1928" s="32"/>
      <c r="N1928" s="32"/>
      <c r="O1928" s="59"/>
      <c r="P1928" s="73"/>
      <c r="Q1928" s="73"/>
      <c r="R1928" s="73"/>
      <c r="S1928" s="73"/>
      <c r="T1928" s="73"/>
      <c r="U1928" s="73"/>
      <c r="V1928" s="73"/>
      <c r="W1928" s="73"/>
      <c r="X1928" s="73"/>
      <c r="Y1928" s="73"/>
      <c r="Z1928" s="73"/>
      <c r="AA1928" s="73"/>
    </row>
    <row r="1929" spans="1:27" ht="12.75" customHeight="1">
      <c r="A1929" s="73"/>
      <c r="B1929" s="32"/>
      <c r="C1929" s="32"/>
      <c r="D1929" s="33"/>
      <c r="E1929" s="32"/>
      <c r="F1929" s="32"/>
      <c r="G1929" s="74"/>
      <c r="H1929" s="32"/>
      <c r="I1929" s="32"/>
      <c r="J1929" s="32"/>
      <c r="K1929" s="74"/>
      <c r="L1929" s="35"/>
      <c r="M1929" s="32"/>
      <c r="N1929" s="32"/>
      <c r="O1929" s="59"/>
      <c r="P1929" s="73"/>
      <c r="Q1929" s="73"/>
      <c r="R1929" s="73"/>
      <c r="S1929" s="73"/>
      <c r="T1929" s="73"/>
      <c r="U1929" s="73"/>
      <c r="V1929" s="73"/>
      <c r="W1929" s="73"/>
      <c r="X1929" s="73"/>
      <c r="Y1929" s="73"/>
      <c r="Z1929" s="73"/>
      <c r="AA1929" s="73"/>
    </row>
    <row r="1930" spans="1:27" ht="12.75" customHeight="1">
      <c r="A1930" s="73"/>
      <c r="B1930" s="32"/>
      <c r="C1930" s="32"/>
      <c r="D1930" s="33"/>
      <c r="E1930" s="32"/>
      <c r="F1930" s="32"/>
      <c r="G1930" s="74"/>
      <c r="H1930" s="32"/>
      <c r="I1930" s="32"/>
      <c r="J1930" s="32"/>
      <c r="K1930" s="74"/>
      <c r="L1930" s="35"/>
      <c r="M1930" s="32"/>
      <c r="N1930" s="32"/>
      <c r="O1930" s="59"/>
      <c r="P1930" s="73"/>
      <c r="Q1930" s="73"/>
      <c r="R1930" s="73"/>
      <c r="S1930" s="73"/>
      <c r="T1930" s="73"/>
      <c r="U1930" s="73"/>
      <c r="V1930" s="73"/>
      <c r="W1930" s="73"/>
      <c r="X1930" s="73"/>
      <c r="Y1930" s="73"/>
      <c r="Z1930" s="73"/>
      <c r="AA1930" s="73"/>
    </row>
    <row r="1931" spans="1:27" ht="12.75" customHeight="1">
      <c r="A1931" s="73"/>
      <c r="B1931" s="32"/>
      <c r="C1931" s="32"/>
      <c r="D1931" s="33"/>
      <c r="E1931" s="32"/>
      <c r="F1931" s="32"/>
      <c r="G1931" s="74"/>
      <c r="H1931" s="32"/>
      <c r="I1931" s="32"/>
      <c r="J1931" s="32"/>
      <c r="K1931" s="74"/>
      <c r="L1931" s="35"/>
      <c r="M1931" s="32"/>
      <c r="N1931" s="32"/>
      <c r="O1931" s="59"/>
      <c r="P1931" s="73"/>
      <c r="Q1931" s="73"/>
      <c r="R1931" s="73"/>
      <c r="S1931" s="73"/>
      <c r="T1931" s="73"/>
      <c r="U1931" s="73"/>
      <c r="V1931" s="73"/>
      <c r="W1931" s="73"/>
      <c r="X1931" s="73"/>
      <c r="Y1931" s="73"/>
      <c r="Z1931" s="73"/>
      <c r="AA1931" s="73"/>
    </row>
    <row r="1932" spans="1:27" ht="12.75" customHeight="1">
      <c r="A1932" s="73"/>
      <c r="B1932" s="32"/>
      <c r="C1932" s="32"/>
      <c r="D1932" s="33"/>
      <c r="E1932" s="32"/>
      <c r="F1932" s="32"/>
      <c r="G1932" s="74"/>
      <c r="H1932" s="32"/>
      <c r="I1932" s="32"/>
      <c r="J1932" s="32"/>
      <c r="K1932" s="74"/>
      <c r="L1932" s="35"/>
      <c r="M1932" s="32"/>
      <c r="N1932" s="32"/>
      <c r="O1932" s="59"/>
      <c r="P1932" s="73"/>
      <c r="Q1932" s="73"/>
      <c r="R1932" s="73"/>
      <c r="S1932" s="73"/>
      <c r="T1932" s="73"/>
      <c r="U1932" s="73"/>
      <c r="V1932" s="73"/>
      <c r="W1932" s="73"/>
      <c r="X1932" s="73"/>
      <c r="Y1932" s="73"/>
      <c r="Z1932" s="73"/>
      <c r="AA1932" s="73"/>
    </row>
    <row r="1933" spans="1:27" ht="12.75" customHeight="1">
      <c r="A1933" s="73"/>
      <c r="B1933" s="32"/>
      <c r="C1933" s="32"/>
      <c r="D1933" s="33"/>
      <c r="E1933" s="32"/>
      <c r="F1933" s="32"/>
      <c r="G1933" s="74"/>
      <c r="H1933" s="32"/>
      <c r="I1933" s="32"/>
      <c r="J1933" s="32"/>
      <c r="K1933" s="74"/>
      <c r="L1933" s="35"/>
      <c r="M1933" s="32"/>
      <c r="N1933" s="32"/>
      <c r="O1933" s="59"/>
      <c r="P1933" s="73"/>
      <c r="Q1933" s="73"/>
      <c r="R1933" s="73"/>
      <c r="S1933" s="73"/>
      <c r="T1933" s="73"/>
      <c r="U1933" s="73"/>
      <c r="V1933" s="73"/>
      <c r="W1933" s="73"/>
      <c r="X1933" s="73"/>
      <c r="Y1933" s="73"/>
      <c r="Z1933" s="73"/>
      <c r="AA1933" s="73"/>
    </row>
    <row r="1934" spans="1:27" ht="12.75" customHeight="1">
      <c r="A1934" s="73"/>
      <c r="B1934" s="32"/>
      <c r="C1934" s="32"/>
      <c r="D1934" s="33"/>
      <c r="E1934" s="32"/>
      <c r="F1934" s="32"/>
      <c r="G1934" s="74"/>
      <c r="H1934" s="32"/>
      <c r="I1934" s="32"/>
      <c r="J1934" s="32"/>
      <c r="K1934" s="74"/>
      <c r="L1934" s="35"/>
      <c r="M1934" s="32"/>
      <c r="N1934" s="32"/>
      <c r="O1934" s="59"/>
      <c r="P1934" s="73"/>
      <c r="Q1934" s="73"/>
      <c r="R1934" s="73"/>
      <c r="S1934" s="73"/>
      <c r="T1934" s="73"/>
      <c r="U1934" s="73"/>
      <c r="V1934" s="73"/>
      <c r="W1934" s="73"/>
      <c r="X1934" s="73"/>
      <c r="Y1934" s="73"/>
      <c r="Z1934" s="73"/>
      <c r="AA1934" s="73"/>
    </row>
    <row r="1935" spans="1:27" ht="12.75" customHeight="1">
      <c r="A1935" s="73"/>
      <c r="B1935" s="32"/>
      <c r="C1935" s="32"/>
      <c r="D1935" s="33"/>
      <c r="E1935" s="32"/>
      <c r="F1935" s="32"/>
      <c r="G1935" s="74"/>
      <c r="H1935" s="32"/>
      <c r="I1935" s="32"/>
      <c r="J1935" s="32"/>
      <c r="K1935" s="74"/>
      <c r="L1935" s="35"/>
      <c r="M1935" s="32"/>
      <c r="N1935" s="32"/>
      <c r="O1935" s="59"/>
      <c r="P1935" s="73"/>
      <c r="Q1935" s="73"/>
      <c r="R1935" s="73"/>
      <c r="S1935" s="73"/>
      <c r="T1935" s="73"/>
      <c r="U1935" s="73"/>
      <c r="V1935" s="73"/>
      <c r="W1935" s="73"/>
      <c r="X1935" s="73"/>
      <c r="Y1935" s="73"/>
      <c r="Z1935" s="73"/>
      <c r="AA1935" s="73"/>
    </row>
    <row r="1936" spans="1:27" ht="12.75" customHeight="1">
      <c r="A1936" s="73"/>
      <c r="B1936" s="32"/>
      <c r="C1936" s="32"/>
      <c r="D1936" s="33"/>
      <c r="E1936" s="32"/>
      <c r="F1936" s="32"/>
      <c r="G1936" s="74"/>
      <c r="H1936" s="32"/>
      <c r="I1936" s="32"/>
      <c r="J1936" s="32"/>
      <c r="K1936" s="74"/>
      <c r="L1936" s="35"/>
      <c r="M1936" s="32"/>
      <c r="N1936" s="32"/>
      <c r="O1936" s="59"/>
      <c r="P1936" s="73"/>
      <c r="Q1936" s="73"/>
      <c r="R1936" s="73"/>
      <c r="S1936" s="73"/>
      <c r="T1936" s="73"/>
      <c r="U1936" s="73"/>
      <c r="V1936" s="73"/>
      <c r="W1936" s="73"/>
      <c r="X1936" s="73"/>
      <c r="Y1936" s="73"/>
      <c r="Z1936" s="73"/>
      <c r="AA1936" s="73"/>
    </row>
    <row r="1937" spans="1:27" ht="12.75" customHeight="1">
      <c r="A1937" s="73"/>
      <c r="B1937" s="32"/>
      <c r="C1937" s="32"/>
      <c r="D1937" s="33"/>
      <c r="E1937" s="32"/>
      <c r="F1937" s="32"/>
      <c r="G1937" s="74"/>
      <c r="H1937" s="32"/>
      <c r="I1937" s="32"/>
      <c r="J1937" s="32"/>
      <c r="K1937" s="74"/>
      <c r="L1937" s="35"/>
      <c r="M1937" s="32"/>
      <c r="N1937" s="32"/>
      <c r="O1937" s="59"/>
      <c r="P1937" s="73"/>
      <c r="Q1937" s="73"/>
      <c r="R1937" s="73"/>
      <c r="S1937" s="73"/>
      <c r="T1937" s="73"/>
      <c r="U1937" s="73"/>
      <c r="V1937" s="73"/>
      <c r="W1937" s="73"/>
      <c r="X1937" s="73"/>
      <c r="Y1937" s="73"/>
      <c r="Z1937" s="73"/>
      <c r="AA1937" s="73"/>
    </row>
    <row r="1938" spans="1:27" ht="12.75" customHeight="1">
      <c r="A1938" s="73"/>
      <c r="B1938" s="32"/>
      <c r="C1938" s="32"/>
      <c r="D1938" s="33"/>
      <c r="E1938" s="32"/>
      <c r="F1938" s="32"/>
      <c r="G1938" s="74"/>
      <c r="H1938" s="32"/>
      <c r="I1938" s="32"/>
      <c r="J1938" s="32"/>
      <c r="K1938" s="74"/>
      <c r="L1938" s="35"/>
      <c r="M1938" s="32"/>
      <c r="N1938" s="32"/>
      <c r="O1938" s="59"/>
      <c r="P1938" s="73"/>
      <c r="Q1938" s="73"/>
      <c r="R1938" s="73"/>
      <c r="S1938" s="73"/>
      <c r="T1938" s="73"/>
      <c r="U1938" s="73"/>
      <c r="V1938" s="73"/>
      <c r="W1938" s="73"/>
      <c r="X1938" s="73"/>
      <c r="Y1938" s="73"/>
      <c r="Z1938" s="73"/>
      <c r="AA1938" s="73"/>
    </row>
    <row r="1939" spans="1:27" ht="12.75" customHeight="1">
      <c r="A1939" s="73"/>
      <c r="B1939" s="32"/>
      <c r="C1939" s="32"/>
      <c r="D1939" s="33"/>
      <c r="E1939" s="32"/>
      <c r="F1939" s="32"/>
      <c r="G1939" s="74"/>
      <c r="H1939" s="32"/>
      <c r="I1939" s="32"/>
      <c r="J1939" s="32"/>
      <c r="K1939" s="74"/>
      <c r="L1939" s="35"/>
      <c r="M1939" s="32"/>
      <c r="N1939" s="32"/>
      <c r="O1939" s="59"/>
      <c r="P1939" s="73"/>
      <c r="Q1939" s="73"/>
      <c r="R1939" s="73"/>
      <c r="S1939" s="73"/>
      <c r="T1939" s="73"/>
      <c r="U1939" s="73"/>
      <c r="V1939" s="73"/>
      <c r="W1939" s="73"/>
      <c r="X1939" s="73"/>
      <c r="Y1939" s="73"/>
      <c r="Z1939" s="73"/>
      <c r="AA1939" s="73"/>
    </row>
    <row r="1940" spans="1:27" ht="12.75" customHeight="1">
      <c r="A1940" s="73"/>
      <c r="B1940" s="32"/>
      <c r="C1940" s="32"/>
      <c r="D1940" s="33"/>
      <c r="E1940" s="32"/>
      <c r="F1940" s="32"/>
      <c r="G1940" s="74"/>
      <c r="H1940" s="32"/>
      <c r="I1940" s="32"/>
      <c r="J1940" s="32"/>
      <c r="K1940" s="74"/>
      <c r="L1940" s="35"/>
      <c r="M1940" s="32"/>
      <c r="N1940" s="32"/>
      <c r="O1940" s="59"/>
      <c r="P1940" s="73"/>
      <c r="Q1940" s="73"/>
      <c r="R1940" s="73"/>
      <c r="S1940" s="73"/>
      <c r="T1940" s="73"/>
      <c r="U1940" s="73"/>
      <c r="V1940" s="73"/>
      <c r="W1940" s="73"/>
      <c r="X1940" s="73"/>
      <c r="Y1940" s="73"/>
      <c r="Z1940" s="73"/>
      <c r="AA1940" s="73"/>
    </row>
    <row r="1941" spans="1:27" ht="12.75" customHeight="1">
      <c r="A1941" s="73"/>
      <c r="B1941" s="32"/>
      <c r="C1941" s="32"/>
      <c r="D1941" s="33"/>
      <c r="E1941" s="32"/>
      <c r="F1941" s="32"/>
      <c r="G1941" s="74"/>
      <c r="H1941" s="32"/>
      <c r="I1941" s="32"/>
      <c r="J1941" s="32"/>
      <c r="K1941" s="74"/>
      <c r="L1941" s="35"/>
      <c r="M1941" s="32"/>
      <c r="N1941" s="32"/>
      <c r="O1941" s="59"/>
      <c r="P1941" s="73"/>
      <c r="Q1941" s="73"/>
      <c r="R1941" s="73"/>
      <c r="S1941" s="73"/>
      <c r="T1941" s="73"/>
      <c r="U1941" s="73"/>
      <c r="V1941" s="73"/>
      <c r="W1941" s="73"/>
      <c r="X1941" s="73"/>
      <c r="Y1941" s="73"/>
      <c r="Z1941" s="73"/>
      <c r="AA1941" s="73"/>
    </row>
    <row r="1942" spans="1:27" ht="12.75" customHeight="1">
      <c r="A1942" s="73"/>
      <c r="B1942" s="32"/>
      <c r="C1942" s="32"/>
      <c r="D1942" s="33"/>
      <c r="E1942" s="32"/>
      <c r="F1942" s="32"/>
      <c r="G1942" s="74"/>
      <c r="H1942" s="32"/>
      <c r="I1942" s="32"/>
      <c r="J1942" s="32"/>
      <c r="K1942" s="74"/>
      <c r="L1942" s="35"/>
      <c r="M1942" s="32"/>
      <c r="N1942" s="32"/>
      <c r="O1942" s="59"/>
      <c r="P1942" s="73"/>
      <c r="Q1942" s="73"/>
      <c r="R1942" s="73"/>
      <c r="S1942" s="73"/>
      <c r="T1942" s="73"/>
      <c r="U1942" s="73"/>
      <c r="V1942" s="73"/>
      <c r="W1942" s="73"/>
      <c r="X1942" s="73"/>
      <c r="Y1942" s="73"/>
      <c r="Z1942" s="73"/>
      <c r="AA1942" s="73"/>
    </row>
    <row r="1943" spans="1:27" ht="12.75" customHeight="1">
      <c r="A1943" s="73"/>
      <c r="B1943" s="32"/>
      <c r="C1943" s="32"/>
      <c r="D1943" s="33"/>
      <c r="E1943" s="32"/>
      <c r="F1943" s="32"/>
      <c r="G1943" s="74"/>
      <c r="H1943" s="32"/>
      <c r="I1943" s="32"/>
      <c r="J1943" s="32"/>
      <c r="K1943" s="74"/>
      <c r="L1943" s="35"/>
      <c r="M1943" s="32"/>
      <c r="N1943" s="32"/>
      <c r="O1943" s="59"/>
      <c r="P1943" s="73"/>
      <c r="Q1943" s="73"/>
      <c r="R1943" s="73"/>
      <c r="S1943" s="73"/>
      <c r="T1943" s="73"/>
      <c r="U1943" s="73"/>
      <c r="V1943" s="73"/>
      <c r="W1943" s="73"/>
      <c r="X1943" s="73"/>
      <c r="Y1943" s="73"/>
      <c r="Z1943" s="73"/>
      <c r="AA1943" s="73"/>
    </row>
    <row r="1944" spans="1:27" ht="12.75" customHeight="1">
      <c r="A1944" s="73"/>
      <c r="B1944" s="32"/>
      <c r="C1944" s="32"/>
      <c r="D1944" s="33"/>
      <c r="E1944" s="32"/>
      <c r="F1944" s="32"/>
      <c r="G1944" s="74"/>
      <c r="H1944" s="32"/>
      <c r="I1944" s="32"/>
      <c r="J1944" s="32"/>
      <c r="K1944" s="74"/>
      <c r="L1944" s="35"/>
      <c r="M1944" s="32"/>
      <c r="N1944" s="32"/>
      <c r="O1944" s="59"/>
      <c r="P1944" s="73"/>
      <c r="Q1944" s="73"/>
      <c r="R1944" s="73"/>
      <c r="S1944" s="73"/>
      <c r="T1944" s="73"/>
      <c r="U1944" s="73"/>
      <c r="V1944" s="73"/>
      <c r="W1944" s="73"/>
      <c r="X1944" s="73"/>
      <c r="Y1944" s="73"/>
      <c r="Z1944" s="73"/>
      <c r="AA1944" s="73"/>
    </row>
    <row r="1945" spans="1:27" ht="12.75" customHeight="1">
      <c r="A1945" s="73"/>
      <c r="B1945" s="32"/>
      <c r="C1945" s="32"/>
      <c r="D1945" s="33"/>
      <c r="E1945" s="32"/>
      <c r="F1945" s="32"/>
      <c r="G1945" s="74"/>
      <c r="H1945" s="32"/>
      <c r="I1945" s="32"/>
      <c r="J1945" s="32"/>
      <c r="K1945" s="74"/>
      <c r="L1945" s="35"/>
      <c r="M1945" s="32"/>
      <c r="N1945" s="32"/>
      <c r="O1945" s="59"/>
      <c r="P1945" s="73"/>
      <c r="Q1945" s="73"/>
      <c r="R1945" s="73"/>
      <c r="S1945" s="73"/>
      <c r="T1945" s="73"/>
      <c r="U1945" s="73"/>
      <c r="V1945" s="73"/>
      <c r="W1945" s="73"/>
      <c r="X1945" s="73"/>
      <c r="Y1945" s="73"/>
      <c r="Z1945" s="73"/>
      <c r="AA1945" s="73"/>
    </row>
    <row r="1946" spans="1:27" ht="12.75" customHeight="1">
      <c r="A1946" s="73"/>
      <c r="B1946" s="32"/>
      <c r="C1946" s="32"/>
      <c r="D1946" s="33"/>
      <c r="E1946" s="32"/>
      <c r="F1946" s="32"/>
      <c r="G1946" s="74"/>
      <c r="H1946" s="32"/>
      <c r="I1946" s="32"/>
      <c r="J1946" s="32"/>
      <c r="K1946" s="74"/>
      <c r="L1946" s="35"/>
      <c r="M1946" s="32"/>
      <c r="N1946" s="32"/>
      <c r="O1946" s="59"/>
      <c r="P1946" s="73"/>
      <c r="Q1946" s="73"/>
      <c r="R1946" s="73"/>
      <c r="S1946" s="73"/>
      <c r="T1946" s="73"/>
      <c r="U1946" s="73"/>
      <c r="V1946" s="73"/>
      <c r="W1946" s="73"/>
      <c r="X1946" s="73"/>
      <c r="Y1946" s="73"/>
      <c r="Z1946" s="73"/>
      <c r="AA1946" s="73"/>
    </row>
    <row r="1947" spans="1:27" ht="12.75" customHeight="1">
      <c r="A1947" s="73"/>
      <c r="B1947" s="32"/>
      <c r="C1947" s="32"/>
      <c r="D1947" s="33"/>
      <c r="E1947" s="32"/>
      <c r="F1947" s="32"/>
      <c r="G1947" s="74"/>
      <c r="H1947" s="32"/>
      <c r="I1947" s="32"/>
      <c r="J1947" s="32"/>
      <c r="K1947" s="74"/>
      <c r="L1947" s="35"/>
      <c r="M1947" s="32"/>
      <c r="N1947" s="32"/>
      <c r="O1947" s="59"/>
      <c r="P1947" s="73"/>
      <c r="Q1947" s="73"/>
      <c r="R1947" s="73"/>
      <c r="S1947" s="73"/>
      <c r="T1947" s="73"/>
      <c r="U1947" s="73"/>
      <c r="V1947" s="73"/>
      <c r="W1947" s="73"/>
      <c r="X1947" s="73"/>
      <c r="Y1947" s="73"/>
      <c r="Z1947" s="73"/>
      <c r="AA1947" s="73"/>
    </row>
    <row r="1948" spans="1:27" ht="12.75" customHeight="1">
      <c r="A1948" s="73"/>
      <c r="B1948" s="32"/>
      <c r="C1948" s="32"/>
      <c r="D1948" s="33"/>
      <c r="E1948" s="32"/>
      <c r="F1948" s="32"/>
      <c r="G1948" s="74"/>
      <c r="H1948" s="32"/>
      <c r="I1948" s="32"/>
      <c r="J1948" s="32"/>
      <c r="K1948" s="74"/>
      <c r="L1948" s="35"/>
      <c r="M1948" s="32"/>
      <c r="N1948" s="32"/>
      <c r="O1948" s="59"/>
      <c r="P1948" s="73"/>
      <c r="Q1948" s="73"/>
      <c r="R1948" s="73"/>
      <c r="S1948" s="73"/>
      <c r="T1948" s="73"/>
      <c r="U1948" s="73"/>
      <c r="V1948" s="73"/>
      <c r="W1948" s="73"/>
      <c r="X1948" s="73"/>
      <c r="Y1948" s="73"/>
      <c r="Z1948" s="73"/>
      <c r="AA1948" s="73"/>
    </row>
    <row r="1949" spans="1:27" ht="12.75" customHeight="1">
      <c r="A1949" s="73"/>
      <c r="B1949" s="32"/>
      <c r="C1949" s="32"/>
      <c r="D1949" s="33"/>
      <c r="E1949" s="32"/>
      <c r="F1949" s="32"/>
      <c r="G1949" s="74"/>
      <c r="H1949" s="32"/>
      <c r="I1949" s="32"/>
      <c r="J1949" s="32"/>
      <c r="K1949" s="74"/>
      <c r="L1949" s="35"/>
      <c r="M1949" s="32"/>
      <c r="N1949" s="32"/>
      <c r="O1949" s="59"/>
      <c r="P1949" s="73"/>
      <c r="Q1949" s="73"/>
      <c r="R1949" s="73"/>
      <c r="S1949" s="73"/>
      <c r="T1949" s="73"/>
      <c r="U1949" s="73"/>
      <c r="V1949" s="73"/>
      <c r="W1949" s="73"/>
      <c r="X1949" s="73"/>
      <c r="Y1949" s="73"/>
      <c r="Z1949" s="73"/>
      <c r="AA1949" s="73"/>
    </row>
    <row r="1950" spans="1:27" ht="12.75" customHeight="1">
      <c r="A1950" s="73"/>
      <c r="B1950" s="32"/>
      <c r="C1950" s="32"/>
      <c r="D1950" s="33"/>
      <c r="E1950" s="32"/>
      <c r="F1950" s="32"/>
      <c r="G1950" s="74"/>
      <c r="H1950" s="32"/>
      <c r="I1950" s="32"/>
      <c r="J1950" s="32"/>
      <c r="K1950" s="74"/>
      <c r="L1950" s="35"/>
      <c r="M1950" s="32"/>
      <c r="N1950" s="32"/>
      <c r="O1950" s="59"/>
      <c r="P1950" s="73"/>
      <c r="Q1950" s="73"/>
      <c r="R1950" s="73"/>
      <c r="S1950" s="73"/>
      <c r="T1950" s="73"/>
      <c r="U1950" s="73"/>
      <c r="V1950" s="73"/>
      <c r="W1950" s="73"/>
      <c r="X1950" s="73"/>
      <c r="Y1950" s="73"/>
      <c r="Z1950" s="73"/>
      <c r="AA1950" s="73"/>
    </row>
    <row r="1951" spans="1:27" ht="12.75" customHeight="1">
      <c r="A1951" s="73"/>
      <c r="B1951" s="32"/>
      <c r="C1951" s="32"/>
      <c r="D1951" s="33"/>
      <c r="E1951" s="32"/>
      <c r="F1951" s="32"/>
      <c r="G1951" s="74"/>
      <c r="H1951" s="32"/>
      <c r="I1951" s="32"/>
      <c r="J1951" s="32"/>
      <c r="K1951" s="74"/>
      <c r="L1951" s="35"/>
      <c r="M1951" s="32"/>
      <c r="N1951" s="32"/>
      <c r="O1951" s="59"/>
      <c r="P1951" s="73"/>
      <c r="Q1951" s="73"/>
      <c r="R1951" s="73"/>
      <c r="S1951" s="73"/>
      <c r="T1951" s="73"/>
      <c r="U1951" s="73"/>
      <c r="V1951" s="73"/>
      <c r="W1951" s="73"/>
      <c r="X1951" s="73"/>
      <c r="Y1951" s="73"/>
      <c r="Z1951" s="73"/>
      <c r="AA1951" s="73"/>
    </row>
    <row r="1952" spans="1:27" ht="12.75" customHeight="1">
      <c r="A1952" s="73"/>
      <c r="B1952" s="32"/>
      <c r="C1952" s="32"/>
      <c r="D1952" s="33"/>
      <c r="E1952" s="32"/>
      <c r="F1952" s="32"/>
      <c r="G1952" s="74"/>
      <c r="H1952" s="32"/>
      <c r="I1952" s="32"/>
      <c r="J1952" s="32"/>
      <c r="K1952" s="74"/>
      <c r="L1952" s="35"/>
      <c r="M1952" s="32"/>
      <c r="N1952" s="32"/>
      <c r="O1952" s="59"/>
      <c r="P1952" s="73"/>
      <c r="Q1952" s="73"/>
      <c r="R1952" s="73"/>
      <c r="S1952" s="73"/>
      <c r="T1952" s="73"/>
      <c r="U1952" s="73"/>
      <c r="V1952" s="73"/>
      <c r="W1952" s="73"/>
      <c r="X1952" s="73"/>
      <c r="Y1952" s="73"/>
      <c r="Z1952" s="73"/>
      <c r="AA1952" s="73"/>
    </row>
    <row r="1953" spans="1:27" ht="12.75" customHeight="1">
      <c r="A1953" s="73"/>
      <c r="B1953" s="32"/>
      <c r="C1953" s="32"/>
      <c r="D1953" s="33"/>
      <c r="E1953" s="32"/>
      <c r="F1953" s="32"/>
      <c r="G1953" s="74"/>
      <c r="H1953" s="32"/>
      <c r="I1953" s="32"/>
      <c r="J1953" s="32"/>
      <c r="K1953" s="74"/>
      <c r="L1953" s="35"/>
      <c r="M1953" s="32"/>
      <c r="N1953" s="32"/>
      <c r="O1953" s="59"/>
      <c r="P1953" s="73"/>
      <c r="Q1953" s="73"/>
      <c r="R1953" s="73"/>
      <c r="S1953" s="73"/>
      <c r="T1953" s="73"/>
      <c r="U1953" s="73"/>
      <c r="V1953" s="73"/>
      <c r="W1953" s="73"/>
      <c r="X1953" s="73"/>
      <c r="Y1953" s="73"/>
      <c r="Z1953" s="73"/>
      <c r="AA1953" s="73"/>
    </row>
    <row r="1954" spans="1:27" ht="12.75" customHeight="1">
      <c r="A1954" s="73"/>
      <c r="B1954" s="32"/>
      <c r="C1954" s="32"/>
      <c r="D1954" s="33"/>
      <c r="E1954" s="32"/>
      <c r="F1954" s="32"/>
      <c r="G1954" s="74"/>
      <c r="H1954" s="32"/>
      <c r="I1954" s="32"/>
      <c r="J1954" s="32"/>
      <c r="K1954" s="74"/>
      <c r="L1954" s="35"/>
      <c r="M1954" s="32"/>
      <c r="N1954" s="32"/>
      <c r="O1954" s="59"/>
      <c r="P1954" s="73"/>
      <c r="Q1954" s="73"/>
      <c r="R1954" s="73"/>
      <c r="S1954" s="73"/>
      <c r="T1954" s="73"/>
      <c r="U1954" s="73"/>
      <c r="V1954" s="73"/>
      <c r="W1954" s="73"/>
      <c r="X1954" s="73"/>
      <c r="Y1954" s="73"/>
      <c r="Z1954" s="73"/>
      <c r="AA1954" s="73"/>
    </row>
    <row r="1955" spans="1:27" ht="12.75" customHeight="1">
      <c r="A1955" s="73"/>
      <c r="B1955" s="32"/>
      <c r="C1955" s="32"/>
      <c r="D1955" s="33"/>
      <c r="E1955" s="32"/>
      <c r="F1955" s="32"/>
      <c r="G1955" s="74"/>
      <c r="H1955" s="32"/>
      <c r="I1955" s="32"/>
      <c r="J1955" s="32"/>
      <c r="K1955" s="74"/>
      <c r="L1955" s="35"/>
      <c r="M1955" s="32"/>
      <c r="N1955" s="32"/>
      <c r="O1955" s="59"/>
      <c r="P1955" s="73"/>
      <c r="Q1955" s="73"/>
      <c r="R1955" s="73"/>
      <c r="S1955" s="73"/>
      <c r="T1955" s="73"/>
      <c r="U1955" s="73"/>
      <c r="V1955" s="73"/>
      <c r="W1955" s="73"/>
      <c r="X1955" s="73"/>
      <c r="Y1955" s="73"/>
      <c r="Z1955" s="73"/>
      <c r="AA1955" s="73"/>
    </row>
    <row r="1956" spans="1:27" ht="12.75" customHeight="1">
      <c r="A1956" s="73"/>
      <c r="B1956" s="32"/>
      <c r="C1956" s="32"/>
      <c r="D1956" s="33"/>
      <c r="E1956" s="32"/>
      <c r="F1956" s="32"/>
      <c r="G1956" s="74"/>
      <c r="H1956" s="32"/>
      <c r="I1956" s="32"/>
      <c r="J1956" s="32"/>
      <c r="K1956" s="74"/>
      <c r="L1956" s="35"/>
      <c r="M1956" s="32"/>
      <c r="N1956" s="32"/>
      <c r="O1956" s="59"/>
      <c r="P1956" s="73"/>
      <c r="Q1956" s="73"/>
      <c r="R1956" s="73"/>
      <c r="S1956" s="73"/>
      <c r="T1956" s="73"/>
      <c r="U1956" s="73"/>
      <c r="V1956" s="73"/>
      <c r="W1956" s="73"/>
      <c r="X1956" s="73"/>
      <c r="Y1956" s="73"/>
      <c r="Z1956" s="73"/>
      <c r="AA1956" s="73"/>
    </row>
    <row r="1957" spans="1:27" ht="12.75" customHeight="1">
      <c r="A1957" s="73"/>
      <c r="B1957" s="32"/>
      <c r="C1957" s="32"/>
      <c r="D1957" s="33"/>
      <c r="E1957" s="32"/>
      <c r="F1957" s="32"/>
      <c r="G1957" s="74"/>
      <c r="H1957" s="32"/>
      <c r="I1957" s="32"/>
      <c r="J1957" s="32"/>
      <c r="K1957" s="74"/>
      <c r="L1957" s="35"/>
      <c r="M1957" s="32"/>
      <c r="N1957" s="32"/>
      <c r="O1957" s="59"/>
      <c r="P1957" s="73"/>
      <c r="Q1957" s="73"/>
      <c r="R1957" s="73"/>
      <c r="S1957" s="73"/>
      <c r="T1957" s="73"/>
      <c r="U1957" s="73"/>
      <c r="V1957" s="73"/>
      <c r="W1957" s="73"/>
      <c r="X1957" s="73"/>
      <c r="Y1957" s="73"/>
      <c r="Z1957" s="73"/>
      <c r="AA1957" s="73"/>
    </row>
    <row r="1958" spans="1:27" ht="12.75" customHeight="1">
      <c r="A1958" s="73"/>
      <c r="B1958" s="32"/>
      <c r="C1958" s="32"/>
      <c r="D1958" s="33"/>
      <c r="E1958" s="32"/>
      <c r="F1958" s="32"/>
      <c r="G1958" s="74"/>
      <c r="H1958" s="32"/>
      <c r="I1958" s="32"/>
      <c r="J1958" s="32"/>
      <c r="K1958" s="74"/>
      <c r="L1958" s="35"/>
      <c r="M1958" s="32"/>
      <c r="N1958" s="32"/>
      <c r="O1958" s="59"/>
      <c r="P1958" s="73"/>
      <c r="Q1958" s="73"/>
      <c r="R1958" s="73"/>
      <c r="S1958" s="73"/>
      <c r="T1958" s="73"/>
      <c r="U1958" s="73"/>
      <c r="V1958" s="73"/>
      <c r="W1958" s="73"/>
      <c r="X1958" s="73"/>
      <c r="Y1958" s="73"/>
      <c r="Z1958" s="73"/>
      <c r="AA1958" s="73"/>
    </row>
    <row r="1959" spans="1:27" ht="12.75" customHeight="1">
      <c r="A1959" s="73"/>
      <c r="B1959" s="32"/>
      <c r="C1959" s="32"/>
      <c r="D1959" s="33"/>
      <c r="E1959" s="32"/>
      <c r="F1959" s="32"/>
      <c r="G1959" s="74"/>
      <c r="H1959" s="32"/>
      <c r="I1959" s="32"/>
      <c r="J1959" s="32"/>
      <c r="K1959" s="74"/>
      <c r="L1959" s="35"/>
      <c r="M1959" s="32"/>
      <c r="N1959" s="32"/>
      <c r="O1959" s="59"/>
      <c r="P1959" s="73"/>
      <c r="Q1959" s="73"/>
      <c r="R1959" s="73"/>
      <c r="S1959" s="73"/>
      <c r="T1959" s="73"/>
      <c r="U1959" s="73"/>
      <c r="V1959" s="73"/>
      <c r="W1959" s="73"/>
      <c r="X1959" s="73"/>
      <c r="Y1959" s="73"/>
      <c r="Z1959" s="73"/>
      <c r="AA1959" s="73"/>
    </row>
    <row r="1960" spans="1:27" ht="12.75" customHeight="1">
      <c r="A1960" s="73"/>
      <c r="B1960" s="32"/>
      <c r="C1960" s="32"/>
      <c r="D1960" s="33"/>
      <c r="E1960" s="32"/>
      <c r="F1960" s="32"/>
      <c r="G1960" s="74"/>
      <c r="H1960" s="32"/>
      <c r="I1960" s="32"/>
      <c r="J1960" s="32"/>
      <c r="K1960" s="74"/>
      <c r="L1960" s="35"/>
      <c r="M1960" s="32"/>
      <c r="N1960" s="32"/>
      <c r="O1960" s="59"/>
      <c r="P1960" s="73"/>
      <c r="Q1960" s="73"/>
      <c r="R1960" s="73"/>
      <c r="S1960" s="73"/>
      <c r="T1960" s="73"/>
      <c r="U1960" s="73"/>
      <c r="V1960" s="73"/>
      <c r="W1960" s="73"/>
      <c r="X1960" s="73"/>
      <c r="Y1960" s="73"/>
      <c r="Z1960" s="73"/>
      <c r="AA1960" s="73"/>
    </row>
    <row r="1961" spans="1:27" ht="12.75" customHeight="1">
      <c r="A1961" s="73"/>
      <c r="B1961" s="32"/>
      <c r="C1961" s="32"/>
      <c r="D1961" s="33"/>
      <c r="E1961" s="32"/>
      <c r="F1961" s="32"/>
      <c r="G1961" s="74"/>
      <c r="H1961" s="32"/>
      <c r="I1961" s="32"/>
      <c r="J1961" s="32"/>
      <c r="K1961" s="74"/>
      <c r="L1961" s="35"/>
      <c r="M1961" s="32"/>
      <c r="N1961" s="32"/>
      <c r="O1961" s="59"/>
      <c r="P1961" s="73"/>
      <c r="Q1961" s="73"/>
      <c r="R1961" s="73"/>
      <c r="S1961" s="73"/>
      <c r="T1961" s="73"/>
      <c r="U1961" s="73"/>
      <c r="V1961" s="73"/>
      <c r="W1961" s="73"/>
      <c r="X1961" s="73"/>
      <c r="Y1961" s="73"/>
      <c r="Z1961" s="73"/>
      <c r="AA1961" s="73"/>
    </row>
    <row r="1962" spans="1:27" ht="12.75" customHeight="1">
      <c r="A1962" s="73"/>
      <c r="B1962" s="32"/>
      <c r="C1962" s="32"/>
      <c r="D1962" s="33"/>
      <c r="E1962" s="32"/>
      <c r="F1962" s="32"/>
      <c r="G1962" s="74"/>
      <c r="H1962" s="32"/>
      <c r="I1962" s="32"/>
      <c r="J1962" s="32"/>
      <c r="K1962" s="74"/>
      <c r="L1962" s="35"/>
      <c r="M1962" s="32"/>
      <c r="N1962" s="32"/>
      <c r="O1962" s="59"/>
      <c r="P1962" s="73"/>
      <c r="Q1962" s="73"/>
      <c r="R1962" s="73"/>
      <c r="S1962" s="73"/>
      <c r="T1962" s="73"/>
      <c r="U1962" s="73"/>
      <c r="V1962" s="73"/>
      <c r="W1962" s="73"/>
      <c r="X1962" s="73"/>
      <c r="Y1962" s="73"/>
      <c r="Z1962" s="73"/>
      <c r="AA1962" s="73"/>
    </row>
    <row r="1963" spans="1:27" ht="12.75" customHeight="1">
      <c r="A1963" s="73"/>
      <c r="B1963" s="32"/>
      <c r="C1963" s="32"/>
      <c r="D1963" s="33"/>
      <c r="E1963" s="32"/>
      <c r="F1963" s="32"/>
      <c r="G1963" s="74"/>
      <c r="H1963" s="32"/>
      <c r="I1963" s="32"/>
      <c r="J1963" s="32"/>
      <c r="K1963" s="74"/>
      <c r="L1963" s="35"/>
      <c r="M1963" s="32"/>
      <c r="N1963" s="32"/>
      <c r="O1963" s="59"/>
      <c r="P1963" s="73"/>
      <c r="Q1963" s="73"/>
      <c r="R1963" s="73"/>
      <c r="S1963" s="73"/>
      <c r="T1963" s="73"/>
      <c r="U1963" s="73"/>
      <c r="V1963" s="73"/>
      <c r="W1963" s="73"/>
      <c r="X1963" s="73"/>
      <c r="Y1963" s="73"/>
      <c r="Z1963" s="73"/>
      <c r="AA1963" s="73"/>
    </row>
    <row r="1964" spans="1:27" ht="12.75" customHeight="1">
      <c r="A1964" s="73"/>
      <c r="B1964" s="32"/>
      <c r="C1964" s="32"/>
      <c r="D1964" s="33"/>
      <c r="E1964" s="32"/>
      <c r="F1964" s="32"/>
      <c r="G1964" s="74"/>
      <c r="H1964" s="32"/>
      <c r="I1964" s="32"/>
      <c r="J1964" s="32"/>
      <c r="K1964" s="74"/>
      <c r="L1964" s="35"/>
      <c r="M1964" s="32"/>
      <c r="N1964" s="32"/>
      <c r="O1964" s="59"/>
      <c r="P1964" s="73"/>
      <c r="Q1964" s="73"/>
      <c r="R1964" s="73"/>
      <c r="S1964" s="73"/>
      <c r="T1964" s="73"/>
      <c r="U1964" s="73"/>
      <c r="V1964" s="73"/>
      <c r="W1964" s="73"/>
      <c r="X1964" s="73"/>
      <c r="Y1964" s="73"/>
      <c r="Z1964" s="73"/>
      <c r="AA1964" s="73"/>
    </row>
    <row r="1965" spans="1:27" ht="12.75" customHeight="1">
      <c r="A1965" s="73"/>
      <c r="B1965" s="32"/>
      <c r="C1965" s="32"/>
      <c r="D1965" s="33"/>
      <c r="E1965" s="32"/>
      <c r="F1965" s="32"/>
      <c r="G1965" s="74"/>
      <c r="H1965" s="32"/>
      <c r="I1965" s="32"/>
      <c r="J1965" s="32"/>
      <c r="K1965" s="74"/>
      <c r="L1965" s="35"/>
      <c r="M1965" s="32"/>
      <c r="N1965" s="32"/>
      <c r="O1965" s="59"/>
      <c r="P1965" s="73"/>
      <c r="Q1965" s="73"/>
      <c r="R1965" s="73"/>
      <c r="S1965" s="73"/>
      <c r="T1965" s="73"/>
      <c r="U1965" s="73"/>
      <c r="V1965" s="73"/>
      <c r="W1965" s="73"/>
      <c r="X1965" s="73"/>
      <c r="Y1965" s="73"/>
      <c r="Z1965" s="73"/>
      <c r="AA1965" s="73"/>
    </row>
    <row r="1966" spans="1:27" ht="12.75" customHeight="1">
      <c r="A1966" s="73"/>
      <c r="B1966" s="32"/>
      <c r="C1966" s="32"/>
      <c r="D1966" s="33"/>
      <c r="E1966" s="32"/>
      <c r="F1966" s="32"/>
      <c r="G1966" s="74"/>
      <c r="H1966" s="32"/>
      <c r="I1966" s="32"/>
      <c r="J1966" s="32"/>
      <c r="K1966" s="74"/>
      <c r="L1966" s="35"/>
      <c r="M1966" s="32"/>
      <c r="N1966" s="32"/>
      <c r="O1966" s="59"/>
      <c r="P1966" s="73"/>
      <c r="Q1966" s="73"/>
      <c r="R1966" s="73"/>
      <c r="S1966" s="73"/>
      <c r="T1966" s="73"/>
      <c r="U1966" s="73"/>
      <c r="V1966" s="73"/>
      <c r="W1966" s="73"/>
      <c r="X1966" s="73"/>
      <c r="Y1966" s="73"/>
      <c r="Z1966" s="73"/>
      <c r="AA1966" s="73"/>
    </row>
    <row r="1967" spans="1:27" ht="12.75" customHeight="1">
      <c r="A1967" s="73"/>
      <c r="B1967" s="32"/>
      <c r="C1967" s="32"/>
      <c r="D1967" s="33"/>
      <c r="E1967" s="32"/>
      <c r="F1967" s="32"/>
      <c r="G1967" s="74"/>
      <c r="H1967" s="32"/>
      <c r="I1967" s="32"/>
      <c r="J1967" s="32"/>
      <c r="K1967" s="74"/>
      <c r="L1967" s="35"/>
      <c r="M1967" s="32"/>
      <c r="N1967" s="32"/>
      <c r="O1967" s="59"/>
      <c r="P1967" s="73"/>
      <c r="Q1967" s="73"/>
      <c r="R1967" s="73"/>
      <c r="S1967" s="73"/>
      <c r="T1967" s="73"/>
      <c r="U1967" s="73"/>
      <c r="V1967" s="73"/>
      <c r="W1967" s="73"/>
      <c r="X1967" s="73"/>
      <c r="Y1967" s="73"/>
      <c r="Z1967" s="73"/>
      <c r="AA1967" s="73"/>
    </row>
    <row r="1968" spans="1:27" ht="12.75" customHeight="1">
      <c r="A1968" s="73"/>
      <c r="B1968" s="32"/>
      <c r="C1968" s="32"/>
      <c r="D1968" s="33"/>
      <c r="E1968" s="32"/>
      <c r="F1968" s="32"/>
      <c r="G1968" s="74"/>
      <c r="H1968" s="32"/>
      <c r="I1968" s="32"/>
      <c r="J1968" s="32"/>
      <c r="K1968" s="74"/>
      <c r="L1968" s="35"/>
      <c r="M1968" s="32"/>
      <c r="N1968" s="32"/>
      <c r="O1968" s="59"/>
      <c r="P1968" s="73"/>
      <c r="Q1968" s="73"/>
      <c r="R1968" s="73"/>
      <c r="S1968" s="73"/>
      <c r="T1968" s="73"/>
      <c r="U1968" s="73"/>
      <c r="V1968" s="73"/>
      <c r="W1968" s="73"/>
      <c r="X1968" s="73"/>
      <c r="Y1968" s="73"/>
      <c r="Z1968" s="73"/>
      <c r="AA1968" s="73"/>
    </row>
    <row r="1969" spans="1:27" ht="12.75" customHeight="1">
      <c r="A1969" s="73"/>
      <c r="B1969" s="32"/>
      <c r="C1969" s="32"/>
      <c r="D1969" s="33"/>
      <c r="E1969" s="32"/>
      <c r="F1969" s="32"/>
      <c r="G1969" s="74"/>
      <c r="H1969" s="32"/>
      <c r="I1969" s="32"/>
      <c r="J1969" s="32"/>
      <c r="K1969" s="74"/>
      <c r="L1969" s="35"/>
      <c r="M1969" s="32"/>
      <c r="N1969" s="32"/>
      <c r="O1969" s="59"/>
      <c r="P1969" s="73"/>
      <c r="Q1969" s="73"/>
      <c r="R1969" s="73"/>
      <c r="S1969" s="73"/>
      <c r="T1969" s="73"/>
      <c r="U1969" s="73"/>
      <c r="V1969" s="73"/>
      <c r="W1969" s="73"/>
      <c r="X1969" s="73"/>
      <c r="Y1969" s="73"/>
      <c r="Z1969" s="73"/>
      <c r="AA1969" s="73"/>
    </row>
    <row r="1970" spans="1:27" ht="12.75" customHeight="1">
      <c r="A1970" s="73"/>
      <c r="B1970" s="32"/>
      <c r="C1970" s="32"/>
      <c r="D1970" s="33"/>
      <c r="E1970" s="32"/>
      <c r="F1970" s="32"/>
      <c r="G1970" s="74"/>
      <c r="H1970" s="32"/>
      <c r="I1970" s="32"/>
      <c r="J1970" s="32"/>
      <c r="K1970" s="74"/>
      <c r="L1970" s="35"/>
      <c r="M1970" s="32"/>
      <c r="N1970" s="32"/>
      <c r="O1970" s="59"/>
      <c r="P1970" s="73"/>
      <c r="Q1970" s="73"/>
      <c r="R1970" s="73"/>
      <c r="S1970" s="73"/>
      <c r="T1970" s="73"/>
      <c r="U1970" s="73"/>
      <c r="V1970" s="73"/>
      <c r="W1970" s="73"/>
      <c r="X1970" s="73"/>
      <c r="Y1970" s="73"/>
      <c r="Z1970" s="73"/>
      <c r="AA1970" s="73"/>
    </row>
    <row r="1971" spans="1:27" ht="12.75" customHeight="1">
      <c r="A1971" s="73"/>
      <c r="B1971" s="32"/>
      <c r="C1971" s="32"/>
      <c r="D1971" s="33"/>
      <c r="E1971" s="32"/>
      <c r="F1971" s="32"/>
      <c r="G1971" s="74"/>
      <c r="H1971" s="32"/>
      <c r="I1971" s="32"/>
      <c r="J1971" s="32"/>
      <c r="K1971" s="74"/>
      <c r="L1971" s="35"/>
      <c r="M1971" s="32"/>
      <c r="N1971" s="32"/>
      <c r="O1971" s="59"/>
      <c r="P1971" s="73"/>
      <c r="Q1971" s="73"/>
      <c r="R1971" s="73"/>
      <c r="S1971" s="73"/>
      <c r="T1971" s="73"/>
      <c r="U1971" s="73"/>
      <c r="V1971" s="73"/>
      <c r="W1971" s="73"/>
      <c r="X1971" s="73"/>
      <c r="Y1971" s="73"/>
      <c r="Z1971" s="73"/>
      <c r="AA1971" s="73"/>
    </row>
    <row r="1972" spans="1:27" ht="12.75" customHeight="1">
      <c r="A1972" s="73"/>
      <c r="B1972" s="32"/>
      <c r="C1972" s="32"/>
      <c r="D1972" s="33"/>
      <c r="E1972" s="32"/>
      <c r="F1972" s="32"/>
      <c r="G1972" s="74"/>
      <c r="H1972" s="32"/>
      <c r="I1972" s="32"/>
      <c r="J1972" s="32"/>
      <c r="K1972" s="74"/>
      <c r="L1972" s="35"/>
      <c r="M1972" s="32"/>
      <c r="N1972" s="32"/>
      <c r="O1972" s="59"/>
      <c r="P1972" s="73"/>
      <c r="Q1972" s="73"/>
      <c r="R1972" s="73"/>
      <c r="S1972" s="73"/>
      <c r="T1972" s="73"/>
      <c r="U1972" s="73"/>
      <c r="V1972" s="73"/>
      <c r="W1972" s="73"/>
      <c r="X1972" s="73"/>
      <c r="Y1972" s="73"/>
      <c r="Z1972" s="73"/>
      <c r="AA1972" s="73"/>
    </row>
    <row r="1973" spans="1:27" ht="12.75" customHeight="1">
      <c r="A1973" s="73"/>
      <c r="B1973" s="32"/>
      <c r="C1973" s="32"/>
      <c r="D1973" s="33"/>
      <c r="E1973" s="32"/>
      <c r="F1973" s="32"/>
      <c r="G1973" s="74"/>
      <c r="H1973" s="32"/>
      <c r="I1973" s="32"/>
      <c r="J1973" s="32"/>
      <c r="K1973" s="74"/>
      <c r="L1973" s="35"/>
      <c r="M1973" s="32"/>
      <c r="N1973" s="32"/>
      <c r="O1973" s="59"/>
      <c r="P1973" s="73"/>
      <c r="Q1973" s="73"/>
      <c r="R1973" s="73"/>
      <c r="S1973" s="73"/>
      <c r="T1973" s="73"/>
      <c r="U1973" s="73"/>
      <c r="V1973" s="73"/>
      <c r="W1973" s="73"/>
      <c r="X1973" s="73"/>
      <c r="Y1973" s="73"/>
      <c r="Z1973" s="73"/>
      <c r="AA1973" s="73"/>
    </row>
    <row r="1974" spans="1:27" ht="12.75" customHeight="1">
      <c r="A1974" s="73"/>
      <c r="B1974" s="32"/>
      <c r="C1974" s="32"/>
      <c r="D1974" s="33"/>
      <c r="E1974" s="32"/>
      <c r="F1974" s="32"/>
      <c r="G1974" s="74"/>
      <c r="H1974" s="32"/>
      <c r="I1974" s="32"/>
      <c r="J1974" s="32"/>
      <c r="K1974" s="74"/>
      <c r="L1974" s="35"/>
      <c r="M1974" s="32"/>
      <c r="N1974" s="32"/>
      <c r="O1974" s="59"/>
      <c r="P1974" s="73"/>
      <c r="Q1974" s="73"/>
      <c r="R1974" s="73"/>
      <c r="S1974" s="73"/>
      <c r="T1974" s="73"/>
      <c r="U1974" s="73"/>
      <c r="V1974" s="73"/>
      <c r="W1974" s="73"/>
      <c r="X1974" s="73"/>
      <c r="Y1974" s="73"/>
      <c r="Z1974" s="73"/>
      <c r="AA1974" s="73"/>
    </row>
    <row r="1975" spans="1:27" ht="12.75" customHeight="1">
      <c r="A1975" s="73"/>
      <c r="B1975" s="32"/>
      <c r="C1975" s="32"/>
      <c r="D1975" s="33"/>
      <c r="E1975" s="32"/>
      <c r="F1975" s="32"/>
      <c r="G1975" s="74"/>
      <c r="H1975" s="32"/>
      <c r="I1975" s="32"/>
      <c r="J1975" s="32"/>
      <c r="K1975" s="74"/>
      <c r="L1975" s="35"/>
      <c r="M1975" s="32"/>
      <c r="N1975" s="32"/>
      <c r="O1975" s="59"/>
      <c r="P1975" s="73"/>
      <c r="Q1975" s="73"/>
      <c r="R1975" s="73"/>
      <c r="S1975" s="73"/>
      <c r="T1975" s="73"/>
      <c r="U1975" s="73"/>
      <c r="V1975" s="73"/>
      <c r="W1975" s="73"/>
      <c r="X1975" s="73"/>
      <c r="Y1975" s="73"/>
      <c r="Z1975" s="73"/>
      <c r="AA1975" s="73"/>
    </row>
    <row r="1976" spans="1:27" ht="12.75" customHeight="1">
      <c r="A1976" s="73"/>
      <c r="B1976" s="32"/>
      <c r="C1976" s="32"/>
      <c r="D1976" s="33"/>
      <c r="E1976" s="32"/>
      <c r="F1976" s="32"/>
      <c r="G1976" s="74"/>
      <c r="H1976" s="32"/>
      <c r="I1976" s="32"/>
      <c r="J1976" s="32"/>
      <c r="K1976" s="74"/>
      <c r="L1976" s="35"/>
      <c r="M1976" s="32"/>
      <c r="N1976" s="32"/>
      <c r="O1976" s="59"/>
      <c r="P1976" s="73"/>
      <c r="Q1976" s="73"/>
      <c r="R1976" s="73"/>
      <c r="S1976" s="73"/>
      <c r="T1976" s="73"/>
      <c r="U1976" s="73"/>
      <c r="V1976" s="73"/>
      <c r="W1976" s="73"/>
      <c r="X1976" s="73"/>
      <c r="Y1976" s="73"/>
      <c r="Z1976" s="73"/>
      <c r="AA1976" s="73"/>
    </row>
    <row r="1977" spans="1:27" ht="12.75" customHeight="1">
      <c r="A1977" s="73"/>
      <c r="B1977" s="32"/>
      <c r="C1977" s="32"/>
      <c r="D1977" s="33"/>
      <c r="E1977" s="32"/>
      <c r="F1977" s="32"/>
      <c r="G1977" s="74"/>
      <c r="H1977" s="32"/>
      <c r="I1977" s="32"/>
      <c r="J1977" s="32"/>
      <c r="K1977" s="74"/>
      <c r="L1977" s="35"/>
      <c r="M1977" s="32"/>
      <c r="N1977" s="32"/>
      <c r="O1977" s="59"/>
      <c r="P1977" s="73"/>
      <c r="Q1977" s="73"/>
      <c r="R1977" s="73"/>
      <c r="S1977" s="73"/>
      <c r="T1977" s="73"/>
      <c r="U1977" s="73"/>
      <c r="V1977" s="73"/>
      <c r="W1977" s="73"/>
      <c r="X1977" s="73"/>
      <c r="Y1977" s="73"/>
      <c r="Z1977" s="73"/>
      <c r="AA1977" s="73"/>
    </row>
    <row r="1978" spans="1:27" ht="12.75" customHeight="1">
      <c r="A1978" s="73"/>
      <c r="B1978" s="32"/>
      <c r="C1978" s="32"/>
      <c r="D1978" s="33"/>
      <c r="E1978" s="32"/>
      <c r="F1978" s="32"/>
      <c r="G1978" s="74"/>
      <c r="H1978" s="32"/>
      <c r="I1978" s="32"/>
      <c r="J1978" s="32"/>
      <c r="K1978" s="74"/>
      <c r="L1978" s="35"/>
      <c r="M1978" s="32"/>
      <c r="N1978" s="32"/>
      <c r="O1978" s="59"/>
      <c r="P1978" s="73"/>
      <c r="Q1978" s="73"/>
      <c r="R1978" s="73"/>
      <c r="S1978" s="73"/>
      <c r="T1978" s="73"/>
      <c r="U1978" s="73"/>
      <c r="V1978" s="73"/>
      <c r="W1978" s="73"/>
      <c r="X1978" s="73"/>
      <c r="Y1978" s="73"/>
      <c r="Z1978" s="73"/>
      <c r="AA1978" s="73"/>
    </row>
    <row r="1979" spans="1:27" ht="12.75" customHeight="1">
      <c r="A1979" s="73"/>
      <c r="B1979" s="32"/>
      <c r="C1979" s="32"/>
      <c r="D1979" s="33"/>
      <c r="E1979" s="32"/>
      <c r="F1979" s="32"/>
      <c r="G1979" s="74"/>
      <c r="H1979" s="32"/>
      <c r="I1979" s="32"/>
      <c r="J1979" s="32"/>
      <c r="K1979" s="74"/>
      <c r="L1979" s="35"/>
      <c r="M1979" s="32"/>
      <c r="N1979" s="32"/>
      <c r="O1979" s="59"/>
      <c r="P1979" s="73"/>
      <c r="Q1979" s="73"/>
      <c r="R1979" s="73"/>
      <c r="S1979" s="73"/>
      <c r="T1979" s="73"/>
      <c r="U1979" s="73"/>
      <c r="V1979" s="73"/>
      <c r="W1979" s="73"/>
      <c r="X1979" s="73"/>
      <c r="Y1979" s="73"/>
      <c r="Z1979" s="73"/>
      <c r="AA1979" s="73"/>
    </row>
    <row r="1980" spans="1:27" ht="12.75" customHeight="1">
      <c r="A1980" s="73"/>
      <c r="B1980" s="32"/>
      <c r="C1980" s="32"/>
      <c r="D1980" s="33"/>
      <c r="E1980" s="32"/>
      <c r="F1980" s="32"/>
      <c r="G1980" s="74"/>
      <c r="H1980" s="32"/>
      <c r="I1980" s="32"/>
      <c r="J1980" s="32"/>
      <c r="K1980" s="74"/>
      <c r="L1980" s="35"/>
      <c r="M1980" s="32"/>
      <c r="N1980" s="32"/>
      <c r="O1980" s="59"/>
      <c r="P1980" s="73"/>
      <c r="Q1980" s="73"/>
      <c r="R1980" s="73"/>
      <c r="S1980" s="73"/>
      <c r="T1980" s="73"/>
      <c r="U1980" s="73"/>
      <c r="V1980" s="73"/>
      <c r="W1980" s="73"/>
      <c r="X1980" s="73"/>
      <c r="Y1980" s="73"/>
      <c r="Z1980" s="73"/>
      <c r="AA1980" s="73"/>
    </row>
    <row r="1981" spans="1:27" ht="12.75" customHeight="1">
      <c r="A1981" s="73"/>
      <c r="B1981" s="32"/>
      <c r="C1981" s="32"/>
      <c r="D1981" s="33"/>
      <c r="E1981" s="32"/>
      <c r="F1981" s="32"/>
      <c r="G1981" s="74"/>
      <c r="H1981" s="32"/>
      <c r="I1981" s="32"/>
      <c r="J1981" s="32"/>
      <c r="K1981" s="74"/>
      <c r="L1981" s="35"/>
      <c r="M1981" s="32"/>
      <c r="N1981" s="32"/>
      <c r="O1981" s="59"/>
      <c r="P1981" s="73"/>
      <c r="Q1981" s="73"/>
      <c r="R1981" s="73"/>
      <c r="S1981" s="73"/>
      <c r="T1981" s="73"/>
      <c r="U1981" s="73"/>
      <c r="V1981" s="73"/>
      <c r="W1981" s="73"/>
      <c r="X1981" s="73"/>
      <c r="Y1981" s="73"/>
      <c r="Z1981" s="73"/>
      <c r="AA1981" s="73"/>
    </row>
    <row r="1982" spans="1:27" ht="12.75" customHeight="1">
      <c r="A1982" s="73"/>
      <c r="B1982" s="32"/>
      <c r="C1982" s="32"/>
      <c r="D1982" s="33"/>
      <c r="E1982" s="32"/>
      <c r="F1982" s="32"/>
      <c r="G1982" s="74"/>
      <c r="H1982" s="32"/>
      <c r="I1982" s="32"/>
      <c r="J1982" s="32"/>
      <c r="K1982" s="74"/>
      <c r="L1982" s="35"/>
      <c r="M1982" s="32"/>
      <c r="N1982" s="32"/>
      <c r="O1982" s="59"/>
      <c r="P1982" s="73"/>
      <c r="Q1982" s="73"/>
      <c r="R1982" s="73"/>
      <c r="S1982" s="73"/>
      <c r="T1982" s="73"/>
      <c r="U1982" s="73"/>
      <c r="V1982" s="73"/>
      <c r="W1982" s="73"/>
      <c r="X1982" s="73"/>
      <c r="Y1982" s="73"/>
      <c r="Z1982" s="73"/>
      <c r="AA1982" s="73"/>
    </row>
    <row r="1983" spans="1:27" ht="12.75" customHeight="1">
      <c r="A1983" s="73"/>
      <c r="B1983" s="32"/>
      <c r="C1983" s="32"/>
      <c r="D1983" s="33"/>
      <c r="E1983" s="32"/>
      <c r="F1983" s="32"/>
      <c r="G1983" s="74"/>
      <c r="H1983" s="32"/>
      <c r="I1983" s="32"/>
      <c r="J1983" s="32"/>
      <c r="K1983" s="74"/>
      <c r="L1983" s="35"/>
      <c r="M1983" s="32"/>
      <c r="N1983" s="32"/>
      <c r="O1983" s="59"/>
      <c r="P1983" s="73"/>
      <c r="Q1983" s="73"/>
      <c r="R1983" s="73"/>
      <c r="S1983" s="73"/>
      <c r="T1983" s="73"/>
      <c r="U1983" s="73"/>
      <c r="V1983" s="73"/>
      <c r="W1983" s="73"/>
      <c r="X1983" s="73"/>
      <c r="Y1983" s="73"/>
      <c r="Z1983" s="73"/>
      <c r="AA1983" s="73"/>
    </row>
    <row r="1984" spans="1:27" ht="12.75" customHeight="1">
      <c r="A1984" s="73"/>
      <c r="B1984" s="32"/>
      <c r="C1984" s="32"/>
      <c r="D1984" s="33"/>
      <c r="E1984" s="32"/>
      <c r="F1984" s="32"/>
      <c r="G1984" s="74"/>
      <c r="H1984" s="32"/>
      <c r="I1984" s="32"/>
      <c r="J1984" s="32"/>
      <c r="K1984" s="74"/>
      <c r="L1984" s="35"/>
      <c r="M1984" s="32"/>
      <c r="N1984" s="32"/>
      <c r="O1984" s="59"/>
      <c r="P1984" s="73"/>
      <c r="Q1984" s="73"/>
      <c r="R1984" s="73"/>
      <c r="S1984" s="73"/>
      <c r="T1984" s="73"/>
      <c r="U1984" s="73"/>
      <c r="V1984" s="73"/>
      <c r="W1984" s="73"/>
      <c r="X1984" s="73"/>
      <c r="Y1984" s="73"/>
      <c r="Z1984" s="73"/>
      <c r="AA1984" s="73"/>
    </row>
    <row r="1985" spans="1:27" ht="12.75" customHeight="1">
      <c r="A1985" s="73"/>
      <c r="B1985" s="32"/>
      <c r="C1985" s="32"/>
      <c r="D1985" s="33"/>
      <c r="E1985" s="32"/>
      <c r="F1985" s="32"/>
      <c r="G1985" s="74"/>
      <c r="H1985" s="32"/>
      <c r="I1985" s="32"/>
      <c r="J1985" s="32"/>
      <c r="K1985" s="74"/>
      <c r="L1985" s="35"/>
      <c r="M1985" s="32"/>
      <c r="N1985" s="32"/>
      <c r="O1985" s="59"/>
      <c r="P1985" s="73"/>
      <c r="Q1985" s="73"/>
      <c r="R1985" s="73"/>
      <c r="S1985" s="73"/>
      <c r="T1985" s="73"/>
      <c r="U1985" s="73"/>
      <c r="V1985" s="73"/>
      <c r="W1985" s="73"/>
      <c r="X1985" s="73"/>
      <c r="Y1985" s="73"/>
      <c r="Z1985" s="73"/>
      <c r="AA1985" s="73"/>
    </row>
    <row r="1986" spans="1:27" ht="12.75" customHeight="1">
      <c r="A1986" s="73"/>
      <c r="B1986" s="32"/>
      <c r="C1986" s="32"/>
      <c r="D1986" s="33"/>
      <c r="E1986" s="32"/>
      <c r="F1986" s="32"/>
      <c r="G1986" s="74"/>
      <c r="H1986" s="32"/>
      <c r="I1986" s="32"/>
      <c r="J1986" s="32"/>
      <c r="K1986" s="74"/>
      <c r="L1986" s="35"/>
      <c r="M1986" s="32"/>
      <c r="N1986" s="32"/>
      <c r="O1986" s="59"/>
      <c r="P1986" s="73"/>
      <c r="Q1986" s="73"/>
      <c r="R1986" s="73"/>
      <c r="S1986" s="73"/>
      <c r="T1986" s="73"/>
      <c r="U1986" s="73"/>
      <c r="V1986" s="73"/>
      <c r="W1986" s="73"/>
      <c r="X1986" s="73"/>
      <c r="Y1986" s="73"/>
      <c r="Z1986" s="73"/>
      <c r="AA1986" s="73"/>
    </row>
    <row r="1987" spans="1:27" ht="12.75" customHeight="1">
      <c r="A1987" s="73"/>
      <c r="B1987" s="32"/>
      <c r="C1987" s="32"/>
      <c r="D1987" s="33"/>
      <c r="E1987" s="32"/>
      <c r="F1987" s="32"/>
      <c r="G1987" s="74"/>
      <c r="H1987" s="32"/>
      <c r="I1987" s="32"/>
      <c r="J1987" s="32"/>
      <c r="K1987" s="74"/>
      <c r="L1987" s="35"/>
      <c r="M1987" s="32"/>
      <c r="N1987" s="32"/>
      <c r="O1987" s="59"/>
      <c r="P1987" s="73"/>
      <c r="Q1987" s="73"/>
      <c r="R1987" s="73"/>
      <c r="S1987" s="73"/>
      <c r="T1987" s="73"/>
      <c r="U1987" s="73"/>
      <c r="V1987" s="73"/>
      <c r="W1987" s="73"/>
      <c r="X1987" s="73"/>
      <c r="Y1987" s="73"/>
      <c r="Z1987" s="73"/>
      <c r="AA1987" s="73"/>
    </row>
    <row r="1988" spans="1:27" ht="12.75" customHeight="1">
      <c r="A1988" s="73"/>
      <c r="B1988" s="32"/>
      <c r="C1988" s="32"/>
      <c r="D1988" s="33"/>
      <c r="E1988" s="32"/>
      <c r="F1988" s="32"/>
      <c r="G1988" s="74"/>
      <c r="H1988" s="32"/>
      <c r="I1988" s="32"/>
      <c r="J1988" s="32"/>
      <c r="K1988" s="74"/>
      <c r="L1988" s="35"/>
      <c r="M1988" s="32"/>
      <c r="N1988" s="32"/>
      <c r="O1988" s="59"/>
      <c r="P1988" s="73"/>
      <c r="Q1988" s="73"/>
      <c r="R1988" s="73"/>
      <c r="S1988" s="73"/>
      <c r="T1988" s="73"/>
      <c r="U1988" s="73"/>
      <c r="V1988" s="73"/>
      <c r="W1988" s="73"/>
      <c r="X1988" s="73"/>
      <c r="Y1988" s="73"/>
      <c r="Z1988" s="73"/>
      <c r="AA1988" s="73"/>
    </row>
    <row r="1989" spans="1:27" ht="12.75" customHeight="1">
      <c r="A1989" s="73"/>
      <c r="B1989" s="32"/>
      <c r="C1989" s="32"/>
      <c r="D1989" s="33"/>
      <c r="E1989" s="32"/>
      <c r="F1989" s="32"/>
      <c r="G1989" s="74"/>
      <c r="H1989" s="32"/>
      <c r="I1989" s="32"/>
      <c r="J1989" s="32"/>
      <c r="K1989" s="74"/>
      <c r="L1989" s="35"/>
      <c r="M1989" s="32"/>
      <c r="N1989" s="32"/>
      <c r="O1989" s="59"/>
      <c r="P1989" s="73"/>
      <c r="Q1989" s="73"/>
      <c r="R1989" s="73"/>
      <c r="S1989" s="73"/>
      <c r="T1989" s="73"/>
      <c r="U1989" s="73"/>
      <c r="V1989" s="73"/>
      <c r="W1989" s="73"/>
      <c r="X1989" s="73"/>
      <c r="Y1989" s="73"/>
      <c r="Z1989" s="73"/>
      <c r="AA1989" s="73"/>
    </row>
    <row r="1990" spans="1:27" ht="12.75" customHeight="1">
      <c r="A1990" s="73"/>
      <c r="B1990" s="32"/>
      <c r="C1990" s="32"/>
      <c r="D1990" s="33"/>
      <c r="E1990" s="32"/>
      <c r="F1990" s="32"/>
      <c r="G1990" s="74"/>
      <c r="H1990" s="32"/>
      <c r="I1990" s="32"/>
      <c r="J1990" s="32"/>
      <c r="K1990" s="74"/>
      <c r="L1990" s="35"/>
      <c r="M1990" s="32"/>
      <c r="N1990" s="32"/>
      <c r="O1990" s="59"/>
      <c r="P1990" s="73"/>
      <c r="Q1990" s="73"/>
      <c r="R1990" s="73"/>
      <c r="S1990" s="73"/>
      <c r="T1990" s="73"/>
      <c r="U1990" s="73"/>
      <c r="V1990" s="73"/>
      <c r="W1990" s="73"/>
      <c r="X1990" s="73"/>
      <c r="Y1990" s="73"/>
      <c r="Z1990" s="73"/>
      <c r="AA1990" s="73"/>
    </row>
    <row r="1991" spans="1:27" ht="12.75" customHeight="1">
      <c r="A1991" s="73"/>
      <c r="B1991" s="32"/>
      <c r="C1991" s="32"/>
      <c r="D1991" s="33"/>
      <c r="E1991" s="32"/>
      <c r="F1991" s="32"/>
      <c r="G1991" s="74"/>
      <c r="H1991" s="32"/>
      <c r="I1991" s="32"/>
      <c r="J1991" s="32"/>
      <c r="K1991" s="74"/>
      <c r="L1991" s="35"/>
      <c r="M1991" s="32"/>
      <c r="N1991" s="32"/>
      <c r="O1991" s="59"/>
      <c r="P1991" s="73"/>
      <c r="Q1991" s="73"/>
      <c r="R1991" s="73"/>
      <c r="S1991" s="73"/>
      <c r="T1991" s="73"/>
      <c r="U1991" s="73"/>
      <c r="V1991" s="73"/>
      <c r="W1991" s="73"/>
      <c r="X1991" s="73"/>
      <c r="Y1991" s="73"/>
      <c r="Z1991" s="73"/>
      <c r="AA1991" s="73"/>
    </row>
    <row r="1992" spans="1:27" ht="12.75" customHeight="1">
      <c r="A1992" s="73"/>
      <c r="B1992" s="32"/>
      <c r="C1992" s="32"/>
      <c r="D1992" s="33"/>
      <c r="E1992" s="32"/>
      <c r="F1992" s="32"/>
      <c r="G1992" s="74"/>
      <c r="H1992" s="32"/>
      <c r="I1992" s="32"/>
      <c r="J1992" s="32"/>
      <c r="K1992" s="74"/>
      <c r="L1992" s="35"/>
      <c r="M1992" s="32"/>
      <c r="N1992" s="32"/>
      <c r="O1992" s="59"/>
      <c r="P1992" s="73"/>
      <c r="Q1992" s="73"/>
      <c r="R1992" s="73"/>
      <c r="S1992" s="73"/>
      <c r="T1992" s="73"/>
      <c r="U1992" s="73"/>
      <c r="V1992" s="73"/>
      <c r="W1992" s="73"/>
      <c r="X1992" s="73"/>
      <c r="Y1992" s="73"/>
      <c r="Z1992" s="73"/>
      <c r="AA1992" s="73"/>
    </row>
    <row r="1993" spans="1:27" ht="12.75" customHeight="1">
      <c r="A1993" s="73"/>
      <c r="B1993" s="32"/>
      <c r="C1993" s="32"/>
      <c r="D1993" s="33"/>
      <c r="E1993" s="32"/>
      <c r="F1993" s="32"/>
      <c r="G1993" s="74"/>
      <c r="H1993" s="32"/>
      <c r="I1993" s="32"/>
      <c r="J1993" s="32"/>
      <c r="K1993" s="74"/>
      <c r="L1993" s="35"/>
      <c r="M1993" s="32"/>
      <c r="N1993" s="32"/>
      <c r="O1993" s="59"/>
      <c r="P1993" s="73"/>
      <c r="Q1993" s="73"/>
      <c r="R1993" s="73"/>
      <c r="S1993" s="73"/>
      <c r="T1993" s="73"/>
      <c r="U1993" s="73"/>
      <c r="V1993" s="73"/>
      <c r="W1993" s="73"/>
      <c r="X1993" s="73"/>
      <c r="Y1993" s="73"/>
      <c r="Z1993" s="73"/>
      <c r="AA1993" s="73"/>
    </row>
    <row r="1994" spans="1:27" ht="12.75" customHeight="1">
      <c r="A1994" s="73"/>
      <c r="B1994" s="32"/>
      <c r="C1994" s="32"/>
      <c r="D1994" s="33"/>
      <c r="E1994" s="32"/>
      <c r="F1994" s="32"/>
      <c r="G1994" s="74"/>
      <c r="H1994" s="32"/>
      <c r="I1994" s="32"/>
      <c r="J1994" s="32"/>
      <c r="K1994" s="74"/>
      <c r="L1994" s="35"/>
      <c r="M1994" s="32"/>
      <c r="N1994" s="32"/>
      <c r="O1994" s="59"/>
      <c r="P1994" s="73"/>
      <c r="Q1994" s="73"/>
      <c r="R1994" s="73"/>
      <c r="S1994" s="73"/>
      <c r="T1994" s="73"/>
      <c r="U1994" s="73"/>
      <c r="V1994" s="73"/>
      <c r="W1994" s="73"/>
      <c r="X1994" s="73"/>
      <c r="Y1994" s="73"/>
      <c r="Z1994" s="73"/>
      <c r="AA1994" s="73"/>
    </row>
    <row r="1995" spans="1:27" ht="12.75" customHeight="1">
      <c r="A1995" s="73"/>
      <c r="B1995" s="32"/>
      <c r="C1995" s="32"/>
      <c r="D1995" s="33"/>
      <c r="E1995" s="32"/>
      <c r="F1995" s="32"/>
      <c r="G1995" s="74"/>
      <c r="H1995" s="32"/>
      <c r="I1995" s="32"/>
      <c r="J1995" s="32"/>
      <c r="K1995" s="74"/>
      <c r="L1995" s="35"/>
      <c r="M1995" s="32"/>
      <c r="N1995" s="32"/>
      <c r="O1995" s="59"/>
      <c r="P1995" s="73"/>
      <c r="Q1995" s="73"/>
      <c r="R1995" s="73"/>
      <c r="S1995" s="73"/>
      <c r="T1995" s="73"/>
      <c r="U1995" s="73"/>
      <c r="V1995" s="73"/>
      <c r="W1995" s="73"/>
      <c r="X1995" s="73"/>
      <c r="Y1995" s="73"/>
      <c r="Z1995" s="73"/>
      <c r="AA1995" s="73"/>
    </row>
    <row r="1996" spans="1:27" ht="12.75" customHeight="1">
      <c r="A1996" s="73"/>
      <c r="B1996" s="32"/>
      <c r="C1996" s="32"/>
      <c r="D1996" s="33"/>
      <c r="E1996" s="32"/>
      <c r="F1996" s="32"/>
      <c r="G1996" s="74"/>
      <c r="H1996" s="32"/>
      <c r="I1996" s="32"/>
      <c r="J1996" s="32"/>
      <c r="K1996" s="74"/>
      <c r="L1996" s="35"/>
      <c r="M1996" s="32"/>
      <c r="N1996" s="32"/>
      <c r="O1996" s="59"/>
      <c r="P1996" s="73"/>
      <c r="Q1996" s="73"/>
      <c r="R1996" s="73"/>
      <c r="S1996" s="73"/>
      <c r="T1996" s="73"/>
      <c r="U1996" s="73"/>
      <c r="V1996" s="73"/>
      <c r="W1996" s="73"/>
      <c r="X1996" s="73"/>
      <c r="Y1996" s="73"/>
      <c r="Z1996" s="73"/>
      <c r="AA1996" s="73"/>
    </row>
    <row r="1997" spans="1:27" ht="12.75" customHeight="1">
      <c r="A1997" s="73"/>
      <c r="B1997" s="32"/>
      <c r="C1997" s="32"/>
      <c r="D1997" s="33"/>
      <c r="E1997" s="32"/>
      <c r="F1997" s="32"/>
      <c r="G1997" s="74"/>
      <c r="H1997" s="32"/>
      <c r="I1997" s="32"/>
      <c r="J1997" s="32"/>
      <c r="K1997" s="74"/>
      <c r="L1997" s="35"/>
      <c r="M1997" s="32"/>
      <c r="N1997" s="32"/>
      <c r="O1997" s="59"/>
      <c r="P1997" s="73"/>
      <c r="Q1997" s="73"/>
      <c r="R1997" s="73"/>
      <c r="S1997" s="73"/>
      <c r="T1997" s="73"/>
      <c r="U1997" s="73"/>
      <c r="V1997" s="73"/>
      <c r="W1997" s="73"/>
      <c r="X1997" s="73"/>
      <c r="Y1997" s="73"/>
      <c r="Z1997" s="73"/>
      <c r="AA1997" s="73"/>
    </row>
    <row r="1998" spans="1:27" ht="12.75" customHeight="1">
      <c r="A1998" s="73"/>
      <c r="B1998" s="32"/>
      <c r="C1998" s="32"/>
      <c r="D1998" s="33"/>
      <c r="E1998" s="32"/>
      <c r="F1998" s="32"/>
      <c r="G1998" s="74"/>
      <c r="H1998" s="32"/>
      <c r="I1998" s="32"/>
      <c r="J1998" s="32"/>
      <c r="K1998" s="74"/>
      <c r="L1998" s="35"/>
      <c r="M1998" s="32"/>
      <c r="N1998" s="32"/>
      <c r="O1998" s="59"/>
      <c r="P1998" s="73"/>
      <c r="Q1998" s="73"/>
      <c r="R1998" s="73"/>
      <c r="S1998" s="73"/>
      <c r="T1998" s="73"/>
      <c r="U1998" s="73"/>
      <c r="V1998" s="73"/>
      <c r="W1998" s="73"/>
      <c r="X1998" s="73"/>
      <c r="Y1998" s="73"/>
      <c r="Z1998" s="73"/>
      <c r="AA1998" s="73"/>
    </row>
    <row r="1999" spans="1:27" ht="12.75" customHeight="1">
      <c r="A1999" s="73"/>
      <c r="B1999" s="32"/>
      <c r="C1999" s="32"/>
      <c r="D1999" s="33"/>
      <c r="E1999" s="32"/>
      <c r="F1999" s="32"/>
      <c r="G1999" s="74"/>
      <c r="H1999" s="32"/>
      <c r="I1999" s="32"/>
      <c r="J1999" s="32"/>
      <c r="K1999" s="74"/>
      <c r="L1999" s="35"/>
      <c r="M1999" s="32"/>
      <c r="N1999" s="32"/>
      <c r="O1999" s="59"/>
      <c r="P1999" s="73"/>
      <c r="Q1999" s="73"/>
      <c r="R1999" s="73"/>
      <c r="S1999" s="73"/>
      <c r="T1999" s="73"/>
      <c r="U1999" s="73"/>
      <c r="V1999" s="73"/>
      <c r="W1999" s="73"/>
      <c r="X1999" s="73"/>
      <c r="Y1999" s="73"/>
      <c r="Z1999" s="73"/>
      <c r="AA1999" s="73"/>
    </row>
    <row r="2000" spans="1:27" ht="12.75" customHeight="1">
      <c r="A2000" s="73"/>
      <c r="B2000" s="32"/>
      <c r="C2000" s="32"/>
      <c r="D2000" s="33"/>
      <c r="E2000" s="32"/>
      <c r="F2000" s="32"/>
      <c r="G2000" s="74"/>
      <c r="H2000" s="32"/>
      <c r="I2000" s="32"/>
      <c r="J2000" s="32"/>
      <c r="K2000" s="74"/>
      <c r="L2000" s="35"/>
      <c r="M2000" s="32"/>
      <c r="N2000" s="32"/>
      <c r="O2000" s="59"/>
      <c r="P2000" s="73"/>
      <c r="Q2000" s="73"/>
      <c r="R2000" s="73"/>
      <c r="S2000" s="73"/>
      <c r="T2000" s="73"/>
      <c r="U2000" s="73"/>
      <c r="V2000" s="73"/>
      <c r="W2000" s="73"/>
      <c r="X2000" s="73"/>
      <c r="Y2000" s="73"/>
      <c r="Z2000" s="73"/>
      <c r="AA2000" s="73"/>
    </row>
  </sheetData>
  <mergeCells count="6">
    <mergeCell ref="C17:H17"/>
    <mergeCell ref="B9:C9"/>
    <mergeCell ref="B10:C10"/>
    <mergeCell ref="B11:C11"/>
    <mergeCell ref="B12:G12"/>
    <mergeCell ref="C14:H14"/>
  </mergeCells>
  <pageMargins left="0.25" right="0.25" top="0.75" bottom="0.75" header="0.3" footer="0.3"/>
  <pageSetup paperSize="5" scale="4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009"/>
  <sheetViews>
    <sheetView workbookViewId="0">
      <selection activeCell="Q44" sqref="A1:Q44"/>
    </sheetView>
  </sheetViews>
  <sheetFormatPr baseColWidth="10" defaultColWidth="12.5703125" defaultRowHeight="15" customHeight="1"/>
  <cols>
    <col min="1" max="1" width="2.140625" customWidth="1"/>
    <col min="2" max="2" width="22.42578125" customWidth="1"/>
    <col min="3" max="3" width="33" customWidth="1"/>
    <col min="4" max="4" width="27.28515625" customWidth="1"/>
    <col min="5" max="5" width="32.140625" customWidth="1"/>
    <col min="6" max="6" width="21.28515625" customWidth="1"/>
    <col min="7" max="7" width="27.140625" customWidth="1"/>
    <col min="8" max="8" width="24.28515625" customWidth="1"/>
    <col min="9" max="9" width="26.42578125" customWidth="1"/>
    <col min="10" max="10" width="29.140625" customWidth="1"/>
    <col min="11" max="11" width="20.85546875" customWidth="1"/>
    <col min="12" max="12" width="34.140625" customWidth="1"/>
    <col min="13" max="13" width="24.85546875" customWidth="1"/>
    <col min="14" max="27" width="11.42578125" customWidth="1"/>
  </cols>
  <sheetData>
    <row r="1" spans="1:27" ht="12.75" customHeight="1">
      <c r="A1" s="1"/>
      <c r="B1" s="1"/>
      <c r="C1" s="1"/>
      <c r="D1" s="1"/>
      <c r="E1" s="1"/>
      <c r="F1" s="1"/>
      <c r="G1" s="1"/>
      <c r="H1" s="1"/>
      <c r="I1" s="1"/>
      <c r="J1" s="1"/>
      <c r="K1" s="1"/>
      <c r="L1" s="1"/>
      <c r="M1" s="1"/>
      <c r="N1" s="1"/>
      <c r="O1" s="1"/>
      <c r="P1" s="1"/>
      <c r="Q1" s="1"/>
      <c r="R1" s="1"/>
      <c r="S1" s="1"/>
      <c r="T1" s="1"/>
      <c r="U1" s="1"/>
      <c r="V1" s="1"/>
      <c r="W1" s="1"/>
      <c r="X1" s="1"/>
      <c r="Y1" s="1"/>
      <c r="Z1" s="1"/>
      <c r="AA1" s="73"/>
    </row>
    <row r="2" spans="1:27" ht="12.75" customHeight="1">
      <c r="A2" s="1"/>
      <c r="B2" s="1"/>
      <c r="C2" s="1"/>
      <c r="D2" s="1"/>
      <c r="E2" s="1"/>
      <c r="F2" s="1"/>
      <c r="G2" s="1"/>
      <c r="H2" s="1"/>
      <c r="I2" s="1"/>
      <c r="J2" s="1"/>
      <c r="K2" s="1"/>
      <c r="L2" s="1"/>
      <c r="M2" s="1"/>
      <c r="N2" s="1"/>
      <c r="O2" s="1"/>
      <c r="P2" s="1"/>
      <c r="Q2" s="1"/>
      <c r="R2" s="1"/>
      <c r="S2" s="1"/>
      <c r="T2" s="1"/>
      <c r="U2" s="1"/>
      <c r="V2" s="1"/>
      <c r="W2" s="1"/>
      <c r="X2" s="1"/>
      <c r="Y2" s="1"/>
      <c r="Z2" s="1"/>
      <c r="AA2" s="73"/>
    </row>
    <row r="3" spans="1:27" ht="12.75" customHeight="1">
      <c r="A3" s="1"/>
      <c r="B3" s="1"/>
      <c r="C3" s="1"/>
      <c r="D3" s="1"/>
      <c r="E3" s="1"/>
      <c r="F3" s="1"/>
      <c r="G3" s="1"/>
      <c r="H3" s="1"/>
      <c r="I3" s="1"/>
      <c r="J3" s="1"/>
      <c r="K3" s="1"/>
      <c r="L3" s="1"/>
      <c r="M3" s="1"/>
      <c r="N3" s="1"/>
      <c r="O3" s="1"/>
      <c r="P3" s="1"/>
      <c r="Q3" s="1"/>
      <c r="R3" s="1"/>
      <c r="S3" s="1"/>
      <c r="T3" s="1"/>
      <c r="U3" s="1"/>
      <c r="V3" s="1"/>
      <c r="W3" s="1"/>
      <c r="X3" s="1"/>
      <c r="Y3" s="1"/>
      <c r="Z3" s="1"/>
      <c r="AA3" s="73"/>
    </row>
    <row r="4" spans="1:27" ht="12.75" customHeight="1">
      <c r="A4" s="1"/>
      <c r="B4" s="1"/>
      <c r="C4" s="1"/>
      <c r="D4" s="1"/>
      <c r="E4" s="1"/>
      <c r="F4" s="1"/>
      <c r="G4" s="1"/>
      <c r="H4" s="1"/>
      <c r="I4" s="1"/>
      <c r="J4" s="1"/>
      <c r="K4" s="1"/>
      <c r="L4" s="1"/>
      <c r="M4" s="1"/>
      <c r="N4" s="1"/>
      <c r="O4" s="1"/>
      <c r="P4" s="1"/>
      <c r="Q4" s="1"/>
      <c r="R4" s="1"/>
      <c r="S4" s="1"/>
      <c r="T4" s="1"/>
      <c r="U4" s="1"/>
      <c r="V4" s="1"/>
      <c r="W4" s="1"/>
      <c r="X4" s="1"/>
      <c r="Y4" s="1"/>
      <c r="Z4" s="1"/>
      <c r="AA4" s="73"/>
    </row>
    <row r="5" spans="1:27" ht="12.75" customHeight="1">
      <c r="A5" s="1"/>
      <c r="B5" s="1"/>
      <c r="C5" s="1"/>
      <c r="D5" s="1"/>
      <c r="E5" s="1"/>
      <c r="F5" s="1"/>
      <c r="G5" s="1"/>
      <c r="H5" s="1"/>
      <c r="I5" s="1"/>
      <c r="J5" s="1"/>
      <c r="K5" s="1"/>
      <c r="L5" s="1"/>
      <c r="M5" s="1"/>
      <c r="N5" s="1"/>
      <c r="O5" s="1"/>
      <c r="P5" s="1"/>
      <c r="Q5" s="1"/>
      <c r="R5" s="1"/>
      <c r="S5" s="1"/>
      <c r="T5" s="1"/>
      <c r="U5" s="1"/>
      <c r="V5" s="1"/>
      <c r="W5" s="1"/>
      <c r="X5" s="1"/>
      <c r="Y5" s="1"/>
      <c r="Z5" s="1"/>
      <c r="AA5" s="73"/>
    </row>
    <row r="6" spans="1:27" ht="12.75" customHeight="1">
      <c r="A6" s="1"/>
      <c r="B6" s="1"/>
      <c r="C6" s="1"/>
      <c r="D6" s="1"/>
      <c r="E6" s="1"/>
      <c r="F6" s="1"/>
      <c r="G6" s="1"/>
      <c r="H6" s="1"/>
      <c r="I6" s="1"/>
      <c r="J6" s="1"/>
      <c r="K6" s="1"/>
      <c r="L6" s="1"/>
      <c r="M6" s="1"/>
      <c r="N6" s="1"/>
      <c r="O6" s="1"/>
      <c r="P6" s="1"/>
      <c r="Q6" s="1"/>
      <c r="R6" s="1"/>
      <c r="S6" s="1"/>
      <c r="T6" s="1"/>
      <c r="U6" s="1"/>
      <c r="V6" s="1"/>
      <c r="W6" s="1"/>
      <c r="X6" s="1"/>
      <c r="Y6" s="1"/>
      <c r="Z6" s="1"/>
      <c r="AA6" s="73"/>
    </row>
    <row r="7" spans="1:27" ht="12.75" customHeight="1">
      <c r="A7" s="1"/>
      <c r="B7" s="1"/>
      <c r="C7" s="1"/>
      <c r="D7" s="1"/>
      <c r="E7" s="1"/>
      <c r="F7" s="1"/>
      <c r="G7" s="1"/>
      <c r="H7" s="1"/>
      <c r="I7" s="1"/>
      <c r="J7" s="1"/>
      <c r="K7" s="1"/>
      <c r="L7" s="1"/>
      <c r="M7" s="1"/>
      <c r="N7" s="1"/>
      <c r="O7" s="1"/>
      <c r="P7" s="1"/>
      <c r="Q7" s="1"/>
      <c r="R7" s="1"/>
      <c r="S7" s="1"/>
      <c r="T7" s="1"/>
      <c r="U7" s="1"/>
      <c r="V7" s="1"/>
      <c r="W7" s="1"/>
      <c r="X7" s="1"/>
      <c r="Y7" s="1"/>
      <c r="Z7" s="1"/>
      <c r="AA7" s="73"/>
    </row>
    <row r="8" spans="1:27" ht="12.75" customHeight="1">
      <c r="A8" s="1"/>
      <c r="B8" s="2" t="str">
        <f>'24.03.034'!B8</f>
        <v>4° Trimestre</v>
      </c>
      <c r="C8" s="3"/>
      <c r="D8" s="1"/>
      <c r="E8" s="1"/>
      <c r="F8" s="1"/>
      <c r="G8" s="1"/>
      <c r="H8" s="1"/>
      <c r="I8" s="1"/>
      <c r="J8" s="1"/>
      <c r="K8" s="1"/>
      <c r="L8" s="1"/>
      <c r="M8" s="1"/>
      <c r="N8" s="1"/>
      <c r="O8" s="1"/>
      <c r="P8" s="1"/>
      <c r="Q8" s="1"/>
      <c r="R8" s="1"/>
      <c r="S8" s="1"/>
      <c r="T8" s="1"/>
      <c r="U8" s="1"/>
      <c r="V8" s="1"/>
      <c r="W8" s="1"/>
      <c r="X8" s="1"/>
      <c r="Y8" s="1"/>
      <c r="Z8" s="1"/>
      <c r="AA8" s="73"/>
    </row>
    <row r="9" spans="1:27" ht="12.75" customHeight="1">
      <c r="A9" s="1"/>
      <c r="B9" s="110" t="s">
        <v>1</v>
      </c>
      <c r="C9" s="111"/>
      <c r="D9" s="1"/>
      <c r="E9" s="1"/>
      <c r="F9" s="1"/>
      <c r="G9" s="1"/>
      <c r="H9" s="1"/>
      <c r="I9" s="1"/>
      <c r="J9" s="1"/>
      <c r="K9" s="1"/>
      <c r="L9" s="1"/>
      <c r="M9" s="1"/>
      <c r="N9" s="1"/>
      <c r="O9" s="1"/>
      <c r="P9" s="1"/>
      <c r="Q9" s="1"/>
      <c r="R9" s="1"/>
      <c r="S9" s="1"/>
      <c r="T9" s="1"/>
      <c r="U9" s="1"/>
      <c r="V9" s="1"/>
      <c r="W9" s="1"/>
      <c r="X9" s="1"/>
      <c r="Y9" s="1"/>
      <c r="Z9" s="1"/>
      <c r="AA9" s="73"/>
    </row>
    <row r="10" spans="1:27" ht="12.75" customHeight="1">
      <c r="A10" s="1"/>
      <c r="B10" s="110" t="s">
        <v>2</v>
      </c>
      <c r="C10" s="111"/>
      <c r="D10" s="1"/>
      <c r="E10" s="1"/>
      <c r="F10" s="1"/>
      <c r="G10" s="1"/>
      <c r="H10" s="1"/>
      <c r="I10" s="1"/>
      <c r="J10" s="1"/>
      <c r="K10" s="1"/>
      <c r="L10" s="1"/>
      <c r="M10" s="1"/>
      <c r="N10" s="1"/>
      <c r="O10" s="1"/>
      <c r="P10" s="1"/>
      <c r="Q10" s="1"/>
      <c r="R10" s="1"/>
      <c r="S10" s="1"/>
      <c r="T10" s="1"/>
      <c r="U10" s="1"/>
      <c r="V10" s="1"/>
      <c r="W10" s="1"/>
      <c r="X10" s="1"/>
      <c r="Y10" s="1"/>
      <c r="Z10" s="1"/>
      <c r="AA10" s="73"/>
    </row>
    <row r="11" spans="1:27" ht="12.75" customHeight="1">
      <c r="A11" s="1"/>
      <c r="B11" s="110" t="s">
        <v>123</v>
      </c>
      <c r="C11" s="111"/>
      <c r="D11" s="1"/>
      <c r="E11" s="1"/>
      <c r="F11" s="1"/>
      <c r="G11" s="1"/>
      <c r="H11" s="1"/>
      <c r="I11" s="1"/>
      <c r="J11" s="1"/>
      <c r="K11" s="1"/>
      <c r="L11" s="1"/>
      <c r="M11" s="1"/>
      <c r="N11" s="1"/>
      <c r="O11" s="1"/>
      <c r="P11" s="1"/>
      <c r="Q11" s="1"/>
      <c r="R11" s="1"/>
      <c r="S11" s="1"/>
      <c r="T11" s="1"/>
      <c r="U11" s="1"/>
      <c r="V11" s="1"/>
      <c r="W11" s="1"/>
      <c r="X11" s="1"/>
      <c r="Y11" s="1"/>
      <c r="Z11" s="1"/>
      <c r="AA11" s="73"/>
    </row>
    <row r="12" spans="1:27" ht="12.75" customHeight="1">
      <c r="A12" s="1"/>
      <c r="B12" s="110" t="s">
        <v>124</v>
      </c>
      <c r="C12" s="111"/>
      <c r="D12" s="111"/>
      <c r="E12" s="111"/>
      <c r="F12" s="111"/>
      <c r="G12" s="111"/>
      <c r="H12" s="1"/>
      <c r="I12" s="1"/>
      <c r="J12" s="1"/>
      <c r="K12" s="1"/>
      <c r="L12" s="1"/>
      <c r="M12" s="1"/>
      <c r="N12" s="1"/>
      <c r="O12" s="1"/>
      <c r="P12" s="1"/>
      <c r="Q12" s="1"/>
      <c r="R12" s="1"/>
      <c r="S12" s="1"/>
      <c r="T12" s="1"/>
      <c r="U12" s="1"/>
      <c r="V12" s="1"/>
      <c r="W12" s="1"/>
      <c r="X12" s="1"/>
      <c r="Y12" s="1"/>
      <c r="Z12" s="1"/>
      <c r="AA12" s="73"/>
    </row>
    <row r="13" spans="1:27" ht="12.75" customHeight="1">
      <c r="A13" s="1"/>
      <c r="B13" s="5"/>
      <c r="C13" s="5"/>
      <c r="D13" s="1"/>
      <c r="E13" s="1"/>
      <c r="F13" s="1"/>
      <c r="G13" s="1"/>
      <c r="H13" s="1"/>
      <c r="I13" s="1"/>
      <c r="J13" s="1"/>
      <c r="K13" s="1"/>
      <c r="L13" s="1"/>
      <c r="M13" s="1"/>
      <c r="N13" s="1"/>
      <c r="O13" s="1"/>
      <c r="P13" s="1"/>
      <c r="Q13" s="1"/>
      <c r="R13" s="1"/>
      <c r="S13" s="1"/>
      <c r="T13" s="1"/>
      <c r="U13" s="1"/>
      <c r="V13" s="1"/>
      <c r="W13" s="1"/>
      <c r="X13" s="1"/>
      <c r="Y13" s="1"/>
      <c r="Z13" s="1"/>
      <c r="AA13" s="73"/>
    </row>
    <row r="14" spans="1:27" ht="135" customHeight="1">
      <c r="A14" s="1"/>
      <c r="B14" s="4" t="s">
        <v>5</v>
      </c>
      <c r="C14" s="114" t="s">
        <v>6</v>
      </c>
      <c r="D14" s="115"/>
      <c r="E14" s="115"/>
      <c r="F14" s="115"/>
      <c r="G14" s="116"/>
      <c r="H14" s="1"/>
      <c r="I14" s="1"/>
      <c r="J14" s="1"/>
      <c r="K14" s="1"/>
      <c r="L14" s="1"/>
      <c r="M14" s="1"/>
      <c r="N14" s="1"/>
      <c r="O14" s="1"/>
      <c r="P14" s="1"/>
      <c r="Q14" s="1"/>
      <c r="R14" s="1"/>
      <c r="S14" s="1"/>
      <c r="T14" s="1"/>
      <c r="U14" s="1"/>
      <c r="V14" s="1"/>
      <c r="W14" s="1"/>
      <c r="X14" s="1"/>
      <c r="Y14" s="1"/>
      <c r="Z14" s="1"/>
      <c r="AA14" s="73"/>
    </row>
    <row r="15" spans="1:27" ht="12.75" customHeight="1">
      <c r="A15" s="1"/>
      <c r="B15" s="5"/>
      <c r="C15" s="5"/>
      <c r="D15" s="1"/>
      <c r="E15" s="1"/>
      <c r="F15" s="1"/>
      <c r="G15" s="1"/>
      <c r="H15" s="1"/>
      <c r="I15" s="1"/>
      <c r="J15" s="1"/>
      <c r="K15" s="1"/>
      <c r="L15" s="1"/>
      <c r="M15" s="1"/>
      <c r="N15" s="1"/>
      <c r="O15" s="1"/>
      <c r="P15" s="1"/>
      <c r="Q15" s="1"/>
      <c r="R15" s="1"/>
      <c r="S15" s="1"/>
      <c r="T15" s="1"/>
      <c r="U15" s="1"/>
      <c r="V15" s="1"/>
      <c r="W15" s="1"/>
      <c r="X15" s="1"/>
      <c r="Y15" s="1"/>
      <c r="Z15" s="1"/>
      <c r="AA15" s="73"/>
    </row>
    <row r="16" spans="1:27" ht="12.75" customHeight="1">
      <c r="A16" s="1"/>
      <c r="B16" s="5"/>
      <c r="C16" s="5"/>
      <c r="D16" s="1"/>
      <c r="E16" s="1"/>
      <c r="F16" s="1"/>
      <c r="G16" s="1"/>
      <c r="H16" s="1"/>
      <c r="I16" s="1"/>
      <c r="J16" s="1"/>
      <c r="K16" s="1"/>
      <c r="L16" s="1"/>
      <c r="M16" s="1"/>
      <c r="N16" s="1"/>
      <c r="O16" s="1"/>
      <c r="P16" s="1"/>
      <c r="Q16" s="1"/>
      <c r="R16" s="1"/>
      <c r="S16" s="1"/>
      <c r="T16" s="1"/>
      <c r="U16" s="1"/>
      <c r="V16" s="1"/>
      <c r="W16" s="1"/>
      <c r="X16" s="1"/>
      <c r="Y16" s="1"/>
      <c r="Z16" s="1"/>
      <c r="AA16" s="73"/>
    </row>
    <row r="17" spans="1:27" ht="55.5" customHeight="1">
      <c r="A17" s="1"/>
      <c r="B17" s="4" t="s">
        <v>7</v>
      </c>
      <c r="C17" s="114" t="s">
        <v>8</v>
      </c>
      <c r="D17" s="115"/>
      <c r="E17" s="115"/>
      <c r="F17" s="115"/>
      <c r="G17" s="116"/>
      <c r="H17" s="1"/>
      <c r="I17" s="1"/>
      <c r="J17" s="1"/>
      <c r="K17" s="1"/>
      <c r="L17" s="1"/>
      <c r="M17" s="1"/>
      <c r="N17" s="1"/>
      <c r="O17" s="1"/>
      <c r="P17" s="1"/>
      <c r="Q17" s="1"/>
      <c r="R17" s="1"/>
      <c r="S17" s="1"/>
      <c r="T17" s="1"/>
      <c r="U17" s="1"/>
      <c r="V17" s="1"/>
      <c r="W17" s="1"/>
      <c r="X17" s="1"/>
      <c r="Y17" s="1"/>
      <c r="Z17" s="1"/>
      <c r="AA17" s="73"/>
    </row>
    <row r="18" spans="1:27" ht="12.75" customHeight="1">
      <c r="A18" s="1"/>
      <c r="B18" s="6"/>
      <c r="C18" s="6"/>
      <c r="D18" s="1"/>
      <c r="E18" s="1"/>
      <c r="F18" s="1"/>
      <c r="G18" s="1"/>
      <c r="H18" s="1"/>
      <c r="I18" s="1"/>
      <c r="J18" s="1"/>
      <c r="K18" s="1"/>
      <c r="L18" s="1"/>
      <c r="M18" s="1"/>
      <c r="N18" s="1"/>
      <c r="O18" s="1"/>
      <c r="P18" s="1"/>
      <c r="Q18" s="1"/>
      <c r="R18" s="1"/>
      <c r="S18" s="1"/>
      <c r="T18" s="1"/>
      <c r="U18" s="1"/>
      <c r="V18" s="1"/>
      <c r="W18" s="1"/>
      <c r="X18" s="1"/>
      <c r="Y18" s="1"/>
      <c r="Z18" s="1"/>
      <c r="AA18" s="73"/>
    </row>
    <row r="19" spans="1:27" ht="12.7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73"/>
    </row>
    <row r="20" spans="1:27" ht="12.7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73"/>
    </row>
    <row r="21" spans="1:27" ht="29.25" customHeight="1">
      <c r="A21" s="1"/>
      <c r="B21" s="7" t="s">
        <v>10</v>
      </c>
      <c r="C21" s="7" t="s">
        <v>9</v>
      </c>
      <c r="D21" s="7" t="s">
        <v>11</v>
      </c>
      <c r="E21" s="7" t="s">
        <v>12</v>
      </c>
      <c r="F21" s="7" t="s">
        <v>13</v>
      </c>
      <c r="G21" s="7" t="s">
        <v>14</v>
      </c>
      <c r="H21" s="7" t="s">
        <v>15</v>
      </c>
      <c r="I21" s="8" t="s">
        <v>16</v>
      </c>
      <c r="J21" s="7" t="s">
        <v>17</v>
      </c>
      <c r="K21" s="7" t="s">
        <v>18</v>
      </c>
      <c r="L21" s="7" t="s">
        <v>19</v>
      </c>
      <c r="M21" s="7" t="s">
        <v>20</v>
      </c>
      <c r="N21" s="1"/>
      <c r="O21" s="1"/>
      <c r="P21" s="1"/>
      <c r="Q21" s="1"/>
      <c r="R21" s="1"/>
      <c r="S21" s="1"/>
      <c r="T21" s="1"/>
      <c r="U21" s="1"/>
      <c r="V21" s="1"/>
      <c r="W21" s="1"/>
      <c r="X21" s="1"/>
      <c r="Y21" s="1"/>
      <c r="Z21" s="1"/>
      <c r="AA21" s="73"/>
    </row>
    <row r="22" spans="1:27" ht="12.75" customHeight="1">
      <c r="A22" s="1"/>
      <c r="B22" s="86" t="s">
        <v>125</v>
      </c>
      <c r="C22" s="86" t="s">
        <v>126</v>
      </c>
      <c r="D22" s="87" t="s">
        <v>127</v>
      </c>
      <c r="E22" s="86" t="s">
        <v>128</v>
      </c>
      <c r="F22" s="88">
        <v>12901116000</v>
      </c>
      <c r="G22" s="86" t="s">
        <v>129</v>
      </c>
      <c r="H22" s="86" t="s">
        <v>130</v>
      </c>
      <c r="I22" s="86" t="s">
        <v>131</v>
      </c>
      <c r="J22" s="89">
        <v>2300000000</v>
      </c>
      <c r="K22" s="90">
        <v>0.47499999999999998</v>
      </c>
      <c r="L22" s="86" t="s">
        <v>132</v>
      </c>
      <c r="M22" s="86" t="s">
        <v>133</v>
      </c>
      <c r="N22" s="10"/>
      <c r="O22" s="59"/>
      <c r="P22" s="1"/>
      <c r="Q22" s="1"/>
      <c r="R22" s="1"/>
      <c r="S22" s="1"/>
      <c r="T22" s="1"/>
      <c r="U22" s="1"/>
      <c r="V22" s="1"/>
      <c r="W22" s="1"/>
      <c r="X22" s="1"/>
      <c r="Y22" s="1"/>
      <c r="Z22" s="1"/>
      <c r="AA22" s="1"/>
    </row>
    <row r="23" spans="1:27" ht="12.75" customHeight="1">
      <c r="A23" s="1"/>
      <c r="B23" s="91" t="s">
        <v>134</v>
      </c>
      <c r="C23" s="91" t="s">
        <v>135</v>
      </c>
      <c r="D23" s="91" t="s">
        <v>127</v>
      </c>
      <c r="E23" s="91" t="s">
        <v>136</v>
      </c>
      <c r="F23" s="92">
        <v>5284622061</v>
      </c>
      <c r="G23" s="86" t="s">
        <v>129</v>
      </c>
      <c r="H23" s="86" t="s">
        <v>130</v>
      </c>
      <c r="I23" s="86" t="s">
        <v>131</v>
      </c>
      <c r="J23" s="93">
        <v>42488206</v>
      </c>
      <c r="K23" s="94">
        <v>1</v>
      </c>
      <c r="L23" s="91" t="s">
        <v>137</v>
      </c>
      <c r="M23" s="86" t="s">
        <v>133</v>
      </c>
      <c r="N23" s="73"/>
      <c r="O23" s="73"/>
      <c r="P23" s="1"/>
      <c r="Q23" s="1"/>
      <c r="R23" s="1"/>
      <c r="S23" s="1"/>
      <c r="T23" s="1"/>
      <c r="U23" s="1"/>
      <c r="V23" s="1"/>
      <c r="W23" s="1"/>
      <c r="X23" s="1"/>
      <c r="Y23" s="1"/>
      <c r="Z23" s="1"/>
      <c r="AA23" s="73"/>
    </row>
    <row r="24" spans="1:27" ht="12.75" customHeight="1">
      <c r="A24" s="1"/>
      <c r="B24" s="91" t="s">
        <v>138</v>
      </c>
      <c r="C24" s="91" t="s">
        <v>139</v>
      </c>
      <c r="D24" s="91" t="s">
        <v>127</v>
      </c>
      <c r="E24" s="91" t="s">
        <v>140</v>
      </c>
      <c r="F24" s="92">
        <v>6285825081</v>
      </c>
      <c r="G24" s="86" t="s">
        <v>129</v>
      </c>
      <c r="H24" s="86" t="s">
        <v>130</v>
      </c>
      <c r="I24" s="86" t="s">
        <v>131</v>
      </c>
      <c r="J24" s="93">
        <v>448453951</v>
      </c>
      <c r="K24" s="94">
        <v>1</v>
      </c>
      <c r="L24" s="91" t="s">
        <v>141</v>
      </c>
      <c r="M24" s="86" t="s">
        <v>133</v>
      </c>
      <c r="N24" s="73"/>
      <c r="O24" s="73"/>
      <c r="P24" s="1"/>
      <c r="Q24" s="1"/>
      <c r="R24" s="1"/>
      <c r="S24" s="1"/>
      <c r="T24" s="1"/>
      <c r="U24" s="1"/>
      <c r="V24" s="1"/>
      <c r="W24" s="1"/>
      <c r="X24" s="1"/>
      <c r="Y24" s="1"/>
      <c r="Z24" s="1"/>
      <c r="AA24" s="73"/>
    </row>
    <row r="25" spans="1:27" ht="12.75" customHeight="1">
      <c r="A25" s="1"/>
      <c r="B25" s="91" t="s">
        <v>142</v>
      </c>
      <c r="C25" s="91" t="s">
        <v>143</v>
      </c>
      <c r="D25" s="91" t="s">
        <v>127</v>
      </c>
      <c r="E25" s="91" t="s">
        <v>144</v>
      </c>
      <c r="F25" s="92">
        <v>1505915000</v>
      </c>
      <c r="G25" s="86" t="s">
        <v>129</v>
      </c>
      <c r="H25" s="86" t="s">
        <v>130</v>
      </c>
      <c r="I25" s="86" t="s">
        <v>131</v>
      </c>
      <c r="J25" s="93">
        <v>752957000</v>
      </c>
      <c r="K25" s="94">
        <v>0.5</v>
      </c>
      <c r="L25" s="91" t="s">
        <v>145</v>
      </c>
      <c r="M25" s="86" t="s">
        <v>133</v>
      </c>
      <c r="N25" s="73"/>
      <c r="O25" s="73"/>
      <c r="P25" s="1"/>
      <c r="Q25" s="1"/>
      <c r="R25" s="1"/>
      <c r="S25" s="1"/>
      <c r="T25" s="1"/>
      <c r="U25" s="1"/>
      <c r="V25" s="1"/>
      <c r="W25" s="1"/>
      <c r="X25" s="1"/>
      <c r="Y25" s="1"/>
      <c r="Z25" s="1"/>
      <c r="AA25" s="73"/>
    </row>
    <row r="26" spans="1:27" ht="12.75" customHeight="1">
      <c r="A26" s="1"/>
      <c r="B26" s="91" t="s">
        <v>146</v>
      </c>
      <c r="C26" s="91" t="s">
        <v>147</v>
      </c>
      <c r="D26" s="91" t="s">
        <v>127</v>
      </c>
      <c r="E26" s="91" t="s">
        <v>148</v>
      </c>
      <c r="F26" s="92">
        <v>4425406000</v>
      </c>
      <c r="G26" s="86" t="s">
        <v>129</v>
      </c>
      <c r="H26" s="86" t="s">
        <v>130</v>
      </c>
      <c r="I26" s="86" t="s">
        <v>131</v>
      </c>
      <c r="J26" s="93">
        <v>2212703000</v>
      </c>
      <c r="K26" s="94">
        <v>0.5</v>
      </c>
      <c r="L26" s="91" t="s">
        <v>149</v>
      </c>
      <c r="M26" s="86" t="s">
        <v>133</v>
      </c>
      <c r="N26" s="73"/>
      <c r="O26" s="73"/>
      <c r="P26" s="1"/>
      <c r="Q26" s="1"/>
      <c r="R26" s="1"/>
      <c r="S26" s="1"/>
      <c r="T26" s="1"/>
      <c r="U26" s="1"/>
      <c r="V26" s="1"/>
      <c r="W26" s="1"/>
      <c r="X26" s="1"/>
      <c r="Y26" s="1"/>
      <c r="Z26" s="1"/>
      <c r="AA26" s="73"/>
    </row>
    <row r="27" spans="1:27" ht="12.75" customHeight="1">
      <c r="A27" s="1"/>
      <c r="B27" s="91" t="s">
        <v>150</v>
      </c>
      <c r="C27" s="91" t="s">
        <v>151</v>
      </c>
      <c r="D27" s="91" t="s">
        <v>127</v>
      </c>
      <c r="E27" s="91" t="s">
        <v>152</v>
      </c>
      <c r="F27" s="92">
        <v>404604000</v>
      </c>
      <c r="G27" s="86" t="s">
        <v>129</v>
      </c>
      <c r="H27" s="86" t="s">
        <v>130</v>
      </c>
      <c r="I27" s="86" t="s">
        <v>131</v>
      </c>
      <c r="J27" s="93">
        <v>202302000</v>
      </c>
      <c r="K27" s="94">
        <v>0.5</v>
      </c>
      <c r="L27" s="91" t="s">
        <v>153</v>
      </c>
      <c r="M27" s="86" t="s">
        <v>133</v>
      </c>
      <c r="N27" s="73"/>
      <c r="O27" s="73"/>
      <c r="P27" s="1"/>
      <c r="Q27" s="1"/>
      <c r="R27" s="1"/>
      <c r="S27" s="1"/>
      <c r="T27" s="1"/>
      <c r="U27" s="1"/>
      <c r="V27" s="1"/>
      <c r="W27" s="1"/>
      <c r="X27" s="1"/>
      <c r="Y27" s="1"/>
      <c r="Z27" s="1"/>
      <c r="AA27" s="73"/>
    </row>
    <row r="28" spans="1:27" ht="12.75" customHeight="1">
      <c r="A28" s="1"/>
      <c r="B28" s="91" t="s">
        <v>154</v>
      </c>
      <c r="C28" s="91" t="s">
        <v>155</v>
      </c>
      <c r="D28" s="91" t="s">
        <v>127</v>
      </c>
      <c r="E28" s="91" t="s">
        <v>156</v>
      </c>
      <c r="F28" s="92">
        <v>4684982000</v>
      </c>
      <c r="G28" s="86" t="s">
        <v>129</v>
      </c>
      <c r="H28" s="86" t="s">
        <v>130</v>
      </c>
      <c r="I28" s="86" t="s">
        <v>131</v>
      </c>
      <c r="J28" s="93">
        <v>2325118843</v>
      </c>
      <c r="K28" s="94">
        <v>0.49630000000000002</v>
      </c>
      <c r="L28" s="91" t="s">
        <v>157</v>
      </c>
      <c r="M28" s="86" t="s">
        <v>133</v>
      </c>
      <c r="N28" s="73"/>
      <c r="O28" s="73"/>
      <c r="P28" s="1"/>
      <c r="Q28" s="1"/>
      <c r="R28" s="1"/>
      <c r="S28" s="1"/>
      <c r="T28" s="1"/>
      <c r="U28" s="1"/>
      <c r="V28" s="1"/>
      <c r="W28" s="1"/>
      <c r="X28" s="1"/>
      <c r="Y28" s="1"/>
      <c r="Z28" s="1"/>
      <c r="AA28" s="73"/>
    </row>
    <row r="29" spans="1:27" ht="12.75" customHeight="1">
      <c r="A29" s="1"/>
      <c r="B29" s="91" t="s">
        <v>158</v>
      </c>
      <c r="C29" s="91" t="s">
        <v>159</v>
      </c>
      <c r="D29" s="91" t="s">
        <v>127</v>
      </c>
      <c r="E29" s="91" t="s">
        <v>160</v>
      </c>
      <c r="F29" s="92">
        <v>9666708000</v>
      </c>
      <c r="G29" s="86" t="s">
        <v>129</v>
      </c>
      <c r="H29" s="86" t="s">
        <v>130</v>
      </c>
      <c r="I29" s="86" t="s">
        <v>131</v>
      </c>
      <c r="J29" s="93">
        <v>1435617000</v>
      </c>
      <c r="K29" s="94">
        <v>0.47949999999999998</v>
      </c>
      <c r="L29" s="91" t="s">
        <v>161</v>
      </c>
      <c r="M29" s="86" t="s">
        <v>133</v>
      </c>
      <c r="N29" s="73"/>
      <c r="O29" s="73"/>
      <c r="P29" s="1"/>
      <c r="Q29" s="1"/>
      <c r="R29" s="1"/>
      <c r="S29" s="1"/>
      <c r="T29" s="1"/>
      <c r="U29" s="1"/>
      <c r="V29" s="1"/>
      <c r="W29" s="1"/>
      <c r="X29" s="1"/>
      <c r="Y29" s="1"/>
      <c r="Z29" s="1"/>
      <c r="AA29" s="73"/>
    </row>
    <row r="30" spans="1:27" ht="12.75" customHeight="1">
      <c r="A30" s="1"/>
      <c r="B30" s="9"/>
      <c r="C30" s="9"/>
      <c r="D30" s="9"/>
      <c r="E30" s="9"/>
      <c r="F30" s="9"/>
      <c r="G30" s="9"/>
      <c r="H30" s="69"/>
      <c r="I30" s="70"/>
      <c r="J30" s="69"/>
      <c r="K30" s="9"/>
      <c r="L30" s="9"/>
      <c r="M30" s="9"/>
      <c r="N30" s="73"/>
      <c r="O30" s="73"/>
      <c r="P30" s="1"/>
      <c r="Q30" s="1"/>
      <c r="R30" s="1"/>
      <c r="S30" s="1"/>
      <c r="T30" s="1"/>
      <c r="U30" s="1"/>
      <c r="V30" s="1"/>
      <c r="W30" s="1"/>
      <c r="X30" s="1"/>
      <c r="Y30" s="1"/>
      <c r="Z30" s="1"/>
      <c r="AA30" s="73"/>
    </row>
    <row r="31" spans="1:27" ht="12.75" customHeight="1">
      <c r="A31" s="1"/>
      <c r="B31" s="9"/>
      <c r="C31" s="9"/>
      <c r="D31" s="9"/>
      <c r="E31" s="9"/>
      <c r="F31" s="9"/>
      <c r="G31" s="9"/>
      <c r="H31" s="69"/>
      <c r="I31" s="70"/>
      <c r="J31" s="69"/>
      <c r="K31" s="9"/>
      <c r="L31" s="9"/>
      <c r="M31" s="9"/>
      <c r="N31" s="73"/>
      <c r="O31" s="73"/>
      <c r="P31" s="1"/>
      <c r="Q31" s="1"/>
      <c r="R31" s="1"/>
      <c r="S31" s="1"/>
      <c r="T31" s="1"/>
      <c r="U31" s="1"/>
      <c r="V31" s="1"/>
      <c r="W31" s="1"/>
      <c r="X31" s="1"/>
      <c r="Y31" s="1"/>
      <c r="Z31" s="1"/>
      <c r="AA31" s="73"/>
    </row>
    <row r="32" spans="1:27" ht="12.75" customHeight="1">
      <c r="A32" s="1"/>
      <c r="B32" s="9"/>
      <c r="C32" s="9"/>
      <c r="D32" s="9"/>
      <c r="E32" s="9"/>
      <c r="F32" s="9"/>
      <c r="G32" s="9"/>
      <c r="H32" s="69"/>
      <c r="I32" s="70"/>
      <c r="J32" s="69"/>
      <c r="K32" s="9"/>
      <c r="L32" s="9"/>
      <c r="M32" s="9"/>
      <c r="N32" s="1"/>
      <c r="O32" s="1"/>
      <c r="P32" s="1"/>
      <c r="Q32" s="1"/>
      <c r="R32" s="1"/>
      <c r="S32" s="1"/>
      <c r="T32" s="1"/>
      <c r="U32" s="1"/>
      <c r="V32" s="1"/>
      <c r="W32" s="1"/>
      <c r="X32" s="1"/>
      <c r="Y32" s="1"/>
      <c r="Z32" s="1"/>
      <c r="AA32" s="73"/>
    </row>
    <row r="33" spans="1:27"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73"/>
    </row>
    <row r="34" spans="1:27" ht="12.75" customHeight="1">
      <c r="A34" s="95"/>
      <c r="B34" s="96" t="s">
        <v>40</v>
      </c>
      <c r="C34" s="95"/>
      <c r="D34" s="95"/>
      <c r="E34" s="95"/>
      <c r="F34" s="95"/>
      <c r="G34" s="95"/>
      <c r="H34" s="95"/>
      <c r="I34" s="95"/>
      <c r="J34" s="97">
        <f>SUM(J22:J32)</f>
        <v>9719640000</v>
      </c>
      <c r="K34" s="95"/>
      <c r="L34" s="95"/>
      <c r="M34" s="95"/>
      <c r="N34" s="95"/>
      <c r="O34" s="95"/>
      <c r="P34" s="95"/>
      <c r="Q34" s="95"/>
      <c r="R34" s="95"/>
      <c r="S34" s="95"/>
      <c r="T34" s="95"/>
      <c r="U34" s="95"/>
      <c r="V34" s="95"/>
      <c r="W34" s="95"/>
      <c r="X34" s="95"/>
      <c r="Y34" s="95"/>
      <c r="Z34" s="95"/>
      <c r="AA34" s="76"/>
    </row>
    <row r="35" spans="1:27"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73"/>
    </row>
    <row r="36" spans="1:27" ht="12.75" customHeight="1">
      <c r="A36" s="1"/>
      <c r="B36" s="14"/>
      <c r="C36" s="1"/>
      <c r="D36" s="1"/>
      <c r="E36" s="1"/>
      <c r="F36" s="1"/>
      <c r="G36" s="1"/>
      <c r="H36" s="1"/>
      <c r="I36" s="1"/>
      <c r="J36" s="1"/>
      <c r="K36" s="1"/>
      <c r="L36" s="1"/>
      <c r="M36" s="1"/>
      <c r="N36" s="1"/>
      <c r="O36" s="1"/>
      <c r="P36" s="1"/>
      <c r="Q36" s="1"/>
      <c r="R36" s="1"/>
      <c r="S36" s="1"/>
      <c r="T36" s="1"/>
      <c r="U36" s="1"/>
      <c r="V36" s="1"/>
      <c r="W36" s="1"/>
      <c r="X36" s="1"/>
      <c r="Y36" s="1"/>
      <c r="Z36" s="1"/>
      <c r="AA36" s="73"/>
    </row>
    <row r="37" spans="1:27"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73"/>
    </row>
    <row r="38" spans="1:27" ht="12.75" customHeight="1">
      <c r="A38" s="1"/>
      <c r="B38" s="65" t="s">
        <v>41</v>
      </c>
      <c r="C38" s="15" t="s">
        <v>162</v>
      </c>
      <c r="D38" s="1"/>
      <c r="E38" s="1"/>
      <c r="F38" s="1"/>
      <c r="G38" s="1"/>
      <c r="H38" s="1"/>
      <c r="I38" s="1"/>
      <c r="J38" s="1"/>
      <c r="K38" s="1"/>
      <c r="L38" s="1"/>
      <c r="M38" s="1"/>
      <c r="N38" s="1"/>
      <c r="O38" s="1"/>
      <c r="P38" s="1"/>
      <c r="Q38" s="1"/>
      <c r="R38" s="1"/>
      <c r="S38" s="1"/>
      <c r="T38" s="1"/>
      <c r="U38" s="1"/>
      <c r="V38" s="1"/>
      <c r="W38" s="1"/>
      <c r="X38" s="1"/>
      <c r="Y38" s="1"/>
      <c r="Z38" s="1"/>
      <c r="AA38" s="73"/>
    </row>
    <row r="39" spans="1:27"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73"/>
    </row>
    <row r="40" spans="1:27"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73"/>
    </row>
    <row r="41" spans="1:27"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73"/>
    </row>
    <row r="42" spans="1:27"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73"/>
    </row>
    <row r="43" spans="1:27"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73"/>
    </row>
    <row r="44" spans="1:27"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73"/>
    </row>
    <row r="45" spans="1:27"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73"/>
    </row>
    <row r="46" spans="1:27"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73"/>
    </row>
    <row r="47" spans="1:27"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73"/>
    </row>
    <row r="48" spans="1:27"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73"/>
    </row>
    <row r="49" spans="1:27"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73"/>
    </row>
    <row r="50" spans="1:27"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73"/>
    </row>
    <row r="51" spans="1:27"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73"/>
    </row>
    <row r="52" spans="1:27"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73"/>
    </row>
    <row r="53" spans="1:27"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73"/>
    </row>
    <row r="54" spans="1:27"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73"/>
    </row>
    <row r="55" spans="1:27"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73"/>
    </row>
    <row r="56" spans="1:27"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73"/>
    </row>
    <row r="57" spans="1:2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73"/>
    </row>
    <row r="58" spans="1:27"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73"/>
    </row>
    <row r="59" spans="1:27"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73"/>
    </row>
    <row r="60" spans="1:27"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73"/>
    </row>
    <row r="61" spans="1:27"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73"/>
    </row>
    <row r="62" spans="1:27"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73"/>
    </row>
    <row r="63" spans="1:27"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73"/>
    </row>
    <row r="64" spans="1:27"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73"/>
    </row>
    <row r="65" spans="1:27"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73"/>
    </row>
    <row r="66" spans="1:27"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73"/>
    </row>
    <row r="67" spans="1:27"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73"/>
    </row>
    <row r="68" spans="1:27"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73"/>
    </row>
    <row r="69" spans="1:27"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73"/>
    </row>
    <row r="70" spans="1:27"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73"/>
    </row>
    <row r="71" spans="1:27"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73"/>
    </row>
    <row r="72" spans="1:27"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73"/>
    </row>
    <row r="73" spans="1:27"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73"/>
    </row>
    <row r="74" spans="1:27"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73"/>
    </row>
    <row r="75" spans="1:27"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73"/>
    </row>
    <row r="76" spans="1:27"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73"/>
    </row>
    <row r="77" spans="1:27"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73"/>
    </row>
    <row r="78" spans="1:27"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73"/>
    </row>
    <row r="79" spans="1:27"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73"/>
    </row>
    <row r="80" spans="1:27"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73"/>
    </row>
    <row r="81" spans="1:27"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73"/>
    </row>
    <row r="82" spans="1:27"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73"/>
    </row>
    <row r="83" spans="1:27"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73"/>
    </row>
    <row r="84" spans="1:27"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73"/>
    </row>
    <row r="85" spans="1:27"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73"/>
    </row>
    <row r="86" spans="1:27"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73"/>
    </row>
    <row r="87" spans="1:2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73"/>
    </row>
    <row r="88" spans="1:27"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73"/>
    </row>
    <row r="89" spans="1:27"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73"/>
    </row>
    <row r="90" spans="1:27"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73"/>
    </row>
    <row r="91" spans="1:27"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73"/>
    </row>
    <row r="92" spans="1:27"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73"/>
    </row>
    <row r="93" spans="1:27"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73"/>
    </row>
    <row r="94" spans="1:27"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73"/>
    </row>
    <row r="95" spans="1:27"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73"/>
    </row>
    <row r="96" spans="1:27"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73"/>
    </row>
    <row r="97" spans="1:2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73"/>
    </row>
    <row r="98" spans="1:27"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73"/>
    </row>
    <row r="99" spans="1:27"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73"/>
    </row>
    <row r="100" spans="1:27"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73"/>
    </row>
    <row r="101" spans="1:27"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73"/>
    </row>
    <row r="102" spans="1:27"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73"/>
    </row>
    <row r="103" spans="1:27"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73"/>
    </row>
    <row r="104" spans="1:27"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73"/>
    </row>
    <row r="105" spans="1:27"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73"/>
    </row>
    <row r="106" spans="1:27"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73"/>
    </row>
    <row r="107" spans="1:2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73"/>
    </row>
    <row r="108" spans="1:27"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73"/>
    </row>
    <row r="109" spans="1:27"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73"/>
    </row>
    <row r="110" spans="1:27"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73"/>
    </row>
    <row r="111" spans="1:27"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73"/>
    </row>
    <row r="112" spans="1:27"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73"/>
    </row>
    <row r="113" spans="1:27"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73"/>
    </row>
    <row r="114" spans="1:27"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73"/>
    </row>
    <row r="115" spans="1:27"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73"/>
    </row>
    <row r="116" spans="1:27"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73"/>
    </row>
    <row r="117" spans="1:2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73"/>
    </row>
    <row r="118" spans="1:27"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73"/>
    </row>
    <row r="119" spans="1:27"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73"/>
    </row>
    <row r="120" spans="1:27"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73"/>
    </row>
    <row r="121" spans="1:27"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73"/>
    </row>
    <row r="122" spans="1:27"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73"/>
    </row>
    <row r="123" spans="1:27"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73"/>
    </row>
    <row r="124" spans="1:27"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73"/>
    </row>
    <row r="125" spans="1:27"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73"/>
    </row>
    <row r="126" spans="1:27"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73"/>
    </row>
    <row r="127" spans="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73"/>
    </row>
    <row r="128" spans="1:27"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73"/>
    </row>
    <row r="129" spans="1:27"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73"/>
    </row>
    <row r="130" spans="1:27"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73"/>
    </row>
    <row r="131" spans="1:27"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73"/>
    </row>
    <row r="132" spans="1:27"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73"/>
    </row>
    <row r="133" spans="1:27"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73"/>
    </row>
    <row r="134" spans="1:27"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73"/>
    </row>
    <row r="135" spans="1:27"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73"/>
    </row>
    <row r="136" spans="1:27"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73"/>
    </row>
    <row r="137" spans="1:2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73"/>
    </row>
    <row r="138" spans="1:27"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73"/>
    </row>
    <row r="139" spans="1:27"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73"/>
    </row>
    <row r="140" spans="1:27"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73"/>
    </row>
    <row r="141" spans="1:27"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73"/>
    </row>
    <row r="142" spans="1:27"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73"/>
    </row>
    <row r="143" spans="1:27"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73"/>
    </row>
    <row r="144" spans="1:27"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73"/>
    </row>
    <row r="145" spans="1:27"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73"/>
    </row>
    <row r="146" spans="1:27"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73"/>
    </row>
    <row r="147" spans="1:2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73"/>
    </row>
    <row r="148" spans="1:27"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73"/>
    </row>
    <row r="149" spans="1:27"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73"/>
    </row>
    <row r="150" spans="1:27"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73"/>
    </row>
    <row r="151" spans="1:27"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73"/>
    </row>
    <row r="152" spans="1:27"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73"/>
    </row>
    <row r="153" spans="1:27"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73"/>
    </row>
    <row r="154" spans="1:27"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73"/>
    </row>
    <row r="155" spans="1:27"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73"/>
    </row>
    <row r="156" spans="1:27"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73"/>
    </row>
    <row r="157" spans="1:2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73"/>
    </row>
    <row r="158" spans="1:27"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73"/>
    </row>
    <row r="159" spans="1:27"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73"/>
    </row>
    <row r="160" spans="1:27"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73"/>
    </row>
    <row r="161" spans="1:27"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73"/>
    </row>
    <row r="162" spans="1:27"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73"/>
    </row>
    <row r="163" spans="1:27"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73"/>
    </row>
    <row r="164" spans="1:27"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73"/>
    </row>
    <row r="165" spans="1:27"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73"/>
    </row>
    <row r="166" spans="1:27"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73"/>
    </row>
    <row r="167" spans="1:2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73"/>
    </row>
    <row r="168" spans="1:27"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73"/>
    </row>
    <row r="169" spans="1:27"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73"/>
    </row>
    <row r="170" spans="1:27"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73"/>
    </row>
    <row r="171" spans="1:27"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73"/>
    </row>
    <row r="172" spans="1:27"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73"/>
    </row>
    <row r="173" spans="1:27"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73"/>
    </row>
    <row r="174" spans="1:27"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73"/>
    </row>
    <row r="175" spans="1:27"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73"/>
    </row>
    <row r="176" spans="1:27"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73"/>
    </row>
    <row r="177" spans="1:2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73"/>
    </row>
    <row r="178" spans="1:27"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73"/>
    </row>
    <row r="179" spans="1:27"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73"/>
    </row>
    <row r="180" spans="1:27"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73"/>
    </row>
    <row r="181" spans="1:27"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73"/>
    </row>
    <row r="182" spans="1:27"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73"/>
    </row>
    <row r="183" spans="1:27"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73"/>
    </row>
    <row r="184" spans="1:27"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73"/>
    </row>
    <row r="185" spans="1:27"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73"/>
    </row>
    <row r="186" spans="1:27"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73"/>
    </row>
    <row r="187" spans="1:2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73"/>
    </row>
    <row r="188" spans="1:27"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73"/>
    </row>
    <row r="189" spans="1:27"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73"/>
    </row>
    <row r="190" spans="1:27"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73"/>
    </row>
    <row r="191" spans="1:27"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73"/>
    </row>
    <row r="192" spans="1:27"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73"/>
    </row>
    <row r="193" spans="1:27"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73"/>
    </row>
    <row r="194" spans="1:27"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73"/>
    </row>
    <row r="195" spans="1:27"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73"/>
    </row>
    <row r="196" spans="1:27"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73"/>
    </row>
    <row r="197" spans="1:2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73"/>
    </row>
    <row r="198" spans="1:27"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73"/>
    </row>
    <row r="199" spans="1:27"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73"/>
    </row>
    <row r="200" spans="1:27"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73"/>
    </row>
    <row r="201" spans="1:27"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73"/>
    </row>
    <row r="202" spans="1:27"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73"/>
    </row>
    <row r="203" spans="1:27"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73"/>
    </row>
    <row r="204" spans="1:27"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73"/>
    </row>
    <row r="205" spans="1:27"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73"/>
    </row>
    <row r="206" spans="1:27"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73"/>
    </row>
    <row r="207" spans="1:2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73"/>
    </row>
    <row r="208" spans="1:27"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73"/>
    </row>
    <row r="209" spans="1:27"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73"/>
    </row>
    <row r="210" spans="1:27"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73"/>
    </row>
    <row r="211" spans="1:27"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73"/>
    </row>
    <row r="212" spans="1:27"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73"/>
    </row>
    <row r="213" spans="1:27"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73"/>
    </row>
    <row r="214" spans="1:27"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73"/>
    </row>
    <row r="215" spans="1:27"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73"/>
    </row>
    <row r="216" spans="1:27"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73"/>
    </row>
    <row r="217" spans="1:2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73"/>
    </row>
    <row r="218" spans="1:27"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73"/>
    </row>
    <row r="219" spans="1:27"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73"/>
    </row>
    <row r="220" spans="1:27"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73"/>
    </row>
    <row r="221" spans="1:27"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73"/>
    </row>
    <row r="222" spans="1:27"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73"/>
    </row>
    <row r="223" spans="1:27"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73"/>
    </row>
    <row r="224" spans="1:27"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73"/>
    </row>
    <row r="225" spans="1:27"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73"/>
    </row>
    <row r="226" spans="1:27"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73"/>
    </row>
    <row r="227" spans="1: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73"/>
    </row>
    <row r="228" spans="1:27"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73"/>
    </row>
    <row r="229" spans="1:27"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73"/>
    </row>
    <row r="230" spans="1:27"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73"/>
    </row>
    <row r="231" spans="1:27" ht="15.75" customHeight="1"/>
    <row r="232" spans="1:27" ht="15.75" customHeight="1"/>
    <row r="233" spans="1:27" ht="15.75" customHeight="1"/>
    <row r="234" spans="1:27" ht="15.75" customHeight="1"/>
    <row r="235" spans="1:27" ht="15.75" customHeight="1"/>
    <row r="236" spans="1:27" ht="15.75" customHeight="1"/>
    <row r="237" spans="1:27" ht="15.75" customHeight="1"/>
    <row r="238" spans="1:27" ht="15.75" customHeight="1"/>
    <row r="239" spans="1:27" ht="15.75" customHeight="1"/>
    <row r="240" spans="1: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17:G17"/>
    <mergeCell ref="B9:C9"/>
    <mergeCell ref="B10:C10"/>
    <mergeCell ref="B11:C11"/>
    <mergeCell ref="B12:G12"/>
    <mergeCell ref="C14:G14"/>
  </mergeCells>
  <pageMargins left="0.25" right="0.25" top="0.75" bottom="0.75" header="0.3" footer="0.3"/>
  <pageSetup paperSize="5" scale="4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24.03.034</vt:lpstr>
      <vt:lpstr>24.03.602</vt:lpstr>
      <vt:lpstr>33.03.602</vt:lpstr>
      <vt:lpstr>24.03.403</vt:lpstr>
      <vt:lpstr>24.03.406</vt:lpstr>
      <vt:lpstr>33.03.407</vt:lpstr>
      <vt:lpstr>33.03.005</vt:lpstr>
      <vt:lpstr>33.03.006</vt:lpstr>
      <vt:lpstr>33.03.100</vt:lpstr>
      <vt:lpstr>33.03.110</vt:lpstr>
      <vt:lpstr>33.03.111</vt:lpstr>
      <vt:lpstr>33.03.112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Francisca Duque Cañete</cp:lastModifiedBy>
  <cp:lastPrinted>2025-01-23T21:41:59Z</cp:lastPrinted>
  <dcterms:modified xsi:type="dcterms:W3CDTF">2025-01-23T21:43:08Z</dcterms:modified>
</cp:coreProperties>
</file>